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ustomProperty1.bin" ContentType="application/vnd.openxmlformats-officedocument.spreadsheetml.customProperty"/>
  <Override PartName="/xl/drawings/drawing1.xml" ContentType="application/vnd.openxmlformats-officedocument.drawing+xml"/>
  <Override PartName="/xl/customProperty2.bin" ContentType="application/vnd.openxmlformats-officedocument.spreadsheetml.customProperty"/>
  <Override PartName="/xl/customProperty3.bin" ContentType="application/vnd.openxmlformats-officedocument.spreadsheetml.customProperty"/>
  <Override PartName="/xl/customProperty4.bin" ContentType="application/vnd.openxmlformats-officedocument.spreadsheetml.customProperty"/>
  <Override PartName="/xl/drawings/drawing2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ustomProperty5.bin" ContentType="application/vnd.openxmlformats-officedocument.spreadsheetml.customProperty"/>
  <Override PartName="/xl/customProperty6.bin" ContentType="application/vnd.openxmlformats-officedocument.spreadsheetml.customProperty"/>
  <Override PartName="/xl/customProperty7.bin" ContentType="application/vnd.openxmlformats-officedocument.spreadsheetml.customProperty"/>
  <Override PartName="/xl/customProperty8.bin" ContentType="application/vnd.openxmlformats-officedocument.spreadsheetml.customProperty"/>
  <Override PartName="/xl/customProperty9.bin" ContentType="application/vnd.openxmlformats-officedocument.spreadsheetml.customProperty"/>
  <Override PartName="/xl/drawings/drawing3.xml" ContentType="application/vnd.openxmlformats-officedocument.drawing+xml"/>
  <Override PartName="/xl/ctrlProps/ctrlProp3.xml" ContentType="application/vnd.ms-excel.controlproperties+xml"/>
  <Override PartName="/xl/customProperty10.bin" ContentType="application/vnd.openxmlformats-officedocument.spreadsheetml.customProperty"/>
  <Override PartName="/xl/customProperty11.bin" ContentType="application/vnd.openxmlformats-officedocument.spreadsheetml.customProperty"/>
  <Override PartName="/xl/comments1.xml" ContentType="application/vnd.openxmlformats-officedocument.spreadsheetml.comments+xml"/>
  <Override PartName="/xl/customProperty12.bin" ContentType="application/vnd.openxmlformats-officedocument.spreadsheetml.customProperty"/>
  <Override PartName="/xl/comments2.xml" ContentType="application/vnd.openxmlformats-officedocument.spreadsheetml.comments+xml"/>
  <Override PartName="/xl/customProperty13.bin" ContentType="application/vnd.openxmlformats-officedocument.spreadsheetml.customProperty"/>
  <Override PartName="/xl/comments3.xml" ContentType="application/vnd.openxmlformats-officedocument.spreadsheetml.comments+xml"/>
  <Override PartName="/xl/customProperty14.bin" ContentType="application/vnd.openxmlformats-officedocument.spreadsheetml.customProperty"/>
  <Override PartName="/xl/comments4.xml" ContentType="application/vnd.openxmlformats-officedocument.spreadsheetml.comments+xml"/>
  <Override PartName="/xl/customProperty15.bin" ContentType="application/vnd.openxmlformats-officedocument.spreadsheetml.customProperty"/>
  <Override PartName="/xl/comments5.xml" ContentType="application/vnd.openxmlformats-officedocument.spreadsheetml.comments+xml"/>
  <Override PartName="/xl/customProperty16.bin" ContentType="application/vnd.openxmlformats-officedocument.spreadsheetml.customProperty"/>
  <Override PartName="/xl/comments6.xml" ContentType="application/vnd.openxmlformats-officedocument.spreadsheetml.comments+xml"/>
  <Override PartName="/xl/customProperty17.bin" ContentType="application/vnd.openxmlformats-officedocument.spreadsheetml.customProperty"/>
  <Override PartName="/xl/comments7.xml" ContentType="application/vnd.openxmlformats-officedocument.spreadsheetml.comments+xml"/>
  <Override PartName="/xl/customProperty18.bin" ContentType="application/vnd.openxmlformats-officedocument.spreadsheetml.customProperty"/>
  <Override PartName="/xl/comments8.xml" ContentType="application/vnd.openxmlformats-officedocument.spreadsheetml.comments+xml"/>
  <Override PartName="/xl/customProperty19.bin" ContentType="application/vnd.openxmlformats-officedocument.spreadsheetml.customProperty"/>
  <Override PartName="/xl/comments9.xml" ContentType="application/vnd.openxmlformats-officedocument.spreadsheetml.comments+xml"/>
  <Override PartName="/xl/customProperty20.bin" ContentType="application/vnd.openxmlformats-officedocument.spreadsheetml.customProperty"/>
  <Override PartName="/xl/comments10.xml" ContentType="application/vnd.openxmlformats-officedocument.spreadsheetml.comments+xml"/>
  <Override PartName="/xl/customProperty21.bin" ContentType="application/vnd.openxmlformats-officedocument.spreadsheetml.customProperty"/>
  <Override PartName="/xl/comments11.xml" ContentType="application/vnd.openxmlformats-officedocument.spreadsheetml.comments+xml"/>
  <Override PartName="/xl/customProperty22.bin" ContentType="application/vnd.openxmlformats-officedocument.spreadsheetml.customProperty"/>
  <Override PartName="/xl/comments12.xml" ContentType="application/vnd.openxmlformats-officedocument.spreadsheetml.comments+xml"/>
  <Override PartName="/xl/customProperty23.bin" ContentType="application/vnd.openxmlformats-officedocument.spreadsheetml.customProperty"/>
  <Override PartName="/xl/comments13.xml" ContentType="application/vnd.openxmlformats-officedocument.spreadsheetml.comments+xml"/>
  <Override PartName="/xl/customProperty24.bin" ContentType="application/vnd.openxmlformats-officedocument.spreadsheetml.customProperty"/>
  <Override PartName="/xl/comments14.xml" ContentType="application/vnd.openxmlformats-officedocument.spreadsheetml.comments+xml"/>
  <Override PartName="/xl/customProperty25.bin" ContentType="application/vnd.openxmlformats-officedocument.spreadsheetml.customProperty"/>
  <Override PartName="/xl/customProperty26.bin" ContentType="application/vnd.openxmlformats-officedocument.spreadsheetml.customProperty"/>
  <Override PartName="/xl/comments15.xml" ContentType="application/vnd.openxmlformats-officedocument.spreadsheetml.comments+xml"/>
  <Override PartName="/xl/customProperty27.bin" ContentType="application/vnd.openxmlformats-officedocument.spreadsheetml.customProperty"/>
  <Override PartName="/xl/customProperty28.bin" ContentType="application/vnd.openxmlformats-officedocument.spreadsheetml.customProperty"/>
  <Override PartName="/xl/customProperty29.bin" ContentType="application/vnd.openxmlformats-officedocument.spreadsheetml.customProperty"/>
  <Override PartName="/xl/customProperty30.bin" ContentType="application/vnd.openxmlformats-officedocument.spreadsheetml.customProperty"/>
  <Override PartName="/xl/customProperty31.bin" ContentType="application/vnd.openxmlformats-officedocument.spreadsheetml.customProperty"/>
  <Override PartName="/xl/customProperty32.bin" ContentType="application/vnd.openxmlformats-officedocument.spreadsheetml.customProperty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/>
  <mc:AlternateContent xmlns:mc="http://schemas.openxmlformats.org/markup-compatibility/2006">
    <mc:Choice Requires="x15">
      <x15ac:absPath xmlns:x15ac="http://schemas.microsoft.com/office/spreadsheetml/2010/11/ac" url="T:\AER\AusNet Services GAAR 2023-28\01 Proposal\04 Models\"/>
    </mc:Choice>
  </mc:AlternateContent>
  <xr:revisionPtr revIDLastSave="0" documentId="8_{FA5D3A75-BF0E-4483-A656-4584FBA4C671}" xr6:coauthVersionLast="47" xr6:coauthVersionMax="47" xr10:uidLastSave="{00000000-0000-0000-0000-000000000000}"/>
  <bookViews>
    <workbookView xWindow="-110" yWindow="-110" windowWidth="19420" windowHeight="10420" tabRatio="765" xr2:uid="{A38CF9A2-65D8-403C-8BB0-92A757CE296E}"/>
  </bookViews>
  <sheets>
    <sheet name="Overview" sheetId="2" r:id="rId1"/>
    <sheet name="Assumptions" sheetId="5" r:id="rId2"/>
    <sheet name="GA" sheetId="16" r:id="rId3"/>
    <sheet name="Time" sheetId="6" r:id="rId4"/>
    <sheet name="Global" sheetId="24" r:id="rId5"/>
    <sheet name="GC" sheetId="17" r:id="rId6"/>
    <sheet name="CPI" sheetId="26" r:id="rId7"/>
    <sheet name="OH" sheetId="84" r:id="rId8"/>
    <sheet name="Rates" sheetId="25" r:id="rId9"/>
    <sheet name="Work_Codes" sheetId="23" r:id="rId10"/>
    <sheet name="Historical" sheetId="81" r:id="rId11"/>
    <sheet name="Scenarios" sheetId="82" r:id="rId12"/>
    <sheet name="Inputs" sheetId="15" r:id="rId13"/>
    <sheet name="Low_Press" sheetId="18" r:id="rId14"/>
    <sheet name="Medium_Press" sheetId="29" r:id="rId15"/>
    <sheet name="High_Press" sheetId="33" r:id="rId16"/>
    <sheet name="AdHoc" sheetId="19" r:id="rId17"/>
    <sheet name="Dom_Meters" sheetId="37" r:id="rId18"/>
    <sheet name="Com_Meters" sheetId="41" r:id="rId19"/>
    <sheet name="Net_Reg" sheetId="45" r:id="rId20"/>
    <sheet name="Cust_Reg" sheetId="49" r:id="rId21"/>
    <sheet name="CP_SCADA" sheetId="53" r:id="rId22"/>
    <sheet name="Aug" sheetId="57" r:id="rId23"/>
    <sheet name="Cust_Conn" sheetId="61" r:id="rId24"/>
    <sheet name="New_Towns" sheetId="69" r:id="rId25"/>
    <sheet name="IT" sheetId="75" r:id="rId26"/>
    <sheet name="Other" sheetId="77" r:id="rId27"/>
    <sheet name="Outputs" sheetId="21" r:id="rId28"/>
    <sheet name="CapexSum$FY22" sheetId="27" r:id="rId29"/>
    <sheet name="CapexSum$Nom" sheetId="78" r:id="rId30"/>
    <sheet name="CapexSum$FY23" sheetId="79" r:id="rId31"/>
    <sheet name="CapexSum$Nom+$FY23" sheetId="80" r:id="rId32"/>
    <sheet name="Appendices" sheetId="3" r:id="rId33"/>
    <sheet name="Lookups" sheetId="7" r:id="rId34"/>
    <sheet name="Checks" sheetId="4" r:id="rId35"/>
  </sheets>
  <externalReferences>
    <externalReference r:id="rId36"/>
    <externalReference r:id="rId37"/>
    <externalReference r:id="rId38"/>
    <externalReference r:id="rId39"/>
    <externalReference r:id="rId40"/>
    <externalReference r:id="rId41"/>
  </externalReferences>
  <definedNames>
    <definedName name="Alt_Chks_Msg">Checks!$G$186</definedName>
    <definedName name="Alt_Chks_Ttl_Areas">Checks!$M$190</definedName>
    <definedName name="BA_Alt_Chks" hidden="1">Checks!$183:$190</definedName>
    <definedName name="BA_Err_Chks" hidden="1">Checks!$3:$174</definedName>
    <definedName name="BA_Sens_Chks" hidden="1">Checks!$175:$182</definedName>
    <definedName name="BA_Ts_WorkCode">Time!$D$42:$D$68</definedName>
    <definedName name="BA_Ts_WorkCodeName">Time!$G$42:$G$68</definedName>
    <definedName name="CA_Alt_Chks">Checks!$K$189</definedName>
    <definedName name="CA_Alt_Chks_Area_Names">Checks!$B$189</definedName>
    <definedName name="CA_Alt_Chks_Flags">Checks!$M$189</definedName>
    <definedName name="CA_Alt_Chks_Inc">Checks!$L$189</definedName>
    <definedName name="CA_Err_Chks">Checks!$K$10:$K$172</definedName>
    <definedName name="CA_Err_Chks_Area_Names">Checks!$B$10:$B$172</definedName>
    <definedName name="CA_Err_Chks_Flags">Checks!$M$10:$M$172</definedName>
    <definedName name="CA_Err_Chks_Inc">Checks!$L$10:$L$172</definedName>
    <definedName name="CA_Sens_Chks">Checks!$K$181</definedName>
    <definedName name="CA_Sens_Chks_Area_Names">Checks!$B$181</definedName>
    <definedName name="CA_Sens_Chks_Flags">Checks!$M$181</definedName>
    <definedName name="CA_Sens_Chks_Inc">Checks!$L$181</definedName>
    <definedName name="CB_Alt_Chks_Show_Msg">Checks!$K$190</definedName>
    <definedName name="CB_Err_Chks_Show_Msg">Checks!$K$174</definedName>
    <definedName name="CB_Sens_Chks_Show_Msg">Checks!$K$182</definedName>
    <definedName name="DD_GC_Scenario">Scenarios!$F$27</definedName>
    <definedName name="DD_Ts_Denom">Time!$I$15</definedName>
    <definedName name="DD_Ts_Fin_Yr_End_Mth">Time!$H$10</definedName>
    <definedName name="Err_Chk_1_Hdg" hidden="1">"$FY21 RAB Category Direct Check"</definedName>
    <definedName name="Err_Chk_10_Hdg" hidden="1">Com_Meters!$F$289</definedName>
    <definedName name="Err_Chk_100_Hdg" hidden="1">CP_SCADA!$F$322</definedName>
    <definedName name="Err_Chk_101_Hdg" hidden="1">CP_SCADA!$F$625</definedName>
    <definedName name="Err_Chk_102_Hdg" hidden="1">Aug!$F$308</definedName>
    <definedName name="Err_Chk_103_Hdg" hidden="1">Aug!$F$590</definedName>
    <definedName name="Err_Chk_104_Hdg" hidden="1">Cust_Conn!$F$278</definedName>
    <definedName name="Err_Chk_105_Hdg" hidden="1">Cust_Conn!$F$535</definedName>
    <definedName name="Err_Chk_106_Hdg" hidden="1">Cust_Conn!$F$790</definedName>
    <definedName name="Err_Chk_107_Hdg" hidden="1">Cust_Conn!$F$1045</definedName>
    <definedName name="Err_Chk_108_Hdg" hidden="1">New_Towns!$F$273</definedName>
    <definedName name="Err_Chk_109_Hdg" hidden="1">New_Towns!$F$528</definedName>
    <definedName name="Err_Chk_11_Hdg" hidden="1">Com_Meters!$F$578</definedName>
    <definedName name="Err_Chk_110_Hdg" hidden="1">New_Towns!$F$796</definedName>
    <definedName name="Err_Chk_111_Hdg" hidden="1">IT!$F$399</definedName>
    <definedName name="Err_Chk_112_Hdg" hidden="1">Other!$F$273</definedName>
    <definedName name="Err_Chk_114_Hdg" hidden="1">Low_Press!$F$351</definedName>
    <definedName name="Err_Chk_115_Hdg" hidden="1">AdHoc!$F$295</definedName>
    <definedName name="Err_Chk_116_Hdg" hidden="1">Medium_Press!$F$344</definedName>
    <definedName name="Err_Chk_117_Hdg" hidden="1">AdHoc!$F$570</definedName>
    <definedName name="Err_Chk_118_Hdg" hidden="1">High_Press!$F$274</definedName>
    <definedName name="Err_Chk_119_Hdg" hidden="1">AdHoc!$F$845</definedName>
    <definedName name="Err_Chk_12_Hdg" hidden="1">Net_Reg!$F$310</definedName>
    <definedName name="Err_Chk_120_Hdg" hidden="1">Dom_Meters!$F$295</definedName>
    <definedName name="Err_Chk_121_Hdg" hidden="1">Dom_Meters!$F$549</definedName>
    <definedName name="Err_Chk_122_Hdg" hidden="1">Com_Meters!$F$295</definedName>
    <definedName name="Err_Chk_123_Hdg" hidden="1">Com_Meters!$F$584</definedName>
    <definedName name="Err_Chk_124_Hdg" hidden="1">Net_Reg!$F$316</definedName>
    <definedName name="Err_Chk_125_Hdg" hidden="1">Net_Reg!$F$570</definedName>
    <definedName name="Err_Chk_126_Hdg" hidden="1">Cust_Reg!$F$295</definedName>
    <definedName name="Err_Chk_127_Hdg" hidden="1">Cust_Reg!$F$570</definedName>
    <definedName name="Err_Chk_128_Hdg" hidden="1">CP_SCADA!$F$323</definedName>
    <definedName name="Err_Chk_129_Hdg" hidden="1">CP_SCADA!$F$626</definedName>
    <definedName name="Err_Chk_13_Hdg" hidden="1">Net_Reg!$F$564</definedName>
    <definedName name="Err_Chk_130_Hdg" hidden="1">Aug!$F$309</definedName>
    <definedName name="Err_Chk_131_Hdg" hidden="1">Aug!$F$591</definedName>
    <definedName name="Err_Chk_132_Hdg" hidden="1">Cust_Conn!$F$279</definedName>
    <definedName name="Err_Chk_133_Hdg" hidden="1">Cust_Conn!$F$536</definedName>
    <definedName name="Err_Chk_134_Hdg" hidden="1">Cust_Conn!$F$791</definedName>
    <definedName name="Err_Chk_135_Hdg" hidden="1">Cust_Conn!$F$1046</definedName>
    <definedName name="Err_Chk_136_Hdg" hidden="1">New_Towns!$F$274</definedName>
    <definedName name="Err_Chk_137_Hdg" hidden="1">New_Towns!$F$529</definedName>
    <definedName name="Err_Chk_138_Hdg" hidden="1">New_Towns!$F$797</definedName>
    <definedName name="Err_Chk_139_Hdg" hidden="1">IT!$F$400</definedName>
    <definedName name="Err_Chk_14_Hdg" hidden="1">Cust_Reg!$F$289</definedName>
    <definedName name="Err_Chk_140_Hdg" hidden="1">Other!$F$274</definedName>
    <definedName name="Err_Chk_142_Hdg" hidden="1">Cust_Conn!$F$276</definedName>
    <definedName name="Err_Chk_143_Hdg" hidden="1">Low_Press!$F$348</definedName>
    <definedName name="Err_Chk_144_Hdg" hidden="1">AdHoc!$F$292</definedName>
    <definedName name="Err_Chk_145_Hdg" hidden="1">Medium_Press!$F$341</definedName>
    <definedName name="Err_Chk_146_Hdg" hidden="1">AdHoc!$F$567</definedName>
    <definedName name="Err_Chk_147_Hdg" hidden="1">High_Press!$F$271</definedName>
    <definedName name="Err_Chk_148_Hdg" hidden="1">AdHoc!$F$842</definedName>
    <definedName name="Err_Chk_149_Hdg" hidden="1">Dom_Meters!$F$292</definedName>
    <definedName name="Err_Chk_15_Hdg" hidden="1">Cust_Reg!$F$564</definedName>
    <definedName name="Err_Chk_150_Hdg" hidden="1">Dom_Meters!$F$546</definedName>
    <definedName name="Err_Chk_151_Hdg" hidden="1">Com_Meters!$F$292</definedName>
    <definedName name="Err_Chk_152_Hdg" hidden="1">Com_Meters!$F$581</definedName>
    <definedName name="Err_Chk_153_Hdg" hidden="1">Net_Reg!$F$313</definedName>
    <definedName name="Err_Chk_154_Hdg" hidden="1">Net_Reg!$F$567</definedName>
    <definedName name="Err_Chk_155_Hdg" hidden="1">Cust_Reg!$F$292</definedName>
    <definedName name="Err_Chk_156_Hdg" hidden="1">Cust_Reg!$F$567</definedName>
    <definedName name="Err_Chk_157_Hdg" hidden="1">CP_SCADA!$F$320</definedName>
    <definedName name="Err_Chk_158_Hdg" hidden="1">CP_SCADA!$F$623</definedName>
    <definedName name="Err_Chk_159_Hdg" hidden="1">Aug!$F$306</definedName>
    <definedName name="Err_Chk_16_Hdg" hidden="1">CP_SCADA!$F$317</definedName>
    <definedName name="Err_Chk_160_Hdg" hidden="1">Aug!$F$588</definedName>
    <definedName name="Err_Chk_161_Hdg" hidden="1">Cust_Conn!$F$533</definedName>
    <definedName name="Err_Chk_162_Hdg" hidden="1">Cust_Conn!$F$788</definedName>
    <definedName name="Err_Chk_163_Hdg" hidden="1">Cust_Conn!$F$1043</definedName>
    <definedName name="Err_Chk_164_Hdg" hidden="1">New_Towns!$F$271</definedName>
    <definedName name="Err_Chk_165_Hdg" hidden="1">New_Towns!$F$526</definedName>
    <definedName name="Err_Chk_166_Hdg" hidden="1">New_Towns!$F$794</definedName>
    <definedName name="Err_Chk_167_Hdg" hidden="1">IT!$F$397</definedName>
    <definedName name="Err_Chk_168_Hdg" hidden="1">Other!$F$271</definedName>
    <definedName name="Err_Chk_17_Hdg" hidden="1">CP_SCADA!$F$620</definedName>
    <definedName name="Err_Chk_18_Hdg" hidden="1">Aug!$F$303</definedName>
    <definedName name="Err_Chk_19_Hdg" hidden="1">Aug!$F$585</definedName>
    <definedName name="Err_Chk_2_Hdg" hidden="1">Low_Press!$F$345</definedName>
    <definedName name="Err_Chk_20_Hdg" hidden="1">Cust_Conn!$F$273</definedName>
    <definedName name="Err_Chk_21_Hdg" hidden="1">Cust_Conn!$F$530</definedName>
    <definedName name="Err_Chk_22_Hdg" hidden="1">Cust_Conn!$F$785</definedName>
    <definedName name="Err_Chk_23_Hdg" hidden="1">Cust_Conn!$F$1040</definedName>
    <definedName name="Err_Chk_24_Hdg" hidden="1">New_Towns!$F$268</definedName>
    <definedName name="Err_Chk_25_Hdg" hidden="1">New_Towns!$F$523</definedName>
    <definedName name="Err_Chk_26_Hdg" hidden="1">New_Towns!$F$791</definedName>
    <definedName name="Err_Chk_27_Hdg" hidden="1">IT!$F$394</definedName>
    <definedName name="Err_Chk_28_Hdg" hidden="1">Other!$F$268</definedName>
    <definedName name="Err_Chk_3_Hdg" hidden="1">AdHoc!$F$289</definedName>
    <definedName name="Err_Chk_30_Hdg" hidden="1">Low_Press!$F$346</definedName>
    <definedName name="Err_Chk_31_Hdg" hidden="1">AdHoc!$F$290</definedName>
    <definedName name="Err_Chk_32_Hdg" hidden="1">Medium_Press!$F$339</definedName>
    <definedName name="Err_Chk_33_Hdg" hidden="1">AdHoc!$F$565</definedName>
    <definedName name="Err_Chk_34_Hdg" hidden="1">High_Press!$F$269</definedName>
    <definedName name="Err_Chk_35_Hdg" hidden="1">AdHoc!$F$840</definedName>
    <definedName name="Err_Chk_36_Hdg" hidden="1">Dom_Meters!$F$290</definedName>
    <definedName name="Err_Chk_37_Hdg" hidden="1">Dom_Meters!$F$544</definedName>
    <definedName name="Err_Chk_38_Hdg" hidden="1">Com_Meters!$F$290</definedName>
    <definedName name="Err_Chk_39_Hdg" hidden="1">Com_Meters!$F$579</definedName>
    <definedName name="Err_Chk_4_Hdg" hidden="1">Medium_Press!$F$338</definedName>
    <definedName name="Err_Chk_40_Hdg" hidden="1">Net_Reg!$F$311</definedName>
    <definedName name="Err_Chk_41_Hdg" hidden="1">Net_Reg!$F$565</definedName>
    <definedName name="Err_Chk_42_Hdg" hidden="1">Cust_Reg!$F$290</definedName>
    <definedName name="Err_Chk_43_Hdg" hidden="1">Cust_Reg!$F$565</definedName>
    <definedName name="Err_Chk_44_Hdg" hidden="1">CP_SCADA!$F$318</definedName>
    <definedName name="Err_Chk_45_Hdg" hidden="1">CP_SCADA!$F$621</definedName>
    <definedName name="Err_Chk_46_Hdg" hidden="1">Aug!$F$304</definedName>
    <definedName name="Err_Chk_47_Hdg" hidden="1">Aug!$F$586</definedName>
    <definedName name="Err_Chk_48_Hdg" hidden="1">Cust_Conn!$F$274</definedName>
    <definedName name="Err_Chk_49_Hdg" hidden="1">Cust_Conn!$F$531</definedName>
    <definedName name="Err_Chk_5_Hdg" hidden="1">AdHoc!$F$564</definedName>
    <definedName name="Err_Chk_50_Hdg" hidden="1">Cust_Conn!$F$786</definedName>
    <definedName name="Err_Chk_51_Hdg" hidden="1">Cust_Conn!$F$1041</definedName>
    <definedName name="Err_Chk_52_Hdg" hidden="1">New_Towns!$F$269</definedName>
    <definedName name="Err_Chk_53_Hdg" hidden="1">New_Towns!$F$524</definedName>
    <definedName name="Err_Chk_54_Hdg" hidden="1">New_Towns!$F$792</definedName>
    <definedName name="Err_Chk_55_Hdg" hidden="1">IT!$F$395</definedName>
    <definedName name="Err_Chk_56_Hdg" hidden="1">Other!$F$269</definedName>
    <definedName name="Err_Chk_58_Hdg" hidden="1">Low_Press!$F$347</definedName>
    <definedName name="Err_Chk_59_Hdg" hidden="1">AdHoc!$F$291</definedName>
    <definedName name="Err_Chk_6_Hdg" hidden="1">High_Press!$F$268</definedName>
    <definedName name="Err_Chk_60_Hdg" hidden="1">Medium_Press!$F$340</definedName>
    <definedName name="Err_Chk_61_Hdg" hidden="1">AdHoc!$F$566</definedName>
    <definedName name="Err_Chk_62_Hdg" hidden="1">High_Press!$F$270</definedName>
    <definedName name="Err_Chk_63_Hdg" hidden="1">AdHoc!$F$841</definedName>
    <definedName name="Err_Chk_64_Hdg" hidden="1">Dom_Meters!$F$291</definedName>
    <definedName name="Err_Chk_65_Hdg" hidden="1">Dom_Meters!$F$545</definedName>
    <definedName name="Err_Chk_66_Hdg" hidden="1">Com_Meters!$F$291</definedName>
    <definedName name="Err_Chk_67_Hdg" hidden="1">Com_Meters!$F$580</definedName>
    <definedName name="Err_Chk_68_Hdg" hidden="1">Net_Reg!$F$312</definedName>
    <definedName name="Err_Chk_69_Hdg" hidden="1">Net_Reg!$F$566</definedName>
    <definedName name="Err_Chk_7_Hdg" hidden="1">AdHoc!$F$839</definedName>
    <definedName name="Err_Chk_70_Hdg" hidden="1">Cust_Reg!$F$291</definedName>
    <definedName name="Err_Chk_71_Hdg" hidden="1">Cust_Reg!$F$566</definedName>
    <definedName name="Err_Chk_72_Hdg" hidden="1">CP_SCADA!$F$319</definedName>
    <definedName name="Err_Chk_73_Hdg" hidden="1">CP_SCADA!$F$622</definedName>
    <definedName name="Err_Chk_74_Hdg" hidden="1">Aug!$F$305</definedName>
    <definedName name="Err_Chk_75_Hdg" hidden="1">Aug!$F$587</definedName>
    <definedName name="Err_Chk_76_Hdg" hidden="1">Cust_Conn!$F$275</definedName>
    <definedName name="Err_Chk_77_Hdg" hidden="1">Cust_Conn!$F$532</definedName>
    <definedName name="Err_Chk_78_Hdg" hidden="1">Cust_Conn!$F$787</definedName>
    <definedName name="Err_Chk_79_Hdg" hidden="1">Cust_Conn!$F$1042</definedName>
    <definedName name="Err_Chk_8_Hdg" hidden="1">Dom_Meters!$F$289</definedName>
    <definedName name="Err_Chk_80_Hdg" hidden="1">New_Towns!$F$270</definedName>
    <definedName name="Err_Chk_81_Hdg" hidden="1">New_Towns!$F$525</definedName>
    <definedName name="Err_Chk_82_Hdg" hidden="1">New_Towns!$F$793</definedName>
    <definedName name="Err_Chk_83_Hdg" hidden="1">IT!$F$396</definedName>
    <definedName name="Err_Chk_84_Hdg" hidden="1">Other!$F$270</definedName>
    <definedName name="Err_Chk_86_Hdg" hidden="1">Low_Press!$F$350</definedName>
    <definedName name="Err_Chk_87_Hdg" hidden="1">AdHoc!$F$294</definedName>
    <definedName name="Err_Chk_88_Hdg" hidden="1">Medium_Press!$F$343</definedName>
    <definedName name="Err_Chk_89_Hdg" hidden="1">AdHoc!$F$569</definedName>
    <definedName name="Err_Chk_9_Hdg" hidden="1">Dom_Meters!$F$543</definedName>
    <definedName name="Err_Chk_90_Hdg" hidden="1">High_Press!$F$273</definedName>
    <definedName name="Err_Chk_91_Hdg" hidden="1">AdHoc!$F$844</definedName>
    <definedName name="Err_Chk_92_Hdg" hidden="1">Dom_Meters!$F$294</definedName>
    <definedName name="Err_Chk_93_Hdg" hidden="1">Dom_Meters!$F$548</definedName>
    <definedName name="Err_Chk_94_Hdg" hidden="1">Com_Meters!$F$294</definedName>
    <definedName name="Err_Chk_95_Hdg" hidden="1">Com_Meters!$F$583</definedName>
    <definedName name="Err_Chk_96_Hdg" hidden="1">Net_Reg!$F$315</definedName>
    <definedName name="Err_Chk_97_Hdg" hidden="1">Net_Reg!$F$569</definedName>
    <definedName name="Err_Chk_98_Hdg" hidden="1">Cust_Reg!$F$294</definedName>
    <definedName name="Err_Chk_99_Hdg" hidden="1">Cust_Reg!$F$569</definedName>
    <definedName name="Err_Chks_Msg">Checks!$G$6</definedName>
    <definedName name="Err_Chks_Ttl_Areas">Checks!$M$174</definedName>
    <definedName name="GC_Inflation">CPI!$P$20</definedName>
    <definedName name="HL_Alt_Chk">Checks!$B$184</definedName>
    <definedName name="HL_Err_Chk">Checks!$B$4</definedName>
    <definedName name="HL_Err_Chk_1" hidden="1">'CapexSum$FY22'!$I$264</definedName>
    <definedName name="HL_Err_Chk_10" hidden="1">Com_Meters!$I$289</definedName>
    <definedName name="HL_Err_Chk_100" hidden="1">CP_SCADA!$I$322</definedName>
    <definedName name="HL_Err_Chk_101" hidden="1">CP_SCADA!$I$625</definedName>
    <definedName name="HL_Err_Chk_102" hidden="1">Aug!$I$308</definedName>
    <definedName name="HL_Err_Chk_103" hidden="1">Aug!$I$590</definedName>
    <definedName name="HL_Err_Chk_104" hidden="1">Cust_Conn!$I$278</definedName>
    <definedName name="HL_Err_Chk_105" hidden="1">Cust_Conn!$I$535</definedName>
    <definedName name="HL_Err_Chk_106" hidden="1">Cust_Conn!$I$790</definedName>
    <definedName name="HL_Err_Chk_107" hidden="1">Cust_Conn!$I$1045</definedName>
    <definedName name="HL_Err_Chk_108" hidden="1">New_Towns!$I$273</definedName>
    <definedName name="HL_Err_Chk_109" hidden="1">New_Towns!$I$528</definedName>
    <definedName name="HL_Err_Chk_11" hidden="1">Com_Meters!$I$578</definedName>
    <definedName name="HL_Err_Chk_110" hidden="1">New_Towns!$I$796</definedName>
    <definedName name="HL_Err_Chk_111" hidden="1">IT!$I$399</definedName>
    <definedName name="HL_Err_Chk_112" hidden="1">Other!$I$273</definedName>
    <definedName name="HL_Err_Chk_114" hidden="1">Low_Press!$I$351</definedName>
    <definedName name="HL_Err_Chk_115" hidden="1">AdHoc!$I$295</definedName>
    <definedName name="HL_Err_Chk_116" hidden="1">Medium_Press!$I$344</definedName>
    <definedName name="HL_Err_Chk_117" hidden="1">AdHoc!$I$570</definedName>
    <definedName name="HL_Err_Chk_118" hidden="1">High_Press!$I$274</definedName>
    <definedName name="HL_Err_Chk_119" hidden="1">AdHoc!$I$845</definedName>
    <definedName name="HL_Err_Chk_12" hidden="1">Net_Reg!$I$310</definedName>
    <definedName name="HL_Err_Chk_120" hidden="1">Dom_Meters!$I$295</definedName>
    <definedName name="HL_Err_Chk_121" hidden="1">Dom_Meters!$I$549</definedName>
    <definedName name="HL_Err_Chk_122" hidden="1">Com_Meters!$I$295</definedName>
    <definedName name="HL_Err_Chk_123" hidden="1">Com_Meters!$I$584</definedName>
    <definedName name="HL_Err_Chk_124" hidden="1">Net_Reg!$I$316</definedName>
    <definedName name="HL_Err_Chk_125" hidden="1">Net_Reg!$I$570</definedName>
    <definedName name="HL_Err_Chk_126" hidden="1">Cust_Reg!$I$295</definedName>
    <definedName name="HL_Err_Chk_127" hidden="1">Cust_Reg!$I$570</definedName>
    <definedName name="HL_Err_Chk_128" hidden="1">CP_SCADA!$I$323</definedName>
    <definedName name="HL_Err_Chk_129" hidden="1">CP_SCADA!$I$626</definedName>
    <definedName name="HL_Err_Chk_13" hidden="1">Net_Reg!$I$564</definedName>
    <definedName name="HL_Err_Chk_130" hidden="1">Aug!$I$309</definedName>
    <definedName name="HL_Err_Chk_131" hidden="1">Aug!$I$591</definedName>
    <definedName name="HL_Err_Chk_132" hidden="1">Cust_Conn!$I$279</definedName>
    <definedName name="HL_Err_Chk_133" hidden="1">Cust_Conn!$I$536</definedName>
    <definedName name="HL_Err_Chk_134" hidden="1">Cust_Conn!$I$791</definedName>
    <definedName name="HL_Err_Chk_135" hidden="1">Cust_Conn!$I$1046</definedName>
    <definedName name="HL_Err_Chk_136" hidden="1">New_Towns!$I$274</definedName>
    <definedName name="HL_Err_Chk_137" hidden="1">New_Towns!$I$529</definedName>
    <definedName name="HL_Err_Chk_138" hidden="1">New_Towns!$I$797</definedName>
    <definedName name="HL_Err_Chk_139" hidden="1">IT!$I$400</definedName>
    <definedName name="HL_Err_Chk_14" hidden="1">Cust_Reg!$I$289</definedName>
    <definedName name="HL_Err_Chk_140" hidden="1">Other!$I$274</definedName>
    <definedName name="HL_Err_Chk_142" hidden="1">Cust_Conn!$I$276</definedName>
    <definedName name="HL_Err_Chk_143" hidden="1">Low_Press!$I$348</definedName>
    <definedName name="HL_Err_Chk_144" hidden="1">AdHoc!$I$292</definedName>
    <definedName name="HL_Err_Chk_145" hidden="1">Medium_Press!$I$341</definedName>
    <definedName name="HL_Err_Chk_146" hidden="1">AdHoc!$I$567</definedName>
    <definedName name="HL_Err_Chk_147" hidden="1">High_Press!$I$271</definedName>
    <definedName name="HL_Err_Chk_148" hidden="1">AdHoc!$I$842</definedName>
    <definedName name="HL_Err_Chk_149" hidden="1">Dom_Meters!$I$292</definedName>
    <definedName name="HL_Err_Chk_15" hidden="1">Cust_Reg!$I$564</definedName>
    <definedName name="HL_Err_Chk_150" hidden="1">Dom_Meters!$I$546</definedName>
    <definedName name="HL_Err_Chk_151" hidden="1">Com_Meters!$I$292</definedName>
    <definedName name="HL_Err_Chk_152" hidden="1">Com_Meters!$I$581</definedName>
    <definedName name="HL_Err_Chk_153" hidden="1">Net_Reg!$I$313</definedName>
    <definedName name="HL_Err_Chk_154" hidden="1">Net_Reg!$I$567</definedName>
    <definedName name="HL_Err_Chk_155" hidden="1">Cust_Reg!$I$292</definedName>
    <definedName name="HL_Err_Chk_156" hidden="1">Cust_Reg!$I$567</definedName>
    <definedName name="HL_Err_Chk_157" hidden="1">CP_SCADA!$I$320</definedName>
    <definedName name="HL_Err_Chk_158" hidden="1">CP_SCADA!$I$623</definedName>
    <definedName name="HL_Err_Chk_159" hidden="1">Aug!$I$306</definedName>
    <definedName name="HL_Err_Chk_16" hidden="1">CP_SCADA!$I$317</definedName>
    <definedName name="HL_Err_Chk_160" hidden="1">Aug!$I$588</definedName>
    <definedName name="HL_Err_Chk_161" hidden="1">Cust_Conn!$I$533</definedName>
    <definedName name="HL_Err_Chk_162" hidden="1">Cust_Conn!$I$788</definedName>
    <definedName name="HL_Err_Chk_163" hidden="1">Cust_Conn!$I$1043</definedName>
    <definedName name="HL_Err_Chk_164" hidden="1">New_Towns!$I$271</definedName>
    <definedName name="HL_Err_Chk_165" hidden="1">New_Towns!$I$526</definedName>
    <definedName name="HL_Err_Chk_166" hidden="1">New_Towns!$I$794</definedName>
    <definedName name="HL_Err_Chk_167" hidden="1">IT!$I$397</definedName>
    <definedName name="HL_Err_Chk_168" hidden="1">Other!$I$271</definedName>
    <definedName name="HL_Err_Chk_17" hidden="1">CP_SCADA!$I$620</definedName>
    <definedName name="HL_Err_Chk_18" hidden="1">Aug!$I$303</definedName>
    <definedName name="HL_Err_Chk_19" hidden="1">Aug!$I$585</definedName>
    <definedName name="HL_Err_Chk_2" hidden="1">Low_Press!$I$345</definedName>
    <definedName name="HL_Err_Chk_20" hidden="1">Cust_Conn!$I$273</definedName>
    <definedName name="HL_Err_Chk_21" hidden="1">Cust_Conn!$I$530</definedName>
    <definedName name="HL_Err_Chk_22" hidden="1">Cust_Conn!$I$785</definedName>
    <definedName name="HL_Err_Chk_23" hidden="1">Cust_Conn!$I$1040</definedName>
    <definedName name="HL_Err_Chk_24" hidden="1">New_Towns!$I$268</definedName>
    <definedName name="HL_Err_Chk_25" hidden="1">New_Towns!$I$523</definedName>
    <definedName name="HL_Err_Chk_26" hidden="1">New_Towns!$I$791</definedName>
    <definedName name="HL_Err_Chk_27" hidden="1">IT!$I$394</definedName>
    <definedName name="HL_Err_Chk_28" hidden="1">Other!$I$268</definedName>
    <definedName name="HL_Err_Chk_3" hidden="1">AdHoc!$I$289</definedName>
    <definedName name="HL_Err_Chk_30" hidden="1">Low_Press!$I$346</definedName>
    <definedName name="HL_Err_Chk_31" hidden="1">AdHoc!$I$290</definedName>
    <definedName name="HL_Err_Chk_32" hidden="1">Medium_Press!$I$339</definedName>
    <definedName name="HL_Err_Chk_33" hidden="1">AdHoc!$I$565</definedName>
    <definedName name="HL_Err_Chk_34" hidden="1">High_Press!$I$269</definedName>
    <definedName name="HL_Err_Chk_35" hidden="1">AdHoc!$I$840</definedName>
    <definedName name="HL_Err_Chk_36" hidden="1">Dom_Meters!$I$290</definedName>
    <definedName name="HL_Err_Chk_37" hidden="1">Dom_Meters!$I$544</definedName>
    <definedName name="HL_Err_Chk_38" hidden="1">Com_Meters!$I$290</definedName>
    <definedName name="HL_Err_Chk_39" hidden="1">Com_Meters!$I$579</definedName>
    <definedName name="HL_Err_Chk_4" hidden="1">Medium_Press!$I$338</definedName>
    <definedName name="HL_Err_Chk_40" hidden="1">Net_Reg!$I$311</definedName>
    <definedName name="HL_Err_Chk_41" hidden="1">Net_Reg!$I$565</definedName>
    <definedName name="HL_Err_Chk_42" hidden="1">Cust_Reg!$I$290</definedName>
    <definedName name="HL_Err_Chk_43" hidden="1">Cust_Reg!$I$565</definedName>
    <definedName name="HL_Err_Chk_44" hidden="1">CP_SCADA!$I$318</definedName>
    <definedName name="HL_Err_Chk_45" hidden="1">CP_SCADA!$I$621</definedName>
    <definedName name="HL_Err_Chk_46" hidden="1">Aug!$I$304</definedName>
    <definedName name="HL_Err_Chk_47" hidden="1">Aug!$I$586</definedName>
    <definedName name="HL_Err_Chk_48" hidden="1">Cust_Conn!$I$274</definedName>
    <definedName name="HL_Err_Chk_49" hidden="1">Cust_Conn!$I$531</definedName>
    <definedName name="HL_Err_Chk_5" hidden="1">AdHoc!$I$564</definedName>
    <definedName name="HL_Err_Chk_50" hidden="1">Cust_Conn!$I$786</definedName>
    <definedName name="HL_Err_Chk_51" hidden="1">Cust_Conn!$I$1041</definedName>
    <definedName name="HL_Err_Chk_52" hidden="1">New_Towns!$I$269</definedName>
    <definedName name="HL_Err_Chk_53" hidden="1">New_Towns!$I$524</definedName>
    <definedName name="HL_Err_Chk_54" hidden="1">New_Towns!$I$792</definedName>
    <definedName name="HL_Err_Chk_55" hidden="1">IT!$I$395</definedName>
    <definedName name="HL_Err_Chk_56" hidden="1">Other!$I$269</definedName>
    <definedName name="HL_Err_Chk_58" hidden="1">Low_Press!$I$347</definedName>
    <definedName name="HL_Err_Chk_59" hidden="1">AdHoc!$I$291</definedName>
    <definedName name="HL_Err_Chk_6" hidden="1">High_Press!$I$268</definedName>
    <definedName name="HL_Err_Chk_60" hidden="1">Medium_Press!$I$340</definedName>
    <definedName name="HL_Err_Chk_61" hidden="1">AdHoc!$I$566</definedName>
    <definedName name="HL_Err_Chk_62" hidden="1">High_Press!$I$270</definedName>
    <definedName name="HL_Err_Chk_63" hidden="1">AdHoc!$I$841</definedName>
    <definedName name="HL_Err_Chk_64" hidden="1">Dom_Meters!$I$291</definedName>
    <definedName name="HL_Err_Chk_65" hidden="1">Dom_Meters!$I$545</definedName>
    <definedName name="HL_Err_Chk_66" hidden="1">Com_Meters!$I$291</definedName>
    <definedName name="HL_Err_Chk_67" hidden="1">Com_Meters!$I$580</definedName>
    <definedName name="HL_Err_Chk_68" hidden="1">Net_Reg!$I$312</definedName>
    <definedName name="HL_Err_Chk_69" hidden="1">Net_Reg!$I$566</definedName>
    <definedName name="HL_Err_Chk_7" hidden="1">AdHoc!$I$839</definedName>
    <definedName name="HL_Err_Chk_70" hidden="1">Cust_Reg!$I$291</definedName>
    <definedName name="HL_Err_Chk_71" hidden="1">Cust_Reg!$I$566</definedName>
    <definedName name="HL_Err_Chk_72" hidden="1">CP_SCADA!$I$319</definedName>
    <definedName name="HL_Err_Chk_73" hidden="1">CP_SCADA!$I$622</definedName>
    <definedName name="HL_Err_Chk_74" hidden="1">Aug!$I$305</definedName>
    <definedName name="HL_Err_Chk_75" hidden="1">Aug!$I$587</definedName>
    <definedName name="HL_Err_Chk_76" hidden="1">Cust_Conn!$I$275</definedName>
    <definedName name="HL_Err_Chk_77" hidden="1">Cust_Conn!$I$532</definedName>
    <definedName name="HL_Err_Chk_78" hidden="1">Cust_Conn!$I$787</definedName>
    <definedName name="HL_Err_Chk_79" hidden="1">Cust_Conn!$I$1042</definedName>
    <definedName name="HL_Err_Chk_8" hidden="1">Dom_Meters!$I$289</definedName>
    <definedName name="HL_Err_Chk_80" hidden="1">New_Towns!$I$270</definedName>
    <definedName name="HL_Err_Chk_81" hidden="1">New_Towns!$I$525</definedName>
    <definedName name="HL_Err_Chk_82" hidden="1">New_Towns!$I$793</definedName>
    <definedName name="HL_Err_Chk_83" hidden="1">IT!$I$396</definedName>
    <definedName name="HL_Err_Chk_84" hidden="1">Other!$I$270</definedName>
    <definedName name="HL_Err_Chk_86" hidden="1">Low_Press!$I$350</definedName>
    <definedName name="HL_Err_Chk_87" hidden="1">AdHoc!$I$294</definedName>
    <definedName name="HL_Err_Chk_88" hidden="1">Medium_Press!$I$343</definedName>
    <definedName name="HL_Err_Chk_89" hidden="1">AdHoc!$I$569</definedName>
    <definedName name="HL_Err_Chk_9" hidden="1">Dom_Meters!$I$543</definedName>
    <definedName name="HL_Err_Chk_90" hidden="1">High_Press!$I$273</definedName>
    <definedName name="HL_Err_Chk_91" hidden="1">AdHoc!$I$844</definedName>
    <definedName name="HL_Err_Chk_92" hidden="1">Dom_Meters!$I$294</definedName>
    <definedName name="HL_Err_Chk_93" hidden="1">Dom_Meters!$I$548</definedName>
    <definedName name="HL_Err_Chk_94" hidden="1">Com_Meters!$I$294</definedName>
    <definedName name="HL_Err_Chk_95" hidden="1">Com_Meters!$I$583</definedName>
    <definedName name="HL_Err_Chk_96" hidden="1">Net_Reg!$I$315</definedName>
    <definedName name="HL_Err_Chk_97" hidden="1">Net_Reg!$I$569</definedName>
    <definedName name="HL_Err_Chk_98" hidden="1">Cust_Reg!$I$294</definedName>
    <definedName name="HL_Err_Chk_99" hidden="1">Cust_Reg!$I$569</definedName>
    <definedName name="HL_Home">Overview!$B$1</definedName>
    <definedName name="HL_Sens_Chk">Checks!$B$176</definedName>
    <definedName name="HL_Sheet_Main" hidden="1">Overview!$A$1</definedName>
    <definedName name="HL_Sheet_Main_10" hidden="1">'CapexSum$Nom'!$A$1</definedName>
    <definedName name="HL_Sheet_Main_11" hidden="1">Rates!$A$1</definedName>
    <definedName name="HL_Sheet_Main_12" hidden="1">Inputs!$A$1</definedName>
    <definedName name="HL_Sheet_Main_13" hidden="1">GA!$A$1</definedName>
    <definedName name="HL_Sheet_Main_14" hidden="1">GC!$A$1</definedName>
    <definedName name="HL_Sheet_Main_15" hidden="1">Low_Press!$A$1</definedName>
    <definedName name="HL_Sheet_Main_16" hidden="1">AdHoc!$A$1</definedName>
    <definedName name="HL_Sheet_Main_17" hidden="1">Medium_Press!$A$1</definedName>
    <definedName name="HL_Sheet_Main_18" hidden="1">Outputs!$A$1</definedName>
    <definedName name="HL_Sheet_Main_19" hidden="1">'CapexSum$FY23'!$A$1</definedName>
    <definedName name="HL_Sheet_Main_2" hidden="1">Appendices!$A$1</definedName>
    <definedName name="HL_Sheet_Main_20" hidden="1">Work_Codes!$A$1</definedName>
    <definedName name="HL_Sheet_Main_21" hidden="1">'CapexSum$Nom+$FY23'!$A$1</definedName>
    <definedName name="HL_Sheet_Main_22" hidden="1">Historical!$A$1</definedName>
    <definedName name="HL_Sheet_Main_23" hidden="1">High_Press!$A$1</definedName>
    <definedName name="HL_Sheet_Main_24" hidden="1">Scenarios!$A$1</definedName>
    <definedName name="HL_Sheet_Main_26" hidden="1">OH!$A$1</definedName>
    <definedName name="HL_Sheet_Main_27" hidden="1">Dom_Meters!$A$1</definedName>
    <definedName name="HL_Sheet_Main_3" hidden="1">Checks!$A$1</definedName>
    <definedName name="HL_Sheet_Main_31" hidden="1">Com_Meters!$A$1</definedName>
    <definedName name="HL_Sheet_Main_35" hidden="1">Net_Reg!$A$1</definedName>
    <definedName name="HL_Sheet_Main_39" hidden="1">Cust_Reg!$A$1</definedName>
    <definedName name="HL_Sheet_Main_4" hidden="1">Assumptions!$A$1</definedName>
    <definedName name="HL_Sheet_Main_43" hidden="1">CP_SCADA!$A$1</definedName>
    <definedName name="HL_Sheet_Main_47" hidden="1">Aug!$A$1</definedName>
    <definedName name="HL_Sheet_Main_5" hidden="1">Time!$A$1</definedName>
    <definedName name="HL_Sheet_Main_51" hidden="1">Cust_Conn!$A$1</definedName>
    <definedName name="HL_Sheet_Main_59" hidden="1">New_Towns!$A$1</definedName>
    <definedName name="HL_Sheet_Main_6" hidden="1">Lookups!$A$1</definedName>
    <definedName name="HL_Sheet_Main_65" hidden="1">IT!$A$1</definedName>
    <definedName name="HL_Sheet_Main_67" hidden="1">Other!$A$1</definedName>
    <definedName name="HL_Sheet_Main_7" hidden="1">'CapexSum$FY22'!$A$1</definedName>
    <definedName name="HL_Sheet_Main_8" hidden="1">Global!$A$1</definedName>
    <definedName name="HL_Sheet_Main_9" hidden="1">CPI!$A$1</definedName>
    <definedName name="HL_TOC_1" hidden="1">Checks!$B$4</definedName>
    <definedName name="HL_TOC_10" hidden="1">Medium_Press!$B$23</definedName>
    <definedName name="HL_TOC_11" hidden="1">Low_Press!$B$23</definedName>
    <definedName name="HL_TOC_12" hidden="1">GC!$B$4</definedName>
    <definedName name="HL_TOC_13" hidden="1">AdHoc!$B$23</definedName>
    <definedName name="HL_TOC_14" hidden="1">Work_Codes!$B$73</definedName>
    <definedName name="HL_TOC_15" hidden="1">AdHoc!$B$298</definedName>
    <definedName name="HL_TOC_16" hidden="1">Work_Codes!$B$4</definedName>
    <definedName name="HL_TOC_17" hidden="1">Work_Codes!$B$30</definedName>
    <definedName name="HL_TOC_18" hidden="1">Work_Codes!$B$91</definedName>
    <definedName name="HL_TOC_19" hidden="1">High_Press!$B$23</definedName>
    <definedName name="HL_TOC_2" hidden="1">Checks!$B$176</definedName>
    <definedName name="HL_TOC_20" hidden="1">Work_Codes!$B$106</definedName>
    <definedName name="HL_TOC_21" hidden="1">AdHoc!$B$573</definedName>
    <definedName name="HL_TOC_22" hidden="1">Work_Codes!$B$124</definedName>
    <definedName name="HL_TOC_23" hidden="1">Dom_Meters!$B$23</definedName>
    <definedName name="HL_TOC_24" hidden="1">Work_Codes!$B$142</definedName>
    <definedName name="HL_TOC_25" hidden="1">Dom_Meters!$B$298</definedName>
    <definedName name="HL_TOC_26" hidden="1">Work_Codes!$B$157</definedName>
    <definedName name="HL_TOC_27" hidden="1">Com_Meters!$B$23</definedName>
    <definedName name="HL_TOC_28" hidden="1">Work_Codes!$B$175</definedName>
    <definedName name="HL_TOC_29" hidden="1">Com_Meters!$B$298</definedName>
    <definedName name="HL_TOC_3" hidden="1">Checks!$B$184</definedName>
    <definedName name="HL_TOC_30" hidden="1">Work_Codes!$B$195</definedName>
    <definedName name="HL_TOC_31" hidden="1">Net_Reg!$B$23</definedName>
    <definedName name="HL_TOC_32" hidden="1">Work_Codes!$B$216</definedName>
    <definedName name="HL_TOC_33" hidden="1">Net_Reg!$B$319</definedName>
    <definedName name="HL_TOC_34" hidden="1">Work_Codes!$B$231</definedName>
    <definedName name="HL_TOC_35" hidden="1">Cust_Reg!$B$23</definedName>
    <definedName name="HL_TOC_36" hidden="1">Work_Codes!$B$249</definedName>
    <definedName name="HL_TOC_37" hidden="1">Cust_Reg!$B$298</definedName>
    <definedName name="HL_TOC_38" hidden="1">Work_Codes!$B$267</definedName>
    <definedName name="HL_TOC_39" hidden="1">CP_SCADA!$B$23</definedName>
    <definedName name="HL_TOC_4" hidden="1">Time!$B$4</definedName>
    <definedName name="HL_TOC_40" hidden="1">Work_Codes!$B$289</definedName>
    <definedName name="HL_TOC_41" hidden="1">CP_SCADA!$B$326</definedName>
    <definedName name="HL_TOC_42" hidden="1">Work_Codes!$B$311</definedName>
    <definedName name="HL_TOC_43" hidden="1">Aug!$B$23</definedName>
    <definedName name="HL_TOC_44" hidden="1">Work_Codes!$B$331</definedName>
    <definedName name="HL_TOC_45" hidden="1">Aug!$B$312</definedName>
    <definedName name="HL_TOC_46" hidden="1">Work_Codes!$B$350</definedName>
    <definedName name="HL_TOC_47" hidden="1">Cust_Conn!$B$23</definedName>
    <definedName name="HL_TOC_48" hidden="1">Work_Codes!$B$370</definedName>
    <definedName name="HL_TOC_49" hidden="1">Cust_Conn!$B$282</definedName>
    <definedName name="HL_TOC_5" hidden="1">Lookups!$B$4</definedName>
    <definedName name="HL_TOC_50" hidden="1">Work_Codes!$B$388</definedName>
    <definedName name="HL_TOC_51" hidden="1">Cust_Conn!$B$539</definedName>
    <definedName name="HL_TOC_52" hidden="1">Work_Codes!$B$404</definedName>
    <definedName name="HL_TOC_53" hidden="1">Cust_Conn!$B$794</definedName>
    <definedName name="HL_TOC_54" hidden="1">Work_Codes!$B$420</definedName>
    <definedName name="HL_TOC_55" hidden="1">New_Towns!$B$23</definedName>
    <definedName name="HL_TOC_56" hidden="1">Work_Codes!$B$435</definedName>
    <definedName name="HL_TOC_57" hidden="1">New_Towns!$B$277</definedName>
    <definedName name="HL_TOC_58" hidden="1">Work_Codes!$B$451</definedName>
    <definedName name="HL_TOC_59" hidden="1">New_Towns!$B$532</definedName>
    <definedName name="HL_TOC_6" hidden="1">'CapexSum$FY22'!$B$23</definedName>
    <definedName name="HL_TOC_60" hidden="1">Work_Codes!$B$468</definedName>
    <definedName name="HL_TOC_61" hidden="1">IT!$B$23</definedName>
    <definedName name="HL_TOC_62" hidden="1">Work_Codes!$B$501</definedName>
    <definedName name="HL_TOC_63" hidden="1">Other!$B$23</definedName>
    <definedName name="HL_TOC_64" hidden="1">'CapexSum$Nom'!$B$23</definedName>
    <definedName name="HL_TOC_65" hidden="1">'CapexSum$FY23'!$B$23</definedName>
    <definedName name="HL_TOC_66" hidden="1">'CapexSum$Nom+$FY23'!$B$23</definedName>
    <definedName name="HL_TOC_68" hidden="1">OH!$B$23</definedName>
    <definedName name="HL_TOC_69" hidden="1">Historical!$B$23</definedName>
    <definedName name="HL_TOC_7" hidden="1">Rates!$B$23</definedName>
    <definedName name="HL_TOC_70" hidden="1">Scenarios!$B$23</definedName>
    <definedName name="HL_TOC_8" hidden="1">CPI!$B$4</definedName>
    <definedName name="HL_TOC_9" hidden="1">Work_Codes!$B$48</definedName>
    <definedName name="LU_Ts_Denom">Lookups!$D$74:$D$77</definedName>
    <definedName name="LU_Ts_Denom_Conv">Lookups!$D$82:$D$85</definedName>
    <definedName name="LU_Ts_Mth_Days">Lookups!$D$9:$D$39</definedName>
    <definedName name="LU_Ts_Mth_Names">Lookups!$D$44:$D$55</definedName>
    <definedName name="MdoLsk" hidden="1">"KJMs1AEjllIjOV118uBypWrBa5tvuxg1vw2uHToHRhHYiZyQPyiSVF+h/vR75EWe"</definedName>
    <definedName name="MdoStgs" hidden="1">"{ABF2B35C-EF31-43EB-9474-C4CFF84F901D}"</definedName>
    <definedName name="Model_Name">Overview!$B$2</definedName>
    <definedName name="MODMC1" hidden="1">Time!$3:$68</definedName>
    <definedName name="MODMC11" hidden="1">'CapexSum$FY22'!$3:$21</definedName>
    <definedName name="MODMC12" hidden="1">Medium_Press!$22:$345</definedName>
    <definedName name="MODMC13" hidden="1">Medium_Press!$3:$21</definedName>
    <definedName name="MODMC14" hidden="1">Work_Codes!$72:$89</definedName>
    <definedName name="MODMC15" hidden="1">AdHoc!$297:$571</definedName>
    <definedName name="MODMC16" hidden="1">Historical!$22:$162</definedName>
    <definedName name="MODMC17" hidden="1">Low_Press!$22:$352</definedName>
    <definedName name="MODMC18" hidden="1">Low_Press!$3:$21</definedName>
    <definedName name="MODMC19" hidden="1">AdHoc!$22:$296</definedName>
    <definedName name="MODMC2" hidden="1">Lookups!$3:$85</definedName>
    <definedName name="MODMC20" hidden="1">AdHoc!$3:$21</definedName>
    <definedName name="MODMC21" hidden="1">Work_Codes!$90:$104</definedName>
    <definedName name="MODMC22" hidden="1">High_Press!$22:$275</definedName>
    <definedName name="MODMC23" hidden="1">High_Press!$3:$21</definedName>
    <definedName name="MODMC24" hidden="1">Work_Codes!$105:$122</definedName>
    <definedName name="MODMC25" hidden="1">Work_Codes!$3:$28</definedName>
    <definedName name="MODMC26" hidden="1">Work_Codes!$29:$46</definedName>
    <definedName name="MODMC27" hidden="1">AdHoc!$572:$846</definedName>
    <definedName name="MODMC28" hidden="1">Historical!$3:$21</definedName>
    <definedName name="MODMC29" hidden="1">Work_Codes!$123:$140</definedName>
    <definedName name="MODMC30" hidden="1">Dom_Meters!$22:$296</definedName>
    <definedName name="MODMC31" hidden="1">Dom_Meters!$3:$21</definedName>
    <definedName name="MODMC32" hidden="1">Work_Codes!$141:$155</definedName>
    <definedName name="MODMC33" hidden="1">Dom_Meters!$297:$550</definedName>
    <definedName name="MODMC34" hidden="1">Scenarios!$22:$92</definedName>
    <definedName name="MODMC35" hidden="1">Work_Codes!$156:$173</definedName>
    <definedName name="MODMC36" hidden="1">Com_Meters!$22:$296</definedName>
    <definedName name="MODMC37" hidden="1">Com_Meters!$3:$21</definedName>
    <definedName name="MODMC38" hidden="1">Work_Codes!$174:$193</definedName>
    <definedName name="MODMC39" hidden="1">Com_Meters!$297:$585</definedName>
    <definedName name="MODMC4" hidden="1">Work_Codes!$47:$71</definedName>
    <definedName name="MODMC40" hidden="1">Scenarios!$3:$21</definedName>
    <definedName name="MODMC41" hidden="1">Work_Codes!$194:$214</definedName>
    <definedName name="MODMC42" hidden="1">Net_Reg!$22:$317</definedName>
    <definedName name="MODMC43" hidden="1">Net_Reg!$3:$21</definedName>
    <definedName name="MODMC44" hidden="1">Work_Codes!$215:$229</definedName>
    <definedName name="MODMC45" hidden="1">Net_Reg!$318:$571</definedName>
    <definedName name="MODMC47" hidden="1">Work_Codes!$230:$247</definedName>
    <definedName name="MODMC48" hidden="1">Cust_Reg!$22:$296</definedName>
    <definedName name="MODMC49" hidden="1">Cust_Reg!$3:$21</definedName>
    <definedName name="MODMC5" hidden="1">Rates!$22:$55</definedName>
    <definedName name="MODMC50" hidden="1">Work_Codes!$248:$265</definedName>
    <definedName name="MODMC51" hidden="1">Cust_Reg!$297:$571</definedName>
    <definedName name="MODMC53" hidden="1">Work_Codes!$266:$287</definedName>
    <definedName name="MODMC54" hidden="1">CP_SCADA!$22:$324</definedName>
    <definedName name="MODMC55" hidden="1">CP_SCADA!$3:$21</definedName>
    <definedName name="MODMC56" hidden="1">Work_Codes!$288:$309</definedName>
    <definedName name="MODMC57" hidden="1">CP_SCADA!$325:$627</definedName>
    <definedName name="MODMC58" hidden="1">OH!$22:$73</definedName>
    <definedName name="MODMC59" hidden="1">Work_Codes!$310:$329</definedName>
    <definedName name="MODMC6" hidden="1">Rates!$3:$21</definedName>
    <definedName name="MODMC60" hidden="1">Aug!$22:$310</definedName>
    <definedName name="MODMC61" hidden="1">Aug!$3:$21</definedName>
    <definedName name="MODMC62" hidden="1">Work_Codes!$330:$348</definedName>
    <definedName name="MODMC63" hidden="1">Aug!$311:$592</definedName>
    <definedName name="MODMC64" hidden="1">OH!$3:$21</definedName>
    <definedName name="MODMC65" hidden="1">Work_Codes!$349:$368</definedName>
    <definedName name="MODMC66" hidden="1">Cust_Conn!$22:$280</definedName>
    <definedName name="MODMC67" hidden="1">Cust_Conn!$3:$21</definedName>
    <definedName name="MODMC68" hidden="1">Work_Codes!$369:$386</definedName>
    <definedName name="MODMC69" hidden="1">Cust_Conn!$281:$537</definedName>
    <definedName name="MODMC7" hidden="1">CPI!$3:$21</definedName>
    <definedName name="MODMC71" hidden="1">Work_Codes!$387:$402</definedName>
    <definedName name="MODMC72" hidden="1">Cust_Conn!$538:$792</definedName>
    <definedName name="MODMC74" hidden="1">Work_Codes!$403:$418</definedName>
    <definedName name="MODMC75" hidden="1">Cust_Conn!$793:$1047</definedName>
    <definedName name="MODMC77" hidden="1">Work_Codes!$419:$433</definedName>
    <definedName name="MODMC78" hidden="1">New_Towns!$22:$275</definedName>
    <definedName name="MODMC79" hidden="1">New_Towns!$3:$21</definedName>
    <definedName name="MODMC8" hidden="1">'CapexSum$FY22'!$22:$269</definedName>
    <definedName name="MODMC80" hidden="1">Work_Codes!$434:$449</definedName>
    <definedName name="MODMC81" hidden="1">New_Towns!$276:$530</definedName>
    <definedName name="MODMC83" hidden="1">Work_Codes!$450:$466</definedName>
    <definedName name="MODMC84" hidden="1">New_Towns!$531:$798</definedName>
    <definedName name="MODMC86" hidden="1">Work_Codes!$467:$499</definedName>
    <definedName name="MODMC87" hidden="1">IT!$22:$401</definedName>
    <definedName name="MODMC88" hidden="1">IT!$3:$21</definedName>
    <definedName name="MODMC89" hidden="1">Work_Codes!$500:$514</definedName>
    <definedName name="MODMC9" hidden="1">GC!$3:$96</definedName>
    <definedName name="MODMC90" hidden="1">Other!$22:$275</definedName>
    <definedName name="MODMC91" hidden="1">Other!$3:$21</definedName>
    <definedName name="MODMC92" hidden="1">'CapexSum$Nom'!$22:$289</definedName>
    <definedName name="MODMC93" hidden="1">'CapexSum$Nom'!$3:$21</definedName>
    <definedName name="MODMC94" hidden="1">'CapexSum$FY23'!$22:$331</definedName>
    <definedName name="MODMC95" hidden="1">'CapexSum$FY23'!$3:$21</definedName>
    <definedName name="MODMC96" hidden="1">'CapexSum$Nom+$FY23'!$22:$245</definedName>
    <definedName name="MODMC97" hidden="1">'CapexSum$Nom+$FY23'!$3:$21</definedName>
    <definedName name="_xlnm.Print_Area" localSheetId="16">AdHoc!$B$1:$Q$296</definedName>
    <definedName name="_xlnm.Print_Area" localSheetId="32">Appendices!$B$1:$N$30</definedName>
    <definedName name="_xlnm.Print_Area" localSheetId="1">Assumptions!$B$1:$N$30</definedName>
    <definedName name="_xlnm.Print_Area" localSheetId="22">Aug!$B$1:$Q$38</definedName>
    <definedName name="_xlnm.Print_Area" localSheetId="28">'CapexSum$FY22'!$B$1:$Q$141</definedName>
    <definedName name="_xlnm.Print_Area" localSheetId="30">'CapexSum$FY23'!$B$1:$Q$66</definedName>
    <definedName name="_xlnm.Print_Area" localSheetId="29">'CapexSum$Nom'!$B$1:$Q$268</definedName>
    <definedName name="_xlnm.Print_Area" localSheetId="31">'CapexSum$Nom+$FY23'!$B$1:$Q$246</definedName>
    <definedName name="_xlnm.Print_Area" localSheetId="34">Checks!$B$1:$Q$220</definedName>
    <definedName name="_xlnm.Print_Area" localSheetId="18">Com_Meters!$B$1:$Q$38</definedName>
    <definedName name="_xlnm.Print_Area" localSheetId="21">CP_SCADA!$B$1:$Q$38</definedName>
    <definedName name="_xlnm.Print_Area" localSheetId="6">CPI!$B$1:$Q$41</definedName>
    <definedName name="_xlnm.Print_Area" localSheetId="23">Cust_Conn!$B$1:$Q$38</definedName>
    <definedName name="_xlnm.Print_Area" localSheetId="20">Cust_Reg!$B$1:$Q$38</definedName>
    <definedName name="_xlnm.Print_Area" localSheetId="17">Dom_Meters!$B$1:$Q$38</definedName>
    <definedName name="_xlnm.Print_Area" localSheetId="2">GA!$B$1:$N$30</definedName>
    <definedName name="_xlnm.Print_Area" localSheetId="5">GC!$B$1:$Q$116</definedName>
    <definedName name="_xlnm.Print_Area" localSheetId="4">Global!$B$1:$N$30</definedName>
    <definedName name="_xlnm.Print_Area" localSheetId="15">High_Press!$B$1:$Q$38</definedName>
    <definedName name="_xlnm.Print_Area" localSheetId="10">Historical!$B$1:$Q$146</definedName>
    <definedName name="_xlnm.Print_Area" localSheetId="12">Inputs!$B$1:$N$30</definedName>
    <definedName name="_xlnm.Print_Area" localSheetId="25">IT!$B$1:$Q$38</definedName>
    <definedName name="_xlnm.Print_Area" localSheetId="33">Lookups!$B$1:$G$85</definedName>
    <definedName name="_xlnm.Print_Area" localSheetId="13">Low_Press!$B$1:$Q$352</definedName>
    <definedName name="_xlnm.Print_Area" localSheetId="14">Medium_Press!$B$1:$Q$38</definedName>
    <definedName name="_xlnm.Print_Area" localSheetId="19">Net_Reg!$B$1:$Q$38</definedName>
    <definedName name="_xlnm.Print_Area" localSheetId="24">New_Towns!$B$1:$Q$38</definedName>
    <definedName name="_xlnm.Print_Area" localSheetId="7">OH!$B$1:$Q$53</definedName>
    <definedName name="_xlnm.Print_Area" localSheetId="26">Other!$B$1:$Q$38</definedName>
    <definedName name="_xlnm.Print_Area" localSheetId="27">Outputs!$B$1:$N$30</definedName>
    <definedName name="_xlnm.Print_Area" localSheetId="0">Overview!$B$1:$N$98</definedName>
    <definedName name="_xlnm.Print_Area" localSheetId="8">Rates!$B$1:$Q$59</definedName>
    <definedName name="_xlnm.Print_Area" localSheetId="11">Scenarios!$B$1:$Q$60</definedName>
    <definedName name="_xlnm.Print_Area" localSheetId="3">Time!$B$1:$Q$16</definedName>
    <definedName name="_xlnm.Print_Area" localSheetId="9">Work_Codes!$B$1:$Q$25</definedName>
    <definedName name="_xlnm.Print_Titles" localSheetId="16">AdHoc!$1:$21</definedName>
    <definedName name="_xlnm.Print_Titles" localSheetId="22">Aug!$1:$21</definedName>
    <definedName name="_xlnm.Print_Titles" localSheetId="28">'CapexSum$FY22'!$1:$21</definedName>
    <definedName name="_xlnm.Print_Titles" localSheetId="30">'CapexSum$FY23'!$1:$21</definedName>
    <definedName name="_xlnm.Print_Titles" localSheetId="29">'CapexSum$Nom'!$1:$21</definedName>
    <definedName name="_xlnm.Print_Titles" localSheetId="31">'CapexSum$Nom+$FY23'!$1:$21</definedName>
    <definedName name="_xlnm.Print_Titles" localSheetId="34">Checks!$1:$2</definedName>
    <definedName name="_xlnm.Print_Titles" localSheetId="18">Com_Meters!$1:$21</definedName>
    <definedName name="_xlnm.Print_Titles" localSheetId="21">CP_SCADA!$1:$21</definedName>
    <definedName name="_xlnm.Print_Titles" localSheetId="6">CPI!$1:$2</definedName>
    <definedName name="_xlnm.Print_Titles" localSheetId="23">Cust_Conn!$1:$21</definedName>
    <definedName name="_xlnm.Print_Titles" localSheetId="20">Cust_Reg!$1:$21</definedName>
    <definedName name="_xlnm.Print_Titles" localSheetId="17">Dom_Meters!$1:$21</definedName>
    <definedName name="_xlnm.Print_Titles" localSheetId="5">GC!$1:$2</definedName>
    <definedName name="_xlnm.Print_Titles" localSheetId="15">High_Press!$1:$21</definedName>
    <definedName name="_xlnm.Print_Titles" localSheetId="10">Historical!$1:$21</definedName>
    <definedName name="_xlnm.Print_Titles" localSheetId="25">IT!$1:$21</definedName>
    <definedName name="_xlnm.Print_Titles" localSheetId="33">Lookups!$1:$2</definedName>
    <definedName name="_xlnm.Print_Titles" localSheetId="13">Low_Press!$1:$21</definedName>
    <definedName name="_xlnm.Print_Titles" localSheetId="14">Medium_Press!$1:$21</definedName>
    <definedName name="_xlnm.Print_Titles" localSheetId="19">Net_Reg!$1:$21</definedName>
    <definedName name="_xlnm.Print_Titles" localSheetId="24">New_Towns!$1:$21</definedName>
    <definedName name="_xlnm.Print_Titles" localSheetId="7">OH!$1:$21</definedName>
    <definedName name="_xlnm.Print_Titles" localSheetId="26">Other!$1:$21</definedName>
    <definedName name="_xlnm.Print_Titles" localSheetId="0">Overview!$1:$2</definedName>
    <definedName name="_xlnm.Print_Titles" localSheetId="8">Rates!$1:$21</definedName>
    <definedName name="_xlnm.Print_Titles" localSheetId="11">Scenarios!$1:$21</definedName>
    <definedName name="_xlnm.Print_Titles" localSheetId="3">Time!$1:$2</definedName>
    <definedName name="_xlnm.Print_Titles" localSheetId="9">Work_Codes!$1:$2</definedName>
    <definedName name="Sens_Chks_Msg">Checks!$G$178</definedName>
    <definedName name="Sens_Chks_Ttl_Areas">Checks!$M$182</definedName>
    <definedName name="TBXBST" localSheetId="16" hidden="1">"|B|Ta|B||T|All|T||N|1|N||FTSCN|10|FTSCN||TSP|0|TSP|"</definedName>
    <definedName name="TBXBST" localSheetId="32" hidden="1">"|B|Sc|B|"</definedName>
    <definedName name="TBXBST" localSheetId="1" hidden="1">"|B|Sc|B|"</definedName>
    <definedName name="TBXBST" localSheetId="22" hidden="1">"|B|Ta|B||T|All|T||N|1|N||FTSCN|10|FTSCN||TSP|0|TSP|"</definedName>
    <definedName name="TBXBST" localSheetId="28" hidden="1">"|B|To|B||T|All|T||N|1|N||FTSCN|10|FTSCN||TSP|0|TSP|"</definedName>
    <definedName name="TBXBST" localSheetId="30" hidden="1">"|B|To|B||T|All|T||N|1|N||FTSCN|10|FTSCN||TSP|0|TSP|"</definedName>
    <definedName name="TBXBST" localSheetId="29" hidden="1">"|B|To|B||T|All|T||N|1|N||FTSCN|10|FTSCN||TSP|0|TSP|"</definedName>
    <definedName name="TBXBST" localSheetId="31" hidden="1">"|B|To|B||T|All|T||N|1|N||FTSCN|10|FTSCN||TSP|0|TSP|"</definedName>
    <definedName name="TBXBST" localSheetId="34" hidden="1">"|B|Bo|B|"</definedName>
    <definedName name="TBXBST" localSheetId="18" hidden="1">"|B|Ta|B||T|All|T||N|1|N||FTSCN|10|FTSCN||TSP|0|TSP|"</definedName>
    <definedName name="TBXBST" localSheetId="21" hidden="1">"|B|Ta|B||T|All|T||N|1|N||FTSCN|10|FTSCN||TSP|0|TSP|"</definedName>
    <definedName name="TBXBST" localSheetId="6" hidden="1">"|B|Ba|B|"</definedName>
    <definedName name="TBXBST" localSheetId="23" hidden="1">"|B|Ta|B||T|All|T||N|1|N||FTSCN|10|FTSCN||TSP|0|TSP|"</definedName>
    <definedName name="TBXBST" localSheetId="20" hidden="1">"|B|Ta|B||T|All|T||N|1|N||FTSCN|10|FTSCN||TSP|0|TSP|"</definedName>
    <definedName name="TBXBST" localSheetId="17" hidden="1">"|B|Ta|B||T|All|T||N|1|N||FTSCN|10|FTSCN||TSP|0|TSP|"</definedName>
    <definedName name="TBXBST" localSheetId="2" hidden="1">"|B|Ssc|B|"</definedName>
    <definedName name="TBXBST" localSheetId="5" hidden="1">"|B|Ba|B|"</definedName>
    <definedName name="TBXBST" localSheetId="4" hidden="1">"|B|Ssc|B|"</definedName>
    <definedName name="TBXBST" localSheetId="15" hidden="1">"|B|Ta|B||T|All|T||N|1|N||FTSCN|10|FTSCN||TSP|0|TSP|"</definedName>
    <definedName name="TBXBST" localSheetId="10" hidden="1">"|B|Ta|B||T|All|T||N|1|N||FTSCN|10|FTSCN||TSP|0|TSP|"</definedName>
    <definedName name="TBXBST" localSheetId="12" hidden="1">"|B|Ssc|B|"</definedName>
    <definedName name="TBXBST" localSheetId="25" hidden="1">"|B|Ta|B||T|All|T||N|1|N||FTSCN|10|FTSCN||TSP|0|TSP|"</definedName>
    <definedName name="TBXBST" localSheetId="33" hidden="1">"|B|Lu|B|"</definedName>
    <definedName name="TBXBST" localSheetId="13" hidden="1">"|B|Ta|B||T|All|T||N|1|N||FTSCN|10|FTSCN||TSP|0|TSP|"</definedName>
    <definedName name="TBXBST" localSheetId="14" hidden="1">"|B|Ta|B||T|All|T||N|1|N||FTSCN|10|FTSCN||TSP|0|TSP|"</definedName>
    <definedName name="TBXBST" localSheetId="19" hidden="1">"|B|Ta|B||T|All|T||N|1|N||FTSCN|10|FTSCN||TSP|0|TSP|"</definedName>
    <definedName name="TBXBST" localSheetId="24" hidden="1">"|B|Ta|B||T|All|T||N|1|N||FTSCN|10|FTSCN||TSP|0|TSP|"</definedName>
    <definedName name="TBXBST" localSheetId="7" hidden="1">"|B|Ta|B||T|All|T||N|1|N||FTSCN|10|FTSCN||TSP|0|TSP|"</definedName>
    <definedName name="TBXBST" localSheetId="26" hidden="1">"|B|Ta|B||T|All|T||N|1|N||FTSCN|10|FTSCN||TSP|0|TSP|"</definedName>
    <definedName name="TBXBST" localSheetId="27" hidden="1">"|B|Sc|B|"</definedName>
    <definedName name="TBXBST" localSheetId="0" hidden="1">"|B|Overview|B|"</definedName>
    <definedName name="TBXBST" localSheetId="8" hidden="1">"|B|Ta|B||T|All|T||N|1|N||FTSCN|10|FTSCN||TSP|0|TSP|"</definedName>
    <definedName name="TBXBST" localSheetId="11" hidden="1">"|B|Ta|B||T|All|T||N|1|N||FTSCN|10|FTSCN||TSP|0|TSP|"</definedName>
    <definedName name="TBXBST" localSheetId="3" hidden="1">"|B|Ba|B|"</definedName>
    <definedName name="TBXBST" localSheetId="9" hidden="1">"|B|Ba|B|"</definedName>
    <definedName name="TOC_Hdg_1" hidden="1">Checks!$B$4</definedName>
    <definedName name="TOC_Hdg_10" hidden="1">Medium_Press!$B$23</definedName>
    <definedName name="TOC_Hdg_11" hidden="1">Low_Press!$B$23</definedName>
    <definedName name="TOC_Hdg_12" hidden="1">GC!$B$4</definedName>
    <definedName name="TOC_Hdg_13" hidden="1">AdHoc!$B$23</definedName>
    <definedName name="TOC_Hdg_14" hidden="1">Work_Codes!$B$73</definedName>
    <definedName name="TOC_Hdg_15" hidden="1">AdHoc!$B$298</definedName>
    <definedName name="TOC_Hdg_16" hidden="1">Work_Codes!$B$4</definedName>
    <definedName name="TOC_Hdg_17" hidden="1">Work_Codes!$B$30</definedName>
    <definedName name="TOC_Hdg_18" hidden="1">Work_Codes!$B$91</definedName>
    <definedName name="TOC_Hdg_19" hidden="1">High_Press!$B$23</definedName>
    <definedName name="TOC_Hdg_2" hidden="1">Checks!$B$176</definedName>
    <definedName name="TOC_Hdg_20" hidden="1">Work_Codes!$B$106</definedName>
    <definedName name="TOC_Hdg_21" hidden="1">AdHoc!$B$573</definedName>
    <definedName name="TOC_Hdg_22" hidden="1">Work_Codes!$B$124</definedName>
    <definedName name="TOC_Hdg_23" hidden="1">Dom_Meters!$B$23</definedName>
    <definedName name="TOC_Hdg_24" hidden="1">Work_Codes!$B$142</definedName>
    <definedName name="TOC_Hdg_25" hidden="1">Dom_Meters!$B$298</definedName>
    <definedName name="TOC_Hdg_26" hidden="1">Work_Codes!$B$157</definedName>
    <definedName name="TOC_Hdg_27" hidden="1">Com_Meters!$B$23</definedName>
    <definedName name="TOC_Hdg_28" hidden="1">Work_Codes!$B$175</definedName>
    <definedName name="TOC_Hdg_29" hidden="1">Com_Meters!$B$298</definedName>
    <definedName name="TOC_Hdg_3" hidden="1">Checks!$B$184</definedName>
    <definedName name="TOC_Hdg_30" hidden="1">Work_Codes!$B$195</definedName>
    <definedName name="TOC_Hdg_31" hidden="1">Net_Reg!$B$23</definedName>
    <definedName name="TOC_Hdg_32" hidden="1">Work_Codes!$B$216</definedName>
    <definedName name="TOC_Hdg_33" hidden="1">Net_Reg!$B$319</definedName>
    <definedName name="TOC_Hdg_34" hidden="1">Work_Codes!$B$231</definedName>
    <definedName name="TOC_Hdg_35" hidden="1">Cust_Reg!$B$23</definedName>
    <definedName name="TOC_Hdg_36" hidden="1">Work_Codes!$B$249</definedName>
    <definedName name="TOC_Hdg_37" hidden="1">Cust_Reg!$B$298</definedName>
    <definedName name="TOC_Hdg_38" hidden="1">Work_Codes!$B$267</definedName>
    <definedName name="TOC_Hdg_39" hidden="1">CP_SCADA!$B$23</definedName>
    <definedName name="TOC_Hdg_4" hidden="1">Time!$B$4</definedName>
    <definedName name="TOC_Hdg_40" hidden="1">Work_Codes!$B$289</definedName>
    <definedName name="TOC_Hdg_41" hidden="1">CP_SCADA!$B$326</definedName>
    <definedName name="TOC_Hdg_42" hidden="1">Work_Codes!$B$311</definedName>
    <definedName name="TOC_Hdg_43" hidden="1">Aug!$B$23</definedName>
    <definedName name="TOC_Hdg_44" hidden="1">Work_Codes!$B$331</definedName>
    <definedName name="TOC_Hdg_45" hidden="1">Aug!$B$312</definedName>
    <definedName name="TOC_Hdg_46" hidden="1">Work_Codes!$B$350</definedName>
    <definedName name="TOC_Hdg_47" hidden="1">Cust_Conn!$B$23</definedName>
    <definedName name="TOC_Hdg_48" hidden="1">Work_Codes!$B$370</definedName>
    <definedName name="TOC_Hdg_49" hidden="1">Cust_Conn!$B$282</definedName>
    <definedName name="TOC_Hdg_5" hidden="1">Lookups!$B$4</definedName>
    <definedName name="TOC_Hdg_50" hidden="1">Work_Codes!$B$388</definedName>
    <definedName name="TOC_Hdg_51" hidden="1">Cust_Conn!$B$539</definedName>
    <definedName name="TOC_Hdg_52" hidden="1">Work_Codes!$B$404</definedName>
    <definedName name="TOC_Hdg_53" hidden="1">Cust_Conn!$B$794</definedName>
    <definedName name="TOC_Hdg_54" hidden="1">Work_Codes!$B$420</definedName>
    <definedName name="TOC_Hdg_55" hidden="1">New_Towns!$B$23</definedName>
    <definedName name="TOC_Hdg_56" hidden="1">Work_Codes!$B$435</definedName>
    <definedName name="TOC_Hdg_57" hidden="1">New_Towns!$B$277</definedName>
    <definedName name="TOC_Hdg_58" hidden="1">Work_Codes!$B$451</definedName>
    <definedName name="TOC_Hdg_59" hidden="1">New_Towns!$B$532</definedName>
    <definedName name="TOC_Hdg_6" hidden="1">'CapexSum$FY22'!$B$23</definedName>
    <definedName name="TOC_Hdg_60" hidden="1">Work_Codes!$B$468</definedName>
    <definedName name="TOC_Hdg_61" hidden="1">IT!$B$23</definedName>
    <definedName name="TOC_Hdg_62" hidden="1">Work_Codes!$B$501</definedName>
    <definedName name="TOC_Hdg_63" hidden="1">Other!$B$23</definedName>
    <definedName name="TOC_Hdg_64" hidden="1">'CapexSum$Nom'!$B$23</definedName>
    <definedName name="TOC_Hdg_65" hidden="1">'CapexSum$FY23'!$B$23</definedName>
    <definedName name="TOC_Hdg_66" hidden="1">'CapexSum$Nom+$FY23'!$B$23</definedName>
    <definedName name="TOC_Hdg_68" hidden="1">OH!$B$23</definedName>
    <definedName name="TOC_Hdg_69" hidden="1">Historical!$B$23</definedName>
    <definedName name="TOC_Hdg_7" hidden="1">Rates!$B$23</definedName>
    <definedName name="TOC_Hdg_70" hidden="1">Scenarios!$B$23</definedName>
    <definedName name="TOC_Hdg_8" hidden="1">CPI!$B$4</definedName>
    <definedName name="TOC_Hdg_9" hidden="1">Work_Codes!$B$48</definedName>
    <definedName name="Ts_Billion">Lookups!$D$85</definedName>
    <definedName name="Ts_Currency">Time!$H$15</definedName>
    <definedName name="Ts_Current_Reg_Term">Time!$H$12</definedName>
    <definedName name="Ts_Days_In_Wk">Lookups!$D$63</definedName>
    <definedName name="Ts_Denom_Conv_Fact">Time!$H$16</definedName>
    <definedName name="Ts_End_Date">Time!$H$14</definedName>
    <definedName name="Ts_First_Fin_Yr">Time!$H$11</definedName>
    <definedName name="Ts_Forecast_Reg_End_Date">Time!$H$31</definedName>
    <definedName name="Ts_Forecast_Reg_Start_Date">Time!$H$29</definedName>
    <definedName name="Ts_Forecast_Reg_Term">Time!$H$30</definedName>
    <definedName name="Ts_Halves_In_Yr">Lookups!$D$69</definedName>
    <definedName name="Ts_Hrs_In_Day">Lookups!$D$62</definedName>
    <definedName name="Ts_Last_Actual_Year">Time!$H$17</definedName>
    <definedName name="Ts_Million">Lookups!$D$84</definedName>
    <definedName name="Ts_Mins_In_Hr">Lookups!$D$61</definedName>
    <definedName name="Ts_Mths_In_Half">Lookups!$D$65</definedName>
    <definedName name="Ts_Mths_In_Qtr">Lookups!$D$64</definedName>
    <definedName name="Ts_Mths_In_Yr">Lookups!$D$66</definedName>
    <definedName name="Ts_Qtrs_In_Half">Lookups!$D$67</definedName>
    <definedName name="Ts_Qtrs_In_Yr">Lookups!$D$68</definedName>
    <definedName name="Ts_Secs_In_Min">Lookups!$D$60</definedName>
    <definedName name="Ts_Start_Date">Time!$H$13</definedName>
    <definedName name="Ts_Stub_End_Date">Time!$H$23</definedName>
    <definedName name="Ts_Stub_Length">Time!$H$22</definedName>
    <definedName name="Ts_Stub_Start_Date">Time!$H$21</definedName>
    <definedName name="Ts_Term">Time!$H$34</definedName>
    <definedName name="Ts_Thousand">Lookups!$D$83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F234" i="79" l="1"/>
  <c r="F220" i="79"/>
  <c r="F221" i="79"/>
  <c r="F222" i="79"/>
  <c r="F223" i="79"/>
  <c r="F224" i="79"/>
  <c r="F225" i="79"/>
  <c r="F226" i="79"/>
  <c r="F227" i="79"/>
  <c r="F228" i="79"/>
  <c r="F229" i="79"/>
  <c r="F230" i="79"/>
  <c r="F231" i="79"/>
  <c r="F232" i="79"/>
  <c r="F233" i="79"/>
  <c r="E218" i="79"/>
  <c r="F234" i="78"/>
  <c r="F220" i="78"/>
  <c r="F221" i="78"/>
  <c r="F222" i="78"/>
  <c r="F223" i="78"/>
  <c r="F224" i="78"/>
  <c r="F225" i="78"/>
  <c r="F226" i="78"/>
  <c r="F227" i="78"/>
  <c r="F228" i="78"/>
  <c r="F229" i="78"/>
  <c r="F230" i="78"/>
  <c r="F231" i="78"/>
  <c r="F232" i="78"/>
  <c r="F233" i="78"/>
  <c r="F162" i="81"/>
  <c r="F148" i="81"/>
  <c r="F149" i="81"/>
  <c r="F150" i="81"/>
  <c r="F151" i="81"/>
  <c r="F152" i="81"/>
  <c r="F153" i="81"/>
  <c r="F154" i="81"/>
  <c r="F155" i="81"/>
  <c r="F156" i="81"/>
  <c r="F157" i="81"/>
  <c r="F158" i="81"/>
  <c r="F159" i="81"/>
  <c r="F160" i="81"/>
  <c r="F161" i="81"/>
  <c r="J162" i="81"/>
  <c r="K162" i="81"/>
  <c r="L162" i="81"/>
  <c r="M162" i="81"/>
  <c r="N162" i="81"/>
  <c r="F220" i="27"/>
  <c r="F221" i="27"/>
  <c r="F222" i="27"/>
  <c r="F223" i="27"/>
  <c r="F224" i="27"/>
  <c r="F225" i="27"/>
  <c r="F226" i="27"/>
  <c r="F227" i="27"/>
  <c r="F228" i="27"/>
  <c r="F229" i="27"/>
  <c r="F230" i="27"/>
  <c r="F231" i="27"/>
  <c r="F232" i="27"/>
  <c r="F233" i="27"/>
  <c r="F234" i="27"/>
  <c r="E238" i="77"/>
  <c r="E224" i="77"/>
  <c r="E225" i="77"/>
  <c r="E226" i="77"/>
  <c r="E227" i="77"/>
  <c r="E228" i="77"/>
  <c r="E229" i="77"/>
  <c r="E230" i="77"/>
  <c r="E231" i="77"/>
  <c r="E232" i="77"/>
  <c r="E233" i="77"/>
  <c r="E234" i="77"/>
  <c r="E235" i="77"/>
  <c r="E236" i="77"/>
  <c r="E237" i="77"/>
  <c r="E364" i="75"/>
  <c r="E350" i="75"/>
  <c r="E351" i="75"/>
  <c r="E352" i="75"/>
  <c r="E353" i="75"/>
  <c r="E354" i="75"/>
  <c r="E355" i="75"/>
  <c r="E356" i="75"/>
  <c r="E357" i="75"/>
  <c r="E358" i="75"/>
  <c r="E359" i="75"/>
  <c r="E360" i="75"/>
  <c r="E361" i="75"/>
  <c r="E362" i="75"/>
  <c r="E363" i="75"/>
  <c r="E761" i="69"/>
  <c r="E747" i="69"/>
  <c r="E748" i="69"/>
  <c r="E749" i="69"/>
  <c r="E750" i="69"/>
  <c r="E751" i="69"/>
  <c r="E752" i="69"/>
  <c r="E753" i="69"/>
  <c r="E754" i="69"/>
  <c r="E755" i="69"/>
  <c r="E756" i="69"/>
  <c r="E757" i="69"/>
  <c r="E758" i="69"/>
  <c r="E759" i="69"/>
  <c r="E760" i="69"/>
  <c r="E493" i="69"/>
  <c r="E479" i="69"/>
  <c r="E480" i="69"/>
  <c r="E481" i="69"/>
  <c r="E482" i="69"/>
  <c r="E483" i="69"/>
  <c r="E484" i="69"/>
  <c r="E485" i="69"/>
  <c r="E486" i="69"/>
  <c r="E487" i="69"/>
  <c r="E488" i="69"/>
  <c r="E489" i="69"/>
  <c r="E490" i="69"/>
  <c r="E491" i="69"/>
  <c r="E492" i="69"/>
  <c r="E238" i="69"/>
  <c r="E224" i="69"/>
  <c r="E225" i="69"/>
  <c r="E226" i="69"/>
  <c r="E227" i="69"/>
  <c r="E228" i="69"/>
  <c r="E229" i="69"/>
  <c r="E230" i="69"/>
  <c r="E231" i="69"/>
  <c r="E232" i="69"/>
  <c r="E233" i="69"/>
  <c r="E234" i="69"/>
  <c r="E235" i="69"/>
  <c r="E236" i="69"/>
  <c r="E237" i="69"/>
  <c r="E755" i="61"/>
  <c r="E741" i="61"/>
  <c r="E742" i="61"/>
  <c r="E743" i="61"/>
  <c r="E744" i="61"/>
  <c r="E745" i="61"/>
  <c r="E746" i="61"/>
  <c r="E747" i="61"/>
  <c r="E748" i="61"/>
  <c r="E749" i="61"/>
  <c r="E750" i="61"/>
  <c r="E751" i="61"/>
  <c r="E752" i="61"/>
  <c r="E753" i="61"/>
  <c r="E754" i="61"/>
  <c r="E500" i="61"/>
  <c r="E486" i="61"/>
  <c r="E487" i="61"/>
  <c r="E488" i="61"/>
  <c r="E489" i="61"/>
  <c r="E490" i="61"/>
  <c r="E491" i="61"/>
  <c r="E492" i="61"/>
  <c r="E493" i="61"/>
  <c r="E494" i="61"/>
  <c r="E495" i="61"/>
  <c r="E496" i="61"/>
  <c r="E497" i="61"/>
  <c r="E498" i="61"/>
  <c r="E499" i="61"/>
  <c r="E243" i="61"/>
  <c r="E229" i="61"/>
  <c r="E230" i="61"/>
  <c r="E231" i="61"/>
  <c r="E232" i="61"/>
  <c r="E233" i="61"/>
  <c r="E234" i="61"/>
  <c r="E235" i="61"/>
  <c r="E236" i="61"/>
  <c r="E237" i="61"/>
  <c r="E238" i="61"/>
  <c r="E239" i="61"/>
  <c r="E240" i="61"/>
  <c r="E241" i="61"/>
  <c r="E242" i="61"/>
  <c r="E555" i="57"/>
  <c r="E541" i="57"/>
  <c r="E542" i="57"/>
  <c r="E543" i="57"/>
  <c r="E544" i="57"/>
  <c r="E545" i="57"/>
  <c r="E546" i="57"/>
  <c r="E547" i="57"/>
  <c r="E548" i="57"/>
  <c r="E549" i="57"/>
  <c r="E550" i="57"/>
  <c r="E551" i="57"/>
  <c r="E552" i="57"/>
  <c r="E553" i="57"/>
  <c r="E554" i="57"/>
  <c r="E273" i="57"/>
  <c r="E259" i="57"/>
  <c r="E260" i="57"/>
  <c r="E261" i="57"/>
  <c r="E262" i="57"/>
  <c r="E263" i="57"/>
  <c r="E264" i="57"/>
  <c r="E265" i="57"/>
  <c r="E266" i="57"/>
  <c r="E267" i="57"/>
  <c r="E268" i="57"/>
  <c r="E269" i="57"/>
  <c r="E270" i="57"/>
  <c r="E271" i="57"/>
  <c r="E272" i="57"/>
  <c r="E590" i="53"/>
  <c r="E576" i="53"/>
  <c r="E577" i="53"/>
  <c r="E578" i="53"/>
  <c r="E579" i="53"/>
  <c r="E580" i="53"/>
  <c r="E581" i="53"/>
  <c r="E582" i="53"/>
  <c r="E583" i="53"/>
  <c r="E584" i="53"/>
  <c r="E585" i="53"/>
  <c r="E586" i="53"/>
  <c r="E587" i="53"/>
  <c r="E588" i="53"/>
  <c r="E589" i="53"/>
  <c r="E287" i="53"/>
  <c r="E273" i="53"/>
  <c r="E274" i="53"/>
  <c r="E275" i="53"/>
  <c r="E276" i="53"/>
  <c r="E277" i="53"/>
  <c r="E278" i="53"/>
  <c r="E279" i="53"/>
  <c r="E280" i="53"/>
  <c r="E281" i="53"/>
  <c r="E282" i="53"/>
  <c r="E283" i="53"/>
  <c r="E284" i="53"/>
  <c r="E285" i="53"/>
  <c r="E286" i="53"/>
  <c r="E534" i="49"/>
  <c r="E520" i="49"/>
  <c r="E521" i="49"/>
  <c r="E522" i="49"/>
  <c r="E523" i="49"/>
  <c r="E524" i="49"/>
  <c r="E525" i="49"/>
  <c r="E526" i="49"/>
  <c r="E527" i="49"/>
  <c r="E528" i="49"/>
  <c r="E529" i="49"/>
  <c r="E530" i="49"/>
  <c r="E531" i="49"/>
  <c r="E532" i="49"/>
  <c r="E533" i="49"/>
  <c r="E259" i="49"/>
  <c r="E245" i="49"/>
  <c r="E246" i="49"/>
  <c r="E247" i="49"/>
  <c r="E248" i="49"/>
  <c r="E249" i="49"/>
  <c r="E250" i="49"/>
  <c r="E251" i="49"/>
  <c r="E252" i="49"/>
  <c r="E253" i="49"/>
  <c r="E254" i="49"/>
  <c r="E255" i="49"/>
  <c r="E256" i="49"/>
  <c r="E257" i="49"/>
  <c r="E258" i="49"/>
  <c r="E534" i="45"/>
  <c r="E520" i="45"/>
  <c r="E521" i="45"/>
  <c r="E522" i="45"/>
  <c r="E523" i="45"/>
  <c r="E524" i="45"/>
  <c r="E525" i="45"/>
  <c r="E526" i="45"/>
  <c r="E527" i="45"/>
  <c r="E528" i="45"/>
  <c r="E529" i="45"/>
  <c r="E530" i="45"/>
  <c r="E531" i="45"/>
  <c r="E532" i="45"/>
  <c r="E533" i="45"/>
  <c r="E280" i="45"/>
  <c r="E266" i="45"/>
  <c r="E267" i="45"/>
  <c r="E268" i="45"/>
  <c r="E269" i="45"/>
  <c r="E270" i="45"/>
  <c r="E271" i="45"/>
  <c r="E272" i="45"/>
  <c r="E273" i="45"/>
  <c r="E274" i="45"/>
  <c r="E275" i="45"/>
  <c r="E276" i="45"/>
  <c r="E277" i="45"/>
  <c r="E278" i="45"/>
  <c r="E279" i="45"/>
  <c r="E548" i="41"/>
  <c r="E534" i="41"/>
  <c r="E535" i="41"/>
  <c r="E536" i="41"/>
  <c r="E537" i="41"/>
  <c r="E538" i="41"/>
  <c r="E539" i="41"/>
  <c r="E540" i="41"/>
  <c r="E541" i="41"/>
  <c r="E542" i="41"/>
  <c r="E543" i="41"/>
  <c r="E544" i="41"/>
  <c r="E545" i="41"/>
  <c r="E546" i="41"/>
  <c r="E547" i="41"/>
  <c r="E259" i="41"/>
  <c r="E245" i="41"/>
  <c r="E246" i="41"/>
  <c r="E247" i="41"/>
  <c r="E248" i="41"/>
  <c r="E249" i="41"/>
  <c r="E250" i="41"/>
  <c r="E251" i="41"/>
  <c r="E252" i="41"/>
  <c r="E253" i="41"/>
  <c r="E254" i="41"/>
  <c r="E255" i="41"/>
  <c r="E256" i="41"/>
  <c r="E257" i="41"/>
  <c r="E258" i="41"/>
  <c r="E513" i="37"/>
  <c r="E499" i="37"/>
  <c r="E500" i="37"/>
  <c r="E501" i="37"/>
  <c r="E502" i="37"/>
  <c r="E503" i="37"/>
  <c r="E504" i="37"/>
  <c r="E505" i="37"/>
  <c r="E506" i="37"/>
  <c r="E507" i="37"/>
  <c r="E508" i="37"/>
  <c r="E509" i="37"/>
  <c r="E510" i="37"/>
  <c r="E511" i="37"/>
  <c r="E512" i="37"/>
  <c r="E259" i="37"/>
  <c r="E245" i="37"/>
  <c r="E246" i="37"/>
  <c r="E247" i="37"/>
  <c r="E248" i="37"/>
  <c r="E249" i="37"/>
  <c r="E250" i="37"/>
  <c r="E251" i="37"/>
  <c r="E252" i="37"/>
  <c r="E253" i="37"/>
  <c r="E254" i="37"/>
  <c r="E255" i="37"/>
  <c r="E256" i="37"/>
  <c r="E257" i="37"/>
  <c r="E258" i="37"/>
  <c r="E809" i="19"/>
  <c r="E795" i="19"/>
  <c r="E796" i="19"/>
  <c r="E797" i="19"/>
  <c r="E798" i="19"/>
  <c r="E799" i="19"/>
  <c r="E800" i="19"/>
  <c r="E801" i="19"/>
  <c r="E802" i="19"/>
  <c r="E803" i="19"/>
  <c r="E804" i="19"/>
  <c r="E805" i="19"/>
  <c r="E806" i="19"/>
  <c r="E807" i="19"/>
  <c r="E808" i="19"/>
  <c r="E238" i="33"/>
  <c r="E224" i="33"/>
  <c r="E225" i="33"/>
  <c r="E226" i="33"/>
  <c r="E227" i="33"/>
  <c r="E228" i="33"/>
  <c r="E229" i="33"/>
  <c r="E230" i="33"/>
  <c r="E231" i="33"/>
  <c r="E232" i="33"/>
  <c r="E233" i="33"/>
  <c r="E234" i="33"/>
  <c r="E235" i="33"/>
  <c r="E236" i="33"/>
  <c r="E237" i="33"/>
  <c r="E534" i="19"/>
  <c r="E520" i="19"/>
  <c r="E521" i="19"/>
  <c r="E522" i="19"/>
  <c r="E523" i="19"/>
  <c r="E524" i="19"/>
  <c r="E525" i="19"/>
  <c r="E526" i="19"/>
  <c r="E527" i="19"/>
  <c r="E528" i="19"/>
  <c r="E529" i="19"/>
  <c r="E530" i="19"/>
  <c r="E531" i="19"/>
  <c r="E532" i="19"/>
  <c r="E533" i="19"/>
  <c r="E308" i="29"/>
  <c r="E294" i="29"/>
  <c r="E295" i="29"/>
  <c r="E296" i="29"/>
  <c r="E297" i="29"/>
  <c r="E298" i="29"/>
  <c r="E299" i="29"/>
  <c r="E300" i="29"/>
  <c r="E301" i="29"/>
  <c r="E302" i="29"/>
  <c r="E303" i="29"/>
  <c r="E304" i="29"/>
  <c r="E305" i="29"/>
  <c r="E306" i="29"/>
  <c r="E307" i="29"/>
  <c r="E259" i="19"/>
  <c r="E245" i="19"/>
  <c r="E246" i="19"/>
  <c r="E247" i="19"/>
  <c r="E248" i="19"/>
  <c r="E249" i="19"/>
  <c r="E250" i="19"/>
  <c r="E251" i="19"/>
  <c r="E252" i="19"/>
  <c r="E253" i="19"/>
  <c r="E254" i="19"/>
  <c r="E255" i="19"/>
  <c r="E256" i="19"/>
  <c r="E257" i="19"/>
  <c r="E258" i="19"/>
  <c r="E315" i="18"/>
  <c r="E301" i="18"/>
  <c r="E302" i="18"/>
  <c r="E303" i="18"/>
  <c r="E304" i="18"/>
  <c r="E305" i="18"/>
  <c r="E306" i="18"/>
  <c r="E307" i="18"/>
  <c r="E308" i="18"/>
  <c r="E309" i="18"/>
  <c r="E310" i="18"/>
  <c r="E311" i="18"/>
  <c r="E312" i="18"/>
  <c r="E313" i="18"/>
  <c r="E314" i="18"/>
  <c r="E1010" i="61"/>
  <c r="E996" i="61"/>
  <c r="E997" i="61"/>
  <c r="E998" i="61"/>
  <c r="E999" i="61"/>
  <c r="E1000" i="61"/>
  <c r="E1001" i="61"/>
  <c r="E1002" i="61"/>
  <c r="E1003" i="61"/>
  <c r="E1004" i="61"/>
  <c r="E1005" i="61"/>
  <c r="E1006" i="61"/>
  <c r="E1007" i="61"/>
  <c r="E1008" i="61"/>
  <c r="E1009" i="61"/>
  <c r="K20" i="26"/>
  <c r="L20" i="26"/>
  <c r="M20" i="26"/>
  <c r="N20" i="26"/>
  <c r="O20" i="26"/>
  <c r="P20" i="26"/>
  <c r="I61" i="84" l="1"/>
  <c r="W13" i="26" l="1"/>
  <c r="V13" i="26"/>
  <c r="U13" i="26"/>
  <c r="E165" i="77" l="1"/>
  <c r="E166" i="77"/>
  <c r="E167" i="77"/>
  <c r="E168" i="77"/>
  <c r="E169" i="77"/>
  <c r="E170" i="77"/>
  <c r="E171" i="77"/>
  <c r="E172" i="77"/>
  <c r="E173" i="77"/>
  <c r="E174" i="77"/>
  <c r="E175" i="77"/>
  <c r="E176" i="77"/>
  <c r="E177" i="77"/>
  <c r="E178" i="77"/>
  <c r="E179" i="77"/>
  <c r="E180" i="77"/>
  <c r="E145" i="77"/>
  <c r="E146" i="77"/>
  <c r="E147" i="77"/>
  <c r="E148" i="77"/>
  <c r="E149" i="77"/>
  <c r="E150" i="77"/>
  <c r="E151" i="77"/>
  <c r="E152" i="77"/>
  <c r="E153" i="77"/>
  <c r="E154" i="77"/>
  <c r="E155" i="77"/>
  <c r="E156" i="77"/>
  <c r="E157" i="77"/>
  <c r="E158" i="77"/>
  <c r="E159" i="77"/>
  <c r="E160" i="77"/>
  <c r="E125" i="77"/>
  <c r="E126" i="77"/>
  <c r="E127" i="77"/>
  <c r="E128" i="77"/>
  <c r="E129" i="77"/>
  <c r="E130" i="77"/>
  <c r="E131" i="77"/>
  <c r="E132" i="77"/>
  <c r="E133" i="77"/>
  <c r="E134" i="77"/>
  <c r="E135" i="77"/>
  <c r="E136" i="77"/>
  <c r="E137" i="77"/>
  <c r="E138" i="77"/>
  <c r="E139" i="77"/>
  <c r="E140" i="77"/>
  <c r="E105" i="77"/>
  <c r="E106" i="77"/>
  <c r="E107" i="77"/>
  <c r="E108" i="77"/>
  <c r="E109" i="77"/>
  <c r="E110" i="77"/>
  <c r="E111" i="77"/>
  <c r="E112" i="77"/>
  <c r="E113" i="77"/>
  <c r="E114" i="77"/>
  <c r="E115" i="77"/>
  <c r="E116" i="77"/>
  <c r="E117" i="77"/>
  <c r="E118" i="77"/>
  <c r="E119" i="77"/>
  <c r="E120" i="77"/>
  <c r="E291" i="75"/>
  <c r="E292" i="75"/>
  <c r="E293" i="75"/>
  <c r="E294" i="75"/>
  <c r="E295" i="75"/>
  <c r="E296" i="75"/>
  <c r="E297" i="75"/>
  <c r="E298" i="75"/>
  <c r="E299" i="75"/>
  <c r="E300" i="75"/>
  <c r="E301" i="75"/>
  <c r="E302" i="75"/>
  <c r="E303" i="75"/>
  <c r="E304" i="75"/>
  <c r="E305" i="75"/>
  <c r="E306" i="75"/>
  <c r="E271" i="75"/>
  <c r="E272" i="75"/>
  <c r="E273" i="75"/>
  <c r="E274" i="75"/>
  <c r="E275" i="75"/>
  <c r="E276" i="75"/>
  <c r="E277" i="75"/>
  <c r="E278" i="75"/>
  <c r="E279" i="75"/>
  <c r="E280" i="75"/>
  <c r="E281" i="75"/>
  <c r="E282" i="75"/>
  <c r="E283" i="75"/>
  <c r="E284" i="75"/>
  <c r="E285" i="75"/>
  <c r="E286" i="75"/>
  <c r="E251" i="75"/>
  <c r="E252" i="75"/>
  <c r="E253" i="75"/>
  <c r="E254" i="75"/>
  <c r="E255" i="75"/>
  <c r="E256" i="75"/>
  <c r="E257" i="75"/>
  <c r="E258" i="75"/>
  <c r="E259" i="75"/>
  <c r="E260" i="75"/>
  <c r="E261" i="75"/>
  <c r="E262" i="75"/>
  <c r="E263" i="75"/>
  <c r="E264" i="75"/>
  <c r="E265" i="75"/>
  <c r="E266" i="75"/>
  <c r="E231" i="75"/>
  <c r="E232" i="75"/>
  <c r="E233" i="75"/>
  <c r="E234" i="75"/>
  <c r="E235" i="75"/>
  <c r="E236" i="75"/>
  <c r="E237" i="75"/>
  <c r="E238" i="75"/>
  <c r="E239" i="75"/>
  <c r="E240" i="75"/>
  <c r="E241" i="75"/>
  <c r="E242" i="75"/>
  <c r="E243" i="75"/>
  <c r="E244" i="75"/>
  <c r="E245" i="75"/>
  <c r="E246" i="75"/>
  <c r="E688" i="69"/>
  <c r="E689" i="69"/>
  <c r="E690" i="69"/>
  <c r="E691" i="69"/>
  <c r="E692" i="69"/>
  <c r="E693" i="69"/>
  <c r="E694" i="69"/>
  <c r="E695" i="69"/>
  <c r="E696" i="69"/>
  <c r="E697" i="69"/>
  <c r="E698" i="69"/>
  <c r="E699" i="69"/>
  <c r="E700" i="69"/>
  <c r="E701" i="69"/>
  <c r="E702" i="69"/>
  <c r="E703" i="69"/>
  <c r="E668" i="69"/>
  <c r="E669" i="69"/>
  <c r="E670" i="69"/>
  <c r="E671" i="69"/>
  <c r="E672" i="69"/>
  <c r="E673" i="69"/>
  <c r="E674" i="69"/>
  <c r="E675" i="69"/>
  <c r="E676" i="69"/>
  <c r="E677" i="69"/>
  <c r="E678" i="69"/>
  <c r="E679" i="69"/>
  <c r="E680" i="69"/>
  <c r="E681" i="69"/>
  <c r="E682" i="69"/>
  <c r="E683" i="69"/>
  <c r="E648" i="69"/>
  <c r="E649" i="69"/>
  <c r="E650" i="69"/>
  <c r="E651" i="69"/>
  <c r="E652" i="69"/>
  <c r="E653" i="69"/>
  <c r="E654" i="69"/>
  <c r="E655" i="69"/>
  <c r="E656" i="69"/>
  <c r="E657" i="69"/>
  <c r="E658" i="69"/>
  <c r="E659" i="69"/>
  <c r="E660" i="69"/>
  <c r="E661" i="69"/>
  <c r="E662" i="69"/>
  <c r="E663" i="69"/>
  <c r="E628" i="69"/>
  <c r="E629" i="69"/>
  <c r="E630" i="69"/>
  <c r="E631" i="69"/>
  <c r="E632" i="69"/>
  <c r="E633" i="69"/>
  <c r="E634" i="69"/>
  <c r="E635" i="69"/>
  <c r="E636" i="69"/>
  <c r="E637" i="69"/>
  <c r="E638" i="69"/>
  <c r="E639" i="69"/>
  <c r="E640" i="69"/>
  <c r="E641" i="69"/>
  <c r="E642" i="69"/>
  <c r="E643" i="69"/>
  <c r="E420" i="69"/>
  <c r="E421" i="69"/>
  <c r="E422" i="69"/>
  <c r="E423" i="69"/>
  <c r="E424" i="69"/>
  <c r="E425" i="69"/>
  <c r="E426" i="69"/>
  <c r="E427" i="69"/>
  <c r="E428" i="69"/>
  <c r="E429" i="69"/>
  <c r="E430" i="69"/>
  <c r="E431" i="69"/>
  <c r="E432" i="69"/>
  <c r="E433" i="69"/>
  <c r="E434" i="69"/>
  <c r="E435" i="69"/>
  <c r="E400" i="69"/>
  <c r="E401" i="69"/>
  <c r="E402" i="69"/>
  <c r="E403" i="69"/>
  <c r="E404" i="69"/>
  <c r="E405" i="69"/>
  <c r="E406" i="69"/>
  <c r="E407" i="69"/>
  <c r="E408" i="69"/>
  <c r="E409" i="69"/>
  <c r="E410" i="69"/>
  <c r="E411" i="69"/>
  <c r="E412" i="69"/>
  <c r="E413" i="69"/>
  <c r="E414" i="69"/>
  <c r="E415" i="69"/>
  <c r="E380" i="69"/>
  <c r="E381" i="69"/>
  <c r="E382" i="69"/>
  <c r="E383" i="69"/>
  <c r="E384" i="69"/>
  <c r="E385" i="69"/>
  <c r="E386" i="69"/>
  <c r="E387" i="69"/>
  <c r="E388" i="69"/>
  <c r="E389" i="69"/>
  <c r="E390" i="69"/>
  <c r="E391" i="69"/>
  <c r="E392" i="69"/>
  <c r="E393" i="69"/>
  <c r="E394" i="69"/>
  <c r="E395" i="69"/>
  <c r="E360" i="69"/>
  <c r="E361" i="69"/>
  <c r="E362" i="69"/>
  <c r="E363" i="69"/>
  <c r="E364" i="69"/>
  <c r="E365" i="69"/>
  <c r="E366" i="69"/>
  <c r="E367" i="69"/>
  <c r="E368" i="69"/>
  <c r="E369" i="69"/>
  <c r="E370" i="69"/>
  <c r="E371" i="69"/>
  <c r="E372" i="69"/>
  <c r="E373" i="69"/>
  <c r="E374" i="69"/>
  <c r="E375" i="69"/>
  <c r="E165" i="69"/>
  <c r="E166" i="69"/>
  <c r="E167" i="69"/>
  <c r="E168" i="69"/>
  <c r="E169" i="69"/>
  <c r="E170" i="69"/>
  <c r="E171" i="69"/>
  <c r="E172" i="69"/>
  <c r="E173" i="69"/>
  <c r="E174" i="69"/>
  <c r="E175" i="69"/>
  <c r="E176" i="69"/>
  <c r="E177" i="69"/>
  <c r="E178" i="69"/>
  <c r="E179" i="69"/>
  <c r="E180" i="69"/>
  <c r="E145" i="69"/>
  <c r="E146" i="69"/>
  <c r="E147" i="69"/>
  <c r="E148" i="69"/>
  <c r="E149" i="69"/>
  <c r="E150" i="69"/>
  <c r="E151" i="69"/>
  <c r="E152" i="69"/>
  <c r="E153" i="69"/>
  <c r="E154" i="69"/>
  <c r="E155" i="69"/>
  <c r="E156" i="69"/>
  <c r="E157" i="69"/>
  <c r="E158" i="69"/>
  <c r="E159" i="69"/>
  <c r="E160" i="69"/>
  <c r="E125" i="69"/>
  <c r="E126" i="69"/>
  <c r="E127" i="69"/>
  <c r="E128" i="69"/>
  <c r="E129" i="69"/>
  <c r="E130" i="69"/>
  <c r="E131" i="69"/>
  <c r="E132" i="69"/>
  <c r="E133" i="69"/>
  <c r="E134" i="69"/>
  <c r="E135" i="69"/>
  <c r="E136" i="69"/>
  <c r="E137" i="69"/>
  <c r="E138" i="69"/>
  <c r="E139" i="69"/>
  <c r="E140" i="69"/>
  <c r="E105" i="69"/>
  <c r="E106" i="69"/>
  <c r="E107" i="69"/>
  <c r="E108" i="69"/>
  <c r="E109" i="69"/>
  <c r="E110" i="69"/>
  <c r="E111" i="69"/>
  <c r="E112" i="69"/>
  <c r="E113" i="69"/>
  <c r="E114" i="69"/>
  <c r="E115" i="69"/>
  <c r="E116" i="69"/>
  <c r="E117" i="69"/>
  <c r="E118" i="69"/>
  <c r="E119" i="69"/>
  <c r="E120" i="69"/>
  <c r="E937" i="61"/>
  <c r="E938" i="61"/>
  <c r="E939" i="61"/>
  <c r="E940" i="61"/>
  <c r="E941" i="61"/>
  <c r="E942" i="61"/>
  <c r="E943" i="61"/>
  <c r="E944" i="61"/>
  <c r="E945" i="61"/>
  <c r="E946" i="61"/>
  <c r="E947" i="61"/>
  <c r="E948" i="61"/>
  <c r="E949" i="61"/>
  <c r="E950" i="61"/>
  <c r="E951" i="61"/>
  <c r="E952" i="61"/>
  <c r="E917" i="61"/>
  <c r="E918" i="61"/>
  <c r="E919" i="61"/>
  <c r="E920" i="61"/>
  <c r="E921" i="61"/>
  <c r="E922" i="61"/>
  <c r="E923" i="61"/>
  <c r="E924" i="61"/>
  <c r="E925" i="61"/>
  <c r="E926" i="61"/>
  <c r="E927" i="61"/>
  <c r="E928" i="61"/>
  <c r="E929" i="61"/>
  <c r="E930" i="61"/>
  <c r="E931" i="61"/>
  <c r="E932" i="61"/>
  <c r="E897" i="61"/>
  <c r="E898" i="61"/>
  <c r="E899" i="61"/>
  <c r="E900" i="61"/>
  <c r="E901" i="61"/>
  <c r="E902" i="61"/>
  <c r="E903" i="61"/>
  <c r="E904" i="61"/>
  <c r="E905" i="61"/>
  <c r="E906" i="61"/>
  <c r="E907" i="61"/>
  <c r="E908" i="61"/>
  <c r="E909" i="61"/>
  <c r="E910" i="61"/>
  <c r="E911" i="61"/>
  <c r="E912" i="61"/>
  <c r="E877" i="61"/>
  <c r="E878" i="61"/>
  <c r="E879" i="61"/>
  <c r="E880" i="61"/>
  <c r="E881" i="61"/>
  <c r="E882" i="61"/>
  <c r="E883" i="61"/>
  <c r="E884" i="61"/>
  <c r="E885" i="61"/>
  <c r="E886" i="61"/>
  <c r="E887" i="61"/>
  <c r="E888" i="61"/>
  <c r="E889" i="61"/>
  <c r="E890" i="61"/>
  <c r="E891" i="61"/>
  <c r="E892" i="61"/>
  <c r="E682" i="61"/>
  <c r="E683" i="61"/>
  <c r="E684" i="61"/>
  <c r="E685" i="61"/>
  <c r="E686" i="61"/>
  <c r="E687" i="61"/>
  <c r="E688" i="61"/>
  <c r="E689" i="61"/>
  <c r="E690" i="61"/>
  <c r="E691" i="61"/>
  <c r="E692" i="61"/>
  <c r="E693" i="61"/>
  <c r="E694" i="61"/>
  <c r="E695" i="61"/>
  <c r="E696" i="61"/>
  <c r="E697" i="61"/>
  <c r="E662" i="61"/>
  <c r="E663" i="61"/>
  <c r="E664" i="61"/>
  <c r="E665" i="61"/>
  <c r="E666" i="61"/>
  <c r="E667" i="61"/>
  <c r="E668" i="61"/>
  <c r="E669" i="61"/>
  <c r="E670" i="61"/>
  <c r="E671" i="61"/>
  <c r="E672" i="61"/>
  <c r="E673" i="61"/>
  <c r="E674" i="61"/>
  <c r="E675" i="61"/>
  <c r="E676" i="61"/>
  <c r="E677" i="61"/>
  <c r="E642" i="61"/>
  <c r="E643" i="61"/>
  <c r="E644" i="61"/>
  <c r="E645" i="61"/>
  <c r="E646" i="61"/>
  <c r="E647" i="61"/>
  <c r="E648" i="61"/>
  <c r="E649" i="61"/>
  <c r="E650" i="61"/>
  <c r="E651" i="61"/>
  <c r="E652" i="61"/>
  <c r="E653" i="61"/>
  <c r="E654" i="61"/>
  <c r="E655" i="61"/>
  <c r="E656" i="61"/>
  <c r="E657" i="61"/>
  <c r="E622" i="61"/>
  <c r="E623" i="61"/>
  <c r="E624" i="61"/>
  <c r="E625" i="61"/>
  <c r="E626" i="61"/>
  <c r="E627" i="61"/>
  <c r="E628" i="61"/>
  <c r="E629" i="61"/>
  <c r="E630" i="61"/>
  <c r="E631" i="61"/>
  <c r="E632" i="61"/>
  <c r="E633" i="61"/>
  <c r="E634" i="61"/>
  <c r="E635" i="61"/>
  <c r="E636" i="61"/>
  <c r="E637" i="61"/>
  <c r="E427" i="61"/>
  <c r="E428" i="61"/>
  <c r="E429" i="61"/>
  <c r="E430" i="61"/>
  <c r="E431" i="61"/>
  <c r="E432" i="61"/>
  <c r="E433" i="61"/>
  <c r="E434" i="61"/>
  <c r="E435" i="61"/>
  <c r="E436" i="61"/>
  <c r="E437" i="61"/>
  <c r="E438" i="61"/>
  <c r="E439" i="61"/>
  <c r="E440" i="61"/>
  <c r="E441" i="61"/>
  <c r="E442" i="61"/>
  <c r="E407" i="61"/>
  <c r="E408" i="61"/>
  <c r="E409" i="61"/>
  <c r="E410" i="61"/>
  <c r="E411" i="61"/>
  <c r="E412" i="61"/>
  <c r="E413" i="61"/>
  <c r="E414" i="61"/>
  <c r="E415" i="61"/>
  <c r="E416" i="61"/>
  <c r="E417" i="61"/>
  <c r="E418" i="61"/>
  <c r="E419" i="61"/>
  <c r="E420" i="61"/>
  <c r="E421" i="61"/>
  <c r="E422" i="61"/>
  <c r="E387" i="61"/>
  <c r="E388" i="61"/>
  <c r="E389" i="61"/>
  <c r="E390" i="61"/>
  <c r="E391" i="61"/>
  <c r="E392" i="61"/>
  <c r="E393" i="61"/>
  <c r="E394" i="61"/>
  <c r="E395" i="61"/>
  <c r="E396" i="61"/>
  <c r="E397" i="61"/>
  <c r="E398" i="61"/>
  <c r="E399" i="61"/>
  <c r="E400" i="61"/>
  <c r="E401" i="61"/>
  <c r="E402" i="61"/>
  <c r="E367" i="61"/>
  <c r="E368" i="61"/>
  <c r="E369" i="61"/>
  <c r="E370" i="61"/>
  <c r="E371" i="61"/>
  <c r="E372" i="61"/>
  <c r="E373" i="61"/>
  <c r="E374" i="61"/>
  <c r="E375" i="61"/>
  <c r="E376" i="61"/>
  <c r="E377" i="61"/>
  <c r="E378" i="61"/>
  <c r="E379" i="61"/>
  <c r="E380" i="61"/>
  <c r="E381" i="61"/>
  <c r="E382" i="61"/>
  <c r="E170" i="61"/>
  <c r="E171" i="61"/>
  <c r="E172" i="61"/>
  <c r="E173" i="61"/>
  <c r="E174" i="61"/>
  <c r="E175" i="61"/>
  <c r="E176" i="61"/>
  <c r="E177" i="61"/>
  <c r="E178" i="61"/>
  <c r="E179" i="61"/>
  <c r="E180" i="61"/>
  <c r="E181" i="61"/>
  <c r="E182" i="61"/>
  <c r="E183" i="61"/>
  <c r="E184" i="61"/>
  <c r="E185" i="61"/>
  <c r="E150" i="61"/>
  <c r="E151" i="61"/>
  <c r="E152" i="61"/>
  <c r="E153" i="61"/>
  <c r="E154" i="61"/>
  <c r="E155" i="61"/>
  <c r="E156" i="61"/>
  <c r="E157" i="61"/>
  <c r="E158" i="61"/>
  <c r="E159" i="61"/>
  <c r="E160" i="61"/>
  <c r="E161" i="61"/>
  <c r="E162" i="61"/>
  <c r="E163" i="61"/>
  <c r="E164" i="61"/>
  <c r="E165" i="61"/>
  <c r="E130" i="61"/>
  <c r="E131" i="61"/>
  <c r="E132" i="61"/>
  <c r="E133" i="61"/>
  <c r="E134" i="61"/>
  <c r="E135" i="61"/>
  <c r="E136" i="61"/>
  <c r="E137" i="61"/>
  <c r="E138" i="61"/>
  <c r="E139" i="61"/>
  <c r="E140" i="61"/>
  <c r="E141" i="61"/>
  <c r="E142" i="61"/>
  <c r="E143" i="61"/>
  <c r="E144" i="61"/>
  <c r="E145" i="61"/>
  <c r="E110" i="61"/>
  <c r="E111" i="61"/>
  <c r="E112" i="61"/>
  <c r="E113" i="61"/>
  <c r="E114" i="61"/>
  <c r="E115" i="61"/>
  <c r="E116" i="61"/>
  <c r="E117" i="61"/>
  <c r="E118" i="61"/>
  <c r="E119" i="61"/>
  <c r="E120" i="61"/>
  <c r="E121" i="61"/>
  <c r="E122" i="61"/>
  <c r="E123" i="61"/>
  <c r="E124" i="61"/>
  <c r="E125" i="61"/>
  <c r="E482" i="57"/>
  <c r="E483" i="57"/>
  <c r="E484" i="57"/>
  <c r="E485" i="57"/>
  <c r="E486" i="57"/>
  <c r="E487" i="57"/>
  <c r="E488" i="57"/>
  <c r="E489" i="57"/>
  <c r="E490" i="57"/>
  <c r="E491" i="57"/>
  <c r="E492" i="57"/>
  <c r="E493" i="57"/>
  <c r="E494" i="57"/>
  <c r="E495" i="57"/>
  <c r="E496" i="57"/>
  <c r="E497" i="57"/>
  <c r="E462" i="57"/>
  <c r="E463" i="57"/>
  <c r="E464" i="57"/>
  <c r="E465" i="57"/>
  <c r="E466" i="57"/>
  <c r="E467" i="57"/>
  <c r="E468" i="57"/>
  <c r="E469" i="57"/>
  <c r="E470" i="57"/>
  <c r="E471" i="57"/>
  <c r="E472" i="57"/>
  <c r="E473" i="57"/>
  <c r="E474" i="57"/>
  <c r="E475" i="57"/>
  <c r="E476" i="57"/>
  <c r="E477" i="57"/>
  <c r="E442" i="57"/>
  <c r="E443" i="57"/>
  <c r="E444" i="57"/>
  <c r="E445" i="57"/>
  <c r="E446" i="57"/>
  <c r="E447" i="57"/>
  <c r="E448" i="57"/>
  <c r="E449" i="57"/>
  <c r="E450" i="57"/>
  <c r="E451" i="57"/>
  <c r="E452" i="57"/>
  <c r="E453" i="57"/>
  <c r="E454" i="57"/>
  <c r="E455" i="57"/>
  <c r="E456" i="57"/>
  <c r="E457" i="57"/>
  <c r="E422" i="57"/>
  <c r="E423" i="57"/>
  <c r="E424" i="57"/>
  <c r="E425" i="57"/>
  <c r="E426" i="57"/>
  <c r="E427" i="57"/>
  <c r="E428" i="57"/>
  <c r="E429" i="57"/>
  <c r="E430" i="57"/>
  <c r="E431" i="57"/>
  <c r="E432" i="57"/>
  <c r="E433" i="57"/>
  <c r="E434" i="57"/>
  <c r="E435" i="57"/>
  <c r="E436" i="57"/>
  <c r="E437" i="57"/>
  <c r="E200" i="57"/>
  <c r="E201" i="57"/>
  <c r="E202" i="57"/>
  <c r="E203" i="57"/>
  <c r="E204" i="57"/>
  <c r="E205" i="57"/>
  <c r="E206" i="57"/>
  <c r="E207" i="57"/>
  <c r="E208" i="57"/>
  <c r="E209" i="57"/>
  <c r="E210" i="57"/>
  <c r="E211" i="57"/>
  <c r="E212" i="57"/>
  <c r="E213" i="57"/>
  <c r="E214" i="57"/>
  <c r="E215" i="57"/>
  <c r="E180" i="57"/>
  <c r="E181" i="57"/>
  <c r="E182" i="57"/>
  <c r="E183" i="57"/>
  <c r="E184" i="57"/>
  <c r="E185" i="57"/>
  <c r="E186" i="57"/>
  <c r="E187" i="57"/>
  <c r="E188" i="57"/>
  <c r="E189" i="57"/>
  <c r="E190" i="57"/>
  <c r="E191" i="57"/>
  <c r="E192" i="57"/>
  <c r="E193" i="57"/>
  <c r="E194" i="57"/>
  <c r="E195" i="57"/>
  <c r="E160" i="57"/>
  <c r="E161" i="57"/>
  <c r="E162" i="57"/>
  <c r="E163" i="57"/>
  <c r="E164" i="57"/>
  <c r="E165" i="57"/>
  <c r="E166" i="57"/>
  <c r="E167" i="57"/>
  <c r="E168" i="57"/>
  <c r="E169" i="57"/>
  <c r="E170" i="57"/>
  <c r="E171" i="57"/>
  <c r="E172" i="57"/>
  <c r="E173" i="57"/>
  <c r="E174" i="57"/>
  <c r="E175" i="57"/>
  <c r="E140" i="57"/>
  <c r="E141" i="57"/>
  <c r="E142" i="57"/>
  <c r="E143" i="57"/>
  <c r="E144" i="57"/>
  <c r="E145" i="57"/>
  <c r="E146" i="57"/>
  <c r="E147" i="57"/>
  <c r="E148" i="57"/>
  <c r="E149" i="57"/>
  <c r="E150" i="57"/>
  <c r="E151" i="57"/>
  <c r="E152" i="57"/>
  <c r="E153" i="57"/>
  <c r="E154" i="57"/>
  <c r="E155" i="57"/>
  <c r="E517" i="53"/>
  <c r="E518" i="53"/>
  <c r="E519" i="53"/>
  <c r="E520" i="53"/>
  <c r="E521" i="53"/>
  <c r="E522" i="53"/>
  <c r="E523" i="53"/>
  <c r="E524" i="53"/>
  <c r="E525" i="53"/>
  <c r="E526" i="53"/>
  <c r="E527" i="53"/>
  <c r="E528" i="53"/>
  <c r="E529" i="53"/>
  <c r="E530" i="53"/>
  <c r="E531" i="53"/>
  <c r="E532" i="53"/>
  <c r="E497" i="53"/>
  <c r="E498" i="53"/>
  <c r="E499" i="53"/>
  <c r="E500" i="53"/>
  <c r="E501" i="53"/>
  <c r="E502" i="53"/>
  <c r="E503" i="53"/>
  <c r="E504" i="53"/>
  <c r="E505" i="53"/>
  <c r="E506" i="53"/>
  <c r="E507" i="53"/>
  <c r="E508" i="53"/>
  <c r="E509" i="53"/>
  <c r="E510" i="53"/>
  <c r="E511" i="53"/>
  <c r="E512" i="53"/>
  <c r="E477" i="53"/>
  <c r="E478" i="53"/>
  <c r="E479" i="53"/>
  <c r="E480" i="53"/>
  <c r="E481" i="53"/>
  <c r="E482" i="53"/>
  <c r="E483" i="53"/>
  <c r="E484" i="53"/>
  <c r="E485" i="53"/>
  <c r="E486" i="53"/>
  <c r="E487" i="53"/>
  <c r="E488" i="53"/>
  <c r="E489" i="53"/>
  <c r="E490" i="53"/>
  <c r="E491" i="53"/>
  <c r="E492" i="53"/>
  <c r="E457" i="53"/>
  <c r="E458" i="53"/>
  <c r="E459" i="53"/>
  <c r="E460" i="53"/>
  <c r="E461" i="53"/>
  <c r="E462" i="53"/>
  <c r="E463" i="53"/>
  <c r="E464" i="53"/>
  <c r="E465" i="53"/>
  <c r="E466" i="53"/>
  <c r="E467" i="53"/>
  <c r="E468" i="53"/>
  <c r="E469" i="53"/>
  <c r="E470" i="53"/>
  <c r="E471" i="53"/>
  <c r="E472" i="53"/>
  <c r="E214" i="53"/>
  <c r="E215" i="53"/>
  <c r="E216" i="53"/>
  <c r="E217" i="53"/>
  <c r="E218" i="53"/>
  <c r="E219" i="53"/>
  <c r="E220" i="53"/>
  <c r="E221" i="53"/>
  <c r="E222" i="53"/>
  <c r="E223" i="53"/>
  <c r="E224" i="53"/>
  <c r="E225" i="53"/>
  <c r="E226" i="53"/>
  <c r="E227" i="53"/>
  <c r="E228" i="53"/>
  <c r="E229" i="53"/>
  <c r="E194" i="53"/>
  <c r="E195" i="53"/>
  <c r="E196" i="53"/>
  <c r="E197" i="53"/>
  <c r="E198" i="53"/>
  <c r="E199" i="53"/>
  <c r="E200" i="53"/>
  <c r="E201" i="53"/>
  <c r="E202" i="53"/>
  <c r="E203" i="53"/>
  <c r="E204" i="53"/>
  <c r="E205" i="53"/>
  <c r="E206" i="53"/>
  <c r="E207" i="53"/>
  <c r="E208" i="53"/>
  <c r="E209" i="53"/>
  <c r="E174" i="53"/>
  <c r="E175" i="53"/>
  <c r="E176" i="53"/>
  <c r="E177" i="53"/>
  <c r="E178" i="53"/>
  <c r="E179" i="53"/>
  <c r="E180" i="53"/>
  <c r="E181" i="53"/>
  <c r="E182" i="53"/>
  <c r="E183" i="53"/>
  <c r="E184" i="53"/>
  <c r="E185" i="53"/>
  <c r="E186" i="53"/>
  <c r="E187" i="53"/>
  <c r="E188" i="53"/>
  <c r="E189" i="53"/>
  <c r="E154" i="53"/>
  <c r="E155" i="53"/>
  <c r="E156" i="53"/>
  <c r="E157" i="53"/>
  <c r="E158" i="53"/>
  <c r="E159" i="53"/>
  <c r="E160" i="53"/>
  <c r="E161" i="53"/>
  <c r="E162" i="53"/>
  <c r="E163" i="53"/>
  <c r="E164" i="53"/>
  <c r="E165" i="53"/>
  <c r="E166" i="53"/>
  <c r="E167" i="53"/>
  <c r="E168" i="53"/>
  <c r="E169" i="53"/>
  <c r="E461" i="49"/>
  <c r="E462" i="49"/>
  <c r="E463" i="49"/>
  <c r="E464" i="49"/>
  <c r="E465" i="49"/>
  <c r="E466" i="49"/>
  <c r="E467" i="49"/>
  <c r="E468" i="49"/>
  <c r="E469" i="49"/>
  <c r="E470" i="49"/>
  <c r="E471" i="49"/>
  <c r="E472" i="49"/>
  <c r="E473" i="49"/>
  <c r="E474" i="49"/>
  <c r="E475" i="49"/>
  <c r="E476" i="49"/>
  <c r="E441" i="49"/>
  <c r="E442" i="49"/>
  <c r="E443" i="49"/>
  <c r="E444" i="49"/>
  <c r="E445" i="49"/>
  <c r="E446" i="49"/>
  <c r="E447" i="49"/>
  <c r="E448" i="49"/>
  <c r="E449" i="49"/>
  <c r="E450" i="49"/>
  <c r="E451" i="49"/>
  <c r="E452" i="49"/>
  <c r="E453" i="49"/>
  <c r="E454" i="49"/>
  <c r="E455" i="49"/>
  <c r="E456" i="49"/>
  <c r="E421" i="49"/>
  <c r="E422" i="49"/>
  <c r="E423" i="49"/>
  <c r="E424" i="49"/>
  <c r="E425" i="49"/>
  <c r="E426" i="49"/>
  <c r="E427" i="49"/>
  <c r="E428" i="49"/>
  <c r="E429" i="49"/>
  <c r="E430" i="49"/>
  <c r="E431" i="49"/>
  <c r="E432" i="49"/>
  <c r="E433" i="49"/>
  <c r="E434" i="49"/>
  <c r="E435" i="49"/>
  <c r="E436" i="49"/>
  <c r="E401" i="49"/>
  <c r="E402" i="49"/>
  <c r="E403" i="49"/>
  <c r="E404" i="49"/>
  <c r="E405" i="49"/>
  <c r="E406" i="49"/>
  <c r="E407" i="49"/>
  <c r="E408" i="49"/>
  <c r="E409" i="49"/>
  <c r="E410" i="49"/>
  <c r="E411" i="49"/>
  <c r="E412" i="49"/>
  <c r="E413" i="49"/>
  <c r="E414" i="49"/>
  <c r="E415" i="49"/>
  <c r="E416" i="49"/>
  <c r="E186" i="49"/>
  <c r="E187" i="49"/>
  <c r="E188" i="49"/>
  <c r="E189" i="49"/>
  <c r="E190" i="49"/>
  <c r="E191" i="49"/>
  <c r="E192" i="49"/>
  <c r="E193" i="49"/>
  <c r="E194" i="49"/>
  <c r="E195" i="49"/>
  <c r="E196" i="49"/>
  <c r="E197" i="49"/>
  <c r="E198" i="49"/>
  <c r="E199" i="49"/>
  <c r="E200" i="49"/>
  <c r="E201" i="49"/>
  <c r="E166" i="49"/>
  <c r="E167" i="49"/>
  <c r="E168" i="49"/>
  <c r="E169" i="49"/>
  <c r="E170" i="49"/>
  <c r="E171" i="49"/>
  <c r="E172" i="49"/>
  <c r="E173" i="49"/>
  <c r="E174" i="49"/>
  <c r="E175" i="49"/>
  <c r="E176" i="49"/>
  <c r="E177" i="49"/>
  <c r="E178" i="49"/>
  <c r="E179" i="49"/>
  <c r="E180" i="49"/>
  <c r="E181" i="49"/>
  <c r="E146" i="49"/>
  <c r="E147" i="49"/>
  <c r="E148" i="49"/>
  <c r="E149" i="49"/>
  <c r="E150" i="49"/>
  <c r="E151" i="49"/>
  <c r="E152" i="49"/>
  <c r="E153" i="49"/>
  <c r="E154" i="49"/>
  <c r="E155" i="49"/>
  <c r="E156" i="49"/>
  <c r="E157" i="49"/>
  <c r="E158" i="49"/>
  <c r="E159" i="49"/>
  <c r="E160" i="49"/>
  <c r="E161" i="49"/>
  <c r="E126" i="49"/>
  <c r="E127" i="49"/>
  <c r="E128" i="49"/>
  <c r="E129" i="49"/>
  <c r="E130" i="49"/>
  <c r="E131" i="49"/>
  <c r="E132" i="49"/>
  <c r="E133" i="49"/>
  <c r="E134" i="49"/>
  <c r="E135" i="49"/>
  <c r="E136" i="49"/>
  <c r="E137" i="49"/>
  <c r="E138" i="49"/>
  <c r="E139" i="49"/>
  <c r="E140" i="49"/>
  <c r="E141" i="49"/>
  <c r="E461" i="45"/>
  <c r="E462" i="45"/>
  <c r="E463" i="45"/>
  <c r="E464" i="45"/>
  <c r="E465" i="45"/>
  <c r="E466" i="45"/>
  <c r="E467" i="45"/>
  <c r="E468" i="45"/>
  <c r="E469" i="45"/>
  <c r="E470" i="45"/>
  <c r="E471" i="45"/>
  <c r="E472" i="45"/>
  <c r="E473" i="45"/>
  <c r="E474" i="45"/>
  <c r="E475" i="45"/>
  <c r="E476" i="45"/>
  <c r="E441" i="45"/>
  <c r="E442" i="45"/>
  <c r="E443" i="45"/>
  <c r="E444" i="45"/>
  <c r="E445" i="45"/>
  <c r="E446" i="45"/>
  <c r="E447" i="45"/>
  <c r="E448" i="45"/>
  <c r="E449" i="45"/>
  <c r="E450" i="45"/>
  <c r="E451" i="45"/>
  <c r="E452" i="45"/>
  <c r="E453" i="45"/>
  <c r="E454" i="45"/>
  <c r="E455" i="45"/>
  <c r="E456" i="45"/>
  <c r="E421" i="45"/>
  <c r="E422" i="45"/>
  <c r="E423" i="45"/>
  <c r="E424" i="45"/>
  <c r="E425" i="45"/>
  <c r="E426" i="45"/>
  <c r="E427" i="45"/>
  <c r="E428" i="45"/>
  <c r="E429" i="45"/>
  <c r="E430" i="45"/>
  <c r="E431" i="45"/>
  <c r="E432" i="45"/>
  <c r="E433" i="45"/>
  <c r="E434" i="45"/>
  <c r="E435" i="45"/>
  <c r="E436" i="45"/>
  <c r="E401" i="45"/>
  <c r="E402" i="45"/>
  <c r="E403" i="45"/>
  <c r="E404" i="45"/>
  <c r="E405" i="45"/>
  <c r="E406" i="45"/>
  <c r="E407" i="45"/>
  <c r="E408" i="45"/>
  <c r="E409" i="45"/>
  <c r="E410" i="45"/>
  <c r="E411" i="45"/>
  <c r="E412" i="45"/>
  <c r="E413" i="45"/>
  <c r="E414" i="45"/>
  <c r="E415" i="45"/>
  <c r="E416" i="45"/>
  <c r="E207" i="45"/>
  <c r="E208" i="45"/>
  <c r="E209" i="45"/>
  <c r="E210" i="45"/>
  <c r="E211" i="45"/>
  <c r="E212" i="45"/>
  <c r="E213" i="45"/>
  <c r="E214" i="45"/>
  <c r="E215" i="45"/>
  <c r="E216" i="45"/>
  <c r="E217" i="45"/>
  <c r="E218" i="45"/>
  <c r="E219" i="45"/>
  <c r="E220" i="45"/>
  <c r="E221" i="45"/>
  <c r="E222" i="45"/>
  <c r="E187" i="45"/>
  <c r="E188" i="45"/>
  <c r="E189" i="45"/>
  <c r="E190" i="45"/>
  <c r="E191" i="45"/>
  <c r="E192" i="45"/>
  <c r="E193" i="45"/>
  <c r="E194" i="45"/>
  <c r="E195" i="45"/>
  <c r="E196" i="45"/>
  <c r="E197" i="45"/>
  <c r="E198" i="45"/>
  <c r="E199" i="45"/>
  <c r="E200" i="45"/>
  <c r="E201" i="45"/>
  <c r="E202" i="45"/>
  <c r="E167" i="45"/>
  <c r="E168" i="45"/>
  <c r="E169" i="45"/>
  <c r="E170" i="45"/>
  <c r="E171" i="45"/>
  <c r="E172" i="45"/>
  <c r="E173" i="45"/>
  <c r="E174" i="45"/>
  <c r="E175" i="45"/>
  <c r="E176" i="45"/>
  <c r="E177" i="45"/>
  <c r="E178" i="45"/>
  <c r="E179" i="45"/>
  <c r="E180" i="45"/>
  <c r="E181" i="45"/>
  <c r="E182" i="45"/>
  <c r="E147" i="45"/>
  <c r="E148" i="45"/>
  <c r="E149" i="45"/>
  <c r="E150" i="45"/>
  <c r="E151" i="45"/>
  <c r="E152" i="45"/>
  <c r="E153" i="45"/>
  <c r="E154" i="45"/>
  <c r="E155" i="45"/>
  <c r="E156" i="45"/>
  <c r="E157" i="45"/>
  <c r="E158" i="45"/>
  <c r="E159" i="45"/>
  <c r="E160" i="45"/>
  <c r="E161" i="45"/>
  <c r="E162" i="45"/>
  <c r="E475" i="41"/>
  <c r="E476" i="41"/>
  <c r="E477" i="41"/>
  <c r="E478" i="41"/>
  <c r="E479" i="41"/>
  <c r="E480" i="41"/>
  <c r="E481" i="41"/>
  <c r="E482" i="41"/>
  <c r="E483" i="41"/>
  <c r="E484" i="41"/>
  <c r="E485" i="41"/>
  <c r="E486" i="41"/>
  <c r="E487" i="41"/>
  <c r="E488" i="41"/>
  <c r="E489" i="41"/>
  <c r="E490" i="41"/>
  <c r="E455" i="41"/>
  <c r="E456" i="41"/>
  <c r="E457" i="41"/>
  <c r="E458" i="41"/>
  <c r="E459" i="41"/>
  <c r="E460" i="41"/>
  <c r="E461" i="41"/>
  <c r="E462" i="41"/>
  <c r="E463" i="41"/>
  <c r="E464" i="41"/>
  <c r="E465" i="41"/>
  <c r="E466" i="41"/>
  <c r="E467" i="41"/>
  <c r="E468" i="41"/>
  <c r="E469" i="41"/>
  <c r="E470" i="41"/>
  <c r="E435" i="41"/>
  <c r="E436" i="41"/>
  <c r="E437" i="41"/>
  <c r="E438" i="41"/>
  <c r="E439" i="41"/>
  <c r="E440" i="41"/>
  <c r="E441" i="41"/>
  <c r="E442" i="41"/>
  <c r="E443" i="41"/>
  <c r="E444" i="41"/>
  <c r="E445" i="41"/>
  <c r="E446" i="41"/>
  <c r="E447" i="41"/>
  <c r="E448" i="41"/>
  <c r="E449" i="41"/>
  <c r="E450" i="41"/>
  <c r="E415" i="41"/>
  <c r="E416" i="41"/>
  <c r="E417" i="41"/>
  <c r="E418" i="41"/>
  <c r="E419" i="41"/>
  <c r="E420" i="41"/>
  <c r="E421" i="41"/>
  <c r="E422" i="41"/>
  <c r="E423" i="41"/>
  <c r="E424" i="41"/>
  <c r="E425" i="41"/>
  <c r="E426" i="41"/>
  <c r="E427" i="41"/>
  <c r="E428" i="41"/>
  <c r="E429" i="41"/>
  <c r="E430" i="41"/>
  <c r="E186" i="41"/>
  <c r="E187" i="41"/>
  <c r="E188" i="41"/>
  <c r="E189" i="41"/>
  <c r="E190" i="41"/>
  <c r="E191" i="41"/>
  <c r="E192" i="41"/>
  <c r="E193" i="41"/>
  <c r="E194" i="41"/>
  <c r="E195" i="41"/>
  <c r="E196" i="41"/>
  <c r="E197" i="41"/>
  <c r="E198" i="41"/>
  <c r="E199" i="41"/>
  <c r="E200" i="41"/>
  <c r="E201" i="41"/>
  <c r="E166" i="41"/>
  <c r="E167" i="41"/>
  <c r="E168" i="41"/>
  <c r="E169" i="41"/>
  <c r="E170" i="41"/>
  <c r="E171" i="41"/>
  <c r="E172" i="41"/>
  <c r="E173" i="41"/>
  <c r="E174" i="41"/>
  <c r="E175" i="41"/>
  <c r="E176" i="41"/>
  <c r="E177" i="41"/>
  <c r="E178" i="41"/>
  <c r="E179" i="41"/>
  <c r="E180" i="41"/>
  <c r="E181" i="41"/>
  <c r="E146" i="41"/>
  <c r="E147" i="41"/>
  <c r="E148" i="41"/>
  <c r="E149" i="41"/>
  <c r="E150" i="41"/>
  <c r="E151" i="41"/>
  <c r="E152" i="41"/>
  <c r="E153" i="41"/>
  <c r="E154" i="41"/>
  <c r="E155" i="41"/>
  <c r="E156" i="41"/>
  <c r="E157" i="41"/>
  <c r="E158" i="41"/>
  <c r="E159" i="41"/>
  <c r="E160" i="41"/>
  <c r="E161" i="41"/>
  <c r="E126" i="41"/>
  <c r="E127" i="41"/>
  <c r="E128" i="41"/>
  <c r="E129" i="41"/>
  <c r="E130" i="41"/>
  <c r="E131" i="41"/>
  <c r="E132" i="41"/>
  <c r="E133" i="41"/>
  <c r="E134" i="41"/>
  <c r="E135" i="41"/>
  <c r="E136" i="41"/>
  <c r="E137" i="41"/>
  <c r="E138" i="41"/>
  <c r="E139" i="41"/>
  <c r="E140" i="41"/>
  <c r="E141" i="41"/>
  <c r="E440" i="37"/>
  <c r="E441" i="37"/>
  <c r="E442" i="37"/>
  <c r="E443" i="37"/>
  <c r="E444" i="37"/>
  <c r="E445" i="37"/>
  <c r="E446" i="37"/>
  <c r="E447" i="37"/>
  <c r="E448" i="37"/>
  <c r="E449" i="37"/>
  <c r="E450" i="37"/>
  <c r="E451" i="37"/>
  <c r="E452" i="37"/>
  <c r="E453" i="37"/>
  <c r="E454" i="37"/>
  <c r="E455" i="37"/>
  <c r="E420" i="37"/>
  <c r="E421" i="37"/>
  <c r="E422" i="37"/>
  <c r="E423" i="37"/>
  <c r="E424" i="37"/>
  <c r="E425" i="37"/>
  <c r="E426" i="37"/>
  <c r="E427" i="37"/>
  <c r="E428" i="37"/>
  <c r="E429" i="37"/>
  <c r="E430" i="37"/>
  <c r="E431" i="37"/>
  <c r="E432" i="37"/>
  <c r="E433" i="37"/>
  <c r="E434" i="37"/>
  <c r="E435" i="37"/>
  <c r="E400" i="37"/>
  <c r="E401" i="37"/>
  <c r="E402" i="37"/>
  <c r="E403" i="37"/>
  <c r="E404" i="37"/>
  <c r="E405" i="37"/>
  <c r="E406" i="37"/>
  <c r="E407" i="37"/>
  <c r="E408" i="37"/>
  <c r="E409" i="37"/>
  <c r="E410" i="37"/>
  <c r="E411" i="37"/>
  <c r="E412" i="37"/>
  <c r="E413" i="37"/>
  <c r="E414" i="37"/>
  <c r="E415" i="37"/>
  <c r="E380" i="37"/>
  <c r="E381" i="37"/>
  <c r="E382" i="37"/>
  <c r="E383" i="37"/>
  <c r="E384" i="37"/>
  <c r="E385" i="37"/>
  <c r="E386" i="37"/>
  <c r="E387" i="37"/>
  <c r="E388" i="37"/>
  <c r="E389" i="37"/>
  <c r="E390" i="37"/>
  <c r="E391" i="37"/>
  <c r="E392" i="37"/>
  <c r="E393" i="37"/>
  <c r="E394" i="37"/>
  <c r="E395" i="37"/>
  <c r="E186" i="37"/>
  <c r="E187" i="37"/>
  <c r="E188" i="37"/>
  <c r="E189" i="37"/>
  <c r="E190" i="37"/>
  <c r="E191" i="37"/>
  <c r="E192" i="37"/>
  <c r="E193" i="37"/>
  <c r="E194" i="37"/>
  <c r="E195" i="37"/>
  <c r="E196" i="37"/>
  <c r="E197" i="37"/>
  <c r="E198" i="37"/>
  <c r="E199" i="37"/>
  <c r="E200" i="37"/>
  <c r="E201" i="37"/>
  <c r="E166" i="37"/>
  <c r="E167" i="37"/>
  <c r="E168" i="37"/>
  <c r="E169" i="37"/>
  <c r="E170" i="37"/>
  <c r="E171" i="37"/>
  <c r="E172" i="37"/>
  <c r="E173" i="37"/>
  <c r="E174" i="37"/>
  <c r="E175" i="37"/>
  <c r="E176" i="37"/>
  <c r="E177" i="37"/>
  <c r="E178" i="37"/>
  <c r="E179" i="37"/>
  <c r="E180" i="37"/>
  <c r="E181" i="37"/>
  <c r="E146" i="37"/>
  <c r="E147" i="37"/>
  <c r="E148" i="37"/>
  <c r="E149" i="37"/>
  <c r="E150" i="37"/>
  <c r="E151" i="37"/>
  <c r="E152" i="37"/>
  <c r="E153" i="37"/>
  <c r="E154" i="37"/>
  <c r="E155" i="37"/>
  <c r="E156" i="37"/>
  <c r="E157" i="37"/>
  <c r="E158" i="37"/>
  <c r="E159" i="37"/>
  <c r="E160" i="37"/>
  <c r="E161" i="37"/>
  <c r="E126" i="37"/>
  <c r="E127" i="37"/>
  <c r="E128" i="37"/>
  <c r="E129" i="37"/>
  <c r="E130" i="37"/>
  <c r="E131" i="37"/>
  <c r="E132" i="37"/>
  <c r="E133" i="37"/>
  <c r="E134" i="37"/>
  <c r="E135" i="37"/>
  <c r="E136" i="37"/>
  <c r="E137" i="37"/>
  <c r="E138" i="37"/>
  <c r="E139" i="37"/>
  <c r="E140" i="37"/>
  <c r="E141" i="37"/>
  <c r="E736" i="19"/>
  <c r="E737" i="19"/>
  <c r="E738" i="19"/>
  <c r="E739" i="19"/>
  <c r="E740" i="19"/>
  <c r="E741" i="19"/>
  <c r="E742" i="19"/>
  <c r="E743" i="19"/>
  <c r="E744" i="19"/>
  <c r="E745" i="19"/>
  <c r="E746" i="19"/>
  <c r="E747" i="19"/>
  <c r="E748" i="19"/>
  <c r="E749" i="19"/>
  <c r="E750" i="19"/>
  <c r="E751" i="19"/>
  <c r="E716" i="19"/>
  <c r="E717" i="19"/>
  <c r="E718" i="19"/>
  <c r="E719" i="19"/>
  <c r="E720" i="19"/>
  <c r="E721" i="19"/>
  <c r="E722" i="19"/>
  <c r="E723" i="19"/>
  <c r="E724" i="19"/>
  <c r="E725" i="19"/>
  <c r="E726" i="19"/>
  <c r="E727" i="19"/>
  <c r="E728" i="19"/>
  <c r="E729" i="19"/>
  <c r="E730" i="19"/>
  <c r="E731" i="19"/>
  <c r="E696" i="19"/>
  <c r="E697" i="19"/>
  <c r="E698" i="19"/>
  <c r="E699" i="19"/>
  <c r="E700" i="19"/>
  <c r="E701" i="19"/>
  <c r="E702" i="19"/>
  <c r="E703" i="19"/>
  <c r="E704" i="19"/>
  <c r="E705" i="19"/>
  <c r="E706" i="19"/>
  <c r="E707" i="19"/>
  <c r="E708" i="19"/>
  <c r="E709" i="19"/>
  <c r="E710" i="19"/>
  <c r="E711" i="19"/>
  <c r="E676" i="19"/>
  <c r="E677" i="19"/>
  <c r="E678" i="19"/>
  <c r="E679" i="19"/>
  <c r="E680" i="19"/>
  <c r="E681" i="19"/>
  <c r="E682" i="19"/>
  <c r="E683" i="19"/>
  <c r="E684" i="19"/>
  <c r="E685" i="19"/>
  <c r="E686" i="19"/>
  <c r="E687" i="19"/>
  <c r="E688" i="19"/>
  <c r="E689" i="19"/>
  <c r="E690" i="19"/>
  <c r="E691" i="19"/>
  <c r="E165" i="33"/>
  <c r="E166" i="33"/>
  <c r="E167" i="33"/>
  <c r="E168" i="33"/>
  <c r="E169" i="33"/>
  <c r="E170" i="33"/>
  <c r="E171" i="33"/>
  <c r="E172" i="33"/>
  <c r="E173" i="33"/>
  <c r="E174" i="33"/>
  <c r="E175" i="33"/>
  <c r="E176" i="33"/>
  <c r="E177" i="33"/>
  <c r="E178" i="33"/>
  <c r="E179" i="33"/>
  <c r="E180" i="33"/>
  <c r="E145" i="33"/>
  <c r="E146" i="33"/>
  <c r="E147" i="33"/>
  <c r="E148" i="33"/>
  <c r="E149" i="33"/>
  <c r="E150" i="33"/>
  <c r="E151" i="33"/>
  <c r="E152" i="33"/>
  <c r="E153" i="33"/>
  <c r="E154" i="33"/>
  <c r="E155" i="33"/>
  <c r="E156" i="33"/>
  <c r="E157" i="33"/>
  <c r="E158" i="33"/>
  <c r="E159" i="33"/>
  <c r="E160" i="33"/>
  <c r="E125" i="33"/>
  <c r="E126" i="33"/>
  <c r="E127" i="33"/>
  <c r="E128" i="33"/>
  <c r="E129" i="33"/>
  <c r="E130" i="33"/>
  <c r="E131" i="33"/>
  <c r="E132" i="33"/>
  <c r="E133" i="33"/>
  <c r="E134" i="33"/>
  <c r="E135" i="33"/>
  <c r="E136" i="33"/>
  <c r="E137" i="33"/>
  <c r="E138" i="33"/>
  <c r="E139" i="33"/>
  <c r="E140" i="33"/>
  <c r="E105" i="33"/>
  <c r="E106" i="33"/>
  <c r="E107" i="33"/>
  <c r="E108" i="33"/>
  <c r="E109" i="33"/>
  <c r="E110" i="33"/>
  <c r="E111" i="33"/>
  <c r="E112" i="33"/>
  <c r="E113" i="33"/>
  <c r="E114" i="33"/>
  <c r="E115" i="33"/>
  <c r="E116" i="33"/>
  <c r="E117" i="33"/>
  <c r="E118" i="33"/>
  <c r="E119" i="33"/>
  <c r="E120" i="33"/>
  <c r="E461" i="19"/>
  <c r="E462" i="19"/>
  <c r="E463" i="19"/>
  <c r="E464" i="19"/>
  <c r="E465" i="19"/>
  <c r="E466" i="19"/>
  <c r="E467" i="19"/>
  <c r="E468" i="19"/>
  <c r="E469" i="19"/>
  <c r="E470" i="19"/>
  <c r="E471" i="19"/>
  <c r="E472" i="19"/>
  <c r="E473" i="19"/>
  <c r="E474" i="19"/>
  <c r="E475" i="19"/>
  <c r="E476" i="19"/>
  <c r="E441" i="19"/>
  <c r="E442" i="19"/>
  <c r="E443" i="19"/>
  <c r="E444" i="19"/>
  <c r="E445" i="19"/>
  <c r="E446" i="19"/>
  <c r="E447" i="19"/>
  <c r="E448" i="19"/>
  <c r="E449" i="19"/>
  <c r="E450" i="19"/>
  <c r="E451" i="19"/>
  <c r="E452" i="19"/>
  <c r="E453" i="19"/>
  <c r="E454" i="19"/>
  <c r="E455" i="19"/>
  <c r="E456" i="19"/>
  <c r="E421" i="19"/>
  <c r="E422" i="19"/>
  <c r="E423" i="19"/>
  <c r="E424" i="19"/>
  <c r="E425" i="19"/>
  <c r="E426" i="19"/>
  <c r="E427" i="19"/>
  <c r="E428" i="19"/>
  <c r="E429" i="19"/>
  <c r="E430" i="19"/>
  <c r="E431" i="19"/>
  <c r="E432" i="19"/>
  <c r="E433" i="19"/>
  <c r="E434" i="19"/>
  <c r="E435" i="19"/>
  <c r="E436" i="19"/>
  <c r="E401" i="19"/>
  <c r="E402" i="19"/>
  <c r="E403" i="19"/>
  <c r="E404" i="19"/>
  <c r="E405" i="19"/>
  <c r="E406" i="19"/>
  <c r="E407" i="19"/>
  <c r="E408" i="19"/>
  <c r="E409" i="19"/>
  <c r="E410" i="19"/>
  <c r="E411" i="19"/>
  <c r="E412" i="19"/>
  <c r="E413" i="19"/>
  <c r="E414" i="19"/>
  <c r="E415" i="19"/>
  <c r="E416" i="19"/>
  <c r="E235" i="29"/>
  <c r="E236" i="29"/>
  <c r="E237" i="29"/>
  <c r="E238" i="29"/>
  <c r="E239" i="29"/>
  <c r="E240" i="29"/>
  <c r="E241" i="29"/>
  <c r="E242" i="29"/>
  <c r="E243" i="29"/>
  <c r="E244" i="29"/>
  <c r="E245" i="29"/>
  <c r="E246" i="29"/>
  <c r="E247" i="29"/>
  <c r="E248" i="29"/>
  <c r="E249" i="29"/>
  <c r="E250" i="29"/>
  <c r="E215" i="29"/>
  <c r="E216" i="29"/>
  <c r="E217" i="29"/>
  <c r="E218" i="29"/>
  <c r="E219" i="29"/>
  <c r="E220" i="29"/>
  <c r="E221" i="29"/>
  <c r="E222" i="29"/>
  <c r="E223" i="29"/>
  <c r="E224" i="29"/>
  <c r="E225" i="29"/>
  <c r="E226" i="29"/>
  <c r="E227" i="29"/>
  <c r="E228" i="29"/>
  <c r="E229" i="29"/>
  <c r="E230" i="29"/>
  <c r="E195" i="29"/>
  <c r="E196" i="29"/>
  <c r="E197" i="29"/>
  <c r="E198" i="29"/>
  <c r="E199" i="29"/>
  <c r="E200" i="29"/>
  <c r="E201" i="29"/>
  <c r="E202" i="29"/>
  <c r="E203" i="29"/>
  <c r="E204" i="29"/>
  <c r="E205" i="29"/>
  <c r="E206" i="29"/>
  <c r="E207" i="29"/>
  <c r="E208" i="29"/>
  <c r="E209" i="29"/>
  <c r="E210" i="29"/>
  <c r="E175" i="29"/>
  <c r="E176" i="29"/>
  <c r="E177" i="29"/>
  <c r="E178" i="29"/>
  <c r="E179" i="29"/>
  <c r="E180" i="29"/>
  <c r="E181" i="29"/>
  <c r="E182" i="29"/>
  <c r="E183" i="29"/>
  <c r="E184" i="29"/>
  <c r="E185" i="29"/>
  <c r="E186" i="29"/>
  <c r="E187" i="29"/>
  <c r="E188" i="29"/>
  <c r="E189" i="29"/>
  <c r="E190" i="29"/>
  <c r="E186" i="19"/>
  <c r="E187" i="19"/>
  <c r="E188" i="19"/>
  <c r="E189" i="19"/>
  <c r="E190" i="19"/>
  <c r="E191" i="19"/>
  <c r="E192" i="19"/>
  <c r="E193" i="19"/>
  <c r="E194" i="19"/>
  <c r="E195" i="19"/>
  <c r="E196" i="19"/>
  <c r="E197" i="19"/>
  <c r="E198" i="19"/>
  <c r="E199" i="19"/>
  <c r="E200" i="19"/>
  <c r="E201" i="19"/>
  <c r="E166" i="19"/>
  <c r="E167" i="19"/>
  <c r="E168" i="19"/>
  <c r="E169" i="19"/>
  <c r="E170" i="19"/>
  <c r="E171" i="19"/>
  <c r="E172" i="19"/>
  <c r="E173" i="19"/>
  <c r="E174" i="19"/>
  <c r="E175" i="19"/>
  <c r="E176" i="19"/>
  <c r="E177" i="19"/>
  <c r="E178" i="19"/>
  <c r="E179" i="19"/>
  <c r="E180" i="19"/>
  <c r="E181" i="19"/>
  <c r="E146" i="19"/>
  <c r="E147" i="19"/>
  <c r="E148" i="19"/>
  <c r="E149" i="19"/>
  <c r="E150" i="19"/>
  <c r="E151" i="19"/>
  <c r="E152" i="19"/>
  <c r="E153" i="19"/>
  <c r="E154" i="19"/>
  <c r="E155" i="19"/>
  <c r="E156" i="19"/>
  <c r="E157" i="19"/>
  <c r="E158" i="19"/>
  <c r="E159" i="19"/>
  <c r="E160" i="19"/>
  <c r="E161" i="19"/>
  <c r="E126" i="19"/>
  <c r="E127" i="19"/>
  <c r="E128" i="19"/>
  <c r="E129" i="19"/>
  <c r="E130" i="19"/>
  <c r="E131" i="19"/>
  <c r="E132" i="19"/>
  <c r="E133" i="19"/>
  <c r="E134" i="19"/>
  <c r="E135" i="19"/>
  <c r="E136" i="19"/>
  <c r="E137" i="19"/>
  <c r="E138" i="19"/>
  <c r="E139" i="19"/>
  <c r="E140" i="19"/>
  <c r="E141" i="19"/>
  <c r="E242" i="18"/>
  <c r="E243" i="18"/>
  <c r="E244" i="18"/>
  <c r="E245" i="18"/>
  <c r="E246" i="18"/>
  <c r="E247" i="18"/>
  <c r="E248" i="18"/>
  <c r="E249" i="18"/>
  <c r="E250" i="18"/>
  <c r="E251" i="18"/>
  <c r="E252" i="18"/>
  <c r="E253" i="18"/>
  <c r="E254" i="18"/>
  <c r="E255" i="18"/>
  <c r="E256" i="18"/>
  <c r="E257" i="18"/>
  <c r="E222" i="18"/>
  <c r="E223" i="18"/>
  <c r="E224" i="18"/>
  <c r="E225" i="18"/>
  <c r="E226" i="18"/>
  <c r="E227" i="18"/>
  <c r="E228" i="18"/>
  <c r="E229" i="18"/>
  <c r="E230" i="18"/>
  <c r="E231" i="18"/>
  <c r="E232" i="18"/>
  <c r="E233" i="18"/>
  <c r="E234" i="18"/>
  <c r="E235" i="18"/>
  <c r="E236" i="18"/>
  <c r="E237" i="18"/>
  <c r="E202" i="18"/>
  <c r="E203" i="18"/>
  <c r="E204" i="18"/>
  <c r="E205" i="18"/>
  <c r="E206" i="18"/>
  <c r="E207" i="18"/>
  <c r="E208" i="18"/>
  <c r="E209" i="18"/>
  <c r="E210" i="18"/>
  <c r="E211" i="18"/>
  <c r="E212" i="18"/>
  <c r="E213" i="18"/>
  <c r="E214" i="18"/>
  <c r="E215" i="18"/>
  <c r="E216" i="18"/>
  <c r="E217" i="18"/>
  <c r="E182" i="18"/>
  <c r="E183" i="18"/>
  <c r="E184" i="18"/>
  <c r="E185" i="18"/>
  <c r="E186" i="18"/>
  <c r="E187" i="18"/>
  <c r="E188" i="18"/>
  <c r="E189" i="18"/>
  <c r="E190" i="18"/>
  <c r="E191" i="18"/>
  <c r="E192" i="18"/>
  <c r="E193" i="18"/>
  <c r="E194" i="18"/>
  <c r="E195" i="18"/>
  <c r="E196" i="18"/>
  <c r="E197" i="18"/>
  <c r="N105" i="81"/>
  <c r="N65" i="81"/>
  <c r="N69" i="81"/>
  <c r="N70" i="81"/>
  <c r="N71" i="81"/>
  <c r="N72" i="81"/>
  <c r="N73" i="81"/>
  <c r="N74" i="81"/>
  <c r="N75" i="81"/>
  <c r="N76" i="81"/>
  <c r="N77" i="81"/>
  <c r="N78" i="81"/>
  <c r="N79" i="81"/>
  <c r="N80" i="81"/>
  <c r="J81" i="81"/>
  <c r="K81" i="81"/>
  <c r="L81" i="81"/>
  <c r="M81" i="81"/>
  <c r="N81" i="81"/>
  <c r="J82" i="81"/>
  <c r="K82" i="81"/>
  <c r="L82" i="81"/>
  <c r="M82" i="81"/>
  <c r="N82" i="81"/>
  <c r="J83" i="81"/>
  <c r="K83" i="81"/>
  <c r="L83" i="81"/>
  <c r="M83" i="81"/>
  <c r="N83" i="81"/>
  <c r="J84" i="81"/>
  <c r="K84" i="81"/>
  <c r="L84" i="81"/>
  <c r="M84" i="81"/>
  <c r="N84" i="81"/>
  <c r="N45" i="81"/>
  <c r="F121" i="80"/>
  <c r="F122" i="80"/>
  <c r="F123" i="80"/>
  <c r="F124" i="80"/>
  <c r="F125" i="80"/>
  <c r="F126" i="80"/>
  <c r="F127" i="80"/>
  <c r="F128" i="80"/>
  <c r="F129" i="80"/>
  <c r="F130" i="80"/>
  <c r="F131" i="80"/>
  <c r="F132" i="80"/>
  <c r="F133" i="80"/>
  <c r="F134" i="80"/>
  <c r="F135" i="80"/>
  <c r="F136" i="80"/>
  <c r="F101" i="80"/>
  <c r="F102" i="80"/>
  <c r="F103" i="80"/>
  <c r="F104" i="80"/>
  <c r="F105" i="80"/>
  <c r="F106" i="80"/>
  <c r="F107" i="80"/>
  <c r="F108" i="80"/>
  <c r="F109" i="80"/>
  <c r="F110" i="80"/>
  <c r="F111" i="80"/>
  <c r="F112" i="80"/>
  <c r="F113" i="80"/>
  <c r="F114" i="80"/>
  <c r="F115" i="80"/>
  <c r="F116" i="80"/>
  <c r="F161" i="79"/>
  <c r="F162" i="79"/>
  <c r="F163" i="79"/>
  <c r="F164" i="79"/>
  <c r="F165" i="79"/>
  <c r="F166" i="79"/>
  <c r="F167" i="79"/>
  <c r="F168" i="79"/>
  <c r="F169" i="79"/>
  <c r="F170" i="79"/>
  <c r="F171" i="79"/>
  <c r="F172" i="79"/>
  <c r="F173" i="79"/>
  <c r="F174" i="79"/>
  <c r="F175" i="79"/>
  <c r="F176" i="79"/>
  <c r="F141" i="79"/>
  <c r="F142" i="79"/>
  <c r="F143" i="79"/>
  <c r="F144" i="79"/>
  <c r="F145" i="79"/>
  <c r="F146" i="79"/>
  <c r="F147" i="79"/>
  <c r="F148" i="79"/>
  <c r="F149" i="79"/>
  <c r="F150" i="79"/>
  <c r="F151" i="79"/>
  <c r="F152" i="79"/>
  <c r="F153" i="79"/>
  <c r="F154" i="79"/>
  <c r="F155" i="79"/>
  <c r="F156" i="79"/>
  <c r="F121" i="79"/>
  <c r="F122" i="79"/>
  <c r="F123" i="79"/>
  <c r="F124" i="79"/>
  <c r="F125" i="79"/>
  <c r="F126" i="79"/>
  <c r="F127" i="79"/>
  <c r="F128" i="79"/>
  <c r="F129" i="79"/>
  <c r="F130" i="79"/>
  <c r="F131" i="79"/>
  <c r="F132" i="79"/>
  <c r="F133" i="79"/>
  <c r="F134" i="79"/>
  <c r="F135" i="79"/>
  <c r="F136" i="79"/>
  <c r="F101" i="79"/>
  <c r="F102" i="79"/>
  <c r="F103" i="79"/>
  <c r="F104" i="79"/>
  <c r="F105" i="79"/>
  <c r="F106" i="79"/>
  <c r="F107" i="79"/>
  <c r="F108" i="79"/>
  <c r="F109" i="79"/>
  <c r="F110" i="79"/>
  <c r="F111" i="79"/>
  <c r="F112" i="79"/>
  <c r="F113" i="79"/>
  <c r="F114" i="79"/>
  <c r="F115" i="79"/>
  <c r="F116" i="79"/>
  <c r="F161" i="78"/>
  <c r="F162" i="78"/>
  <c r="F163" i="78"/>
  <c r="F164" i="78"/>
  <c r="F165" i="78"/>
  <c r="F166" i="78"/>
  <c r="F167" i="78"/>
  <c r="F168" i="78"/>
  <c r="F169" i="78"/>
  <c r="F170" i="78"/>
  <c r="F171" i="78"/>
  <c r="F172" i="78"/>
  <c r="F173" i="78"/>
  <c r="F174" i="78"/>
  <c r="F175" i="78"/>
  <c r="F176" i="78"/>
  <c r="F141" i="78"/>
  <c r="F142" i="78"/>
  <c r="F143" i="78"/>
  <c r="F144" i="78"/>
  <c r="F145" i="78"/>
  <c r="F146" i="78"/>
  <c r="F147" i="78"/>
  <c r="F148" i="78"/>
  <c r="F149" i="78"/>
  <c r="F150" i="78"/>
  <c r="F151" i="78"/>
  <c r="F152" i="78"/>
  <c r="F153" i="78"/>
  <c r="F154" i="78"/>
  <c r="F155" i="78"/>
  <c r="F156" i="78"/>
  <c r="F121" i="78"/>
  <c r="F122" i="78"/>
  <c r="F123" i="78"/>
  <c r="F124" i="78"/>
  <c r="F125" i="78"/>
  <c r="F126" i="78"/>
  <c r="F127" i="78"/>
  <c r="F128" i="78"/>
  <c r="F129" i="78"/>
  <c r="F130" i="78"/>
  <c r="F131" i="78"/>
  <c r="F132" i="78"/>
  <c r="F133" i="78"/>
  <c r="F134" i="78"/>
  <c r="F135" i="78"/>
  <c r="F136" i="78"/>
  <c r="F101" i="78"/>
  <c r="F102" i="78"/>
  <c r="F103" i="78"/>
  <c r="F104" i="78"/>
  <c r="F105" i="78"/>
  <c r="F106" i="78"/>
  <c r="F107" i="78"/>
  <c r="F108" i="78"/>
  <c r="F109" i="78"/>
  <c r="F110" i="78"/>
  <c r="F111" i="78"/>
  <c r="F112" i="78"/>
  <c r="F113" i="78"/>
  <c r="F114" i="78"/>
  <c r="F115" i="78"/>
  <c r="F116" i="78"/>
  <c r="F161" i="27"/>
  <c r="F162" i="27"/>
  <c r="F163" i="27"/>
  <c r="F164" i="27"/>
  <c r="F165" i="27"/>
  <c r="F166" i="27"/>
  <c r="F167" i="27"/>
  <c r="F168" i="27"/>
  <c r="F169" i="27"/>
  <c r="F170" i="27"/>
  <c r="F171" i="27"/>
  <c r="F172" i="27"/>
  <c r="F173" i="27"/>
  <c r="F174" i="27"/>
  <c r="F175" i="27"/>
  <c r="F176" i="27"/>
  <c r="F141" i="27"/>
  <c r="F142" i="27"/>
  <c r="F143" i="27"/>
  <c r="F144" i="27"/>
  <c r="F145" i="27"/>
  <c r="F146" i="27"/>
  <c r="F147" i="27"/>
  <c r="F148" i="27"/>
  <c r="F149" i="27"/>
  <c r="F150" i="27"/>
  <c r="F151" i="27"/>
  <c r="F152" i="27"/>
  <c r="F153" i="27"/>
  <c r="F154" i="27"/>
  <c r="F155" i="27"/>
  <c r="F156" i="27"/>
  <c r="F121" i="27"/>
  <c r="F122" i="27"/>
  <c r="F123" i="27"/>
  <c r="F124" i="27"/>
  <c r="F125" i="27"/>
  <c r="F126" i="27"/>
  <c r="F127" i="27"/>
  <c r="F128" i="27"/>
  <c r="F129" i="27"/>
  <c r="F130" i="27"/>
  <c r="F131" i="27"/>
  <c r="F132" i="27"/>
  <c r="F133" i="27"/>
  <c r="F134" i="27"/>
  <c r="F135" i="27"/>
  <c r="F136" i="27"/>
  <c r="F101" i="27"/>
  <c r="F102" i="27"/>
  <c r="F103" i="27"/>
  <c r="F104" i="27"/>
  <c r="F105" i="27"/>
  <c r="F106" i="27"/>
  <c r="F107" i="27"/>
  <c r="F108" i="27"/>
  <c r="F109" i="27"/>
  <c r="F110" i="27"/>
  <c r="F111" i="27"/>
  <c r="F112" i="27"/>
  <c r="F113" i="27"/>
  <c r="F114" i="27"/>
  <c r="F115" i="27"/>
  <c r="F116" i="27"/>
  <c r="F89" i="81"/>
  <c r="F90" i="81"/>
  <c r="F91" i="81"/>
  <c r="F92" i="81"/>
  <c r="F93" i="81"/>
  <c r="F94" i="81"/>
  <c r="F95" i="81"/>
  <c r="F96" i="81"/>
  <c r="F97" i="81"/>
  <c r="F98" i="81"/>
  <c r="F99" i="81"/>
  <c r="F100" i="81"/>
  <c r="F101" i="81"/>
  <c r="F102" i="81"/>
  <c r="F103" i="81"/>
  <c r="F104" i="81"/>
  <c r="F69" i="81"/>
  <c r="F70" i="81"/>
  <c r="F71" i="81"/>
  <c r="F72" i="81"/>
  <c r="F73" i="81"/>
  <c r="F74" i="81"/>
  <c r="F75" i="81"/>
  <c r="F76" i="81"/>
  <c r="F77" i="81"/>
  <c r="F78" i="81"/>
  <c r="F79" i="81"/>
  <c r="F80" i="81"/>
  <c r="F81" i="81"/>
  <c r="F82" i="81"/>
  <c r="F83" i="81"/>
  <c r="F84" i="81"/>
  <c r="F49" i="81"/>
  <c r="F50" i="81"/>
  <c r="F51" i="81"/>
  <c r="F52" i="81"/>
  <c r="F53" i="81"/>
  <c r="F54" i="81"/>
  <c r="F55" i="81"/>
  <c r="F56" i="81"/>
  <c r="F57" i="81"/>
  <c r="F58" i="81"/>
  <c r="F59" i="81"/>
  <c r="F60" i="81"/>
  <c r="F61" i="81"/>
  <c r="F62" i="81"/>
  <c r="F63" i="81"/>
  <c r="F64" i="81"/>
  <c r="F29" i="81"/>
  <c r="F30" i="81"/>
  <c r="F31" i="81"/>
  <c r="F32" i="81"/>
  <c r="F33" i="81"/>
  <c r="F34" i="81"/>
  <c r="F35" i="81"/>
  <c r="F36" i="81"/>
  <c r="F37" i="81"/>
  <c r="F38" i="81"/>
  <c r="F39" i="81"/>
  <c r="F40" i="81"/>
  <c r="F41" i="81"/>
  <c r="F42" i="81"/>
  <c r="F43" i="81"/>
  <c r="F44" i="81"/>
  <c r="N85" i="81" l="1"/>
  <c r="F73" i="84" l="1"/>
  <c r="F72" i="84"/>
  <c r="F69" i="84"/>
  <c r="F68" i="84"/>
  <c r="F65" i="84"/>
  <c r="F64" i="84"/>
  <c r="F59" i="84"/>
  <c r="F58" i="84"/>
  <c r="F50" i="84"/>
  <c r="F49" i="84"/>
  <c r="F46" i="84"/>
  <c r="F45" i="84"/>
  <c r="F41" i="84" l="1"/>
  <c r="F40" i="84"/>
  <c r="F36" i="84"/>
  <c r="F37" i="84"/>
  <c r="E98" i="2" l="1"/>
  <c r="E97" i="2"/>
  <c r="E96" i="2"/>
  <c r="D95" i="2"/>
  <c r="D94" i="2"/>
  <c r="C93" i="2"/>
  <c r="D92" i="2"/>
  <c r="D91" i="2"/>
  <c r="D90" i="2"/>
  <c r="D89" i="2"/>
  <c r="C88" i="2"/>
  <c r="D87" i="2"/>
  <c r="D86" i="2"/>
  <c r="E85" i="2"/>
  <c r="E84" i="2"/>
  <c r="E83" i="2"/>
  <c r="D82" i="2"/>
  <c r="E81" i="2"/>
  <c r="E80" i="2"/>
  <c r="E79" i="2"/>
  <c r="E78" i="2"/>
  <c r="D77" i="2"/>
  <c r="E76" i="2"/>
  <c r="E75" i="2"/>
  <c r="D74" i="2"/>
  <c r="E73" i="2"/>
  <c r="E72" i="2"/>
  <c r="D71" i="2"/>
  <c r="E70" i="2"/>
  <c r="E69" i="2"/>
  <c r="D68" i="2"/>
  <c r="E67" i="2"/>
  <c r="E66" i="2"/>
  <c r="D65" i="2"/>
  <c r="E64" i="2"/>
  <c r="E63" i="2"/>
  <c r="D62" i="2"/>
  <c r="E61" i="2"/>
  <c r="E60" i="2"/>
  <c r="D59" i="2"/>
  <c r="E58" i="2"/>
  <c r="E57" i="2"/>
  <c r="E56" i="2"/>
  <c r="D55" i="2"/>
  <c r="D54" i="2"/>
  <c r="D53" i="2"/>
  <c r="D52" i="2"/>
  <c r="D51" i="2"/>
  <c r="D50" i="2"/>
  <c r="D49" i="2"/>
  <c r="E48" i="2"/>
  <c r="E47" i="2"/>
  <c r="E46" i="2"/>
  <c r="E45" i="2"/>
  <c r="E44" i="2"/>
  <c r="E43" i="2"/>
  <c r="E42" i="2"/>
  <c r="E41" i="2"/>
  <c r="E40" i="2"/>
  <c r="E39" i="2"/>
  <c r="E38" i="2"/>
  <c r="E37" i="2"/>
  <c r="E36" i="2"/>
  <c r="E35" i="2"/>
  <c r="E34" i="2"/>
  <c r="E33" i="2"/>
  <c r="E32" i="2"/>
  <c r="E31" i="2"/>
  <c r="E30" i="2"/>
  <c r="E29" i="2"/>
  <c r="E28" i="2"/>
  <c r="E27" i="2"/>
  <c r="E26" i="2"/>
  <c r="E25" i="2"/>
  <c r="E24" i="2"/>
  <c r="E23" i="2"/>
  <c r="E22" i="2"/>
  <c r="D21" i="2"/>
  <c r="D20" i="2"/>
  <c r="D19" i="2"/>
  <c r="D18" i="2"/>
  <c r="D17" i="2"/>
  <c r="D16" i="2"/>
  <c r="D15" i="2"/>
  <c r="D14" i="2"/>
  <c r="C13" i="2"/>
  <c r="P16" i="84"/>
  <c r="Q16" i="84"/>
  <c r="R16" i="84"/>
  <c r="S16" i="84"/>
  <c r="T16" i="84"/>
  <c r="S15" i="84"/>
  <c r="T15" i="84"/>
  <c r="O14" i="84"/>
  <c r="O13" i="84" s="1"/>
  <c r="J12" i="84"/>
  <c r="J11" i="84" s="1"/>
  <c r="K12" i="84"/>
  <c r="K11" i="84" s="1"/>
  <c r="L12" i="84"/>
  <c r="L11" i="84" s="1"/>
  <c r="M12" i="84"/>
  <c r="N12" i="84"/>
  <c r="M11" i="84"/>
  <c r="N11" i="84"/>
  <c r="P10" i="84"/>
  <c r="Q10" i="84"/>
  <c r="R10" i="84"/>
  <c r="S10" i="84"/>
  <c r="T10" i="84"/>
  <c r="O10" i="84"/>
  <c r="J10" i="84"/>
  <c r="K10" i="84"/>
  <c r="L10" i="84"/>
  <c r="M10" i="84"/>
  <c r="N10" i="84"/>
  <c r="Q15" i="84" l="1"/>
  <c r="P15" i="84"/>
  <c r="R15" i="84"/>
  <c r="P17" i="26" l="1"/>
  <c r="O17" i="26"/>
  <c r="N17" i="26"/>
  <c r="M17" i="26"/>
  <c r="L17" i="26"/>
  <c r="K15" i="26"/>
  <c r="L15" i="26"/>
  <c r="M15" i="26"/>
  <c r="N15" i="26"/>
  <c r="O15" i="26"/>
  <c r="P15" i="26"/>
  <c r="O836" i="61" l="1"/>
  <c r="O581" i="61"/>
  <c r="O324" i="61"/>
  <c r="O326" i="61"/>
  <c r="T60" i="82"/>
  <c r="O44" i="77" l="1"/>
  <c r="V16" i="26"/>
  <c r="W16" i="26"/>
  <c r="Q21" i="26"/>
  <c r="R21" i="26" s="1"/>
  <c r="S21" i="26" s="1"/>
  <c r="T21" i="26" s="1"/>
  <c r="O21" i="26"/>
  <c r="N21" i="26"/>
  <c r="M21" i="26"/>
  <c r="L21" i="26" s="1"/>
  <c r="K21" i="26" s="1"/>
  <c r="N19" i="26"/>
  <c r="M19" i="26"/>
  <c r="L19" i="26" s="1"/>
  <c r="K19" i="26" s="1"/>
  <c r="K18" i="26"/>
  <c r="P19" i="26"/>
  <c r="Q19" i="26" s="1"/>
  <c r="R19" i="26" s="1"/>
  <c r="R16" i="26"/>
  <c r="P16" i="26"/>
  <c r="O16" i="26"/>
  <c r="N16" i="26"/>
  <c r="M16" i="26"/>
  <c r="K16" i="26"/>
  <c r="J15" i="26"/>
  <c r="L10" i="26"/>
  <c r="M8" i="26"/>
  <c r="M10" i="26" s="1"/>
  <c r="K10" i="26"/>
  <c r="Q16" i="26"/>
  <c r="Q15" i="26" s="1"/>
  <c r="Q17" i="26" l="1"/>
  <c r="Q20" i="26"/>
  <c r="R15" i="26"/>
  <c r="U21" i="26"/>
  <c r="V21" i="26" s="1"/>
  <c r="W21" i="26" s="1"/>
  <c r="N8" i="26"/>
  <c r="AR325" i="23"/>
  <c r="R325" i="23"/>
  <c r="AV325" i="23" s="1"/>
  <c r="O325" i="23"/>
  <c r="N325" i="23"/>
  <c r="R17" i="26" l="1"/>
  <c r="R20" i="26"/>
  <c r="N10" i="26"/>
  <c r="O8" i="26"/>
  <c r="F27" i="78"/>
  <c r="B172" i="4"/>
  <c r="G66" i="80"/>
  <c r="G67" i="80"/>
  <c r="G68" i="80"/>
  <c r="G69" i="80"/>
  <c r="G70" i="80"/>
  <c r="G71" i="80"/>
  <c r="G72" i="80"/>
  <c r="G73" i="80"/>
  <c r="G74" i="80"/>
  <c r="G75" i="80"/>
  <c r="G76" i="80"/>
  <c r="G77" i="80"/>
  <c r="G78" i="80"/>
  <c r="G79" i="80"/>
  <c r="G80" i="80"/>
  <c r="G81" i="80"/>
  <c r="G82" i="80"/>
  <c r="G83" i="80"/>
  <c r="G84" i="80"/>
  <c r="G85" i="80"/>
  <c r="G86" i="80"/>
  <c r="G87" i="80"/>
  <c r="G88" i="80"/>
  <c r="G89" i="80"/>
  <c r="G90" i="80"/>
  <c r="G91" i="80"/>
  <c r="G92" i="80"/>
  <c r="G34" i="80"/>
  <c r="G35" i="80"/>
  <c r="G36" i="80"/>
  <c r="G37" i="80"/>
  <c r="G38" i="80"/>
  <c r="G39" i="80"/>
  <c r="G40" i="80"/>
  <c r="G41" i="80"/>
  <c r="G42" i="80"/>
  <c r="G43" i="80"/>
  <c r="G44" i="80"/>
  <c r="G45" i="80"/>
  <c r="G46" i="80"/>
  <c r="G47" i="80"/>
  <c r="G48" i="80"/>
  <c r="G49" i="80"/>
  <c r="G50" i="80"/>
  <c r="G51" i="80"/>
  <c r="G52" i="80"/>
  <c r="G53" i="80"/>
  <c r="G54" i="80"/>
  <c r="G55" i="80"/>
  <c r="G56" i="80"/>
  <c r="G57" i="80"/>
  <c r="G58" i="80"/>
  <c r="G59" i="80"/>
  <c r="G60" i="80"/>
  <c r="G66" i="79"/>
  <c r="G67" i="79"/>
  <c r="G68" i="79"/>
  <c r="G69" i="79"/>
  <c r="G70" i="79"/>
  <c r="G71" i="79"/>
  <c r="G72" i="79"/>
  <c r="G73" i="79"/>
  <c r="G74" i="79"/>
  <c r="G75" i="79"/>
  <c r="G76" i="79"/>
  <c r="G77" i="79"/>
  <c r="G78" i="79"/>
  <c r="G79" i="79"/>
  <c r="G80" i="79"/>
  <c r="G81" i="79"/>
  <c r="G82" i="79"/>
  <c r="G83" i="79"/>
  <c r="G84" i="79"/>
  <c r="G85" i="79"/>
  <c r="G86" i="79"/>
  <c r="G87" i="79"/>
  <c r="G88" i="79"/>
  <c r="G89" i="79"/>
  <c r="G90" i="79"/>
  <c r="G91" i="79"/>
  <c r="G92" i="79"/>
  <c r="G34" i="79"/>
  <c r="G35" i="79"/>
  <c r="G36" i="79"/>
  <c r="G37" i="79"/>
  <c r="G38" i="79"/>
  <c r="G39" i="79"/>
  <c r="G40" i="79"/>
  <c r="G41" i="79"/>
  <c r="G42" i="79"/>
  <c r="G43" i="79"/>
  <c r="G44" i="79"/>
  <c r="G45" i="79"/>
  <c r="G46" i="79"/>
  <c r="G47" i="79"/>
  <c r="G48" i="79"/>
  <c r="G49" i="79"/>
  <c r="G50" i="79"/>
  <c r="G51" i="79"/>
  <c r="G52" i="79"/>
  <c r="G53" i="79"/>
  <c r="G54" i="79"/>
  <c r="G55" i="79"/>
  <c r="G56" i="79"/>
  <c r="G57" i="79"/>
  <c r="G58" i="79"/>
  <c r="G59" i="79"/>
  <c r="G60" i="79"/>
  <c r="G66" i="78"/>
  <c r="G67" i="78"/>
  <c r="G68" i="78"/>
  <c r="G69" i="78"/>
  <c r="G70" i="78"/>
  <c r="G71" i="78"/>
  <c r="G72" i="78"/>
  <c r="G73" i="78"/>
  <c r="G74" i="78"/>
  <c r="G75" i="78"/>
  <c r="G76" i="78"/>
  <c r="G77" i="78"/>
  <c r="G78" i="78"/>
  <c r="G79" i="78"/>
  <c r="G80" i="78"/>
  <c r="G81" i="78"/>
  <c r="G82" i="78"/>
  <c r="G83" i="78"/>
  <c r="G84" i="78"/>
  <c r="G85" i="78"/>
  <c r="G86" i="78"/>
  <c r="G87" i="78"/>
  <c r="G88" i="78"/>
  <c r="G89" i="78"/>
  <c r="G90" i="78"/>
  <c r="G91" i="78"/>
  <c r="G92" i="78"/>
  <c r="G34" i="78"/>
  <c r="G35" i="78"/>
  <c r="G36" i="78"/>
  <c r="G37" i="78"/>
  <c r="G38" i="78"/>
  <c r="G39" i="78"/>
  <c r="G40" i="78"/>
  <c r="G41" i="78"/>
  <c r="G42" i="78"/>
  <c r="G43" i="78"/>
  <c r="G44" i="78"/>
  <c r="G45" i="78"/>
  <c r="G46" i="78"/>
  <c r="G47" i="78"/>
  <c r="G48" i="78"/>
  <c r="G49" i="78"/>
  <c r="G50" i="78"/>
  <c r="G51" i="78"/>
  <c r="G52" i="78"/>
  <c r="G53" i="78"/>
  <c r="G54" i="78"/>
  <c r="G55" i="78"/>
  <c r="G56" i="78"/>
  <c r="G57" i="78"/>
  <c r="G58" i="78"/>
  <c r="G59" i="78"/>
  <c r="G60" i="78"/>
  <c r="G66" i="27"/>
  <c r="G67" i="27"/>
  <c r="G68" i="27"/>
  <c r="G69" i="27"/>
  <c r="G70" i="27"/>
  <c r="G71" i="27"/>
  <c r="G72" i="27"/>
  <c r="G73" i="27"/>
  <c r="G74" i="27"/>
  <c r="G75" i="27"/>
  <c r="G76" i="27"/>
  <c r="G77" i="27"/>
  <c r="G78" i="27"/>
  <c r="G79" i="27"/>
  <c r="G80" i="27"/>
  <c r="G81" i="27"/>
  <c r="G82" i="27"/>
  <c r="G83" i="27"/>
  <c r="G84" i="27"/>
  <c r="G85" i="27"/>
  <c r="G86" i="27"/>
  <c r="G87" i="27"/>
  <c r="G88" i="27"/>
  <c r="G89" i="27"/>
  <c r="G90" i="27"/>
  <c r="G91" i="27"/>
  <c r="G92" i="27"/>
  <c r="G34" i="27"/>
  <c r="G35" i="27"/>
  <c r="G36" i="27"/>
  <c r="G37" i="27"/>
  <c r="G38" i="27"/>
  <c r="G39" i="27"/>
  <c r="G40" i="27"/>
  <c r="G41" i="27"/>
  <c r="G42" i="27"/>
  <c r="G43" i="27"/>
  <c r="G44" i="27"/>
  <c r="G45" i="27"/>
  <c r="G46" i="27"/>
  <c r="G47" i="27"/>
  <c r="G48" i="27"/>
  <c r="G49" i="27"/>
  <c r="G50" i="27"/>
  <c r="G51" i="27"/>
  <c r="G52" i="27"/>
  <c r="G53" i="27"/>
  <c r="G54" i="27"/>
  <c r="G55" i="27"/>
  <c r="G56" i="27"/>
  <c r="G57" i="27"/>
  <c r="G58" i="27"/>
  <c r="G59" i="27"/>
  <c r="G60" i="27"/>
  <c r="F66" i="80"/>
  <c r="F67" i="80"/>
  <c r="F68" i="80"/>
  <c r="F69" i="80"/>
  <c r="F70" i="80"/>
  <c r="F71" i="80"/>
  <c r="F72" i="80"/>
  <c r="F73" i="80"/>
  <c r="F74" i="80"/>
  <c r="F75" i="80"/>
  <c r="F76" i="80"/>
  <c r="F77" i="80"/>
  <c r="F78" i="80"/>
  <c r="F79" i="80"/>
  <c r="F80" i="80"/>
  <c r="F81" i="80"/>
  <c r="F82" i="80"/>
  <c r="F83" i="80"/>
  <c r="F84" i="80"/>
  <c r="F85" i="80"/>
  <c r="F86" i="80"/>
  <c r="F87" i="80"/>
  <c r="F88" i="80"/>
  <c r="F89" i="80"/>
  <c r="F90" i="80"/>
  <c r="F91" i="80"/>
  <c r="F92" i="80"/>
  <c r="F34" i="80"/>
  <c r="F35" i="80"/>
  <c r="F36" i="80"/>
  <c r="F37" i="80"/>
  <c r="F38" i="80"/>
  <c r="F39" i="80"/>
  <c r="F40" i="80"/>
  <c r="F41" i="80"/>
  <c r="F42" i="80"/>
  <c r="F43" i="80"/>
  <c r="F44" i="80"/>
  <c r="F45" i="80"/>
  <c r="F46" i="80"/>
  <c r="F47" i="80"/>
  <c r="F48" i="80"/>
  <c r="F49" i="80"/>
  <c r="F50" i="80"/>
  <c r="F51" i="80"/>
  <c r="F52" i="80"/>
  <c r="F53" i="80"/>
  <c r="F54" i="80"/>
  <c r="F55" i="80"/>
  <c r="F56" i="80"/>
  <c r="F57" i="80"/>
  <c r="F58" i="80"/>
  <c r="F59" i="80"/>
  <c r="F60" i="80"/>
  <c r="F66" i="79"/>
  <c r="F67" i="79"/>
  <c r="F68" i="79"/>
  <c r="F69" i="79"/>
  <c r="F70" i="79"/>
  <c r="F71" i="79"/>
  <c r="F72" i="79"/>
  <c r="F73" i="79"/>
  <c r="F74" i="79"/>
  <c r="F75" i="79"/>
  <c r="F76" i="79"/>
  <c r="F77" i="79"/>
  <c r="F78" i="79"/>
  <c r="F79" i="79"/>
  <c r="F80" i="79"/>
  <c r="F81" i="79"/>
  <c r="F82" i="79"/>
  <c r="F83" i="79"/>
  <c r="F84" i="79"/>
  <c r="F85" i="79"/>
  <c r="F86" i="79"/>
  <c r="F87" i="79"/>
  <c r="F88" i="79"/>
  <c r="F89" i="79"/>
  <c r="F90" i="79"/>
  <c r="F91" i="79"/>
  <c r="F92" i="79"/>
  <c r="F34" i="79"/>
  <c r="F35" i="79"/>
  <c r="F36" i="79"/>
  <c r="F37" i="79"/>
  <c r="F38" i="79"/>
  <c r="F39" i="79"/>
  <c r="F40" i="79"/>
  <c r="F41" i="79"/>
  <c r="F42" i="79"/>
  <c r="F43" i="79"/>
  <c r="F44" i="79"/>
  <c r="F45" i="79"/>
  <c r="F46" i="79"/>
  <c r="F47" i="79"/>
  <c r="F48" i="79"/>
  <c r="F49" i="79"/>
  <c r="F50" i="79"/>
  <c r="F51" i="79"/>
  <c r="F52" i="79"/>
  <c r="F53" i="79"/>
  <c r="F54" i="79"/>
  <c r="F55" i="79"/>
  <c r="F56" i="79"/>
  <c r="F57" i="79"/>
  <c r="F58" i="79"/>
  <c r="F59" i="79"/>
  <c r="F60" i="79"/>
  <c r="F66" i="78"/>
  <c r="F67" i="78"/>
  <c r="F68" i="78"/>
  <c r="F69" i="78"/>
  <c r="F70" i="78"/>
  <c r="F71" i="78"/>
  <c r="F72" i="78"/>
  <c r="F73" i="78"/>
  <c r="F74" i="78"/>
  <c r="F75" i="78"/>
  <c r="F76" i="78"/>
  <c r="F77" i="78"/>
  <c r="F78" i="78"/>
  <c r="F79" i="78"/>
  <c r="F80" i="78"/>
  <c r="F81" i="78"/>
  <c r="F82" i="78"/>
  <c r="F83" i="78"/>
  <c r="F84" i="78"/>
  <c r="F85" i="78"/>
  <c r="F86" i="78"/>
  <c r="F87" i="78"/>
  <c r="F88" i="78"/>
  <c r="F89" i="78"/>
  <c r="F90" i="78"/>
  <c r="F91" i="78"/>
  <c r="F92" i="78"/>
  <c r="F34" i="78"/>
  <c r="F35" i="78"/>
  <c r="F36" i="78"/>
  <c r="F37" i="78"/>
  <c r="F38" i="78"/>
  <c r="F39" i="78"/>
  <c r="F40" i="78"/>
  <c r="F41" i="78"/>
  <c r="F42" i="78"/>
  <c r="F43" i="78"/>
  <c r="F44" i="78"/>
  <c r="F45" i="78"/>
  <c r="F46" i="78"/>
  <c r="F47" i="78"/>
  <c r="F48" i="78"/>
  <c r="F49" i="78"/>
  <c r="F50" i="78"/>
  <c r="F51" i="78"/>
  <c r="F52" i="78"/>
  <c r="F53" i="78"/>
  <c r="F54" i="78"/>
  <c r="F55" i="78"/>
  <c r="F56" i="78"/>
  <c r="F57" i="78"/>
  <c r="F58" i="78"/>
  <c r="F59" i="78"/>
  <c r="F60" i="78"/>
  <c r="F66" i="27"/>
  <c r="F67" i="27"/>
  <c r="F68" i="27"/>
  <c r="F69" i="27"/>
  <c r="F70" i="27"/>
  <c r="F71" i="27"/>
  <c r="F72" i="27"/>
  <c r="F73" i="27"/>
  <c r="F74" i="27"/>
  <c r="F75" i="27"/>
  <c r="F76" i="27"/>
  <c r="F77" i="27"/>
  <c r="F78" i="27"/>
  <c r="F79" i="27"/>
  <c r="F80" i="27"/>
  <c r="F81" i="27"/>
  <c r="F82" i="27"/>
  <c r="F83" i="27"/>
  <c r="F84" i="27"/>
  <c r="F85" i="27"/>
  <c r="F86" i="27"/>
  <c r="F87" i="27"/>
  <c r="F88" i="27"/>
  <c r="F89" i="27"/>
  <c r="F90" i="27"/>
  <c r="F91" i="27"/>
  <c r="F92" i="27"/>
  <c r="F34" i="27"/>
  <c r="F35" i="27"/>
  <c r="F36" i="27"/>
  <c r="F37" i="27"/>
  <c r="F38" i="27"/>
  <c r="F39" i="27"/>
  <c r="F40" i="27"/>
  <c r="F41" i="27"/>
  <c r="F42" i="27"/>
  <c r="F43" i="27"/>
  <c r="F44" i="27"/>
  <c r="F45" i="27"/>
  <c r="F46" i="27"/>
  <c r="F47" i="27"/>
  <c r="F48" i="27"/>
  <c r="F49" i="27"/>
  <c r="F50" i="27"/>
  <c r="F51" i="27"/>
  <c r="F52" i="27"/>
  <c r="F53" i="27"/>
  <c r="F54" i="27"/>
  <c r="F55" i="27"/>
  <c r="F56" i="27"/>
  <c r="F57" i="27"/>
  <c r="F58" i="27"/>
  <c r="F59" i="27"/>
  <c r="F60" i="27"/>
  <c r="S78" i="82"/>
  <c r="T78" i="82"/>
  <c r="P8" i="26" l="1"/>
  <c r="O10" i="26"/>
  <c r="K297" i="23"/>
  <c r="K298" i="23"/>
  <c r="K299" i="23"/>
  <c r="K300" i="23"/>
  <c r="K301" i="23"/>
  <c r="K302" i="23"/>
  <c r="K303" i="23"/>
  <c r="K304" i="23"/>
  <c r="K305" i="23"/>
  <c r="D440" i="53"/>
  <c r="D441" i="53"/>
  <c r="D442" i="53"/>
  <c r="D443" i="53"/>
  <c r="D444" i="53"/>
  <c r="D445" i="53"/>
  <c r="D446" i="53"/>
  <c r="D447" i="53"/>
  <c r="D448" i="53"/>
  <c r="D426" i="53"/>
  <c r="D427" i="53"/>
  <c r="D428" i="53"/>
  <c r="D429" i="53"/>
  <c r="D430" i="53"/>
  <c r="D431" i="53"/>
  <c r="D432" i="53"/>
  <c r="D433" i="53"/>
  <c r="D434" i="53"/>
  <c r="D412" i="53"/>
  <c r="D413" i="53"/>
  <c r="D414" i="53"/>
  <c r="D415" i="53"/>
  <c r="D416" i="53"/>
  <c r="D417" i="53"/>
  <c r="D418" i="53"/>
  <c r="D419" i="53"/>
  <c r="D420" i="53"/>
  <c r="D398" i="53"/>
  <c r="D399" i="53"/>
  <c r="D400" i="53"/>
  <c r="D401" i="53"/>
  <c r="D402" i="53"/>
  <c r="D403" i="53"/>
  <c r="D404" i="53"/>
  <c r="D405" i="53"/>
  <c r="D406" i="53"/>
  <c r="D375" i="53"/>
  <c r="D376" i="53"/>
  <c r="D377" i="53"/>
  <c r="D378" i="53"/>
  <c r="D379" i="53"/>
  <c r="D380" i="53"/>
  <c r="D381" i="53"/>
  <c r="D382" i="53"/>
  <c r="D383" i="53"/>
  <c r="D361" i="53"/>
  <c r="D362" i="53"/>
  <c r="D363" i="53"/>
  <c r="D364" i="53"/>
  <c r="D365" i="53"/>
  <c r="D366" i="53"/>
  <c r="D367" i="53"/>
  <c r="D368" i="53"/>
  <c r="D369" i="53"/>
  <c r="D347" i="53"/>
  <c r="D348" i="53"/>
  <c r="D349" i="53"/>
  <c r="D350" i="53"/>
  <c r="D351" i="53"/>
  <c r="D352" i="53"/>
  <c r="D353" i="53"/>
  <c r="D354" i="53"/>
  <c r="D355" i="53"/>
  <c r="K275" i="23"/>
  <c r="K276" i="23"/>
  <c r="K277" i="23"/>
  <c r="K278" i="23"/>
  <c r="K279" i="23"/>
  <c r="K280" i="23"/>
  <c r="K281" i="23"/>
  <c r="K282" i="23"/>
  <c r="K283" i="23"/>
  <c r="D137" i="53"/>
  <c r="D138" i="53"/>
  <c r="D139" i="53"/>
  <c r="D140" i="53"/>
  <c r="D141" i="53"/>
  <c r="D142" i="53"/>
  <c r="D143" i="53"/>
  <c r="D144" i="53"/>
  <c r="D145" i="53"/>
  <c r="D123" i="53"/>
  <c r="D124" i="53"/>
  <c r="D125" i="53"/>
  <c r="D126" i="53"/>
  <c r="D127" i="53"/>
  <c r="D128" i="53"/>
  <c r="D129" i="53"/>
  <c r="D130" i="53"/>
  <c r="D131" i="53"/>
  <c r="D109" i="53"/>
  <c r="D110" i="53"/>
  <c r="D111" i="53"/>
  <c r="D112" i="53"/>
  <c r="D113" i="53"/>
  <c r="D114" i="53"/>
  <c r="D115" i="53"/>
  <c r="D116" i="53"/>
  <c r="D117" i="53"/>
  <c r="D95" i="53"/>
  <c r="D96" i="53"/>
  <c r="D97" i="53"/>
  <c r="D98" i="53"/>
  <c r="D99" i="53"/>
  <c r="D100" i="53"/>
  <c r="D101" i="53"/>
  <c r="D102" i="53"/>
  <c r="D103" i="53"/>
  <c r="D72" i="53"/>
  <c r="D73" i="53"/>
  <c r="D74" i="53"/>
  <c r="D75" i="53"/>
  <c r="D76" i="53"/>
  <c r="D77" i="53"/>
  <c r="D78" i="53"/>
  <c r="D79" i="53"/>
  <c r="D80" i="53"/>
  <c r="D58" i="53"/>
  <c r="D59" i="53"/>
  <c r="D60" i="53"/>
  <c r="D61" i="53"/>
  <c r="D62" i="53"/>
  <c r="D63" i="53"/>
  <c r="D64" i="53"/>
  <c r="D65" i="53"/>
  <c r="D66" i="53"/>
  <c r="D44" i="53"/>
  <c r="D45" i="53"/>
  <c r="D46" i="53"/>
  <c r="D47" i="53"/>
  <c r="D48" i="53"/>
  <c r="D49" i="53"/>
  <c r="D50" i="53"/>
  <c r="D51" i="53"/>
  <c r="D52" i="53"/>
  <c r="K257" i="23"/>
  <c r="K258" i="23"/>
  <c r="K259" i="23"/>
  <c r="K260" i="23"/>
  <c r="K261" i="23"/>
  <c r="D388" i="49"/>
  <c r="D389" i="49"/>
  <c r="D390" i="49"/>
  <c r="D391" i="49"/>
  <c r="D392" i="49"/>
  <c r="D378" i="49"/>
  <c r="D379" i="49"/>
  <c r="D380" i="49"/>
  <c r="D381" i="49"/>
  <c r="D382" i="49"/>
  <c r="D368" i="49"/>
  <c r="D369" i="49"/>
  <c r="D370" i="49"/>
  <c r="D371" i="49"/>
  <c r="D372" i="49"/>
  <c r="D358" i="49"/>
  <c r="D359" i="49"/>
  <c r="D360" i="49"/>
  <c r="D361" i="49"/>
  <c r="D362" i="49"/>
  <c r="D339" i="49"/>
  <c r="D340" i="49"/>
  <c r="D341" i="49"/>
  <c r="D342" i="49"/>
  <c r="D343" i="49"/>
  <c r="D329" i="49"/>
  <c r="D330" i="49"/>
  <c r="D331" i="49"/>
  <c r="D332" i="49"/>
  <c r="D333" i="49"/>
  <c r="D319" i="49"/>
  <c r="D320" i="49"/>
  <c r="D321" i="49"/>
  <c r="D322" i="49"/>
  <c r="D323" i="49"/>
  <c r="K239" i="23"/>
  <c r="K240" i="23"/>
  <c r="K241" i="23"/>
  <c r="K242" i="23"/>
  <c r="K243" i="23"/>
  <c r="D113" i="49"/>
  <c r="D114" i="49"/>
  <c r="D115" i="49"/>
  <c r="D116" i="49"/>
  <c r="D117" i="49"/>
  <c r="D103" i="49"/>
  <c r="D104" i="49"/>
  <c r="D105" i="49"/>
  <c r="D106" i="49"/>
  <c r="D107" i="49"/>
  <c r="D93" i="49"/>
  <c r="D94" i="49"/>
  <c r="D95" i="49"/>
  <c r="D96" i="49"/>
  <c r="D97" i="49"/>
  <c r="D83" i="49"/>
  <c r="D84" i="49"/>
  <c r="D85" i="49"/>
  <c r="D86" i="49"/>
  <c r="D87" i="49"/>
  <c r="D64" i="49"/>
  <c r="D65" i="49"/>
  <c r="D66" i="49"/>
  <c r="D67" i="49"/>
  <c r="D68" i="49"/>
  <c r="D54" i="49"/>
  <c r="D55" i="49"/>
  <c r="D56" i="49"/>
  <c r="D57" i="49"/>
  <c r="D58" i="49"/>
  <c r="D44" i="49"/>
  <c r="D45" i="49"/>
  <c r="D46" i="49"/>
  <c r="D47" i="49"/>
  <c r="D48" i="49"/>
  <c r="K183" i="23"/>
  <c r="K184" i="23"/>
  <c r="K185" i="23"/>
  <c r="K186" i="23"/>
  <c r="K187" i="23"/>
  <c r="K188" i="23"/>
  <c r="K189" i="23"/>
  <c r="D400" i="41"/>
  <c r="D401" i="41"/>
  <c r="D402" i="41"/>
  <c r="D403" i="41"/>
  <c r="D404" i="41"/>
  <c r="D405" i="41"/>
  <c r="D406" i="41"/>
  <c r="D388" i="41"/>
  <c r="D389" i="41"/>
  <c r="D390" i="41"/>
  <c r="D391" i="41"/>
  <c r="D392" i="41"/>
  <c r="D393" i="41"/>
  <c r="D394" i="41"/>
  <c r="D376" i="41"/>
  <c r="D377" i="41"/>
  <c r="D378" i="41"/>
  <c r="D379" i="41"/>
  <c r="D380" i="41"/>
  <c r="D381" i="41"/>
  <c r="D382" i="41"/>
  <c r="D364" i="41"/>
  <c r="D365" i="41"/>
  <c r="D366" i="41"/>
  <c r="D367" i="41"/>
  <c r="D368" i="41"/>
  <c r="D369" i="41"/>
  <c r="D370" i="41"/>
  <c r="D343" i="41"/>
  <c r="D344" i="41"/>
  <c r="D345" i="41"/>
  <c r="D346" i="41"/>
  <c r="D347" i="41"/>
  <c r="D348" i="41"/>
  <c r="D349" i="41"/>
  <c r="D331" i="41"/>
  <c r="D332" i="41"/>
  <c r="D333" i="41"/>
  <c r="D334" i="41"/>
  <c r="D335" i="41"/>
  <c r="D336" i="41"/>
  <c r="D337" i="41"/>
  <c r="D319" i="41"/>
  <c r="D320" i="41"/>
  <c r="D321" i="41"/>
  <c r="D322" i="41"/>
  <c r="D323" i="41"/>
  <c r="D324" i="41"/>
  <c r="D325" i="41"/>
  <c r="K165" i="23"/>
  <c r="K166" i="23"/>
  <c r="K167" i="23"/>
  <c r="K168" i="23"/>
  <c r="K169" i="23"/>
  <c r="D113" i="41"/>
  <c r="D114" i="41"/>
  <c r="D115" i="41"/>
  <c r="D116" i="41"/>
  <c r="D117" i="41"/>
  <c r="D103" i="41"/>
  <c r="D104" i="41"/>
  <c r="D105" i="41"/>
  <c r="D106" i="41"/>
  <c r="D107" i="41"/>
  <c r="D93" i="41"/>
  <c r="D94" i="41"/>
  <c r="D95" i="41"/>
  <c r="D96" i="41"/>
  <c r="D97" i="41"/>
  <c r="D83" i="41"/>
  <c r="D84" i="41"/>
  <c r="D85" i="41"/>
  <c r="D86" i="41"/>
  <c r="D87" i="41"/>
  <c r="D64" i="41"/>
  <c r="D65" i="41"/>
  <c r="D66" i="41"/>
  <c r="D67" i="41"/>
  <c r="D68" i="41"/>
  <c r="D54" i="41"/>
  <c r="D55" i="41"/>
  <c r="D56" i="41"/>
  <c r="D57" i="41"/>
  <c r="D58" i="41"/>
  <c r="D44" i="41"/>
  <c r="D45" i="41"/>
  <c r="D46" i="41"/>
  <c r="D47" i="41"/>
  <c r="D48" i="41"/>
  <c r="K56" i="23"/>
  <c r="K57" i="23"/>
  <c r="K58" i="23"/>
  <c r="K59" i="23"/>
  <c r="K60" i="23"/>
  <c r="K61" i="23"/>
  <c r="K62" i="23"/>
  <c r="K63" i="23"/>
  <c r="K64" i="23"/>
  <c r="K65" i="23"/>
  <c r="K66" i="23"/>
  <c r="K67" i="23"/>
  <c r="D155" i="29"/>
  <c r="D156" i="29"/>
  <c r="D157" i="29"/>
  <c r="D158" i="29"/>
  <c r="D159" i="29"/>
  <c r="D160" i="29"/>
  <c r="D161" i="29"/>
  <c r="D162" i="29"/>
  <c r="D163" i="29"/>
  <c r="D164" i="29"/>
  <c r="D165" i="29"/>
  <c r="D166" i="29"/>
  <c r="D138" i="29"/>
  <c r="D139" i="29"/>
  <c r="D140" i="29"/>
  <c r="D141" i="29"/>
  <c r="D142" i="29"/>
  <c r="D143" i="29"/>
  <c r="D144" i="29"/>
  <c r="D145" i="29"/>
  <c r="D146" i="29"/>
  <c r="D147" i="29"/>
  <c r="D148" i="29"/>
  <c r="D149" i="29"/>
  <c r="D121" i="29"/>
  <c r="D122" i="29"/>
  <c r="D123" i="29"/>
  <c r="D124" i="29"/>
  <c r="D125" i="29"/>
  <c r="D126" i="29"/>
  <c r="D127" i="29"/>
  <c r="D128" i="29"/>
  <c r="D129" i="29"/>
  <c r="D130" i="29"/>
  <c r="D131" i="29"/>
  <c r="D132" i="29"/>
  <c r="D104" i="29"/>
  <c r="D105" i="29"/>
  <c r="D106" i="29"/>
  <c r="D107" i="29"/>
  <c r="D108" i="29"/>
  <c r="D109" i="29"/>
  <c r="D110" i="29"/>
  <c r="D111" i="29"/>
  <c r="D112" i="29"/>
  <c r="D113" i="29"/>
  <c r="D114" i="29"/>
  <c r="D115" i="29"/>
  <c r="D78" i="29"/>
  <c r="D79" i="29"/>
  <c r="D80" i="29"/>
  <c r="D81" i="29"/>
  <c r="D82" i="29"/>
  <c r="D83" i="29"/>
  <c r="D84" i="29"/>
  <c r="D85" i="29"/>
  <c r="D86" i="29"/>
  <c r="D87" i="29"/>
  <c r="D88" i="29"/>
  <c r="D89" i="29"/>
  <c r="D61" i="29"/>
  <c r="D62" i="29"/>
  <c r="D63" i="29"/>
  <c r="D64" i="29"/>
  <c r="D65" i="29"/>
  <c r="D66" i="29"/>
  <c r="D67" i="29"/>
  <c r="D68" i="29"/>
  <c r="D69" i="29"/>
  <c r="D70" i="29"/>
  <c r="D71" i="29"/>
  <c r="D72" i="29"/>
  <c r="D44" i="29"/>
  <c r="D45" i="29"/>
  <c r="D46" i="29"/>
  <c r="D47" i="29"/>
  <c r="D48" i="29"/>
  <c r="D49" i="29"/>
  <c r="D50" i="29"/>
  <c r="D51" i="29"/>
  <c r="D52" i="29"/>
  <c r="D53" i="29"/>
  <c r="D54" i="29"/>
  <c r="D55" i="29"/>
  <c r="K12" i="23"/>
  <c r="K13" i="23"/>
  <c r="K14" i="23"/>
  <c r="K15" i="23"/>
  <c r="K16" i="23"/>
  <c r="K17" i="23"/>
  <c r="K18" i="23"/>
  <c r="K19" i="23"/>
  <c r="K20" i="23"/>
  <c r="K21" i="23"/>
  <c r="K22" i="23"/>
  <c r="K23" i="23"/>
  <c r="K24" i="23"/>
  <c r="D161" i="18"/>
  <c r="D162" i="18"/>
  <c r="D163" i="18"/>
  <c r="D164" i="18"/>
  <c r="D165" i="18"/>
  <c r="D166" i="18"/>
  <c r="D167" i="18"/>
  <c r="D168" i="18"/>
  <c r="D169" i="18"/>
  <c r="D170" i="18"/>
  <c r="D171" i="18"/>
  <c r="D172" i="18"/>
  <c r="D173" i="18"/>
  <c r="D143" i="18"/>
  <c r="D144" i="18"/>
  <c r="D145" i="18"/>
  <c r="D146" i="18"/>
  <c r="D147" i="18"/>
  <c r="D148" i="18"/>
  <c r="D149" i="18"/>
  <c r="D150" i="18"/>
  <c r="D151" i="18"/>
  <c r="D152" i="18"/>
  <c r="D153" i="18"/>
  <c r="D154" i="18"/>
  <c r="D155" i="18"/>
  <c r="D125" i="18"/>
  <c r="D126" i="18"/>
  <c r="D127" i="18"/>
  <c r="D128" i="18"/>
  <c r="D129" i="18"/>
  <c r="D130" i="18"/>
  <c r="D131" i="18"/>
  <c r="D132" i="18"/>
  <c r="D133" i="18"/>
  <c r="D134" i="18"/>
  <c r="D135" i="18"/>
  <c r="D136" i="18"/>
  <c r="D137" i="18"/>
  <c r="D107" i="18"/>
  <c r="D108" i="18"/>
  <c r="D109" i="18"/>
  <c r="D110" i="18"/>
  <c r="D111" i="18"/>
  <c r="D112" i="18"/>
  <c r="D113" i="18"/>
  <c r="D114" i="18"/>
  <c r="D115" i="18"/>
  <c r="D116" i="18"/>
  <c r="D117" i="18"/>
  <c r="D118" i="18"/>
  <c r="D119" i="18"/>
  <c r="D80" i="18"/>
  <c r="D81" i="18"/>
  <c r="D82" i="18"/>
  <c r="D83" i="18"/>
  <c r="D84" i="18"/>
  <c r="D85" i="18"/>
  <c r="D86" i="18"/>
  <c r="D87" i="18"/>
  <c r="D88" i="18"/>
  <c r="D89" i="18"/>
  <c r="D90" i="18"/>
  <c r="D91" i="18"/>
  <c r="D92" i="18"/>
  <c r="D62" i="18"/>
  <c r="D63" i="18"/>
  <c r="D64" i="18"/>
  <c r="D65" i="18"/>
  <c r="D66" i="18"/>
  <c r="D67" i="18"/>
  <c r="D68" i="18"/>
  <c r="D69" i="18"/>
  <c r="D70" i="18"/>
  <c r="D71" i="18"/>
  <c r="D72" i="18"/>
  <c r="D73" i="18"/>
  <c r="D74" i="18"/>
  <c r="D44" i="18"/>
  <c r="D45" i="18"/>
  <c r="D46" i="18"/>
  <c r="D47" i="18"/>
  <c r="D48" i="18"/>
  <c r="D49" i="18"/>
  <c r="D50" i="18"/>
  <c r="D51" i="18"/>
  <c r="D52" i="18"/>
  <c r="D53" i="18"/>
  <c r="D54" i="18"/>
  <c r="D55" i="18"/>
  <c r="D56" i="18"/>
  <c r="K70" i="41" l="1"/>
  <c r="K42" i="27" s="1"/>
  <c r="Q8" i="26"/>
  <c r="P10" i="26"/>
  <c r="J91" i="29"/>
  <c r="J36" i="27" s="1"/>
  <c r="L345" i="49"/>
  <c r="L47" i="27" s="1"/>
  <c r="J345" i="49"/>
  <c r="J47" i="27" s="1"/>
  <c r="K91" i="29"/>
  <c r="K36" i="27" s="1"/>
  <c r="J351" i="41"/>
  <c r="J43" i="27" s="1"/>
  <c r="N91" i="29"/>
  <c r="N36" i="27" s="1"/>
  <c r="T82" i="53"/>
  <c r="T48" i="27" s="1"/>
  <c r="L82" i="53"/>
  <c r="L48" i="27" s="1"/>
  <c r="R82" i="53"/>
  <c r="R48" i="27" s="1"/>
  <c r="P82" i="53"/>
  <c r="P48" i="27" s="1"/>
  <c r="K82" i="53"/>
  <c r="K48" i="27" s="1"/>
  <c r="R385" i="53"/>
  <c r="R49" i="27" s="1"/>
  <c r="J385" i="53"/>
  <c r="J49" i="27" s="1"/>
  <c r="T385" i="53"/>
  <c r="T49" i="27" s="1"/>
  <c r="M82" i="53"/>
  <c r="M48" i="27" s="1"/>
  <c r="S82" i="53"/>
  <c r="S48" i="27" s="1"/>
  <c r="J82" i="53"/>
  <c r="J48" i="27" s="1"/>
  <c r="O385" i="53"/>
  <c r="O49" i="27" s="1"/>
  <c r="P385" i="53"/>
  <c r="P49" i="27" s="1"/>
  <c r="Q385" i="53"/>
  <c r="Q49" i="27" s="1"/>
  <c r="L385" i="53"/>
  <c r="L49" i="27" s="1"/>
  <c r="Q82" i="53"/>
  <c r="Q48" i="27" s="1"/>
  <c r="S385" i="53"/>
  <c r="S49" i="27" s="1"/>
  <c r="K385" i="53"/>
  <c r="K49" i="27" s="1"/>
  <c r="N385" i="53"/>
  <c r="N49" i="27" s="1"/>
  <c r="M385" i="53"/>
  <c r="M49" i="27" s="1"/>
  <c r="N82" i="53"/>
  <c r="N48" i="27" s="1"/>
  <c r="P345" i="49"/>
  <c r="P47" i="27" s="1"/>
  <c r="T345" i="49"/>
  <c r="T47" i="27" s="1"/>
  <c r="R345" i="49"/>
  <c r="R47" i="27" s="1"/>
  <c r="Q345" i="49"/>
  <c r="Q47" i="27" s="1"/>
  <c r="R70" i="49"/>
  <c r="R46" i="27" s="1"/>
  <c r="J70" i="49"/>
  <c r="J46" i="27" s="1"/>
  <c r="Q70" i="49"/>
  <c r="Q46" i="27" s="1"/>
  <c r="S345" i="49"/>
  <c r="S47" i="27" s="1"/>
  <c r="K345" i="49"/>
  <c r="K47" i="27" s="1"/>
  <c r="P70" i="49"/>
  <c r="P46" i="27" s="1"/>
  <c r="T70" i="49"/>
  <c r="T46" i="27" s="1"/>
  <c r="L70" i="49"/>
  <c r="L46" i="27" s="1"/>
  <c r="S70" i="49"/>
  <c r="S46" i="27" s="1"/>
  <c r="K70" i="49"/>
  <c r="K46" i="27" s="1"/>
  <c r="R351" i="41"/>
  <c r="R43" i="27" s="1"/>
  <c r="S70" i="41"/>
  <c r="S42" i="27" s="1"/>
  <c r="R70" i="41"/>
  <c r="R42" i="27" s="1"/>
  <c r="J70" i="41"/>
  <c r="J42" i="27" s="1"/>
  <c r="O351" i="41"/>
  <c r="O43" i="27" s="1"/>
  <c r="L351" i="41"/>
  <c r="L43" i="27" s="1"/>
  <c r="Q70" i="41"/>
  <c r="Q42" i="27" s="1"/>
  <c r="O70" i="41"/>
  <c r="O42" i="27" s="1"/>
  <c r="S351" i="41"/>
  <c r="S43" i="27" s="1"/>
  <c r="K351" i="41"/>
  <c r="K43" i="27" s="1"/>
  <c r="P70" i="41"/>
  <c r="P42" i="27" s="1"/>
  <c r="N70" i="41"/>
  <c r="N42" i="27" s="1"/>
  <c r="Q351" i="41"/>
  <c r="Q43" i="27" s="1"/>
  <c r="T351" i="41"/>
  <c r="T43" i="27" s="1"/>
  <c r="T70" i="41"/>
  <c r="T42" i="27" s="1"/>
  <c r="P351" i="41"/>
  <c r="P43" i="27" s="1"/>
  <c r="S91" i="29"/>
  <c r="S36" i="27" s="1"/>
  <c r="Q91" i="29"/>
  <c r="Q36" i="27" s="1"/>
  <c r="R91" i="29"/>
  <c r="R36" i="27" s="1"/>
  <c r="P91" i="29"/>
  <c r="P36" i="27" s="1"/>
  <c r="T91" i="29"/>
  <c r="T36" i="27" s="1"/>
  <c r="L91" i="29"/>
  <c r="L36" i="27" s="1"/>
  <c r="O91" i="29"/>
  <c r="O36" i="27" s="1"/>
  <c r="M94" i="18"/>
  <c r="M34" i="27" s="1"/>
  <c r="Q94" i="18"/>
  <c r="Q34" i="27" s="1"/>
  <c r="T94" i="18"/>
  <c r="T34" i="27" s="1"/>
  <c r="P94" i="18"/>
  <c r="P34" i="27" s="1"/>
  <c r="N94" i="18"/>
  <c r="N34" i="27" s="1"/>
  <c r="S94" i="18"/>
  <c r="S34" i="27" s="1"/>
  <c r="R94" i="18"/>
  <c r="R34" i="27" s="1"/>
  <c r="M70" i="41" l="1"/>
  <c r="M42" i="27" s="1"/>
  <c r="L13" i="26"/>
  <c r="L16" i="26" s="1"/>
  <c r="L18" i="26" l="1"/>
  <c r="M18" i="26" s="1"/>
  <c r="N18" i="26" s="1"/>
  <c r="O18" i="26" s="1"/>
  <c r="P18" i="26" s="1"/>
  <c r="Q18" i="26" s="1"/>
  <c r="R18" i="26" s="1"/>
  <c r="M70" i="49"/>
  <c r="M46" i="27" s="1"/>
  <c r="M345" i="49"/>
  <c r="M47" i="27" s="1"/>
  <c r="N351" i="41"/>
  <c r="N43" i="27" s="1"/>
  <c r="M351" i="41"/>
  <c r="M43" i="27" s="1"/>
  <c r="L70" i="41"/>
  <c r="L42" i="27" s="1"/>
  <c r="O90" i="82"/>
  <c r="N90" i="82"/>
  <c r="R89" i="82"/>
  <c r="F87" i="82"/>
  <c r="F88" i="82"/>
  <c r="F89" i="82"/>
  <c r="F90" i="82"/>
  <c r="F91" i="82"/>
  <c r="F92" i="82"/>
  <c r="F86" i="82"/>
  <c r="R78" i="82"/>
  <c r="Q78" i="82"/>
  <c r="P78" i="82"/>
  <c r="O78" i="82"/>
  <c r="N78" i="82"/>
  <c r="R77" i="82"/>
  <c r="E84" i="82"/>
  <c r="E72" i="82"/>
  <c r="E53" i="82"/>
  <c r="F75" i="82"/>
  <c r="F76" i="82"/>
  <c r="F77" i="82"/>
  <c r="F78" i="82"/>
  <c r="F79" i="82"/>
  <c r="F80" i="82"/>
  <c r="F74" i="82"/>
  <c r="T64" i="82"/>
  <c r="S64" i="82"/>
  <c r="R64" i="82"/>
  <c r="Q64" i="82"/>
  <c r="P64" i="82"/>
  <c r="P60" i="82"/>
  <c r="Q60" i="82"/>
  <c r="R60" i="82"/>
  <c r="S60" i="82"/>
  <c r="Q55" i="82"/>
  <c r="R55" i="82"/>
  <c r="S55" i="82"/>
  <c r="T55" i="82"/>
  <c r="P55" i="82"/>
  <c r="M60" i="82"/>
  <c r="N60" i="82"/>
  <c r="O60" i="82"/>
  <c r="M61" i="82"/>
  <c r="N61" i="82"/>
  <c r="O61" i="82"/>
  <c r="M62" i="82"/>
  <c r="N62" i="82"/>
  <c r="O62" i="82"/>
  <c r="M63" i="82"/>
  <c r="N63" i="82"/>
  <c r="O63" i="82"/>
  <c r="M64" i="82"/>
  <c r="N64" i="82"/>
  <c r="O64" i="82"/>
  <c r="M65" i="82"/>
  <c r="N65" i="82"/>
  <c r="O65" i="82"/>
  <c r="N55" i="82"/>
  <c r="M55" i="82"/>
  <c r="O39" i="82"/>
  <c r="O55" i="82" s="1"/>
  <c r="F61" i="82"/>
  <c r="F62" i="82"/>
  <c r="F63" i="82"/>
  <c r="F64" i="82"/>
  <c r="F65" i="82"/>
  <c r="F60" i="82"/>
  <c r="E58" i="82"/>
  <c r="F45" i="82"/>
  <c r="F46" i="82"/>
  <c r="F47" i="82"/>
  <c r="F48" i="82"/>
  <c r="F49" i="82"/>
  <c r="F44" i="82"/>
  <c r="F56" i="82"/>
  <c r="F55" i="82"/>
  <c r="F40" i="82"/>
  <c r="F39" i="82"/>
  <c r="N345" i="49" l="1"/>
  <c r="N47" i="27" s="1"/>
  <c r="O70" i="49"/>
  <c r="O46" i="27" s="1"/>
  <c r="N70" i="49"/>
  <c r="N46" i="27" s="1"/>
  <c r="P16" i="82"/>
  <c r="P15" i="82" s="1"/>
  <c r="Q16" i="82"/>
  <c r="Q15" i="82" s="1"/>
  <c r="R16" i="82"/>
  <c r="R15" i="82" s="1"/>
  <c r="S16" i="82"/>
  <c r="S15" i="82" s="1"/>
  <c r="T16" i="82"/>
  <c r="T15" i="82" s="1"/>
  <c r="O14" i="82"/>
  <c r="O13" i="82" s="1"/>
  <c r="J12" i="82"/>
  <c r="J11" i="82" s="1"/>
  <c r="K12" i="82"/>
  <c r="K11" i="82" s="1"/>
  <c r="L12" i="82"/>
  <c r="L11" i="82" s="1"/>
  <c r="M12" i="82"/>
  <c r="M11" i="82" s="1"/>
  <c r="N12" i="82"/>
  <c r="N11" i="82" s="1"/>
  <c r="P10" i="82"/>
  <c r="Q10" i="82"/>
  <c r="R10" i="82"/>
  <c r="S10" i="82"/>
  <c r="T10" i="82"/>
  <c r="O10" i="82"/>
  <c r="J10" i="82"/>
  <c r="K10" i="82"/>
  <c r="L10" i="82"/>
  <c r="M10" i="82"/>
  <c r="N10" i="82"/>
  <c r="K100" i="81" l="1"/>
  <c r="K99" i="81"/>
  <c r="K98" i="81"/>
  <c r="K97" i="81"/>
  <c r="K96" i="81"/>
  <c r="K95" i="81"/>
  <c r="K94" i="81"/>
  <c r="K93" i="81"/>
  <c r="K92" i="81"/>
  <c r="K91" i="81"/>
  <c r="K90" i="81"/>
  <c r="K89" i="81"/>
  <c r="J100" i="81"/>
  <c r="J99" i="81"/>
  <c r="J98" i="81"/>
  <c r="J97" i="81"/>
  <c r="J96" i="81"/>
  <c r="J89" i="81"/>
  <c r="J90" i="81"/>
  <c r="J91" i="81"/>
  <c r="J92" i="81"/>
  <c r="J93" i="81"/>
  <c r="J94" i="81"/>
  <c r="J95" i="81"/>
  <c r="K105" i="81" l="1"/>
  <c r="J105" i="81"/>
  <c r="M93" i="81"/>
  <c r="L93" i="81" a="1"/>
  <c r="L93" i="81" s="1"/>
  <c r="M60" i="81"/>
  <c r="J60" i="81"/>
  <c r="K60" i="81"/>
  <c r="L60" i="81"/>
  <c r="J35" i="81"/>
  <c r="K35" i="81"/>
  <c r="L35" i="81"/>
  <c r="M59" i="81"/>
  <c r="J59" i="81"/>
  <c r="K59" i="81"/>
  <c r="L59" i="81"/>
  <c r="M99" i="81"/>
  <c r="L99" i="81" a="1"/>
  <c r="L99" i="81" s="1"/>
  <c r="M98" i="81"/>
  <c r="L98" i="81" a="1"/>
  <c r="L98" i="81" s="1"/>
  <c r="J37" i="81"/>
  <c r="K37" i="81"/>
  <c r="L37" i="81"/>
  <c r="J34" i="81"/>
  <c r="K34" i="81"/>
  <c r="L34" i="81"/>
  <c r="J33" i="81"/>
  <c r="K33" i="81"/>
  <c r="L33" i="81"/>
  <c r="M97" i="81"/>
  <c r="L97" i="81" a="1"/>
  <c r="L97" i="81" s="1"/>
  <c r="J40" i="81"/>
  <c r="K40" i="81"/>
  <c r="L40" i="81"/>
  <c r="M56" i="81"/>
  <c r="J56" i="81"/>
  <c r="K56" i="81"/>
  <c r="L56" i="81"/>
  <c r="M96" i="81"/>
  <c r="L96" i="81" a="1"/>
  <c r="L96" i="81" s="1"/>
  <c r="J39" i="81"/>
  <c r="K39" i="81"/>
  <c r="L39" i="81"/>
  <c r="M55" i="81"/>
  <c r="J55" i="81"/>
  <c r="K55" i="81"/>
  <c r="L55" i="81"/>
  <c r="M53" i="81"/>
  <c r="J53" i="81"/>
  <c r="K53" i="81"/>
  <c r="L53" i="81"/>
  <c r="J36" i="81"/>
  <c r="K36" i="81"/>
  <c r="L36" i="81"/>
  <c r="M100" i="81"/>
  <c r="L100" i="81" a="1"/>
  <c r="L100" i="81" s="1"/>
  <c r="M58" i="81"/>
  <c r="J58" i="81"/>
  <c r="K58" i="81"/>
  <c r="L58" i="81"/>
  <c r="M57" i="81"/>
  <c r="J57" i="81"/>
  <c r="K57" i="81"/>
  <c r="L57" i="81"/>
  <c r="M95" i="81"/>
  <c r="L95" i="81" a="1"/>
  <c r="L95" i="81" s="1"/>
  <c r="J38" i="81"/>
  <c r="K38" i="81"/>
  <c r="L38" i="81"/>
  <c r="M54" i="81"/>
  <c r="J54" i="81"/>
  <c r="K54" i="81"/>
  <c r="L54" i="81"/>
  <c r="M94" i="81"/>
  <c r="L94" i="81" a="1"/>
  <c r="L94" i="81" s="1"/>
  <c r="M52" i="81"/>
  <c r="J52" i="81"/>
  <c r="K52" i="81"/>
  <c r="L52" i="81"/>
  <c r="M92" i="81"/>
  <c r="L92" i="81" a="1"/>
  <c r="L92" i="81" s="1"/>
  <c r="J32" i="81"/>
  <c r="K32" i="81"/>
  <c r="L32" i="81"/>
  <c r="M51" i="81"/>
  <c r="J51" i="81"/>
  <c r="K51" i="81"/>
  <c r="L51" i="81"/>
  <c r="M91" i="81"/>
  <c r="L91" i="81" a="1"/>
  <c r="L91" i="81" s="1"/>
  <c r="J31" i="81"/>
  <c r="K31" i="81"/>
  <c r="L31" i="81"/>
  <c r="M50" i="81"/>
  <c r="J50" i="81"/>
  <c r="K50" i="81"/>
  <c r="L50" i="81"/>
  <c r="M90" i="81"/>
  <c r="L90" i="81" a="1"/>
  <c r="L90" i="81" s="1"/>
  <c r="J30" i="81"/>
  <c r="K30" i="81"/>
  <c r="L30" i="81"/>
  <c r="M49" i="81"/>
  <c r="J49" i="81" a="1"/>
  <c r="J49" i="81" s="1"/>
  <c r="K49" i="81" a="1"/>
  <c r="K49" i="81" s="1"/>
  <c r="L49" i="81" a="1"/>
  <c r="L49" i="81" s="1"/>
  <c r="J29" i="81" a="1"/>
  <c r="J29" i="81" s="1"/>
  <c r="K29" i="81" a="1"/>
  <c r="K29" i="81" s="1"/>
  <c r="L29" i="81" a="1"/>
  <c r="L29" i="81" s="1"/>
  <c r="M89" i="81"/>
  <c r="L89" i="81" a="1"/>
  <c r="L89" i="81" s="1"/>
  <c r="E206" i="77"/>
  <c r="E207" i="77"/>
  <c r="E208" i="77"/>
  <c r="E209" i="77"/>
  <c r="E210" i="77"/>
  <c r="E211" i="77"/>
  <c r="E212" i="77"/>
  <c r="E213" i="77"/>
  <c r="E214" i="77"/>
  <c r="E215" i="77"/>
  <c r="E216" i="77"/>
  <c r="E217" i="77"/>
  <c r="E218" i="77"/>
  <c r="E219" i="77"/>
  <c r="E188" i="77"/>
  <c r="E189" i="77"/>
  <c r="E190" i="77"/>
  <c r="E191" i="77"/>
  <c r="E192" i="77"/>
  <c r="E193" i="77"/>
  <c r="E194" i="77"/>
  <c r="E195" i="77"/>
  <c r="E196" i="77"/>
  <c r="E197" i="77"/>
  <c r="E198" i="77"/>
  <c r="E199" i="77"/>
  <c r="E200" i="77"/>
  <c r="E201" i="77"/>
  <c r="E332" i="75"/>
  <c r="E333" i="75"/>
  <c r="E334" i="75"/>
  <c r="E335" i="75"/>
  <c r="E336" i="75"/>
  <c r="E337" i="75"/>
  <c r="E338" i="75"/>
  <c r="E339" i="75"/>
  <c r="E340" i="75"/>
  <c r="E341" i="75"/>
  <c r="E342" i="75"/>
  <c r="E343" i="75"/>
  <c r="E344" i="75"/>
  <c r="E345" i="75"/>
  <c r="E314" i="75"/>
  <c r="E315" i="75"/>
  <c r="E316" i="75"/>
  <c r="E317" i="75"/>
  <c r="E318" i="75"/>
  <c r="E319" i="75"/>
  <c r="E320" i="75"/>
  <c r="E321" i="75"/>
  <c r="E322" i="75"/>
  <c r="E323" i="75"/>
  <c r="E324" i="75"/>
  <c r="E325" i="75"/>
  <c r="E326" i="75"/>
  <c r="E327" i="75"/>
  <c r="E729" i="69"/>
  <c r="E730" i="69"/>
  <c r="E731" i="69"/>
  <c r="E732" i="69"/>
  <c r="E733" i="69"/>
  <c r="E734" i="69"/>
  <c r="E735" i="69"/>
  <c r="E736" i="69"/>
  <c r="E737" i="69"/>
  <c r="E738" i="69"/>
  <c r="E739" i="69"/>
  <c r="E740" i="69"/>
  <c r="E741" i="69"/>
  <c r="E742" i="69"/>
  <c r="E711" i="69"/>
  <c r="E712" i="69"/>
  <c r="E713" i="69"/>
  <c r="E714" i="69"/>
  <c r="E715" i="69"/>
  <c r="E716" i="69"/>
  <c r="E717" i="69"/>
  <c r="E718" i="69"/>
  <c r="E719" i="69"/>
  <c r="E720" i="69"/>
  <c r="E721" i="69"/>
  <c r="E722" i="69"/>
  <c r="E723" i="69"/>
  <c r="E724" i="69"/>
  <c r="E461" i="69"/>
  <c r="E462" i="69"/>
  <c r="E463" i="69"/>
  <c r="E464" i="69"/>
  <c r="E465" i="69"/>
  <c r="E466" i="69"/>
  <c r="E467" i="69"/>
  <c r="E468" i="69"/>
  <c r="E469" i="69"/>
  <c r="E470" i="69"/>
  <c r="E471" i="69"/>
  <c r="E472" i="69"/>
  <c r="E473" i="69"/>
  <c r="E474" i="69"/>
  <c r="E443" i="69"/>
  <c r="E444" i="69"/>
  <c r="E445" i="69"/>
  <c r="E446" i="69"/>
  <c r="E447" i="69"/>
  <c r="E448" i="69"/>
  <c r="E449" i="69"/>
  <c r="E450" i="69"/>
  <c r="E451" i="69"/>
  <c r="E452" i="69"/>
  <c r="E453" i="69"/>
  <c r="E454" i="69"/>
  <c r="E455" i="69"/>
  <c r="E456" i="69"/>
  <c r="E206" i="69"/>
  <c r="E207" i="69"/>
  <c r="E208" i="69"/>
  <c r="E209" i="69"/>
  <c r="E210" i="69"/>
  <c r="E211" i="69"/>
  <c r="E212" i="69"/>
  <c r="E213" i="69"/>
  <c r="E214" i="69"/>
  <c r="E215" i="69"/>
  <c r="E216" i="69"/>
  <c r="E217" i="69"/>
  <c r="E218" i="69"/>
  <c r="E219" i="69"/>
  <c r="E188" i="69"/>
  <c r="E189" i="69"/>
  <c r="E190" i="69"/>
  <c r="E191" i="69"/>
  <c r="E192" i="69"/>
  <c r="E193" i="69"/>
  <c r="E194" i="69"/>
  <c r="E195" i="69"/>
  <c r="E196" i="69"/>
  <c r="E197" i="69"/>
  <c r="E198" i="69"/>
  <c r="E199" i="69"/>
  <c r="E200" i="69"/>
  <c r="E201" i="69"/>
  <c r="E978" i="61"/>
  <c r="E979" i="61"/>
  <c r="E980" i="61"/>
  <c r="E981" i="61"/>
  <c r="E982" i="61"/>
  <c r="E983" i="61"/>
  <c r="E984" i="61"/>
  <c r="E985" i="61"/>
  <c r="E986" i="61"/>
  <c r="E987" i="61"/>
  <c r="E988" i="61"/>
  <c r="E989" i="61"/>
  <c r="E990" i="61"/>
  <c r="E991" i="61"/>
  <c r="E960" i="61"/>
  <c r="E961" i="61"/>
  <c r="E962" i="61"/>
  <c r="E963" i="61"/>
  <c r="E964" i="61"/>
  <c r="E965" i="61"/>
  <c r="E966" i="61"/>
  <c r="E967" i="61"/>
  <c r="E968" i="61"/>
  <c r="E969" i="61"/>
  <c r="E970" i="61"/>
  <c r="E971" i="61"/>
  <c r="E972" i="61"/>
  <c r="E973" i="61"/>
  <c r="E723" i="61"/>
  <c r="E724" i="61"/>
  <c r="E725" i="61"/>
  <c r="E726" i="61"/>
  <c r="E727" i="61"/>
  <c r="E728" i="61"/>
  <c r="E729" i="61"/>
  <c r="E730" i="61"/>
  <c r="E731" i="61"/>
  <c r="E732" i="61"/>
  <c r="E733" i="61"/>
  <c r="E734" i="61"/>
  <c r="E735" i="61"/>
  <c r="E736" i="61"/>
  <c r="E705" i="61"/>
  <c r="E706" i="61"/>
  <c r="E707" i="61"/>
  <c r="E708" i="61"/>
  <c r="E709" i="61"/>
  <c r="E710" i="61"/>
  <c r="E711" i="61"/>
  <c r="E712" i="61"/>
  <c r="E713" i="61"/>
  <c r="E714" i="61"/>
  <c r="E715" i="61"/>
  <c r="E716" i="61"/>
  <c r="E717" i="61"/>
  <c r="E718" i="61"/>
  <c r="E468" i="61"/>
  <c r="E469" i="61"/>
  <c r="E470" i="61"/>
  <c r="E471" i="61"/>
  <c r="E472" i="61"/>
  <c r="E473" i="61"/>
  <c r="E474" i="61"/>
  <c r="E475" i="61"/>
  <c r="E476" i="61"/>
  <c r="E477" i="61"/>
  <c r="E478" i="61"/>
  <c r="E479" i="61"/>
  <c r="E480" i="61"/>
  <c r="E481" i="61"/>
  <c r="E450" i="61"/>
  <c r="E451" i="61"/>
  <c r="E452" i="61"/>
  <c r="E453" i="61"/>
  <c r="E454" i="61"/>
  <c r="E455" i="61"/>
  <c r="E456" i="61"/>
  <c r="E457" i="61"/>
  <c r="E458" i="61"/>
  <c r="E459" i="61"/>
  <c r="E460" i="61"/>
  <c r="E461" i="61"/>
  <c r="E462" i="61"/>
  <c r="E463" i="61"/>
  <c r="E211" i="61"/>
  <c r="E212" i="61"/>
  <c r="E213" i="61"/>
  <c r="E214" i="61"/>
  <c r="E215" i="61"/>
  <c r="E216" i="61"/>
  <c r="E217" i="61"/>
  <c r="E218" i="61"/>
  <c r="E219" i="61"/>
  <c r="E220" i="61"/>
  <c r="E221" i="61"/>
  <c r="E222" i="61"/>
  <c r="E223" i="61"/>
  <c r="E224" i="61"/>
  <c r="E193" i="61"/>
  <c r="E194" i="61"/>
  <c r="E195" i="61"/>
  <c r="E196" i="61"/>
  <c r="E197" i="61"/>
  <c r="E198" i="61"/>
  <c r="E199" i="61"/>
  <c r="E200" i="61"/>
  <c r="E201" i="61"/>
  <c r="E202" i="61"/>
  <c r="E203" i="61"/>
  <c r="E204" i="61"/>
  <c r="E205" i="61"/>
  <c r="E206" i="61"/>
  <c r="E523" i="57"/>
  <c r="E524" i="57"/>
  <c r="E525" i="57"/>
  <c r="E526" i="57"/>
  <c r="E527" i="57"/>
  <c r="E528" i="57"/>
  <c r="E529" i="57"/>
  <c r="E530" i="57"/>
  <c r="E531" i="57"/>
  <c r="E532" i="57"/>
  <c r="E533" i="57"/>
  <c r="E534" i="57"/>
  <c r="E535" i="57"/>
  <c r="E536" i="57"/>
  <c r="E505" i="57"/>
  <c r="E506" i="57"/>
  <c r="E507" i="57"/>
  <c r="E508" i="57"/>
  <c r="E509" i="57"/>
  <c r="E510" i="57"/>
  <c r="E511" i="57"/>
  <c r="E512" i="57"/>
  <c r="E513" i="57"/>
  <c r="E514" i="57"/>
  <c r="E515" i="57"/>
  <c r="E516" i="57"/>
  <c r="E517" i="57"/>
  <c r="E518" i="57"/>
  <c r="E241" i="57"/>
  <c r="E242" i="57"/>
  <c r="E243" i="57"/>
  <c r="E244" i="57"/>
  <c r="E245" i="57"/>
  <c r="E246" i="57"/>
  <c r="E247" i="57"/>
  <c r="E248" i="57"/>
  <c r="E249" i="57"/>
  <c r="E250" i="57"/>
  <c r="E251" i="57"/>
  <c r="E252" i="57"/>
  <c r="E253" i="57"/>
  <c r="E254" i="57"/>
  <c r="E223" i="57"/>
  <c r="E224" i="57"/>
  <c r="E225" i="57"/>
  <c r="E226" i="57"/>
  <c r="E227" i="57"/>
  <c r="E228" i="57"/>
  <c r="E229" i="57"/>
  <c r="E230" i="57"/>
  <c r="E231" i="57"/>
  <c r="E232" i="57"/>
  <c r="E233" i="57"/>
  <c r="E234" i="57"/>
  <c r="E235" i="57"/>
  <c r="E236" i="57"/>
  <c r="E558" i="53"/>
  <c r="E559" i="53"/>
  <c r="E560" i="53"/>
  <c r="E561" i="53"/>
  <c r="E562" i="53"/>
  <c r="E563" i="53"/>
  <c r="E564" i="53"/>
  <c r="E565" i="53"/>
  <c r="E566" i="53"/>
  <c r="E567" i="53"/>
  <c r="E568" i="53"/>
  <c r="E569" i="53"/>
  <c r="E570" i="53"/>
  <c r="E571" i="53"/>
  <c r="E540" i="53"/>
  <c r="E541" i="53"/>
  <c r="E542" i="53"/>
  <c r="E543" i="53"/>
  <c r="E544" i="53"/>
  <c r="E545" i="53"/>
  <c r="E546" i="53"/>
  <c r="E547" i="53"/>
  <c r="E548" i="53"/>
  <c r="E549" i="53"/>
  <c r="E550" i="53"/>
  <c r="E551" i="53"/>
  <c r="E552" i="53"/>
  <c r="E553" i="53"/>
  <c r="E255" i="53"/>
  <c r="E256" i="53"/>
  <c r="E257" i="53"/>
  <c r="E258" i="53"/>
  <c r="E259" i="53"/>
  <c r="E260" i="53"/>
  <c r="E261" i="53"/>
  <c r="E262" i="53"/>
  <c r="E263" i="53"/>
  <c r="E264" i="53"/>
  <c r="E265" i="53"/>
  <c r="E266" i="53"/>
  <c r="E267" i="53"/>
  <c r="E268" i="53"/>
  <c r="E237" i="53"/>
  <c r="E238" i="53"/>
  <c r="E239" i="53"/>
  <c r="E240" i="53"/>
  <c r="E241" i="53"/>
  <c r="E242" i="53"/>
  <c r="E243" i="53"/>
  <c r="E244" i="53"/>
  <c r="E245" i="53"/>
  <c r="E246" i="53"/>
  <c r="E247" i="53"/>
  <c r="E248" i="53"/>
  <c r="E249" i="53"/>
  <c r="E250" i="53"/>
  <c r="E502" i="49"/>
  <c r="E503" i="49"/>
  <c r="E504" i="49"/>
  <c r="E505" i="49"/>
  <c r="E506" i="49"/>
  <c r="E507" i="49"/>
  <c r="E508" i="49"/>
  <c r="E509" i="49"/>
  <c r="E510" i="49"/>
  <c r="E511" i="49"/>
  <c r="E512" i="49"/>
  <c r="E513" i="49"/>
  <c r="E514" i="49"/>
  <c r="E515" i="49"/>
  <c r="E484" i="49"/>
  <c r="E485" i="49"/>
  <c r="E486" i="49"/>
  <c r="E487" i="49"/>
  <c r="E488" i="49"/>
  <c r="E489" i="49"/>
  <c r="E490" i="49"/>
  <c r="E491" i="49"/>
  <c r="E492" i="49"/>
  <c r="E493" i="49"/>
  <c r="E494" i="49"/>
  <c r="E495" i="49"/>
  <c r="E496" i="49"/>
  <c r="E497" i="49"/>
  <c r="E227" i="49"/>
  <c r="E228" i="49"/>
  <c r="E229" i="49"/>
  <c r="E230" i="49"/>
  <c r="E231" i="49"/>
  <c r="E232" i="49"/>
  <c r="E233" i="49"/>
  <c r="E234" i="49"/>
  <c r="E235" i="49"/>
  <c r="E236" i="49"/>
  <c r="E237" i="49"/>
  <c r="E238" i="49"/>
  <c r="E239" i="49"/>
  <c r="E240" i="49"/>
  <c r="E209" i="49"/>
  <c r="E210" i="49"/>
  <c r="E211" i="49"/>
  <c r="E212" i="49"/>
  <c r="E213" i="49"/>
  <c r="E214" i="49"/>
  <c r="E215" i="49"/>
  <c r="E216" i="49"/>
  <c r="E217" i="49"/>
  <c r="E218" i="49"/>
  <c r="E219" i="49"/>
  <c r="E220" i="49"/>
  <c r="E221" i="49"/>
  <c r="E222" i="49"/>
  <c r="E502" i="45"/>
  <c r="E503" i="45"/>
  <c r="E504" i="45"/>
  <c r="E505" i="45"/>
  <c r="E506" i="45"/>
  <c r="E507" i="45"/>
  <c r="E508" i="45"/>
  <c r="E509" i="45"/>
  <c r="E510" i="45"/>
  <c r="E511" i="45"/>
  <c r="E512" i="45"/>
  <c r="E513" i="45"/>
  <c r="E514" i="45"/>
  <c r="E515" i="45"/>
  <c r="E484" i="45"/>
  <c r="E485" i="45"/>
  <c r="E486" i="45"/>
  <c r="E487" i="45"/>
  <c r="E488" i="45"/>
  <c r="E489" i="45"/>
  <c r="E490" i="45"/>
  <c r="E491" i="45"/>
  <c r="E492" i="45"/>
  <c r="E493" i="45"/>
  <c r="E494" i="45"/>
  <c r="E495" i="45"/>
  <c r="E496" i="45"/>
  <c r="E497" i="45"/>
  <c r="E248" i="45"/>
  <c r="E249" i="45"/>
  <c r="E250" i="45"/>
  <c r="E251" i="45"/>
  <c r="E252" i="45"/>
  <c r="E253" i="45"/>
  <c r="E254" i="45"/>
  <c r="E255" i="45"/>
  <c r="E256" i="45"/>
  <c r="E257" i="45"/>
  <c r="E258" i="45"/>
  <c r="E259" i="45"/>
  <c r="E260" i="45"/>
  <c r="E261" i="45"/>
  <c r="E230" i="45"/>
  <c r="E231" i="45"/>
  <c r="E232" i="45"/>
  <c r="E233" i="45"/>
  <c r="E234" i="45"/>
  <c r="E235" i="45"/>
  <c r="E236" i="45"/>
  <c r="E237" i="45"/>
  <c r="E238" i="45"/>
  <c r="E239" i="45"/>
  <c r="E240" i="45"/>
  <c r="E241" i="45"/>
  <c r="E242" i="45"/>
  <c r="E243" i="45"/>
  <c r="E516" i="41"/>
  <c r="E517" i="41"/>
  <c r="E518" i="41"/>
  <c r="E519" i="41"/>
  <c r="E520" i="41"/>
  <c r="E521" i="41"/>
  <c r="E522" i="41"/>
  <c r="E523" i="41"/>
  <c r="E524" i="41"/>
  <c r="E525" i="41"/>
  <c r="E526" i="41"/>
  <c r="E527" i="41"/>
  <c r="E528" i="41"/>
  <c r="E529" i="41"/>
  <c r="E498" i="41"/>
  <c r="E499" i="41"/>
  <c r="E500" i="41"/>
  <c r="E501" i="41"/>
  <c r="E502" i="41"/>
  <c r="E503" i="41"/>
  <c r="E504" i="41"/>
  <c r="E505" i="41"/>
  <c r="E506" i="41"/>
  <c r="E507" i="41"/>
  <c r="E508" i="41"/>
  <c r="E509" i="41"/>
  <c r="E510" i="41"/>
  <c r="E511" i="41"/>
  <c r="E227" i="41"/>
  <c r="E228" i="41"/>
  <c r="E229" i="41"/>
  <c r="E230" i="41"/>
  <c r="E231" i="41"/>
  <c r="E232" i="41"/>
  <c r="E233" i="41"/>
  <c r="E234" i="41"/>
  <c r="E235" i="41"/>
  <c r="E236" i="41"/>
  <c r="E237" i="41"/>
  <c r="E238" i="41"/>
  <c r="E239" i="41"/>
  <c r="E240" i="41"/>
  <c r="E209" i="41"/>
  <c r="E210" i="41"/>
  <c r="E211" i="41"/>
  <c r="E212" i="41"/>
  <c r="E213" i="41"/>
  <c r="E214" i="41"/>
  <c r="E215" i="41"/>
  <c r="E216" i="41"/>
  <c r="E217" i="41"/>
  <c r="E218" i="41"/>
  <c r="E219" i="41"/>
  <c r="E220" i="41"/>
  <c r="E221" i="41"/>
  <c r="E222" i="41"/>
  <c r="E481" i="37"/>
  <c r="E482" i="37"/>
  <c r="E483" i="37"/>
  <c r="E484" i="37"/>
  <c r="E485" i="37"/>
  <c r="E486" i="37"/>
  <c r="E487" i="37"/>
  <c r="E488" i="37"/>
  <c r="E489" i="37"/>
  <c r="E490" i="37"/>
  <c r="E491" i="37"/>
  <c r="E492" i="37"/>
  <c r="E493" i="37"/>
  <c r="E494" i="37"/>
  <c r="E463" i="37"/>
  <c r="E464" i="37"/>
  <c r="E465" i="37"/>
  <c r="E466" i="37"/>
  <c r="E467" i="37"/>
  <c r="E468" i="37"/>
  <c r="E469" i="37"/>
  <c r="E470" i="37"/>
  <c r="E471" i="37"/>
  <c r="E472" i="37"/>
  <c r="E473" i="37"/>
  <c r="E474" i="37"/>
  <c r="E475" i="37"/>
  <c r="E476" i="37"/>
  <c r="E227" i="37"/>
  <c r="E228" i="37"/>
  <c r="E229" i="37"/>
  <c r="E230" i="37"/>
  <c r="E231" i="37"/>
  <c r="E232" i="37"/>
  <c r="E233" i="37"/>
  <c r="E234" i="37"/>
  <c r="E235" i="37"/>
  <c r="E236" i="37"/>
  <c r="E237" i="37"/>
  <c r="E238" i="37"/>
  <c r="E239" i="37"/>
  <c r="E240" i="37"/>
  <c r="E209" i="37"/>
  <c r="E210" i="37"/>
  <c r="E211" i="37"/>
  <c r="E212" i="37"/>
  <c r="E213" i="37"/>
  <c r="E214" i="37"/>
  <c r="E215" i="37"/>
  <c r="E216" i="37"/>
  <c r="E217" i="37"/>
  <c r="E218" i="37"/>
  <c r="E219" i="37"/>
  <c r="E220" i="37"/>
  <c r="E221" i="37"/>
  <c r="E222" i="37"/>
  <c r="E777" i="19"/>
  <c r="E778" i="19"/>
  <c r="E779" i="19"/>
  <c r="E780" i="19"/>
  <c r="E781" i="19"/>
  <c r="E782" i="19"/>
  <c r="E783" i="19"/>
  <c r="E784" i="19"/>
  <c r="E785" i="19"/>
  <c r="E786" i="19"/>
  <c r="E787" i="19"/>
  <c r="E788" i="19"/>
  <c r="E789" i="19"/>
  <c r="E790" i="19"/>
  <c r="E759" i="19"/>
  <c r="E760" i="19"/>
  <c r="E761" i="19"/>
  <c r="E762" i="19"/>
  <c r="E763" i="19"/>
  <c r="E764" i="19"/>
  <c r="E765" i="19"/>
  <c r="E766" i="19"/>
  <c r="E767" i="19"/>
  <c r="E768" i="19"/>
  <c r="E769" i="19"/>
  <c r="E770" i="19"/>
  <c r="E771" i="19"/>
  <c r="E772" i="19"/>
  <c r="E206" i="33"/>
  <c r="E207" i="33"/>
  <c r="E208" i="33"/>
  <c r="E209" i="33"/>
  <c r="E210" i="33"/>
  <c r="E211" i="33"/>
  <c r="E212" i="33"/>
  <c r="E213" i="33"/>
  <c r="E214" i="33"/>
  <c r="E215" i="33"/>
  <c r="E216" i="33"/>
  <c r="E217" i="33"/>
  <c r="E218" i="33"/>
  <c r="E219" i="33"/>
  <c r="E188" i="33"/>
  <c r="E189" i="33"/>
  <c r="E190" i="33"/>
  <c r="E191" i="33"/>
  <c r="E192" i="33"/>
  <c r="E193" i="33"/>
  <c r="E194" i="33"/>
  <c r="E195" i="33"/>
  <c r="E196" i="33"/>
  <c r="E197" i="33"/>
  <c r="E198" i="33"/>
  <c r="E199" i="33"/>
  <c r="E200" i="33"/>
  <c r="E201" i="33"/>
  <c r="E502" i="19"/>
  <c r="E503" i="19"/>
  <c r="E504" i="19"/>
  <c r="E505" i="19"/>
  <c r="E506" i="19"/>
  <c r="E507" i="19"/>
  <c r="E508" i="19"/>
  <c r="E509" i="19"/>
  <c r="E510" i="19"/>
  <c r="E511" i="19"/>
  <c r="E512" i="19"/>
  <c r="E513" i="19"/>
  <c r="E514" i="19"/>
  <c r="E515" i="19"/>
  <c r="E484" i="19"/>
  <c r="E485" i="19"/>
  <c r="E486" i="19"/>
  <c r="E487" i="19"/>
  <c r="E488" i="19"/>
  <c r="E489" i="19"/>
  <c r="E490" i="19"/>
  <c r="E491" i="19"/>
  <c r="E492" i="19"/>
  <c r="E493" i="19"/>
  <c r="E494" i="19"/>
  <c r="E495" i="19"/>
  <c r="E496" i="19"/>
  <c r="E497" i="19"/>
  <c r="E276" i="29"/>
  <c r="E277" i="29"/>
  <c r="E278" i="29"/>
  <c r="E279" i="29"/>
  <c r="E280" i="29"/>
  <c r="E281" i="29"/>
  <c r="E282" i="29"/>
  <c r="E283" i="29"/>
  <c r="E284" i="29"/>
  <c r="E285" i="29"/>
  <c r="E286" i="29"/>
  <c r="E287" i="29"/>
  <c r="E288" i="29"/>
  <c r="E289" i="29"/>
  <c r="E258" i="29"/>
  <c r="E259" i="29"/>
  <c r="E260" i="29"/>
  <c r="E261" i="29"/>
  <c r="E262" i="29"/>
  <c r="E263" i="29"/>
  <c r="E264" i="29"/>
  <c r="E265" i="29"/>
  <c r="E266" i="29"/>
  <c r="E267" i="29"/>
  <c r="E268" i="29"/>
  <c r="E269" i="29"/>
  <c r="E270" i="29"/>
  <c r="E271" i="29"/>
  <c r="E227" i="19"/>
  <c r="E228" i="19"/>
  <c r="E229" i="19"/>
  <c r="E230" i="19"/>
  <c r="E231" i="19"/>
  <c r="E232" i="19"/>
  <c r="E233" i="19"/>
  <c r="E234" i="19"/>
  <c r="E235" i="19"/>
  <c r="E236" i="19"/>
  <c r="E237" i="19"/>
  <c r="E238" i="19"/>
  <c r="E239" i="19"/>
  <c r="E240" i="19"/>
  <c r="E209" i="19"/>
  <c r="E210" i="19"/>
  <c r="E211" i="19"/>
  <c r="E212" i="19"/>
  <c r="E213" i="19"/>
  <c r="E214" i="19"/>
  <c r="E215" i="19"/>
  <c r="E216" i="19"/>
  <c r="E217" i="19"/>
  <c r="E218" i="19"/>
  <c r="E219" i="19"/>
  <c r="E220" i="19"/>
  <c r="E221" i="19"/>
  <c r="E222" i="19"/>
  <c r="E283" i="18"/>
  <c r="E284" i="18"/>
  <c r="E285" i="18"/>
  <c r="E286" i="18"/>
  <c r="E287" i="18"/>
  <c r="E288" i="18"/>
  <c r="E289" i="18"/>
  <c r="E290" i="18"/>
  <c r="E291" i="18"/>
  <c r="E292" i="18"/>
  <c r="E293" i="18"/>
  <c r="E294" i="18"/>
  <c r="E295" i="18"/>
  <c r="E296" i="18"/>
  <c r="E265" i="18"/>
  <c r="E266" i="18"/>
  <c r="E267" i="18"/>
  <c r="E268" i="18"/>
  <c r="E269" i="18"/>
  <c r="E270" i="18"/>
  <c r="E271" i="18"/>
  <c r="E272" i="18"/>
  <c r="E273" i="18"/>
  <c r="E274" i="18"/>
  <c r="E275" i="18"/>
  <c r="E276" i="18"/>
  <c r="E277" i="18"/>
  <c r="E278" i="18"/>
  <c r="N144" i="81"/>
  <c r="N126" i="81"/>
  <c r="F162" i="80"/>
  <c r="F163" i="80"/>
  <c r="F164" i="80"/>
  <c r="F165" i="80"/>
  <c r="F166" i="80"/>
  <c r="F167" i="80"/>
  <c r="F168" i="80"/>
  <c r="F169" i="80"/>
  <c r="F170" i="80"/>
  <c r="F171" i="80"/>
  <c r="F172" i="80"/>
  <c r="F173" i="80"/>
  <c r="F174" i="80"/>
  <c r="F175" i="80"/>
  <c r="F144" i="80"/>
  <c r="F145" i="80"/>
  <c r="F146" i="80"/>
  <c r="F147" i="80"/>
  <c r="F148" i="80"/>
  <c r="F149" i="80"/>
  <c r="F150" i="80"/>
  <c r="F151" i="80"/>
  <c r="F152" i="80"/>
  <c r="F153" i="80"/>
  <c r="F154" i="80"/>
  <c r="F155" i="80"/>
  <c r="F156" i="80"/>
  <c r="F157" i="80"/>
  <c r="F202" i="79"/>
  <c r="F203" i="79"/>
  <c r="F204" i="79"/>
  <c r="F205" i="79"/>
  <c r="F206" i="79"/>
  <c r="F207" i="79"/>
  <c r="F208" i="79"/>
  <c r="F209" i="79"/>
  <c r="F210" i="79"/>
  <c r="F211" i="79"/>
  <c r="F212" i="79"/>
  <c r="F213" i="79"/>
  <c r="F214" i="79"/>
  <c r="F215" i="79"/>
  <c r="F184" i="79"/>
  <c r="F185" i="79"/>
  <c r="F186" i="79"/>
  <c r="F187" i="79"/>
  <c r="F188" i="79"/>
  <c r="F189" i="79"/>
  <c r="F190" i="79"/>
  <c r="F191" i="79"/>
  <c r="F192" i="79"/>
  <c r="F193" i="79"/>
  <c r="F194" i="79"/>
  <c r="F195" i="79"/>
  <c r="F196" i="79"/>
  <c r="F197" i="79"/>
  <c r="F202" i="78"/>
  <c r="F203" i="78"/>
  <c r="F204" i="78"/>
  <c r="F205" i="78"/>
  <c r="F206" i="78"/>
  <c r="F207" i="78"/>
  <c r="F208" i="78"/>
  <c r="F209" i="78"/>
  <c r="F210" i="78"/>
  <c r="F211" i="78"/>
  <c r="F212" i="78"/>
  <c r="F213" i="78"/>
  <c r="F214" i="78"/>
  <c r="F215" i="78"/>
  <c r="F184" i="78"/>
  <c r="F185" i="78"/>
  <c r="F186" i="78"/>
  <c r="F187" i="78"/>
  <c r="F188" i="78"/>
  <c r="F189" i="78"/>
  <c r="F190" i="78"/>
  <c r="F191" i="78"/>
  <c r="F192" i="78"/>
  <c r="F193" i="78"/>
  <c r="F194" i="78"/>
  <c r="F195" i="78"/>
  <c r="F196" i="78"/>
  <c r="F197" i="78"/>
  <c r="F202" i="27"/>
  <c r="F203" i="27"/>
  <c r="F204" i="27"/>
  <c r="F205" i="27"/>
  <c r="F206" i="27"/>
  <c r="F207" i="27"/>
  <c r="F208" i="27"/>
  <c r="F209" i="27"/>
  <c r="F210" i="27"/>
  <c r="F211" i="27"/>
  <c r="F212" i="27"/>
  <c r="F213" i="27"/>
  <c r="F214" i="27"/>
  <c r="F215" i="27"/>
  <c r="F184" i="27"/>
  <c r="F185" i="27"/>
  <c r="F186" i="27"/>
  <c r="F187" i="27"/>
  <c r="F188" i="27"/>
  <c r="F189" i="27"/>
  <c r="F190" i="27"/>
  <c r="F191" i="27"/>
  <c r="F192" i="27"/>
  <c r="F193" i="27"/>
  <c r="F194" i="27"/>
  <c r="F195" i="27"/>
  <c r="F196" i="27"/>
  <c r="F197" i="27"/>
  <c r="F130" i="81"/>
  <c r="F131" i="81"/>
  <c r="F132" i="81"/>
  <c r="F133" i="81"/>
  <c r="F134" i="81"/>
  <c r="F135" i="81"/>
  <c r="F136" i="81"/>
  <c r="F137" i="81"/>
  <c r="F138" i="81"/>
  <c r="F139" i="81"/>
  <c r="F140" i="81"/>
  <c r="F141" i="81"/>
  <c r="F142" i="81"/>
  <c r="F143" i="81"/>
  <c r="F112" i="81"/>
  <c r="F113" i="81"/>
  <c r="F114" i="81"/>
  <c r="F115" i="81"/>
  <c r="F116" i="81"/>
  <c r="F117" i="81"/>
  <c r="F118" i="81"/>
  <c r="F119" i="81"/>
  <c r="F120" i="81"/>
  <c r="F121" i="81"/>
  <c r="F122" i="81"/>
  <c r="F123" i="81"/>
  <c r="F124" i="81"/>
  <c r="F125" i="81"/>
  <c r="K65" i="81" l="1"/>
  <c r="J79" i="81"/>
  <c r="K80" i="81"/>
  <c r="K74" i="81"/>
  <c r="J65" i="81"/>
  <c r="J80" i="81"/>
  <c r="J74" i="81"/>
  <c r="L77" i="81"/>
  <c r="M65" i="81"/>
  <c r="M105" i="81"/>
  <c r="L70" i="81"/>
  <c r="L76" i="81"/>
  <c r="K77" i="81"/>
  <c r="L105" i="81"/>
  <c r="L69" i="81"/>
  <c r="L45" i="81"/>
  <c r="K70" i="81"/>
  <c r="L71" i="81"/>
  <c r="L78" i="81"/>
  <c r="K76" i="81"/>
  <c r="L73" i="81"/>
  <c r="J77" i="81"/>
  <c r="K69" i="81"/>
  <c r="K45" i="81"/>
  <c r="J70" i="81"/>
  <c r="K71" i="81"/>
  <c r="L72" i="81"/>
  <c r="K78" i="81"/>
  <c r="J76" i="81"/>
  <c r="K73" i="81"/>
  <c r="L75" i="81"/>
  <c r="J69" i="81"/>
  <c r="J45" i="81"/>
  <c r="J71" i="81"/>
  <c r="K72" i="81"/>
  <c r="J78" i="81"/>
  <c r="L79" i="81"/>
  <c r="J73" i="81"/>
  <c r="K75" i="81"/>
  <c r="L65" i="81"/>
  <c r="J72" i="81"/>
  <c r="K79" i="81"/>
  <c r="L80" i="81"/>
  <c r="L74" i="81"/>
  <c r="J75" i="81"/>
  <c r="M135" i="81"/>
  <c r="L135" i="81" a="1"/>
  <c r="L135" i="81" s="1"/>
  <c r="M118" i="81"/>
  <c r="K118" i="81" a="1"/>
  <c r="K118" i="81" s="1"/>
  <c r="J118" i="81" a="1"/>
  <c r="J118" i="81" s="1"/>
  <c r="L118" i="81" a="1"/>
  <c r="L118" i="81" s="1"/>
  <c r="M143" i="81"/>
  <c r="L143" i="81" a="1"/>
  <c r="L143" i="81" s="1"/>
  <c r="M117" i="81"/>
  <c r="J117" i="81" a="1"/>
  <c r="J117" i="81" s="1"/>
  <c r="K117" i="81" a="1"/>
  <c r="K117" i="81" s="1"/>
  <c r="L117" i="81" a="1"/>
  <c r="L117" i="81" s="1"/>
  <c r="M134" i="81"/>
  <c r="L134" i="81" a="1"/>
  <c r="L134" i="81" s="1"/>
  <c r="M125" i="81"/>
  <c r="J125" i="81" a="1"/>
  <c r="J125" i="81" s="1"/>
  <c r="L125" i="81" a="1"/>
  <c r="L125" i="81" s="1"/>
  <c r="K125" i="81" a="1"/>
  <c r="K125" i="81" s="1"/>
  <c r="M133" i="81"/>
  <c r="L133" i="81" a="1"/>
  <c r="L133" i="81" s="1"/>
  <c r="M116" i="81"/>
  <c r="L116" i="81" a="1"/>
  <c r="L116" i="81" s="1"/>
  <c r="K116" i="81" a="1"/>
  <c r="K116" i="81" s="1"/>
  <c r="J116" i="81" a="1"/>
  <c r="J116" i="81" s="1"/>
  <c r="M132" i="81"/>
  <c r="L132" i="81" a="1"/>
  <c r="L132" i="81" s="1"/>
  <c r="M123" i="81"/>
  <c r="L123" i="81" a="1"/>
  <c r="L123" i="81" s="1"/>
  <c r="K123" i="81" a="1"/>
  <c r="K123" i="81" s="1"/>
  <c r="J123" i="81" a="1"/>
  <c r="J123" i="81" s="1"/>
  <c r="M115" i="81"/>
  <c r="L115" i="81" a="1"/>
  <c r="L115" i="81" s="1"/>
  <c r="K115" i="81" a="1"/>
  <c r="K115" i="81" s="1"/>
  <c r="J115" i="81" a="1"/>
  <c r="J115" i="81" s="1"/>
  <c r="M139" i="81"/>
  <c r="L139" i="81" a="1"/>
  <c r="L139" i="81" s="1"/>
  <c r="M131" i="81"/>
  <c r="L131" i="81" a="1"/>
  <c r="L131" i="81" s="1"/>
  <c r="M142" i="81"/>
  <c r="L142" i="81" a="1"/>
  <c r="L142" i="81" s="1"/>
  <c r="M141" i="81"/>
  <c r="L141" i="81" a="1"/>
  <c r="L141" i="81" s="1"/>
  <c r="M124" i="81"/>
  <c r="L124" i="81" a="1"/>
  <c r="L124" i="81" s="1"/>
  <c r="K124" i="81" a="1"/>
  <c r="K124" i="81" s="1"/>
  <c r="J124" i="81" a="1"/>
  <c r="J124" i="81" s="1"/>
  <c r="M140" i="81"/>
  <c r="L140" i="81" a="1"/>
  <c r="L140" i="81" s="1"/>
  <c r="M122" i="81"/>
  <c r="K122" i="81" a="1"/>
  <c r="K122" i="81" s="1"/>
  <c r="L122" i="81" a="1"/>
  <c r="L122" i="81" s="1"/>
  <c r="J122" i="81" a="1"/>
  <c r="J122" i="81" s="1"/>
  <c r="M114" i="81"/>
  <c r="K114" i="81" a="1"/>
  <c r="K114" i="81" s="1"/>
  <c r="J114" i="81" a="1"/>
  <c r="J114" i="81" s="1"/>
  <c r="L114" i="81" a="1"/>
  <c r="L114" i="81" s="1"/>
  <c r="M138" i="81"/>
  <c r="L138" i="81" a="1"/>
  <c r="L138" i="81" s="1"/>
  <c r="M130" i="81" a="1"/>
  <c r="M130" i="81" s="1"/>
  <c r="L130" i="81" a="1"/>
  <c r="L130" i="81" s="1"/>
  <c r="M119" i="81"/>
  <c r="L119" i="81" a="1"/>
  <c r="L119" i="81" s="1"/>
  <c r="K119" i="81" a="1"/>
  <c r="K119" i="81" s="1"/>
  <c r="J119" i="81" a="1"/>
  <c r="J119" i="81" s="1"/>
  <c r="M121" i="81"/>
  <c r="L121" i="81" a="1"/>
  <c r="L121" i="81" s="1"/>
  <c r="J121" i="81" a="1"/>
  <c r="J121" i="81" s="1"/>
  <c r="K121" i="81" a="1"/>
  <c r="K121" i="81" s="1"/>
  <c r="M113" i="81"/>
  <c r="L113" i="81" a="1"/>
  <c r="L113" i="81" s="1"/>
  <c r="K113" i="81" a="1"/>
  <c r="K113" i="81" s="1"/>
  <c r="J113" i="81" a="1"/>
  <c r="J113" i="81" s="1"/>
  <c r="M137" i="81"/>
  <c r="L137" i="81" a="1"/>
  <c r="L137" i="81" s="1"/>
  <c r="M120" i="81"/>
  <c r="J120" i="81" a="1"/>
  <c r="J120" i="81" s="1"/>
  <c r="L120" i="81" a="1"/>
  <c r="L120" i="81" s="1"/>
  <c r="K120" i="81" a="1"/>
  <c r="K120" i="81" s="1"/>
  <c r="M112" i="81" a="1"/>
  <c r="M112" i="81" s="1"/>
  <c r="L112" i="81" a="1"/>
  <c r="L112" i="81" s="1"/>
  <c r="K112" i="81" a="1"/>
  <c r="K112" i="81" s="1"/>
  <c r="J112" i="81" a="1"/>
  <c r="J112" i="81" s="1"/>
  <c r="M136" i="81"/>
  <c r="L136" i="81" a="1"/>
  <c r="L136" i="81" s="1"/>
  <c r="D108" i="81"/>
  <c r="E87" i="81"/>
  <c r="F105" i="81" s="1"/>
  <c r="E67" i="81"/>
  <c r="F85" i="81" s="1"/>
  <c r="E47" i="81"/>
  <c r="F65" i="81" s="1"/>
  <c r="E27" i="81"/>
  <c r="F45" i="81" s="1"/>
  <c r="D25" i="81"/>
  <c r="P16" i="81"/>
  <c r="Q16" i="81"/>
  <c r="R16" i="81"/>
  <c r="R15" i="81" s="1"/>
  <c r="S16" i="81"/>
  <c r="S15" i="81" s="1"/>
  <c r="T16" i="81"/>
  <c r="O14" i="81"/>
  <c r="O13" i="81" s="1"/>
  <c r="J12" i="81"/>
  <c r="J11" i="81" s="1"/>
  <c r="K12" i="81"/>
  <c r="K11" i="81" s="1"/>
  <c r="L12" i="81"/>
  <c r="L11" i="81" s="1"/>
  <c r="M12" i="81"/>
  <c r="M11" i="81" s="1"/>
  <c r="N12" i="81"/>
  <c r="N11" i="81" s="1"/>
  <c r="P10" i="81"/>
  <c r="Q10" i="81"/>
  <c r="R10" i="81"/>
  <c r="S10" i="81"/>
  <c r="T10" i="81"/>
  <c r="O10" i="81"/>
  <c r="J10" i="81"/>
  <c r="K10" i="81"/>
  <c r="L10" i="81"/>
  <c r="M10" i="81"/>
  <c r="N10" i="81"/>
  <c r="E159" i="79"/>
  <c r="F177" i="79" s="1"/>
  <c r="E159" i="78"/>
  <c r="F177" i="78" s="1"/>
  <c r="F177" i="27"/>
  <c r="F271" i="77"/>
  <c r="B169" i="4" s="1"/>
  <c r="F397" i="75"/>
  <c r="B163" i="4" s="1"/>
  <c r="F794" i="69"/>
  <c r="B157" i="4" s="1"/>
  <c r="F526" i="69"/>
  <c r="B151" i="4" s="1"/>
  <c r="F271" i="69"/>
  <c r="B145" i="4" s="1"/>
  <c r="F1043" i="61"/>
  <c r="B139" i="4" s="1"/>
  <c r="F788" i="61"/>
  <c r="B133" i="4" s="1"/>
  <c r="F533" i="61"/>
  <c r="B127" i="4" s="1"/>
  <c r="F588" i="57"/>
  <c r="B115" i="4" s="1"/>
  <c r="F306" i="57"/>
  <c r="B109" i="4" s="1"/>
  <c r="F623" i="53"/>
  <c r="B103" i="4" s="1"/>
  <c r="F320" i="53"/>
  <c r="B97" i="4" s="1"/>
  <c r="F567" i="49"/>
  <c r="B91" i="4" s="1"/>
  <c r="F292" i="49"/>
  <c r="B85" i="4" s="1"/>
  <c r="F567" i="45"/>
  <c r="B79" i="4" s="1"/>
  <c r="F313" i="45"/>
  <c r="B73" i="4" s="1"/>
  <c r="F581" i="41"/>
  <c r="B67" i="4" s="1"/>
  <c r="F292" i="41"/>
  <c r="B61" i="4" s="1"/>
  <c r="F546" i="37"/>
  <c r="B55" i="4" s="1"/>
  <c r="F292" i="37"/>
  <c r="B49" i="4" s="1"/>
  <c r="F842" i="19"/>
  <c r="B43" i="4" s="1"/>
  <c r="F271" i="33"/>
  <c r="B25" i="4" s="1"/>
  <c r="F567" i="19"/>
  <c r="B37" i="4" s="1"/>
  <c r="F341" i="29"/>
  <c r="B19" i="4" s="1"/>
  <c r="F292" i="19"/>
  <c r="B31" i="4" s="1"/>
  <c r="F348" i="18"/>
  <c r="B13" i="4" s="1"/>
  <c r="F276" i="61"/>
  <c r="B121" i="4" s="1"/>
  <c r="E181" i="77"/>
  <c r="E307" i="75"/>
  <c r="E704" i="69"/>
  <c r="E436" i="69"/>
  <c r="E181" i="69"/>
  <c r="E953" i="61"/>
  <c r="E698" i="61"/>
  <c r="E443" i="61"/>
  <c r="E498" i="57"/>
  <c r="E216" i="57"/>
  <c r="E533" i="53"/>
  <c r="E230" i="53"/>
  <c r="E477" i="49"/>
  <c r="E202" i="49"/>
  <c r="E477" i="45"/>
  <c r="E223" i="45"/>
  <c r="E491" i="41"/>
  <c r="E202" i="41"/>
  <c r="E456" i="37"/>
  <c r="E202" i="37"/>
  <c r="E752" i="19"/>
  <c r="E181" i="33"/>
  <c r="E477" i="19"/>
  <c r="E251" i="29"/>
  <c r="E202" i="19"/>
  <c r="E258" i="18"/>
  <c r="E186" i="61"/>
  <c r="M839" i="61"/>
  <c r="J67" i="77"/>
  <c r="K67" i="77"/>
  <c r="L67" i="77"/>
  <c r="M67" i="77"/>
  <c r="N67" i="77"/>
  <c r="O67" i="77"/>
  <c r="P67" i="77"/>
  <c r="Q67" i="77"/>
  <c r="R67" i="77"/>
  <c r="S67" i="77"/>
  <c r="T67" i="77"/>
  <c r="J121" i="75"/>
  <c r="K121" i="75"/>
  <c r="L121" i="75"/>
  <c r="M121" i="75"/>
  <c r="N121" i="75"/>
  <c r="O121" i="75"/>
  <c r="P121" i="75"/>
  <c r="Q121" i="75"/>
  <c r="R121" i="75"/>
  <c r="S121" i="75"/>
  <c r="T121" i="75"/>
  <c r="J582" i="69"/>
  <c r="K582" i="69"/>
  <c r="L582" i="69"/>
  <c r="M582" i="69"/>
  <c r="N582" i="69"/>
  <c r="O582" i="69"/>
  <c r="P582" i="69"/>
  <c r="Q582" i="69"/>
  <c r="R582" i="69"/>
  <c r="S582" i="69"/>
  <c r="T582" i="69"/>
  <c r="J322" i="69"/>
  <c r="K322" i="69"/>
  <c r="L322" i="69"/>
  <c r="M322" i="69"/>
  <c r="N322" i="69"/>
  <c r="O322" i="69"/>
  <c r="P322" i="69"/>
  <c r="Q322" i="69"/>
  <c r="R322" i="69"/>
  <c r="S322" i="69"/>
  <c r="T322" i="69"/>
  <c r="J67" i="69"/>
  <c r="K67" i="69"/>
  <c r="L67" i="69"/>
  <c r="M67" i="69"/>
  <c r="N67" i="69"/>
  <c r="J839" i="61"/>
  <c r="K839" i="61"/>
  <c r="L839" i="61"/>
  <c r="N839" i="61"/>
  <c r="O839" i="61"/>
  <c r="P839" i="61"/>
  <c r="Q839" i="61"/>
  <c r="R839" i="61"/>
  <c r="S839" i="61"/>
  <c r="T839" i="61"/>
  <c r="J584" i="61"/>
  <c r="K584" i="61"/>
  <c r="L584" i="61"/>
  <c r="M584" i="61"/>
  <c r="N584" i="61"/>
  <c r="O584" i="61"/>
  <c r="P584" i="61"/>
  <c r="Q584" i="61"/>
  <c r="R584" i="61"/>
  <c r="S584" i="61"/>
  <c r="T584" i="61"/>
  <c r="J329" i="61"/>
  <c r="K329" i="61"/>
  <c r="L329" i="61"/>
  <c r="M329" i="61"/>
  <c r="N329" i="61"/>
  <c r="O329" i="61"/>
  <c r="P329" i="61"/>
  <c r="Q329" i="61"/>
  <c r="R329" i="61"/>
  <c r="S329" i="61"/>
  <c r="T329" i="61"/>
  <c r="J368" i="57"/>
  <c r="K368" i="57"/>
  <c r="L368" i="57"/>
  <c r="M368" i="57"/>
  <c r="N368" i="57"/>
  <c r="O368" i="57"/>
  <c r="P368" i="57"/>
  <c r="Q368" i="57"/>
  <c r="R368" i="57"/>
  <c r="S368" i="57"/>
  <c r="T368" i="57"/>
  <c r="J82" i="57"/>
  <c r="K82" i="57"/>
  <c r="L82" i="57"/>
  <c r="M82" i="57"/>
  <c r="N82" i="57"/>
  <c r="O82" i="57"/>
  <c r="P82" i="57"/>
  <c r="Q82" i="57"/>
  <c r="R82" i="57"/>
  <c r="S82" i="57"/>
  <c r="T82" i="57"/>
  <c r="J391" i="53"/>
  <c r="K391" i="53"/>
  <c r="L391" i="53"/>
  <c r="M391" i="53"/>
  <c r="N391" i="53"/>
  <c r="O391" i="53"/>
  <c r="P391" i="53"/>
  <c r="Q391" i="53"/>
  <c r="R391" i="53"/>
  <c r="S391" i="53"/>
  <c r="T391" i="53"/>
  <c r="J88" i="53"/>
  <c r="K88" i="53"/>
  <c r="L88" i="53"/>
  <c r="M88" i="53"/>
  <c r="N88" i="53"/>
  <c r="O88" i="53"/>
  <c r="P88" i="53"/>
  <c r="Q88" i="53"/>
  <c r="R88" i="53"/>
  <c r="S88" i="53"/>
  <c r="T88" i="53"/>
  <c r="J351" i="49"/>
  <c r="K351" i="49"/>
  <c r="L351" i="49"/>
  <c r="M351" i="49"/>
  <c r="N351" i="49"/>
  <c r="O351" i="49"/>
  <c r="P351" i="49"/>
  <c r="Q351" i="49"/>
  <c r="R351" i="49"/>
  <c r="S351" i="49"/>
  <c r="T351" i="49"/>
  <c r="J76" i="49"/>
  <c r="K76" i="49"/>
  <c r="L76" i="49"/>
  <c r="M76" i="49"/>
  <c r="N76" i="49"/>
  <c r="O76" i="49"/>
  <c r="P76" i="49"/>
  <c r="Q76" i="49"/>
  <c r="R76" i="49"/>
  <c r="S76" i="49"/>
  <c r="T76" i="49"/>
  <c r="J363" i="45"/>
  <c r="K363" i="45"/>
  <c r="L363" i="45"/>
  <c r="M363" i="45"/>
  <c r="N363" i="45"/>
  <c r="O363" i="45"/>
  <c r="P363" i="45"/>
  <c r="Q363" i="45"/>
  <c r="R363" i="45"/>
  <c r="S363" i="45"/>
  <c r="T363" i="45"/>
  <c r="J85" i="45"/>
  <c r="K85" i="45"/>
  <c r="L85" i="45"/>
  <c r="M85" i="45"/>
  <c r="N85" i="45"/>
  <c r="O85" i="45"/>
  <c r="P85" i="45"/>
  <c r="Q85" i="45"/>
  <c r="R85" i="45"/>
  <c r="S85" i="45"/>
  <c r="T85" i="45"/>
  <c r="J357" i="41"/>
  <c r="K357" i="41"/>
  <c r="L357" i="41"/>
  <c r="M357" i="41"/>
  <c r="N357" i="41"/>
  <c r="O357" i="41"/>
  <c r="P357" i="41"/>
  <c r="Q357" i="41"/>
  <c r="R357" i="41"/>
  <c r="S357" i="41"/>
  <c r="T357" i="41"/>
  <c r="J76" i="41"/>
  <c r="K76" i="41"/>
  <c r="L76" i="41"/>
  <c r="M76" i="41"/>
  <c r="N76" i="41"/>
  <c r="O76" i="41"/>
  <c r="P76" i="41"/>
  <c r="Q76" i="41"/>
  <c r="R76" i="41"/>
  <c r="S76" i="41"/>
  <c r="T76" i="41"/>
  <c r="J342" i="37"/>
  <c r="K342" i="37"/>
  <c r="L342" i="37"/>
  <c r="M342" i="37"/>
  <c r="N342" i="37"/>
  <c r="O342" i="37"/>
  <c r="P342" i="37"/>
  <c r="Q342" i="37"/>
  <c r="R342" i="37"/>
  <c r="S342" i="37"/>
  <c r="T342" i="37"/>
  <c r="J76" i="37"/>
  <c r="K76" i="37"/>
  <c r="L76" i="37"/>
  <c r="M76" i="37"/>
  <c r="N76" i="37"/>
  <c r="O76" i="37"/>
  <c r="P76" i="37"/>
  <c r="Q76" i="37"/>
  <c r="R76" i="37"/>
  <c r="S76" i="37"/>
  <c r="T76" i="37"/>
  <c r="J626" i="19"/>
  <c r="K626" i="19"/>
  <c r="L626" i="19"/>
  <c r="M626" i="19"/>
  <c r="N626" i="19"/>
  <c r="O626" i="19"/>
  <c r="P626" i="19"/>
  <c r="Q626" i="19"/>
  <c r="R626" i="19"/>
  <c r="S626" i="19"/>
  <c r="T626" i="19"/>
  <c r="J67" i="33"/>
  <c r="K67" i="33"/>
  <c r="L67" i="33"/>
  <c r="M67" i="33"/>
  <c r="N67" i="33"/>
  <c r="O67" i="33"/>
  <c r="P67" i="33"/>
  <c r="Q67" i="33"/>
  <c r="R67" i="33"/>
  <c r="S67" i="33"/>
  <c r="T67" i="33"/>
  <c r="J351" i="19"/>
  <c r="K351" i="19"/>
  <c r="L351" i="19"/>
  <c r="M351" i="19"/>
  <c r="N351" i="19"/>
  <c r="O351" i="19"/>
  <c r="P351" i="19"/>
  <c r="Q351" i="19"/>
  <c r="R351" i="19"/>
  <c r="S351" i="19"/>
  <c r="T351" i="19"/>
  <c r="J97" i="29"/>
  <c r="K97" i="29"/>
  <c r="L97" i="29"/>
  <c r="M97" i="29"/>
  <c r="N97" i="29"/>
  <c r="O97" i="29"/>
  <c r="P97" i="29"/>
  <c r="Q97" i="29"/>
  <c r="R97" i="29"/>
  <c r="S97" i="29"/>
  <c r="T97" i="29"/>
  <c r="J76" i="19"/>
  <c r="K76" i="19"/>
  <c r="L76" i="19"/>
  <c r="M76" i="19"/>
  <c r="N76" i="19"/>
  <c r="O76" i="19"/>
  <c r="P76" i="19"/>
  <c r="Q76" i="19"/>
  <c r="R76" i="19"/>
  <c r="S76" i="19"/>
  <c r="T76" i="19"/>
  <c r="J100" i="18"/>
  <c r="K100" i="18"/>
  <c r="L100" i="18"/>
  <c r="M100" i="18"/>
  <c r="N100" i="18"/>
  <c r="O100" i="18"/>
  <c r="P100" i="18"/>
  <c r="Q100" i="18"/>
  <c r="R100" i="18"/>
  <c r="S100" i="18"/>
  <c r="T100" i="18"/>
  <c r="J72" i="61"/>
  <c r="K72" i="61"/>
  <c r="L72" i="61"/>
  <c r="M72" i="61"/>
  <c r="N72" i="61"/>
  <c r="O72" i="61"/>
  <c r="P72" i="61"/>
  <c r="Q72" i="61"/>
  <c r="R72" i="61"/>
  <c r="S72" i="61"/>
  <c r="T72" i="61"/>
  <c r="D67" i="77"/>
  <c r="D121" i="75"/>
  <c r="D582" i="69"/>
  <c r="D322" i="69"/>
  <c r="D67" i="69"/>
  <c r="D839" i="61"/>
  <c r="D584" i="61"/>
  <c r="D329" i="61"/>
  <c r="D368" i="57"/>
  <c r="D82" i="57"/>
  <c r="D391" i="53"/>
  <c r="D88" i="53"/>
  <c r="D351" i="49"/>
  <c r="D76" i="49"/>
  <c r="D363" i="45"/>
  <c r="D85" i="45"/>
  <c r="D357" i="41"/>
  <c r="D76" i="41"/>
  <c r="D342" i="37"/>
  <c r="D76" i="37"/>
  <c r="D626" i="19"/>
  <c r="D67" i="33"/>
  <c r="D351" i="19"/>
  <c r="D97" i="29"/>
  <c r="D76" i="19"/>
  <c r="D100" i="18"/>
  <c r="D72" i="61"/>
  <c r="D65" i="77"/>
  <c r="D119" i="75"/>
  <c r="D580" i="69"/>
  <c r="D319" i="69"/>
  <c r="D320" i="69"/>
  <c r="D65" i="69"/>
  <c r="D836" i="61"/>
  <c r="D837" i="61"/>
  <c r="D581" i="61"/>
  <c r="D582" i="61"/>
  <c r="D324" i="61"/>
  <c r="D325" i="61"/>
  <c r="D326" i="61"/>
  <c r="D327" i="61"/>
  <c r="D366" i="57"/>
  <c r="D80" i="57"/>
  <c r="D389" i="53"/>
  <c r="D86" i="53"/>
  <c r="D349" i="49"/>
  <c r="D74" i="49"/>
  <c r="D361" i="45"/>
  <c r="D83" i="45"/>
  <c r="D355" i="41"/>
  <c r="D74" i="41"/>
  <c r="D340" i="37"/>
  <c r="D74" i="37"/>
  <c r="D624" i="19"/>
  <c r="D65" i="33"/>
  <c r="D349" i="19"/>
  <c r="D95" i="29"/>
  <c r="D74" i="19"/>
  <c r="D98" i="18"/>
  <c r="D65" i="61"/>
  <c r="D66" i="61"/>
  <c r="D67" i="61"/>
  <c r="D68" i="61"/>
  <c r="D69" i="61"/>
  <c r="D70" i="61"/>
  <c r="J58" i="69"/>
  <c r="K58" i="69"/>
  <c r="L58" i="69"/>
  <c r="M58" i="69"/>
  <c r="N58" i="69"/>
  <c r="O58" i="69"/>
  <c r="P58" i="69"/>
  <c r="Q58" i="69"/>
  <c r="R58" i="69"/>
  <c r="S58" i="69"/>
  <c r="T58" i="69"/>
  <c r="J59" i="69"/>
  <c r="K59" i="69"/>
  <c r="L59" i="69"/>
  <c r="M59" i="69"/>
  <c r="N59" i="69"/>
  <c r="O59" i="69"/>
  <c r="P59" i="69"/>
  <c r="Q59" i="69"/>
  <c r="R59" i="69"/>
  <c r="S59" i="69"/>
  <c r="T59" i="69"/>
  <c r="K428" i="23"/>
  <c r="K429" i="23"/>
  <c r="D95" i="69"/>
  <c r="D96" i="69"/>
  <c r="D88" i="69"/>
  <c r="D89" i="69"/>
  <c r="D81" i="69"/>
  <c r="D82" i="69"/>
  <c r="D74" i="69"/>
  <c r="D75" i="69"/>
  <c r="D58" i="69"/>
  <c r="D59" i="69"/>
  <c r="D51" i="69"/>
  <c r="D52" i="69"/>
  <c r="D44" i="69"/>
  <c r="D45" i="69"/>
  <c r="K443" i="23"/>
  <c r="K444" i="23"/>
  <c r="D350" i="69"/>
  <c r="D351" i="69"/>
  <c r="D343" i="69"/>
  <c r="D344" i="69"/>
  <c r="D336" i="69"/>
  <c r="D337" i="69"/>
  <c r="D329" i="69"/>
  <c r="D330" i="69"/>
  <c r="D312" i="69"/>
  <c r="D313" i="69"/>
  <c r="D305" i="69"/>
  <c r="D306" i="69"/>
  <c r="D298" i="69"/>
  <c r="D299" i="69"/>
  <c r="L85" i="81" l="1"/>
  <c r="K85" i="81"/>
  <c r="J85" i="81"/>
  <c r="L144" i="81"/>
  <c r="T15" i="81"/>
  <c r="Q15" i="81"/>
  <c r="P15" i="81"/>
  <c r="R61" i="69"/>
  <c r="J61" i="69"/>
  <c r="J56" i="27" s="1"/>
  <c r="P315" i="69"/>
  <c r="P57" i="27" s="1"/>
  <c r="Q61" i="69"/>
  <c r="R315" i="69"/>
  <c r="R57" i="27" s="1"/>
  <c r="P61" i="69"/>
  <c r="T61" i="69"/>
  <c r="M315" i="69"/>
  <c r="M57" i="27" s="1"/>
  <c r="N61" i="69"/>
  <c r="N56" i="27" s="1"/>
  <c r="L61" i="69"/>
  <c r="L56" i="27" s="1"/>
  <c r="J315" i="69"/>
  <c r="J57" i="27" s="1"/>
  <c r="Q315" i="69"/>
  <c r="Q57" i="27" s="1"/>
  <c r="O61" i="69"/>
  <c r="T315" i="69"/>
  <c r="T57" i="27" s="1"/>
  <c r="L315" i="69"/>
  <c r="L57" i="27" s="1"/>
  <c r="M61" i="69"/>
  <c r="M56" i="27" s="1"/>
  <c r="S61" i="69"/>
  <c r="K61" i="69"/>
  <c r="K56" i="27" s="1"/>
  <c r="N315" i="69"/>
  <c r="N57" i="27" s="1"/>
  <c r="S315" i="69"/>
  <c r="S57" i="27" s="1"/>
  <c r="K315" i="69"/>
  <c r="K57" i="27" s="1"/>
  <c r="O315" i="69"/>
  <c r="O57" i="27" s="1"/>
  <c r="O56" i="27" l="1"/>
  <c r="O65" i="69"/>
  <c r="O67" i="69" s="1"/>
  <c r="Q56" i="27"/>
  <c r="Q65" i="69"/>
  <c r="Q67" i="69" s="1"/>
  <c r="T56" i="27"/>
  <c r="T65" i="69"/>
  <c r="T67" i="69" s="1"/>
  <c r="P56" i="27"/>
  <c r="P65" i="69"/>
  <c r="P67" i="69" s="1"/>
  <c r="S56" i="27"/>
  <c r="S65" i="69"/>
  <c r="S67" i="69" s="1"/>
  <c r="R56" i="27"/>
  <c r="R65" i="69"/>
  <c r="R67" i="69" s="1"/>
  <c r="J126" i="81"/>
  <c r="L126" i="81"/>
  <c r="K126" i="81"/>
  <c r="K509" i="23"/>
  <c r="K510" i="23"/>
  <c r="K459" i="23"/>
  <c r="K460" i="23"/>
  <c r="K461" i="23"/>
  <c r="K462" i="23"/>
  <c r="K412" i="23"/>
  <c r="K413" i="23"/>
  <c r="K396" i="23"/>
  <c r="K397" i="23"/>
  <c r="K378" i="23"/>
  <c r="K379" i="23"/>
  <c r="K358" i="23"/>
  <c r="K359" i="23"/>
  <c r="K339" i="23"/>
  <c r="K340" i="23"/>
  <c r="K341" i="23"/>
  <c r="K342" i="23"/>
  <c r="K343" i="23"/>
  <c r="K344" i="23"/>
  <c r="K319" i="23"/>
  <c r="K320" i="23"/>
  <c r="K321" i="23"/>
  <c r="K322" i="23"/>
  <c r="K323" i="23"/>
  <c r="K324" i="23"/>
  <c r="K325" i="23"/>
  <c r="K224" i="23"/>
  <c r="K225" i="23"/>
  <c r="K203" i="23"/>
  <c r="K204" i="23"/>
  <c r="K205" i="23"/>
  <c r="K206" i="23"/>
  <c r="K207" i="23"/>
  <c r="K208" i="23"/>
  <c r="K209" i="23"/>
  <c r="K210" i="23"/>
  <c r="K150" i="23"/>
  <c r="K151" i="23"/>
  <c r="K132" i="23"/>
  <c r="K133" i="23"/>
  <c r="K134" i="23"/>
  <c r="K135" i="23"/>
  <c r="K136" i="23"/>
  <c r="K114" i="23"/>
  <c r="K115" i="23"/>
  <c r="K116" i="23"/>
  <c r="K117" i="23"/>
  <c r="K118" i="23"/>
  <c r="K99" i="23"/>
  <c r="K100" i="23"/>
  <c r="K81" i="23"/>
  <c r="K82" i="23"/>
  <c r="K83" i="23"/>
  <c r="K84" i="23"/>
  <c r="K85" i="23"/>
  <c r="K38" i="23"/>
  <c r="K39" i="23"/>
  <c r="K40" i="23"/>
  <c r="K41" i="23"/>
  <c r="K42" i="23"/>
  <c r="K476" i="23"/>
  <c r="K477" i="23"/>
  <c r="K478" i="23"/>
  <c r="K479" i="23"/>
  <c r="K480" i="23"/>
  <c r="K481" i="23"/>
  <c r="K482" i="23"/>
  <c r="K483" i="23"/>
  <c r="K484" i="23"/>
  <c r="K485" i="23"/>
  <c r="K486" i="23"/>
  <c r="K487" i="23"/>
  <c r="K488" i="23"/>
  <c r="K489" i="23"/>
  <c r="K490" i="23"/>
  <c r="K491" i="23"/>
  <c r="K492" i="23"/>
  <c r="K493" i="23"/>
  <c r="K494" i="23"/>
  <c r="K495" i="23"/>
  <c r="Y506" i="23" l="1"/>
  <c r="Y473" i="23"/>
  <c r="Y456" i="23"/>
  <c r="Y440" i="23"/>
  <c r="Y425" i="23"/>
  <c r="Y409" i="23"/>
  <c r="Y393" i="23"/>
  <c r="Y375" i="23"/>
  <c r="Y355" i="23"/>
  <c r="Y336" i="23"/>
  <c r="Y316" i="23"/>
  <c r="Y294" i="23"/>
  <c r="Y272" i="23"/>
  <c r="Y254" i="23"/>
  <c r="Y236" i="23"/>
  <c r="Y221" i="23"/>
  <c r="Y200" i="23"/>
  <c r="Y180" i="23"/>
  <c r="Y162" i="23"/>
  <c r="Y147" i="23"/>
  <c r="Y129" i="23"/>
  <c r="Y111" i="23"/>
  <c r="Y96" i="23"/>
  <c r="Y78" i="23"/>
  <c r="Y53" i="23"/>
  <c r="Y35" i="23"/>
  <c r="Y9" i="23"/>
  <c r="E119" i="79" l="1"/>
  <c r="F137" i="79" s="1"/>
  <c r="E119" i="78"/>
  <c r="F137" i="27"/>
  <c r="E141" i="77"/>
  <c r="E267" i="75"/>
  <c r="E664" i="69"/>
  <c r="E396" i="69"/>
  <c r="E141" i="69"/>
  <c r="E913" i="61"/>
  <c r="E658" i="61"/>
  <c r="E403" i="61"/>
  <c r="E146" i="61"/>
  <c r="E458" i="57"/>
  <c r="E176" i="57"/>
  <c r="E493" i="53"/>
  <c r="E190" i="53"/>
  <c r="E437" i="49"/>
  <c r="E162" i="49"/>
  <c r="E437" i="45"/>
  <c r="E183" i="45"/>
  <c r="E451" i="41"/>
  <c r="E162" i="41"/>
  <c r="E416" i="37"/>
  <c r="E162" i="37"/>
  <c r="E712" i="19"/>
  <c r="E141" i="33"/>
  <c r="E437" i="19"/>
  <c r="E211" i="29"/>
  <c r="E162" i="19"/>
  <c r="E218" i="18"/>
  <c r="F274" i="77" l="1"/>
  <c r="B171" i="4" s="1"/>
  <c r="F400" i="75"/>
  <c r="B165" i="4" s="1"/>
  <c r="F797" i="69"/>
  <c r="B159" i="4" s="1"/>
  <c r="F529" i="69"/>
  <c r="B153" i="4" s="1"/>
  <c r="F274" i="69"/>
  <c r="B147" i="4" s="1"/>
  <c r="F1046" i="61"/>
  <c r="B141" i="4" s="1"/>
  <c r="F791" i="61"/>
  <c r="B135" i="4" s="1"/>
  <c r="F536" i="61"/>
  <c r="B129" i="4" s="1"/>
  <c r="F279" i="61"/>
  <c r="B123" i="4" s="1"/>
  <c r="F591" i="57"/>
  <c r="B117" i="4" s="1"/>
  <c r="F309" i="57"/>
  <c r="B111" i="4" s="1"/>
  <c r="F626" i="53"/>
  <c r="B105" i="4" s="1"/>
  <c r="F323" i="53"/>
  <c r="B99" i="4" s="1"/>
  <c r="F570" i="49"/>
  <c r="B93" i="4" s="1"/>
  <c r="F295" i="49"/>
  <c r="B87" i="4" s="1"/>
  <c r="F570" i="45"/>
  <c r="B81" i="4" s="1"/>
  <c r="F316" i="45"/>
  <c r="B75" i="4" s="1"/>
  <c r="F584" i="41"/>
  <c r="B69" i="4" s="1"/>
  <c r="F295" i="41"/>
  <c r="B63" i="4" s="1"/>
  <c r="F549" i="37"/>
  <c r="B57" i="4" s="1"/>
  <c r="F295" i="37"/>
  <c r="B51" i="4" s="1"/>
  <c r="F845" i="19"/>
  <c r="B45" i="4" s="1"/>
  <c r="F274" i="33"/>
  <c r="B27" i="4" s="1"/>
  <c r="F570" i="19"/>
  <c r="B39" i="4" s="1"/>
  <c r="F344" i="29"/>
  <c r="B21" i="4" s="1"/>
  <c r="F295" i="19"/>
  <c r="B33" i="4" s="1"/>
  <c r="F351" i="18"/>
  <c r="B15" i="4" s="1"/>
  <c r="F273" i="77"/>
  <c r="B170" i="4" s="1"/>
  <c r="F399" i="75"/>
  <c r="B164" i="4" s="1"/>
  <c r="F796" i="69"/>
  <c r="B158" i="4" s="1"/>
  <c r="F528" i="69"/>
  <c r="B152" i="4" s="1"/>
  <c r="F273" i="69"/>
  <c r="B146" i="4" s="1"/>
  <c r="F1045" i="61"/>
  <c r="B140" i="4" s="1"/>
  <c r="F790" i="61"/>
  <c r="B134" i="4" s="1"/>
  <c r="F535" i="61"/>
  <c r="B128" i="4" s="1"/>
  <c r="F278" i="61"/>
  <c r="B122" i="4" s="1"/>
  <c r="F590" i="57"/>
  <c r="B116" i="4" s="1"/>
  <c r="F308" i="57"/>
  <c r="B110" i="4" s="1"/>
  <c r="F625" i="53"/>
  <c r="B104" i="4" s="1"/>
  <c r="F322" i="53"/>
  <c r="B98" i="4" s="1"/>
  <c r="F569" i="49"/>
  <c r="B92" i="4" s="1"/>
  <c r="F294" i="49"/>
  <c r="B86" i="4" s="1"/>
  <c r="F569" i="45"/>
  <c r="B80" i="4" s="1"/>
  <c r="F315" i="45"/>
  <c r="B74" i="4" s="1"/>
  <c r="F583" i="41"/>
  <c r="B68" i="4" s="1"/>
  <c r="F294" i="41"/>
  <c r="B62" i="4" s="1"/>
  <c r="F548" i="37"/>
  <c r="B56" i="4" s="1"/>
  <c r="F294" i="37"/>
  <c r="B50" i="4" s="1"/>
  <c r="F844" i="19"/>
  <c r="B44" i="4" s="1"/>
  <c r="F273" i="33"/>
  <c r="B26" i="4" s="1"/>
  <c r="F569" i="19"/>
  <c r="B38" i="4" s="1"/>
  <c r="F343" i="29"/>
  <c r="B20" i="4" s="1"/>
  <c r="F294" i="19"/>
  <c r="B32" i="4" s="1"/>
  <c r="F350" i="18"/>
  <c r="B14" i="4" s="1"/>
  <c r="F270" i="77"/>
  <c r="B168" i="4" s="1"/>
  <c r="F396" i="75"/>
  <c r="B162" i="4" s="1"/>
  <c r="F793" i="69"/>
  <c r="B156" i="4" s="1"/>
  <c r="F525" i="69"/>
  <c r="B150" i="4" s="1"/>
  <c r="F270" i="69"/>
  <c r="B144" i="4" s="1"/>
  <c r="F1042" i="61"/>
  <c r="B138" i="4" s="1"/>
  <c r="F787" i="61"/>
  <c r="B132" i="4" s="1"/>
  <c r="F532" i="61"/>
  <c r="B126" i="4" s="1"/>
  <c r="F275" i="61"/>
  <c r="B120" i="4" s="1"/>
  <c r="F587" i="57"/>
  <c r="B114" i="4" s="1"/>
  <c r="F305" i="57"/>
  <c r="B108" i="4" s="1"/>
  <c r="F622" i="53"/>
  <c r="B102" i="4" s="1"/>
  <c r="F319" i="53"/>
  <c r="B96" i="4" s="1"/>
  <c r="F566" i="49"/>
  <c r="B90" i="4" s="1"/>
  <c r="F291" i="49"/>
  <c r="B84" i="4" s="1"/>
  <c r="F566" i="45"/>
  <c r="B78" i="4" s="1"/>
  <c r="F312" i="45"/>
  <c r="B72" i="4" s="1"/>
  <c r="F580" i="41"/>
  <c r="B66" i="4" s="1"/>
  <c r="F291" i="41"/>
  <c r="B60" i="4" s="1"/>
  <c r="F545" i="37"/>
  <c r="B54" i="4" s="1"/>
  <c r="F291" i="37"/>
  <c r="B48" i="4" s="1"/>
  <c r="F841" i="19"/>
  <c r="B42" i="4" s="1"/>
  <c r="F270" i="33"/>
  <c r="B24" i="4" s="1"/>
  <c r="F566" i="19"/>
  <c r="B36" i="4" s="1"/>
  <c r="F340" i="29"/>
  <c r="B18" i="4" s="1"/>
  <c r="F291" i="19"/>
  <c r="B30" i="4" s="1"/>
  <c r="F347" i="18"/>
  <c r="B12" i="4" s="1"/>
  <c r="F269" i="77"/>
  <c r="B167" i="4" s="1"/>
  <c r="F395" i="75"/>
  <c r="B161" i="4" s="1"/>
  <c r="F792" i="69"/>
  <c r="B155" i="4" s="1"/>
  <c r="F524" i="69"/>
  <c r="B149" i="4" s="1"/>
  <c r="F269" i="69"/>
  <c r="B143" i="4" s="1"/>
  <c r="F1041" i="61"/>
  <c r="B137" i="4" s="1"/>
  <c r="F786" i="61"/>
  <c r="B131" i="4" s="1"/>
  <c r="F531" i="61"/>
  <c r="B125" i="4" s="1"/>
  <c r="F274" i="61"/>
  <c r="B119" i="4" s="1"/>
  <c r="F586" i="57"/>
  <c r="B113" i="4" s="1"/>
  <c r="F304" i="57"/>
  <c r="B107" i="4" s="1"/>
  <c r="F621" i="53"/>
  <c r="B101" i="4" s="1"/>
  <c r="F318" i="53"/>
  <c r="B95" i="4" s="1"/>
  <c r="F565" i="49"/>
  <c r="B89" i="4" s="1"/>
  <c r="F290" i="49"/>
  <c r="B83" i="4" s="1"/>
  <c r="F565" i="45"/>
  <c r="B77" i="4" s="1"/>
  <c r="F311" i="45"/>
  <c r="B71" i="4" s="1"/>
  <c r="F579" i="41"/>
  <c r="B65" i="4" s="1"/>
  <c r="F290" i="41"/>
  <c r="B59" i="4" s="1"/>
  <c r="F544" i="37"/>
  <c r="B53" i="4" s="1"/>
  <c r="F290" i="37"/>
  <c r="B47" i="4" s="1"/>
  <c r="F840" i="19"/>
  <c r="B41" i="4" s="1"/>
  <c r="F269" i="33"/>
  <c r="B23" i="4" s="1"/>
  <c r="F565" i="19"/>
  <c r="B35" i="4" s="1"/>
  <c r="F339" i="29"/>
  <c r="B17" i="4" s="1"/>
  <c r="F290" i="19"/>
  <c r="B29" i="4" s="1"/>
  <c r="F346" i="18"/>
  <c r="B11" i="4" s="1"/>
  <c r="F268" i="77"/>
  <c r="B166" i="4" s="1"/>
  <c r="F394" i="75"/>
  <c r="B160" i="4" s="1"/>
  <c r="F791" i="69"/>
  <c r="B154" i="4" s="1"/>
  <c r="F523" i="69"/>
  <c r="B148" i="4" s="1"/>
  <c r="F268" i="69"/>
  <c r="B142" i="4" s="1"/>
  <c r="F1040" i="61"/>
  <c r="B136" i="4" s="1"/>
  <c r="F785" i="61"/>
  <c r="B130" i="4" s="1"/>
  <c r="F530" i="61"/>
  <c r="B124" i="4" s="1"/>
  <c r="F273" i="61"/>
  <c r="B118" i="4" s="1"/>
  <c r="F585" i="57"/>
  <c r="B112" i="4" s="1"/>
  <c r="F303" i="57"/>
  <c r="B106" i="4" s="1"/>
  <c r="F620" i="53"/>
  <c r="B100" i="4" s="1"/>
  <c r="F317" i="53"/>
  <c r="B94" i="4" s="1"/>
  <c r="F564" i="49"/>
  <c r="B88" i="4" s="1"/>
  <c r="F289" i="49"/>
  <c r="B82" i="4" s="1"/>
  <c r="F564" i="45"/>
  <c r="B76" i="4" s="1"/>
  <c r="F310" i="45"/>
  <c r="B70" i="4" s="1"/>
  <c r="F578" i="41"/>
  <c r="B64" i="4" s="1"/>
  <c r="F289" i="41"/>
  <c r="B58" i="4" s="1"/>
  <c r="F543" i="37"/>
  <c r="B52" i="4" s="1"/>
  <c r="F289" i="37"/>
  <c r="B46" i="4" s="1"/>
  <c r="F839" i="19"/>
  <c r="B40" i="4" s="1"/>
  <c r="F268" i="33"/>
  <c r="B22" i="4" s="1"/>
  <c r="F564" i="19"/>
  <c r="B34" i="4" s="1"/>
  <c r="F338" i="29"/>
  <c r="B16" i="4" s="1"/>
  <c r="F289" i="19"/>
  <c r="B28" i="4" s="1"/>
  <c r="F345" i="18"/>
  <c r="B10" i="4" s="1"/>
  <c r="D25" i="80"/>
  <c r="D179" i="80"/>
  <c r="D140" i="80"/>
  <c r="E119" i="80"/>
  <c r="D97" i="80"/>
  <c r="E99" i="80"/>
  <c r="E64" i="80"/>
  <c r="F94" i="80" s="1"/>
  <c r="E32" i="80"/>
  <c r="F62" i="80" s="1"/>
  <c r="D30" i="80"/>
  <c r="F194" i="80"/>
  <c r="F195" i="80"/>
  <c r="F196" i="80"/>
  <c r="F197" i="80"/>
  <c r="F198" i="80"/>
  <c r="F199" i="80"/>
  <c r="F200" i="80"/>
  <c r="F183" i="80"/>
  <c r="F184" i="80"/>
  <c r="F185" i="80"/>
  <c r="F186" i="80"/>
  <c r="F187" i="80"/>
  <c r="F188" i="80"/>
  <c r="F189" i="80"/>
  <c r="F252" i="79"/>
  <c r="F253" i="79"/>
  <c r="F254" i="79"/>
  <c r="F255" i="79"/>
  <c r="F256" i="79"/>
  <c r="F257" i="79"/>
  <c r="F258" i="79"/>
  <c r="F241" i="79"/>
  <c r="F242" i="79"/>
  <c r="F243" i="79"/>
  <c r="F244" i="79"/>
  <c r="F245" i="79"/>
  <c r="F246" i="79"/>
  <c r="F247" i="79"/>
  <c r="F27" i="79"/>
  <c r="D25" i="79"/>
  <c r="D25" i="78"/>
  <c r="D30" i="78"/>
  <c r="E32" i="78"/>
  <c r="F62" i="78" s="1"/>
  <c r="E64" i="78"/>
  <c r="F94" i="78" s="1"/>
  <c r="D30" i="79"/>
  <c r="E64" i="79"/>
  <c r="F94" i="79" s="1"/>
  <c r="E32" i="79"/>
  <c r="F62" i="79" s="1"/>
  <c r="E250" i="27"/>
  <c r="E250" i="79" s="1"/>
  <c r="E200" i="27"/>
  <c r="E239" i="27"/>
  <c r="E181" i="80" s="1"/>
  <c r="E182" i="27"/>
  <c r="D180" i="78"/>
  <c r="E139" i="78"/>
  <c r="F157" i="78" s="1"/>
  <c r="E99" i="78"/>
  <c r="F117" i="78" s="1"/>
  <c r="D97" i="78"/>
  <c r="D237" i="79"/>
  <c r="D180" i="79"/>
  <c r="E139" i="79"/>
  <c r="F157" i="79" s="1"/>
  <c r="E99" i="79"/>
  <c r="F117" i="79" s="1"/>
  <c r="D97" i="79"/>
  <c r="F252" i="78"/>
  <c r="F253" i="78"/>
  <c r="F254" i="78"/>
  <c r="F255" i="78"/>
  <c r="F256" i="78"/>
  <c r="F257" i="78"/>
  <c r="F258" i="78"/>
  <c r="F241" i="78"/>
  <c r="F242" i="78"/>
  <c r="F243" i="78"/>
  <c r="F244" i="78"/>
  <c r="F245" i="78"/>
  <c r="F246" i="78"/>
  <c r="F247" i="78"/>
  <c r="M91" i="29" l="1"/>
  <c r="M36" i="27" s="1"/>
  <c r="E239" i="79"/>
  <c r="E182" i="78"/>
  <c r="F198" i="78" s="1"/>
  <c r="E110" i="81"/>
  <c r="E200" i="78"/>
  <c r="F216" i="78" s="1"/>
  <c r="E128" i="81"/>
  <c r="E239" i="78"/>
  <c r="F248" i="78" s="1"/>
  <c r="E142" i="80"/>
  <c r="E160" i="80"/>
  <c r="E192" i="80"/>
  <c r="E182" i="79"/>
  <c r="E250" i="78"/>
  <c r="F259" i="78" s="1"/>
  <c r="E200" i="79"/>
  <c r="O94" i="18" l="1"/>
  <c r="O34" i="27" s="1"/>
  <c r="E245" i="77"/>
  <c r="E246" i="77"/>
  <c r="E247" i="77"/>
  <c r="E248" i="77"/>
  <c r="E249" i="77"/>
  <c r="E250" i="77"/>
  <c r="E251" i="77"/>
  <c r="E371" i="75"/>
  <c r="E372" i="75"/>
  <c r="E373" i="75"/>
  <c r="E374" i="75"/>
  <c r="E375" i="75"/>
  <c r="E376" i="75"/>
  <c r="E377" i="75"/>
  <c r="E768" i="69"/>
  <c r="E769" i="69"/>
  <c r="E770" i="69"/>
  <c r="E771" i="69"/>
  <c r="E772" i="69"/>
  <c r="E773" i="69"/>
  <c r="E774" i="69"/>
  <c r="E500" i="69"/>
  <c r="E501" i="69"/>
  <c r="E502" i="69"/>
  <c r="E503" i="69"/>
  <c r="E504" i="69"/>
  <c r="E505" i="69"/>
  <c r="E506" i="69"/>
  <c r="E245" i="69"/>
  <c r="E246" i="69"/>
  <c r="E247" i="69"/>
  <c r="E248" i="69"/>
  <c r="E249" i="69"/>
  <c r="E250" i="69"/>
  <c r="E251" i="69"/>
  <c r="E1017" i="61"/>
  <c r="E1018" i="61"/>
  <c r="E1019" i="61"/>
  <c r="E1020" i="61"/>
  <c r="E1021" i="61"/>
  <c r="E1022" i="61"/>
  <c r="E1023" i="61"/>
  <c r="E762" i="61"/>
  <c r="E763" i="61"/>
  <c r="E764" i="61"/>
  <c r="E765" i="61"/>
  <c r="E766" i="61"/>
  <c r="E767" i="61"/>
  <c r="E768" i="61"/>
  <c r="E507" i="61"/>
  <c r="E508" i="61"/>
  <c r="E509" i="61"/>
  <c r="E510" i="61"/>
  <c r="E511" i="61"/>
  <c r="E512" i="61"/>
  <c r="E513" i="61"/>
  <c r="E250" i="61"/>
  <c r="E251" i="61"/>
  <c r="E252" i="61"/>
  <c r="E253" i="61"/>
  <c r="E254" i="61"/>
  <c r="E255" i="61"/>
  <c r="E256" i="61"/>
  <c r="E562" i="57"/>
  <c r="E563" i="57"/>
  <c r="E564" i="57"/>
  <c r="E565" i="57"/>
  <c r="E566" i="57"/>
  <c r="E567" i="57"/>
  <c r="E568" i="57"/>
  <c r="E280" i="57"/>
  <c r="E281" i="57"/>
  <c r="E282" i="57"/>
  <c r="E283" i="57"/>
  <c r="E284" i="57"/>
  <c r="E285" i="57"/>
  <c r="E286" i="57"/>
  <c r="E597" i="53"/>
  <c r="E598" i="53"/>
  <c r="E599" i="53"/>
  <c r="E600" i="53"/>
  <c r="E601" i="53"/>
  <c r="E602" i="53"/>
  <c r="E603" i="53"/>
  <c r="E294" i="53"/>
  <c r="E295" i="53"/>
  <c r="E296" i="53"/>
  <c r="E297" i="53"/>
  <c r="E298" i="53"/>
  <c r="E299" i="53"/>
  <c r="E300" i="53"/>
  <c r="E541" i="49"/>
  <c r="E542" i="49"/>
  <c r="E543" i="49"/>
  <c r="E544" i="49"/>
  <c r="E545" i="49"/>
  <c r="E546" i="49"/>
  <c r="E547" i="49"/>
  <c r="E266" i="49"/>
  <c r="E267" i="49"/>
  <c r="E268" i="49"/>
  <c r="E269" i="49"/>
  <c r="E270" i="49"/>
  <c r="E271" i="49"/>
  <c r="E272" i="49"/>
  <c r="E541" i="45"/>
  <c r="E542" i="45"/>
  <c r="E543" i="45"/>
  <c r="E544" i="45"/>
  <c r="E545" i="45"/>
  <c r="E546" i="45"/>
  <c r="E547" i="45"/>
  <c r="E287" i="45"/>
  <c r="E288" i="45"/>
  <c r="E289" i="45"/>
  <c r="E290" i="45"/>
  <c r="E291" i="45"/>
  <c r="E292" i="45"/>
  <c r="E293" i="45"/>
  <c r="E555" i="41"/>
  <c r="E556" i="41"/>
  <c r="E557" i="41"/>
  <c r="E558" i="41"/>
  <c r="E559" i="41"/>
  <c r="E560" i="41"/>
  <c r="E561" i="41"/>
  <c r="E266" i="41"/>
  <c r="E267" i="41"/>
  <c r="E268" i="41"/>
  <c r="E269" i="41"/>
  <c r="E270" i="41"/>
  <c r="E271" i="41"/>
  <c r="E272" i="41"/>
  <c r="E520" i="37"/>
  <c r="E521" i="37"/>
  <c r="E522" i="37"/>
  <c r="E523" i="37"/>
  <c r="E524" i="37"/>
  <c r="E525" i="37"/>
  <c r="E526" i="37"/>
  <c r="E266" i="37"/>
  <c r="E267" i="37"/>
  <c r="E268" i="37"/>
  <c r="E269" i="37"/>
  <c r="E270" i="37"/>
  <c r="E271" i="37"/>
  <c r="E272" i="37"/>
  <c r="E816" i="19"/>
  <c r="E817" i="19"/>
  <c r="E818" i="19"/>
  <c r="E819" i="19"/>
  <c r="E820" i="19"/>
  <c r="E821" i="19"/>
  <c r="E822" i="19"/>
  <c r="E245" i="33"/>
  <c r="E246" i="33"/>
  <c r="E247" i="33"/>
  <c r="E248" i="33"/>
  <c r="E249" i="33"/>
  <c r="E250" i="33"/>
  <c r="E251" i="33"/>
  <c r="E541" i="19"/>
  <c r="E542" i="19"/>
  <c r="E543" i="19"/>
  <c r="E544" i="19"/>
  <c r="E545" i="19"/>
  <c r="E546" i="19"/>
  <c r="E547" i="19"/>
  <c r="E315" i="29"/>
  <c r="E316" i="29"/>
  <c r="E317" i="29"/>
  <c r="E318" i="29"/>
  <c r="E319" i="29"/>
  <c r="E320" i="29"/>
  <c r="E321" i="29"/>
  <c r="E266" i="19"/>
  <c r="E267" i="19"/>
  <c r="E268" i="19"/>
  <c r="E269" i="19"/>
  <c r="E270" i="19"/>
  <c r="E271" i="19"/>
  <c r="E272" i="19"/>
  <c r="E322" i="18"/>
  <c r="E323" i="18"/>
  <c r="E324" i="18"/>
  <c r="E325" i="18"/>
  <c r="E326" i="18"/>
  <c r="E327" i="18"/>
  <c r="E328" i="18"/>
  <c r="AN506" i="23"/>
  <c r="AO506" i="23"/>
  <c r="AN473" i="23"/>
  <c r="AO473" i="23"/>
  <c r="AN456" i="23"/>
  <c r="AO456" i="23"/>
  <c r="AN440" i="23"/>
  <c r="AO440" i="23"/>
  <c r="AN425" i="23"/>
  <c r="AO425" i="23"/>
  <c r="AN409" i="23"/>
  <c r="AO409" i="23"/>
  <c r="AN393" i="23"/>
  <c r="AO393" i="23"/>
  <c r="AN375" i="23"/>
  <c r="AO375" i="23"/>
  <c r="AN355" i="23"/>
  <c r="AO355" i="23"/>
  <c r="AN336" i="23"/>
  <c r="AO336" i="23"/>
  <c r="AN316" i="23"/>
  <c r="AO316" i="23"/>
  <c r="AN294" i="23"/>
  <c r="AO294" i="23"/>
  <c r="AN272" i="23"/>
  <c r="AO272" i="23"/>
  <c r="AN254" i="23"/>
  <c r="AO254" i="23"/>
  <c r="AN236" i="23"/>
  <c r="AO236" i="23"/>
  <c r="AN221" i="23"/>
  <c r="AO221" i="23"/>
  <c r="AN200" i="23"/>
  <c r="AO200" i="23"/>
  <c r="AN180" i="23"/>
  <c r="AO180" i="23"/>
  <c r="AN162" i="23"/>
  <c r="AO162" i="23"/>
  <c r="AN147" i="23"/>
  <c r="AO147" i="23"/>
  <c r="AN129" i="23"/>
  <c r="AO129" i="23"/>
  <c r="AN111" i="23"/>
  <c r="AO111" i="23"/>
  <c r="AN96" i="23"/>
  <c r="AO96" i="23"/>
  <c r="AN78" i="23"/>
  <c r="AO78" i="23"/>
  <c r="AN53" i="23"/>
  <c r="AO53" i="23"/>
  <c r="AN35" i="23"/>
  <c r="AO35" i="23"/>
  <c r="AN9" i="23"/>
  <c r="AO9" i="23"/>
  <c r="F252" i="27"/>
  <c r="F253" i="27"/>
  <c r="F254" i="27"/>
  <c r="F255" i="27"/>
  <c r="F256" i="27"/>
  <c r="F257" i="27"/>
  <c r="F258" i="27"/>
  <c r="F241" i="27"/>
  <c r="F242" i="27"/>
  <c r="F243" i="27"/>
  <c r="F244" i="27"/>
  <c r="F245" i="27"/>
  <c r="F246" i="27"/>
  <c r="F247" i="27"/>
  <c r="F94" i="27"/>
  <c r="AX111" i="23" l="1"/>
  <c r="AW272" i="23"/>
  <c r="AX409" i="23"/>
  <c r="AW111" i="23"/>
  <c r="AX236" i="23"/>
  <c r="AX78" i="23"/>
  <c r="AW96" i="23"/>
  <c r="AX221" i="23"/>
  <c r="AW236" i="23"/>
  <c r="AX375" i="23"/>
  <c r="AW393" i="23"/>
  <c r="AW129" i="23"/>
  <c r="AX254" i="23"/>
  <c r="AW425" i="23"/>
  <c r="AX96" i="23"/>
  <c r="AW254" i="23"/>
  <c r="AX393" i="23"/>
  <c r="AW409" i="23"/>
  <c r="AX53" i="23"/>
  <c r="AW78" i="23"/>
  <c r="AX200" i="23"/>
  <c r="AW221" i="23"/>
  <c r="AX355" i="23"/>
  <c r="AW375" i="23"/>
  <c r="AX506" i="23"/>
  <c r="AX35" i="23"/>
  <c r="AW53" i="23"/>
  <c r="AX180" i="23"/>
  <c r="AW200" i="23"/>
  <c r="AX336" i="23"/>
  <c r="AW355" i="23"/>
  <c r="AX473" i="23"/>
  <c r="AW506" i="23"/>
  <c r="AX9" i="23"/>
  <c r="AW35" i="23"/>
  <c r="AX162" i="23"/>
  <c r="AW180" i="23"/>
  <c r="AX316" i="23"/>
  <c r="AW336" i="23"/>
  <c r="AX456" i="23"/>
  <c r="AW473" i="23"/>
  <c r="AW9" i="23"/>
  <c r="AX147" i="23"/>
  <c r="AW162" i="23"/>
  <c r="AX294" i="23"/>
  <c r="AW316" i="23"/>
  <c r="AX440" i="23"/>
  <c r="AW456" i="23"/>
  <c r="AX129" i="23"/>
  <c r="AW147" i="23"/>
  <c r="AX272" i="23"/>
  <c r="AW294" i="23"/>
  <c r="AX425" i="23"/>
  <c r="AW440" i="23"/>
  <c r="T16" i="26"/>
  <c r="U16" i="26"/>
  <c r="F259" i="27"/>
  <c r="F216" i="27"/>
  <c r="F248" i="27"/>
  <c r="F198" i="27"/>
  <c r="J58" i="77"/>
  <c r="K58" i="77"/>
  <c r="L58" i="77"/>
  <c r="M58" i="77"/>
  <c r="N58" i="77"/>
  <c r="O58" i="77"/>
  <c r="P58" i="77"/>
  <c r="Q58" i="77"/>
  <c r="R58" i="77"/>
  <c r="S58" i="77"/>
  <c r="T58" i="77"/>
  <c r="J59" i="77"/>
  <c r="K59" i="77"/>
  <c r="L59" i="77"/>
  <c r="M59" i="77"/>
  <c r="N59" i="77"/>
  <c r="O59" i="77"/>
  <c r="P59" i="77"/>
  <c r="Q59" i="77"/>
  <c r="R59" i="77"/>
  <c r="S59" i="77"/>
  <c r="T59" i="77"/>
  <c r="D95" i="77"/>
  <c r="D96" i="77"/>
  <c r="D88" i="77"/>
  <c r="D89" i="77"/>
  <c r="D81" i="77"/>
  <c r="D82" i="77"/>
  <c r="D74" i="77"/>
  <c r="D75" i="77"/>
  <c r="D58" i="77"/>
  <c r="D59" i="77"/>
  <c r="D51" i="77"/>
  <c r="D52" i="77"/>
  <c r="D44" i="77"/>
  <c r="D45" i="77"/>
  <c r="T112" i="75"/>
  <c r="R112" i="75"/>
  <c r="T111" i="75"/>
  <c r="S111" i="75"/>
  <c r="R111" i="75"/>
  <c r="Q111" i="75"/>
  <c r="T110" i="75"/>
  <c r="R110" i="75"/>
  <c r="T109" i="75"/>
  <c r="S109" i="75"/>
  <c r="R109" i="75"/>
  <c r="Q109" i="75"/>
  <c r="T108" i="75"/>
  <c r="R108" i="75"/>
  <c r="T107" i="75"/>
  <c r="S107" i="75"/>
  <c r="R107" i="75"/>
  <c r="Q107" i="75"/>
  <c r="T106" i="75"/>
  <c r="R106" i="75"/>
  <c r="T105" i="75"/>
  <c r="S105" i="75"/>
  <c r="R105" i="75"/>
  <c r="Q105" i="75"/>
  <c r="T104" i="75"/>
  <c r="P112" i="75"/>
  <c r="P111" i="75"/>
  <c r="P110" i="75"/>
  <c r="P108" i="75"/>
  <c r="P106" i="75"/>
  <c r="P105" i="75"/>
  <c r="P104" i="75"/>
  <c r="P103" i="75"/>
  <c r="J94" i="75"/>
  <c r="K94" i="75"/>
  <c r="L94" i="75"/>
  <c r="M94" i="75"/>
  <c r="N94" i="75"/>
  <c r="O94" i="75"/>
  <c r="P94" i="75"/>
  <c r="Q94" i="75"/>
  <c r="R94" i="75"/>
  <c r="S94" i="75"/>
  <c r="T94" i="75"/>
  <c r="J95" i="75"/>
  <c r="K95" i="75"/>
  <c r="L95" i="75"/>
  <c r="M95" i="75"/>
  <c r="N95" i="75"/>
  <c r="O95" i="75"/>
  <c r="P95" i="75"/>
  <c r="Q95" i="75"/>
  <c r="R95" i="75"/>
  <c r="S95" i="75"/>
  <c r="T95" i="75"/>
  <c r="J96" i="75"/>
  <c r="K96" i="75"/>
  <c r="L96" i="75"/>
  <c r="M96" i="75"/>
  <c r="N96" i="75"/>
  <c r="O96" i="75"/>
  <c r="P96" i="75"/>
  <c r="Q96" i="75"/>
  <c r="R96" i="75"/>
  <c r="S96" i="75"/>
  <c r="T96" i="75"/>
  <c r="J97" i="75"/>
  <c r="K97" i="75"/>
  <c r="L97" i="75"/>
  <c r="M97" i="75"/>
  <c r="N97" i="75"/>
  <c r="O97" i="75"/>
  <c r="P97" i="75"/>
  <c r="Q97" i="75"/>
  <c r="R97" i="75"/>
  <c r="S97" i="75"/>
  <c r="T97" i="75"/>
  <c r="J98" i="75"/>
  <c r="K98" i="75"/>
  <c r="L98" i="75"/>
  <c r="M98" i="75"/>
  <c r="N98" i="75"/>
  <c r="O98" i="75"/>
  <c r="P98" i="75"/>
  <c r="Q98" i="75"/>
  <c r="R98" i="75"/>
  <c r="S98" i="75"/>
  <c r="T98" i="75"/>
  <c r="J99" i="75"/>
  <c r="K99" i="75"/>
  <c r="L99" i="75"/>
  <c r="M99" i="75"/>
  <c r="N99" i="75"/>
  <c r="O99" i="75"/>
  <c r="P99" i="75"/>
  <c r="Q99" i="75"/>
  <c r="R99" i="75"/>
  <c r="S99" i="75"/>
  <c r="T99" i="75"/>
  <c r="J100" i="75"/>
  <c r="K100" i="75"/>
  <c r="L100" i="75"/>
  <c r="M100" i="75"/>
  <c r="N100" i="75"/>
  <c r="O100" i="75"/>
  <c r="P100" i="75"/>
  <c r="Q100" i="75"/>
  <c r="R100" i="75"/>
  <c r="S100" i="75"/>
  <c r="T100" i="75"/>
  <c r="J101" i="75"/>
  <c r="K101" i="75"/>
  <c r="L101" i="75"/>
  <c r="M101" i="75"/>
  <c r="N101" i="75"/>
  <c r="O101" i="75"/>
  <c r="P101" i="75"/>
  <c r="Q101" i="75"/>
  <c r="R101" i="75"/>
  <c r="S101" i="75"/>
  <c r="T101" i="75"/>
  <c r="J102" i="75"/>
  <c r="K102" i="75"/>
  <c r="L102" i="75"/>
  <c r="M102" i="75"/>
  <c r="N102" i="75"/>
  <c r="O102" i="75"/>
  <c r="P102" i="75"/>
  <c r="Q102" i="75"/>
  <c r="R102" i="75"/>
  <c r="S102" i="75"/>
  <c r="T102" i="75"/>
  <c r="J103" i="75"/>
  <c r="K103" i="75"/>
  <c r="L103" i="75"/>
  <c r="M103" i="75"/>
  <c r="N103" i="75"/>
  <c r="O103" i="75"/>
  <c r="Q103" i="75"/>
  <c r="R103" i="75"/>
  <c r="S103" i="75"/>
  <c r="T103" i="75"/>
  <c r="J104" i="75"/>
  <c r="K104" i="75"/>
  <c r="L104" i="75"/>
  <c r="M104" i="75"/>
  <c r="N104" i="75"/>
  <c r="O104" i="75"/>
  <c r="Q104" i="75"/>
  <c r="R104" i="75"/>
  <c r="S104" i="75"/>
  <c r="J105" i="75"/>
  <c r="K105" i="75"/>
  <c r="L105" i="75"/>
  <c r="M105" i="75"/>
  <c r="N105" i="75"/>
  <c r="O105" i="75"/>
  <c r="J106" i="75"/>
  <c r="K106" i="75"/>
  <c r="L106" i="75"/>
  <c r="M106" i="75"/>
  <c r="N106" i="75"/>
  <c r="O106" i="75"/>
  <c r="Q106" i="75"/>
  <c r="S106" i="75"/>
  <c r="J107" i="75"/>
  <c r="K107" i="75"/>
  <c r="L107" i="75"/>
  <c r="M107" i="75"/>
  <c r="N107" i="75"/>
  <c r="O107" i="75"/>
  <c r="P107" i="75"/>
  <c r="J108" i="75"/>
  <c r="K108" i="75"/>
  <c r="L108" i="75"/>
  <c r="M108" i="75"/>
  <c r="N108" i="75"/>
  <c r="O108" i="75"/>
  <c r="Q108" i="75"/>
  <c r="S108" i="75"/>
  <c r="J109" i="75"/>
  <c r="K109" i="75"/>
  <c r="L109" i="75"/>
  <c r="M109" i="75"/>
  <c r="N109" i="75"/>
  <c r="O109" i="75"/>
  <c r="P109" i="75"/>
  <c r="J110" i="75"/>
  <c r="K110" i="75"/>
  <c r="L110" i="75"/>
  <c r="M110" i="75"/>
  <c r="N110" i="75"/>
  <c r="O110" i="75"/>
  <c r="Q110" i="75"/>
  <c r="S110" i="75"/>
  <c r="J111" i="75"/>
  <c r="K111" i="75"/>
  <c r="L111" i="75"/>
  <c r="M111" i="75"/>
  <c r="N111" i="75"/>
  <c r="O111" i="75"/>
  <c r="J112" i="75"/>
  <c r="K112" i="75"/>
  <c r="L112" i="75"/>
  <c r="M112" i="75"/>
  <c r="N112" i="75"/>
  <c r="O112" i="75"/>
  <c r="Q112" i="75"/>
  <c r="S112" i="75"/>
  <c r="J113" i="75"/>
  <c r="K113" i="75"/>
  <c r="L113" i="75"/>
  <c r="M113" i="75"/>
  <c r="N113" i="75"/>
  <c r="O113" i="75"/>
  <c r="P113" i="75"/>
  <c r="Q113" i="75"/>
  <c r="R113" i="75"/>
  <c r="S113" i="75"/>
  <c r="T113" i="75"/>
  <c r="D203" i="75"/>
  <c r="D204" i="75"/>
  <c r="D205" i="75"/>
  <c r="D206" i="75"/>
  <c r="D207" i="75"/>
  <c r="D208" i="75"/>
  <c r="D209" i="75"/>
  <c r="D210" i="75"/>
  <c r="D211" i="75"/>
  <c r="D212" i="75"/>
  <c r="D213" i="75"/>
  <c r="D214" i="75"/>
  <c r="D215" i="75"/>
  <c r="D216" i="75"/>
  <c r="D217" i="75"/>
  <c r="D218" i="75"/>
  <c r="D219" i="75"/>
  <c r="D220" i="75"/>
  <c r="D221" i="75"/>
  <c r="D222" i="75"/>
  <c r="D178" i="75"/>
  <c r="D179" i="75"/>
  <c r="D180" i="75"/>
  <c r="D181" i="75"/>
  <c r="D182" i="75"/>
  <c r="D183" i="75"/>
  <c r="D184" i="75"/>
  <c r="D185" i="75"/>
  <c r="D186" i="75"/>
  <c r="D187" i="75"/>
  <c r="D188" i="75"/>
  <c r="D189" i="75"/>
  <c r="D190" i="75"/>
  <c r="D191" i="75"/>
  <c r="D192" i="75"/>
  <c r="D193" i="75"/>
  <c r="D194" i="75"/>
  <c r="D195" i="75"/>
  <c r="D196" i="75"/>
  <c r="D197" i="75"/>
  <c r="D153" i="75"/>
  <c r="D154" i="75"/>
  <c r="D155" i="75"/>
  <c r="D156" i="75"/>
  <c r="D157" i="75"/>
  <c r="D158" i="75"/>
  <c r="D159" i="75"/>
  <c r="D160" i="75"/>
  <c r="D161" i="75"/>
  <c r="D162" i="75"/>
  <c r="D163" i="75"/>
  <c r="D164" i="75"/>
  <c r="D165" i="75"/>
  <c r="D166" i="75"/>
  <c r="D167" i="75"/>
  <c r="D168" i="75"/>
  <c r="D169" i="75"/>
  <c r="D170" i="75"/>
  <c r="D171" i="75"/>
  <c r="D172" i="75"/>
  <c r="D128" i="75"/>
  <c r="D129" i="75"/>
  <c r="D130" i="75"/>
  <c r="D131" i="75"/>
  <c r="D132" i="75"/>
  <c r="D133" i="75"/>
  <c r="D134" i="75"/>
  <c r="D135" i="75"/>
  <c r="D136" i="75"/>
  <c r="D137" i="75"/>
  <c r="D138" i="75"/>
  <c r="D139" i="75"/>
  <c r="D140" i="75"/>
  <c r="D141" i="75"/>
  <c r="D142" i="75"/>
  <c r="D143" i="75"/>
  <c r="D144" i="75"/>
  <c r="D145" i="75"/>
  <c r="D146" i="75"/>
  <c r="D147" i="75"/>
  <c r="D94" i="75"/>
  <c r="D95" i="75"/>
  <c r="D96" i="75"/>
  <c r="D97" i="75"/>
  <c r="D98" i="75"/>
  <c r="D99" i="75"/>
  <c r="D100" i="75"/>
  <c r="D101" i="75"/>
  <c r="D102" i="75"/>
  <c r="D103" i="75"/>
  <c r="D104" i="75"/>
  <c r="D105" i="75"/>
  <c r="D106" i="75"/>
  <c r="D107" i="75"/>
  <c r="D108" i="75"/>
  <c r="D109" i="75"/>
  <c r="D110" i="75"/>
  <c r="D111" i="75"/>
  <c r="D112" i="75"/>
  <c r="D113" i="75"/>
  <c r="D69" i="75"/>
  <c r="D70" i="75"/>
  <c r="D71" i="75"/>
  <c r="D72" i="75"/>
  <c r="D73" i="75"/>
  <c r="D74" i="75"/>
  <c r="D75" i="75"/>
  <c r="D76" i="75"/>
  <c r="D77" i="75"/>
  <c r="D78" i="75"/>
  <c r="D79" i="75"/>
  <c r="D80" i="75"/>
  <c r="D81" i="75"/>
  <c r="D82" i="75"/>
  <c r="D83" i="75"/>
  <c r="D84" i="75"/>
  <c r="D85" i="75"/>
  <c r="D86" i="75"/>
  <c r="D87" i="75"/>
  <c r="D88" i="75"/>
  <c r="D44" i="75"/>
  <c r="D45" i="75"/>
  <c r="D46" i="75"/>
  <c r="D47" i="75"/>
  <c r="D48" i="75"/>
  <c r="D49" i="75"/>
  <c r="D50" i="75"/>
  <c r="D51" i="75"/>
  <c r="D52" i="75"/>
  <c r="D53" i="75"/>
  <c r="D54" i="75"/>
  <c r="D55" i="75"/>
  <c r="D56" i="75"/>
  <c r="D57" i="75"/>
  <c r="D58" i="75"/>
  <c r="D59" i="75"/>
  <c r="D60" i="75"/>
  <c r="D61" i="75"/>
  <c r="D62" i="75"/>
  <c r="D63" i="75"/>
  <c r="D616" i="69"/>
  <c r="D617" i="69"/>
  <c r="D618" i="69"/>
  <c r="D619" i="69"/>
  <c r="D607" i="69"/>
  <c r="D608" i="69"/>
  <c r="D609" i="69"/>
  <c r="D610" i="69"/>
  <c r="D598" i="69"/>
  <c r="D599" i="69"/>
  <c r="D600" i="69"/>
  <c r="D601" i="69"/>
  <c r="D589" i="69"/>
  <c r="D590" i="69"/>
  <c r="D591" i="69"/>
  <c r="D592" i="69"/>
  <c r="D571" i="69"/>
  <c r="D572" i="69"/>
  <c r="D573" i="69"/>
  <c r="D574" i="69"/>
  <c r="D562" i="69"/>
  <c r="D563" i="69"/>
  <c r="D564" i="69"/>
  <c r="D565" i="69"/>
  <c r="D553" i="69"/>
  <c r="D554" i="69"/>
  <c r="D555" i="69"/>
  <c r="D556" i="69"/>
  <c r="D125" i="57"/>
  <c r="D126" i="57"/>
  <c r="D127" i="57"/>
  <c r="D128" i="57"/>
  <c r="D129" i="57"/>
  <c r="D130" i="57"/>
  <c r="D131" i="57"/>
  <c r="D113" i="57"/>
  <c r="D114" i="57"/>
  <c r="D115" i="57"/>
  <c r="D116" i="57"/>
  <c r="D117" i="57"/>
  <c r="D118" i="57"/>
  <c r="D119" i="57"/>
  <c r="D101" i="57"/>
  <c r="D102" i="57"/>
  <c r="D103" i="57"/>
  <c r="D104" i="57"/>
  <c r="D105" i="57"/>
  <c r="D106" i="57"/>
  <c r="D107" i="57"/>
  <c r="D89" i="57"/>
  <c r="D90" i="57"/>
  <c r="D91" i="57"/>
  <c r="D92" i="57"/>
  <c r="D93" i="57"/>
  <c r="D94" i="57"/>
  <c r="D95" i="57"/>
  <c r="D68" i="57"/>
  <c r="D69" i="57"/>
  <c r="D70" i="57"/>
  <c r="D71" i="57"/>
  <c r="D72" i="57"/>
  <c r="D73" i="57"/>
  <c r="D74" i="57"/>
  <c r="D56" i="57"/>
  <c r="D57" i="57"/>
  <c r="D58" i="57"/>
  <c r="D59" i="57"/>
  <c r="D60" i="57"/>
  <c r="D61" i="57"/>
  <c r="D62" i="57"/>
  <c r="D44" i="57"/>
  <c r="D45" i="57"/>
  <c r="D46" i="57"/>
  <c r="D47" i="57"/>
  <c r="D48" i="57"/>
  <c r="D49" i="57"/>
  <c r="D50" i="57"/>
  <c r="D408" i="57"/>
  <c r="D409" i="57"/>
  <c r="D410" i="57"/>
  <c r="D411" i="57"/>
  <c r="D412" i="57"/>
  <c r="D413" i="57"/>
  <c r="D397" i="57"/>
  <c r="D398" i="57"/>
  <c r="D399" i="57"/>
  <c r="D400" i="57"/>
  <c r="D401" i="57"/>
  <c r="D402" i="57"/>
  <c r="D386" i="57"/>
  <c r="D387" i="57"/>
  <c r="D388" i="57"/>
  <c r="D389" i="57"/>
  <c r="D390" i="57"/>
  <c r="D391" i="57"/>
  <c r="D375" i="57"/>
  <c r="D376" i="57"/>
  <c r="D377" i="57"/>
  <c r="D378" i="57"/>
  <c r="D379" i="57"/>
  <c r="D380" i="57"/>
  <c r="D355" i="57"/>
  <c r="D356" i="57"/>
  <c r="D357" i="57"/>
  <c r="D358" i="57"/>
  <c r="D359" i="57"/>
  <c r="D360" i="57"/>
  <c r="D344" i="57"/>
  <c r="D345" i="57"/>
  <c r="D346" i="57"/>
  <c r="D347" i="57"/>
  <c r="D348" i="57"/>
  <c r="D349" i="57"/>
  <c r="D333" i="57"/>
  <c r="D334" i="57"/>
  <c r="D335" i="57"/>
  <c r="D336" i="57"/>
  <c r="D337" i="57"/>
  <c r="D338" i="57"/>
  <c r="E263" i="77"/>
  <c r="E256" i="77"/>
  <c r="E257" i="77"/>
  <c r="E258" i="77"/>
  <c r="E259" i="77"/>
  <c r="E260" i="77"/>
  <c r="E261" i="77"/>
  <c r="E262" i="77"/>
  <c r="E389" i="75"/>
  <c r="E382" i="75"/>
  <c r="E383" i="75"/>
  <c r="E384" i="75"/>
  <c r="E385" i="75"/>
  <c r="E386" i="75"/>
  <c r="E387" i="75"/>
  <c r="E388" i="75"/>
  <c r="E786" i="69"/>
  <c r="E779" i="69"/>
  <c r="E780" i="69"/>
  <c r="E781" i="69"/>
  <c r="E782" i="69"/>
  <c r="E783" i="69"/>
  <c r="E784" i="69"/>
  <c r="E785" i="69"/>
  <c r="E518" i="69"/>
  <c r="E511" i="69"/>
  <c r="E512" i="69"/>
  <c r="E513" i="69"/>
  <c r="E514" i="69"/>
  <c r="E515" i="69"/>
  <c r="E516" i="69"/>
  <c r="E517" i="69"/>
  <c r="E263" i="69"/>
  <c r="E256" i="69"/>
  <c r="E257" i="69"/>
  <c r="E258" i="69"/>
  <c r="E259" i="69"/>
  <c r="E260" i="69"/>
  <c r="E261" i="69"/>
  <c r="E262" i="69"/>
  <c r="E1035" i="61"/>
  <c r="E1028" i="61"/>
  <c r="E1029" i="61"/>
  <c r="E1030" i="61"/>
  <c r="E1031" i="61"/>
  <c r="E1032" i="61"/>
  <c r="E1033" i="61"/>
  <c r="E1034" i="61"/>
  <c r="E780" i="61"/>
  <c r="E773" i="61"/>
  <c r="E774" i="61"/>
  <c r="E775" i="61"/>
  <c r="E776" i="61"/>
  <c r="E777" i="61"/>
  <c r="E778" i="61"/>
  <c r="E779" i="61"/>
  <c r="E525" i="61"/>
  <c r="E518" i="61"/>
  <c r="E519" i="61"/>
  <c r="E520" i="61"/>
  <c r="E521" i="61"/>
  <c r="E522" i="61"/>
  <c r="E523" i="61"/>
  <c r="E524" i="61"/>
  <c r="E268" i="61"/>
  <c r="E261" i="61"/>
  <c r="E262" i="61"/>
  <c r="E263" i="61"/>
  <c r="E264" i="61"/>
  <c r="E265" i="61"/>
  <c r="E266" i="61"/>
  <c r="E267" i="61"/>
  <c r="E580" i="57"/>
  <c r="E573" i="57"/>
  <c r="E574" i="57"/>
  <c r="E575" i="57"/>
  <c r="E576" i="57"/>
  <c r="E577" i="57"/>
  <c r="E578" i="57"/>
  <c r="E579" i="57"/>
  <c r="E298" i="57"/>
  <c r="E291" i="57"/>
  <c r="E292" i="57"/>
  <c r="E293" i="57"/>
  <c r="E294" i="57"/>
  <c r="E295" i="57"/>
  <c r="E296" i="57"/>
  <c r="E297" i="57"/>
  <c r="E615" i="53"/>
  <c r="E608" i="53"/>
  <c r="E609" i="53"/>
  <c r="E610" i="53"/>
  <c r="E611" i="53"/>
  <c r="E612" i="53"/>
  <c r="E613" i="53"/>
  <c r="E614" i="53"/>
  <c r="E312" i="53"/>
  <c r="E305" i="53"/>
  <c r="E306" i="53"/>
  <c r="E307" i="53"/>
  <c r="E308" i="53"/>
  <c r="E309" i="53"/>
  <c r="E310" i="53"/>
  <c r="E311" i="53"/>
  <c r="E559" i="49"/>
  <c r="E552" i="49"/>
  <c r="E553" i="49"/>
  <c r="E554" i="49"/>
  <c r="E555" i="49"/>
  <c r="E556" i="49"/>
  <c r="E557" i="49"/>
  <c r="E558" i="49"/>
  <c r="E284" i="49"/>
  <c r="E277" i="49"/>
  <c r="E278" i="49"/>
  <c r="E279" i="49"/>
  <c r="E280" i="49"/>
  <c r="E281" i="49"/>
  <c r="E282" i="49"/>
  <c r="E283" i="49"/>
  <c r="E559" i="45"/>
  <c r="E552" i="45"/>
  <c r="E553" i="45"/>
  <c r="E554" i="45"/>
  <c r="E555" i="45"/>
  <c r="E556" i="45"/>
  <c r="E557" i="45"/>
  <c r="E558" i="45"/>
  <c r="E305" i="45"/>
  <c r="E298" i="45"/>
  <c r="E299" i="45"/>
  <c r="E300" i="45"/>
  <c r="E301" i="45"/>
  <c r="E302" i="45"/>
  <c r="E303" i="45"/>
  <c r="E304" i="45"/>
  <c r="E573" i="41"/>
  <c r="E566" i="41"/>
  <c r="E567" i="41"/>
  <c r="E568" i="41"/>
  <c r="E569" i="41"/>
  <c r="E570" i="41"/>
  <c r="E571" i="41"/>
  <c r="E572" i="41"/>
  <c r="E284" i="41"/>
  <c r="E277" i="41"/>
  <c r="E278" i="41"/>
  <c r="E279" i="41"/>
  <c r="E280" i="41"/>
  <c r="E281" i="41"/>
  <c r="E282" i="41"/>
  <c r="E283" i="41"/>
  <c r="E538" i="37"/>
  <c r="E531" i="37"/>
  <c r="E532" i="37"/>
  <c r="E533" i="37"/>
  <c r="E534" i="37"/>
  <c r="E535" i="37"/>
  <c r="E536" i="37"/>
  <c r="E537" i="37"/>
  <c r="E284" i="37"/>
  <c r="E277" i="37"/>
  <c r="E278" i="37"/>
  <c r="E279" i="37"/>
  <c r="E280" i="37"/>
  <c r="E281" i="37"/>
  <c r="E282" i="37"/>
  <c r="E283" i="37"/>
  <c r="E834" i="19"/>
  <c r="E827" i="19"/>
  <c r="E828" i="19"/>
  <c r="E829" i="19"/>
  <c r="E830" i="19"/>
  <c r="E831" i="19"/>
  <c r="E832" i="19"/>
  <c r="E833" i="19"/>
  <c r="E263" i="33"/>
  <c r="E256" i="33"/>
  <c r="E257" i="33"/>
  <c r="E258" i="33"/>
  <c r="E259" i="33"/>
  <c r="E260" i="33"/>
  <c r="E261" i="33"/>
  <c r="E262" i="33"/>
  <c r="E559" i="19"/>
  <c r="E552" i="19"/>
  <c r="E553" i="19"/>
  <c r="E554" i="19"/>
  <c r="E555" i="19"/>
  <c r="E556" i="19"/>
  <c r="E557" i="19"/>
  <c r="E558" i="19"/>
  <c r="E333" i="29"/>
  <c r="E326" i="29"/>
  <c r="E327" i="29"/>
  <c r="E328" i="29"/>
  <c r="E329" i="29"/>
  <c r="E330" i="29"/>
  <c r="E331" i="29"/>
  <c r="E332" i="29"/>
  <c r="E284" i="19"/>
  <c r="E277" i="19"/>
  <c r="E278" i="19"/>
  <c r="E279" i="19"/>
  <c r="E280" i="19"/>
  <c r="E281" i="19"/>
  <c r="E282" i="19"/>
  <c r="E283" i="19"/>
  <c r="E340" i="18"/>
  <c r="E333" i="18"/>
  <c r="E334" i="18"/>
  <c r="E335" i="18"/>
  <c r="E336" i="18"/>
  <c r="E337" i="18"/>
  <c r="E338" i="18"/>
  <c r="E339" i="18"/>
  <c r="AR506" i="23"/>
  <c r="AS506" i="23"/>
  <c r="AT506" i="23"/>
  <c r="AR473" i="23"/>
  <c r="AS473" i="23"/>
  <c r="AT473" i="23"/>
  <c r="AU473" i="23"/>
  <c r="AV473" i="23"/>
  <c r="AR456" i="23"/>
  <c r="AT456" i="23"/>
  <c r="AU456" i="23"/>
  <c r="AV456" i="23"/>
  <c r="AR440" i="23"/>
  <c r="AS440" i="23"/>
  <c r="AU440" i="23"/>
  <c r="AV440" i="23"/>
  <c r="AS425" i="23"/>
  <c r="AU425" i="23"/>
  <c r="AV425" i="23"/>
  <c r="AR409" i="23"/>
  <c r="AT409" i="23"/>
  <c r="AU409" i="23"/>
  <c r="AV409" i="23"/>
  <c r="AR393" i="23"/>
  <c r="AT393" i="23"/>
  <c r="AU393" i="23"/>
  <c r="AV393" i="23"/>
  <c r="AR375" i="23"/>
  <c r="AS375" i="23"/>
  <c r="AU375" i="23"/>
  <c r="AV375" i="23"/>
  <c r="AR355" i="23"/>
  <c r="AS355" i="23"/>
  <c r="AT355" i="23"/>
  <c r="AU355" i="23"/>
  <c r="AR336" i="23"/>
  <c r="AS336" i="23"/>
  <c r="AT336" i="23"/>
  <c r="AU336" i="23"/>
  <c r="AV336" i="23"/>
  <c r="AR316" i="23"/>
  <c r="AS316" i="23"/>
  <c r="AT316" i="23"/>
  <c r="AU316" i="23"/>
  <c r="AV316" i="23"/>
  <c r="AR294" i="23"/>
  <c r="AS294" i="23"/>
  <c r="AT294" i="23"/>
  <c r="AU294" i="23"/>
  <c r="AV294" i="23"/>
  <c r="AS272" i="23"/>
  <c r="AT272" i="23"/>
  <c r="AU272" i="23"/>
  <c r="AV272" i="23"/>
  <c r="AR254" i="23"/>
  <c r="AT254" i="23"/>
  <c r="AU254" i="23"/>
  <c r="AV254" i="23"/>
  <c r="AR236" i="23"/>
  <c r="AS236" i="23"/>
  <c r="AU236" i="23"/>
  <c r="AV236" i="23"/>
  <c r="AR221" i="23"/>
  <c r="AS221" i="23"/>
  <c r="AT221" i="23"/>
  <c r="AV221" i="23"/>
  <c r="AR200" i="23"/>
  <c r="AS200" i="23"/>
  <c r="AT200" i="23"/>
  <c r="AU200" i="23"/>
  <c r="AR180" i="23"/>
  <c r="AS180" i="23"/>
  <c r="AT180" i="23"/>
  <c r="AU180" i="23"/>
  <c r="AV180" i="23"/>
  <c r="AR162" i="23"/>
  <c r="AS162" i="23"/>
  <c r="AT162" i="23"/>
  <c r="AV162" i="23"/>
  <c r="AR147" i="23"/>
  <c r="AS147" i="23"/>
  <c r="AT147" i="23"/>
  <c r="AU147" i="23"/>
  <c r="AV147" i="23"/>
  <c r="AS129" i="23"/>
  <c r="AT129" i="23"/>
  <c r="AU129" i="23"/>
  <c r="AV129" i="23"/>
  <c r="AR111" i="23"/>
  <c r="AT111" i="23"/>
  <c r="AU111" i="23"/>
  <c r="AV111" i="23"/>
  <c r="AU96" i="23"/>
  <c r="AV96" i="23"/>
  <c r="AR78" i="23"/>
  <c r="AS78" i="23"/>
  <c r="AT78" i="23"/>
  <c r="AV78" i="23"/>
  <c r="AR53" i="23"/>
  <c r="AS53" i="23"/>
  <c r="AT53" i="23"/>
  <c r="AV53" i="23"/>
  <c r="AS35" i="23"/>
  <c r="AT35" i="23"/>
  <c r="AU35" i="23"/>
  <c r="AV35" i="23"/>
  <c r="AR9" i="23"/>
  <c r="AS9" i="23"/>
  <c r="AT9" i="23"/>
  <c r="AU9" i="23"/>
  <c r="AV9" i="23"/>
  <c r="E220" i="77"/>
  <c r="E346" i="75"/>
  <c r="E743" i="69"/>
  <c r="E475" i="69"/>
  <c r="E220" i="69"/>
  <c r="E992" i="61"/>
  <c r="E737" i="61"/>
  <c r="E482" i="61"/>
  <c r="E225" i="61"/>
  <c r="E537" i="57"/>
  <c r="E255" i="57"/>
  <c r="E572" i="53"/>
  <c r="E269" i="53"/>
  <c r="E516" i="49"/>
  <c r="E241" i="49"/>
  <c r="E516" i="45"/>
  <c r="E262" i="45"/>
  <c r="E530" i="41"/>
  <c r="E241" i="41"/>
  <c r="E495" i="37"/>
  <c r="E241" i="37"/>
  <c r="E791" i="19"/>
  <c r="E220" i="33"/>
  <c r="E516" i="19"/>
  <c r="E290" i="29"/>
  <c r="E241" i="19"/>
  <c r="E297" i="18"/>
  <c r="AC506" i="23"/>
  <c r="AD506" i="23"/>
  <c r="AE506" i="23"/>
  <c r="AF506" i="23"/>
  <c r="AG506" i="23"/>
  <c r="AH506" i="23"/>
  <c r="AI506" i="23"/>
  <c r="AK506" i="23"/>
  <c r="AL506" i="23"/>
  <c r="AM506" i="23"/>
  <c r="AD473" i="23"/>
  <c r="AE473" i="23"/>
  <c r="AF473" i="23"/>
  <c r="AG473" i="23"/>
  <c r="AH473" i="23"/>
  <c r="AJ473" i="23"/>
  <c r="AL473" i="23"/>
  <c r="AM473" i="23"/>
  <c r="AC456" i="23"/>
  <c r="AD456" i="23"/>
  <c r="AE456" i="23"/>
  <c r="AG456" i="23"/>
  <c r="AJ456" i="23"/>
  <c r="AK456" i="23"/>
  <c r="AL456" i="23"/>
  <c r="AM456" i="23"/>
  <c r="AC440" i="23"/>
  <c r="AD440" i="23"/>
  <c r="AE440" i="23"/>
  <c r="AF440" i="23"/>
  <c r="AG440" i="23"/>
  <c r="AH440" i="23"/>
  <c r="AJ440" i="23"/>
  <c r="AK440" i="23"/>
  <c r="AL440" i="23"/>
  <c r="AM440" i="23"/>
  <c r="AC425" i="23"/>
  <c r="AE425" i="23"/>
  <c r="AF425" i="23"/>
  <c r="AG425" i="23"/>
  <c r="AH425" i="23"/>
  <c r="AI425" i="23"/>
  <c r="AJ425" i="23"/>
  <c r="AK425" i="23"/>
  <c r="AL425" i="23"/>
  <c r="AM425" i="23"/>
  <c r="AC409" i="23"/>
  <c r="AD409" i="23"/>
  <c r="AE409" i="23"/>
  <c r="AF409" i="23"/>
  <c r="AH409" i="23"/>
  <c r="AI409" i="23"/>
  <c r="AJ409" i="23"/>
  <c r="AK409" i="23"/>
  <c r="AL409" i="23"/>
  <c r="AM409" i="23"/>
  <c r="AC393" i="23"/>
  <c r="AD393" i="23"/>
  <c r="AE393" i="23"/>
  <c r="AF393" i="23"/>
  <c r="AG393" i="23"/>
  <c r="AI393" i="23"/>
  <c r="AJ393" i="23"/>
  <c r="AK393" i="23"/>
  <c r="AL393" i="23"/>
  <c r="AM393" i="23"/>
  <c r="AC375" i="23"/>
  <c r="AD375" i="23"/>
  <c r="AE375" i="23"/>
  <c r="AF375" i="23"/>
  <c r="AG375" i="23"/>
  <c r="AH375" i="23"/>
  <c r="AI375" i="23"/>
  <c r="AJ375" i="23"/>
  <c r="AL375" i="23"/>
  <c r="AM375" i="23"/>
  <c r="AC355" i="23"/>
  <c r="AD355" i="23"/>
  <c r="AE355" i="23"/>
  <c r="AF355" i="23"/>
  <c r="AG355" i="23"/>
  <c r="AH355" i="23"/>
  <c r="AI355" i="23"/>
  <c r="AJ355" i="23"/>
  <c r="AK355" i="23"/>
  <c r="AL355" i="23"/>
  <c r="AM355" i="23"/>
  <c r="AD336" i="23"/>
  <c r="AF336" i="23"/>
  <c r="AG336" i="23"/>
  <c r="AH336" i="23"/>
  <c r="AI336" i="23"/>
  <c r="AJ336" i="23"/>
  <c r="AK336" i="23"/>
  <c r="AL336" i="23"/>
  <c r="AM336" i="23"/>
  <c r="AC316" i="23"/>
  <c r="AD316" i="23"/>
  <c r="AE316" i="23"/>
  <c r="AG316" i="23"/>
  <c r="AH316" i="23"/>
  <c r="AI316" i="23"/>
  <c r="AJ316" i="23"/>
  <c r="AK316" i="23"/>
  <c r="AL316" i="23"/>
  <c r="AM316" i="23"/>
  <c r="AC294" i="23"/>
  <c r="AD294" i="23"/>
  <c r="AE294" i="23"/>
  <c r="AF294" i="23"/>
  <c r="AH294" i="23"/>
  <c r="AI294" i="23"/>
  <c r="AJ294" i="23"/>
  <c r="AK294" i="23"/>
  <c r="AL294" i="23"/>
  <c r="AM294" i="23"/>
  <c r="AC272" i="23"/>
  <c r="AE272" i="23"/>
  <c r="AF272" i="23"/>
  <c r="AG272" i="23"/>
  <c r="AH272" i="23"/>
  <c r="AI272" i="23"/>
  <c r="AJ272" i="23"/>
  <c r="AK272" i="23"/>
  <c r="AL272" i="23"/>
  <c r="AM272" i="23"/>
  <c r="AC254" i="23"/>
  <c r="AD254" i="23"/>
  <c r="AE254" i="23"/>
  <c r="AF254" i="23"/>
  <c r="AH254" i="23"/>
  <c r="AI254" i="23"/>
  <c r="AJ254" i="23"/>
  <c r="AK254" i="23"/>
  <c r="AL254" i="23"/>
  <c r="AM254" i="23"/>
  <c r="AC236" i="23"/>
  <c r="AD236" i="23"/>
  <c r="AE236" i="23"/>
  <c r="AF236" i="23"/>
  <c r="AG236" i="23"/>
  <c r="AH236" i="23"/>
  <c r="AI236" i="23"/>
  <c r="AJ236" i="23"/>
  <c r="AK236" i="23"/>
  <c r="AL236" i="23"/>
  <c r="AM236" i="23"/>
  <c r="AD221" i="23"/>
  <c r="AF221" i="23"/>
  <c r="AG221" i="23"/>
  <c r="AH221" i="23"/>
  <c r="AI221" i="23"/>
  <c r="AJ221" i="23"/>
  <c r="AK221" i="23"/>
  <c r="AL221" i="23"/>
  <c r="AM221" i="23"/>
  <c r="AC200" i="23"/>
  <c r="AE200" i="23"/>
  <c r="AF200" i="23"/>
  <c r="AG200" i="23"/>
  <c r="AH200" i="23"/>
  <c r="AI200" i="23"/>
  <c r="AJ200" i="23"/>
  <c r="AK200" i="23"/>
  <c r="AL200" i="23"/>
  <c r="AM200" i="23"/>
  <c r="AC180" i="23"/>
  <c r="AD180" i="23"/>
  <c r="AE180" i="23"/>
  <c r="AF180" i="23"/>
  <c r="AG180" i="23"/>
  <c r="AH180" i="23"/>
  <c r="AI180" i="23"/>
  <c r="AJ180" i="23"/>
  <c r="AK180" i="23"/>
  <c r="AL180" i="23"/>
  <c r="AM180" i="23"/>
  <c r="AC162" i="23"/>
  <c r="AD162" i="23"/>
  <c r="AE162" i="23"/>
  <c r="AF162" i="23"/>
  <c r="AG162" i="23"/>
  <c r="AH162" i="23"/>
  <c r="AI162" i="23"/>
  <c r="AJ162" i="23"/>
  <c r="AK162" i="23"/>
  <c r="AL162" i="23"/>
  <c r="AM162" i="23"/>
  <c r="AD147" i="23"/>
  <c r="AE147" i="23"/>
  <c r="AF147" i="23"/>
  <c r="AG147" i="23"/>
  <c r="AH147" i="23"/>
  <c r="AI147" i="23"/>
  <c r="AJ147" i="23"/>
  <c r="AK147" i="23"/>
  <c r="AL147" i="23"/>
  <c r="AM147" i="23"/>
  <c r="AC129" i="23"/>
  <c r="AE129" i="23"/>
  <c r="AF129" i="23"/>
  <c r="AG129" i="23"/>
  <c r="AH129" i="23"/>
  <c r="AI129" i="23"/>
  <c r="AJ129" i="23"/>
  <c r="AK129" i="23"/>
  <c r="AL129" i="23"/>
  <c r="AM129" i="23"/>
  <c r="AC111" i="23"/>
  <c r="AD111" i="23"/>
  <c r="AF111" i="23"/>
  <c r="AG111" i="23"/>
  <c r="AH111" i="23"/>
  <c r="AI111" i="23"/>
  <c r="AJ111" i="23"/>
  <c r="AK111" i="23"/>
  <c r="AL111" i="23"/>
  <c r="AM111" i="23"/>
  <c r="AC96" i="23"/>
  <c r="AD96" i="23"/>
  <c r="AE96" i="23"/>
  <c r="AF96" i="23"/>
  <c r="AG96" i="23"/>
  <c r="AH96" i="23"/>
  <c r="AI96" i="23"/>
  <c r="AJ96" i="23"/>
  <c r="AK96" i="23"/>
  <c r="AL96" i="23"/>
  <c r="AM96" i="23"/>
  <c r="AC78" i="23"/>
  <c r="AD78" i="23"/>
  <c r="AE78" i="23"/>
  <c r="AF78" i="23"/>
  <c r="AG78" i="23"/>
  <c r="AH78" i="23"/>
  <c r="AI78" i="23"/>
  <c r="AJ78" i="23"/>
  <c r="AK78" i="23"/>
  <c r="AL78" i="23"/>
  <c r="AM78" i="23"/>
  <c r="AC53" i="23"/>
  <c r="AD53" i="23"/>
  <c r="AE53" i="23"/>
  <c r="AF53" i="23"/>
  <c r="AG53" i="23"/>
  <c r="AH53" i="23"/>
  <c r="AI53" i="23"/>
  <c r="AJ53" i="23"/>
  <c r="AK53" i="23"/>
  <c r="AL53" i="23"/>
  <c r="AM53" i="23"/>
  <c r="AC35" i="23"/>
  <c r="AD35" i="23"/>
  <c r="AE35" i="23"/>
  <c r="AF35" i="23"/>
  <c r="AG35" i="23"/>
  <c r="AH35" i="23"/>
  <c r="AI35" i="23"/>
  <c r="AJ35" i="23"/>
  <c r="AK35" i="23"/>
  <c r="AL35" i="23"/>
  <c r="AC9" i="23"/>
  <c r="AD9" i="23"/>
  <c r="AE9" i="23"/>
  <c r="AF9" i="23"/>
  <c r="AG9" i="23"/>
  <c r="AH9" i="23"/>
  <c r="AI9" i="23"/>
  <c r="AJ9" i="23"/>
  <c r="AK9" i="23"/>
  <c r="AL9" i="23"/>
  <c r="AM9" i="23"/>
  <c r="E252" i="77"/>
  <c r="AU506" i="23"/>
  <c r="E378" i="75"/>
  <c r="E775" i="69"/>
  <c r="E507" i="69"/>
  <c r="E252" i="69"/>
  <c r="E1024" i="61"/>
  <c r="E769" i="61"/>
  <c r="E514" i="61"/>
  <c r="E257" i="61"/>
  <c r="E569" i="57"/>
  <c r="E287" i="57"/>
  <c r="E604" i="53"/>
  <c r="E301" i="53"/>
  <c r="E548" i="49"/>
  <c r="E273" i="49"/>
  <c r="E548" i="45"/>
  <c r="AU221" i="23"/>
  <c r="E294" i="45"/>
  <c r="E562" i="41"/>
  <c r="E273" i="41"/>
  <c r="AU162" i="23"/>
  <c r="E527" i="37"/>
  <c r="E273" i="37"/>
  <c r="E823" i="19"/>
  <c r="E252" i="33"/>
  <c r="E548" i="19"/>
  <c r="AU78" i="23"/>
  <c r="E322" i="29"/>
  <c r="AU53" i="23"/>
  <c r="E273" i="19"/>
  <c r="E329" i="18"/>
  <c r="AV506" i="23"/>
  <c r="AV355" i="23"/>
  <c r="AV200" i="23"/>
  <c r="AT440" i="23"/>
  <c r="AT425" i="23"/>
  <c r="AT375" i="23"/>
  <c r="AT236" i="23"/>
  <c r="AT96" i="23"/>
  <c r="AS456" i="23"/>
  <c r="AS409" i="23"/>
  <c r="AS393" i="23"/>
  <c r="AS254" i="23"/>
  <c r="AS111" i="23"/>
  <c r="AS96" i="23"/>
  <c r="AR425" i="23"/>
  <c r="AR272" i="23"/>
  <c r="AR129" i="23"/>
  <c r="AR96" i="23"/>
  <c r="AR35" i="23"/>
  <c r="AM35" i="23"/>
  <c r="AK473" i="23"/>
  <c r="AK375" i="23"/>
  <c r="AJ506" i="23"/>
  <c r="AI473" i="23"/>
  <c r="AI456" i="23"/>
  <c r="AI440" i="23"/>
  <c r="AH456" i="23"/>
  <c r="AH393" i="23"/>
  <c r="AG409" i="23"/>
  <c r="AG294" i="23"/>
  <c r="AG254" i="23"/>
  <c r="AF456" i="23"/>
  <c r="AF316" i="23"/>
  <c r="AE336" i="23"/>
  <c r="AE221" i="23"/>
  <c r="AE111" i="23"/>
  <c r="AD425" i="23"/>
  <c r="AD272" i="23"/>
  <c r="AD200" i="23"/>
  <c r="AD129" i="23"/>
  <c r="AC473" i="23"/>
  <c r="AC336" i="23"/>
  <c r="AC221" i="23"/>
  <c r="AC147" i="23"/>
  <c r="E202" i="77"/>
  <c r="E328" i="75"/>
  <c r="E725" i="69"/>
  <c r="E457" i="69"/>
  <c r="E202" i="69"/>
  <c r="E974" i="61"/>
  <c r="E719" i="61"/>
  <c r="E464" i="61"/>
  <c r="E207" i="61"/>
  <c r="E519" i="57"/>
  <c r="E237" i="57"/>
  <c r="E554" i="53"/>
  <c r="E251" i="53"/>
  <c r="E498" i="49"/>
  <c r="E223" i="49"/>
  <c r="E498" i="45"/>
  <c r="E244" i="45"/>
  <c r="E512" i="41"/>
  <c r="E223" i="41"/>
  <c r="E477" i="37"/>
  <c r="E223" i="37"/>
  <c r="E773" i="19"/>
  <c r="E202" i="33"/>
  <c r="E498" i="19"/>
  <c r="E272" i="29"/>
  <c r="E223" i="19"/>
  <c r="E279" i="18"/>
  <c r="D867" i="61"/>
  <c r="D868" i="61"/>
  <c r="D860" i="61"/>
  <c r="D861" i="61"/>
  <c r="D853" i="61"/>
  <c r="D854" i="61"/>
  <c r="D846" i="61"/>
  <c r="D847" i="61"/>
  <c r="D829" i="61"/>
  <c r="D830" i="61"/>
  <c r="D822" i="61"/>
  <c r="D823" i="61"/>
  <c r="D815" i="61"/>
  <c r="D816" i="61"/>
  <c r="D612" i="61"/>
  <c r="D613" i="61"/>
  <c r="D605" i="61"/>
  <c r="D606" i="61"/>
  <c r="D598" i="61"/>
  <c r="D599" i="61"/>
  <c r="D591" i="61"/>
  <c r="D592" i="61"/>
  <c r="D574" i="61"/>
  <c r="D575" i="61"/>
  <c r="D567" i="61"/>
  <c r="D568" i="61"/>
  <c r="D560" i="61"/>
  <c r="D561" i="61"/>
  <c r="D100" i="61"/>
  <c r="D101" i="61"/>
  <c r="D93" i="61"/>
  <c r="D94" i="61"/>
  <c r="D86" i="61"/>
  <c r="D87" i="61"/>
  <c r="D79" i="61"/>
  <c r="D80" i="61"/>
  <c r="D58" i="61"/>
  <c r="D59" i="61"/>
  <c r="D51" i="61"/>
  <c r="D52" i="61"/>
  <c r="D44" i="61"/>
  <c r="D45" i="61"/>
  <c r="D357" i="61"/>
  <c r="D358" i="61"/>
  <c r="D350" i="61"/>
  <c r="D351" i="61"/>
  <c r="D343" i="61"/>
  <c r="D344" i="61"/>
  <c r="D336" i="61"/>
  <c r="D337" i="61"/>
  <c r="D317" i="61"/>
  <c r="D318" i="61"/>
  <c r="D310" i="61"/>
  <c r="D311" i="61"/>
  <c r="D303" i="61"/>
  <c r="D304" i="61"/>
  <c r="D391" i="45"/>
  <c r="D392" i="45"/>
  <c r="D384" i="45"/>
  <c r="D385" i="45"/>
  <c r="D377" i="45"/>
  <c r="D378" i="45"/>
  <c r="D370" i="45"/>
  <c r="D371" i="45"/>
  <c r="D354" i="45"/>
  <c r="D355" i="45"/>
  <c r="D347" i="45"/>
  <c r="D348" i="45"/>
  <c r="D340" i="45"/>
  <c r="D341" i="45"/>
  <c r="D370" i="37"/>
  <c r="D371" i="37"/>
  <c r="D363" i="37"/>
  <c r="D364" i="37"/>
  <c r="D356" i="37"/>
  <c r="D357" i="37"/>
  <c r="D349" i="37"/>
  <c r="D350" i="37"/>
  <c r="D333" i="37"/>
  <c r="D334" i="37"/>
  <c r="D326" i="37"/>
  <c r="D327" i="37"/>
  <c r="D319" i="37"/>
  <c r="D320" i="37"/>
  <c r="D113" i="37"/>
  <c r="D114" i="37"/>
  <c r="D115" i="37"/>
  <c r="D116" i="37"/>
  <c r="D117" i="37"/>
  <c r="D103" i="37"/>
  <c r="D104" i="37"/>
  <c r="D105" i="37"/>
  <c r="D106" i="37"/>
  <c r="D107" i="37"/>
  <c r="D93" i="37"/>
  <c r="D94" i="37"/>
  <c r="D95" i="37"/>
  <c r="D96" i="37"/>
  <c r="D97" i="37"/>
  <c r="D83" i="37"/>
  <c r="D84" i="37"/>
  <c r="D85" i="37"/>
  <c r="D86" i="37"/>
  <c r="D87" i="37"/>
  <c r="D64" i="37"/>
  <c r="D65" i="37"/>
  <c r="D66" i="37"/>
  <c r="D67" i="37"/>
  <c r="D68" i="37"/>
  <c r="D54" i="37"/>
  <c r="D55" i="37"/>
  <c r="D56" i="37"/>
  <c r="D57" i="37"/>
  <c r="D58" i="37"/>
  <c r="D44" i="37"/>
  <c r="D45" i="37"/>
  <c r="D46" i="37"/>
  <c r="D47" i="37"/>
  <c r="D48" i="37"/>
  <c r="D663" i="19"/>
  <c r="D664" i="19"/>
  <c r="D665" i="19"/>
  <c r="D666" i="19"/>
  <c r="D667" i="19"/>
  <c r="D653" i="19"/>
  <c r="D654" i="19"/>
  <c r="D655" i="19"/>
  <c r="D656" i="19"/>
  <c r="D657" i="19"/>
  <c r="D643" i="19"/>
  <c r="D644" i="19"/>
  <c r="D645" i="19"/>
  <c r="D646" i="19"/>
  <c r="D647" i="19"/>
  <c r="D633" i="19"/>
  <c r="D634" i="19"/>
  <c r="D635" i="19"/>
  <c r="D636" i="19"/>
  <c r="D637" i="19"/>
  <c r="D614" i="19"/>
  <c r="D615" i="19"/>
  <c r="D616" i="19"/>
  <c r="D617" i="19"/>
  <c r="D618" i="19"/>
  <c r="D604" i="19"/>
  <c r="D605" i="19"/>
  <c r="D606" i="19"/>
  <c r="D607" i="19"/>
  <c r="D608" i="19"/>
  <c r="D594" i="19"/>
  <c r="D595" i="19"/>
  <c r="D596" i="19"/>
  <c r="D597" i="19"/>
  <c r="D598" i="19"/>
  <c r="D95" i="33"/>
  <c r="D96" i="33"/>
  <c r="D88" i="33"/>
  <c r="D89" i="33"/>
  <c r="D81" i="33"/>
  <c r="D82" i="33"/>
  <c r="D74" i="33"/>
  <c r="D75" i="33"/>
  <c r="D58" i="33"/>
  <c r="D59" i="33"/>
  <c r="D51" i="33"/>
  <c r="D52" i="33"/>
  <c r="D44" i="33"/>
  <c r="D45" i="33"/>
  <c r="D388" i="19"/>
  <c r="D389" i="19"/>
  <c r="D390" i="19"/>
  <c r="D391" i="19"/>
  <c r="D392" i="19"/>
  <c r="D378" i="19"/>
  <c r="D379" i="19"/>
  <c r="D380" i="19"/>
  <c r="D381" i="19"/>
  <c r="D382" i="19"/>
  <c r="D368" i="19"/>
  <c r="D369" i="19"/>
  <c r="D370" i="19"/>
  <c r="D371" i="19"/>
  <c r="D372" i="19"/>
  <c r="D358" i="19"/>
  <c r="D359" i="19"/>
  <c r="D360" i="19"/>
  <c r="D361" i="19"/>
  <c r="D362" i="19"/>
  <c r="D339" i="19"/>
  <c r="D340" i="19"/>
  <c r="D341" i="19"/>
  <c r="D342" i="19"/>
  <c r="D343" i="19"/>
  <c r="D329" i="19"/>
  <c r="D330" i="19"/>
  <c r="D331" i="19"/>
  <c r="D332" i="19"/>
  <c r="D333" i="19"/>
  <c r="D319" i="19"/>
  <c r="D320" i="19"/>
  <c r="D321" i="19"/>
  <c r="D322" i="19"/>
  <c r="D323" i="19"/>
  <c r="D113" i="19"/>
  <c r="D114" i="19"/>
  <c r="D115" i="19"/>
  <c r="D116" i="19"/>
  <c r="D117" i="19"/>
  <c r="D103" i="19"/>
  <c r="D104" i="19"/>
  <c r="D105" i="19"/>
  <c r="D106" i="19"/>
  <c r="D107" i="19"/>
  <c r="D93" i="19"/>
  <c r="D94" i="19"/>
  <c r="D95" i="19"/>
  <c r="D96" i="19"/>
  <c r="D97" i="19"/>
  <c r="D83" i="19"/>
  <c r="D84" i="19"/>
  <c r="D85" i="19"/>
  <c r="D86" i="19"/>
  <c r="D87" i="19"/>
  <c r="D64" i="19"/>
  <c r="D65" i="19"/>
  <c r="D66" i="19"/>
  <c r="D67" i="19"/>
  <c r="D68" i="19"/>
  <c r="D54" i="19"/>
  <c r="D55" i="19"/>
  <c r="D56" i="19"/>
  <c r="D57" i="19"/>
  <c r="D58" i="19"/>
  <c r="D44" i="19"/>
  <c r="D45" i="19"/>
  <c r="D46" i="19"/>
  <c r="D47" i="19"/>
  <c r="D48" i="19"/>
  <c r="P16" i="80"/>
  <c r="P15" i="80" s="1"/>
  <c r="Q16" i="80"/>
  <c r="Q15" i="80" s="1"/>
  <c r="R16" i="80"/>
  <c r="R15" i="80" s="1"/>
  <c r="S16" i="80"/>
  <c r="S15" i="80" s="1"/>
  <c r="T16" i="80"/>
  <c r="O14" i="80"/>
  <c r="O13" i="80" s="1"/>
  <c r="J12" i="80"/>
  <c r="J11" i="80" s="1"/>
  <c r="K12" i="80"/>
  <c r="K11" i="80" s="1"/>
  <c r="L12" i="80"/>
  <c r="L11" i="80" s="1"/>
  <c r="M12" i="80"/>
  <c r="M11" i="80" s="1"/>
  <c r="N12" i="80"/>
  <c r="N11" i="80" s="1"/>
  <c r="P10" i="80"/>
  <c r="Q10" i="80"/>
  <c r="R10" i="80"/>
  <c r="S10" i="80"/>
  <c r="T10" i="80"/>
  <c r="O10" i="80"/>
  <c r="J10" i="80"/>
  <c r="K10" i="80"/>
  <c r="L10" i="80"/>
  <c r="M10" i="80"/>
  <c r="N10" i="80"/>
  <c r="P16" i="79"/>
  <c r="P15" i="79" s="1"/>
  <c r="Q16" i="79"/>
  <c r="R16" i="79"/>
  <c r="R15" i="79" s="1"/>
  <c r="S16" i="79"/>
  <c r="S15" i="79" s="1"/>
  <c r="T16" i="79"/>
  <c r="T15" i="79" s="1"/>
  <c r="O14" i="79"/>
  <c r="O13" i="79" s="1"/>
  <c r="J12" i="79"/>
  <c r="J11" i="79" s="1"/>
  <c r="K12" i="79"/>
  <c r="K11" i="79" s="1"/>
  <c r="L12" i="79"/>
  <c r="L11" i="79" s="1"/>
  <c r="M12" i="79"/>
  <c r="M11" i="79" s="1"/>
  <c r="N12" i="79"/>
  <c r="N11" i="79" s="1"/>
  <c r="P10" i="79"/>
  <c r="Q10" i="79"/>
  <c r="R10" i="79"/>
  <c r="S10" i="79"/>
  <c r="T10" i="79"/>
  <c r="O10" i="79"/>
  <c r="J10" i="79"/>
  <c r="K10" i="79"/>
  <c r="L10" i="79"/>
  <c r="M10" i="79"/>
  <c r="N10" i="79"/>
  <c r="P16" i="78"/>
  <c r="Q16" i="78"/>
  <c r="R16" i="78"/>
  <c r="R15" i="78" s="1"/>
  <c r="S16" i="78"/>
  <c r="S15" i="78" s="1"/>
  <c r="T16" i="78"/>
  <c r="O14" i="78"/>
  <c r="O13" i="78" s="1"/>
  <c r="J12" i="78"/>
  <c r="J11" i="78" s="1"/>
  <c r="K12" i="78"/>
  <c r="K11" i="78" s="1"/>
  <c r="L12" i="78"/>
  <c r="L11" i="78" s="1"/>
  <c r="M12" i="78"/>
  <c r="M11" i="78" s="1"/>
  <c r="N12" i="78"/>
  <c r="N11" i="78" s="1"/>
  <c r="P10" i="78"/>
  <c r="Q10" i="78"/>
  <c r="R10" i="78"/>
  <c r="S10" i="78"/>
  <c r="T10" i="78"/>
  <c r="O10" i="78"/>
  <c r="J10" i="78"/>
  <c r="K10" i="78"/>
  <c r="L10" i="78"/>
  <c r="M10" i="78"/>
  <c r="N10" i="78"/>
  <c r="F157" i="27"/>
  <c r="F117" i="27"/>
  <c r="B321" i="45"/>
  <c r="C218" i="23" s="1"/>
  <c r="J331" i="45"/>
  <c r="K331" i="45"/>
  <c r="L331" i="45"/>
  <c r="M331" i="45"/>
  <c r="N331" i="45"/>
  <c r="O331" i="45"/>
  <c r="P331" i="45"/>
  <c r="Q331" i="45"/>
  <c r="R331" i="45"/>
  <c r="S331" i="45"/>
  <c r="T331" i="45"/>
  <c r="J332" i="45"/>
  <c r="K332" i="45"/>
  <c r="L332" i="45"/>
  <c r="M332" i="45"/>
  <c r="N332" i="45"/>
  <c r="O332" i="45"/>
  <c r="P332" i="45"/>
  <c r="Q332" i="45"/>
  <c r="R332" i="45"/>
  <c r="S332" i="45"/>
  <c r="T332" i="45"/>
  <c r="J333" i="45"/>
  <c r="K333" i="45"/>
  <c r="L333" i="45"/>
  <c r="M333" i="45"/>
  <c r="N333" i="45"/>
  <c r="O333" i="45"/>
  <c r="P333" i="45"/>
  <c r="Q333" i="45"/>
  <c r="R333" i="45"/>
  <c r="S333" i="45"/>
  <c r="T333" i="45"/>
  <c r="D345" i="45"/>
  <c r="D352" i="45"/>
  <c r="D373" i="45"/>
  <c r="D380" i="45"/>
  <c r="D387" i="45"/>
  <c r="D394" i="45"/>
  <c r="N221" i="23"/>
  <c r="P221" i="23"/>
  <c r="Q221" i="23"/>
  <c r="T221" i="23"/>
  <c r="U221" i="23"/>
  <c r="V221" i="23"/>
  <c r="W221" i="23"/>
  <c r="X221" i="23"/>
  <c r="E417" i="45"/>
  <c r="E457" i="45"/>
  <c r="B796" i="61"/>
  <c r="C406" i="23" s="1"/>
  <c r="J806" i="61"/>
  <c r="K806" i="61"/>
  <c r="L806" i="61"/>
  <c r="M806" i="61"/>
  <c r="N806" i="61"/>
  <c r="O806" i="61"/>
  <c r="P806" i="61"/>
  <c r="Q806" i="61"/>
  <c r="R806" i="61"/>
  <c r="S806" i="61"/>
  <c r="T806" i="61"/>
  <c r="J807" i="61"/>
  <c r="K807" i="61"/>
  <c r="L807" i="61"/>
  <c r="M807" i="61"/>
  <c r="N807" i="61"/>
  <c r="O807" i="61"/>
  <c r="P807" i="61"/>
  <c r="Q807" i="61"/>
  <c r="R807" i="61"/>
  <c r="S807" i="61"/>
  <c r="T807" i="61"/>
  <c r="J808" i="61"/>
  <c r="K808" i="61"/>
  <c r="L808" i="61"/>
  <c r="M808" i="61"/>
  <c r="N808" i="61"/>
  <c r="O808" i="61"/>
  <c r="P808" i="61"/>
  <c r="Q808" i="61"/>
  <c r="R808" i="61"/>
  <c r="S808" i="61"/>
  <c r="T808" i="61"/>
  <c r="D820" i="61"/>
  <c r="D827" i="61"/>
  <c r="D849" i="61"/>
  <c r="D856" i="61"/>
  <c r="D863" i="61"/>
  <c r="D870" i="61"/>
  <c r="N409" i="23"/>
  <c r="O409" i="23"/>
  <c r="P409" i="23"/>
  <c r="Q409" i="23"/>
  <c r="R409" i="23"/>
  <c r="S409" i="23"/>
  <c r="T409" i="23"/>
  <c r="U409" i="23"/>
  <c r="V409" i="23"/>
  <c r="W409" i="23"/>
  <c r="X409" i="23"/>
  <c r="E893" i="61"/>
  <c r="E933" i="61"/>
  <c r="B534" i="69"/>
  <c r="J544" i="69"/>
  <c r="K544" i="69"/>
  <c r="L544" i="69"/>
  <c r="M544" i="69"/>
  <c r="N544" i="69"/>
  <c r="O544" i="69"/>
  <c r="P544" i="69"/>
  <c r="Q544" i="69"/>
  <c r="R544" i="69"/>
  <c r="S544" i="69"/>
  <c r="T544" i="69"/>
  <c r="J545" i="69"/>
  <c r="K545" i="69"/>
  <c r="L545" i="69"/>
  <c r="M545" i="69"/>
  <c r="N545" i="69"/>
  <c r="O545" i="69"/>
  <c r="P545" i="69"/>
  <c r="Q545" i="69"/>
  <c r="R545" i="69"/>
  <c r="S545" i="69"/>
  <c r="T545" i="69"/>
  <c r="J546" i="69"/>
  <c r="K546" i="69"/>
  <c r="L546" i="69"/>
  <c r="M546" i="69"/>
  <c r="N546" i="69"/>
  <c r="O546" i="69"/>
  <c r="P546" i="69"/>
  <c r="Q546" i="69"/>
  <c r="R546" i="69"/>
  <c r="S546" i="69"/>
  <c r="T546" i="69"/>
  <c r="D560" i="69"/>
  <c r="D569" i="69"/>
  <c r="D594" i="69"/>
  <c r="D603" i="69"/>
  <c r="D612" i="69"/>
  <c r="D621" i="69"/>
  <c r="N456" i="23"/>
  <c r="P456" i="23"/>
  <c r="Q456" i="23"/>
  <c r="R456" i="23"/>
  <c r="S456" i="23"/>
  <c r="T456" i="23"/>
  <c r="U456" i="23"/>
  <c r="V456" i="23"/>
  <c r="X456" i="23"/>
  <c r="E644" i="69"/>
  <c r="E684" i="69"/>
  <c r="B279" i="69"/>
  <c r="C437" i="23" s="1"/>
  <c r="J289" i="69"/>
  <c r="K289" i="69"/>
  <c r="L289" i="69"/>
  <c r="M289" i="69"/>
  <c r="N289" i="69"/>
  <c r="O289" i="69"/>
  <c r="P289" i="69"/>
  <c r="Q289" i="69"/>
  <c r="R289" i="69"/>
  <c r="S289" i="69"/>
  <c r="T289" i="69"/>
  <c r="J290" i="69"/>
  <c r="K290" i="69"/>
  <c r="L290" i="69"/>
  <c r="M290" i="69"/>
  <c r="N290" i="69"/>
  <c r="O290" i="69"/>
  <c r="P290" i="69"/>
  <c r="Q290" i="69"/>
  <c r="R290" i="69"/>
  <c r="S290" i="69"/>
  <c r="T290" i="69"/>
  <c r="J291" i="69"/>
  <c r="K291" i="69"/>
  <c r="L291" i="69"/>
  <c r="M291" i="69"/>
  <c r="N291" i="69"/>
  <c r="O291" i="69"/>
  <c r="P291" i="69"/>
  <c r="Q291" i="69"/>
  <c r="R291" i="69"/>
  <c r="S291" i="69"/>
  <c r="T291" i="69"/>
  <c r="D303" i="69"/>
  <c r="D310" i="69"/>
  <c r="D332" i="69"/>
  <c r="D339" i="69"/>
  <c r="D346" i="69"/>
  <c r="D353" i="69"/>
  <c r="O440" i="23"/>
  <c r="S440" i="23"/>
  <c r="T440" i="23"/>
  <c r="W440" i="23"/>
  <c r="E376" i="69"/>
  <c r="E416" i="69"/>
  <c r="B541" i="61"/>
  <c r="J551" i="61"/>
  <c r="K551" i="61"/>
  <c r="L551" i="61"/>
  <c r="M551" i="61"/>
  <c r="N551" i="61"/>
  <c r="O551" i="61"/>
  <c r="P551" i="61"/>
  <c r="Q551" i="61"/>
  <c r="R551" i="61"/>
  <c r="S551" i="61"/>
  <c r="T551" i="61"/>
  <c r="J552" i="61"/>
  <c r="K552" i="61"/>
  <c r="L552" i="61"/>
  <c r="M552" i="61"/>
  <c r="N552" i="61"/>
  <c r="O552" i="61"/>
  <c r="P552" i="61"/>
  <c r="Q552" i="61"/>
  <c r="R552" i="61"/>
  <c r="S552" i="61"/>
  <c r="T552" i="61"/>
  <c r="J553" i="61"/>
  <c r="K553" i="61"/>
  <c r="L553" i="61"/>
  <c r="M553" i="61"/>
  <c r="N553" i="61"/>
  <c r="O553" i="61"/>
  <c r="P553" i="61"/>
  <c r="Q553" i="61"/>
  <c r="R553" i="61"/>
  <c r="S553" i="61"/>
  <c r="T553" i="61"/>
  <c r="D565" i="61"/>
  <c r="D572" i="61"/>
  <c r="D594" i="61"/>
  <c r="D601" i="61"/>
  <c r="D608" i="61"/>
  <c r="D615" i="61"/>
  <c r="N393" i="23"/>
  <c r="O393" i="23"/>
  <c r="P393" i="23"/>
  <c r="Q393" i="23"/>
  <c r="R393" i="23"/>
  <c r="S393" i="23"/>
  <c r="T393" i="23"/>
  <c r="U393" i="23"/>
  <c r="V393" i="23"/>
  <c r="W393" i="23"/>
  <c r="X393" i="23"/>
  <c r="E638" i="61"/>
  <c r="E678" i="61"/>
  <c r="B284" i="61"/>
  <c r="J294" i="61"/>
  <c r="K294" i="61"/>
  <c r="L294" i="61"/>
  <c r="M294" i="61"/>
  <c r="N294" i="61"/>
  <c r="O294" i="61"/>
  <c r="P294" i="61"/>
  <c r="Q294" i="61"/>
  <c r="R294" i="61"/>
  <c r="S294" i="61"/>
  <c r="T294" i="61"/>
  <c r="J295" i="61"/>
  <c r="K295" i="61"/>
  <c r="L295" i="61"/>
  <c r="M295" i="61"/>
  <c r="N295" i="61"/>
  <c r="O295" i="61"/>
  <c r="P295" i="61"/>
  <c r="Q295" i="61"/>
  <c r="R295" i="61"/>
  <c r="S295" i="61"/>
  <c r="T295" i="61"/>
  <c r="J296" i="61"/>
  <c r="K296" i="61"/>
  <c r="L296" i="61"/>
  <c r="M296" i="61"/>
  <c r="N296" i="61"/>
  <c r="O296" i="61"/>
  <c r="P296" i="61"/>
  <c r="Q296" i="61"/>
  <c r="R296" i="61"/>
  <c r="S296" i="61"/>
  <c r="T296" i="61"/>
  <c r="D308" i="61"/>
  <c r="D315" i="61"/>
  <c r="D339" i="61"/>
  <c r="D346" i="61"/>
  <c r="D353" i="61"/>
  <c r="D360" i="61"/>
  <c r="N375" i="23"/>
  <c r="O375" i="23"/>
  <c r="P375" i="23"/>
  <c r="Q375" i="23"/>
  <c r="R375" i="23"/>
  <c r="S375" i="23"/>
  <c r="T375" i="23"/>
  <c r="U375" i="23"/>
  <c r="V375" i="23"/>
  <c r="W375" i="23"/>
  <c r="X375" i="23"/>
  <c r="E383" i="61"/>
  <c r="E423" i="61"/>
  <c r="B300" i="49"/>
  <c r="J310" i="49"/>
  <c r="K310" i="49"/>
  <c r="L310" i="49"/>
  <c r="M310" i="49"/>
  <c r="N310" i="49"/>
  <c r="O310" i="49"/>
  <c r="P310" i="49"/>
  <c r="Q310" i="49"/>
  <c r="R310" i="49"/>
  <c r="S310" i="49"/>
  <c r="T310" i="49"/>
  <c r="J311" i="49"/>
  <c r="K311" i="49"/>
  <c r="L311" i="49"/>
  <c r="M311" i="49"/>
  <c r="N311" i="49"/>
  <c r="O311" i="49"/>
  <c r="P311" i="49"/>
  <c r="Q311" i="49"/>
  <c r="R311" i="49"/>
  <c r="S311" i="49"/>
  <c r="T311" i="49"/>
  <c r="J312" i="49"/>
  <c r="K312" i="49"/>
  <c r="L312" i="49"/>
  <c r="M312" i="49"/>
  <c r="N312" i="49"/>
  <c r="O312" i="49"/>
  <c r="P312" i="49"/>
  <c r="Q312" i="49"/>
  <c r="R312" i="49"/>
  <c r="S312" i="49"/>
  <c r="T312" i="49"/>
  <c r="D327" i="49"/>
  <c r="D337" i="49"/>
  <c r="D364" i="49"/>
  <c r="D374" i="49"/>
  <c r="D384" i="49"/>
  <c r="D394" i="49"/>
  <c r="N254" i="23"/>
  <c r="O254" i="23"/>
  <c r="P254" i="23"/>
  <c r="Q254" i="23"/>
  <c r="R254" i="23"/>
  <c r="S254" i="23"/>
  <c r="T254" i="23"/>
  <c r="V254" i="23"/>
  <c r="W254" i="23"/>
  <c r="X254" i="23"/>
  <c r="E417" i="49"/>
  <c r="E457" i="49"/>
  <c r="B328" i="53"/>
  <c r="J338" i="53"/>
  <c r="K338" i="53"/>
  <c r="L338" i="53"/>
  <c r="M338" i="53"/>
  <c r="N338" i="53"/>
  <c r="O338" i="53"/>
  <c r="P338" i="53"/>
  <c r="Q338" i="53"/>
  <c r="R338" i="53"/>
  <c r="S338" i="53"/>
  <c r="T338" i="53"/>
  <c r="J339" i="53"/>
  <c r="K339" i="53"/>
  <c r="L339" i="53"/>
  <c r="M339" i="53"/>
  <c r="N339" i="53"/>
  <c r="O339" i="53"/>
  <c r="P339" i="53"/>
  <c r="Q339" i="53"/>
  <c r="R339" i="53"/>
  <c r="S339" i="53"/>
  <c r="T339" i="53"/>
  <c r="J340" i="53"/>
  <c r="K340" i="53"/>
  <c r="L340" i="53"/>
  <c r="M340" i="53"/>
  <c r="N340" i="53"/>
  <c r="O340" i="53"/>
  <c r="P340" i="53"/>
  <c r="Q340" i="53"/>
  <c r="R340" i="53"/>
  <c r="S340" i="53"/>
  <c r="T340" i="53"/>
  <c r="D359" i="53"/>
  <c r="D373" i="53"/>
  <c r="D408" i="53"/>
  <c r="D422" i="53"/>
  <c r="D436" i="53"/>
  <c r="D450" i="53"/>
  <c r="N294" i="23"/>
  <c r="O294" i="23"/>
  <c r="P294" i="23"/>
  <c r="Q294" i="23"/>
  <c r="R294" i="23"/>
  <c r="S294" i="23"/>
  <c r="T294" i="23"/>
  <c r="U294" i="23"/>
  <c r="V294" i="23"/>
  <c r="W294" i="23"/>
  <c r="X294" i="23"/>
  <c r="E473" i="53"/>
  <c r="E513" i="53"/>
  <c r="B314" i="57"/>
  <c r="D362" i="57" s="1"/>
  <c r="J324" i="57"/>
  <c r="K324" i="57"/>
  <c r="L324" i="57"/>
  <c r="M324" i="57"/>
  <c r="N324" i="57"/>
  <c r="O324" i="57"/>
  <c r="P324" i="57"/>
  <c r="Q324" i="57"/>
  <c r="R324" i="57"/>
  <c r="S324" i="57"/>
  <c r="T324" i="57"/>
  <c r="J325" i="57"/>
  <c r="K325" i="57"/>
  <c r="L325" i="57"/>
  <c r="M325" i="57"/>
  <c r="N325" i="57"/>
  <c r="O325" i="57"/>
  <c r="P325" i="57"/>
  <c r="Q325" i="57"/>
  <c r="R325" i="57"/>
  <c r="S325" i="57"/>
  <c r="T325" i="57"/>
  <c r="J326" i="57"/>
  <c r="K326" i="57"/>
  <c r="L326" i="57"/>
  <c r="M326" i="57"/>
  <c r="N326" i="57"/>
  <c r="O326" i="57"/>
  <c r="P326" i="57"/>
  <c r="Q326" i="57"/>
  <c r="R326" i="57"/>
  <c r="S326" i="57"/>
  <c r="T326" i="57"/>
  <c r="D342" i="57"/>
  <c r="D353" i="57"/>
  <c r="D382" i="57"/>
  <c r="D393" i="57"/>
  <c r="D404" i="57"/>
  <c r="D415" i="57"/>
  <c r="O336" i="23"/>
  <c r="P336" i="23"/>
  <c r="Q336" i="23"/>
  <c r="S336" i="23"/>
  <c r="V336" i="23"/>
  <c r="W336" i="23"/>
  <c r="X336" i="23"/>
  <c r="E438" i="57"/>
  <c r="E478" i="57"/>
  <c r="B300" i="41"/>
  <c r="C177" i="23" s="1"/>
  <c r="J310" i="41"/>
  <c r="K310" i="41"/>
  <c r="L310" i="41"/>
  <c r="M310" i="41"/>
  <c r="N310" i="41"/>
  <c r="O310" i="41"/>
  <c r="P310" i="41"/>
  <c r="Q310" i="41"/>
  <c r="R310" i="41"/>
  <c r="S310" i="41"/>
  <c r="T310" i="41"/>
  <c r="J311" i="41"/>
  <c r="K311" i="41"/>
  <c r="L311" i="41"/>
  <c r="M311" i="41"/>
  <c r="N311" i="41"/>
  <c r="O311" i="41"/>
  <c r="P311" i="41"/>
  <c r="Q311" i="41"/>
  <c r="R311" i="41"/>
  <c r="S311" i="41"/>
  <c r="T311" i="41"/>
  <c r="J312" i="41"/>
  <c r="K312" i="41"/>
  <c r="L312" i="41"/>
  <c r="M312" i="41"/>
  <c r="N312" i="41"/>
  <c r="O312" i="41"/>
  <c r="P312" i="41"/>
  <c r="Q312" i="41"/>
  <c r="R312" i="41"/>
  <c r="S312" i="41"/>
  <c r="T312" i="41"/>
  <c r="D329" i="41"/>
  <c r="D341" i="41"/>
  <c r="D372" i="41"/>
  <c r="D384" i="41"/>
  <c r="D396" i="41"/>
  <c r="D408" i="41"/>
  <c r="N180" i="23"/>
  <c r="O180" i="23"/>
  <c r="P180" i="23"/>
  <c r="Q180" i="23"/>
  <c r="R180" i="23"/>
  <c r="S180" i="23"/>
  <c r="T180" i="23"/>
  <c r="U180" i="23"/>
  <c r="V180" i="23"/>
  <c r="W180" i="23"/>
  <c r="X180" i="23"/>
  <c r="E431" i="41"/>
  <c r="E471" i="41"/>
  <c r="B300" i="37"/>
  <c r="C144" i="23" s="1"/>
  <c r="J310" i="37"/>
  <c r="K310" i="37"/>
  <c r="L310" i="37"/>
  <c r="M310" i="37"/>
  <c r="N310" i="37"/>
  <c r="O310" i="37"/>
  <c r="P310" i="37"/>
  <c r="Q310" i="37"/>
  <c r="R310" i="37"/>
  <c r="S310" i="37"/>
  <c r="T310" i="37"/>
  <c r="J311" i="37"/>
  <c r="K311" i="37"/>
  <c r="L311" i="37"/>
  <c r="M311" i="37"/>
  <c r="N311" i="37"/>
  <c r="O311" i="37"/>
  <c r="P311" i="37"/>
  <c r="Q311" i="37"/>
  <c r="R311" i="37"/>
  <c r="S311" i="37"/>
  <c r="T311" i="37"/>
  <c r="J312" i="37"/>
  <c r="K312" i="37"/>
  <c r="L312" i="37"/>
  <c r="M312" i="37"/>
  <c r="N312" i="37"/>
  <c r="O312" i="37"/>
  <c r="P312" i="37"/>
  <c r="Q312" i="37"/>
  <c r="R312" i="37"/>
  <c r="S312" i="37"/>
  <c r="T312" i="37"/>
  <c r="D324" i="37"/>
  <c r="D331" i="37"/>
  <c r="D352" i="37"/>
  <c r="D359" i="37"/>
  <c r="D366" i="37"/>
  <c r="D373" i="37"/>
  <c r="N147" i="23"/>
  <c r="O147" i="23"/>
  <c r="P147" i="23"/>
  <c r="Q147" i="23"/>
  <c r="R147" i="23"/>
  <c r="U147" i="23"/>
  <c r="V147" i="23"/>
  <c r="W147" i="23"/>
  <c r="X147" i="23"/>
  <c r="E396" i="37"/>
  <c r="E436" i="37"/>
  <c r="F62" i="27"/>
  <c r="B575" i="19"/>
  <c r="C108" i="23" s="1"/>
  <c r="J585" i="19"/>
  <c r="K585" i="19"/>
  <c r="L585" i="19"/>
  <c r="M585" i="19"/>
  <c r="N585" i="19"/>
  <c r="O585" i="19"/>
  <c r="P585" i="19"/>
  <c r="Q585" i="19"/>
  <c r="R585" i="19"/>
  <c r="S585" i="19"/>
  <c r="T585" i="19"/>
  <c r="J586" i="19"/>
  <c r="K586" i="19"/>
  <c r="L586" i="19"/>
  <c r="M586" i="19"/>
  <c r="N586" i="19"/>
  <c r="O586" i="19"/>
  <c r="P586" i="19"/>
  <c r="Q586" i="19"/>
  <c r="R586" i="19"/>
  <c r="S586" i="19"/>
  <c r="T586" i="19"/>
  <c r="J587" i="19"/>
  <c r="K587" i="19"/>
  <c r="L587" i="19"/>
  <c r="M587" i="19"/>
  <c r="N587" i="19"/>
  <c r="O587" i="19"/>
  <c r="P587" i="19"/>
  <c r="Q587" i="19"/>
  <c r="R587" i="19"/>
  <c r="S587" i="19"/>
  <c r="T587" i="19"/>
  <c r="D602" i="19"/>
  <c r="D612" i="19"/>
  <c r="D639" i="19"/>
  <c r="D649" i="19"/>
  <c r="D659" i="19"/>
  <c r="D669" i="19"/>
  <c r="N111" i="23"/>
  <c r="O111" i="23"/>
  <c r="P111" i="23"/>
  <c r="Q111" i="23"/>
  <c r="R111" i="23"/>
  <c r="S111" i="23"/>
  <c r="T111" i="23"/>
  <c r="U111" i="23"/>
  <c r="V111" i="23"/>
  <c r="W111" i="23"/>
  <c r="X111" i="23"/>
  <c r="E692" i="19"/>
  <c r="E732" i="19"/>
  <c r="B300" i="19"/>
  <c r="C75" i="23" s="1"/>
  <c r="J310" i="19"/>
  <c r="K310" i="19"/>
  <c r="L310" i="19"/>
  <c r="M310" i="19"/>
  <c r="N310" i="19"/>
  <c r="O310" i="19"/>
  <c r="P310" i="19"/>
  <c r="Q310" i="19"/>
  <c r="R310" i="19"/>
  <c r="S310" i="19"/>
  <c r="T310" i="19"/>
  <c r="J311" i="19"/>
  <c r="K311" i="19"/>
  <c r="L311" i="19"/>
  <c r="M311" i="19"/>
  <c r="N311" i="19"/>
  <c r="O311" i="19"/>
  <c r="P311" i="19"/>
  <c r="Q311" i="19"/>
  <c r="R311" i="19"/>
  <c r="S311" i="19"/>
  <c r="T311" i="19"/>
  <c r="J312" i="19"/>
  <c r="K312" i="19"/>
  <c r="L312" i="19"/>
  <c r="M312" i="19"/>
  <c r="N312" i="19"/>
  <c r="O312" i="19"/>
  <c r="P312" i="19"/>
  <c r="Q312" i="19"/>
  <c r="R312" i="19"/>
  <c r="S312" i="19"/>
  <c r="T312" i="19"/>
  <c r="D327" i="19"/>
  <c r="D337" i="19"/>
  <c r="D364" i="19"/>
  <c r="D374" i="19"/>
  <c r="D384" i="19"/>
  <c r="D394" i="19"/>
  <c r="N78" i="23"/>
  <c r="O78" i="23"/>
  <c r="P78" i="23"/>
  <c r="Q78" i="23"/>
  <c r="R78" i="23"/>
  <c r="S78" i="23"/>
  <c r="T78" i="23"/>
  <c r="U78" i="23"/>
  <c r="V78" i="23"/>
  <c r="W78" i="23"/>
  <c r="X78" i="23"/>
  <c r="E417" i="19"/>
  <c r="E457" i="19"/>
  <c r="E121" i="77"/>
  <c r="E247" i="75"/>
  <c r="E121" i="69"/>
  <c r="E126" i="61"/>
  <c r="E156" i="57"/>
  <c r="E170" i="53"/>
  <c r="E142" i="49"/>
  <c r="E163" i="45"/>
  <c r="E142" i="41"/>
  <c r="E142" i="37"/>
  <c r="E121" i="33"/>
  <c r="E191" i="29"/>
  <c r="E142" i="19"/>
  <c r="E198" i="18"/>
  <c r="E161" i="77"/>
  <c r="E287" i="75"/>
  <c r="E161" i="69"/>
  <c r="E166" i="61"/>
  <c r="E196" i="57"/>
  <c r="E210" i="53"/>
  <c r="E182" i="49"/>
  <c r="E203" i="45"/>
  <c r="E182" i="41"/>
  <c r="E182" i="37"/>
  <c r="E161" i="33"/>
  <c r="E231" i="29"/>
  <c r="E182" i="19"/>
  <c r="E238" i="18"/>
  <c r="P350" i="75" l="1"/>
  <c r="M351" i="75"/>
  <c r="J352" i="75"/>
  <c r="R352" i="75"/>
  <c r="O353" i="75"/>
  <c r="L354" i="75"/>
  <c r="T354" i="75"/>
  <c r="Q355" i="75"/>
  <c r="N356" i="75"/>
  <c r="K357" i="75"/>
  <c r="S357" i="75"/>
  <c r="P358" i="75"/>
  <c r="M359" i="75"/>
  <c r="J360" i="75"/>
  <c r="R360" i="75"/>
  <c r="O361" i="75"/>
  <c r="L362" i="75"/>
  <c r="T362" i="75"/>
  <c r="Q363" i="75"/>
  <c r="Q350" i="75"/>
  <c r="N351" i="75"/>
  <c r="K352" i="75"/>
  <c r="S352" i="75"/>
  <c r="P353" i="75"/>
  <c r="M354" i="75"/>
  <c r="J355" i="75"/>
  <c r="R355" i="75"/>
  <c r="O356" i="75"/>
  <c r="L357" i="75"/>
  <c r="T357" i="75"/>
  <c r="Q358" i="75"/>
  <c r="N359" i="75"/>
  <c r="K360" i="75"/>
  <c r="S360" i="75"/>
  <c r="P361" i="75"/>
  <c r="M362" i="75"/>
  <c r="J363" i="75"/>
  <c r="R363" i="75"/>
  <c r="J350" i="75"/>
  <c r="R350" i="75"/>
  <c r="O351" i="75"/>
  <c r="L352" i="75"/>
  <c r="T352" i="75"/>
  <c r="Q353" i="75"/>
  <c r="N354" i="75"/>
  <c r="K355" i="75"/>
  <c r="S355" i="75"/>
  <c r="P356" i="75"/>
  <c r="M357" i="75"/>
  <c r="J358" i="75"/>
  <c r="R358" i="75"/>
  <c r="O359" i="75"/>
  <c r="L360" i="75"/>
  <c r="T360" i="75"/>
  <c r="Q361" i="75"/>
  <c r="N362" i="75"/>
  <c r="K363" i="75"/>
  <c r="S363" i="75"/>
  <c r="K350" i="75"/>
  <c r="S350" i="75"/>
  <c r="P351" i="75"/>
  <c r="M352" i="75"/>
  <c r="J353" i="75"/>
  <c r="R353" i="75"/>
  <c r="O354" i="75"/>
  <c r="L355" i="75"/>
  <c r="T355" i="75"/>
  <c r="Q356" i="75"/>
  <c r="N357" i="75"/>
  <c r="K358" i="75"/>
  <c r="S358" i="75"/>
  <c r="P359" i="75"/>
  <c r="M360" i="75"/>
  <c r="J361" i="75"/>
  <c r="R361" i="75"/>
  <c r="O362" i="75"/>
  <c r="L363" i="75"/>
  <c r="T363" i="75"/>
  <c r="L350" i="75"/>
  <c r="T350" i="75"/>
  <c r="Q351" i="75"/>
  <c r="N352" i="75"/>
  <c r="K353" i="75"/>
  <c r="S353" i="75"/>
  <c r="P354" i="75"/>
  <c r="M355" i="75"/>
  <c r="J356" i="75"/>
  <c r="R356" i="75"/>
  <c r="O357" i="75"/>
  <c r="L358" i="75"/>
  <c r="T358" i="75"/>
  <c r="Q359" i="75"/>
  <c r="N360" i="75"/>
  <c r="K361" i="75"/>
  <c r="S361" i="75"/>
  <c r="P362" i="75"/>
  <c r="M363" i="75"/>
  <c r="M350" i="75"/>
  <c r="J351" i="75"/>
  <c r="R351" i="75"/>
  <c r="O352" i="75"/>
  <c r="L353" i="75"/>
  <c r="T353" i="75"/>
  <c r="Q354" i="75"/>
  <c r="N355" i="75"/>
  <c r="K356" i="75"/>
  <c r="S356" i="75"/>
  <c r="P357" i="75"/>
  <c r="M358" i="75"/>
  <c r="J359" i="75"/>
  <c r="R359" i="75"/>
  <c r="O360" i="75"/>
  <c r="L361" i="75"/>
  <c r="T361" i="75"/>
  <c r="Q362" i="75"/>
  <c r="N363" i="75"/>
  <c r="N350" i="75"/>
  <c r="K351" i="75"/>
  <c r="S351" i="75"/>
  <c r="P352" i="75"/>
  <c r="M353" i="75"/>
  <c r="J354" i="75"/>
  <c r="R354" i="75"/>
  <c r="O355" i="75"/>
  <c r="L356" i="75"/>
  <c r="T356" i="75"/>
  <c r="Q357" i="75"/>
  <c r="N358" i="75"/>
  <c r="K359" i="75"/>
  <c r="S359" i="75"/>
  <c r="P360" i="75"/>
  <c r="M361" i="75"/>
  <c r="J362" i="75"/>
  <c r="R362" i="75"/>
  <c r="O363" i="75"/>
  <c r="K354" i="75"/>
  <c r="T359" i="75"/>
  <c r="S354" i="75"/>
  <c r="Q360" i="75"/>
  <c r="P355" i="75"/>
  <c r="N361" i="75"/>
  <c r="O350" i="75"/>
  <c r="M356" i="75"/>
  <c r="K362" i="75"/>
  <c r="L351" i="75"/>
  <c r="J357" i="75"/>
  <c r="S362" i="75"/>
  <c r="Q352" i="75"/>
  <c r="O358" i="75"/>
  <c r="P363" i="75"/>
  <c r="T351" i="75"/>
  <c r="N353" i="75"/>
  <c r="R357" i="75"/>
  <c r="L359" i="75"/>
  <c r="L259" i="57"/>
  <c r="T259" i="57"/>
  <c r="Q260" i="57"/>
  <c r="N261" i="57"/>
  <c r="K262" i="57"/>
  <c r="S262" i="57"/>
  <c r="P263" i="57"/>
  <c r="M264" i="57"/>
  <c r="J265" i="57"/>
  <c r="R265" i="57"/>
  <c r="O266" i="57"/>
  <c r="L267" i="57"/>
  <c r="T267" i="57"/>
  <c r="Q268" i="57"/>
  <c r="N269" i="57"/>
  <c r="K270" i="57"/>
  <c r="S270" i="57"/>
  <c r="P271" i="57"/>
  <c r="M272" i="57"/>
  <c r="M259" i="57"/>
  <c r="J260" i="57"/>
  <c r="R260" i="57"/>
  <c r="O261" i="57"/>
  <c r="L262" i="57"/>
  <c r="T262" i="57"/>
  <c r="Q263" i="57"/>
  <c r="N264" i="57"/>
  <c r="K265" i="57"/>
  <c r="S265" i="57"/>
  <c r="P266" i="57"/>
  <c r="M267" i="57"/>
  <c r="J268" i="57"/>
  <c r="R268" i="57"/>
  <c r="O269" i="57"/>
  <c r="L270" i="57"/>
  <c r="T270" i="57"/>
  <c r="Q271" i="57"/>
  <c r="N272" i="57"/>
  <c r="N259" i="57"/>
  <c r="K260" i="57"/>
  <c r="S260" i="57"/>
  <c r="P261" i="57"/>
  <c r="M262" i="57"/>
  <c r="J263" i="57"/>
  <c r="R263" i="57"/>
  <c r="O264" i="57"/>
  <c r="L265" i="57"/>
  <c r="T265" i="57"/>
  <c r="Q266" i="57"/>
  <c r="N267" i="57"/>
  <c r="K268" i="57"/>
  <c r="S268" i="57"/>
  <c r="P269" i="57"/>
  <c r="M270" i="57"/>
  <c r="J271" i="57"/>
  <c r="R271" i="57"/>
  <c r="O272" i="57"/>
  <c r="O259" i="57"/>
  <c r="L260" i="57"/>
  <c r="T260" i="57"/>
  <c r="Q261" i="57"/>
  <c r="N262" i="57"/>
  <c r="K263" i="57"/>
  <c r="S263" i="57"/>
  <c r="P264" i="57"/>
  <c r="M265" i="57"/>
  <c r="J266" i="57"/>
  <c r="R266" i="57"/>
  <c r="O267" i="57"/>
  <c r="L268" i="57"/>
  <c r="T268" i="57"/>
  <c r="Q269" i="57"/>
  <c r="N270" i="57"/>
  <c r="K271" i="57"/>
  <c r="S271" i="57"/>
  <c r="P272" i="57"/>
  <c r="P259" i="57"/>
  <c r="M260" i="57"/>
  <c r="J261" i="57"/>
  <c r="R261" i="57"/>
  <c r="O262" i="57"/>
  <c r="L263" i="57"/>
  <c r="T263" i="57"/>
  <c r="Q264" i="57"/>
  <c r="N265" i="57"/>
  <c r="K266" i="57"/>
  <c r="S266" i="57"/>
  <c r="P267" i="57"/>
  <c r="M268" i="57"/>
  <c r="J269" i="57"/>
  <c r="R269" i="57"/>
  <c r="O270" i="57"/>
  <c r="L271" i="57"/>
  <c r="T271" i="57"/>
  <c r="Q272" i="57"/>
  <c r="Q259" i="57"/>
  <c r="N260" i="57"/>
  <c r="K261" i="57"/>
  <c r="S261" i="57"/>
  <c r="P262" i="57"/>
  <c r="M263" i="57"/>
  <c r="J264" i="57"/>
  <c r="R264" i="57"/>
  <c r="O265" i="57"/>
  <c r="L266" i="57"/>
  <c r="T266" i="57"/>
  <c r="Q267" i="57"/>
  <c r="N268" i="57"/>
  <c r="K269" i="57"/>
  <c r="S269" i="57"/>
  <c r="P270" i="57"/>
  <c r="M271" i="57"/>
  <c r="J272" i="57"/>
  <c r="R272" i="57"/>
  <c r="R259" i="57"/>
  <c r="Q262" i="57"/>
  <c r="P265" i="57"/>
  <c r="O268" i="57"/>
  <c r="N271" i="57"/>
  <c r="S259" i="57"/>
  <c r="R262" i="57"/>
  <c r="Q265" i="57"/>
  <c r="P268" i="57"/>
  <c r="O271" i="57"/>
  <c r="O260" i="57"/>
  <c r="N263" i="57"/>
  <c r="M266" i="57"/>
  <c r="L269" i="57"/>
  <c r="K272" i="57"/>
  <c r="P260" i="57"/>
  <c r="O263" i="57"/>
  <c r="N266" i="57"/>
  <c r="M269" i="57"/>
  <c r="L272" i="57"/>
  <c r="L261" i="57"/>
  <c r="K264" i="57"/>
  <c r="J267" i="57"/>
  <c r="T269" i="57"/>
  <c r="S272" i="57"/>
  <c r="J259" i="57"/>
  <c r="T261" i="57"/>
  <c r="S264" i="57"/>
  <c r="R267" i="57"/>
  <c r="Q270" i="57"/>
  <c r="J270" i="57"/>
  <c r="K259" i="57"/>
  <c r="R270" i="57"/>
  <c r="M261" i="57"/>
  <c r="T272" i="57"/>
  <c r="J262" i="57"/>
  <c r="L264" i="57"/>
  <c r="T264" i="57"/>
  <c r="K267" i="57"/>
  <c r="S267" i="57"/>
  <c r="M741" i="61"/>
  <c r="J742" i="61"/>
  <c r="R742" i="61"/>
  <c r="O743" i="61"/>
  <c r="L744" i="61"/>
  <c r="T744" i="61"/>
  <c r="Q745" i="61"/>
  <c r="N746" i="61"/>
  <c r="K747" i="61"/>
  <c r="S747" i="61"/>
  <c r="P748" i="61"/>
  <c r="M749" i="61"/>
  <c r="J750" i="61"/>
  <c r="R750" i="61"/>
  <c r="O751" i="61"/>
  <c r="L752" i="61"/>
  <c r="T752" i="61"/>
  <c r="Q753" i="61"/>
  <c r="N754" i="61"/>
  <c r="N741" i="61"/>
  <c r="K742" i="61"/>
  <c r="S742" i="61"/>
  <c r="P743" i="61"/>
  <c r="M744" i="61"/>
  <c r="J745" i="61"/>
  <c r="R745" i="61"/>
  <c r="O746" i="61"/>
  <c r="L747" i="61"/>
  <c r="T747" i="61"/>
  <c r="Q748" i="61"/>
  <c r="N749" i="61"/>
  <c r="K750" i="61"/>
  <c r="S750" i="61"/>
  <c r="P751" i="61"/>
  <c r="M752" i="61"/>
  <c r="J753" i="61"/>
  <c r="R753" i="61"/>
  <c r="O754" i="61"/>
  <c r="O741" i="61"/>
  <c r="L742" i="61"/>
  <c r="T742" i="61"/>
  <c r="Q743" i="61"/>
  <c r="N744" i="61"/>
  <c r="K745" i="61"/>
  <c r="S745" i="61"/>
  <c r="P746" i="61"/>
  <c r="M747" i="61"/>
  <c r="J748" i="61"/>
  <c r="R748" i="61"/>
  <c r="O749" i="61"/>
  <c r="L750" i="61"/>
  <c r="T750" i="61"/>
  <c r="Q751" i="61"/>
  <c r="N752" i="61"/>
  <c r="K753" i="61"/>
  <c r="S753" i="61"/>
  <c r="P754" i="61"/>
  <c r="P741" i="61"/>
  <c r="M742" i="61"/>
  <c r="J743" i="61"/>
  <c r="R743" i="61"/>
  <c r="O744" i="61"/>
  <c r="L745" i="61"/>
  <c r="T745" i="61"/>
  <c r="Q746" i="61"/>
  <c r="N747" i="61"/>
  <c r="K748" i="61"/>
  <c r="S748" i="61"/>
  <c r="P749" i="61"/>
  <c r="M750" i="61"/>
  <c r="J751" i="61"/>
  <c r="R751" i="61"/>
  <c r="O752" i="61"/>
  <c r="L753" i="61"/>
  <c r="T753" i="61"/>
  <c r="Q754" i="61"/>
  <c r="Q741" i="61"/>
  <c r="K741" i="61"/>
  <c r="S741" i="61"/>
  <c r="P742" i="61"/>
  <c r="M743" i="61"/>
  <c r="J744" i="61"/>
  <c r="R744" i="61"/>
  <c r="O745" i="61"/>
  <c r="L746" i="61"/>
  <c r="T746" i="61"/>
  <c r="Q747" i="61"/>
  <c r="N748" i="61"/>
  <c r="K749" i="61"/>
  <c r="S749" i="61"/>
  <c r="P750" i="61"/>
  <c r="M751" i="61"/>
  <c r="J752" i="61"/>
  <c r="R752" i="61"/>
  <c r="O753" i="61"/>
  <c r="L754" i="61"/>
  <c r="T754" i="61"/>
  <c r="R741" i="61"/>
  <c r="S743" i="61"/>
  <c r="P745" i="61"/>
  <c r="P747" i="61"/>
  <c r="Q749" i="61"/>
  <c r="N751" i="61"/>
  <c r="N753" i="61"/>
  <c r="T741" i="61"/>
  <c r="T743" i="61"/>
  <c r="J746" i="61"/>
  <c r="R747" i="61"/>
  <c r="R749" i="61"/>
  <c r="S751" i="61"/>
  <c r="P753" i="61"/>
  <c r="N742" i="61"/>
  <c r="K744" i="61"/>
  <c r="K746" i="61"/>
  <c r="L748" i="61"/>
  <c r="T749" i="61"/>
  <c r="T751" i="61"/>
  <c r="J754" i="61"/>
  <c r="O742" i="61"/>
  <c r="P744" i="61"/>
  <c r="M746" i="61"/>
  <c r="M748" i="61"/>
  <c r="N750" i="61"/>
  <c r="K752" i="61"/>
  <c r="K754" i="61"/>
  <c r="Q742" i="61"/>
  <c r="Q744" i="61"/>
  <c r="R746" i="61"/>
  <c r="O748" i="61"/>
  <c r="O750" i="61"/>
  <c r="P752" i="61"/>
  <c r="M754" i="61"/>
  <c r="K743" i="61"/>
  <c r="S744" i="61"/>
  <c r="S746" i="61"/>
  <c r="T748" i="61"/>
  <c r="Q750" i="61"/>
  <c r="Q752" i="61"/>
  <c r="R754" i="61"/>
  <c r="J741" i="61"/>
  <c r="J749" i="61"/>
  <c r="L741" i="61"/>
  <c r="L749" i="61"/>
  <c r="L743" i="61"/>
  <c r="K751" i="61"/>
  <c r="N743" i="61"/>
  <c r="L751" i="61"/>
  <c r="M745" i="61"/>
  <c r="S752" i="61"/>
  <c r="J747" i="61"/>
  <c r="S754" i="61"/>
  <c r="M753" i="61"/>
  <c r="N745" i="61"/>
  <c r="O747" i="61"/>
  <c r="J224" i="77"/>
  <c r="R224" i="77"/>
  <c r="O225" i="77"/>
  <c r="L226" i="77"/>
  <c r="T226" i="77"/>
  <c r="Q227" i="77"/>
  <c r="N228" i="77"/>
  <c r="K229" i="77"/>
  <c r="S229" i="77"/>
  <c r="P230" i="77"/>
  <c r="M231" i="77"/>
  <c r="J232" i="77"/>
  <c r="R232" i="77"/>
  <c r="O233" i="77"/>
  <c r="L234" i="77"/>
  <c r="T234" i="77"/>
  <c r="Q235" i="77"/>
  <c r="N236" i="77"/>
  <c r="K237" i="77"/>
  <c r="S237" i="77"/>
  <c r="K224" i="77"/>
  <c r="S224" i="77"/>
  <c r="P225" i="77"/>
  <c r="M226" i="77"/>
  <c r="J227" i="77"/>
  <c r="R227" i="77"/>
  <c r="O228" i="77"/>
  <c r="L229" i="77"/>
  <c r="T229" i="77"/>
  <c r="Q230" i="77"/>
  <c r="N231" i="77"/>
  <c r="K232" i="77"/>
  <c r="S232" i="77"/>
  <c r="P233" i="77"/>
  <c r="M234" i="77"/>
  <c r="J235" i="77"/>
  <c r="R235" i="77"/>
  <c r="O236" i="77"/>
  <c r="L237" i="77"/>
  <c r="T237" i="77"/>
  <c r="L224" i="77"/>
  <c r="T224" i="77"/>
  <c r="Q225" i="77"/>
  <c r="N226" i="77"/>
  <c r="K227" i="77"/>
  <c r="S227" i="77"/>
  <c r="P228" i="77"/>
  <c r="M229" i="77"/>
  <c r="J230" i="77"/>
  <c r="R230" i="77"/>
  <c r="O231" i="77"/>
  <c r="L232" i="77"/>
  <c r="T232" i="77"/>
  <c r="Q233" i="77"/>
  <c r="N234" i="77"/>
  <c r="K235" i="77"/>
  <c r="S235" i="77"/>
  <c r="P236" i="77"/>
  <c r="M237" i="77"/>
  <c r="M224" i="77"/>
  <c r="J225" i="77"/>
  <c r="R225" i="77"/>
  <c r="O226" i="77"/>
  <c r="L227" i="77"/>
  <c r="T227" i="77"/>
  <c r="Q228" i="77"/>
  <c r="N229" i="77"/>
  <c r="K230" i="77"/>
  <c r="S230" i="77"/>
  <c r="P231" i="77"/>
  <c r="M232" i="77"/>
  <c r="J233" i="77"/>
  <c r="R233" i="77"/>
  <c r="O234" i="77"/>
  <c r="L235" i="77"/>
  <c r="T235" i="77"/>
  <c r="Q236" i="77"/>
  <c r="N237" i="77"/>
  <c r="N224" i="77"/>
  <c r="K225" i="77"/>
  <c r="S225" i="77"/>
  <c r="P226" i="77"/>
  <c r="M227" i="77"/>
  <c r="J228" i="77"/>
  <c r="R228" i="77"/>
  <c r="O229" i="77"/>
  <c r="L230" i="77"/>
  <c r="T230" i="77"/>
  <c r="Q231" i="77"/>
  <c r="N232" i="77"/>
  <c r="K233" i="77"/>
  <c r="S233" i="77"/>
  <c r="P234" i="77"/>
  <c r="M235" i="77"/>
  <c r="J236" i="77"/>
  <c r="R236" i="77"/>
  <c r="O237" i="77"/>
  <c r="O224" i="77"/>
  <c r="L225" i="77"/>
  <c r="T225" i="77"/>
  <c r="Q226" i="77"/>
  <c r="N227" i="77"/>
  <c r="K228" i="77"/>
  <c r="S228" i="77"/>
  <c r="P229" i="77"/>
  <c r="M230" i="77"/>
  <c r="J231" i="77"/>
  <c r="R231" i="77"/>
  <c r="O232" i="77"/>
  <c r="L233" i="77"/>
  <c r="T233" i="77"/>
  <c r="Q234" i="77"/>
  <c r="N235" i="77"/>
  <c r="K236" i="77"/>
  <c r="S236" i="77"/>
  <c r="P237" i="77"/>
  <c r="P224" i="77"/>
  <c r="M225" i="77"/>
  <c r="J226" i="77"/>
  <c r="R226" i="77"/>
  <c r="O227" i="77"/>
  <c r="L228" i="77"/>
  <c r="T228" i="77"/>
  <c r="Q229" i="77"/>
  <c r="N230" i="77"/>
  <c r="K231" i="77"/>
  <c r="S231" i="77"/>
  <c r="P232" i="77"/>
  <c r="M233" i="77"/>
  <c r="J234" i="77"/>
  <c r="R234" i="77"/>
  <c r="O235" i="77"/>
  <c r="L236" i="77"/>
  <c r="T236" i="77"/>
  <c r="Q237" i="77"/>
  <c r="Q224" i="77"/>
  <c r="O230" i="77"/>
  <c r="M236" i="77"/>
  <c r="N225" i="77"/>
  <c r="L231" i="77"/>
  <c r="J237" i="77"/>
  <c r="K226" i="77"/>
  <c r="T231" i="77"/>
  <c r="R237" i="77"/>
  <c r="S226" i="77"/>
  <c r="Q232" i="77"/>
  <c r="P227" i="77"/>
  <c r="N233" i="77"/>
  <c r="J229" i="77"/>
  <c r="S234" i="77"/>
  <c r="M228" i="77"/>
  <c r="R229" i="77"/>
  <c r="K234" i="77"/>
  <c r="P235" i="77"/>
  <c r="K795" i="19"/>
  <c r="S795" i="19"/>
  <c r="P796" i="19"/>
  <c r="M797" i="19"/>
  <c r="J798" i="19"/>
  <c r="R798" i="19"/>
  <c r="O799" i="19"/>
  <c r="L795" i="19"/>
  <c r="T795" i="19"/>
  <c r="Q796" i="19"/>
  <c r="N797" i="19"/>
  <c r="K798" i="19"/>
  <c r="S798" i="19"/>
  <c r="P795" i="19"/>
  <c r="O796" i="19"/>
  <c r="P797" i="19"/>
  <c r="O798" i="19"/>
  <c r="N799" i="19"/>
  <c r="L800" i="19"/>
  <c r="T800" i="19"/>
  <c r="Q801" i="19"/>
  <c r="N802" i="19"/>
  <c r="K803" i="19"/>
  <c r="S803" i="19"/>
  <c r="R795" i="19"/>
  <c r="J795" i="19"/>
  <c r="K796" i="19"/>
  <c r="J797" i="19"/>
  <c r="T797" i="19"/>
  <c r="J799" i="19"/>
  <c r="S799" i="19"/>
  <c r="P800" i="19"/>
  <c r="J796" i="19"/>
  <c r="L797" i="19"/>
  <c r="P798" i="19"/>
  <c r="R799" i="19"/>
  <c r="R800" i="19"/>
  <c r="P801" i="19"/>
  <c r="O802" i="19"/>
  <c r="M803" i="19"/>
  <c r="K804" i="19"/>
  <c r="S804" i="19"/>
  <c r="P805" i="19"/>
  <c r="M806" i="19"/>
  <c r="J807" i="19"/>
  <c r="R807" i="19"/>
  <c r="O808" i="19"/>
  <c r="L796" i="19"/>
  <c r="O797" i="19"/>
  <c r="Q798" i="19"/>
  <c r="T799" i="19"/>
  <c r="S800" i="19"/>
  <c r="R801" i="19"/>
  <c r="P802" i="19"/>
  <c r="N803" i="19"/>
  <c r="L804" i="19"/>
  <c r="T804" i="19"/>
  <c r="Q805" i="19"/>
  <c r="N806" i="19"/>
  <c r="K807" i="19"/>
  <c r="S807" i="19"/>
  <c r="P808" i="19"/>
  <c r="M796" i="19"/>
  <c r="Q797" i="19"/>
  <c r="T798" i="19"/>
  <c r="J800" i="19"/>
  <c r="J801" i="19"/>
  <c r="S801" i="19"/>
  <c r="Q802" i="19"/>
  <c r="O803" i="19"/>
  <c r="M804" i="19"/>
  <c r="J805" i="19"/>
  <c r="R805" i="19"/>
  <c r="O806" i="19"/>
  <c r="L807" i="19"/>
  <c r="T807" i="19"/>
  <c r="Q808" i="19"/>
  <c r="N796" i="19"/>
  <c r="R797" i="19"/>
  <c r="K799" i="19"/>
  <c r="K800" i="19"/>
  <c r="K801" i="19"/>
  <c r="T801" i="19"/>
  <c r="R802" i="19"/>
  <c r="P803" i="19"/>
  <c r="N804" i="19"/>
  <c r="K805" i="19"/>
  <c r="S805" i="19"/>
  <c r="P806" i="19"/>
  <c r="M807" i="19"/>
  <c r="J808" i="19"/>
  <c r="R808" i="19"/>
  <c r="M795" i="19"/>
  <c r="R796" i="19"/>
  <c r="S797" i="19"/>
  <c r="L799" i="19"/>
  <c r="M800" i="19"/>
  <c r="L801" i="19"/>
  <c r="J802" i="19"/>
  <c r="S802" i="19"/>
  <c r="Q803" i="19"/>
  <c r="O804" i="19"/>
  <c r="L805" i="19"/>
  <c r="T805" i="19"/>
  <c r="Q806" i="19"/>
  <c r="N807" i="19"/>
  <c r="K808" i="19"/>
  <c r="S808" i="19"/>
  <c r="O795" i="19"/>
  <c r="T796" i="19"/>
  <c r="M798" i="19"/>
  <c r="P799" i="19"/>
  <c r="O800" i="19"/>
  <c r="N801" i="19"/>
  <c r="L802" i="19"/>
  <c r="J803" i="19"/>
  <c r="T803" i="19"/>
  <c r="Q804" i="19"/>
  <c r="N805" i="19"/>
  <c r="K806" i="19"/>
  <c r="S806" i="19"/>
  <c r="P807" i="19"/>
  <c r="M808" i="19"/>
  <c r="Q795" i="19"/>
  <c r="Q800" i="19"/>
  <c r="J804" i="19"/>
  <c r="T806" i="19"/>
  <c r="N795" i="19"/>
  <c r="S796" i="19"/>
  <c r="M801" i="19"/>
  <c r="P804" i="19"/>
  <c r="O807" i="19"/>
  <c r="R806" i="19"/>
  <c r="K797" i="19"/>
  <c r="O801" i="19"/>
  <c r="R804" i="19"/>
  <c r="Q807" i="19"/>
  <c r="L798" i="19"/>
  <c r="K802" i="19"/>
  <c r="M805" i="19"/>
  <c r="L808" i="19"/>
  <c r="M799" i="19"/>
  <c r="N800" i="19"/>
  <c r="N798" i="19"/>
  <c r="M802" i="19"/>
  <c r="O805" i="19"/>
  <c r="N808" i="19"/>
  <c r="T802" i="19"/>
  <c r="J806" i="19"/>
  <c r="T808" i="19"/>
  <c r="R803" i="19"/>
  <c r="Q799" i="19"/>
  <c r="L803" i="19"/>
  <c r="L806" i="19"/>
  <c r="M245" i="37"/>
  <c r="J246" i="37"/>
  <c r="R246" i="37"/>
  <c r="O247" i="37"/>
  <c r="L248" i="37"/>
  <c r="T248" i="37"/>
  <c r="Q249" i="37"/>
  <c r="N250" i="37"/>
  <c r="K251" i="37"/>
  <c r="S251" i="37"/>
  <c r="P252" i="37"/>
  <c r="M253" i="37"/>
  <c r="J254" i="37"/>
  <c r="R254" i="37"/>
  <c r="O255" i="37"/>
  <c r="L256" i="37"/>
  <c r="T256" i="37"/>
  <c r="Q257" i="37"/>
  <c r="N258" i="37"/>
  <c r="N245" i="37"/>
  <c r="K246" i="37"/>
  <c r="S246" i="37"/>
  <c r="P247" i="37"/>
  <c r="M248" i="37"/>
  <c r="J249" i="37"/>
  <c r="R249" i="37"/>
  <c r="O250" i="37"/>
  <c r="L251" i="37"/>
  <c r="T251" i="37"/>
  <c r="Q252" i="37"/>
  <c r="N253" i="37"/>
  <c r="K254" i="37"/>
  <c r="S254" i="37"/>
  <c r="P255" i="37"/>
  <c r="M256" i="37"/>
  <c r="J257" i="37"/>
  <c r="R257" i="37"/>
  <c r="O258" i="37"/>
  <c r="J245" i="37"/>
  <c r="T245" i="37"/>
  <c r="J247" i="37"/>
  <c r="T247" i="37"/>
  <c r="S248" i="37"/>
  <c r="T249" i="37"/>
  <c r="S250" i="37"/>
  <c r="R251" i="37"/>
  <c r="S252" i="37"/>
  <c r="R253" i="37"/>
  <c r="Q254" i="37"/>
  <c r="R255" i="37"/>
  <c r="Q256" i="37"/>
  <c r="P257" i="37"/>
  <c r="Q258" i="37"/>
  <c r="L245" i="37"/>
  <c r="M246" i="37"/>
  <c r="L247" i="37"/>
  <c r="K248" i="37"/>
  <c r="L249" i="37"/>
  <c r="K250" i="37"/>
  <c r="J251" i="37"/>
  <c r="K252" i="37"/>
  <c r="J253" i="37"/>
  <c r="T253" i="37"/>
  <c r="J255" i="37"/>
  <c r="T255" i="37"/>
  <c r="S256" i="37"/>
  <c r="T257" i="37"/>
  <c r="S258" i="37"/>
  <c r="P245" i="37"/>
  <c r="O246" i="37"/>
  <c r="N247" i="37"/>
  <c r="O248" i="37"/>
  <c r="N249" i="37"/>
  <c r="M250" i="37"/>
  <c r="N251" i="37"/>
  <c r="M252" i="37"/>
  <c r="L253" i="37"/>
  <c r="M254" i="37"/>
  <c r="L255" i="37"/>
  <c r="K256" i="37"/>
  <c r="L257" i="37"/>
  <c r="K258" i="37"/>
  <c r="S245" i="37"/>
  <c r="Q247" i="37"/>
  <c r="K249" i="37"/>
  <c r="Q250" i="37"/>
  <c r="L252" i="37"/>
  <c r="Q253" i="37"/>
  <c r="M255" i="37"/>
  <c r="R256" i="37"/>
  <c r="M258" i="37"/>
  <c r="L246" i="37"/>
  <c r="R247" i="37"/>
  <c r="M249" i="37"/>
  <c r="R250" i="37"/>
  <c r="N252" i="37"/>
  <c r="S253" i="37"/>
  <c r="N255" i="37"/>
  <c r="K257" i="37"/>
  <c r="P258" i="37"/>
  <c r="N246" i="37"/>
  <c r="S247" i="37"/>
  <c r="O249" i="37"/>
  <c r="T250" i="37"/>
  <c r="O252" i="37"/>
  <c r="L254" i="37"/>
  <c r="Q255" i="37"/>
  <c r="M257" i="37"/>
  <c r="R258" i="37"/>
  <c r="P246" i="37"/>
  <c r="J248" i="37"/>
  <c r="P249" i="37"/>
  <c r="M251" i="37"/>
  <c r="R252" i="37"/>
  <c r="N254" i="37"/>
  <c r="S255" i="37"/>
  <c r="N257" i="37"/>
  <c r="T258" i="37"/>
  <c r="K245" i="37"/>
  <c r="Q246" i="37"/>
  <c r="N248" i="37"/>
  <c r="S249" i="37"/>
  <c r="O251" i="37"/>
  <c r="T252" i="37"/>
  <c r="O254" i="37"/>
  <c r="J256" i="37"/>
  <c r="O257" i="37"/>
  <c r="Q245" i="37"/>
  <c r="K247" i="37"/>
  <c r="Q248" i="37"/>
  <c r="L250" i="37"/>
  <c r="Q251" i="37"/>
  <c r="O253" i="37"/>
  <c r="T254" i="37"/>
  <c r="O256" i="37"/>
  <c r="J258" i="37"/>
  <c r="M247" i="37"/>
  <c r="P253" i="37"/>
  <c r="P248" i="37"/>
  <c r="P254" i="37"/>
  <c r="T246" i="37"/>
  <c r="R248" i="37"/>
  <c r="K255" i="37"/>
  <c r="J250" i="37"/>
  <c r="N256" i="37"/>
  <c r="P250" i="37"/>
  <c r="P256" i="37"/>
  <c r="O245" i="37"/>
  <c r="P251" i="37"/>
  <c r="S257" i="37"/>
  <c r="R245" i="37"/>
  <c r="J252" i="37"/>
  <c r="L258" i="37"/>
  <c r="K253" i="37"/>
  <c r="P520" i="49"/>
  <c r="M521" i="49"/>
  <c r="J522" i="49"/>
  <c r="R522" i="49"/>
  <c r="O523" i="49"/>
  <c r="L524" i="49"/>
  <c r="T524" i="49"/>
  <c r="Q525" i="49"/>
  <c r="N526" i="49"/>
  <c r="K527" i="49"/>
  <c r="S527" i="49"/>
  <c r="P528" i="49"/>
  <c r="M529" i="49"/>
  <c r="J530" i="49"/>
  <c r="R530" i="49"/>
  <c r="O531" i="49"/>
  <c r="L532" i="49"/>
  <c r="T532" i="49"/>
  <c r="Q533" i="49"/>
  <c r="J520" i="49"/>
  <c r="R520" i="49"/>
  <c r="O521" i="49"/>
  <c r="L522" i="49"/>
  <c r="T522" i="49"/>
  <c r="Q523" i="49"/>
  <c r="N524" i="49"/>
  <c r="K525" i="49"/>
  <c r="S525" i="49"/>
  <c r="P526" i="49"/>
  <c r="M527" i="49"/>
  <c r="J528" i="49"/>
  <c r="R528" i="49"/>
  <c r="O529" i="49"/>
  <c r="L530" i="49"/>
  <c r="T530" i="49"/>
  <c r="Q531" i="49"/>
  <c r="N532" i="49"/>
  <c r="K533" i="49"/>
  <c r="S533" i="49"/>
  <c r="K520" i="49"/>
  <c r="S520" i="49"/>
  <c r="P521" i="49"/>
  <c r="M522" i="49"/>
  <c r="J523" i="49"/>
  <c r="R523" i="49"/>
  <c r="O524" i="49"/>
  <c r="L525" i="49"/>
  <c r="T525" i="49"/>
  <c r="Q526" i="49"/>
  <c r="N527" i="49"/>
  <c r="K528" i="49"/>
  <c r="S528" i="49"/>
  <c r="P529" i="49"/>
  <c r="M530" i="49"/>
  <c r="J531" i="49"/>
  <c r="R531" i="49"/>
  <c r="O532" i="49"/>
  <c r="L533" i="49"/>
  <c r="T533" i="49"/>
  <c r="M520" i="49"/>
  <c r="J521" i="49"/>
  <c r="R521" i="49"/>
  <c r="O522" i="49"/>
  <c r="L523" i="49"/>
  <c r="T523" i="49"/>
  <c r="Q524" i="49"/>
  <c r="N525" i="49"/>
  <c r="K526" i="49"/>
  <c r="S526" i="49"/>
  <c r="P527" i="49"/>
  <c r="M528" i="49"/>
  <c r="J529" i="49"/>
  <c r="R529" i="49"/>
  <c r="O530" i="49"/>
  <c r="L531" i="49"/>
  <c r="T531" i="49"/>
  <c r="Q532" i="49"/>
  <c r="N533" i="49"/>
  <c r="N521" i="49"/>
  <c r="S522" i="49"/>
  <c r="M524" i="49"/>
  <c r="R525" i="49"/>
  <c r="L527" i="49"/>
  <c r="Q528" i="49"/>
  <c r="K530" i="49"/>
  <c r="P531" i="49"/>
  <c r="J533" i="49"/>
  <c r="L520" i="49"/>
  <c r="Q521" i="49"/>
  <c r="K523" i="49"/>
  <c r="P524" i="49"/>
  <c r="J526" i="49"/>
  <c r="O527" i="49"/>
  <c r="T528" i="49"/>
  <c r="N530" i="49"/>
  <c r="S531" i="49"/>
  <c r="M533" i="49"/>
  <c r="N520" i="49"/>
  <c r="S521" i="49"/>
  <c r="M523" i="49"/>
  <c r="R524" i="49"/>
  <c r="L526" i="49"/>
  <c r="Q527" i="49"/>
  <c r="K529" i="49"/>
  <c r="P530" i="49"/>
  <c r="J532" i="49"/>
  <c r="O533" i="49"/>
  <c r="O520" i="49"/>
  <c r="T521" i="49"/>
  <c r="N523" i="49"/>
  <c r="S524" i="49"/>
  <c r="M526" i="49"/>
  <c r="R527" i="49"/>
  <c r="L529" i="49"/>
  <c r="Q530" i="49"/>
  <c r="K532" i="49"/>
  <c r="P533" i="49"/>
  <c r="Q520" i="49"/>
  <c r="K522" i="49"/>
  <c r="P523" i="49"/>
  <c r="J525" i="49"/>
  <c r="O526" i="49"/>
  <c r="T527" i="49"/>
  <c r="N529" i="49"/>
  <c r="S530" i="49"/>
  <c r="M532" i="49"/>
  <c r="R533" i="49"/>
  <c r="T520" i="49"/>
  <c r="N522" i="49"/>
  <c r="S523" i="49"/>
  <c r="M525" i="49"/>
  <c r="R526" i="49"/>
  <c r="L528" i="49"/>
  <c r="Q529" i="49"/>
  <c r="K531" i="49"/>
  <c r="P532" i="49"/>
  <c r="J524" i="49"/>
  <c r="S529" i="49"/>
  <c r="K524" i="49"/>
  <c r="T529" i="49"/>
  <c r="O525" i="49"/>
  <c r="M531" i="49"/>
  <c r="P525" i="49"/>
  <c r="N531" i="49"/>
  <c r="K521" i="49"/>
  <c r="T526" i="49"/>
  <c r="R532" i="49"/>
  <c r="L521" i="49"/>
  <c r="J527" i="49"/>
  <c r="S532" i="49"/>
  <c r="N528" i="49"/>
  <c r="O528" i="49"/>
  <c r="P522" i="49"/>
  <c r="Q522" i="49"/>
  <c r="L301" i="18"/>
  <c r="T301" i="18"/>
  <c r="Q302" i="18"/>
  <c r="N303" i="18"/>
  <c r="K304" i="18"/>
  <c r="S304" i="18"/>
  <c r="P305" i="18"/>
  <c r="M306" i="18"/>
  <c r="J307" i="18"/>
  <c r="R307" i="18"/>
  <c r="O308" i="18"/>
  <c r="L309" i="18"/>
  <c r="T309" i="18"/>
  <c r="Q310" i="18"/>
  <c r="N311" i="18"/>
  <c r="K312" i="18"/>
  <c r="S312" i="18"/>
  <c r="P313" i="18"/>
  <c r="M314" i="18"/>
  <c r="M301" i="18"/>
  <c r="J302" i="18"/>
  <c r="R302" i="18"/>
  <c r="O303" i="18"/>
  <c r="L304" i="18"/>
  <c r="T304" i="18"/>
  <c r="Q305" i="18"/>
  <c r="N306" i="18"/>
  <c r="K307" i="18"/>
  <c r="S307" i="18"/>
  <c r="P308" i="18"/>
  <c r="M309" i="18"/>
  <c r="J310" i="18"/>
  <c r="R310" i="18"/>
  <c r="O311" i="18"/>
  <c r="L312" i="18"/>
  <c r="T312" i="18"/>
  <c r="Q313" i="18"/>
  <c r="N314" i="18"/>
  <c r="N301" i="18"/>
  <c r="K302" i="18"/>
  <c r="S302" i="18"/>
  <c r="P303" i="18"/>
  <c r="M304" i="18"/>
  <c r="J305" i="18"/>
  <c r="R305" i="18"/>
  <c r="O306" i="18"/>
  <c r="L307" i="18"/>
  <c r="T307" i="18"/>
  <c r="Q308" i="18"/>
  <c r="N309" i="18"/>
  <c r="K310" i="18"/>
  <c r="S310" i="18"/>
  <c r="P311" i="18"/>
  <c r="M312" i="18"/>
  <c r="J313" i="18"/>
  <c r="R313" i="18"/>
  <c r="O314" i="18"/>
  <c r="P301" i="18"/>
  <c r="M302" i="18"/>
  <c r="J303" i="18"/>
  <c r="R303" i="18"/>
  <c r="O304" i="18"/>
  <c r="L305" i="18"/>
  <c r="T305" i="18"/>
  <c r="Q306" i="18"/>
  <c r="N307" i="18"/>
  <c r="K308" i="18"/>
  <c r="S308" i="18"/>
  <c r="P309" i="18"/>
  <c r="M310" i="18"/>
  <c r="J311" i="18"/>
  <c r="R311" i="18"/>
  <c r="J301" i="18"/>
  <c r="R301" i="18"/>
  <c r="O302" i="18"/>
  <c r="L303" i="18"/>
  <c r="T303" i="18"/>
  <c r="Q304" i="18"/>
  <c r="N305" i="18"/>
  <c r="K306" i="18"/>
  <c r="S306" i="18"/>
  <c r="P307" i="18"/>
  <c r="M308" i="18"/>
  <c r="J309" i="18"/>
  <c r="R309" i="18"/>
  <c r="O310" i="18"/>
  <c r="L311" i="18"/>
  <c r="T311" i="18"/>
  <c r="Q312" i="18"/>
  <c r="N313" i="18"/>
  <c r="K314" i="18"/>
  <c r="S314" i="18"/>
  <c r="Q301" i="18"/>
  <c r="Q303" i="18"/>
  <c r="O305" i="18"/>
  <c r="O307" i="18"/>
  <c r="O309" i="18"/>
  <c r="M311" i="18"/>
  <c r="K313" i="18"/>
  <c r="P314" i="18"/>
  <c r="L302" i="18"/>
  <c r="J308" i="18"/>
  <c r="M313" i="18"/>
  <c r="R308" i="18"/>
  <c r="K311" i="18"/>
  <c r="S301" i="18"/>
  <c r="S303" i="18"/>
  <c r="S305" i="18"/>
  <c r="Q307" i="18"/>
  <c r="Q309" i="18"/>
  <c r="Q311" i="18"/>
  <c r="L313" i="18"/>
  <c r="Q314" i="18"/>
  <c r="J304" i="18"/>
  <c r="S309" i="18"/>
  <c r="R314" i="18"/>
  <c r="R304" i="18"/>
  <c r="P310" i="18"/>
  <c r="K303" i="18"/>
  <c r="J314" i="18"/>
  <c r="M305" i="18"/>
  <c r="J306" i="18"/>
  <c r="S311" i="18"/>
  <c r="T306" i="18"/>
  <c r="M303" i="18"/>
  <c r="L314" i="18"/>
  <c r="N302" i="18"/>
  <c r="N304" i="18"/>
  <c r="L306" i="18"/>
  <c r="L308" i="18"/>
  <c r="L310" i="18"/>
  <c r="J312" i="18"/>
  <c r="O313" i="18"/>
  <c r="T314" i="18"/>
  <c r="R306" i="18"/>
  <c r="T313" i="18"/>
  <c r="T308" i="18"/>
  <c r="O301" i="18"/>
  <c r="R312" i="18"/>
  <c r="P302" i="18"/>
  <c r="P304" i="18"/>
  <c r="P306" i="18"/>
  <c r="N308" i="18"/>
  <c r="N310" i="18"/>
  <c r="N312" i="18"/>
  <c r="S313" i="18"/>
  <c r="T302" i="18"/>
  <c r="O312" i="18"/>
  <c r="K305" i="18"/>
  <c r="P312" i="18"/>
  <c r="M307" i="18"/>
  <c r="K301" i="18"/>
  <c r="T310" i="18"/>
  <c r="K309" i="18"/>
  <c r="J520" i="19"/>
  <c r="R520" i="19"/>
  <c r="O521" i="19"/>
  <c r="L522" i="19"/>
  <c r="T522" i="19"/>
  <c r="Q523" i="19"/>
  <c r="N524" i="19"/>
  <c r="K525" i="19"/>
  <c r="S525" i="19"/>
  <c r="P526" i="19"/>
  <c r="M527" i="19"/>
  <c r="J528" i="19"/>
  <c r="R528" i="19"/>
  <c r="O529" i="19"/>
  <c r="L530" i="19"/>
  <c r="T530" i="19"/>
  <c r="Q531" i="19"/>
  <c r="N532" i="19"/>
  <c r="K533" i="19"/>
  <c r="S533" i="19"/>
  <c r="K520" i="19"/>
  <c r="S520" i="19"/>
  <c r="P521" i="19"/>
  <c r="M522" i="19"/>
  <c r="J523" i="19"/>
  <c r="R523" i="19"/>
  <c r="O524" i="19"/>
  <c r="L525" i="19"/>
  <c r="T525" i="19"/>
  <c r="Q526" i="19"/>
  <c r="N527" i="19"/>
  <c r="K528" i="19"/>
  <c r="S528" i="19"/>
  <c r="P529" i="19"/>
  <c r="M530" i="19"/>
  <c r="J531" i="19"/>
  <c r="R531" i="19"/>
  <c r="O532" i="19"/>
  <c r="L533" i="19"/>
  <c r="T533" i="19"/>
  <c r="L520" i="19"/>
  <c r="T520" i="19"/>
  <c r="Q521" i="19"/>
  <c r="N522" i="19"/>
  <c r="K523" i="19"/>
  <c r="S523" i="19"/>
  <c r="P524" i="19"/>
  <c r="M525" i="19"/>
  <c r="J526" i="19"/>
  <c r="R526" i="19"/>
  <c r="O527" i="19"/>
  <c r="L528" i="19"/>
  <c r="T528" i="19"/>
  <c r="Q529" i="19"/>
  <c r="N530" i="19"/>
  <c r="K531" i="19"/>
  <c r="S531" i="19"/>
  <c r="P532" i="19"/>
  <c r="M533" i="19"/>
  <c r="M520" i="19"/>
  <c r="J521" i="19"/>
  <c r="R521" i="19"/>
  <c r="O522" i="19"/>
  <c r="L523" i="19"/>
  <c r="T523" i="19"/>
  <c r="Q524" i="19"/>
  <c r="N525" i="19"/>
  <c r="K526" i="19"/>
  <c r="S526" i="19"/>
  <c r="P527" i="19"/>
  <c r="M528" i="19"/>
  <c r="J529" i="19"/>
  <c r="R529" i="19"/>
  <c r="O530" i="19"/>
  <c r="L531" i="19"/>
  <c r="T531" i="19"/>
  <c r="Q532" i="19"/>
  <c r="N533" i="19"/>
  <c r="N520" i="19"/>
  <c r="K521" i="19"/>
  <c r="S521" i="19"/>
  <c r="P522" i="19"/>
  <c r="M523" i="19"/>
  <c r="J524" i="19"/>
  <c r="R524" i="19"/>
  <c r="O525" i="19"/>
  <c r="L526" i="19"/>
  <c r="T526" i="19"/>
  <c r="Q527" i="19"/>
  <c r="N528" i="19"/>
  <c r="K529" i="19"/>
  <c r="S529" i="19"/>
  <c r="P530" i="19"/>
  <c r="M531" i="19"/>
  <c r="J532" i="19"/>
  <c r="R532" i="19"/>
  <c r="O533" i="19"/>
  <c r="P520" i="19"/>
  <c r="M521" i="19"/>
  <c r="J522" i="19"/>
  <c r="R522" i="19"/>
  <c r="O523" i="19"/>
  <c r="L524" i="19"/>
  <c r="T524" i="19"/>
  <c r="Q525" i="19"/>
  <c r="N526" i="19"/>
  <c r="K527" i="19"/>
  <c r="S527" i="19"/>
  <c r="P528" i="19"/>
  <c r="M529" i="19"/>
  <c r="J530" i="19"/>
  <c r="R530" i="19"/>
  <c r="O531" i="19"/>
  <c r="L532" i="19"/>
  <c r="T532" i="19"/>
  <c r="Q533" i="19"/>
  <c r="N521" i="19"/>
  <c r="M524" i="19"/>
  <c r="L527" i="19"/>
  <c r="K530" i="19"/>
  <c r="J533" i="19"/>
  <c r="T527" i="19"/>
  <c r="L529" i="19"/>
  <c r="T521" i="19"/>
  <c r="S524" i="19"/>
  <c r="R527" i="19"/>
  <c r="Q530" i="19"/>
  <c r="P533" i="19"/>
  <c r="R533" i="19"/>
  <c r="M526" i="19"/>
  <c r="M532" i="19"/>
  <c r="T529" i="19"/>
  <c r="K522" i="19"/>
  <c r="J525" i="19"/>
  <c r="S530" i="19"/>
  <c r="K532" i="19"/>
  <c r="K524" i="19"/>
  <c r="Q522" i="19"/>
  <c r="P525" i="19"/>
  <c r="O528" i="19"/>
  <c r="N531" i="19"/>
  <c r="O520" i="19"/>
  <c r="P523" i="19"/>
  <c r="J527" i="19"/>
  <c r="S522" i="19"/>
  <c r="R525" i="19"/>
  <c r="Q528" i="19"/>
  <c r="P531" i="19"/>
  <c r="N523" i="19"/>
  <c r="S532" i="19"/>
  <c r="Q520" i="19"/>
  <c r="O526" i="19"/>
  <c r="N529" i="19"/>
  <c r="L521" i="19"/>
  <c r="P294" i="29"/>
  <c r="M295" i="29"/>
  <c r="J296" i="29"/>
  <c r="R296" i="29"/>
  <c r="O297" i="29"/>
  <c r="L298" i="29"/>
  <c r="T298" i="29"/>
  <c r="Q299" i="29"/>
  <c r="N300" i="29"/>
  <c r="K301" i="29"/>
  <c r="S301" i="29"/>
  <c r="P302" i="29"/>
  <c r="M303" i="29"/>
  <c r="J304" i="29"/>
  <c r="R304" i="29"/>
  <c r="O305" i="29"/>
  <c r="L306" i="29"/>
  <c r="T306" i="29"/>
  <c r="Q307" i="29"/>
  <c r="Q294" i="29"/>
  <c r="N295" i="29"/>
  <c r="K296" i="29"/>
  <c r="S296" i="29"/>
  <c r="P297" i="29"/>
  <c r="M298" i="29"/>
  <c r="J299" i="29"/>
  <c r="R299" i="29"/>
  <c r="O300" i="29"/>
  <c r="L301" i="29"/>
  <c r="T301" i="29"/>
  <c r="Q302" i="29"/>
  <c r="N303" i="29"/>
  <c r="K304" i="29"/>
  <c r="S304" i="29"/>
  <c r="P305" i="29"/>
  <c r="M306" i="29"/>
  <c r="J307" i="29"/>
  <c r="R307" i="29"/>
  <c r="J294" i="29"/>
  <c r="R294" i="29"/>
  <c r="O295" i="29"/>
  <c r="L296" i="29"/>
  <c r="T296" i="29"/>
  <c r="Q297" i="29"/>
  <c r="N298" i="29"/>
  <c r="K299" i="29"/>
  <c r="S299" i="29"/>
  <c r="P300" i="29"/>
  <c r="M301" i="29"/>
  <c r="J302" i="29"/>
  <c r="R302" i="29"/>
  <c r="O303" i="29"/>
  <c r="L304" i="29"/>
  <c r="T304" i="29"/>
  <c r="Q305" i="29"/>
  <c r="N306" i="29"/>
  <c r="K307" i="29"/>
  <c r="S307" i="29"/>
  <c r="K294" i="29"/>
  <c r="S294" i="29"/>
  <c r="P295" i="29"/>
  <c r="M296" i="29"/>
  <c r="J297" i="29"/>
  <c r="R297" i="29"/>
  <c r="O298" i="29"/>
  <c r="L299" i="29"/>
  <c r="T299" i="29"/>
  <c r="Q300" i="29"/>
  <c r="N301" i="29"/>
  <c r="K302" i="29"/>
  <c r="S302" i="29"/>
  <c r="P303" i="29"/>
  <c r="M304" i="29"/>
  <c r="J305" i="29"/>
  <c r="R305" i="29"/>
  <c r="L294" i="29"/>
  <c r="T294" i="29"/>
  <c r="Q295" i="29"/>
  <c r="N296" i="29"/>
  <c r="K297" i="29"/>
  <c r="S297" i="29"/>
  <c r="P298" i="29"/>
  <c r="M299" i="29"/>
  <c r="J300" i="29"/>
  <c r="R300" i="29"/>
  <c r="O301" i="29"/>
  <c r="L302" i="29"/>
  <c r="T302" i="29"/>
  <c r="Q303" i="29"/>
  <c r="N304" i="29"/>
  <c r="K305" i="29"/>
  <c r="S305" i="29"/>
  <c r="P306" i="29"/>
  <c r="M307" i="29"/>
  <c r="N294" i="29"/>
  <c r="K295" i="29"/>
  <c r="S295" i="29"/>
  <c r="P296" i="29"/>
  <c r="M297" i="29"/>
  <c r="J298" i="29"/>
  <c r="R298" i="29"/>
  <c r="O299" i="29"/>
  <c r="L300" i="29"/>
  <c r="T300" i="29"/>
  <c r="Q301" i="29"/>
  <c r="N302" i="29"/>
  <c r="K303" i="29"/>
  <c r="S303" i="29"/>
  <c r="P304" i="29"/>
  <c r="M305" i="29"/>
  <c r="J306" i="29"/>
  <c r="R306" i="29"/>
  <c r="O307" i="29"/>
  <c r="T295" i="29"/>
  <c r="S298" i="29"/>
  <c r="R301" i="29"/>
  <c r="Q304" i="29"/>
  <c r="L307" i="29"/>
  <c r="O296" i="29"/>
  <c r="N299" i="29"/>
  <c r="M302" i="29"/>
  <c r="L305" i="29"/>
  <c r="N307" i="29"/>
  <c r="N305" i="29"/>
  <c r="S306" i="29"/>
  <c r="Q296" i="29"/>
  <c r="P299" i="29"/>
  <c r="O302" i="29"/>
  <c r="P307" i="29"/>
  <c r="J301" i="29"/>
  <c r="Q298" i="29"/>
  <c r="M294" i="29"/>
  <c r="L297" i="29"/>
  <c r="K300" i="29"/>
  <c r="J303" i="29"/>
  <c r="T305" i="29"/>
  <c r="T307" i="29"/>
  <c r="J295" i="29"/>
  <c r="S300" i="29"/>
  <c r="O306" i="29"/>
  <c r="T303" i="29"/>
  <c r="P301" i="29"/>
  <c r="O294" i="29"/>
  <c r="N297" i="29"/>
  <c r="M300" i="29"/>
  <c r="L303" i="29"/>
  <c r="K306" i="29"/>
  <c r="T297" i="29"/>
  <c r="R303" i="29"/>
  <c r="K298" i="29"/>
  <c r="O304" i="29"/>
  <c r="L295" i="29"/>
  <c r="Q306" i="29"/>
  <c r="R295" i="29"/>
  <c r="N245" i="49"/>
  <c r="K246" i="49"/>
  <c r="S246" i="49"/>
  <c r="P247" i="49"/>
  <c r="M248" i="49"/>
  <c r="J249" i="49"/>
  <c r="R249" i="49"/>
  <c r="O250" i="49"/>
  <c r="L251" i="49"/>
  <c r="T251" i="49"/>
  <c r="Q252" i="49"/>
  <c r="N253" i="49"/>
  <c r="K254" i="49"/>
  <c r="P245" i="49"/>
  <c r="M246" i="49"/>
  <c r="J247" i="49"/>
  <c r="R247" i="49"/>
  <c r="O248" i="49"/>
  <c r="L249" i="49"/>
  <c r="T249" i="49"/>
  <c r="Q250" i="49"/>
  <c r="N251" i="49"/>
  <c r="K252" i="49"/>
  <c r="S252" i="49"/>
  <c r="P253" i="49"/>
  <c r="M254" i="49"/>
  <c r="J255" i="49"/>
  <c r="R255" i="49"/>
  <c r="O256" i="49"/>
  <c r="L257" i="49"/>
  <c r="T257" i="49"/>
  <c r="Q245" i="49"/>
  <c r="K245" i="49"/>
  <c r="S245" i="49"/>
  <c r="P246" i="49"/>
  <c r="M247" i="49"/>
  <c r="J248" i="49"/>
  <c r="R248" i="49"/>
  <c r="O249" i="49"/>
  <c r="L250" i="49"/>
  <c r="T250" i="49"/>
  <c r="Q251" i="49"/>
  <c r="N252" i="49"/>
  <c r="K253" i="49"/>
  <c r="S253" i="49"/>
  <c r="P254" i="49"/>
  <c r="M255" i="49"/>
  <c r="J256" i="49"/>
  <c r="R256" i="49"/>
  <c r="O257" i="49"/>
  <c r="O245" i="49"/>
  <c r="R246" i="49"/>
  <c r="T247" i="49"/>
  <c r="K249" i="49"/>
  <c r="M250" i="49"/>
  <c r="O251" i="49"/>
  <c r="P252" i="49"/>
  <c r="R253" i="49"/>
  <c r="S254" i="49"/>
  <c r="S255" i="49"/>
  <c r="S256" i="49"/>
  <c r="R257" i="49"/>
  <c r="P258" i="49"/>
  <c r="R245" i="49"/>
  <c r="T246" i="49"/>
  <c r="K248" i="49"/>
  <c r="M249" i="49"/>
  <c r="N250" i="49"/>
  <c r="P251" i="49"/>
  <c r="R252" i="49"/>
  <c r="T253" i="49"/>
  <c r="T254" i="49"/>
  <c r="T255" i="49"/>
  <c r="T256" i="49"/>
  <c r="S257" i="49"/>
  <c r="Q258" i="49"/>
  <c r="T245" i="49"/>
  <c r="K247" i="49"/>
  <c r="L248" i="49"/>
  <c r="N249" i="49"/>
  <c r="P250" i="49"/>
  <c r="R251" i="49"/>
  <c r="T252" i="49"/>
  <c r="J254" i="49"/>
  <c r="K255" i="49"/>
  <c r="K256" i="49"/>
  <c r="J257" i="49"/>
  <c r="J258" i="49"/>
  <c r="R258" i="49"/>
  <c r="J246" i="49"/>
  <c r="L247" i="49"/>
  <c r="N248" i="49"/>
  <c r="P249" i="49"/>
  <c r="R250" i="49"/>
  <c r="S251" i="49"/>
  <c r="J253" i="49"/>
  <c r="L254" i="49"/>
  <c r="L255" i="49"/>
  <c r="L256" i="49"/>
  <c r="K257" i="49"/>
  <c r="K258" i="49"/>
  <c r="S258" i="49"/>
  <c r="L246" i="49"/>
  <c r="N247" i="49"/>
  <c r="P248" i="49"/>
  <c r="Q249" i="49"/>
  <c r="S250" i="49"/>
  <c r="J252" i="49"/>
  <c r="L253" i="49"/>
  <c r="N254" i="49"/>
  <c r="N255" i="49"/>
  <c r="M256" i="49"/>
  <c r="M257" i="49"/>
  <c r="L258" i="49"/>
  <c r="T258" i="49"/>
  <c r="J245" i="49"/>
  <c r="N246" i="49"/>
  <c r="O247" i="49"/>
  <c r="Q248" i="49"/>
  <c r="S249" i="49"/>
  <c r="J251" i="49"/>
  <c r="L252" i="49"/>
  <c r="M253" i="49"/>
  <c r="O254" i="49"/>
  <c r="O255" i="49"/>
  <c r="N256" i="49"/>
  <c r="N257" i="49"/>
  <c r="M258" i="49"/>
  <c r="O246" i="49"/>
  <c r="K251" i="49"/>
  <c r="P255" i="49"/>
  <c r="Q246" i="49"/>
  <c r="M251" i="49"/>
  <c r="Q255" i="49"/>
  <c r="Q247" i="49"/>
  <c r="M252" i="49"/>
  <c r="P256" i="49"/>
  <c r="S247" i="49"/>
  <c r="O252" i="49"/>
  <c r="Q256" i="49"/>
  <c r="S248" i="49"/>
  <c r="O253" i="49"/>
  <c r="P257" i="49"/>
  <c r="T248" i="49"/>
  <c r="Q253" i="49"/>
  <c r="Q257" i="49"/>
  <c r="N258" i="49"/>
  <c r="O258" i="49"/>
  <c r="L245" i="49"/>
  <c r="M245" i="49"/>
  <c r="J250" i="49"/>
  <c r="Q254" i="49"/>
  <c r="R254" i="49"/>
  <c r="K250" i="49"/>
  <c r="Q534" i="41"/>
  <c r="N535" i="41"/>
  <c r="K536" i="41"/>
  <c r="S536" i="41"/>
  <c r="P537" i="41"/>
  <c r="M538" i="41"/>
  <c r="J539" i="41"/>
  <c r="R539" i="41"/>
  <c r="O540" i="41"/>
  <c r="L541" i="41"/>
  <c r="T541" i="41"/>
  <c r="Q542" i="41"/>
  <c r="N543" i="41"/>
  <c r="J534" i="41"/>
  <c r="R534" i="41"/>
  <c r="O535" i="41"/>
  <c r="L536" i="41"/>
  <c r="T536" i="41"/>
  <c r="Q537" i="41"/>
  <c r="N538" i="41"/>
  <c r="K534" i="41"/>
  <c r="S534" i="41"/>
  <c r="P535" i="41"/>
  <c r="M536" i="41"/>
  <c r="J537" i="41"/>
  <c r="R537" i="41"/>
  <c r="O538" i="41"/>
  <c r="L539" i="41"/>
  <c r="T539" i="41"/>
  <c r="Q540" i="41"/>
  <c r="N541" i="41"/>
  <c r="K542" i="41"/>
  <c r="S542" i="41"/>
  <c r="P543" i="41"/>
  <c r="M544" i="41"/>
  <c r="J545" i="41"/>
  <c r="R545" i="41"/>
  <c r="O546" i="41"/>
  <c r="L547" i="41"/>
  <c r="T547" i="41"/>
  <c r="L534" i="41"/>
  <c r="T534" i="41"/>
  <c r="Q535" i="41"/>
  <c r="N536" i="41"/>
  <c r="K537" i="41"/>
  <c r="S537" i="41"/>
  <c r="P538" i="41"/>
  <c r="M539" i="41"/>
  <c r="J540" i="41"/>
  <c r="R540" i="41"/>
  <c r="O541" i="41"/>
  <c r="L542" i="41"/>
  <c r="T542" i="41"/>
  <c r="Q543" i="41"/>
  <c r="N544" i="41"/>
  <c r="K545" i="41"/>
  <c r="S545" i="41"/>
  <c r="P546" i="41"/>
  <c r="M547" i="41"/>
  <c r="M534" i="41"/>
  <c r="J535" i="41"/>
  <c r="R535" i="41"/>
  <c r="O536" i="41"/>
  <c r="L537" i="41"/>
  <c r="T537" i="41"/>
  <c r="Q538" i="41"/>
  <c r="N539" i="41"/>
  <c r="K540" i="41"/>
  <c r="S540" i="41"/>
  <c r="L535" i="41"/>
  <c r="M537" i="41"/>
  <c r="T538" i="41"/>
  <c r="N540" i="41"/>
  <c r="R541" i="41"/>
  <c r="J543" i="41"/>
  <c r="J544" i="41"/>
  <c r="T544" i="41"/>
  <c r="J546" i="41"/>
  <c r="T546" i="41"/>
  <c r="S547" i="41"/>
  <c r="S535" i="41"/>
  <c r="O537" i="41"/>
  <c r="O539" i="41"/>
  <c r="T540" i="41"/>
  <c r="J542" i="41"/>
  <c r="L543" i="41"/>
  <c r="L544" i="41"/>
  <c r="M545" i="41"/>
  <c r="L546" i="41"/>
  <c r="K547" i="41"/>
  <c r="T535" i="41"/>
  <c r="J538" i="41"/>
  <c r="P539" i="41"/>
  <c r="J541" i="41"/>
  <c r="M542" i="41"/>
  <c r="M543" i="41"/>
  <c r="O544" i="41"/>
  <c r="N545" i="41"/>
  <c r="M546" i="41"/>
  <c r="N547" i="41"/>
  <c r="N534" i="41"/>
  <c r="J536" i="41"/>
  <c r="K538" i="41"/>
  <c r="Q539" i="41"/>
  <c r="K541" i="41"/>
  <c r="N542" i="41"/>
  <c r="O543" i="41"/>
  <c r="P544" i="41"/>
  <c r="O545" i="41"/>
  <c r="N546" i="41"/>
  <c r="O547" i="41"/>
  <c r="M535" i="41"/>
  <c r="K539" i="41"/>
  <c r="S541" i="41"/>
  <c r="K544" i="41"/>
  <c r="K546" i="41"/>
  <c r="P536" i="41"/>
  <c r="S539" i="41"/>
  <c r="O542" i="41"/>
  <c r="Q544" i="41"/>
  <c r="Q546" i="41"/>
  <c r="Q536" i="41"/>
  <c r="L540" i="41"/>
  <c r="P542" i="41"/>
  <c r="R544" i="41"/>
  <c r="R546" i="41"/>
  <c r="R536" i="41"/>
  <c r="M540" i="41"/>
  <c r="R542" i="41"/>
  <c r="S544" i="41"/>
  <c r="S546" i="41"/>
  <c r="N537" i="41"/>
  <c r="P540" i="41"/>
  <c r="K543" i="41"/>
  <c r="L545" i="41"/>
  <c r="J547" i="41"/>
  <c r="P534" i="41"/>
  <c r="R538" i="41"/>
  <c r="P541" i="41"/>
  <c r="S543" i="41"/>
  <c r="Q545" i="41"/>
  <c r="Q547" i="41"/>
  <c r="S538" i="41"/>
  <c r="R547" i="41"/>
  <c r="M541" i="41"/>
  <c r="Q541" i="41"/>
  <c r="R543" i="41"/>
  <c r="L538" i="41"/>
  <c r="T543" i="41"/>
  <c r="O534" i="41"/>
  <c r="P545" i="41"/>
  <c r="P547" i="41"/>
  <c r="K535" i="41"/>
  <c r="T545" i="41"/>
  <c r="K266" i="45"/>
  <c r="S266" i="45"/>
  <c r="P267" i="45"/>
  <c r="M268" i="45"/>
  <c r="J269" i="45"/>
  <c r="R269" i="45"/>
  <c r="O270" i="45"/>
  <c r="L271" i="45"/>
  <c r="T271" i="45"/>
  <c r="Q272" i="45"/>
  <c r="N273" i="45"/>
  <c r="K274" i="45"/>
  <c r="S274" i="45"/>
  <c r="P275" i="45"/>
  <c r="M276" i="45"/>
  <c r="J277" i="45"/>
  <c r="R277" i="45"/>
  <c r="O278" i="45"/>
  <c r="L279" i="45"/>
  <c r="T279" i="45"/>
  <c r="L266" i="45"/>
  <c r="T266" i="45"/>
  <c r="Q267" i="45"/>
  <c r="N268" i="45"/>
  <c r="K269" i="45"/>
  <c r="S269" i="45"/>
  <c r="P270" i="45"/>
  <c r="M271" i="45"/>
  <c r="J272" i="45"/>
  <c r="R272" i="45"/>
  <c r="O273" i="45"/>
  <c r="L274" i="45"/>
  <c r="T274" i="45"/>
  <c r="Q275" i="45"/>
  <c r="N276" i="45"/>
  <c r="K277" i="45"/>
  <c r="S277" i="45"/>
  <c r="P278" i="45"/>
  <c r="M279" i="45"/>
  <c r="M266" i="45"/>
  <c r="J267" i="45"/>
  <c r="R267" i="45"/>
  <c r="O268" i="45"/>
  <c r="L269" i="45"/>
  <c r="T269" i="45"/>
  <c r="Q270" i="45"/>
  <c r="N271" i="45"/>
  <c r="K272" i="45"/>
  <c r="S272" i="45"/>
  <c r="P273" i="45"/>
  <c r="M274" i="45"/>
  <c r="J275" i="45"/>
  <c r="R275" i="45"/>
  <c r="O276" i="45"/>
  <c r="L277" i="45"/>
  <c r="T277" i="45"/>
  <c r="Q278" i="45"/>
  <c r="N279" i="45"/>
  <c r="N266" i="45"/>
  <c r="K267" i="45"/>
  <c r="S267" i="45"/>
  <c r="P268" i="45"/>
  <c r="M269" i="45"/>
  <c r="J270" i="45"/>
  <c r="R270" i="45"/>
  <c r="O271" i="45"/>
  <c r="L272" i="45"/>
  <c r="T272" i="45"/>
  <c r="Q273" i="45"/>
  <c r="N274" i="45"/>
  <c r="K275" i="45"/>
  <c r="S275" i="45"/>
  <c r="P276" i="45"/>
  <c r="M277" i="45"/>
  <c r="J278" i="45"/>
  <c r="R278" i="45"/>
  <c r="O279" i="45"/>
  <c r="O266" i="45"/>
  <c r="L267" i="45"/>
  <c r="T267" i="45"/>
  <c r="Q268" i="45"/>
  <c r="N269" i="45"/>
  <c r="K270" i="45"/>
  <c r="S270" i="45"/>
  <c r="P271" i="45"/>
  <c r="M272" i="45"/>
  <c r="J273" i="45"/>
  <c r="R273" i="45"/>
  <c r="O274" i="45"/>
  <c r="L275" i="45"/>
  <c r="T275" i="45"/>
  <c r="Q276" i="45"/>
  <c r="N277" i="45"/>
  <c r="K278" i="45"/>
  <c r="S278" i="45"/>
  <c r="P279" i="45"/>
  <c r="P266" i="45"/>
  <c r="M267" i="45"/>
  <c r="J268" i="45"/>
  <c r="R268" i="45"/>
  <c r="O269" i="45"/>
  <c r="L270" i="45"/>
  <c r="T270" i="45"/>
  <c r="Q271" i="45"/>
  <c r="N272" i="45"/>
  <c r="K273" i="45"/>
  <c r="S273" i="45"/>
  <c r="P274" i="45"/>
  <c r="Q266" i="45"/>
  <c r="P269" i="45"/>
  <c r="R266" i="45"/>
  <c r="Q269" i="45"/>
  <c r="P272" i="45"/>
  <c r="N275" i="45"/>
  <c r="O277" i="45"/>
  <c r="K279" i="45"/>
  <c r="N267" i="45"/>
  <c r="M270" i="45"/>
  <c r="L273" i="45"/>
  <c r="O267" i="45"/>
  <c r="N270" i="45"/>
  <c r="M273" i="45"/>
  <c r="J276" i="45"/>
  <c r="Q277" i="45"/>
  <c r="R279" i="45"/>
  <c r="K268" i="45"/>
  <c r="J271" i="45"/>
  <c r="T273" i="45"/>
  <c r="K276" i="45"/>
  <c r="L278" i="45"/>
  <c r="S279" i="45"/>
  <c r="L268" i="45"/>
  <c r="K271" i="45"/>
  <c r="J274" i="45"/>
  <c r="L276" i="45"/>
  <c r="M278" i="45"/>
  <c r="O272" i="45"/>
  <c r="P277" i="45"/>
  <c r="Q274" i="45"/>
  <c r="N278" i="45"/>
  <c r="R274" i="45"/>
  <c r="T278" i="45"/>
  <c r="J266" i="45"/>
  <c r="M275" i="45"/>
  <c r="J279" i="45"/>
  <c r="S268" i="45"/>
  <c r="O275" i="45"/>
  <c r="Q279" i="45"/>
  <c r="R271" i="45"/>
  <c r="S276" i="45"/>
  <c r="S271" i="45"/>
  <c r="T276" i="45"/>
  <c r="T268" i="45"/>
  <c r="R276" i="45"/>
  <c r="Q273" i="53"/>
  <c r="N274" i="53"/>
  <c r="K275" i="53"/>
  <c r="J273" i="53"/>
  <c r="R273" i="53"/>
  <c r="O274" i="53"/>
  <c r="L275" i="53"/>
  <c r="T275" i="53"/>
  <c r="Q276" i="53"/>
  <c r="N277" i="53"/>
  <c r="K278" i="53"/>
  <c r="S278" i="53"/>
  <c r="P279" i="53"/>
  <c r="M280" i="53"/>
  <c r="J281" i="53"/>
  <c r="R281" i="53"/>
  <c r="O282" i="53"/>
  <c r="L283" i="53"/>
  <c r="T283" i="53"/>
  <c r="Q284" i="53"/>
  <c r="N285" i="53"/>
  <c r="K286" i="53"/>
  <c r="S286" i="53"/>
  <c r="K273" i="53"/>
  <c r="S273" i="53"/>
  <c r="P274" i="53"/>
  <c r="M275" i="53"/>
  <c r="J276" i="53"/>
  <c r="R276" i="53"/>
  <c r="O277" i="53"/>
  <c r="L278" i="53"/>
  <c r="T278" i="53"/>
  <c r="Q279" i="53"/>
  <c r="N280" i="53"/>
  <c r="K281" i="53"/>
  <c r="S281" i="53"/>
  <c r="P282" i="53"/>
  <c r="M283" i="53"/>
  <c r="J284" i="53"/>
  <c r="R284" i="53"/>
  <c r="O285" i="53"/>
  <c r="L286" i="53"/>
  <c r="L273" i="53"/>
  <c r="T273" i="53"/>
  <c r="Q274" i="53"/>
  <c r="N275" i="53"/>
  <c r="K276" i="53"/>
  <c r="S276" i="53"/>
  <c r="P277" i="53"/>
  <c r="M278" i="53"/>
  <c r="J279" i="53"/>
  <c r="R279" i="53"/>
  <c r="O280" i="53"/>
  <c r="L281" i="53"/>
  <c r="T281" i="53"/>
  <c r="Q282" i="53"/>
  <c r="N283" i="53"/>
  <c r="K284" i="53"/>
  <c r="S284" i="53"/>
  <c r="P285" i="53"/>
  <c r="M286" i="53"/>
  <c r="M273" i="53"/>
  <c r="J274" i="53"/>
  <c r="R274" i="53"/>
  <c r="O275" i="53"/>
  <c r="L276" i="53"/>
  <c r="T276" i="53"/>
  <c r="Q277" i="53"/>
  <c r="N278" i="53"/>
  <c r="K279" i="53"/>
  <c r="S279" i="53"/>
  <c r="P280" i="53"/>
  <c r="M281" i="53"/>
  <c r="J282" i="53"/>
  <c r="R282" i="53"/>
  <c r="O283" i="53"/>
  <c r="L284" i="53"/>
  <c r="T284" i="53"/>
  <c r="Q285" i="53"/>
  <c r="N286" i="53"/>
  <c r="O273" i="53"/>
  <c r="L274" i="53"/>
  <c r="T274" i="53"/>
  <c r="Q275" i="53"/>
  <c r="N276" i="53"/>
  <c r="K277" i="53"/>
  <c r="S277" i="53"/>
  <c r="P278" i="53"/>
  <c r="M279" i="53"/>
  <c r="J280" i="53"/>
  <c r="R280" i="53"/>
  <c r="O281" i="53"/>
  <c r="L282" i="53"/>
  <c r="T282" i="53"/>
  <c r="Q283" i="53"/>
  <c r="N284" i="53"/>
  <c r="K285" i="53"/>
  <c r="S285" i="53"/>
  <c r="P286" i="53"/>
  <c r="P275" i="53"/>
  <c r="M277" i="53"/>
  <c r="N279" i="53"/>
  <c r="N281" i="53"/>
  <c r="K283" i="53"/>
  <c r="L285" i="53"/>
  <c r="T286" i="53"/>
  <c r="R275" i="53"/>
  <c r="R277" i="53"/>
  <c r="O279" i="53"/>
  <c r="P281" i="53"/>
  <c r="P283" i="53"/>
  <c r="M285" i="53"/>
  <c r="N273" i="53"/>
  <c r="S275" i="53"/>
  <c r="T277" i="53"/>
  <c r="T279" i="53"/>
  <c r="Q281" i="53"/>
  <c r="R283" i="53"/>
  <c r="R285" i="53"/>
  <c r="P273" i="53"/>
  <c r="M276" i="53"/>
  <c r="J278" i="53"/>
  <c r="K280" i="53"/>
  <c r="K282" i="53"/>
  <c r="S283" i="53"/>
  <c r="T285" i="53"/>
  <c r="K274" i="53"/>
  <c r="O276" i="53"/>
  <c r="O278" i="53"/>
  <c r="L280" i="53"/>
  <c r="M282" i="53"/>
  <c r="M284" i="53"/>
  <c r="J286" i="53"/>
  <c r="M274" i="53"/>
  <c r="P276" i="53"/>
  <c r="Q278" i="53"/>
  <c r="Q280" i="53"/>
  <c r="N282" i="53"/>
  <c r="O284" i="53"/>
  <c r="O286" i="53"/>
  <c r="J277" i="53"/>
  <c r="P284" i="53"/>
  <c r="L277" i="53"/>
  <c r="J285" i="53"/>
  <c r="R278" i="53"/>
  <c r="Q286" i="53"/>
  <c r="L279" i="53"/>
  <c r="R286" i="53"/>
  <c r="S280" i="53"/>
  <c r="T280" i="53"/>
  <c r="S274" i="53"/>
  <c r="J275" i="53"/>
  <c r="S282" i="53"/>
  <c r="J283" i="53"/>
  <c r="J229" i="61"/>
  <c r="R229" i="61"/>
  <c r="O230" i="61"/>
  <c r="L231" i="61"/>
  <c r="T231" i="61"/>
  <c r="Q232" i="61"/>
  <c r="N233" i="61"/>
  <c r="K234" i="61"/>
  <c r="S234" i="61"/>
  <c r="P235" i="61"/>
  <c r="M236" i="61"/>
  <c r="J237" i="61"/>
  <c r="R237" i="61"/>
  <c r="O238" i="61"/>
  <c r="K229" i="61"/>
  <c r="S229" i="61"/>
  <c r="P230" i="61"/>
  <c r="M231" i="61"/>
  <c r="J232" i="61"/>
  <c r="R232" i="61"/>
  <c r="O233" i="61"/>
  <c r="L229" i="61"/>
  <c r="T229" i="61"/>
  <c r="Q230" i="61"/>
  <c r="N231" i="61"/>
  <c r="K232" i="61"/>
  <c r="S232" i="61"/>
  <c r="P233" i="61"/>
  <c r="M234" i="61"/>
  <c r="J235" i="61"/>
  <c r="R235" i="61"/>
  <c r="O236" i="61"/>
  <c r="L237" i="61"/>
  <c r="T237" i="61"/>
  <c r="Q238" i="61"/>
  <c r="P229" i="61"/>
  <c r="M230" i="61"/>
  <c r="J231" i="61"/>
  <c r="R231" i="61"/>
  <c r="O232" i="61"/>
  <c r="L233" i="61"/>
  <c r="T233" i="61"/>
  <c r="Q234" i="61"/>
  <c r="N235" i="61"/>
  <c r="K236" i="61"/>
  <c r="S236" i="61"/>
  <c r="P237" i="61"/>
  <c r="M238" i="61"/>
  <c r="J239" i="61"/>
  <c r="R239" i="61"/>
  <c r="O240" i="61"/>
  <c r="L241" i="61"/>
  <c r="T241" i="61"/>
  <c r="Q242" i="61"/>
  <c r="J230" i="61"/>
  <c r="O231" i="61"/>
  <c r="T232" i="61"/>
  <c r="L234" i="61"/>
  <c r="M235" i="61"/>
  <c r="P236" i="61"/>
  <c r="Q237" i="61"/>
  <c r="S238" i="61"/>
  <c r="Q239" i="61"/>
  <c r="P240" i="61"/>
  <c r="N241" i="61"/>
  <c r="L242" i="61"/>
  <c r="Q231" i="61"/>
  <c r="Q235" i="61"/>
  <c r="K239" i="61"/>
  <c r="P241" i="61"/>
  <c r="S230" i="61"/>
  <c r="M237" i="61"/>
  <c r="L235" i="61"/>
  <c r="T242" i="61"/>
  <c r="K230" i="61"/>
  <c r="P231" i="61"/>
  <c r="J233" i="61"/>
  <c r="N234" i="61"/>
  <c r="O235" i="61"/>
  <c r="Q236" i="61"/>
  <c r="S237" i="61"/>
  <c r="T238" i="61"/>
  <c r="S239" i="61"/>
  <c r="Q240" i="61"/>
  <c r="O241" i="61"/>
  <c r="M242" i="61"/>
  <c r="K233" i="61"/>
  <c r="R236" i="61"/>
  <c r="T239" i="61"/>
  <c r="N242" i="61"/>
  <c r="M232" i="61"/>
  <c r="J236" i="61"/>
  <c r="L240" i="61"/>
  <c r="R242" i="61"/>
  <c r="S233" i="61"/>
  <c r="O239" i="61"/>
  <c r="K231" i="61"/>
  <c r="O237" i="61"/>
  <c r="K242" i="61"/>
  <c r="L230" i="61"/>
  <c r="O234" i="61"/>
  <c r="J238" i="61"/>
  <c r="R240" i="61"/>
  <c r="K235" i="61"/>
  <c r="J242" i="61"/>
  <c r="R238" i="61"/>
  <c r="N230" i="61"/>
  <c r="S231" i="61"/>
  <c r="M233" i="61"/>
  <c r="P234" i="61"/>
  <c r="S235" i="61"/>
  <c r="T236" i="61"/>
  <c r="K238" i="61"/>
  <c r="L239" i="61"/>
  <c r="J240" i="61"/>
  <c r="S240" i="61"/>
  <c r="Q241" i="61"/>
  <c r="O242" i="61"/>
  <c r="R233" i="61"/>
  <c r="N239" i="61"/>
  <c r="S241" i="61"/>
  <c r="T230" i="61"/>
  <c r="N237" i="61"/>
  <c r="K241" i="61"/>
  <c r="J234" i="61"/>
  <c r="N240" i="61"/>
  <c r="M229" i="61"/>
  <c r="R230" i="61"/>
  <c r="L232" i="61"/>
  <c r="Q233" i="61"/>
  <c r="R234" i="61"/>
  <c r="T235" i="61"/>
  <c r="K237" i="61"/>
  <c r="L238" i="61"/>
  <c r="M239" i="61"/>
  <c r="K240" i="61"/>
  <c r="T240" i="61"/>
  <c r="R241" i="61"/>
  <c r="P242" i="61"/>
  <c r="N229" i="61"/>
  <c r="T234" i="61"/>
  <c r="N238" i="61"/>
  <c r="J241" i="61"/>
  <c r="N232" i="61"/>
  <c r="P238" i="61"/>
  <c r="S242" i="61"/>
  <c r="Q229" i="61"/>
  <c r="N236" i="61"/>
  <c r="M241" i="61"/>
  <c r="O229" i="61"/>
  <c r="L236" i="61"/>
  <c r="M240" i="61"/>
  <c r="P232" i="61"/>
  <c r="P239" i="61"/>
  <c r="J224" i="69"/>
  <c r="R224" i="69"/>
  <c r="O225" i="69"/>
  <c r="L226" i="69"/>
  <c r="T226" i="69"/>
  <c r="Q227" i="69"/>
  <c r="N228" i="69"/>
  <c r="K229" i="69"/>
  <c r="L224" i="69"/>
  <c r="T224" i="69"/>
  <c r="Q225" i="69"/>
  <c r="N226" i="69"/>
  <c r="K227" i="69"/>
  <c r="S227" i="69"/>
  <c r="P228" i="69"/>
  <c r="M229" i="69"/>
  <c r="M224" i="69"/>
  <c r="J225" i="69"/>
  <c r="R225" i="69"/>
  <c r="N224" i="69"/>
  <c r="K225" i="69"/>
  <c r="S225" i="69"/>
  <c r="P226" i="69"/>
  <c r="P224" i="69"/>
  <c r="M225" i="69"/>
  <c r="J226" i="69"/>
  <c r="R226" i="69"/>
  <c r="L225" i="69"/>
  <c r="S226" i="69"/>
  <c r="T227" i="69"/>
  <c r="S228" i="69"/>
  <c r="R229" i="69"/>
  <c r="O230" i="69"/>
  <c r="L231" i="69"/>
  <c r="T231" i="69"/>
  <c r="Q232" i="69"/>
  <c r="N233" i="69"/>
  <c r="K234" i="69"/>
  <c r="S234" i="69"/>
  <c r="P235" i="69"/>
  <c r="M236" i="69"/>
  <c r="J237" i="69"/>
  <c r="R237" i="69"/>
  <c r="N225" i="69"/>
  <c r="J227" i="69"/>
  <c r="J228" i="69"/>
  <c r="T228" i="69"/>
  <c r="S229" i="69"/>
  <c r="P230" i="69"/>
  <c r="M231" i="69"/>
  <c r="J232" i="69"/>
  <c r="R232" i="69"/>
  <c r="O233" i="69"/>
  <c r="L234" i="69"/>
  <c r="T234" i="69"/>
  <c r="Q235" i="69"/>
  <c r="N236" i="69"/>
  <c r="K237" i="69"/>
  <c r="S237" i="69"/>
  <c r="P225" i="69"/>
  <c r="L227" i="69"/>
  <c r="K228" i="69"/>
  <c r="J229" i="69"/>
  <c r="T229" i="69"/>
  <c r="Q230" i="69"/>
  <c r="N231" i="69"/>
  <c r="K232" i="69"/>
  <c r="S232" i="69"/>
  <c r="P233" i="69"/>
  <c r="M234" i="69"/>
  <c r="J235" i="69"/>
  <c r="R235" i="69"/>
  <c r="O236" i="69"/>
  <c r="L237" i="69"/>
  <c r="T237" i="69"/>
  <c r="T225" i="69"/>
  <c r="M227" i="69"/>
  <c r="L228" i="69"/>
  <c r="L229" i="69"/>
  <c r="J230" i="69"/>
  <c r="R230" i="69"/>
  <c r="O231" i="69"/>
  <c r="L232" i="69"/>
  <c r="T232" i="69"/>
  <c r="Q233" i="69"/>
  <c r="N234" i="69"/>
  <c r="K235" i="69"/>
  <c r="S235" i="69"/>
  <c r="P236" i="69"/>
  <c r="M237" i="69"/>
  <c r="K224" i="69"/>
  <c r="K226" i="69"/>
  <c r="N227" i="69"/>
  <c r="M228" i="69"/>
  <c r="N229" i="69"/>
  <c r="K230" i="69"/>
  <c r="S230" i="69"/>
  <c r="P231" i="69"/>
  <c r="M232" i="69"/>
  <c r="J233" i="69"/>
  <c r="R233" i="69"/>
  <c r="O234" i="69"/>
  <c r="L235" i="69"/>
  <c r="T235" i="69"/>
  <c r="Q236" i="69"/>
  <c r="N237" i="69"/>
  <c r="Q224" i="69"/>
  <c r="O226" i="69"/>
  <c r="P227" i="69"/>
  <c r="Q228" i="69"/>
  <c r="P229" i="69"/>
  <c r="M230" i="69"/>
  <c r="J231" i="69"/>
  <c r="R231" i="69"/>
  <c r="O232" i="69"/>
  <c r="L233" i="69"/>
  <c r="T233" i="69"/>
  <c r="Q234" i="69"/>
  <c r="N235" i="69"/>
  <c r="K236" i="69"/>
  <c r="S236" i="69"/>
  <c r="P237" i="69"/>
  <c r="O224" i="69"/>
  <c r="O229" i="69"/>
  <c r="N232" i="69"/>
  <c r="M235" i="69"/>
  <c r="S224" i="69"/>
  <c r="Q229" i="69"/>
  <c r="P232" i="69"/>
  <c r="O235" i="69"/>
  <c r="M226" i="69"/>
  <c r="L230" i="69"/>
  <c r="K233" i="69"/>
  <c r="J236" i="69"/>
  <c r="Q226" i="69"/>
  <c r="N230" i="69"/>
  <c r="M233" i="69"/>
  <c r="L236" i="69"/>
  <c r="O227" i="69"/>
  <c r="T230" i="69"/>
  <c r="S233" i="69"/>
  <c r="R236" i="69"/>
  <c r="R227" i="69"/>
  <c r="K231" i="69"/>
  <c r="J234" i="69"/>
  <c r="T236" i="69"/>
  <c r="O228" i="69"/>
  <c r="R228" i="69"/>
  <c r="Q231" i="69"/>
  <c r="S231" i="69"/>
  <c r="P234" i="69"/>
  <c r="O237" i="69"/>
  <c r="R234" i="69"/>
  <c r="Q237" i="69"/>
  <c r="O499" i="37"/>
  <c r="L500" i="37"/>
  <c r="T500" i="37"/>
  <c r="Q501" i="37"/>
  <c r="N502" i="37"/>
  <c r="K503" i="37"/>
  <c r="S503" i="37"/>
  <c r="P504" i="37"/>
  <c r="M505" i="37"/>
  <c r="J506" i="37"/>
  <c r="R506" i="37"/>
  <c r="O507" i="37"/>
  <c r="L508" i="37"/>
  <c r="T508" i="37"/>
  <c r="Q509" i="37"/>
  <c r="N510" i="37"/>
  <c r="K511" i="37"/>
  <c r="S511" i="37"/>
  <c r="P512" i="37"/>
  <c r="P499" i="37"/>
  <c r="M500" i="37"/>
  <c r="J501" i="37"/>
  <c r="R501" i="37"/>
  <c r="O502" i="37"/>
  <c r="L503" i="37"/>
  <c r="T503" i="37"/>
  <c r="Q504" i="37"/>
  <c r="N505" i="37"/>
  <c r="K506" i="37"/>
  <c r="S506" i="37"/>
  <c r="P507" i="37"/>
  <c r="M508" i="37"/>
  <c r="J509" i="37"/>
  <c r="R509" i="37"/>
  <c r="O510" i="37"/>
  <c r="L511" i="37"/>
  <c r="T511" i="37"/>
  <c r="Q512" i="37"/>
  <c r="N499" i="37"/>
  <c r="O500" i="37"/>
  <c r="N501" i="37"/>
  <c r="M502" i="37"/>
  <c r="N503" i="37"/>
  <c r="M504" i="37"/>
  <c r="L505" i="37"/>
  <c r="M506" i="37"/>
  <c r="L507" i="37"/>
  <c r="K508" i="37"/>
  <c r="L509" i="37"/>
  <c r="K510" i="37"/>
  <c r="J511" i="37"/>
  <c r="K512" i="37"/>
  <c r="R499" i="37"/>
  <c r="Q500" i="37"/>
  <c r="P501" i="37"/>
  <c r="Q502" i="37"/>
  <c r="P503" i="37"/>
  <c r="O504" i="37"/>
  <c r="P505" i="37"/>
  <c r="O506" i="37"/>
  <c r="N507" i="37"/>
  <c r="O508" i="37"/>
  <c r="N509" i="37"/>
  <c r="M510" i="37"/>
  <c r="N511" i="37"/>
  <c r="M512" i="37"/>
  <c r="S499" i="37"/>
  <c r="R500" i="37"/>
  <c r="S501" i="37"/>
  <c r="R502" i="37"/>
  <c r="Q503" i="37"/>
  <c r="R504" i="37"/>
  <c r="Q505" i="37"/>
  <c r="P506" i="37"/>
  <c r="Q507" i="37"/>
  <c r="P508" i="37"/>
  <c r="O509" i="37"/>
  <c r="P510" i="37"/>
  <c r="O511" i="37"/>
  <c r="N512" i="37"/>
  <c r="J499" i="37"/>
  <c r="T499" i="37"/>
  <c r="S500" i="37"/>
  <c r="T501" i="37"/>
  <c r="S502" i="37"/>
  <c r="R503" i="37"/>
  <c r="S504" i="37"/>
  <c r="R505" i="37"/>
  <c r="Q506" i="37"/>
  <c r="R507" i="37"/>
  <c r="Q508" i="37"/>
  <c r="P509" i="37"/>
  <c r="Q510" i="37"/>
  <c r="P511" i="37"/>
  <c r="O512" i="37"/>
  <c r="P500" i="37"/>
  <c r="P502" i="37"/>
  <c r="N504" i="37"/>
  <c r="N506" i="37"/>
  <c r="N508" i="37"/>
  <c r="L510" i="37"/>
  <c r="L512" i="37"/>
  <c r="K499" i="37"/>
  <c r="K501" i="37"/>
  <c r="T502" i="37"/>
  <c r="T504" i="37"/>
  <c r="T506" i="37"/>
  <c r="R508" i="37"/>
  <c r="R510" i="37"/>
  <c r="R512" i="37"/>
  <c r="L499" i="37"/>
  <c r="L501" i="37"/>
  <c r="J503" i="37"/>
  <c r="J505" i="37"/>
  <c r="J507" i="37"/>
  <c r="S508" i="37"/>
  <c r="S510" i="37"/>
  <c r="S512" i="37"/>
  <c r="M499" i="37"/>
  <c r="M501" i="37"/>
  <c r="M503" i="37"/>
  <c r="K505" i="37"/>
  <c r="K507" i="37"/>
  <c r="K509" i="37"/>
  <c r="T510" i="37"/>
  <c r="T512" i="37"/>
  <c r="Q499" i="37"/>
  <c r="O501" i="37"/>
  <c r="O503" i="37"/>
  <c r="O505" i="37"/>
  <c r="M507" i="37"/>
  <c r="M509" i="37"/>
  <c r="M511" i="37"/>
  <c r="K500" i="37"/>
  <c r="K502" i="37"/>
  <c r="K504" i="37"/>
  <c r="T505" i="37"/>
  <c r="T507" i="37"/>
  <c r="T509" i="37"/>
  <c r="R511" i="37"/>
  <c r="N500" i="37"/>
  <c r="J508" i="37"/>
  <c r="J502" i="37"/>
  <c r="S509" i="37"/>
  <c r="L502" i="37"/>
  <c r="J510" i="37"/>
  <c r="S507" i="37"/>
  <c r="J504" i="37"/>
  <c r="Q511" i="37"/>
  <c r="L504" i="37"/>
  <c r="J512" i="37"/>
  <c r="S505" i="37"/>
  <c r="L506" i="37"/>
  <c r="J500" i="37"/>
  <c r="N245" i="19"/>
  <c r="K246" i="19"/>
  <c r="S246" i="19"/>
  <c r="P247" i="19"/>
  <c r="M248" i="19"/>
  <c r="J249" i="19"/>
  <c r="R249" i="19"/>
  <c r="O250" i="19"/>
  <c r="L251" i="19"/>
  <c r="T251" i="19"/>
  <c r="Q252" i="19"/>
  <c r="N253" i="19"/>
  <c r="K254" i="19"/>
  <c r="S254" i="19"/>
  <c r="P255" i="19"/>
  <c r="M256" i="19"/>
  <c r="J257" i="19"/>
  <c r="R257" i="19"/>
  <c r="O258" i="19"/>
  <c r="O245" i="19"/>
  <c r="L246" i="19"/>
  <c r="T246" i="19"/>
  <c r="Q247" i="19"/>
  <c r="N248" i="19"/>
  <c r="K249" i="19"/>
  <c r="S249" i="19"/>
  <c r="P250" i="19"/>
  <c r="M251" i="19"/>
  <c r="J252" i="19"/>
  <c r="R252" i="19"/>
  <c r="O253" i="19"/>
  <c r="L254" i="19"/>
  <c r="T254" i="19"/>
  <c r="Q255" i="19"/>
  <c r="N256" i="19"/>
  <c r="K257" i="19"/>
  <c r="S257" i="19"/>
  <c r="P258" i="19"/>
  <c r="P245" i="19"/>
  <c r="M246" i="19"/>
  <c r="J247" i="19"/>
  <c r="R247" i="19"/>
  <c r="O248" i="19"/>
  <c r="L249" i="19"/>
  <c r="T249" i="19"/>
  <c r="Q250" i="19"/>
  <c r="N251" i="19"/>
  <c r="K252" i="19"/>
  <c r="S252" i="19"/>
  <c r="P253" i="19"/>
  <c r="M254" i="19"/>
  <c r="J255" i="19"/>
  <c r="R255" i="19"/>
  <c r="O256" i="19"/>
  <c r="L257" i="19"/>
  <c r="T257" i="19"/>
  <c r="Q258" i="19"/>
  <c r="J245" i="19"/>
  <c r="R245" i="19"/>
  <c r="O246" i="19"/>
  <c r="L247" i="19"/>
  <c r="T247" i="19"/>
  <c r="Q248" i="19"/>
  <c r="N249" i="19"/>
  <c r="K250" i="19"/>
  <c r="S250" i="19"/>
  <c r="P251" i="19"/>
  <c r="M252" i="19"/>
  <c r="J253" i="19"/>
  <c r="R253" i="19"/>
  <c r="O254" i="19"/>
  <c r="L255" i="19"/>
  <c r="T255" i="19"/>
  <c r="Q256" i="19"/>
  <c r="N257" i="19"/>
  <c r="K258" i="19"/>
  <c r="S258" i="19"/>
  <c r="L245" i="19"/>
  <c r="T245" i="19"/>
  <c r="Q246" i="19"/>
  <c r="N247" i="19"/>
  <c r="K248" i="19"/>
  <c r="S248" i="19"/>
  <c r="P249" i="19"/>
  <c r="M250" i="19"/>
  <c r="J251" i="19"/>
  <c r="R251" i="19"/>
  <c r="O252" i="19"/>
  <c r="L253" i="19"/>
  <c r="T253" i="19"/>
  <c r="Q254" i="19"/>
  <c r="N255" i="19"/>
  <c r="K256" i="19"/>
  <c r="S256" i="19"/>
  <c r="P257" i="19"/>
  <c r="M258" i="19"/>
  <c r="J246" i="19"/>
  <c r="J248" i="19"/>
  <c r="J250" i="19"/>
  <c r="S251" i="19"/>
  <c r="S253" i="19"/>
  <c r="S255" i="19"/>
  <c r="Q257" i="19"/>
  <c r="P246" i="19"/>
  <c r="N252" i="19"/>
  <c r="L256" i="19"/>
  <c r="K251" i="19"/>
  <c r="T258" i="19"/>
  <c r="Q251" i="19"/>
  <c r="N246" i="19"/>
  <c r="L248" i="19"/>
  <c r="L250" i="19"/>
  <c r="L252" i="19"/>
  <c r="J254" i="19"/>
  <c r="J256" i="19"/>
  <c r="J258" i="19"/>
  <c r="N250" i="19"/>
  <c r="N254" i="19"/>
  <c r="M245" i="19"/>
  <c r="K255" i="19"/>
  <c r="Q245" i="19"/>
  <c r="M255" i="19"/>
  <c r="Q253" i="19"/>
  <c r="P248" i="19"/>
  <c r="L258" i="19"/>
  <c r="S247" i="19"/>
  <c r="R246" i="19"/>
  <c r="R248" i="19"/>
  <c r="R250" i="19"/>
  <c r="P252" i="19"/>
  <c r="P254" i="19"/>
  <c r="P256" i="19"/>
  <c r="N258" i="19"/>
  <c r="M249" i="19"/>
  <c r="T256" i="19"/>
  <c r="O249" i="19"/>
  <c r="M257" i="19"/>
  <c r="Q249" i="19"/>
  <c r="K245" i="19"/>
  <c r="K247" i="19"/>
  <c r="T248" i="19"/>
  <c r="T250" i="19"/>
  <c r="T252" i="19"/>
  <c r="R254" i="19"/>
  <c r="R256" i="19"/>
  <c r="R258" i="19"/>
  <c r="M247" i="19"/>
  <c r="K253" i="19"/>
  <c r="O247" i="19"/>
  <c r="M253" i="19"/>
  <c r="O255" i="19"/>
  <c r="O251" i="19"/>
  <c r="S245" i="19"/>
  <c r="O257" i="19"/>
  <c r="M520" i="45"/>
  <c r="J521" i="45"/>
  <c r="R521" i="45"/>
  <c r="O522" i="45"/>
  <c r="L523" i="45"/>
  <c r="T523" i="45"/>
  <c r="Q524" i="45"/>
  <c r="N525" i="45"/>
  <c r="K526" i="45"/>
  <c r="S526" i="45"/>
  <c r="P527" i="45"/>
  <c r="M528" i="45"/>
  <c r="J529" i="45"/>
  <c r="R529" i="45"/>
  <c r="O530" i="45"/>
  <c r="L531" i="45"/>
  <c r="T531" i="45"/>
  <c r="Q532" i="45"/>
  <c r="N533" i="45"/>
  <c r="N520" i="45"/>
  <c r="K521" i="45"/>
  <c r="S521" i="45"/>
  <c r="P522" i="45"/>
  <c r="M523" i="45"/>
  <c r="J524" i="45"/>
  <c r="R524" i="45"/>
  <c r="O525" i="45"/>
  <c r="L526" i="45"/>
  <c r="T526" i="45"/>
  <c r="Q527" i="45"/>
  <c r="N528" i="45"/>
  <c r="K529" i="45"/>
  <c r="S529" i="45"/>
  <c r="P530" i="45"/>
  <c r="M531" i="45"/>
  <c r="J532" i="45"/>
  <c r="R532" i="45"/>
  <c r="O533" i="45"/>
  <c r="O520" i="45"/>
  <c r="L521" i="45"/>
  <c r="T521" i="45"/>
  <c r="Q522" i="45"/>
  <c r="N523" i="45"/>
  <c r="K524" i="45"/>
  <c r="S524" i="45"/>
  <c r="P525" i="45"/>
  <c r="M526" i="45"/>
  <c r="J527" i="45"/>
  <c r="R527" i="45"/>
  <c r="O528" i="45"/>
  <c r="L529" i="45"/>
  <c r="T529" i="45"/>
  <c r="Q530" i="45"/>
  <c r="N531" i="45"/>
  <c r="K532" i="45"/>
  <c r="S532" i="45"/>
  <c r="P533" i="45"/>
  <c r="P520" i="45"/>
  <c r="M521" i="45"/>
  <c r="J522" i="45"/>
  <c r="R522" i="45"/>
  <c r="O523" i="45"/>
  <c r="L524" i="45"/>
  <c r="T524" i="45"/>
  <c r="Q525" i="45"/>
  <c r="N526" i="45"/>
  <c r="K527" i="45"/>
  <c r="S527" i="45"/>
  <c r="P528" i="45"/>
  <c r="M529" i="45"/>
  <c r="J530" i="45"/>
  <c r="R530" i="45"/>
  <c r="O531" i="45"/>
  <c r="L532" i="45"/>
  <c r="T532" i="45"/>
  <c r="Q533" i="45"/>
  <c r="Q520" i="45"/>
  <c r="N521" i="45"/>
  <c r="K522" i="45"/>
  <c r="S522" i="45"/>
  <c r="P523" i="45"/>
  <c r="M524" i="45"/>
  <c r="J525" i="45"/>
  <c r="R525" i="45"/>
  <c r="O526" i="45"/>
  <c r="L527" i="45"/>
  <c r="T527" i="45"/>
  <c r="Q528" i="45"/>
  <c r="N529" i="45"/>
  <c r="K530" i="45"/>
  <c r="S530" i="45"/>
  <c r="P531" i="45"/>
  <c r="M532" i="45"/>
  <c r="J533" i="45"/>
  <c r="R533" i="45"/>
  <c r="J520" i="45"/>
  <c r="R520" i="45"/>
  <c r="O521" i="45"/>
  <c r="L522" i="45"/>
  <c r="T522" i="45"/>
  <c r="Q523" i="45"/>
  <c r="N524" i="45"/>
  <c r="K525" i="45"/>
  <c r="S525" i="45"/>
  <c r="P526" i="45"/>
  <c r="M527" i="45"/>
  <c r="J528" i="45"/>
  <c r="R528" i="45"/>
  <c r="O529" i="45"/>
  <c r="L530" i="45"/>
  <c r="T530" i="45"/>
  <c r="Q531" i="45"/>
  <c r="N532" i="45"/>
  <c r="K533" i="45"/>
  <c r="S533" i="45"/>
  <c r="K520" i="45"/>
  <c r="J523" i="45"/>
  <c r="T525" i="45"/>
  <c r="S528" i="45"/>
  <c r="R531" i="45"/>
  <c r="L520" i="45"/>
  <c r="K523" i="45"/>
  <c r="J526" i="45"/>
  <c r="T528" i="45"/>
  <c r="S531" i="45"/>
  <c r="S520" i="45"/>
  <c r="R523" i="45"/>
  <c r="Q526" i="45"/>
  <c r="P529" i="45"/>
  <c r="O532" i="45"/>
  <c r="T520" i="45"/>
  <c r="S523" i="45"/>
  <c r="R526" i="45"/>
  <c r="Q529" i="45"/>
  <c r="P532" i="45"/>
  <c r="P521" i="45"/>
  <c r="O524" i="45"/>
  <c r="N527" i="45"/>
  <c r="M530" i="45"/>
  <c r="L533" i="45"/>
  <c r="Q521" i="45"/>
  <c r="P524" i="45"/>
  <c r="O527" i="45"/>
  <c r="N530" i="45"/>
  <c r="M533" i="45"/>
  <c r="J531" i="45"/>
  <c r="K531" i="45"/>
  <c r="M522" i="45"/>
  <c r="T533" i="45"/>
  <c r="N522" i="45"/>
  <c r="L525" i="45"/>
  <c r="K528" i="45"/>
  <c r="L528" i="45"/>
  <c r="M525" i="45"/>
  <c r="L224" i="33"/>
  <c r="T224" i="33"/>
  <c r="Q225" i="33"/>
  <c r="N226" i="33"/>
  <c r="K227" i="33"/>
  <c r="S227" i="33"/>
  <c r="P228" i="33"/>
  <c r="M229" i="33"/>
  <c r="J230" i="33"/>
  <c r="R230" i="33"/>
  <c r="O231" i="33"/>
  <c r="L232" i="33"/>
  <c r="T232" i="33"/>
  <c r="Q233" i="33"/>
  <c r="N234" i="33"/>
  <c r="K235" i="33"/>
  <c r="S235" i="33"/>
  <c r="P236" i="33"/>
  <c r="M237" i="33"/>
  <c r="M224" i="33"/>
  <c r="J225" i="33"/>
  <c r="R225" i="33"/>
  <c r="O226" i="33"/>
  <c r="L227" i="33"/>
  <c r="T227" i="33"/>
  <c r="Q228" i="33"/>
  <c r="N229" i="33"/>
  <c r="K230" i="33"/>
  <c r="S230" i="33"/>
  <c r="P231" i="33"/>
  <c r="M232" i="33"/>
  <c r="J233" i="33"/>
  <c r="R233" i="33"/>
  <c r="O234" i="33"/>
  <c r="L235" i="33"/>
  <c r="T235" i="33"/>
  <c r="Q236" i="33"/>
  <c r="N237" i="33"/>
  <c r="N224" i="33"/>
  <c r="K225" i="33"/>
  <c r="S225" i="33"/>
  <c r="P226" i="33"/>
  <c r="M227" i="33"/>
  <c r="J228" i="33"/>
  <c r="R228" i="33"/>
  <c r="O229" i="33"/>
  <c r="L230" i="33"/>
  <c r="T230" i="33"/>
  <c r="Q231" i="33"/>
  <c r="N232" i="33"/>
  <c r="K233" i="33"/>
  <c r="S233" i="33"/>
  <c r="P234" i="33"/>
  <c r="M235" i="33"/>
  <c r="J236" i="33"/>
  <c r="R236" i="33"/>
  <c r="O237" i="33"/>
  <c r="O224" i="33"/>
  <c r="L225" i="33"/>
  <c r="T225" i="33"/>
  <c r="Q226" i="33"/>
  <c r="N227" i="33"/>
  <c r="K228" i="33"/>
  <c r="S228" i="33"/>
  <c r="P229" i="33"/>
  <c r="M230" i="33"/>
  <c r="J231" i="33"/>
  <c r="R231" i="33"/>
  <c r="O232" i="33"/>
  <c r="L233" i="33"/>
  <c r="T233" i="33"/>
  <c r="Q234" i="33"/>
  <c r="N235" i="33"/>
  <c r="K236" i="33"/>
  <c r="S236" i="33"/>
  <c r="P237" i="33"/>
  <c r="P224" i="33"/>
  <c r="M225" i="33"/>
  <c r="J226" i="33"/>
  <c r="R226" i="33"/>
  <c r="O227" i="33"/>
  <c r="L228" i="33"/>
  <c r="T228" i="33"/>
  <c r="Q229" i="33"/>
  <c r="N230" i="33"/>
  <c r="K231" i="33"/>
  <c r="S231" i="33"/>
  <c r="P232" i="33"/>
  <c r="M233" i="33"/>
  <c r="J234" i="33"/>
  <c r="R234" i="33"/>
  <c r="O235" i="33"/>
  <c r="L236" i="33"/>
  <c r="T236" i="33"/>
  <c r="Q237" i="33"/>
  <c r="J224" i="33"/>
  <c r="R224" i="33"/>
  <c r="O225" i="33"/>
  <c r="L226" i="33"/>
  <c r="T226" i="33"/>
  <c r="Q227" i="33"/>
  <c r="N228" i="33"/>
  <c r="K229" i="33"/>
  <c r="S229" i="33"/>
  <c r="P230" i="33"/>
  <c r="M231" i="33"/>
  <c r="J232" i="33"/>
  <c r="R232" i="33"/>
  <c r="O233" i="33"/>
  <c r="L234" i="33"/>
  <c r="T234" i="33"/>
  <c r="Q235" i="33"/>
  <c r="N236" i="33"/>
  <c r="K237" i="33"/>
  <c r="S237" i="33"/>
  <c r="S224" i="33"/>
  <c r="R227" i="33"/>
  <c r="Q230" i="33"/>
  <c r="P233" i="33"/>
  <c r="O236" i="33"/>
  <c r="N225" i="33"/>
  <c r="M228" i="33"/>
  <c r="L231" i="33"/>
  <c r="K234" i="33"/>
  <c r="J237" i="33"/>
  <c r="R235" i="33"/>
  <c r="M236" i="33"/>
  <c r="P225" i="33"/>
  <c r="O228" i="33"/>
  <c r="N231" i="33"/>
  <c r="M234" i="33"/>
  <c r="L237" i="33"/>
  <c r="Q224" i="33"/>
  <c r="K226" i="33"/>
  <c r="J229" i="33"/>
  <c r="T231" i="33"/>
  <c r="S234" i="33"/>
  <c r="R237" i="33"/>
  <c r="O230" i="33"/>
  <c r="M226" i="33"/>
  <c r="L229" i="33"/>
  <c r="K232" i="33"/>
  <c r="J235" i="33"/>
  <c r="T237" i="33"/>
  <c r="S226" i="33"/>
  <c r="R229" i="33"/>
  <c r="Q232" i="33"/>
  <c r="P235" i="33"/>
  <c r="S232" i="33"/>
  <c r="N233" i="33"/>
  <c r="K224" i="33"/>
  <c r="J227" i="33"/>
  <c r="T229" i="33"/>
  <c r="P227" i="33"/>
  <c r="J576" i="53"/>
  <c r="R576" i="53"/>
  <c r="O577" i="53"/>
  <c r="L578" i="53"/>
  <c r="T578" i="53"/>
  <c r="Q579" i="53"/>
  <c r="N580" i="53"/>
  <c r="K581" i="53"/>
  <c r="S581" i="53"/>
  <c r="P582" i="53"/>
  <c r="M583" i="53"/>
  <c r="J584" i="53"/>
  <c r="R584" i="53"/>
  <c r="O585" i="53"/>
  <c r="L586" i="53"/>
  <c r="T586" i="53"/>
  <c r="Q587" i="53"/>
  <c r="N588" i="53"/>
  <c r="K576" i="53"/>
  <c r="S576" i="53"/>
  <c r="P577" i="53"/>
  <c r="M578" i="53"/>
  <c r="J579" i="53"/>
  <c r="R579" i="53"/>
  <c r="O580" i="53"/>
  <c r="L581" i="53"/>
  <c r="T581" i="53"/>
  <c r="Q582" i="53"/>
  <c r="N583" i="53"/>
  <c r="L576" i="53"/>
  <c r="T576" i="53"/>
  <c r="Q577" i="53"/>
  <c r="N578" i="53"/>
  <c r="K579" i="53"/>
  <c r="S579" i="53"/>
  <c r="P580" i="53"/>
  <c r="M581" i="53"/>
  <c r="J582" i="53"/>
  <c r="R582" i="53"/>
  <c r="O583" i="53"/>
  <c r="L584" i="53"/>
  <c r="T584" i="53"/>
  <c r="Q585" i="53"/>
  <c r="N586" i="53"/>
  <c r="K587" i="53"/>
  <c r="S587" i="53"/>
  <c r="M576" i="53"/>
  <c r="J577" i="53"/>
  <c r="R577" i="53"/>
  <c r="O578" i="53"/>
  <c r="L579" i="53"/>
  <c r="T579" i="53"/>
  <c r="Q580" i="53"/>
  <c r="N581" i="53"/>
  <c r="K582" i="53"/>
  <c r="S582" i="53"/>
  <c r="P583" i="53"/>
  <c r="M584" i="53"/>
  <c r="J585" i="53"/>
  <c r="R585" i="53"/>
  <c r="N576" i="53"/>
  <c r="K577" i="53"/>
  <c r="O576" i="53"/>
  <c r="L577" i="53"/>
  <c r="Q578" i="53"/>
  <c r="K580" i="53"/>
  <c r="P581" i="53"/>
  <c r="J583" i="53"/>
  <c r="N584" i="53"/>
  <c r="N585" i="53"/>
  <c r="P586" i="53"/>
  <c r="O587" i="53"/>
  <c r="O588" i="53"/>
  <c r="L589" i="53"/>
  <c r="T589" i="53"/>
  <c r="M577" i="53"/>
  <c r="R578" i="53"/>
  <c r="L580" i="53"/>
  <c r="Q581" i="53"/>
  <c r="K583" i="53"/>
  <c r="O584" i="53"/>
  <c r="P585" i="53"/>
  <c r="Q586" i="53"/>
  <c r="P587" i="53"/>
  <c r="P588" i="53"/>
  <c r="M589" i="53"/>
  <c r="N577" i="53"/>
  <c r="S578" i="53"/>
  <c r="M580" i="53"/>
  <c r="R581" i="53"/>
  <c r="L583" i="53"/>
  <c r="P584" i="53"/>
  <c r="S585" i="53"/>
  <c r="R586" i="53"/>
  <c r="R587" i="53"/>
  <c r="Q588" i="53"/>
  <c r="N589" i="53"/>
  <c r="S577" i="53"/>
  <c r="M579" i="53"/>
  <c r="R580" i="53"/>
  <c r="L582" i="53"/>
  <c r="Q583" i="53"/>
  <c r="Q584" i="53"/>
  <c r="T585" i="53"/>
  <c r="S586" i="53"/>
  <c r="T587" i="53"/>
  <c r="R588" i="53"/>
  <c r="O589" i="53"/>
  <c r="T577" i="53"/>
  <c r="N579" i="53"/>
  <c r="S580" i="53"/>
  <c r="M582" i="53"/>
  <c r="R583" i="53"/>
  <c r="S584" i="53"/>
  <c r="J586" i="53"/>
  <c r="J587" i="53"/>
  <c r="J588" i="53"/>
  <c r="S588" i="53"/>
  <c r="P589" i="53"/>
  <c r="P576" i="53"/>
  <c r="K578" i="53"/>
  <c r="P579" i="53"/>
  <c r="J581" i="53"/>
  <c r="O582" i="53"/>
  <c r="T583" i="53"/>
  <c r="L585" i="53"/>
  <c r="M586" i="53"/>
  <c r="M587" i="53"/>
  <c r="L588" i="53"/>
  <c r="J589" i="53"/>
  <c r="R589" i="53"/>
  <c r="T580" i="53"/>
  <c r="K586" i="53"/>
  <c r="Q589" i="53"/>
  <c r="O581" i="53"/>
  <c r="O586" i="53"/>
  <c r="S589" i="53"/>
  <c r="N582" i="53"/>
  <c r="L587" i="53"/>
  <c r="Q576" i="53"/>
  <c r="T582" i="53"/>
  <c r="N587" i="53"/>
  <c r="J578" i="53"/>
  <c r="S583" i="53"/>
  <c r="K588" i="53"/>
  <c r="P578" i="53"/>
  <c r="K584" i="53"/>
  <c r="M588" i="53"/>
  <c r="O579" i="53"/>
  <c r="J580" i="53"/>
  <c r="K585" i="53"/>
  <c r="M585" i="53"/>
  <c r="T588" i="53"/>
  <c r="K589" i="53"/>
  <c r="K486" i="61"/>
  <c r="S486" i="61"/>
  <c r="P487" i="61"/>
  <c r="M488" i="61"/>
  <c r="J489" i="61"/>
  <c r="R489" i="61"/>
  <c r="O490" i="61"/>
  <c r="L491" i="61"/>
  <c r="T491" i="61"/>
  <c r="Q492" i="61"/>
  <c r="N493" i="61"/>
  <c r="K494" i="61"/>
  <c r="S494" i="61"/>
  <c r="P495" i="61"/>
  <c r="M496" i="61"/>
  <c r="L486" i="61"/>
  <c r="T486" i="61"/>
  <c r="Q487" i="61"/>
  <c r="N488" i="61"/>
  <c r="K489" i="61"/>
  <c r="S489" i="61"/>
  <c r="P490" i="61"/>
  <c r="M491" i="61"/>
  <c r="J492" i="61"/>
  <c r="R492" i="61"/>
  <c r="O493" i="61"/>
  <c r="L494" i="61"/>
  <c r="M486" i="61"/>
  <c r="J487" i="61"/>
  <c r="R487" i="61"/>
  <c r="O488" i="61"/>
  <c r="L489" i="61"/>
  <c r="T489" i="61"/>
  <c r="Q490" i="61"/>
  <c r="N491" i="61"/>
  <c r="K492" i="61"/>
  <c r="S492" i="61"/>
  <c r="P493" i="61"/>
  <c r="M494" i="61"/>
  <c r="J495" i="61"/>
  <c r="R495" i="61"/>
  <c r="N486" i="61"/>
  <c r="K487" i="61"/>
  <c r="Q486" i="61"/>
  <c r="N487" i="61"/>
  <c r="K488" i="61"/>
  <c r="S488" i="61"/>
  <c r="P489" i="61"/>
  <c r="M490" i="61"/>
  <c r="J491" i="61"/>
  <c r="R491" i="61"/>
  <c r="O492" i="61"/>
  <c r="L493" i="61"/>
  <c r="O486" i="61"/>
  <c r="J488" i="61"/>
  <c r="O489" i="61"/>
  <c r="T490" i="61"/>
  <c r="N492" i="61"/>
  <c r="S493" i="61"/>
  <c r="T494" i="61"/>
  <c r="T495" i="61"/>
  <c r="R496" i="61"/>
  <c r="O497" i="61"/>
  <c r="L498" i="61"/>
  <c r="T498" i="61"/>
  <c r="Q499" i="61"/>
  <c r="P486" i="61"/>
  <c r="L488" i="61"/>
  <c r="Q489" i="61"/>
  <c r="K491" i="61"/>
  <c r="P492" i="61"/>
  <c r="T493" i="61"/>
  <c r="K495" i="61"/>
  <c r="J496" i="61"/>
  <c r="S496" i="61"/>
  <c r="P497" i="61"/>
  <c r="M498" i="61"/>
  <c r="J499" i="61"/>
  <c r="R499" i="61"/>
  <c r="R486" i="61"/>
  <c r="P488" i="61"/>
  <c r="J490" i="61"/>
  <c r="O491" i="61"/>
  <c r="T492" i="61"/>
  <c r="J494" i="61"/>
  <c r="L495" i="61"/>
  <c r="K496" i="61"/>
  <c r="T496" i="61"/>
  <c r="Q497" i="61"/>
  <c r="N498" i="61"/>
  <c r="K499" i="61"/>
  <c r="S499" i="61"/>
  <c r="L487" i="61"/>
  <c r="Q488" i="61"/>
  <c r="K490" i="61"/>
  <c r="P491" i="61"/>
  <c r="J493" i="61"/>
  <c r="N494" i="61"/>
  <c r="M495" i="61"/>
  <c r="L496" i="61"/>
  <c r="J497" i="61"/>
  <c r="R497" i="61"/>
  <c r="O498" i="61"/>
  <c r="L499" i="61"/>
  <c r="T499" i="61"/>
  <c r="M487" i="61"/>
  <c r="R488" i="61"/>
  <c r="L490" i="61"/>
  <c r="Q491" i="61"/>
  <c r="K493" i="61"/>
  <c r="O494" i="61"/>
  <c r="N495" i="61"/>
  <c r="N496" i="61"/>
  <c r="K497" i="61"/>
  <c r="S497" i="61"/>
  <c r="P498" i="61"/>
  <c r="M499" i="61"/>
  <c r="O487" i="61"/>
  <c r="T488" i="61"/>
  <c r="N490" i="61"/>
  <c r="S491" i="61"/>
  <c r="M493" i="61"/>
  <c r="P494" i="61"/>
  <c r="O495" i="61"/>
  <c r="O496" i="61"/>
  <c r="L497" i="61"/>
  <c r="T497" i="61"/>
  <c r="Q498" i="61"/>
  <c r="N499" i="61"/>
  <c r="S487" i="61"/>
  <c r="Q493" i="61"/>
  <c r="M497" i="61"/>
  <c r="T487" i="61"/>
  <c r="R493" i="61"/>
  <c r="N497" i="61"/>
  <c r="M489" i="61"/>
  <c r="Q494" i="61"/>
  <c r="J498" i="61"/>
  <c r="N489" i="61"/>
  <c r="R494" i="61"/>
  <c r="K498" i="61"/>
  <c r="R490" i="61"/>
  <c r="Q495" i="61"/>
  <c r="R498" i="61"/>
  <c r="L492" i="61"/>
  <c r="P496" i="61"/>
  <c r="O499" i="61"/>
  <c r="J486" i="61"/>
  <c r="S490" i="61"/>
  <c r="M492" i="61"/>
  <c r="S495" i="61"/>
  <c r="Q496" i="61"/>
  <c r="S498" i="61"/>
  <c r="P499" i="61"/>
  <c r="L479" i="69"/>
  <c r="T479" i="69"/>
  <c r="Q480" i="69"/>
  <c r="N481" i="69"/>
  <c r="K482" i="69"/>
  <c r="S482" i="69"/>
  <c r="P483" i="69"/>
  <c r="M484" i="69"/>
  <c r="J485" i="69"/>
  <c r="R485" i="69"/>
  <c r="O486" i="69"/>
  <c r="L487" i="69"/>
  <c r="T487" i="69"/>
  <c r="Q488" i="69"/>
  <c r="N489" i="69"/>
  <c r="K490" i="69"/>
  <c r="S490" i="69"/>
  <c r="P491" i="69"/>
  <c r="M492" i="69"/>
  <c r="N479" i="69"/>
  <c r="K480" i="69"/>
  <c r="S480" i="69"/>
  <c r="P481" i="69"/>
  <c r="M482" i="69"/>
  <c r="J483" i="69"/>
  <c r="R483" i="69"/>
  <c r="O484" i="69"/>
  <c r="L485" i="69"/>
  <c r="T485" i="69"/>
  <c r="Q486" i="69"/>
  <c r="N487" i="69"/>
  <c r="K488" i="69"/>
  <c r="S488" i="69"/>
  <c r="P489" i="69"/>
  <c r="M490" i="69"/>
  <c r="J491" i="69"/>
  <c r="R491" i="69"/>
  <c r="O492" i="69"/>
  <c r="O479" i="69"/>
  <c r="L480" i="69"/>
  <c r="T480" i="69"/>
  <c r="Q481" i="69"/>
  <c r="N482" i="69"/>
  <c r="K483" i="69"/>
  <c r="S483" i="69"/>
  <c r="P484" i="69"/>
  <c r="M485" i="69"/>
  <c r="J486" i="69"/>
  <c r="R486" i="69"/>
  <c r="O487" i="69"/>
  <c r="L488" i="69"/>
  <c r="T488" i="69"/>
  <c r="Q489" i="69"/>
  <c r="N490" i="69"/>
  <c r="K491" i="69"/>
  <c r="S491" i="69"/>
  <c r="P492" i="69"/>
  <c r="P479" i="69"/>
  <c r="M480" i="69"/>
  <c r="J481" i="69"/>
  <c r="R481" i="69"/>
  <c r="O482" i="69"/>
  <c r="L483" i="69"/>
  <c r="T483" i="69"/>
  <c r="Q484" i="69"/>
  <c r="N485" i="69"/>
  <c r="K486" i="69"/>
  <c r="S486" i="69"/>
  <c r="P487" i="69"/>
  <c r="M488" i="69"/>
  <c r="J489" i="69"/>
  <c r="R489" i="69"/>
  <c r="O490" i="69"/>
  <c r="L491" i="69"/>
  <c r="T491" i="69"/>
  <c r="Q492" i="69"/>
  <c r="J479" i="69"/>
  <c r="R479" i="69"/>
  <c r="O480" i="69"/>
  <c r="L481" i="69"/>
  <c r="T481" i="69"/>
  <c r="Q482" i="69"/>
  <c r="N483" i="69"/>
  <c r="K484" i="69"/>
  <c r="S484" i="69"/>
  <c r="P485" i="69"/>
  <c r="M486" i="69"/>
  <c r="J487" i="69"/>
  <c r="R487" i="69"/>
  <c r="O488" i="69"/>
  <c r="L489" i="69"/>
  <c r="T489" i="69"/>
  <c r="Q490" i="69"/>
  <c r="N491" i="69"/>
  <c r="K492" i="69"/>
  <c r="S492" i="69"/>
  <c r="P480" i="69"/>
  <c r="P482" i="69"/>
  <c r="N484" i="69"/>
  <c r="N486" i="69"/>
  <c r="N488" i="69"/>
  <c r="L490" i="69"/>
  <c r="L492" i="69"/>
  <c r="R480" i="69"/>
  <c r="R482" i="69"/>
  <c r="R484" i="69"/>
  <c r="P486" i="69"/>
  <c r="P488" i="69"/>
  <c r="P490" i="69"/>
  <c r="N492" i="69"/>
  <c r="K479" i="69"/>
  <c r="K481" i="69"/>
  <c r="T482" i="69"/>
  <c r="T484" i="69"/>
  <c r="T486" i="69"/>
  <c r="R488" i="69"/>
  <c r="R490" i="69"/>
  <c r="R492" i="69"/>
  <c r="M479" i="69"/>
  <c r="M481" i="69"/>
  <c r="M483" i="69"/>
  <c r="K485" i="69"/>
  <c r="K487" i="69"/>
  <c r="K489" i="69"/>
  <c r="T490" i="69"/>
  <c r="T492" i="69"/>
  <c r="Q479" i="69"/>
  <c r="O481" i="69"/>
  <c r="O483" i="69"/>
  <c r="O485" i="69"/>
  <c r="M487" i="69"/>
  <c r="M489" i="69"/>
  <c r="M491" i="69"/>
  <c r="J480" i="69"/>
  <c r="J482" i="69"/>
  <c r="J484" i="69"/>
  <c r="S485" i="69"/>
  <c r="S487" i="69"/>
  <c r="S489" i="69"/>
  <c r="Q491" i="69"/>
  <c r="Q485" i="69"/>
  <c r="L486" i="69"/>
  <c r="S479" i="69"/>
  <c r="Q487" i="69"/>
  <c r="N480" i="69"/>
  <c r="J488" i="69"/>
  <c r="S481" i="69"/>
  <c r="O489" i="69"/>
  <c r="L482" i="69"/>
  <c r="J490" i="69"/>
  <c r="Q483" i="69"/>
  <c r="O491" i="69"/>
  <c r="L484" i="69"/>
  <c r="J492" i="69"/>
  <c r="N747" i="69"/>
  <c r="K748" i="69"/>
  <c r="S748" i="69"/>
  <c r="P749" i="69"/>
  <c r="M750" i="69"/>
  <c r="J751" i="69"/>
  <c r="R751" i="69"/>
  <c r="O752" i="69"/>
  <c r="L753" i="69"/>
  <c r="T753" i="69"/>
  <c r="Q754" i="69"/>
  <c r="N755" i="69"/>
  <c r="K756" i="69"/>
  <c r="S756" i="69"/>
  <c r="P757" i="69"/>
  <c r="M758" i="69"/>
  <c r="J759" i="69"/>
  <c r="R759" i="69"/>
  <c r="O760" i="69"/>
  <c r="O747" i="69"/>
  <c r="L748" i="69"/>
  <c r="T748" i="69"/>
  <c r="Q749" i="69"/>
  <c r="N750" i="69"/>
  <c r="K751" i="69"/>
  <c r="S751" i="69"/>
  <c r="P752" i="69"/>
  <c r="M753" i="69"/>
  <c r="J754" i="69"/>
  <c r="R754" i="69"/>
  <c r="P747" i="69"/>
  <c r="M748" i="69"/>
  <c r="J749" i="69"/>
  <c r="R749" i="69"/>
  <c r="O750" i="69"/>
  <c r="L751" i="69"/>
  <c r="T751" i="69"/>
  <c r="Q752" i="69"/>
  <c r="N753" i="69"/>
  <c r="K754" i="69"/>
  <c r="S754" i="69"/>
  <c r="P755" i="69"/>
  <c r="M756" i="69"/>
  <c r="J757" i="69"/>
  <c r="R757" i="69"/>
  <c r="O758" i="69"/>
  <c r="L759" i="69"/>
  <c r="T759" i="69"/>
  <c r="Q760" i="69"/>
  <c r="Q747" i="69"/>
  <c r="N748" i="69"/>
  <c r="K749" i="69"/>
  <c r="S749" i="69"/>
  <c r="P750" i="69"/>
  <c r="M751" i="69"/>
  <c r="J752" i="69"/>
  <c r="R752" i="69"/>
  <c r="O753" i="69"/>
  <c r="L754" i="69"/>
  <c r="T754" i="69"/>
  <c r="Q755" i="69"/>
  <c r="N756" i="69"/>
  <c r="K757" i="69"/>
  <c r="S757" i="69"/>
  <c r="P758" i="69"/>
  <c r="M759" i="69"/>
  <c r="J760" i="69"/>
  <c r="R760" i="69"/>
  <c r="J747" i="69"/>
  <c r="R747" i="69"/>
  <c r="O748" i="69"/>
  <c r="L749" i="69"/>
  <c r="T749" i="69"/>
  <c r="Q750" i="69"/>
  <c r="N751" i="69"/>
  <c r="K752" i="69"/>
  <c r="S752" i="69"/>
  <c r="P753" i="69"/>
  <c r="M754" i="69"/>
  <c r="J755" i="69"/>
  <c r="R755" i="69"/>
  <c r="O756" i="69"/>
  <c r="L757" i="69"/>
  <c r="T757" i="69"/>
  <c r="Q758" i="69"/>
  <c r="N759" i="69"/>
  <c r="K760" i="69"/>
  <c r="S760" i="69"/>
  <c r="K747" i="69"/>
  <c r="S747" i="69"/>
  <c r="P748" i="69"/>
  <c r="M749" i="69"/>
  <c r="J750" i="69"/>
  <c r="R750" i="69"/>
  <c r="O751" i="69"/>
  <c r="L752" i="69"/>
  <c r="T752" i="69"/>
  <c r="Q753" i="69"/>
  <c r="N754" i="69"/>
  <c r="L747" i="69"/>
  <c r="T747" i="69"/>
  <c r="Q748" i="69"/>
  <c r="N749" i="69"/>
  <c r="K750" i="69"/>
  <c r="S750" i="69"/>
  <c r="P751" i="69"/>
  <c r="M752" i="69"/>
  <c r="J753" i="69"/>
  <c r="R753" i="69"/>
  <c r="O754" i="69"/>
  <c r="L755" i="69"/>
  <c r="T755" i="69"/>
  <c r="Q756" i="69"/>
  <c r="N757" i="69"/>
  <c r="K758" i="69"/>
  <c r="S758" i="69"/>
  <c r="P759" i="69"/>
  <c r="M760" i="69"/>
  <c r="R748" i="69"/>
  <c r="P754" i="69"/>
  <c r="R756" i="69"/>
  <c r="R758" i="69"/>
  <c r="P760" i="69"/>
  <c r="O749" i="69"/>
  <c r="K755" i="69"/>
  <c r="T756" i="69"/>
  <c r="T758" i="69"/>
  <c r="T760" i="69"/>
  <c r="L750" i="69"/>
  <c r="M755" i="69"/>
  <c r="M757" i="69"/>
  <c r="K759" i="69"/>
  <c r="T750" i="69"/>
  <c r="O755" i="69"/>
  <c r="O757" i="69"/>
  <c r="O759" i="69"/>
  <c r="Q751" i="69"/>
  <c r="S755" i="69"/>
  <c r="Q757" i="69"/>
  <c r="Q759" i="69"/>
  <c r="M747" i="69"/>
  <c r="K753" i="69"/>
  <c r="L756" i="69"/>
  <c r="L758" i="69"/>
  <c r="L760" i="69"/>
  <c r="S759" i="69"/>
  <c r="J748" i="69"/>
  <c r="N760" i="69"/>
  <c r="N752" i="69"/>
  <c r="S753" i="69"/>
  <c r="J756" i="69"/>
  <c r="P756" i="69"/>
  <c r="J758" i="69"/>
  <c r="N758" i="69"/>
  <c r="O996" i="61"/>
  <c r="L997" i="61"/>
  <c r="T997" i="61"/>
  <c r="Q998" i="61"/>
  <c r="N999" i="61"/>
  <c r="K1000" i="61"/>
  <c r="S1000" i="61"/>
  <c r="P1001" i="61"/>
  <c r="M1002" i="61"/>
  <c r="J1003" i="61"/>
  <c r="R1003" i="61"/>
  <c r="O1004" i="61"/>
  <c r="L1005" i="61"/>
  <c r="T1005" i="61"/>
  <c r="Q1006" i="61"/>
  <c r="N1007" i="61"/>
  <c r="K1008" i="61"/>
  <c r="S1008" i="61"/>
  <c r="P1009" i="61"/>
  <c r="P996" i="61"/>
  <c r="M997" i="61"/>
  <c r="J998" i="61"/>
  <c r="R998" i="61"/>
  <c r="O999" i="61"/>
  <c r="L1000" i="61"/>
  <c r="T1000" i="61"/>
  <c r="Q1001" i="61"/>
  <c r="N1002" i="61"/>
  <c r="K1003" i="61"/>
  <c r="S1003" i="61"/>
  <c r="P1004" i="61"/>
  <c r="M1005" i="61"/>
  <c r="J1006" i="61"/>
  <c r="R1006" i="61"/>
  <c r="O1007" i="61"/>
  <c r="L1008" i="61"/>
  <c r="T1008" i="61"/>
  <c r="Q1009" i="61"/>
  <c r="Q996" i="61"/>
  <c r="N997" i="61"/>
  <c r="K998" i="61"/>
  <c r="S998" i="61"/>
  <c r="P999" i="61"/>
  <c r="M1000" i="61"/>
  <c r="J1001" i="61"/>
  <c r="R1001" i="61"/>
  <c r="O1002" i="61"/>
  <c r="L1003" i="61"/>
  <c r="T1003" i="61"/>
  <c r="Q1004" i="61"/>
  <c r="N1005" i="61"/>
  <c r="K1006" i="61"/>
  <c r="S1006" i="61"/>
  <c r="P1007" i="61"/>
  <c r="M1008" i="61"/>
  <c r="J1009" i="61"/>
  <c r="R1009" i="61"/>
  <c r="J996" i="61"/>
  <c r="R996" i="61"/>
  <c r="O997" i="61"/>
  <c r="L998" i="61"/>
  <c r="T998" i="61"/>
  <c r="Q999" i="61"/>
  <c r="N1000" i="61"/>
  <c r="K1001" i="61"/>
  <c r="S1001" i="61"/>
  <c r="P1002" i="61"/>
  <c r="M1003" i="61"/>
  <c r="J1004" i="61"/>
  <c r="R1004" i="61"/>
  <c r="O1005" i="61"/>
  <c r="L1006" i="61"/>
  <c r="T1006" i="61"/>
  <c r="Q1007" i="61"/>
  <c r="N1008" i="61"/>
  <c r="K1009" i="61"/>
  <c r="S1009" i="61"/>
  <c r="K996" i="61"/>
  <c r="S996" i="61"/>
  <c r="P997" i="61"/>
  <c r="M998" i="61"/>
  <c r="J999" i="61"/>
  <c r="R999" i="61"/>
  <c r="O1000" i="61"/>
  <c r="L1001" i="61"/>
  <c r="T1001" i="61"/>
  <c r="Q1002" i="61"/>
  <c r="N1003" i="61"/>
  <c r="K1004" i="61"/>
  <c r="S1004" i="61"/>
  <c r="P1005" i="61"/>
  <c r="M1006" i="61"/>
  <c r="J1007" i="61"/>
  <c r="R1007" i="61"/>
  <c r="O1008" i="61"/>
  <c r="L1009" i="61"/>
  <c r="T1009" i="61"/>
  <c r="M996" i="61"/>
  <c r="J997" i="61"/>
  <c r="R997" i="61"/>
  <c r="O998" i="61"/>
  <c r="L999" i="61"/>
  <c r="T999" i="61"/>
  <c r="Q1000" i="61"/>
  <c r="N1001" i="61"/>
  <c r="K1002" i="61"/>
  <c r="S1002" i="61"/>
  <c r="P1003" i="61"/>
  <c r="M1004" i="61"/>
  <c r="J1005" i="61"/>
  <c r="R1005" i="61"/>
  <c r="O1006" i="61"/>
  <c r="L1007" i="61"/>
  <c r="T1007" i="61"/>
  <c r="Q1008" i="61"/>
  <c r="N1009" i="61"/>
  <c r="L996" i="61"/>
  <c r="K999" i="61"/>
  <c r="J1002" i="61"/>
  <c r="T1004" i="61"/>
  <c r="S1007" i="61"/>
  <c r="N996" i="61"/>
  <c r="M999" i="61"/>
  <c r="L1002" i="61"/>
  <c r="K1005" i="61"/>
  <c r="J1008" i="61"/>
  <c r="T996" i="61"/>
  <c r="S999" i="61"/>
  <c r="R1002" i="61"/>
  <c r="Q1005" i="61"/>
  <c r="P1008" i="61"/>
  <c r="K997" i="61"/>
  <c r="J1000" i="61"/>
  <c r="T1002" i="61"/>
  <c r="S1005" i="61"/>
  <c r="R1008" i="61"/>
  <c r="Q997" i="61"/>
  <c r="P1000" i="61"/>
  <c r="O1003" i="61"/>
  <c r="N1006" i="61"/>
  <c r="M1009" i="61"/>
  <c r="S997" i="61"/>
  <c r="R1000" i="61"/>
  <c r="Q1003" i="61"/>
  <c r="P1006" i="61"/>
  <c r="O1009" i="61"/>
  <c r="N998" i="61"/>
  <c r="P998" i="61"/>
  <c r="M1001" i="61"/>
  <c r="O1001" i="61"/>
  <c r="L1004" i="61"/>
  <c r="K1007" i="61"/>
  <c r="N1004" i="61"/>
  <c r="M1007" i="61"/>
  <c r="N541" i="57"/>
  <c r="K542" i="57"/>
  <c r="S542" i="57"/>
  <c r="P543" i="57"/>
  <c r="M544" i="57"/>
  <c r="J545" i="57"/>
  <c r="R545" i="57"/>
  <c r="O546" i="57"/>
  <c r="L547" i="57"/>
  <c r="T547" i="57"/>
  <c r="Q548" i="57"/>
  <c r="N549" i="57"/>
  <c r="K550" i="57"/>
  <c r="S550" i="57"/>
  <c r="P551" i="57"/>
  <c r="M552" i="57"/>
  <c r="J553" i="57"/>
  <c r="R553" i="57"/>
  <c r="O554" i="57"/>
  <c r="O541" i="57"/>
  <c r="L542" i="57"/>
  <c r="T542" i="57"/>
  <c r="Q543" i="57"/>
  <c r="N544" i="57"/>
  <c r="K545" i="57"/>
  <c r="S545" i="57"/>
  <c r="P546" i="57"/>
  <c r="M547" i="57"/>
  <c r="J548" i="57"/>
  <c r="R548" i="57"/>
  <c r="O549" i="57"/>
  <c r="L550" i="57"/>
  <c r="T550" i="57"/>
  <c r="Q551" i="57"/>
  <c r="N552" i="57"/>
  <c r="K553" i="57"/>
  <c r="S553" i="57"/>
  <c r="P554" i="57"/>
  <c r="P541" i="57"/>
  <c r="M542" i="57"/>
  <c r="J543" i="57"/>
  <c r="R543" i="57"/>
  <c r="O544" i="57"/>
  <c r="L545" i="57"/>
  <c r="T545" i="57"/>
  <c r="Q546" i="57"/>
  <c r="N547" i="57"/>
  <c r="K548" i="57"/>
  <c r="S548" i="57"/>
  <c r="P549" i="57"/>
  <c r="M550" i="57"/>
  <c r="J551" i="57"/>
  <c r="R551" i="57"/>
  <c r="O552" i="57"/>
  <c r="L553" i="57"/>
  <c r="T553" i="57"/>
  <c r="Q554" i="57"/>
  <c r="Q541" i="57"/>
  <c r="N542" i="57"/>
  <c r="K543" i="57"/>
  <c r="S543" i="57"/>
  <c r="P544" i="57"/>
  <c r="M545" i="57"/>
  <c r="J546" i="57"/>
  <c r="R546" i="57"/>
  <c r="O547" i="57"/>
  <c r="L548" i="57"/>
  <c r="T548" i="57"/>
  <c r="Q549" i="57"/>
  <c r="N550" i="57"/>
  <c r="K551" i="57"/>
  <c r="S551" i="57"/>
  <c r="P552" i="57"/>
  <c r="M553" i="57"/>
  <c r="J554" i="57"/>
  <c r="R554" i="57"/>
  <c r="J541" i="57"/>
  <c r="R541" i="57"/>
  <c r="O542" i="57"/>
  <c r="L543" i="57"/>
  <c r="T543" i="57"/>
  <c r="Q544" i="57"/>
  <c r="N545" i="57"/>
  <c r="K546" i="57"/>
  <c r="S546" i="57"/>
  <c r="P547" i="57"/>
  <c r="M548" i="57"/>
  <c r="J549" i="57"/>
  <c r="R549" i="57"/>
  <c r="O550" i="57"/>
  <c r="L551" i="57"/>
  <c r="T551" i="57"/>
  <c r="Q552" i="57"/>
  <c r="N553" i="57"/>
  <c r="K554" i="57"/>
  <c r="S554" i="57"/>
  <c r="K541" i="57"/>
  <c r="S541" i="57"/>
  <c r="P542" i="57"/>
  <c r="M543" i="57"/>
  <c r="J544" i="57"/>
  <c r="R544" i="57"/>
  <c r="O545" i="57"/>
  <c r="L546" i="57"/>
  <c r="T546" i="57"/>
  <c r="Q547" i="57"/>
  <c r="N548" i="57"/>
  <c r="K549" i="57"/>
  <c r="S549" i="57"/>
  <c r="P550" i="57"/>
  <c r="M551" i="57"/>
  <c r="J552" i="57"/>
  <c r="R552" i="57"/>
  <c r="O553" i="57"/>
  <c r="L554" i="57"/>
  <c r="T554" i="57"/>
  <c r="L541" i="57"/>
  <c r="K544" i="57"/>
  <c r="J547" i="57"/>
  <c r="T549" i="57"/>
  <c r="S552" i="57"/>
  <c r="M541" i="57"/>
  <c r="L544" i="57"/>
  <c r="K547" i="57"/>
  <c r="J550" i="57"/>
  <c r="T552" i="57"/>
  <c r="T541" i="57"/>
  <c r="S544" i="57"/>
  <c r="R547" i="57"/>
  <c r="Q550" i="57"/>
  <c r="P553" i="57"/>
  <c r="J542" i="57"/>
  <c r="T544" i="57"/>
  <c r="S547" i="57"/>
  <c r="R550" i="57"/>
  <c r="Q553" i="57"/>
  <c r="Q542" i="57"/>
  <c r="P545" i="57"/>
  <c r="O548" i="57"/>
  <c r="N551" i="57"/>
  <c r="M554" i="57"/>
  <c r="N543" i="57"/>
  <c r="M546" i="57"/>
  <c r="L549" i="57"/>
  <c r="K552" i="57"/>
  <c r="R542" i="57"/>
  <c r="N554" i="57"/>
  <c r="O543" i="57"/>
  <c r="Q545" i="57"/>
  <c r="N546" i="57"/>
  <c r="P548" i="57"/>
  <c r="M549" i="57"/>
  <c r="O551" i="57"/>
  <c r="L552" i="57"/>
  <c r="Q245" i="41"/>
  <c r="N246" i="41"/>
  <c r="K247" i="41"/>
  <c r="S247" i="41"/>
  <c r="P248" i="41"/>
  <c r="M249" i="41"/>
  <c r="J250" i="41"/>
  <c r="R250" i="41"/>
  <c r="O251" i="41"/>
  <c r="L252" i="41"/>
  <c r="T252" i="41"/>
  <c r="Q253" i="41"/>
  <c r="N254" i="41"/>
  <c r="K255" i="41"/>
  <c r="S255" i="41"/>
  <c r="P256" i="41"/>
  <c r="M257" i="41"/>
  <c r="J258" i="41"/>
  <c r="R258" i="41"/>
  <c r="J245" i="41"/>
  <c r="R245" i="41"/>
  <c r="O246" i="41"/>
  <c r="L247" i="41"/>
  <c r="T247" i="41"/>
  <c r="Q248" i="41"/>
  <c r="N249" i="41"/>
  <c r="K250" i="41"/>
  <c r="S250" i="41"/>
  <c r="P251" i="41"/>
  <c r="M252" i="41"/>
  <c r="J253" i="41"/>
  <c r="R253" i="41"/>
  <c r="O254" i="41"/>
  <c r="L255" i="41"/>
  <c r="T255" i="41"/>
  <c r="Q256" i="41"/>
  <c r="N257" i="41"/>
  <c r="K258" i="41"/>
  <c r="S258" i="41"/>
  <c r="T245" i="41"/>
  <c r="S246" i="41"/>
  <c r="R247" i="41"/>
  <c r="S248" i="41"/>
  <c r="R249" i="41"/>
  <c r="Q250" i="41"/>
  <c r="R251" i="41"/>
  <c r="Q252" i="41"/>
  <c r="P253" i="41"/>
  <c r="Q254" i="41"/>
  <c r="P255" i="41"/>
  <c r="O256" i="41"/>
  <c r="P257" i="41"/>
  <c r="O258" i="41"/>
  <c r="L245" i="41"/>
  <c r="K246" i="41"/>
  <c r="J247" i="41"/>
  <c r="K248" i="41"/>
  <c r="J249" i="41"/>
  <c r="T249" i="41"/>
  <c r="J251" i="41"/>
  <c r="T251" i="41"/>
  <c r="S252" i="41"/>
  <c r="T253" i="41"/>
  <c r="S254" i="41"/>
  <c r="R255" i="41"/>
  <c r="S256" i="41"/>
  <c r="R257" i="41"/>
  <c r="Q258" i="41"/>
  <c r="M245" i="41"/>
  <c r="L246" i="41"/>
  <c r="M247" i="41"/>
  <c r="L248" i="41"/>
  <c r="K249" i="41"/>
  <c r="L250" i="41"/>
  <c r="K251" i="41"/>
  <c r="J252" i="41"/>
  <c r="K253" i="41"/>
  <c r="J254" i="41"/>
  <c r="T254" i="41"/>
  <c r="J256" i="41"/>
  <c r="T256" i="41"/>
  <c r="S257" i="41"/>
  <c r="T258" i="41"/>
  <c r="N245" i="41"/>
  <c r="M246" i="41"/>
  <c r="N247" i="41"/>
  <c r="M248" i="41"/>
  <c r="L249" i="41"/>
  <c r="M250" i="41"/>
  <c r="L251" i="41"/>
  <c r="K252" i="41"/>
  <c r="L253" i="41"/>
  <c r="K254" i="41"/>
  <c r="J255" i="41"/>
  <c r="K256" i="41"/>
  <c r="J257" i="41"/>
  <c r="T257" i="41"/>
  <c r="K245" i="41"/>
  <c r="T246" i="41"/>
  <c r="T248" i="41"/>
  <c r="T250" i="41"/>
  <c r="R252" i="41"/>
  <c r="R254" i="41"/>
  <c r="R256" i="41"/>
  <c r="P258" i="41"/>
  <c r="O245" i="41"/>
  <c r="O247" i="41"/>
  <c r="O249" i="41"/>
  <c r="M251" i="41"/>
  <c r="M253" i="41"/>
  <c r="M255" i="41"/>
  <c r="K257" i="41"/>
  <c r="P245" i="41"/>
  <c r="P247" i="41"/>
  <c r="P249" i="41"/>
  <c r="N251" i="41"/>
  <c r="N253" i="41"/>
  <c r="N255" i="41"/>
  <c r="L257" i="41"/>
  <c r="S245" i="41"/>
  <c r="Q247" i="41"/>
  <c r="Q249" i="41"/>
  <c r="Q251" i="41"/>
  <c r="O253" i="41"/>
  <c r="O255" i="41"/>
  <c r="O257" i="41"/>
  <c r="J246" i="41"/>
  <c r="J248" i="41"/>
  <c r="S249" i="41"/>
  <c r="S251" i="41"/>
  <c r="S253" i="41"/>
  <c r="Q255" i="41"/>
  <c r="Q257" i="41"/>
  <c r="Q246" i="41"/>
  <c r="O248" i="41"/>
  <c r="O250" i="41"/>
  <c r="O252" i="41"/>
  <c r="M254" i="41"/>
  <c r="M256" i="41"/>
  <c r="M258" i="41"/>
  <c r="P252" i="41"/>
  <c r="P246" i="41"/>
  <c r="L254" i="41"/>
  <c r="N252" i="41"/>
  <c r="R246" i="41"/>
  <c r="P254" i="41"/>
  <c r="N248" i="41"/>
  <c r="L256" i="41"/>
  <c r="R248" i="41"/>
  <c r="N256" i="41"/>
  <c r="N250" i="41"/>
  <c r="L258" i="41"/>
  <c r="P250" i="41"/>
  <c r="N258" i="41"/>
  <c r="M517" i="53"/>
  <c r="J518" i="53"/>
  <c r="R518" i="53"/>
  <c r="O519" i="53"/>
  <c r="L520" i="53"/>
  <c r="T520" i="53"/>
  <c r="Q521" i="53"/>
  <c r="N522" i="53"/>
  <c r="K523" i="53"/>
  <c r="S523" i="53"/>
  <c r="P524" i="53"/>
  <c r="M525" i="53"/>
  <c r="J526" i="53"/>
  <c r="R526" i="53"/>
  <c r="O527" i="53"/>
  <c r="L528" i="53"/>
  <c r="T528" i="53"/>
  <c r="Q529" i="53"/>
  <c r="N530" i="53"/>
  <c r="K531" i="53"/>
  <c r="S531" i="53"/>
  <c r="P532" i="53"/>
  <c r="N517" i="53"/>
  <c r="K518" i="53"/>
  <c r="S518" i="53"/>
  <c r="P519" i="53"/>
  <c r="M520" i="53"/>
  <c r="J521" i="53"/>
  <c r="R521" i="53"/>
  <c r="O522" i="53"/>
  <c r="L523" i="53"/>
  <c r="T523" i="53"/>
  <c r="Q524" i="53"/>
  <c r="N525" i="53"/>
  <c r="K526" i="53"/>
  <c r="S526" i="53"/>
  <c r="P527" i="53"/>
  <c r="M528" i="53"/>
  <c r="J529" i="53"/>
  <c r="R529" i="53"/>
  <c r="O530" i="53"/>
  <c r="L531" i="53"/>
  <c r="T531" i="53"/>
  <c r="Q532" i="53"/>
  <c r="O517" i="53"/>
  <c r="L518" i="53"/>
  <c r="T518" i="53"/>
  <c r="Q519" i="53"/>
  <c r="N520" i="53"/>
  <c r="K521" i="53"/>
  <c r="S521" i="53"/>
  <c r="P522" i="53"/>
  <c r="M523" i="53"/>
  <c r="J524" i="53"/>
  <c r="R524" i="53"/>
  <c r="O525" i="53"/>
  <c r="L526" i="53"/>
  <c r="T526" i="53"/>
  <c r="Q527" i="53"/>
  <c r="N528" i="53"/>
  <c r="K529" i="53"/>
  <c r="S529" i="53"/>
  <c r="P530" i="53"/>
  <c r="M531" i="53"/>
  <c r="J532" i="53"/>
  <c r="R532" i="53"/>
  <c r="P517" i="53"/>
  <c r="M518" i="53"/>
  <c r="J519" i="53"/>
  <c r="R519" i="53"/>
  <c r="O520" i="53"/>
  <c r="L521" i="53"/>
  <c r="T521" i="53"/>
  <c r="Q522" i="53"/>
  <c r="N523" i="53"/>
  <c r="K524" i="53"/>
  <c r="S524" i="53"/>
  <c r="P525" i="53"/>
  <c r="M526" i="53"/>
  <c r="J527" i="53"/>
  <c r="R527" i="53"/>
  <c r="O528" i="53"/>
  <c r="L529" i="53"/>
  <c r="T529" i="53"/>
  <c r="Q530" i="53"/>
  <c r="N531" i="53"/>
  <c r="K532" i="53"/>
  <c r="S532" i="53"/>
  <c r="Q517" i="53"/>
  <c r="N518" i="53"/>
  <c r="K519" i="53"/>
  <c r="S519" i="53"/>
  <c r="P520" i="53"/>
  <c r="M521" i="53"/>
  <c r="J522" i="53"/>
  <c r="R522" i="53"/>
  <c r="O523" i="53"/>
  <c r="L524" i="53"/>
  <c r="T524" i="53"/>
  <c r="Q525" i="53"/>
  <c r="N526" i="53"/>
  <c r="K527" i="53"/>
  <c r="S527" i="53"/>
  <c r="P528" i="53"/>
  <c r="M529" i="53"/>
  <c r="J530" i="53"/>
  <c r="R530" i="53"/>
  <c r="O531" i="53"/>
  <c r="L532" i="53"/>
  <c r="T532" i="53"/>
  <c r="J517" i="53"/>
  <c r="R517" i="53"/>
  <c r="O518" i="53"/>
  <c r="L519" i="53"/>
  <c r="T519" i="53"/>
  <c r="Q520" i="53"/>
  <c r="N521" i="53"/>
  <c r="K522" i="53"/>
  <c r="S522" i="53"/>
  <c r="P523" i="53"/>
  <c r="M524" i="53"/>
  <c r="J525" i="53"/>
  <c r="R525" i="53"/>
  <c r="O526" i="53"/>
  <c r="L527" i="53"/>
  <c r="T527" i="53"/>
  <c r="Q528" i="53"/>
  <c r="N529" i="53"/>
  <c r="K530" i="53"/>
  <c r="S530" i="53"/>
  <c r="P531" i="53"/>
  <c r="M532" i="53"/>
  <c r="K517" i="53"/>
  <c r="S517" i="53"/>
  <c r="P518" i="53"/>
  <c r="M519" i="53"/>
  <c r="J520" i="53"/>
  <c r="R520" i="53"/>
  <c r="O521" i="53"/>
  <c r="L522" i="53"/>
  <c r="T522" i="53"/>
  <c r="Q523" i="53"/>
  <c r="N524" i="53"/>
  <c r="K525" i="53"/>
  <c r="S525" i="53"/>
  <c r="P526" i="53"/>
  <c r="M527" i="53"/>
  <c r="J528" i="53"/>
  <c r="R528" i="53"/>
  <c r="O529" i="53"/>
  <c r="L530" i="53"/>
  <c r="T530" i="53"/>
  <c r="Q531" i="53"/>
  <c r="N532" i="53"/>
  <c r="S520" i="53"/>
  <c r="Q526" i="53"/>
  <c r="O532" i="53"/>
  <c r="P521" i="53"/>
  <c r="N527" i="53"/>
  <c r="M522" i="53"/>
  <c r="K528" i="53"/>
  <c r="L517" i="53"/>
  <c r="J523" i="53"/>
  <c r="S528" i="53"/>
  <c r="T517" i="53"/>
  <c r="R523" i="53"/>
  <c r="P529" i="53"/>
  <c r="Q518" i="53"/>
  <c r="O524" i="53"/>
  <c r="M530" i="53"/>
  <c r="N519" i="53"/>
  <c r="L525" i="53"/>
  <c r="J531" i="53"/>
  <c r="K520" i="53"/>
  <c r="T525" i="53"/>
  <c r="R531" i="53"/>
  <c r="K427" i="61"/>
  <c r="S427" i="61"/>
  <c r="P428" i="61"/>
  <c r="M429" i="61"/>
  <c r="J430" i="61"/>
  <c r="R430" i="61"/>
  <c r="O431" i="61"/>
  <c r="L432" i="61"/>
  <c r="T432" i="61"/>
  <c r="Q433" i="61"/>
  <c r="N434" i="61"/>
  <c r="K435" i="61"/>
  <c r="S435" i="61"/>
  <c r="P436" i="61"/>
  <c r="M437" i="61"/>
  <c r="J438" i="61"/>
  <c r="R438" i="61"/>
  <c r="O439" i="61"/>
  <c r="L440" i="61"/>
  <c r="T440" i="61"/>
  <c r="Q441" i="61"/>
  <c r="N442" i="61"/>
  <c r="L427" i="61"/>
  <c r="T427" i="61"/>
  <c r="Q428" i="61"/>
  <c r="N429" i="61"/>
  <c r="K430" i="61"/>
  <c r="S430" i="61"/>
  <c r="P431" i="61"/>
  <c r="M432" i="61"/>
  <c r="J433" i="61"/>
  <c r="R433" i="61"/>
  <c r="O434" i="61"/>
  <c r="L435" i="61"/>
  <c r="M427" i="61"/>
  <c r="J428" i="61"/>
  <c r="R428" i="61"/>
  <c r="O429" i="61"/>
  <c r="L430" i="61"/>
  <c r="T430" i="61"/>
  <c r="Q431" i="61"/>
  <c r="N432" i="61"/>
  <c r="K433" i="61"/>
  <c r="S433" i="61"/>
  <c r="P434" i="61"/>
  <c r="M435" i="61"/>
  <c r="J436" i="61"/>
  <c r="R436" i="61"/>
  <c r="O437" i="61"/>
  <c r="L438" i="61"/>
  <c r="T438" i="61"/>
  <c r="Q439" i="61"/>
  <c r="N440" i="61"/>
  <c r="K441" i="61"/>
  <c r="S441" i="61"/>
  <c r="P442" i="61"/>
  <c r="N427" i="61"/>
  <c r="K428" i="61"/>
  <c r="S428" i="61"/>
  <c r="P429" i="61"/>
  <c r="M430" i="61"/>
  <c r="J431" i="61"/>
  <c r="R431" i="61"/>
  <c r="O432" i="61"/>
  <c r="L433" i="61"/>
  <c r="T433" i="61"/>
  <c r="Q434" i="61"/>
  <c r="N435" i="61"/>
  <c r="K436" i="61"/>
  <c r="S436" i="61"/>
  <c r="P437" i="61"/>
  <c r="M438" i="61"/>
  <c r="J439" i="61"/>
  <c r="R439" i="61"/>
  <c r="O440" i="61"/>
  <c r="L441" i="61"/>
  <c r="T441" i="61"/>
  <c r="Q442" i="61"/>
  <c r="O427" i="61"/>
  <c r="L428" i="61"/>
  <c r="T428" i="61"/>
  <c r="Q429" i="61"/>
  <c r="N430" i="61"/>
  <c r="K431" i="61"/>
  <c r="S431" i="61"/>
  <c r="P432" i="61"/>
  <c r="M433" i="61"/>
  <c r="J434" i="61"/>
  <c r="R434" i="61"/>
  <c r="O435" i="61"/>
  <c r="L436" i="61"/>
  <c r="T436" i="61"/>
  <c r="Q437" i="61"/>
  <c r="N438" i="61"/>
  <c r="K439" i="61"/>
  <c r="S439" i="61"/>
  <c r="P440" i="61"/>
  <c r="M441" i="61"/>
  <c r="J442" i="61"/>
  <c r="R442" i="61"/>
  <c r="P427" i="61"/>
  <c r="M428" i="61"/>
  <c r="J429" i="61"/>
  <c r="R429" i="61"/>
  <c r="O430" i="61"/>
  <c r="L431" i="61"/>
  <c r="T431" i="61"/>
  <c r="Q432" i="61"/>
  <c r="N433" i="61"/>
  <c r="Q427" i="61"/>
  <c r="N428" i="61"/>
  <c r="K429" i="61"/>
  <c r="S429" i="61"/>
  <c r="P430" i="61"/>
  <c r="M431" i="61"/>
  <c r="J432" i="61"/>
  <c r="R432" i="61"/>
  <c r="O433" i="61"/>
  <c r="L434" i="61"/>
  <c r="T434" i="61"/>
  <c r="Q435" i="61"/>
  <c r="N436" i="61"/>
  <c r="K437" i="61"/>
  <c r="S437" i="61"/>
  <c r="P438" i="61"/>
  <c r="M439" i="61"/>
  <c r="J440" i="61"/>
  <c r="R440" i="61"/>
  <c r="O441" i="61"/>
  <c r="L442" i="61"/>
  <c r="T442" i="61"/>
  <c r="J427" i="61"/>
  <c r="R427" i="61"/>
  <c r="O428" i="61"/>
  <c r="L429" i="61"/>
  <c r="T429" i="61"/>
  <c r="Q430" i="61"/>
  <c r="N431" i="61"/>
  <c r="K432" i="61"/>
  <c r="S432" i="61"/>
  <c r="P433" i="61"/>
  <c r="M434" i="61"/>
  <c r="J435" i="61"/>
  <c r="R435" i="61"/>
  <c r="O436" i="61"/>
  <c r="L437" i="61"/>
  <c r="T437" i="61"/>
  <c r="Q438" i="61"/>
  <c r="N439" i="61"/>
  <c r="K440" i="61"/>
  <c r="S440" i="61"/>
  <c r="P441" i="61"/>
  <c r="M442" i="61"/>
  <c r="K434" i="61"/>
  <c r="R437" i="61"/>
  <c r="Q440" i="61"/>
  <c r="S434" i="61"/>
  <c r="K438" i="61"/>
  <c r="J441" i="61"/>
  <c r="P435" i="61"/>
  <c r="O438" i="61"/>
  <c r="N441" i="61"/>
  <c r="T435" i="61"/>
  <c r="S438" i="61"/>
  <c r="R441" i="61"/>
  <c r="M436" i="61"/>
  <c r="L439" i="61"/>
  <c r="K442" i="61"/>
  <c r="Q436" i="61"/>
  <c r="P439" i="61"/>
  <c r="O442" i="61"/>
  <c r="J437" i="61"/>
  <c r="T439" i="61"/>
  <c r="S442" i="61"/>
  <c r="N437" i="61"/>
  <c r="M440" i="61"/>
  <c r="K475" i="41"/>
  <c r="S475" i="41"/>
  <c r="P476" i="41"/>
  <c r="M477" i="41"/>
  <c r="J478" i="41"/>
  <c r="R478" i="41"/>
  <c r="O479" i="41"/>
  <c r="L480" i="41"/>
  <c r="T480" i="41"/>
  <c r="Q481" i="41"/>
  <c r="N482" i="41"/>
  <c r="K483" i="41"/>
  <c r="S483" i="41"/>
  <c r="P484" i="41"/>
  <c r="M485" i="41"/>
  <c r="J486" i="41"/>
  <c r="M475" i="41"/>
  <c r="J476" i="41"/>
  <c r="R476" i="41"/>
  <c r="O477" i="41"/>
  <c r="L478" i="41"/>
  <c r="T478" i="41"/>
  <c r="Q479" i="41"/>
  <c r="N480" i="41"/>
  <c r="K481" i="41"/>
  <c r="S481" i="41"/>
  <c r="P482" i="41"/>
  <c r="M483" i="41"/>
  <c r="J484" i="41"/>
  <c r="R484" i="41"/>
  <c r="O485" i="41"/>
  <c r="L486" i="41"/>
  <c r="T486" i="41"/>
  <c r="Q487" i="41"/>
  <c r="N488" i="41"/>
  <c r="K489" i="41"/>
  <c r="S489" i="41"/>
  <c r="P490" i="41"/>
  <c r="N475" i="41"/>
  <c r="K476" i="41"/>
  <c r="S476" i="41"/>
  <c r="P477" i="41"/>
  <c r="M478" i="41"/>
  <c r="J479" i="41"/>
  <c r="R479" i="41"/>
  <c r="O480" i="41"/>
  <c r="L481" i="41"/>
  <c r="T481" i="41"/>
  <c r="Q482" i="41"/>
  <c r="N483" i="41"/>
  <c r="K484" i="41"/>
  <c r="S484" i="41"/>
  <c r="P485" i="41"/>
  <c r="M486" i="41"/>
  <c r="J487" i="41"/>
  <c r="R487" i="41"/>
  <c r="O488" i="41"/>
  <c r="L489" i="41"/>
  <c r="T489" i="41"/>
  <c r="Q490" i="41"/>
  <c r="O475" i="41"/>
  <c r="L476" i="41"/>
  <c r="T476" i="41"/>
  <c r="Q477" i="41"/>
  <c r="N478" i="41"/>
  <c r="K479" i="41"/>
  <c r="S479" i="41"/>
  <c r="P480" i="41"/>
  <c r="M481" i="41"/>
  <c r="Q475" i="41"/>
  <c r="N476" i="41"/>
  <c r="K477" i="41"/>
  <c r="S477" i="41"/>
  <c r="P478" i="41"/>
  <c r="M479" i="41"/>
  <c r="J480" i="41"/>
  <c r="R480" i="41"/>
  <c r="O481" i="41"/>
  <c r="L482" i="41"/>
  <c r="T482" i="41"/>
  <c r="Q483" i="41"/>
  <c r="N484" i="41"/>
  <c r="K485" i="41"/>
  <c r="S485" i="41"/>
  <c r="P486" i="41"/>
  <c r="M487" i="41"/>
  <c r="J488" i="41"/>
  <c r="R488" i="41"/>
  <c r="O489" i="41"/>
  <c r="L490" i="41"/>
  <c r="T490" i="41"/>
  <c r="J475" i="41"/>
  <c r="R475" i="41"/>
  <c r="O476" i="41"/>
  <c r="L477" i="41"/>
  <c r="T477" i="41"/>
  <c r="Q478" i="41"/>
  <c r="N479" i="41"/>
  <c r="K480" i="41"/>
  <c r="S480" i="41"/>
  <c r="P481" i="41"/>
  <c r="M482" i="41"/>
  <c r="J483" i="41"/>
  <c r="R483" i="41"/>
  <c r="O484" i="41"/>
  <c r="L485" i="41"/>
  <c r="T485" i="41"/>
  <c r="Q486" i="41"/>
  <c r="N487" i="41"/>
  <c r="K488" i="41"/>
  <c r="S488" i="41"/>
  <c r="P489" i="41"/>
  <c r="M490" i="41"/>
  <c r="R477" i="41"/>
  <c r="Q480" i="41"/>
  <c r="S482" i="41"/>
  <c r="T484" i="41"/>
  <c r="R486" i="41"/>
  <c r="L488" i="41"/>
  <c r="Q489" i="41"/>
  <c r="L475" i="41"/>
  <c r="K478" i="41"/>
  <c r="J481" i="41"/>
  <c r="L483" i="41"/>
  <c r="J485" i="41"/>
  <c r="S486" i="41"/>
  <c r="M488" i="41"/>
  <c r="R489" i="41"/>
  <c r="P475" i="41"/>
  <c r="O478" i="41"/>
  <c r="N481" i="41"/>
  <c r="O483" i="41"/>
  <c r="N485" i="41"/>
  <c r="K487" i="41"/>
  <c r="P488" i="41"/>
  <c r="J490" i="41"/>
  <c r="T475" i="41"/>
  <c r="S478" i="41"/>
  <c r="R481" i="41"/>
  <c r="P483" i="41"/>
  <c r="Q485" i="41"/>
  <c r="L487" i="41"/>
  <c r="Q488" i="41"/>
  <c r="K490" i="41"/>
  <c r="M476" i="41"/>
  <c r="L479" i="41"/>
  <c r="J482" i="41"/>
  <c r="T483" i="41"/>
  <c r="R485" i="41"/>
  <c r="O487" i="41"/>
  <c r="T488" i="41"/>
  <c r="N490" i="41"/>
  <c r="Q476" i="41"/>
  <c r="P479" i="41"/>
  <c r="K482" i="41"/>
  <c r="L484" i="41"/>
  <c r="K486" i="41"/>
  <c r="P487" i="41"/>
  <c r="J489" i="41"/>
  <c r="O490" i="41"/>
  <c r="J477" i="41"/>
  <c r="T479" i="41"/>
  <c r="O482" i="41"/>
  <c r="M484" i="41"/>
  <c r="N486" i="41"/>
  <c r="S487" i="41"/>
  <c r="M489" i="41"/>
  <c r="R490" i="41"/>
  <c r="N477" i="41"/>
  <c r="M480" i="41"/>
  <c r="R482" i="41"/>
  <c r="Q484" i="41"/>
  <c r="O486" i="41"/>
  <c r="T487" i="41"/>
  <c r="N489" i="41"/>
  <c r="S490" i="41"/>
  <c r="N461" i="19"/>
  <c r="K462" i="19"/>
  <c r="S462" i="19"/>
  <c r="P463" i="19"/>
  <c r="M464" i="19"/>
  <c r="J465" i="19"/>
  <c r="R465" i="19"/>
  <c r="O466" i="19"/>
  <c r="L467" i="19"/>
  <c r="T467" i="19"/>
  <c r="Q468" i="19"/>
  <c r="N469" i="19"/>
  <c r="K470" i="19"/>
  <c r="S470" i="19"/>
  <c r="P471" i="19"/>
  <c r="M472" i="19"/>
  <c r="J473" i="19"/>
  <c r="R473" i="19"/>
  <c r="O474" i="19"/>
  <c r="L475" i="19"/>
  <c r="T475" i="19"/>
  <c r="Q476" i="19"/>
  <c r="O461" i="19"/>
  <c r="L462" i="19"/>
  <c r="T462" i="19"/>
  <c r="Q463" i="19"/>
  <c r="N464" i="19"/>
  <c r="K465" i="19"/>
  <c r="S465" i="19"/>
  <c r="P466" i="19"/>
  <c r="M467" i="19"/>
  <c r="J468" i="19"/>
  <c r="R468" i="19"/>
  <c r="O469" i="19"/>
  <c r="L470" i="19"/>
  <c r="T470" i="19"/>
  <c r="Q471" i="19"/>
  <c r="N472" i="19"/>
  <c r="K473" i="19"/>
  <c r="S473" i="19"/>
  <c r="P474" i="19"/>
  <c r="M475" i="19"/>
  <c r="J476" i="19"/>
  <c r="R476" i="19"/>
  <c r="P461" i="19"/>
  <c r="M462" i="19"/>
  <c r="J463" i="19"/>
  <c r="R463" i="19"/>
  <c r="O464" i="19"/>
  <c r="L465" i="19"/>
  <c r="T465" i="19"/>
  <c r="Q466" i="19"/>
  <c r="N467" i="19"/>
  <c r="K468" i="19"/>
  <c r="S468" i="19"/>
  <c r="P469" i="19"/>
  <c r="M470" i="19"/>
  <c r="J471" i="19"/>
  <c r="R471" i="19"/>
  <c r="O472" i="19"/>
  <c r="L473" i="19"/>
  <c r="T473" i="19"/>
  <c r="Q474" i="19"/>
  <c r="N475" i="19"/>
  <c r="K476" i="19"/>
  <c r="S476" i="19"/>
  <c r="Q461" i="19"/>
  <c r="N462" i="19"/>
  <c r="K463" i="19"/>
  <c r="S463" i="19"/>
  <c r="P464" i="19"/>
  <c r="M465" i="19"/>
  <c r="J466" i="19"/>
  <c r="R466" i="19"/>
  <c r="O467" i="19"/>
  <c r="L468" i="19"/>
  <c r="T468" i="19"/>
  <c r="Q469" i="19"/>
  <c r="N470" i="19"/>
  <c r="K471" i="19"/>
  <c r="S471" i="19"/>
  <c r="P472" i="19"/>
  <c r="M473" i="19"/>
  <c r="J474" i="19"/>
  <c r="R474" i="19"/>
  <c r="O475" i="19"/>
  <c r="L476" i="19"/>
  <c r="T476" i="19"/>
  <c r="J461" i="19"/>
  <c r="R461" i="19"/>
  <c r="O462" i="19"/>
  <c r="L463" i="19"/>
  <c r="T463" i="19"/>
  <c r="Q464" i="19"/>
  <c r="N465" i="19"/>
  <c r="K466" i="19"/>
  <c r="S466" i="19"/>
  <c r="P467" i="19"/>
  <c r="M468" i="19"/>
  <c r="J469" i="19"/>
  <c r="R469" i="19"/>
  <c r="O470" i="19"/>
  <c r="L471" i="19"/>
  <c r="T471" i="19"/>
  <c r="Q472" i="19"/>
  <c r="N473" i="19"/>
  <c r="K474" i="19"/>
  <c r="S474" i="19"/>
  <c r="P475" i="19"/>
  <c r="M476" i="19"/>
  <c r="K461" i="19"/>
  <c r="S461" i="19"/>
  <c r="P462" i="19"/>
  <c r="M463" i="19"/>
  <c r="J464" i="19"/>
  <c r="R464" i="19"/>
  <c r="O465" i="19"/>
  <c r="L466" i="19"/>
  <c r="T466" i="19"/>
  <c r="Q467" i="19"/>
  <c r="N468" i="19"/>
  <c r="K469" i="19"/>
  <c r="S469" i="19"/>
  <c r="P470" i="19"/>
  <c r="M471" i="19"/>
  <c r="J472" i="19"/>
  <c r="R472" i="19"/>
  <c r="O473" i="19"/>
  <c r="L474" i="19"/>
  <c r="T474" i="19"/>
  <c r="Q475" i="19"/>
  <c r="N476" i="19"/>
  <c r="L461" i="19"/>
  <c r="T461" i="19"/>
  <c r="Q462" i="19"/>
  <c r="N463" i="19"/>
  <c r="K464" i="19"/>
  <c r="S464" i="19"/>
  <c r="P465" i="19"/>
  <c r="M466" i="19"/>
  <c r="J467" i="19"/>
  <c r="R467" i="19"/>
  <c r="O468" i="19"/>
  <c r="L469" i="19"/>
  <c r="T469" i="19"/>
  <c r="Q470" i="19"/>
  <c r="N471" i="19"/>
  <c r="K472" i="19"/>
  <c r="S472" i="19"/>
  <c r="P473" i="19"/>
  <c r="M474" i="19"/>
  <c r="J475" i="19"/>
  <c r="R475" i="19"/>
  <c r="O476" i="19"/>
  <c r="M461" i="19"/>
  <c r="J462" i="19"/>
  <c r="R462" i="19"/>
  <c r="O463" i="19"/>
  <c r="L464" i="19"/>
  <c r="T464" i="19"/>
  <c r="Q465" i="19"/>
  <c r="N466" i="19"/>
  <c r="K467" i="19"/>
  <c r="S467" i="19"/>
  <c r="P468" i="19"/>
  <c r="M469" i="19"/>
  <c r="J470" i="19"/>
  <c r="R470" i="19"/>
  <c r="O471" i="19"/>
  <c r="L472" i="19"/>
  <c r="T472" i="19"/>
  <c r="Q473" i="19"/>
  <c r="N474" i="19"/>
  <c r="K475" i="19"/>
  <c r="S475" i="19"/>
  <c r="P476" i="19"/>
  <c r="M937" i="61"/>
  <c r="J938" i="61"/>
  <c r="R938" i="61"/>
  <c r="O939" i="61"/>
  <c r="L940" i="61"/>
  <c r="T940" i="61"/>
  <c r="Q941" i="61"/>
  <c r="N942" i="61"/>
  <c r="K943" i="61"/>
  <c r="S943" i="61"/>
  <c r="P944" i="61"/>
  <c r="M945" i="61"/>
  <c r="J946" i="61"/>
  <c r="R946" i="61"/>
  <c r="O947" i="61"/>
  <c r="L948" i="61"/>
  <c r="T948" i="61"/>
  <c r="Q949" i="61"/>
  <c r="N937" i="61"/>
  <c r="K938" i="61"/>
  <c r="S938" i="61"/>
  <c r="P939" i="61"/>
  <c r="M940" i="61"/>
  <c r="J941" i="61"/>
  <c r="R941" i="61"/>
  <c r="O942" i="61"/>
  <c r="L943" i="61"/>
  <c r="T943" i="61"/>
  <c r="Q944" i="61"/>
  <c r="N945" i="61"/>
  <c r="K946" i="61"/>
  <c r="S946" i="61"/>
  <c r="P947" i="61"/>
  <c r="M948" i="61"/>
  <c r="J949" i="61"/>
  <c r="R949" i="61"/>
  <c r="O950" i="61"/>
  <c r="Q937" i="61"/>
  <c r="N938" i="61"/>
  <c r="K939" i="61"/>
  <c r="S939" i="61"/>
  <c r="P940" i="61"/>
  <c r="M941" i="61"/>
  <c r="J942" i="61"/>
  <c r="R942" i="61"/>
  <c r="O943" i="61"/>
  <c r="L944" i="61"/>
  <c r="T944" i="61"/>
  <c r="Q945" i="61"/>
  <c r="N946" i="61"/>
  <c r="K947" i="61"/>
  <c r="S947" i="61"/>
  <c r="P948" i="61"/>
  <c r="M949" i="61"/>
  <c r="J950" i="61"/>
  <c r="J937" i="61"/>
  <c r="R937" i="61"/>
  <c r="O938" i="61"/>
  <c r="L939" i="61"/>
  <c r="T939" i="61"/>
  <c r="Q940" i="61"/>
  <c r="N941" i="61"/>
  <c r="K942" i="61"/>
  <c r="S942" i="61"/>
  <c r="P943" i="61"/>
  <c r="M944" i="61"/>
  <c r="J945" i="61"/>
  <c r="R945" i="61"/>
  <c r="O946" i="61"/>
  <c r="L947" i="61"/>
  <c r="T947" i="61"/>
  <c r="Q948" i="61"/>
  <c r="N949" i="61"/>
  <c r="K950" i="61"/>
  <c r="S937" i="61"/>
  <c r="M939" i="61"/>
  <c r="R940" i="61"/>
  <c r="L942" i="61"/>
  <c r="Q943" i="61"/>
  <c r="K945" i="61"/>
  <c r="P946" i="61"/>
  <c r="J948" i="61"/>
  <c r="O949" i="61"/>
  <c r="Q950" i="61"/>
  <c r="N951" i="61"/>
  <c r="K952" i="61"/>
  <c r="S952" i="61"/>
  <c r="T937" i="61"/>
  <c r="N939" i="61"/>
  <c r="S940" i="61"/>
  <c r="M942" i="61"/>
  <c r="R943" i="61"/>
  <c r="L945" i="61"/>
  <c r="Q946" i="61"/>
  <c r="K948" i="61"/>
  <c r="P949" i="61"/>
  <c r="R950" i="61"/>
  <c r="O951" i="61"/>
  <c r="L952" i="61"/>
  <c r="T952" i="61"/>
  <c r="L938" i="61"/>
  <c r="Q939" i="61"/>
  <c r="K941" i="61"/>
  <c r="P942" i="61"/>
  <c r="J944" i="61"/>
  <c r="O945" i="61"/>
  <c r="T946" i="61"/>
  <c r="N948" i="61"/>
  <c r="S949" i="61"/>
  <c r="S950" i="61"/>
  <c r="P951" i="61"/>
  <c r="M952" i="61"/>
  <c r="M938" i="61"/>
  <c r="R939" i="61"/>
  <c r="L941" i="61"/>
  <c r="Q942" i="61"/>
  <c r="K944" i="61"/>
  <c r="P945" i="61"/>
  <c r="J947" i="61"/>
  <c r="O948" i="61"/>
  <c r="T949" i="61"/>
  <c r="T950" i="61"/>
  <c r="Q951" i="61"/>
  <c r="N952" i="61"/>
  <c r="K937" i="61"/>
  <c r="P938" i="61"/>
  <c r="J940" i="61"/>
  <c r="O941" i="61"/>
  <c r="T942" i="61"/>
  <c r="N944" i="61"/>
  <c r="S945" i="61"/>
  <c r="M947" i="61"/>
  <c r="R948" i="61"/>
  <c r="L950" i="61"/>
  <c r="J951" i="61"/>
  <c r="R951" i="61"/>
  <c r="O952" i="61"/>
  <c r="L937" i="61"/>
  <c r="Q938" i="61"/>
  <c r="K940" i="61"/>
  <c r="P941" i="61"/>
  <c r="J943" i="61"/>
  <c r="O944" i="61"/>
  <c r="T945" i="61"/>
  <c r="N947" i="61"/>
  <c r="S948" i="61"/>
  <c r="M950" i="61"/>
  <c r="K951" i="61"/>
  <c r="S951" i="61"/>
  <c r="P952" i="61"/>
  <c r="O937" i="61"/>
  <c r="T938" i="61"/>
  <c r="N940" i="61"/>
  <c r="S941" i="61"/>
  <c r="M943" i="61"/>
  <c r="R944" i="61"/>
  <c r="L946" i="61"/>
  <c r="Q947" i="61"/>
  <c r="K949" i="61"/>
  <c r="N950" i="61"/>
  <c r="L951" i="61"/>
  <c r="T951" i="61"/>
  <c r="Q952" i="61"/>
  <c r="P937" i="61"/>
  <c r="J939" i="61"/>
  <c r="O940" i="61"/>
  <c r="T941" i="61"/>
  <c r="N943" i="61"/>
  <c r="S944" i="61"/>
  <c r="M946" i="61"/>
  <c r="R947" i="61"/>
  <c r="L949" i="61"/>
  <c r="P950" i="61"/>
  <c r="M951" i="61"/>
  <c r="J952" i="61"/>
  <c r="R952" i="61"/>
  <c r="J736" i="19"/>
  <c r="R736" i="19"/>
  <c r="O737" i="19"/>
  <c r="L738" i="19"/>
  <c r="T738" i="19"/>
  <c r="Q739" i="19"/>
  <c r="N740" i="19"/>
  <c r="K736" i="19"/>
  <c r="S736" i="19"/>
  <c r="P737" i="19"/>
  <c r="M738" i="19"/>
  <c r="J739" i="19"/>
  <c r="R739" i="19"/>
  <c r="O740" i="19"/>
  <c r="N736" i="19"/>
  <c r="K737" i="19"/>
  <c r="S737" i="19"/>
  <c r="P738" i="19"/>
  <c r="M739" i="19"/>
  <c r="J740" i="19"/>
  <c r="R740" i="19"/>
  <c r="O736" i="19"/>
  <c r="L737" i="19"/>
  <c r="T737" i="19"/>
  <c r="Q738" i="19"/>
  <c r="N739" i="19"/>
  <c r="K740" i="19"/>
  <c r="S740" i="19"/>
  <c r="L736" i="19"/>
  <c r="Q737" i="19"/>
  <c r="K739" i="19"/>
  <c r="P740" i="19"/>
  <c r="O741" i="19"/>
  <c r="L742" i="19"/>
  <c r="T742" i="19"/>
  <c r="Q743" i="19"/>
  <c r="N744" i="19"/>
  <c r="K745" i="19"/>
  <c r="S745" i="19"/>
  <c r="P746" i="19"/>
  <c r="M747" i="19"/>
  <c r="J748" i="19"/>
  <c r="R748" i="19"/>
  <c r="O749" i="19"/>
  <c r="L750" i="19"/>
  <c r="T750" i="19"/>
  <c r="Q751" i="19"/>
  <c r="M736" i="19"/>
  <c r="R737" i="19"/>
  <c r="L739" i="19"/>
  <c r="Q740" i="19"/>
  <c r="P741" i="19"/>
  <c r="M742" i="19"/>
  <c r="J743" i="19"/>
  <c r="R743" i="19"/>
  <c r="O744" i="19"/>
  <c r="L745" i="19"/>
  <c r="T745" i="19"/>
  <c r="Q746" i="19"/>
  <c r="N747" i="19"/>
  <c r="K748" i="19"/>
  <c r="S748" i="19"/>
  <c r="P749" i="19"/>
  <c r="M750" i="19"/>
  <c r="J751" i="19"/>
  <c r="R751" i="19"/>
  <c r="P736" i="19"/>
  <c r="J738" i="19"/>
  <c r="O739" i="19"/>
  <c r="T740" i="19"/>
  <c r="Q741" i="19"/>
  <c r="N742" i="19"/>
  <c r="K743" i="19"/>
  <c r="S743" i="19"/>
  <c r="P744" i="19"/>
  <c r="M745" i="19"/>
  <c r="J746" i="19"/>
  <c r="R746" i="19"/>
  <c r="O747" i="19"/>
  <c r="L748" i="19"/>
  <c r="T748" i="19"/>
  <c r="Q749" i="19"/>
  <c r="N750" i="19"/>
  <c r="K751" i="19"/>
  <c r="S751" i="19"/>
  <c r="Q736" i="19"/>
  <c r="K738" i="19"/>
  <c r="P739" i="19"/>
  <c r="J741" i="19"/>
  <c r="R741" i="19"/>
  <c r="O742" i="19"/>
  <c r="L743" i="19"/>
  <c r="T743" i="19"/>
  <c r="Q744" i="19"/>
  <c r="N745" i="19"/>
  <c r="K746" i="19"/>
  <c r="S746" i="19"/>
  <c r="P747" i="19"/>
  <c r="M748" i="19"/>
  <c r="J749" i="19"/>
  <c r="R749" i="19"/>
  <c r="O750" i="19"/>
  <c r="L751" i="19"/>
  <c r="T751" i="19"/>
  <c r="T736" i="19"/>
  <c r="N738" i="19"/>
  <c r="S739" i="19"/>
  <c r="K741" i="19"/>
  <c r="S741" i="19"/>
  <c r="P742" i="19"/>
  <c r="M743" i="19"/>
  <c r="J744" i="19"/>
  <c r="R744" i="19"/>
  <c r="O745" i="19"/>
  <c r="L746" i="19"/>
  <c r="T746" i="19"/>
  <c r="Q747" i="19"/>
  <c r="N748" i="19"/>
  <c r="K749" i="19"/>
  <c r="S749" i="19"/>
  <c r="P750" i="19"/>
  <c r="M751" i="19"/>
  <c r="J737" i="19"/>
  <c r="O738" i="19"/>
  <c r="T739" i="19"/>
  <c r="L741" i="19"/>
  <c r="T741" i="19"/>
  <c r="Q742" i="19"/>
  <c r="N743" i="19"/>
  <c r="K744" i="19"/>
  <c r="S744" i="19"/>
  <c r="P745" i="19"/>
  <c r="M746" i="19"/>
  <c r="J747" i="19"/>
  <c r="R747" i="19"/>
  <c r="O748" i="19"/>
  <c r="L749" i="19"/>
  <c r="T749" i="19"/>
  <c r="Q750" i="19"/>
  <c r="N751" i="19"/>
  <c r="M737" i="19"/>
  <c r="R738" i="19"/>
  <c r="L740" i="19"/>
  <c r="M741" i="19"/>
  <c r="J742" i="19"/>
  <c r="R742" i="19"/>
  <c r="O743" i="19"/>
  <c r="L744" i="19"/>
  <c r="T744" i="19"/>
  <c r="Q745" i="19"/>
  <c r="N746" i="19"/>
  <c r="K747" i="19"/>
  <c r="S747" i="19"/>
  <c r="P748" i="19"/>
  <c r="M749" i="19"/>
  <c r="J750" i="19"/>
  <c r="R750" i="19"/>
  <c r="O751" i="19"/>
  <c r="N737" i="19"/>
  <c r="S738" i="19"/>
  <c r="M740" i="19"/>
  <c r="N741" i="19"/>
  <c r="K742" i="19"/>
  <c r="S742" i="19"/>
  <c r="P743" i="19"/>
  <c r="M744" i="19"/>
  <c r="J745" i="19"/>
  <c r="R745" i="19"/>
  <c r="O746" i="19"/>
  <c r="L747" i="19"/>
  <c r="T747" i="19"/>
  <c r="Q748" i="19"/>
  <c r="N749" i="19"/>
  <c r="K750" i="19"/>
  <c r="S750" i="19"/>
  <c r="P751" i="19"/>
  <c r="L682" i="61"/>
  <c r="T682" i="61"/>
  <c r="Q683" i="61"/>
  <c r="N684" i="61"/>
  <c r="K685" i="61"/>
  <c r="S685" i="61"/>
  <c r="P686" i="61"/>
  <c r="M687" i="61"/>
  <c r="J688" i="61"/>
  <c r="R688" i="61"/>
  <c r="O689" i="61"/>
  <c r="L690" i="61"/>
  <c r="T690" i="61"/>
  <c r="Q691" i="61"/>
  <c r="N692" i="61"/>
  <c r="K693" i="61"/>
  <c r="S693" i="61"/>
  <c r="P694" i="61"/>
  <c r="M695" i="61"/>
  <c r="J696" i="61"/>
  <c r="R696" i="61"/>
  <c r="O697" i="61"/>
  <c r="N682" i="61"/>
  <c r="K683" i="61"/>
  <c r="S683" i="61"/>
  <c r="P684" i="61"/>
  <c r="M685" i="61"/>
  <c r="J686" i="61"/>
  <c r="R686" i="61"/>
  <c r="O687" i="61"/>
  <c r="L688" i="61"/>
  <c r="T688" i="61"/>
  <c r="Q689" i="61"/>
  <c r="N690" i="61"/>
  <c r="K691" i="61"/>
  <c r="S691" i="61"/>
  <c r="P692" i="61"/>
  <c r="M693" i="61"/>
  <c r="J694" i="61"/>
  <c r="R694" i="61"/>
  <c r="O695" i="61"/>
  <c r="L696" i="61"/>
  <c r="T696" i="61"/>
  <c r="Q697" i="61"/>
  <c r="O682" i="61"/>
  <c r="L683" i="61"/>
  <c r="T683" i="61"/>
  <c r="Q684" i="61"/>
  <c r="N685" i="61"/>
  <c r="K686" i="61"/>
  <c r="S686" i="61"/>
  <c r="P687" i="61"/>
  <c r="M688" i="61"/>
  <c r="J689" i="61"/>
  <c r="R689" i="61"/>
  <c r="O690" i="61"/>
  <c r="L691" i="61"/>
  <c r="T691" i="61"/>
  <c r="Q692" i="61"/>
  <c r="N693" i="61"/>
  <c r="K694" i="61"/>
  <c r="S694" i="61"/>
  <c r="P695" i="61"/>
  <c r="M696" i="61"/>
  <c r="J697" i="61"/>
  <c r="R697" i="61"/>
  <c r="P682" i="61"/>
  <c r="M683" i="61"/>
  <c r="J684" i="61"/>
  <c r="R684" i="61"/>
  <c r="O685" i="61"/>
  <c r="L686" i="61"/>
  <c r="T686" i="61"/>
  <c r="Q687" i="61"/>
  <c r="N688" i="61"/>
  <c r="K689" i="61"/>
  <c r="S689" i="61"/>
  <c r="P690" i="61"/>
  <c r="M691" i="61"/>
  <c r="J692" i="61"/>
  <c r="R692" i="61"/>
  <c r="O693" i="61"/>
  <c r="L694" i="61"/>
  <c r="T694" i="61"/>
  <c r="Q695" i="61"/>
  <c r="N696" i="61"/>
  <c r="K697" i="61"/>
  <c r="S697" i="61"/>
  <c r="J682" i="61"/>
  <c r="R682" i="61"/>
  <c r="O683" i="61"/>
  <c r="L684" i="61"/>
  <c r="T684" i="61"/>
  <c r="Q685" i="61"/>
  <c r="N686" i="61"/>
  <c r="K687" i="61"/>
  <c r="S687" i="61"/>
  <c r="P688" i="61"/>
  <c r="M689" i="61"/>
  <c r="J690" i="61"/>
  <c r="R690" i="61"/>
  <c r="O691" i="61"/>
  <c r="L692" i="61"/>
  <c r="T692" i="61"/>
  <c r="Q693" i="61"/>
  <c r="N694" i="61"/>
  <c r="K695" i="61"/>
  <c r="S695" i="61"/>
  <c r="P696" i="61"/>
  <c r="M697" i="61"/>
  <c r="K682" i="61"/>
  <c r="S682" i="61"/>
  <c r="P683" i="61"/>
  <c r="M684" i="61"/>
  <c r="J685" i="61"/>
  <c r="R685" i="61"/>
  <c r="O686" i="61"/>
  <c r="L687" i="61"/>
  <c r="T687" i="61"/>
  <c r="Q688" i="61"/>
  <c r="N689" i="61"/>
  <c r="K690" i="61"/>
  <c r="S690" i="61"/>
  <c r="P691" i="61"/>
  <c r="M692" i="61"/>
  <c r="J693" i="61"/>
  <c r="R693" i="61"/>
  <c r="O694" i="61"/>
  <c r="L695" i="61"/>
  <c r="T695" i="61"/>
  <c r="Q696" i="61"/>
  <c r="N697" i="61"/>
  <c r="J683" i="61"/>
  <c r="T685" i="61"/>
  <c r="S688" i="61"/>
  <c r="R691" i="61"/>
  <c r="Q694" i="61"/>
  <c r="P697" i="61"/>
  <c r="N683" i="61"/>
  <c r="M686" i="61"/>
  <c r="L689" i="61"/>
  <c r="K692" i="61"/>
  <c r="J695" i="61"/>
  <c r="T697" i="61"/>
  <c r="R683" i="61"/>
  <c r="Q686" i="61"/>
  <c r="P689" i="61"/>
  <c r="O692" i="61"/>
  <c r="N695" i="61"/>
  <c r="K684" i="61"/>
  <c r="J687" i="61"/>
  <c r="T689" i="61"/>
  <c r="S692" i="61"/>
  <c r="R695" i="61"/>
  <c r="O684" i="61"/>
  <c r="N687" i="61"/>
  <c r="M690" i="61"/>
  <c r="L693" i="61"/>
  <c r="K696" i="61"/>
  <c r="S684" i="61"/>
  <c r="R687" i="61"/>
  <c r="Q690" i="61"/>
  <c r="P693" i="61"/>
  <c r="O696" i="61"/>
  <c r="M682" i="61"/>
  <c r="L685" i="61"/>
  <c r="K688" i="61"/>
  <c r="J691" i="61"/>
  <c r="T693" i="61"/>
  <c r="S696" i="61"/>
  <c r="Q682" i="61"/>
  <c r="P685" i="61"/>
  <c r="O688" i="61"/>
  <c r="N691" i="61"/>
  <c r="M694" i="61"/>
  <c r="L697" i="61"/>
  <c r="S16" i="26"/>
  <c r="S15" i="26" s="1"/>
  <c r="S19" i="26"/>
  <c r="T19" i="26" s="1"/>
  <c r="U19" i="26" s="1"/>
  <c r="V19" i="26" s="1"/>
  <c r="W19" i="26" s="1"/>
  <c r="S18" i="26"/>
  <c r="T18" i="26" s="1"/>
  <c r="U18" i="26" s="1"/>
  <c r="V18" i="26" s="1"/>
  <c r="W18" i="26" s="1"/>
  <c r="O82" i="53"/>
  <c r="O48" i="27" s="1"/>
  <c r="O345" i="49"/>
  <c r="O47" i="27" s="1"/>
  <c r="T15" i="80"/>
  <c r="Q15" i="79"/>
  <c r="T15" i="78"/>
  <c r="P15" i="78"/>
  <c r="T61" i="77"/>
  <c r="T60" i="27" s="1"/>
  <c r="L61" i="77"/>
  <c r="L60" i="27" s="1"/>
  <c r="Q61" i="77"/>
  <c r="Q60" i="27" s="1"/>
  <c r="M61" i="77"/>
  <c r="M60" i="27" s="1"/>
  <c r="T576" i="69"/>
  <c r="T58" i="27" s="1"/>
  <c r="L576" i="69"/>
  <c r="L58" i="27" s="1"/>
  <c r="P61" i="77"/>
  <c r="P60" i="27" s="1"/>
  <c r="Q76" i="57"/>
  <c r="Q50" i="27" s="1"/>
  <c r="M576" i="69"/>
  <c r="M58" i="27" s="1"/>
  <c r="O115" i="75"/>
  <c r="O59" i="27" s="1"/>
  <c r="R576" i="69"/>
  <c r="R58" i="27" s="1"/>
  <c r="J576" i="69"/>
  <c r="J58" i="27" s="1"/>
  <c r="P832" i="61"/>
  <c r="P55" i="27" s="1"/>
  <c r="M76" i="57"/>
  <c r="M50" i="27" s="1"/>
  <c r="S576" i="69"/>
  <c r="S58" i="27" s="1"/>
  <c r="K576" i="69"/>
  <c r="K58" i="27" s="1"/>
  <c r="N576" i="69"/>
  <c r="N58" i="27" s="1"/>
  <c r="Q576" i="69"/>
  <c r="Q58" i="27" s="1"/>
  <c r="R61" i="77"/>
  <c r="R60" i="27" s="1"/>
  <c r="J61" i="77"/>
  <c r="J60" i="27" s="1"/>
  <c r="L76" i="57"/>
  <c r="L50" i="27" s="1"/>
  <c r="K362" i="57"/>
  <c r="K51" i="27" s="1"/>
  <c r="J76" i="57"/>
  <c r="J50" i="27" s="1"/>
  <c r="K76" i="57"/>
  <c r="K50" i="27" s="1"/>
  <c r="O576" i="69"/>
  <c r="O58" i="27" s="1"/>
  <c r="N115" i="75"/>
  <c r="N59" i="27" s="1"/>
  <c r="O61" i="77"/>
  <c r="O60" i="27" s="1"/>
  <c r="N61" i="77"/>
  <c r="N60" i="27" s="1"/>
  <c r="S61" i="77"/>
  <c r="S60" i="27" s="1"/>
  <c r="K61" i="77"/>
  <c r="K60" i="27" s="1"/>
  <c r="T115" i="75"/>
  <c r="T59" i="27" s="1"/>
  <c r="Q115" i="75"/>
  <c r="Q59" i="27" s="1"/>
  <c r="P115" i="75"/>
  <c r="P59" i="27" s="1"/>
  <c r="S115" i="75"/>
  <c r="S59" i="27" s="1"/>
  <c r="R115" i="75"/>
  <c r="R59" i="27" s="1"/>
  <c r="M115" i="75"/>
  <c r="M59" i="27" s="1"/>
  <c r="L115" i="75"/>
  <c r="L59" i="27" s="1"/>
  <c r="K115" i="75"/>
  <c r="K59" i="27" s="1"/>
  <c r="J115" i="75"/>
  <c r="J59" i="27" s="1"/>
  <c r="P576" i="69"/>
  <c r="P58" i="27" s="1"/>
  <c r="M362" i="57"/>
  <c r="M51" i="27" s="1"/>
  <c r="N76" i="57"/>
  <c r="N50" i="27" s="1"/>
  <c r="O76" i="57"/>
  <c r="O50" i="27" s="1"/>
  <c r="R76" i="57"/>
  <c r="R50" i="27" s="1"/>
  <c r="T76" i="57"/>
  <c r="T50" i="27" s="1"/>
  <c r="P76" i="57"/>
  <c r="P50" i="27" s="1"/>
  <c r="S76" i="57"/>
  <c r="S50" i="27" s="1"/>
  <c r="O362" i="57"/>
  <c r="O51" i="27" s="1"/>
  <c r="P620" i="19"/>
  <c r="P70" i="19"/>
  <c r="O336" i="37"/>
  <c r="O41" i="27" s="1"/>
  <c r="T336" i="37"/>
  <c r="T41" i="27" s="1"/>
  <c r="T362" i="57"/>
  <c r="T51" i="27" s="1"/>
  <c r="L362" i="57"/>
  <c r="L51" i="27" s="1"/>
  <c r="R362" i="57"/>
  <c r="R51" i="27" s="1"/>
  <c r="J362" i="57"/>
  <c r="J51" i="27" s="1"/>
  <c r="Q362" i="57"/>
  <c r="Q51" i="27" s="1"/>
  <c r="S362" i="57"/>
  <c r="S51" i="27" s="1"/>
  <c r="P362" i="57"/>
  <c r="P51" i="27" s="1"/>
  <c r="N362" i="57"/>
  <c r="N51" i="27" s="1"/>
  <c r="R577" i="61"/>
  <c r="R54" i="27" s="1"/>
  <c r="S61" i="61"/>
  <c r="S52" i="27" s="1"/>
  <c r="Q577" i="61"/>
  <c r="Q54" i="27" s="1"/>
  <c r="P61" i="33"/>
  <c r="P38" i="27" s="1"/>
  <c r="K61" i="61"/>
  <c r="K52" i="27" s="1"/>
  <c r="M357" i="45"/>
  <c r="M45" i="27" s="1"/>
  <c r="M61" i="33"/>
  <c r="M38" i="27" s="1"/>
  <c r="Q336" i="37"/>
  <c r="Q41" i="27" s="1"/>
  <c r="S357" i="45"/>
  <c r="S45" i="27" s="1"/>
  <c r="K357" i="45"/>
  <c r="K45" i="27" s="1"/>
  <c r="T832" i="61"/>
  <c r="T55" i="27" s="1"/>
  <c r="L832" i="61"/>
  <c r="L55" i="27" s="1"/>
  <c r="Q61" i="33"/>
  <c r="Q38" i="27" s="1"/>
  <c r="R357" i="45"/>
  <c r="R45" i="27" s="1"/>
  <c r="J357" i="45"/>
  <c r="J45" i="27" s="1"/>
  <c r="Q832" i="61"/>
  <c r="Q55" i="27" s="1"/>
  <c r="T61" i="33"/>
  <c r="T38" i="27" s="1"/>
  <c r="L61" i="33"/>
  <c r="L38" i="27" s="1"/>
  <c r="O61" i="33"/>
  <c r="O38" i="27" s="1"/>
  <c r="N61" i="33"/>
  <c r="N38" i="27" s="1"/>
  <c r="P357" i="45"/>
  <c r="P45" i="27" s="1"/>
  <c r="R61" i="61"/>
  <c r="R52" i="27" s="1"/>
  <c r="J61" i="61"/>
  <c r="J52" i="27" s="1"/>
  <c r="P577" i="61"/>
  <c r="P54" i="27" s="1"/>
  <c r="O832" i="61"/>
  <c r="O55" i="27" s="1"/>
  <c r="D357" i="45"/>
  <c r="K620" i="19"/>
  <c r="K39" i="27" s="1"/>
  <c r="N620" i="19"/>
  <c r="N39" i="27" s="1"/>
  <c r="P336" i="37"/>
  <c r="P41" i="27" s="1"/>
  <c r="S336" i="37"/>
  <c r="S41" i="27" s="1"/>
  <c r="K336" i="37"/>
  <c r="K41" i="27" s="1"/>
  <c r="Q357" i="45"/>
  <c r="Q45" i="27" s="1"/>
  <c r="Q61" i="61"/>
  <c r="Q52" i="27" s="1"/>
  <c r="O577" i="61"/>
  <c r="O54" i="27" s="1"/>
  <c r="D351" i="41"/>
  <c r="S61" i="33"/>
  <c r="S38" i="27" s="1"/>
  <c r="K61" i="33"/>
  <c r="K38" i="27" s="1"/>
  <c r="J620" i="19"/>
  <c r="J39" i="27" s="1"/>
  <c r="M620" i="19"/>
  <c r="M39" i="27" s="1"/>
  <c r="R336" i="37"/>
  <c r="R41" i="27" s="1"/>
  <c r="J336" i="37"/>
  <c r="J41" i="27" s="1"/>
  <c r="D336" i="37"/>
  <c r="R61" i="33"/>
  <c r="R38" i="27" s="1"/>
  <c r="J61" i="33"/>
  <c r="J38" i="27" s="1"/>
  <c r="T357" i="45"/>
  <c r="T45" i="27" s="1"/>
  <c r="L357" i="45"/>
  <c r="L45" i="27" s="1"/>
  <c r="O357" i="45"/>
  <c r="O45" i="27" s="1"/>
  <c r="M61" i="61"/>
  <c r="M52" i="27" s="1"/>
  <c r="S577" i="61"/>
  <c r="S54" i="27" s="1"/>
  <c r="K577" i="61"/>
  <c r="K54" i="27" s="1"/>
  <c r="R832" i="61"/>
  <c r="R55" i="27" s="1"/>
  <c r="J832" i="61"/>
  <c r="J55" i="27" s="1"/>
  <c r="T61" i="61"/>
  <c r="T52" i="27" s="1"/>
  <c r="L61" i="61"/>
  <c r="L52" i="27" s="1"/>
  <c r="M577" i="61"/>
  <c r="M54" i="27" s="1"/>
  <c r="T577" i="61"/>
  <c r="T54" i="27" s="1"/>
  <c r="L577" i="61"/>
  <c r="L54" i="27" s="1"/>
  <c r="N832" i="61"/>
  <c r="N55" i="27" s="1"/>
  <c r="M832" i="61"/>
  <c r="M55" i="27" s="1"/>
  <c r="S832" i="61"/>
  <c r="S55" i="27" s="1"/>
  <c r="K832" i="61"/>
  <c r="K55" i="27" s="1"/>
  <c r="N577" i="61"/>
  <c r="N54" i="27" s="1"/>
  <c r="J577" i="61"/>
  <c r="J54" i="27" s="1"/>
  <c r="Q320" i="61"/>
  <c r="Q53" i="27" s="1"/>
  <c r="O61" i="61"/>
  <c r="O52" i="27" s="1"/>
  <c r="M320" i="61"/>
  <c r="M53" i="27" s="1"/>
  <c r="P61" i="61"/>
  <c r="P52" i="27" s="1"/>
  <c r="T320" i="61"/>
  <c r="T53" i="27" s="1"/>
  <c r="L320" i="61"/>
  <c r="L53" i="27" s="1"/>
  <c r="O320" i="61"/>
  <c r="O53" i="27" s="1"/>
  <c r="N61" i="61"/>
  <c r="N52" i="27" s="1"/>
  <c r="P320" i="61"/>
  <c r="P53" i="27" s="1"/>
  <c r="S320" i="61"/>
  <c r="S53" i="27" s="1"/>
  <c r="K320" i="61"/>
  <c r="K53" i="27" s="1"/>
  <c r="R320" i="61"/>
  <c r="R53" i="27" s="1"/>
  <c r="J320" i="61"/>
  <c r="J53" i="27" s="1"/>
  <c r="N320" i="61"/>
  <c r="N53" i="27" s="1"/>
  <c r="D832" i="61"/>
  <c r="N357" i="45"/>
  <c r="N45" i="27" s="1"/>
  <c r="O221" i="23"/>
  <c r="Q70" i="37"/>
  <c r="Q40" i="27" s="1"/>
  <c r="N336" i="37"/>
  <c r="N41" i="27" s="1"/>
  <c r="P70" i="37"/>
  <c r="P40" i="27" s="1"/>
  <c r="M70" i="37"/>
  <c r="M40" i="27" s="1"/>
  <c r="O70" i="37"/>
  <c r="O40" i="27" s="1"/>
  <c r="R70" i="37"/>
  <c r="R40" i="27" s="1"/>
  <c r="J70" i="37"/>
  <c r="J40" i="27" s="1"/>
  <c r="N70" i="37"/>
  <c r="N40" i="27" s="1"/>
  <c r="T70" i="37"/>
  <c r="T40" i="27" s="1"/>
  <c r="S70" i="37"/>
  <c r="S40" i="27" s="1"/>
  <c r="K70" i="37"/>
  <c r="K40" i="27" s="1"/>
  <c r="J345" i="19"/>
  <c r="J37" i="27" s="1"/>
  <c r="L70" i="19"/>
  <c r="L35" i="27" s="1"/>
  <c r="J70" i="19"/>
  <c r="J35" i="27" s="1"/>
  <c r="N70" i="19"/>
  <c r="N35" i="27" s="1"/>
  <c r="L620" i="19"/>
  <c r="L39" i="27" s="1"/>
  <c r="N345" i="19"/>
  <c r="N37" i="27" s="1"/>
  <c r="L345" i="19"/>
  <c r="L37" i="27" s="1"/>
  <c r="K345" i="19"/>
  <c r="K37" i="27" s="1"/>
  <c r="M345" i="19"/>
  <c r="M37" i="27" s="1"/>
  <c r="M70" i="19"/>
  <c r="M35" i="27" s="1"/>
  <c r="K70" i="19"/>
  <c r="K35" i="27" s="1"/>
  <c r="Q15" i="78"/>
  <c r="S221" i="23"/>
  <c r="R221" i="23"/>
  <c r="W456" i="23"/>
  <c r="O456" i="23"/>
  <c r="C453" i="23"/>
  <c r="D576" i="69"/>
  <c r="X440" i="23"/>
  <c r="P440" i="23"/>
  <c r="D315" i="69"/>
  <c r="V440" i="23"/>
  <c r="U440" i="23"/>
  <c r="R440" i="23"/>
  <c r="N440" i="23"/>
  <c r="Q440" i="23"/>
  <c r="C390" i="23"/>
  <c r="D577" i="61"/>
  <c r="C372" i="23"/>
  <c r="D320" i="61"/>
  <c r="D345" i="49"/>
  <c r="C251" i="23"/>
  <c r="U254" i="23"/>
  <c r="C291" i="23"/>
  <c r="D385" i="53"/>
  <c r="T336" i="23"/>
  <c r="N336" i="23"/>
  <c r="U336" i="23"/>
  <c r="C333" i="23"/>
  <c r="R336" i="23"/>
  <c r="S147" i="23"/>
  <c r="T147" i="23"/>
  <c r="D620" i="19"/>
  <c r="D345" i="19"/>
  <c r="X506" i="23"/>
  <c r="X473" i="23"/>
  <c r="X425" i="23"/>
  <c r="X355" i="23"/>
  <c r="X316" i="23"/>
  <c r="X272" i="23"/>
  <c r="X236" i="23"/>
  <c r="X200" i="23"/>
  <c r="X162" i="23"/>
  <c r="X129" i="23"/>
  <c r="X96" i="23"/>
  <c r="X53" i="23"/>
  <c r="X35" i="23"/>
  <c r="X9" i="23"/>
  <c r="W506" i="23"/>
  <c r="W473" i="23"/>
  <c r="W425" i="23"/>
  <c r="W355" i="23"/>
  <c r="W316" i="23"/>
  <c r="W272" i="23"/>
  <c r="W236" i="23"/>
  <c r="W200" i="23"/>
  <c r="W162" i="23"/>
  <c r="W129" i="23"/>
  <c r="W96" i="23"/>
  <c r="W53" i="23"/>
  <c r="W35" i="23"/>
  <c r="W9" i="23"/>
  <c r="V506" i="23"/>
  <c r="V473" i="23"/>
  <c r="V425" i="23"/>
  <c r="V355" i="23"/>
  <c r="V316" i="23"/>
  <c r="V272" i="23"/>
  <c r="V236" i="23"/>
  <c r="V200" i="23"/>
  <c r="V162" i="23"/>
  <c r="V129" i="23"/>
  <c r="V96" i="23"/>
  <c r="V53" i="23"/>
  <c r="V35" i="23"/>
  <c r="V9" i="23"/>
  <c r="U506" i="23"/>
  <c r="U473" i="23"/>
  <c r="U425" i="23"/>
  <c r="U355" i="23"/>
  <c r="U316" i="23"/>
  <c r="U272" i="23"/>
  <c r="U236" i="23"/>
  <c r="U200" i="23"/>
  <c r="U162" i="23"/>
  <c r="U129" i="23"/>
  <c r="U96" i="23"/>
  <c r="U53" i="23"/>
  <c r="U35" i="23"/>
  <c r="U9" i="23"/>
  <c r="T506" i="23"/>
  <c r="T473" i="23"/>
  <c r="T425" i="23"/>
  <c r="T355" i="23"/>
  <c r="T316" i="23"/>
  <c r="T272" i="23"/>
  <c r="T236" i="23"/>
  <c r="T200" i="23"/>
  <c r="T162" i="23"/>
  <c r="T129" i="23"/>
  <c r="T96" i="23"/>
  <c r="T53" i="23"/>
  <c r="T35" i="23"/>
  <c r="T9" i="23"/>
  <c r="S506" i="23"/>
  <c r="S473" i="23"/>
  <c r="S425" i="23"/>
  <c r="S355" i="23"/>
  <c r="S316" i="23"/>
  <c r="S272" i="23"/>
  <c r="S236" i="23"/>
  <c r="S200" i="23"/>
  <c r="S162" i="23"/>
  <c r="S129" i="23"/>
  <c r="S96" i="23"/>
  <c r="S53" i="23"/>
  <c r="S35" i="23"/>
  <c r="S9" i="23"/>
  <c r="R506" i="23"/>
  <c r="R473" i="23"/>
  <c r="R425" i="23"/>
  <c r="R355" i="23"/>
  <c r="R316" i="23"/>
  <c r="R272" i="23"/>
  <c r="R236" i="23"/>
  <c r="R200" i="23"/>
  <c r="R162" i="23"/>
  <c r="R129" i="23"/>
  <c r="R96" i="23"/>
  <c r="R53" i="23"/>
  <c r="R35" i="23"/>
  <c r="R9" i="23"/>
  <c r="Q506" i="23"/>
  <c r="Q473" i="23"/>
  <c r="Q425" i="23"/>
  <c r="Q355" i="23"/>
  <c r="Q316" i="23"/>
  <c r="Q272" i="23"/>
  <c r="Q236" i="23"/>
  <c r="Q200" i="23"/>
  <c r="Q162" i="23"/>
  <c r="Q129" i="23"/>
  <c r="Q96" i="23"/>
  <c r="Q53" i="23"/>
  <c r="Q35" i="23"/>
  <c r="Q9" i="23"/>
  <c r="P506" i="23"/>
  <c r="P473" i="23"/>
  <c r="P425" i="23"/>
  <c r="P355" i="23"/>
  <c r="P316" i="23"/>
  <c r="P272" i="23"/>
  <c r="P236" i="23"/>
  <c r="P200" i="23"/>
  <c r="P162" i="23"/>
  <c r="P129" i="23"/>
  <c r="P96" i="23"/>
  <c r="P53" i="23"/>
  <c r="P35" i="23"/>
  <c r="P9" i="23"/>
  <c r="O506" i="23"/>
  <c r="O473" i="23"/>
  <c r="O425" i="23"/>
  <c r="O355" i="23"/>
  <c r="O316" i="23"/>
  <c r="O272" i="23"/>
  <c r="O236" i="23"/>
  <c r="O200" i="23"/>
  <c r="O162" i="23"/>
  <c r="O129" i="23"/>
  <c r="O96" i="23"/>
  <c r="O53" i="23"/>
  <c r="O35" i="23"/>
  <c r="O9" i="23"/>
  <c r="N506" i="23"/>
  <c r="N473" i="23"/>
  <c r="N425" i="23"/>
  <c r="N355" i="23"/>
  <c r="N316" i="23"/>
  <c r="N272" i="23"/>
  <c r="N236" i="23"/>
  <c r="N200" i="23"/>
  <c r="N162" i="23"/>
  <c r="N129" i="23"/>
  <c r="N96" i="23"/>
  <c r="N53" i="23"/>
  <c r="N35" i="23"/>
  <c r="N9" i="23" a="1"/>
  <c r="N9" i="23" s="1"/>
  <c r="I503" i="23"/>
  <c r="I470" i="23"/>
  <c r="I453" i="23"/>
  <c r="I437" i="23"/>
  <c r="I422" i="23"/>
  <c r="I406" i="23"/>
  <c r="I390" i="23"/>
  <c r="I372" i="23"/>
  <c r="I352" i="23"/>
  <c r="I333" i="23"/>
  <c r="I313" i="23"/>
  <c r="I291" i="23"/>
  <c r="I269" i="23"/>
  <c r="I251" i="23"/>
  <c r="I233" i="23"/>
  <c r="I218" i="23"/>
  <c r="D131" i="45"/>
  <c r="D132" i="45"/>
  <c r="D133" i="45"/>
  <c r="D134" i="45"/>
  <c r="D135" i="45"/>
  <c r="D136" i="45"/>
  <c r="D137" i="45"/>
  <c r="D138" i="45"/>
  <c r="D118" i="45"/>
  <c r="D119" i="45"/>
  <c r="D120" i="45"/>
  <c r="D121" i="45"/>
  <c r="D122" i="45"/>
  <c r="D123" i="45"/>
  <c r="D124" i="45"/>
  <c r="D125" i="45"/>
  <c r="D105" i="45"/>
  <c r="D106" i="45"/>
  <c r="D107" i="45"/>
  <c r="D108" i="45"/>
  <c r="D109" i="45"/>
  <c r="D110" i="45"/>
  <c r="D111" i="45"/>
  <c r="D112" i="45"/>
  <c r="D92" i="45"/>
  <c r="D93" i="45"/>
  <c r="D94" i="45"/>
  <c r="D95" i="45"/>
  <c r="D96" i="45"/>
  <c r="D97" i="45"/>
  <c r="D98" i="45"/>
  <c r="D99" i="45"/>
  <c r="D70" i="45"/>
  <c r="D71" i="45"/>
  <c r="D72" i="45"/>
  <c r="D73" i="45"/>
  <c r="D74" i="45"/>
  <c r="D75" i="45"/>
  <c r="D76" i="45"/>
  <c r="D77" i="45"/>
  <c r="D57" i="45"/>
  <c r="D58" i="45"/>
  <c r="D59" i="45"/>
  <c r="D60" i="45"/>
  <c r="D61" i="45"/>
  <c r="D62" i="45"/>
  <c r="D63" i="45"/>
  <c r="D64" i="45"/>
  <c r="D44" i="45"/>
  <c r="D45" i="45"/>
  <c r="D46" i="45"/>
  <c r="D47" i="45"/>
  <c r="D48" i="45"/>
  <c r="D49" i="45"/>
  <c r="D50" i="45"/>
  <c r="D51" i="45"/>
  <c r="I197" i="23"/>
  <c r="I177" i="23"/>
  <c r="I159" i="23"/>
  <c r="I144" i="23"/>
  <c r="I126" i="23"/>
  <c r="I108" i="23"/>
  <c r="I93" i="23"/>
  <c r="I75" i="23"/>
  <c r="I50" i="23"/>
  <c r="J37" i="77"/>
  <c r="K37" i="77"/>
  <c r="L37" i="77"/>
  <c r="M37" i="77"/>
  <c r="N37" i="77"/>
  <c r="O37" i="77"/>
  <c r="P37" i="77"/>
  <c r="Q37" i="77"/>
  <c r="R37" i="77"/>
  <c r="S37" i="77"/>
  <c r="T37" i="77"/>
  <c r="J36" i="77"/>
  <c r="K36" i="77"/>
  <c r="L36" i="77"/>
  <c r="M36" i="77"/>
  <c r="N36" i="77"/>
  <c r="O36" i="77"/>
  <c r="P36" i="77"/>
  <c r="Q36" i="77"/>
  <c r="R36" i="77"/>
  <c r="S36" i="77"/>
  <c r="T36" i="77"/>
  <c r="J35" i="77"/>
  <c r="K35" i="77"/>
  <c r="L35" i="77"/>
  <c r="M35" i="77"/>
  <c r="N35" i="77"/>
  <c r="O35" i="77"/>
  <c r="P35" i="77"/>
  <c r="Q35" i="77"/>
  <c r="R35" i="77"/>
  <c r="S35" i="77"/>
  <c r="T35" i="77"/>
  <c r="B25" i="77"/>
  <c r="D61" i="77" s="1"/>
  <c r="J37" i="75"/>
  <c r="K37" i="75"/>
  <c r="L37" i="75"/>
  <c r="M37" i="75"/>
  <c r="N37" i="75"/>
  <c r="O37" i="75"/>
  <c r="P37" i="75"/>
  <c r="Q37" i="75"/>
  <c r="R37" i="75"/>
  <c r="S37" i="75"/>
  <c r="T37" i="75"/>
  <c r="J36" i="75"/>
  <c r="K36" i="75"/>
  <c r="L36" i="75"/>
  <c r="M36" i="75"/>
  <c r="N36" i="75"/>
  <c r="O36" i="75"/>
  <c r="P36" i="75"/>
  <c r="Q36" i="75"/>
  <c r="R36" i="75"/>
  <c r="S36" i="75"/>
  <c r="T36" i="75"/>
  <c r="J35" i="75"/>
  <c r="K35" i="75"/>
  <c r="L35" i="75"/>
  <c r="M35" i="75"/>
  <c r="N35" i="75"/>
  <c r="O35" i="75"/>
  <c r="P35" i="75"/>
  <c r="Q35" i="75"/>
  <c r="R35" i="75"/>
  <c r="S35" i="75"/>
  <c r="T35" i="75"/>
  <c r="B25" i="75"/>
  <c r="J37" i="69"/>
  <c r="K37" i="69"/>
  <c r="L37" i="69"/>
  <c r="M37" i="69"/>
  <c r="N37" i="69"/>
  <c r="O37" i="69"/>
  <c r="P37" i="69"/>
  <c r="Q37" i="69"/>
  <c r="R37" i="69"/>
  <c r="S37" i="69"/>
  <c r="T37" i="69"/>
  <c r="J36" i="69"/>
  <c r="K36" i="69"/>
  <c r="L36" i="69"/>
  <c r="M36" i="69"/>
  <c r="N36" i="69"/>
  <c r="O36" i="69"/>
  <c r="P36" i="69"/>
  <c r="Q36" i="69"/>
  <c r="R36" i="69"/>
  <c r="S36" i="69"/>
  <c r="T36" i="69"/>
  <c r="J35" i="69"/>
  <c r="K35" i="69"/>
  <c r="L35" i="69"/>
  <c r="M35" i="69"/>
  <c r="N35" i="69"/>
  <c r="O35" i="69"/>
  <c r="P35" i="69"/>
  <c r="Q35" i="69"/>
  <c r="R35" i="69"/>
  <c r="S35" i="69"/>
  <c r="T35" i="69"/>
  <c r="B25" i="69"/>
  <c r="J37" i="61"/>
  <c r="K37" i="61"/>
  <c r="L37" i="61"/>
  <c r="M37" i="61"/>
  <c r="N37" i="61"/>
  <c r="O37" i="61"/>
  <c r="P37" i="61"/>
  <c r="Q37" i="61"/>
  <c r="R37" i="61"/>
  <c r="S37" i="61"/>
  <c r="T37" i="61"/>
  <c r="J36" i="61"/>
  <c r="K36" i="61"/>
  <c r="L36" i="61"/>
  <c r="M36" i="61"/>
  <c r="N36" i="61"/>
  <c r="O36" i="61"/>
  <c r="P36" i="61"/>
  <c r="Q36" i="61"/>
  <c r="R36" i="61"/>
  <c r="S36" i="61"/>
  <c r="T36" i="61"/>
  <c r="J35" i="61"/>
  <c r="K35" i="61"/>
  <c r="L35" i="61"/>
  <c r="M35" i="61"/>
  <c r="N35" i="61"/>
  <c r="O35" i="61"/>
  <c r="P35" i="61"/>
  <c r="Q35" i="61"/>
  <c r="R35" i="61"/>
  <c r="S35" i="61"/>
  <c r="T35" i="61"/>
  <c r="B25" i="61"/>
  <c r="D61" i="61" s="1"/>
  <c r="J37" i="57"/>
  <c r="K37" i="57"/>
  <c r="L37" i="57"/>
  <c r="M37" i="57"/>
  <c r="N37" i="57"/>
  <c r="O37" i="57"/>
  <c r="P37" i="57"/>
  <c r="Q37" i="57"/>
  <c r="R37" i="57"/>
  <c r="S37" i="57"/>
  <c r="T37" i="57"/>
  <c r="J36" i="57"/>
  <c r="K36" i="57"/>
  <c r="L36" i="57"/>
  <c r="M36" i="57"/>
  <c r="N36" i="57"/>
  <c r="O36" i="57"/>
  <c r="P36" i="57"/>
  <c r="Q36" i="57"/>
  <c r="R36" i="57"/>
  <c r="S36" i="57"/>
  <c r="T36" i="57"/>
  <c r="J35" i="57"/>
  <c r="K35" i="57"/>
  <c r="L35" i="57"/>
  <c r="M35" i="57"/>
  <c r="N35" i="57"/>
  <c r="O35" i="57"/>
  <c r="P35" i="57"/>
  <c r="Q35" i="57"/>
  <c r="R35" i="57"/>
  <c r="S35" i="57"/>
  <c r="T35" i="57"/>
  <c r="B25" i="57"/>
  <c r="J37" i="53"/>
  <c r="K37" i="53"/>
  <c r="L37" i="53"/>
  <c r="M37" i="53"/>
  <c r="N37" i="53"/>
  <c r="O37" i="53"/>
  <c r="P37" i="53"/>
  <c r="Q37" i="53"/>
  <c r="R37" i="53"/>
  <c r="S37" i="53"/>
  <c r="T37" i="53"/>
  <c r="J36" i="53"/>
  <c r="K36" i="53"/>
  <c r="L36" i="53"/>
  <c r="M36" i="53"/>
  <c r="N36" i="53"/>
  <c r="O36" i="53"/>
  <c r="P36" i="53"/>
  <c r="Q36" i="53"/>
  <c r="R36" i="53"/>
  <c r="S36" i="53"/>
  <c r="T36" i="53"/>
  <c r="J35" i="53"/>
  <c r="K35" i="53"/>
  <c r="L35" i="53"/>
  <c r="M35" i="53"/>
  <c r="N35" i="53"/>
  <c r="O35" i="53"/>
  <c r="P35" i="53"/>
  <c r="Q35" i="53"/>
  <c r="R35" i="53"/>
  <c r="S35" i="53"/>
  <c r="T35" i="53"/>
  <c r="B25" i="53"/>
  <c r="J37" i="49"/>
  <c r="K37" i="49"/>
  <c r="L37" i="49"/>
  <c r="M37" i="49"/>
  <c r="N37" i="49"/>
  <c r="O37" i="49"/>
  <c r="P37" i="49"/>
  <c r="Q37" i="49"/>
  <c r="R37" i="49"/>
  <c r="S37" i="49"/>
  <c r="T37" i="49"/>
  <c r="J36" i="49"/>
  <c r="K36" i="49"/>
  <c r="L36" i="49"/>
  <c r="M36" i="49"/>
  <c r="N36" i="49"/>
  <c r="O36" i="49"/>
  <c r="P36" i="49"/>
  <c r="Q36" i="49"/>
  <c r="R36" i="49"/>
  <c r="S36" i="49"/>
  <c r="T36" i="49"/>
  <c r="J35" i="49"/>
  <c r="K35" i="49"/>
  <c r="L35" i="49"/>
  <c r="M35" i="49"/>
  <c r="N35" i="49"/>
  <c r="O35" i="49"/>
  <c r="P35" i="49"/>
  <c r="Q35" i="49"/>
  <c r="R35" i="49"/>
  <c r="S35" i="49"/>
  <c r="T35" i="49"/>
  <c r="B25" i="49"/>
  <c r="J37" i="45"/>
  <c r="K37" i="45"/>
  <c r="L37" i="45"/>
  <c r="M37" i="45"/>
  <c r="N37" i="45"/>
  <c r="O37" i="45"/>
  <c r="P37" i="45"/>
  <c r="Q37" i="45"/>
  <c r="R37" i="45"/>
  <c r="S37" i="45"/>
  <c r="T37" i="45"/>
  <c r="J36" i="45"/>
  <c r="K36" i="45"/>
  <c r="L36" i="45"/>
  <c r="M36" i="45"/>
  <c r="N36" i="45"/>
  <c r="O36" i="45"/>
  <c r="P36" i="45"/>
  <c r="Q36" i="45"/>
  <c r="R36" i="45"/>
  <c r="S36" i="45"/>
  <c r="T36" i="45"/>
  <c r="J35" i="45"/>
  <c r="K35" i="45"/>
  <c r="L35" i="45"/>
  <c r="M35" i="45"/>
  <c r="N35" i="45"/>
  <c r="O35" i="45"/>
  <c r="P35" i="45"/>
  <c r="Q35" i="45"/>
  <c r="R35" i="45"/>
  <c r="S35" i="45"/>
  <c r="T35" i="45"/>
  <c r="B25" i="45"/>
  <c r="D79" i="45" s="1"/>
  <c r="D98" i="77"/>
  <c r="D91" i="77"/>
  <c r="D84" i="77"/>
  <c r="D77" i="77"/>
  <c r="D56" i="77"/>
  <c r="D49" i="77"/>
  <c r="P16" i="77"/>
  <c r="P15" i="77" s="1"/>
  <c r="Q16" i="77"/>
  <c r="Q15" i="77" s="1"/>
  <c r="R16" i="77"/>
  <c r="R15" i="77" s="1"/>
  <c r="S16" i="77"/>
  <c r="S15" i="77" s="1"/>
  <c r="T16" i="77"/>
  <c r="T15" i="77" s="1"/>
  <c r="O14" i="77"/>
  <c r="O13" i="77" s="1"/>
  <c r="J12" i="77"/>
  <c r="J11" i="77" s="1"/>
  <c r="K12" i="77"/>
  <c r="K11" i="77" s="1"/>
  <c r="L12" i="77"/>
  <c r="L11" i="77" s="1"/>
  <c r="M12" i="77"/>
  <c r="M11" i="77" s="1"/>
  <c r="N12" i="77"/>
  <c r="N11" i="77" s="1"/>
  <c r="P10" i="77"/>
  <c r="Q10" i="77"/>
  <c r="R10" i="77"/>
  <c r="S10" i="77"/>
  <c r="T10" i="77"/>
  <c r="O10" i="77"/>
  <c r="J10" i="77"/>
  <c r="K10" i="77"/>
  <c r="L10" i="77"/>
  <c r="M10" i="77"/>
  <c r="N10" i="77"/>
  <c r="D224" i="75"/>
  <c r="D199" i="75"/>
  <c r="D174" i="75"/>
  <c r="D149" i="75"/>
  <c r="D92" i="75"/>
  <c r="D67" i="75"/>
  <c r="P16" i="75"/>
  <c r="P15" i="75" s="1"/>
  <c r="Q16" i="75"/>
  <c r="R16" i="75"/>
  <c r="R15" i="75" s="1"/>
  <c r="S16" i="75"/>
  <c r="T16" i="75"/>
  <c r="O14" i="75"/>
  <c r="O13" i="75" s="1"/>
  <c r="J12" i="75"/>
  <c r="J11" i="75" s="1"/>
  <c r="K12" i="75"/>
  <c r="K11" i="75" s="1"/>
  <c r="L12" i="75"/>
  <c r="L11" i="75" s="1"/>
  <c r="M12" i="75"/>
  <c r="M11" i="75" s="1"/>
  <c r="N12" i="75"/>
  <c r="N11" i="75" s="1"/>
  <c r="P10" i="75"/>
  <c r="Q10" i="75"/>
  <c r="R10" i="75"/>
  <c r="S10" i="75"/>
  <c r="T10" i="75"/>
  <c r="O10" i="75"/>
  <c r="J10" i="75"/>
  <c r="K10" i="75"/>
  <c r="L10" i="75"/>
  <c r="M10" i="75"/>
  <c r="N10" i="75"/>
  <c r="D98" i="69"/>
  <c r="D91" i="69"/>
  <c r="D84" i="69"/>
  <c r="D77" i="69"/>
  <c r="D56" i="69"/>
  <c r="D49" i="69"/>
  <c r="P16" i="69"/>
  <c r="P15" i="69" s="1"/>
  <c r="Q16" i="69"/>
  <c r="Q15" i="69" s="1"/>
  <c r="R16" i="69"/>
  <c r="S16" i="69"/>
  <c r="T16" i="69"/>
  <c r="T15" i="69" s="1"/>
  <c r="O14" i="69"/>
  <c r="O13" i="69" s="1"/>
  <c r="J12" i="69"/>
  <c r="J11" i="69" s="1"/>
  <c r="K12" i="69"/>
  <c r="K11" i="69" s="1"/>
  <c r="L12" i="69"/>
  <c r="L11" i="69" s="1"/>
  <c r="M12" i="69"/>
  <c r="M11" i="69" s="1"/>
  <c r="N12" i="69"/>
  <c r="N11" i="69" s="1"/>
  <c r="P10" i="69"/>
  <c r="Q10" i="69"/>
  <c r="R10" i="69"/>
  <c r="S10" i="69"/>
  <c r="T10" i="69"/>
  <c r="O10" i="69"/>
  <c r="J10" i="69"/>
  <c r="K10" i="69"/>
  <c r="L10" i="69"/>
  <c r="M10" i="69"/>
  <c r="N10" i="69"/>
  <c r="D103" i="61"/>
  <c r="D96" i="61"/>
  <c r="D89" i="61"/>
  <c r="D82" i="61"/>
  <c r="D56" i="61"/>
  <c r="D49" i="61"/>
  <c r="P16" i="61"/>
  <c r="Q16" i="61"/>
  <c r="Q15" i="61" s="1"/>
  <c r="R16" i="61"/>
  <c r="R15" i="61" s="1"/>
  <c r="S16" i="61"/>
  <c r="T16" i="61"/>
  <c r="T15" i="61" s="1"/>
  <c r="O14" i="61"/>
  <c r="O13" i="61" s="1"/>
  <c r="J12" i="61"/>
  <c r="J11" i="61" s="1"/>
  <c r="K12" i="61"/>
  <c r="K11" i="61" s="1"/>
  <c r="L12" i="61"/>
  <c r="L11" i="61" s="1"/>
  <c r="M12" i="61"/>
  <c r="M11" i="61" s="1"/>
  <c r="N12" i="61"/>
  <c r="N11" i="61" s="1"/>
  <c r="P10" i="61"/>
  <c r="Q10" i="61"/>
  <c r="R10" i="61"/>
  <c r="S10" i="61"/>
  <c r="T10" i="61"/>
  <c r="O10" i="61"/>
  <c r="J10" i="61"/>
  <c r="K10" i="61"/>
  <c r="L10" i="61"/>
  <c r="M10" i="61"/>
  <c r="N10" i="61"/>
  <c r="D133" i="57"/>
  <c r="D121" i="57"/>
  <c r="D109" i="57"/>
  <c r="D97" i="57"/>
  <c r="D66" i="57"/>
  <c r="D54" i="57"/>
  <c r="P16" i="57"/>
  <c r="Q16" i="57"/>
  <c r="Q15" i="57" s="1"/>
  <c r="R16" i="57"/>
  <c r="R15" i="57" s="1"/>
  <c r="S16" i="57"/>
  <c r="S15" i="57" s="1"/>
  <c r="T16" i="57"/>
  <c r="O14" i="57"/>
  <c r="O13" i="57" s="1"/>
  <c r="J12" i="57"/>
  <c r="J11" i="57" s="1"/>
  <c r="K12" i="57"/>
  <c r="K11" i="57" s="1"/>
  <c r="L12" i="57"/>
  <c r="L11" i="57" s="1"/>
  <c r="M12" i="57"/>
  <c r="M11" i="57" s="1"/>
  <c r="N12" i="57"/>
  <c r="N11" i="57" s="1"/>
  <c r="P10" i="57"/>
  <c r="Q10" i="57"/>
  <c r="R10" i="57"/>
  <c r="S10" i="57"/>
  <c r="T10" i="57"/>
  <c r="O10" i="57"/>
  <c r="J10" i="57"/>
  <c r="K10" i="57"/>
  <c r="L10" i="57"/>
  <c r="M10" i="57"/>
  <c r="N10" i="57"/>
  <c r="D147" i="53"/>
  <c r="D133" i="53"/>
  <c r="D119" i="53"/>
  <c r="D105" i="53"/>
  <c r="D70" i="53"/>
  <c r="D56" i="53"/>
  <c r="P16" i="53"/>
  <c r="Q16" i="53"/>
  <c r="Q15" i="53" s="1"/>
  <c r="R16" i="53"/>
  <c r="R15" i="53" s="1"/>
  <c r="S16" i="53"/>
  <c r="S15" i="53" s="1"/>
  <c r="T16" i="53"/>
  <c r="T15" i="53" s="1"/>
  <c r="O14" i="53"/>
  <c r="O13" i="53" s="1"/>
  <c r="J12" i="53"/>
  <c r="J11" i="53" s="1"/>
  <c r="K12" i="53"/>
  <c r="K11" i="53" s="1"/>
  <c r="L12" i="53"/>
  <c r="L11" i="53" s="1"/>
  <c r="M12" i="53"/>
  <c r="M11" i="53" s="1"/>
  <c r="N12" i="53"/>
  <c r="N11" i="53" s="1"/>
  <c r="P10" i="53"/>
  <c r="Q10" i="53"/>
  <c r="R10" i="53"/>
  <c r="S10" i="53"/>
  <c r="T10" i="53"/>
  <c r="O10" i="53"/>
  <c r="J10" i="53"/>
  <c r="K10" i="53"/>
  <c r="L10" i="53"/>
  <c r="M10" i="53"/>
  <c r="N10" i="53"/>
  <c r="D119" i="49"/>
  <c r="D109" i="49"/>
  <c r="D99" i="49"/>
  <c r="D89" i="49"/>
  <c r="D62" i="49"/>
  <c r="D52" i="49"/>
  <c r="P16" i="49"/>
  <c r="P15" i="49" s="1"/>
  <c r="Q16" i="49"/>
  <c r="R16" i="49"/>
  <c r="R15" i="49" s="1"/>
  <c r="S16" i="49"/>
  <c r="T16" i="49"/>
  <c r="O14" i="49"/>
  <c r="O13" i="49" s="1"/>
  <c r="J12" i="49"/>
  <c r="J11" i="49" s="1"/>
  <c r="K12" i="49"/>
  <c r="K11" i="49" s="1"/>
  <c r="L12" i="49"/>
  <c r="L11" i="49" s="1"/>
  <c r="M12" i="49"/>
  <c r="M11" i="49" s="1"/>
  <c r="N12" i="49"/>
  <c r="N11" i="49" s="1"/>
  <c r="P10" i="49"/>
  <c r="Q10" i="49"/>
  <c r="R10" i="49"/>
  <c r="S10" i="49"/>
  <c r="T10" i="49"/>
  <c r="O10" i="49"/>
  <c r="J10" i="49"/>
  <c r="K10" i="49"/>
  <c r="L10" i="49"/>
  <c r="M10" i="49"/>
  <c r="N10" i="49"/>
  <c r="D140" i="45"/>
  <c r="D127" i="45"/>
  <c r="D114" i="45"/>
  <c r="D101" i="45"/>
  <c r="D68" i="45"/>
  <c r="D55" i="45"/>
  <c r="P16" i="45"/>
  <c r="Q16" i="45"/>
  <c r="R16" i="45"/>
  <c r="S16" i="45"/>
  <c r="S15" i="45" s="1"/>
  <c r="T16" i="45"/>
  <c r="T15" i="45" s="1"/>
  <c r="O14" i="45"/>
  <c r="O13" i="45" s="1"/>
  <c r="J12" i="45"/>
  <c r="J11" i="45" s="1"/>
  <c r="K12" i="45"/>
  <c r="K11" i="45" s="1"/>
  <c r="L12" i="45"/>
  <c r="L11" i="45" s="1"/>
  <c r="M12" i="45"/>
  <c r="M11" i="45" s="1"/>
  <c r="N12" i="45"/>
  <c r="N11" i="45" s="1"/>
  <c r="P10" i="45"/>
  <c r="Q10" i="45"/>
  <c r="R10" i="45"/>
  <c r="S10" i="45"/>
  <c r="T10" i="45"/>
  <c r="O10" i="45"/>
  <c r="J10" i="45"/>
  <c r="K10" i="45"/>
  <c r="L10" i="45"/>
  <c r="M10" i="45"/>
  <c r="N10" i="45"/>
  <c r="J37" i="41"/>
  <c r="K37" i="41"/>
  <c r="L37" i="41"/>
  <c r="M37" i="41"/>
  <c r="N37" i="41"/>
  <c r="O37" i="41"/>
  <c r="P37" i="41"/>
  <c r="Q37" i="41"/>
  <c r="R37" i="41"/>
  <c r="S37" i="41"/>
  <c r="T37" i="41"/>
  <c r="J36" i="41"/>
  <c r="K36" i="41"/>
  <c r="L36" i="41"/>
  <c r="M36" i="41"/>
  <c r="N36" i="41"/>
  <c r="O36" i="41"/>
  <c r="P36" i="41"/>
  <c r="Q36" i="41"/>
  <c r="R36" i="41"/>
  <c r="S36" i="41"/>
  <c r="T36" i="41"/>
  <c r="J35" i="41"/>
  <c r="K35" i="41"/>
  <c r="L35" i="41"/>
  <c r="M35" i="41"/>
  <c r="N35" i="41"/>
  <c r="O35" i="41"/>
  <c r="P35" i="41"/>
  <c r="Q35" i="41"/>
  <c r="R35" i="41"/>
  <c r="S35" i="41"/>
  <c r="T35" i="41"/>
  <c r="B25" i="41"/>
  <c r="D70" i="41" s="1"/>
  <c r="J37" i="37"/>
  <c r="K37" i="37"/>
  <c r="L37" i="37"/>
  <c r="M37" i="37"/>
  <c r="N37" i="37"/>
  <c r="O37" i="37"/>
  <c r="P37" i="37"/>
  <c r="Q37" i="37"/>
  <c r="R37" i="37"/>
  <c r="S37" i="37"/>
  <c r="T37" i="37"/>
  <c r="J36" i="37"/>
  <c r="K36" i="37"/>
  <c r="L36" i="37"/>
  <c r="M36" i="37"/>
  <c r="N36" i="37"/>
  <c r="O36" i="37"/>
  <c r="P36" i="37"/>
  <c r="Q36" i="37"/>
  <c r="R36" i="37"/>
  <c r="S36" i="37"/>
  <c r="T36" i="37"/>
  <c r="J35" i="37"/>
  <c r="K35" i="37"/>
  <c r="L35" i="37"/>
  <c r="M35" i="37"/>
  <c r="N35" i="37"/>
  <c r="O35" i="37"/>
  <c r="P35" i="37"/>
  <c r="Q35" i="37"/>
  <c r="R35" i="37"/>
  <c r="S35" i="37"/>
  <c r="T35" i="37"/>
  <c r="B25" i="37"/>
  <c r="D70" i="37" s="1"/>
  <c r="J37" i="33"/>
  <c r="K37" i="33"/>
  <c r="L37" i="33"/>
  <c r="M37" i="33"/>
  <c r="N37" i="33"/>
  <c r="O37" i="33"/>
  <c r="P37" i="33"/>
  <c r="Q37" i="33"/>
  <c r="R37" i="33"/>
  <c r="S37" i="33"/>
  <c r="T37" i="33"/>
  <c r="J36" i="33"/>
  <c r="K36" i="33"/>
  <c r="L36" i="33"/>
  <c r="M36" i="33"/>
  <c r="N36" i="33"/>
  <c r="O36" i="33"/>
  <c r="P36" i="33"/>
  <c r="Q36" i="33"/>
  <c r="R36" i="33"/>
  <c r="S36" i="33"/>
  <c r="T36" i="33"/>
  <c r="J35" i="33"/>
  <c r="K35" i="33"/>
  <c r="L35" i="33"/>
  <c r="M35" i="33"/>
  <c r="N35" i="33"/>
  <c r="O35" i="33"/>
  <c r="P35" i="33"/>
  <c r="Q35" i="33"/>
  <c r="R35" i="33"/>
  <c r="S35" i="33"/>
  <c r="T35" i="33"/>
  <c r="B25" i="33"/>
  <c r="D61" i="33" s="1"/>
  <c r="D119" i="41"/>
  <c r="D109" i="41"/>
  <c r="D99" i="41"/>
  <c r="D89" i="41"/>
  <c r="D62" i="41"/>
  <c r="D52" i="41"/>
  <c r="P16" i="41"/>
  <c r="Q16" i="41"/>
  <c r="R16" i="41"/>
  <c r="R15" i="41" s="1"/>
  <c r="S16" i="41"/>
  <c r="S15" i="41" s="1"/>
  <c r="T16" i="41"/>
  <c r="O14" i="41"/>
  <c r="O13" i="41" s="1"/>
  <c r="J12" i="41"/>
  <c r="J11" i="41" s="1"/>
  <c r="K12" i="41"/>
  <c r="K11" i="41" s="1"/>
  <c r="L12" i="41"/>
  <c r="L11" i="41" s="1"/>
  <c r="M12" i="41"/>
  <c r="M11" i="41" s="1"/>
  <c r="N12" i="41"/>
  <c r="N11" i="41" s="1"/>
  <c r="P10" i="41"/>
  <c r="Q10" i="41"/>
  <c r="R10" i="41"/>
  <c r="S10" i="41"/>
  <c r="T10" i="41"/>
  <c r="O10" i="41"/>
  <c r="J10" i="41"/>
  <c r="K10" i="41"/>
  <c r="L10" i="41"/>
  <c r="M10" i="41"/>
  <c r="N10" i="41"/>
  <c r="D119" i="37"/>
  <c r="D109" i="37"/>
  <c r="D99" i="37"/>
  <c r="D89" i="37"/>
  <c r="D62" i="37"/>
  <c r="D52" i="37"/>
  <c r="P16" i="37"/>
  <c r="P15" i="37" s="1"/>
  <c r="Q16" i="37"/>
  <c r="Q15" i="37" s="1"/>
  <c r="R16" i="37"/>
  <c r="R15" i="37" s="1"/>
  <c r="S16" i="37"/>
  <c r="T16" i="37"/>
  <c r="O14" i="37"/>
  <c r="O13" i="37" s="1"/>
  <c r="J12" i="37"/>
  <c r="J11" i="37" s="1"/>
  <c r="K12" i="37"/>
  <c r="K11" i="37" s="1"/>
  <c r="L12" i="37"/>
  <c r="L11" i="37" s="1"/>
  <c r="M12" i="37"/>
  <c r="M11" i="37" s="1"/>
  <c r="N12" i="37"/>
  <c r="N11" i="37" s="1"/>
  <c r="P10" i="37"/>
  <c r="Q10" i="37"/>
  <c r="R10" i="37"/>
  <c r="S10" i="37"/>
  <c r="T10" i="37"/>
  <c r="O10" i="37"/>
  <c r="J10" i="37"/>
  <c r="K10" i="37"/>
  <c r="L10" i="37"/>
  <c r="M10" i="37"/>
  <c r="N10" i="37"/>
  <c r="D98" i="33"/>
  <c r="D91" i="33"/>
  <c r="D84" i="33"/>
  <c r="D77" i="33"/>
  <c r="D56" i="33"/>
  <c r="D49" i="33"/>
  <c r="P16" i="33"/>
  <c r="Q16" i="33"/>
  <c r="R16" i="33"/>
  <c r="R15" i="33" s="1"/>
  <c r="S16" i="33"/>
  <c r="S15" i="33" s="1"/>
  <c r="T16" i="33"/>
  <c r="O14" i="33"/>
  <c r="O13" i="33" s="1"/>
  <c r="J12" i="33"/>
  <c r="J11" i="33" s="1"/>
  <c r="K12" i="33"/>
  <c r="K11" i="33" s="1"/>
  <c r="L12" i="33"/>
  <c r="L11" i="33" s="1"/>
  <c r="M12" i="33"/>
  <c r="M11" i="33" s="1"/>
  <c r="N12" i="33"/>
  <c r="N11" i="33" s="1"/>
  <c r="P10" i="33"/>
  <c r="Q10" i="33"/>
  <c r="R10" i="33"/>
  <c r="S10" i="33"/>
  <c r="T10" i="33"/>
  <c r="O10" i="33"/>
  <c r="J10" i="33"/>
  <c r="K10" i="33"/>
  <c r="L10" i="33"/>
  <c r="M10" i="33"/>
  <c r="N10" i="33"/>
  <c r="J37" i="29"/>
  <c r="K37" i="29"/>
  <c r="L37" i="29"/>
  <c r="M37" i="29"/>
  <c r="N37" i="29"/>
  <c r="O37" i="29"/>
  <c r="P37" i="29"/>
  <c r="Q37" i="29"/>
  <c r="R37" i="29"/>
  <c r="S37" i="29"/>
  <c r="T37" i="29"/>
  <c r="J36" i="29"/>
  <c r="K36" i="29"/>
  <c r="L36" i="29"/>
  <c r="M36" i="29"/>
  <c r="N36" i="29"/>
  <c r="O36" i="29"/>
  <c r="P36" i="29"/>
  <c r="Q36" i="29"/>
  <c r="R36" i="29"/>
  <c r="S36" i="29"/>
  <c r="T36" i="29"/>
  <c r="J35" i="29"/>
  <c r="K35" i="29"/>
  <c r="L35" i="29"/>
  <c r="M35" i="29"/>
  <c r="N35" i="29"/>
  <c r="O35" i="29"/>
  <c r="P35" i="29"/>
  <c r="Q35" i="29"/>
  <c r="R35" i="29"/>
  <c r="S35" i="29"/>
  <c r="T35" i="29"/>
  <c r="B25" i="29"/>
  <c r="D168" i="29"/>
  <c r="D151" i="29"/>
  <c r="D134" i="29"/>
  <c r="D117" i="29"/>
  <c r="D76" i="29"/>
  <c r="D59" i="29"/>
  <c r="P16" i="29"/>
  <c r="P15" i="29" s="1"/>
  <c r="Q16" i="29"/>
  <c r="Q15" i="29" s="1"/>
  <c r="R16" i="29"/>
  <c r="S16" i="29"/>
  <c r="S15" i="29" s="1"/>
  <c r="T16" i="29"/>
  <c r="T15" i="29" s="1"/>
  <c r="O14" i="29"/>
  <c r="O13" i="29" s="1"/>
  <c r="J12" i="29"/>
  <c r="J11" i="29" s="1"/>
  <c r="K12" i="29"/>
  <c r="K11" i="29" s="1"/>
  <c r="L12" i="29"/>
  <c r="L11" i="29" s="1"/>
  <c r="M12" i="29"/>
  <c r="M11" i="29" s="1"/>
  <c r="N12" i="29"/>
  <c r="N11" i="29" s="1"/>
  <c r="P10" i="29"/>
  <c r="Q10" i="29"/>
  <c r="R10" i="29"/>
  <c r="S10" i="29"/>
  <c r="T10" i="29"/>
  <c r="O10" i="29"/>
  <c r="J10" i="29"/>
  <c r="K10" i="29"/>
  <c r="L10" i="29"/>
  <c r="M10" i="29"/>
  <c r="N10" i="29"/>
  <c r="P16" i="27"/>
  <c r="P15" i="27" s="1"/>
  <c r="Q16" i="27"/>
  <c r="R16" i="27"/>
  <c r="R15" i="27" s="1"/>
  <c r="S16" i="27"/>
  <c r="S15" i="27" s="1"/>
  <c r="T16" i="27"/>
  <c r="O14" i="27"/>
  <c r="O13" i="27" s="1"/>
  <c r="J12" i="27"/>
  <c r="J11" i="27" s="1"/>
  <c r="K12" i="27"/>
  <c r="K11" i="27" s="1"/>
  <c r="L12" i="27"/>
  <c r="L11" i="27" s="1"/>
  <c r="M12" i="27"/>
  <c r="M11" i="27" s="1"/>
  <c r="N12" i="27"/>
  <c r="N11" i="27" s="1"/>
  <c r="P10" i="27"/>
  <c r="Q10" i="27"/>
  <c r="R10" i="27"/>
  <c r="S10" i="27"/>
  <c r="T10" i="27"/>
  <c r="O10" i="27"/>
  <c r="J10" i="27"/>
  <c r="K10" i="27"/>
  <c r="L10" i="27"/>
  <c r="M10" i="27"/>
  <c r="N10" i="27"/>
  <c r="D119" i="19"/>
  <c r="D175" i="18"/>
  <c r="T243" i="61" l="1"/>
  <c r="L243" i="61"/>
  <c r="P243" i="61"/>
  <c r="R243" i="61"/>
  <c r="M500" i="61"/>
  <c r="Q500" i="61"/>
  <c r="J500" i="61"/>
  <c r="O500" i="61"/>
  <c r="K500" i="61"/>
  <c r="R500" i="61"/>
  <c r="P500" i="61"/>
  <c r="N243" i="61"/>
  <c r="S243" i="61"/>
  <c r="T500" i="61"/>
  <c r="L500" i="61"/>
  <c r="N500" i="61"/>
  <c r="S500" i="61"/>
  <c r="Q243" i="61"/>
  <c r="M243" i="61"/>
  <c r="K243" i="61"/>
  <c r="J243" i="61"/>
  <c r="O243" i="61"/>
  <c r="O233" i="27"/>
  <c r="O233" i="78" s="1"/>
  <c r="O233" i="79" s="1"/>
  <c r="Q225" i="27"/>
  <c r="Q225" i="78" s="1"/>
  <c r="Q225" i="79" s="1"/>
  <c r="N231" i="27"/>
  <c r="N231" i="78" s="1"/>
  <c r="N231" i="79" s="1"/>
  <c r="Q223" i="27"/>
  <c r="Q223" i="78" s="1"/>
  <c r="Q223" i="79" s="1"/>
  <c r="O224" i="27"/>
  <c r="O224" i="78" s="1"/>
  <c r="O224" i="79" s="1"/>
  <c r="L230" i="27"/>
  <c r="L230" i="78" s="1"/>
  <c r="L230" i="79" s="1"/>
  <c r="N222" i="27"/>
  <c r="N222" i="78" s="1"/>
  <c r="N222" i="79" s="1"/>
  <c r="J232" i="27"/>
  <c r="J232" i="78" s="1"/>
  <c r="J232" i="79" s="1"/>
  <c r="L224" i="27"/>
  <c r="L224" i="78" s="1"/>
  <c r="L224" i="79" s="1"/>
  <c r="S232" i="27"/>
  <c r="S232" i="78" s="1"/>
  <c r="S232" i="79" s="1"/>
  <c r="K225" i="27"/>
  <c r="K225" i="78" s="1"/>
  <c r="K225" i="79" s="1"/>
  <c r="R231" i="27"/>
  <c r="R231" i="78" s="1"/>
  <c r="R231" i="79" s="1"/>
  <c r="J224" i="27"/>
  <c r="J224" i="78" s="1"/>
  <c r="J224" i="79" s="1"/>
  <c r="Q230" i="27"/>
  <c r="Q230" i="78" s="1"/>
  <c r="Q230" i="79" s="1"/>
  <c r="T222" i="27"/>
  <c r="T222" i="78" s="1"/>
  <c r="T222" i="79" s="1"/>
  <c r="O230" i="27"/>
  <c r="O230" i="78" s="1"/>
  <c r="O230" i="79" s="1"/>
  <c r="Q224" i="27"/>
  <c r="Q224" i="78" s="1"/>
  <c r="Q224" i="79" s="1"/>
  <c r="J233" i="27"/>
  <c r="J233" i="78" s="1"/>
  <c r="J233" i="79" s="1"/>
  <c r="L227" i="27"/>
  <c r="L227" i="78" s="1"/>
  <c r="L227" i="79" s="1"/>
  <c r="N221" i="27"/>
  <c r="N221" i="78" s="1"/>
  <c r="N221" i="79" s="1"/>
  <c r="O232" i="27"/>
  <c r="O232" i="78" s="1"/>
  <c r="O232" i="79" s="1"/>
  <c r="R224" i="27"/>
  <c r="R224" i="78" s="1"/>
  <c r="R224" i="79" s="1"/>
  <c r="N230" i="27"/>
  <c r="N230" i="78" s="1"/>
  <c r="N230" i="79" s="1"/>
  <c r="Q222" i="27"/>
  <c r="Q222" i="78" s="1"/>
  <c r="Q222" i="79" s="1"/>
  <c r="P221" i="27"/>
  <c r="P221" i="78" s="1"/>
  <c r="P221" i="79" s="1"/>
  <c r="L229" i="27"/>
  <c r="L229" i="78" s="1"/>
  <c r="L229" i="79" s="1"/>
  <c r="O221" i="27"/>
  <c r="O221" i="78" s="1"/>
  <c r="O221" i="79" s="1"/>
  <c r="J231" i="27"/>
  <c r="J231" i="78" s="1"/>
  <c r="J231" i="79" s="1"/>
  <c r="M223" i="27"/>
  <c r="M223" i="78" s="1"/>
  <c r="M223" i="79" s="1"/>
  <c r="S231" i="27"/>
  <c r="S231" i="78" s="1"/>
  <c r="S231" i="79" s="1"/>
  <c r="K224" i="27"/>
  <c r="K224" i="78" s="1"/>
  <c r="K224" i="79" s="1"/>
  <c r="R230" i="27"/>
  <c r="R230" i="78" s="1"/>
  <c r="R230" i="79" s="1"/>
  <c r="J223" i="27"/>
  <c r="J223" i="78" s="1"/>
  <c r="J223" i="79" s="1"/>
  <c r="Q229" i="27"/>
  <c r="Q229" i="78" s="1"/>
  <c r="Q229" i="79" s="1"/>
  <c r="T221" i="27"/>
  <c r="T221" i="78" s="1"/>
  <c r="T221" i="79" s="1"/>
  <c r="R229" i="27"/>
  <c r="R229" i="78" s="1"/>
  <c r="R229" i="79" s="1"/>
  <c r="T223" i="27"/>
  <c r="T223" i="78" s="1"/>
  <c r="T223" i="79" s="1"/>
  <c r="M232" i="27"/>
  <c r="M232" i="78" s="1"/>
  <c r="M232" i="79" s="1"/>
  <c r="O226" i="27"/>
  <c r="O226" i="78" s="1"/>
  <c r="O226" i="79" s="1"/>
  <c r="Q220" i="27"/>
  <c r="Q220" i="78" s="1"/>
  <c r="Q220" i="79" s="1"/>
  <c r="O231" i="27"/>
  <c r="O231" i="78" s="1"/>
  <c r="O231" i="79" s="1"/>
  <c r="R223" i="27"/>
  <c r="R223" i="78" s="1"/>
  <c r="R223" i="79" s="1"/>
  <c r="O229" i="27"/>
  <c r="O229" i="78" s="1"/>
  <c r="O229" i="79" s="1"/>
  <c r="Q221" i="27"/>
  <c r="Q221" i="78" s="1"/>
  <c r="Q221" i="79" s="1"/>
  <c r="L232" i="27"/>
  <c r="L232" i="78" s="1"/>
  <c r="L232" i="79" s="1"/>
  <c r="L228" i="27"/>
  <c r="L228" i="78" s="1"/>
  <c r="L228" i="79" s="1"/>
  <c r="O220" i="27"/>
  <c r="O220" i="78" s="1"/>
  <c r="O220" i="79" s="1"/>
  <c r="J230" i="27"/>
  <c r="J230" i="78" s="1"/>
  <c r="J230" i="79" s="1"/>
  <c r="M222" i="27"/>
  <c r="M222" i="78" s="1"/>
  <c r="M222" i="79" s="1"/>
  <c r="T230" i="27"/>
  <c r="T230" i="78" s="1"/>
  <c r="T230" i="79" s="1"/>
  <c r="K223" i="27"/>
  <c r="K223" i="78" s="1"/>
  <c r="K223" i="79" s="1"/>
  <c r="S229" i="27"/>
  <c r="S229" i="78" s="1"/>
  <c r="S229" i="79" s="1"/>
  <c r="J222" i="27"/>
  <c r="J222" i="78" s="1"/>
  <c r="J222" i="79" s="1"/>
  <c r="R228" i="27"/>
  <c r="R228" i="78" s="1"/>
  <c r="R228" i="79" s="1"/>
  <c r="T220" i="27"/>
  <c r="T220" i="78" s="1"/>
  <c r="T220" i="79" s="1"/>
  <c r="J229" i="27"/>
  <c r="J229" i="78" s="1"/>
  <c r="J229" i="79" s="1"/>
  <c r="L223" i="27"/>
  <c r="L223" i="78" s="1"/>
  <c r="L223" i="79" s="1"/>
  <c r="P231" i="27"/>
  <c r="P231" i="78" s="1"/>
  <c r="P231" i="79" s="1"/>
  <c r="R225" i="27"/>
  <c r="R225" i="78" s="1"/>
  <c r="R225" i="79" s="1"/>
  <c r="P230" i="27"/>
  <c r="P230" i="78" s="1"/>
  <c r="P230" i="79" s="1"/>
  <c r="R222" i="27"/>
  <c r="R222" i="78" s="1"/>
  <c r="R222" i="79" s="1"/>
  <c r="O228" i="27"/>
  <c r="O228" i="78" s="1"/>
  <c r="O228" i="79" s="1"/>
  <c r="R220" i="27"/>
  <c r="R220" i="78" s="1"/>
  <c r="R220" i="79" s="1"/>
  <c r="N228" i="27"/>
  <c r="N228" i="78" s="1"/>
  <c r="N228" i="79" s="1"/>
  <c r="M227" i="27"/>
  <c r="M227" i="78" s="1"/>
  <c r="M227" i="79" s="1"/>
  <c r="L233" i="27"/>
  <c r="L233" i="78" s="1"/>
  <c r="L233" i="79" s="1"/>
  <c r="K229" i="27"/>
  <c r="K229" i="78" s="1"/>
  <c r="K229" i="79" s="1"/>
  <c r="M221" i="27"/>
  <c r="M221" i="78" s="1"/>
  <c r="M221" i="79" s="1"/>
  <c r="T229" i="27"/>
  <c r="T229" i="78" s="1"/>
  <c r="T229" i="79" s="1"/>
  <c r="L222" i="27"/>
  <c r="L222" i="78" s="1"/>
  <c r="L222" i="79" s="1"/>
  <c r="S228" i="27"/>
  <c r="S228" i="78" s="1"/>
  <c r="S228" i="79" s="1"/>
  <c r="K221" i="27"/>
  <c r="K221" i="78" s="1"/>
  <c r="K221" i="79" s="1"/>
  <c r="R227" i="27"/>
  <c r="R227" i="78" s="1"/>
  <c r="R227" i="79" s="1"/>
  <c r="J220" i="27"/>
  <c r="J220" i="78" s="1"/>
  <c r="J220" i="79" s="1"/>
  <c r="M228" i="27"/>
  <c r="M228" i="78" s="1"/>
  <c r="M228" i="79" s="1"/>
  <c r="O222" i="27"/>
  <c r="O222" i="78" s="1"/>
  <c r="O222" i="79" s="1"/>
  <c r="S230" i="27"/>
  <c r="S230" i="78" s="1"/>
  <c r="S230" i="79" s="1"/>
  <c r="J225" i="27"/>
  <c r="J225" i="78" s="1"/>
  <c r="J225" i="79" s="1"/>
  <c r="P229" i="27"/>
  <c r="P229" i="78" s="1"/>
  <c r="P229" i="79" s="1"/>
  <c r="S221" i="27"/>
  <c r="S221" i="78" s="1"/>
  <c r="S221" i="79" s="1"/>
  <c r="O227" i="27"/>
  <c r="O227" i="78" s="1"/>
  <c r="O227" i="79" s="1"/>
  <c r="M231" i="27"/>
  <c r="M231" i="78" s="1"/>
  <c r="M231" i="79" s="1"/>
  <c r="O223" i="27"/>
  <c r="O223" i="78" s="1"/>
  <c r="O223" i="79" s="1"/>
  <c r="M226" i="27"/>
  <c r="M226" i="78" s="1"/>
  <c r="M226" i="79" s="1"/>
  <c r="M230" i="27"/>
  <c r="M230" i="78" s="1"/>
  <c r="M230" i="79" s="1"/>
  <c r="K228" i="27"/>
  <c r="K228" i="78" s="1"/>
  <c r="K228" i="79" s="1"/>
  <c r="N220" i="27"/>
  <c r="N220" i="78" s="1"/>
  <c r="N220" i="79" s="1"/>
  <c r="T228" i="27"/>
  <c r="T228" i="78" s="1"/>
  <c r="T228" i="79" s="1"/>
  <c r="L221" i="27"/>
  <c r="L221" i="78" s="1"/>
  <c r="L221" i="79" s="1"/>
  <c r="S227" i="27"/>
  <c r="S227" i="78" s="1"/>
  <c r="S227" i="79" s="1"/>
  <c r="K220" i="27"/>
  <c r="K220" i="78" s="1"/>
  <c r="K220" i="79" s="1"/>
  <c r="R226" i="27"/>
  <c r="R226" i="78" s="1"/>
  <c r="R226" i="79" s="1"/>
  <c r="N233" i="27"/>
  <c r="N233" i="78" s="1"/>
  <c r="N233" i="79" s="1"/>
  <c r="P227" i="27"/>
  <c r="P227" i="78" s="1"/>
  <c r="P227" i="79" s="1"/>
  <c r="R221" i="27"/>
  <c r="R221" i="78" s="1"/>
  <c r="R221" i="79" s="1"/>
  <c r="K230" i="27"/>
  <c r="K230" i="78" s="1"/>
  <c r="K230" i="79" s="1"/>
  <c r="M224" i="27"/>
  <c r="M224" i="78" s="1"/>
  <c r="M224" i="79" s="1"/>
  <c r="P228" i="27"/>
  <c r="P228" i="78" s="1"/>
  <c r="P228" i="79" s="1"/>
  <c r="S220" i="27"/>
  <c r="S220" i="78" s="1"/>
  <c r="S220" i="79" s="1"/>
  <c r="P226" i="27"/>
  <c r="P226" i="78" s="1"/>
  <c r="P226" i="79" s="1"/>
  <c r="N227" i="27"/>
  <c r="N227" i="78" s="1"/>
  <c r="N227" i="79" s="1"/>
  <c r="K233" i="27"/>
  <c r="K233" i="78" s="1"/>
  <c r="K233" i="79" s="1"/>
  <c r="M225" i="27"/>
  <c r="M225" i="78" s="1"/>
  <c r="M225" i="79" s="1"/>
  <c r="P220" i="27"/>
  <c r="P220" i="78" s="1"/>
  <c r="P220" i="79" s="1"/>
  <c r="K227" i="27"/>
  <c r="K227" i="78" s="1"/>
  <c r="K227" i="79" s="1"/>
  <c r="M229" i="27"/>
  <c r="M229" i="78" s="1"/>
  <c r="M229" i="79" s="1"/>
  <c r="J228" i="27"/>
  <c r="J228" i="78" s="1"/>
  <c r="J228" i="79" s="1"/>
  <c r="L220" i="27"/>
  <c r="L220" i="78" s="1"/>
  <c r="L220" i="79" s="1"/>
  <c r="T226" i="27"/>
  <c r="T226" i="78" s="1"/>
  <c r="T226" i="79" s="1"/>
  <c r="P233" i="27"/>
  <c r="P233" i="78" s="1"/>
  <c r="P233" i="79" s="1"/>
  <c r="S225" i="27"/>
  <c r="S225" i="78" s="1"/>
  <c r="S225" i="79" s="1"/>
  <c r="Q232" i="27"/>
  <c r="Q232" i="78" s="1"/>
  <c r="Q232" i="79" s="1"/>
  <c r="S226" i="27"/>
  <c r="S226" i="78" s="1"/>
  <c r="S226" i="79" s="1"/>
  <c r="J221" i="27"/>
  <c r="J221" i="78" s="1"/>
  <c r="J221" i="79" s="1"/>
  <c r="N229" i="27"/>
  <c r="N229" i="78" s="1"/>
  <c r="N229" i="79" s="1"/>
  <c r="P223" i="27"/>
  <c r="P223" i="78" s="1"/>
  <c r="P223" i="79" s="1"/>
  <c r="Q227" i="27"/>
  <c r="Q227" i="78" s="1"/>
  <c r="Q227" i="79" s="1"/>
  <c r="M233" i="27"/>
  <c r="M233" i="78" s="1"/>
  <c r="M233" i="79" s="1"/>
  <c r="P225" i="27"/>
  <c r="P225" i="78" s="1"/>
  <c r="P225" i="79" s="1"/>
  <c r="N226" i="27"/>
  <c r="N226" i="78" s="1"/>
  <c r="N226" i="79" s="1"/>
  <c r="K232" i="27"/>
  <c r="K232" i="78" s="1"/>
  <c r="K232" i="79" s="1"/>
  <c r="N224" i="27"/>
  <c r="N224" i="78" s="1"/>
  <c r="N224" i="79" s="1"/>
  <c r="T233" i="27"/>
  <c r="T233" i="78" s="1"/>
  <c r="T233" i="79" s="1"/>
  <c r="L226" i="27"/>
  <c r="L226" i="78" s="1"/>
  <c r="L226" i="79" s="1"/>
  <c r="P222" i="27"/>
  <c r="P222" i="78" s="1"/>
  <c r="P222" i="79" s="1"/>
  <c r="J227" i="27"/>
  <c r="J227" i="78" s="1"/>
  <c r="J227" i="79" s="1"/>
  <c r="Q233" i="27"/>
  <c r="Q233" i="78" s="1"/>
  <c r="Q233" i="79" s="1"/>
  <c r="T225" i="27"/>
  <c r="T225" i="78" s="1"/>
  <c r="T225" i="79" s="1"/>
  <c r="P232" i="27"/>
  <c r="P232" i="78" s="1"/>
  <c r="P232" i="79" s="1"/>
  <c r="S224" i="27"/>
  <c r="S224" i="78" s="1"/>
  <c r="S224" i="79" s="1"/>
  <c r="T231" i="27"/>
  <c r="T231" i="78" s="1"/>
  <c r="T231" i="79" s="1"/>
  <c r="K226" i="27"/>
  <c r="K226" i="78" s="1"/>
  <c r="K226" i="79" s="1"/>
  <c r="M220" i="27"/>
  <c r="M220" i="78" s="1"/>
  <c r="M220" i="79" s="1"/>
  <c r="Q228" i="27"/>
  <c r="Q228" i="78" s="1"/>
  <c r="Q228" i="79" s="1"/>
  <c r="S222" i="27"/>
  <c r="S222" i="78" s="1"/>
  <c r="S222" i="79" s="1"/>
  <c r="Q226" i="27"/>
  <c r="Q226" i="78" s="1"/>
  <c r="Q226" i="79" s="1"/>
  <c r="N232" i="27"/>
  <c r="N232" i="78" s="1"/>
  <c r="N232" i="79" s="1"/>
  <c r="P224" i="27"/>
  <c r="P224" i="78" s="1"/>
  <c r="P224" i="79" s="1"/>
  <c r="O225" i="27"/>
  <c r="O225" i="78" s="1"/>
  <c r="O225" i="79" s="1"/>
  <c r="K231" i="27"/>
  <c r="K231" i="78" s="1"/>
  <c r="K231" i="79" s="1"/>
  <c r="N223" i="27"/>
  <c r="N223" i="78" s="1"/>
  <c r="N223" i="79" s="1"/>
  <c r="T232" i="27"/>
  <c r="T232" i="78" s="1"/>
  <c r="T232" i="79" s="1"/>
  <c r="L225" i="27"/>
  <c r="L225" i="78" s="1"/>
  <c r="L225" i="79" s="1"/>
  <c r="S233" i="27"/>
  <c r="S233" i="78" s="1"/>
  <c r="S233" i="79" s="1"/>
  <c r="J226" i="27"/>
  <c r="J226" i="78" s="1"/>
  <c r="J226" i="79" s="1"/>
  <c r="R232" i="27"/>
  <c r="R232" i="78" s="1"/>
  <c r="R232" i="79" s="1"/>
  <c r="T224" i="27"/>
  <c r="T224" i="78" s="1"/>
  <c r="T224" i="79" s="1"/>
  <c r="Q231" i="27"/>
  <c r="Q231" i="78" s="1"/>
  <c r="Q231" i="79" s="1"/>
  <c r="S223" i="27"/>
  <c r="S223" i="78" s="1"/>
  <c r="S223" i="79" s="1"/>
  <c r="L231" i="27"/>
  <c r="L231" i="78" s="1"/>
  <c r="L231" i="79" s="1"/>
  <c r="N225" i="27"/>
  <c r="N225" i="78" s="1"/>
  <c r="N225" i="79" s="1"/>
  <c r="R233" i="27"/>
  <c r="R233" i="78" s="1"/>
  <c r="R233" i="79" s="1"/>
  <c r="T227" i="27"/>
  <c r="T227" i="78" s="1"/>
  <c r="T227" i="79" s="1"/>
  <c r="K222" i="27"/>
  <c r="K222" i="78" s="1"/>
  <c r="K222" i="79" s="1"/>
  <c r="P534" i="49"/>
  <c r="J534" i="49"/>
  <c r="Q259" i="41"/>
  <c r="Q555" i="57"/>
  <c r="R761" i="69"/>
  <c r="N493" i="69"/>
  <c r="K513" i="37"/>
  <c r="R513" i="37"/>
  <c r="R259" i="19"/>
  <c r="R287" i="53"/>
  <c r="O809" i="19"/>
  <c r="M280" i="45"/>
  <c r="T259" i="19"/>
  <c r="L273" i="57"/>
  <c r="M259" i="41"/>
  <c r="P555" i="57"/>
  <c r="M493" i="69"/>
  <c r="J493" i="69"/>
  <c r="J590" i="53"/>
  <c r="R534" i="45"/>
  <c r="K534" i="45"/>
  <c r="L259" i="19"/>
  <c r="P259" i="19"/>
  <c r="S259" i="19"/>
  <c r="L238" i="69"/>
  <c r="K238" i="69"/>
  <c r="P238" i="69"/>
  <c r="J287" i="53"/>
  <c r="J280" i="45"/>
  <c r="N534" i="19"/>
  <c r="L315" i="18"/>
  <c r="S315" i="18"/>
  <c r="K1010" i="61"/>
  <c r="O534" i="49"/>
  <c r="T534" i="49"/>
  <c r="R548" i="41"/>
  <c r="Q259" i="37"/>
  <c r="O259" i="37"/>
  <c r="T259" i="37"/>
  <c r="R259" i="37"/>
  <c r="L238" i="77"/>
  <c r="J238" i="77"/>
  <c r="L755" i="61"/>
  <c r="K755" i="61"/>
  <c r="J755" i="61"/>
  <c r="N273" i="57"/>
  <c r="O259" i="49"/>
  <c r="S809" i="19"/>
  <c r="Q809" i="19"/>
  <c r="K308" i="29"/>
  <c r="O493" i="69"/>
  <c r="M238" i="33"/>
  <c r="J534" i="45"/>
  <c r="O534" i="45"/>
  <c r="O259" i="19"/>
  <c r="P513" i="37"/>
  <c r="J238" i="69"/>
  <c r="N238" i="69"/>
  <c r="K287" i="53"/>
  <c r="L280" i="45"/>
  <c r="P280" i="45"/>
  <c r="P534" i="19"/>
  <c r="R315" i="18"/>
  <c r="K315" i="18"/>
  <c r="L534" i="49"/>
  <c r="L548" i="41"/>
  <c r="J548" i="41"/>
  <c r="O548" i="41"/>
  <c r="L259" i="37"/>
  <c r="J259" i="37"/>
  <c r="R273" i="57"/>
  <c r="P259" i="49"/>
  <c r="S259" i="49"/>
  <c r="Q259" i="49"/>
  <c r="K809" i="19"/>
  <c r="T364" i="75"/>
  <c r="S364" i="75"/>
  <c r="Q364" i="75"/>
  <c r="S259" i="41"/>
  <c r="M555" i="57"/>
  <c r="S761" i="69"/>
  <c r="T590" i="53"/>
  <c r="O590" i="53"/>
  <c r="R238" i="33"/>
  <c r="Q534" i="45"/>
  <c r="M513" i="37"/>
  <c r="M287" i="53"/>
  <c r="T287" i="53"/>
  <c r="P315" i="18"/>
  <c r="Q315" i="18"/>
  <c r="J315" i="18"/>
  <c r="P1010" i="61"/>
  <c r="R534" i="49"/>
  <c r="P238" i="77"/>
  <c r="O238" i="77"/>
  <c r="P273" i="57"/>
  <c r="K259" i="49"/>
  <c r="M809" i="19"/>
  <c r="M308" i="29"/>
  <c r="R308" i="29"/>
  <c r="Q308" i="29"/>
  <c r="K364" i="75"/>
  <c r="R259" i="41"/>
  <c r="J259" i="41"/>
  <c r="P259" i="41"/>
  <c r="K259" i="41"/>
  <c r="S555" i="57"/>
  <c r="J761" i="69"/>
  <c r="K761" i="69"/>
  <c r="S493" i="69"/>
  <c r="Q493" i="69"/>
  <c r="S590" i="53"/>
  <c r="M590" i="53"/>
  <c r="K590" i="53"/>
  <c r="L590" i="53"/>
  <c r="Q590" i="53"/>
  <c r="J238" i="33"/>
  <c r="Q238" i="33"/>
  <c r="P238" i="33"/>
  <c r="N534" i="45"/>
  <c r="M534" i="45"/>
  <c r="N259" i="19"/>
  <c r="M259" i="19"/>
  <c r="J513" i="37"/>
  <c r="Q238" i="69"/>
  <c r="O238" i="69"/>
  <c r="P287" i="53"/>
  <c r="L287" i="53"/>
  <c r="T280" i="45"/>
  <c r="R280" i="45"/>
  <c r="M534" i="19"/>
  <c r="S534" i="19"/>
  <c r="Q1010" i="61"/>
  <c r="N534" i="49"/>
  <c r="N259" i="37"/>
  <c r="S238" i="77"/>
  <c r="Q238" i="77"/>
  <c r="N755" i="61"/>
  <c r="M273" i="57"/>
  <c r="M259" i="49"/>
  <c r="P809" i="19"/>
  <c r="J308" i="29"/>
  <c r="L364" i="75"/>
  <c r="K555" i="57"/>
  <c r="R555" i="57"/>
  <c r="Q761" i="69"/>
  <c r="P761" i="69"/>
  <c r="L493" i="69"/>
  <c r="K493" i="69"/>
  <c r="T238" i="33"/>
  <c r="J259" i="19"/>
  <c r="O513" i="37"/>
  <c r="T513" i="37"/>
  <c r="T238" i="69"/>
  <c r="Q287" i="53"/>
  <c r="O287" i="53"/>
  <c r="K280" i="45"/>
  <c r="O280" i="45"/>
  <c r="T534" i="19"/>
  <c r="K534" i="19"/>
  <c r="N1010" i="61"/>
  <c r="O1010" i="61"/>
  <c r="S534" i="49"/>
  <c r="S548" i="41"/>
  <c r="Q548" i="41"/>
  <c r="N548" i="41"/>
  <c r="S259" i="37"/>
  <c r="K238" i="77"/>
  <c r="T273" i="57"/>
  <c r="T809" i="19"/>
  <c r="R809" i="19"/>
  <c r="T308" i="29"/>
  <c r="P308" i="29"/>
  <c r="P364" i="75"/>
  <c r="N259" i="41"/>
  <c r="O259" i="41"/>
  <c r="T259" i="41"/>
  <c r="L555" i="57"/>
  <c r="T555" i="57"/>
  <c r="J555" i="57"/>
  <c r="T761" i="69"/>
  <c r="O761" i="69"/>
  <c r="T493" i="69"/>
  <c r="N590" i="53"/>
  <c r="T534" i="45"/>
  <c r="P534" i="45"/>
  <c r="L513" i="37"/>
  <c r="S287" i="53"/>
  <c r="N280" i="45"/>
  <c r="O534" i="19"/>
  <c r="L534" i="19"/>
  <c r="O315" i="18"/>
  <c r="Q534" i="49"/>
  <c r="K534" i="49"/>
  <c r="K548" i="41"/>
  <c r="P259" i="37"/>
  <c r="K259" i="37"/>
  <c r="M238" i="77"/>
  <c r="R755" i="61"/>
  <c r="O755" i="61"/>
  <c r="M755" i="61"/>
  <c r="J273" i="57"/>
  <c r="O273" i="57"/>
  <c r="T259" i="49"/>
  <c r="R259" i="49"/>
  <c r="L809" i="19"/>
  <c r="J809" i="19"/>
  <c r="L308" i="29"/>
  <c r="O308" i="29"/>
  <c r="R364" i="75"/>
  <c r="L259" i="41"/>
  <c r="O555" i="57"/>
  <c r="N761" i="69"/>
  <c r="P493" i="69"/>
  <c r="P590" i="53"/>
  <c r="L238" i="33"/>
  <c r="S238" i="33"/>
  <c r="Q259" i="19"/>
  <c r="K259" i="19"/>
  <c r="Q513" i="37"/>
  <c r="N287" i="53"/>
  <c r="Q280" i="45"/>
  <c r="R534" i="19"/>
  <c r="M315" i="18"/>
  <c r="M1010" i="61"/>
  <c r="T1010" i="61"/>
  <c r="R1010" i="61"/>
  <c r="M534" i="49"/>
  <c r="T548" i="41"/>
  <c r="P548" i="41"/>
  <c r="M259" i="37"/>
  <c r="S755" i="61"/>
  <c r="Q755" i="61"/>
  <c r="S273" i="57"/>
  <c r="N259" i="49"/>
  <c r="L259" i="49"/>
  <c r="J259" i="49"/>
  <c r="N308" i="29"/>
  <c r="N364" i="75"/>
  <c r="M364" i="75"/>
  <c r="J364" i="75"/>
  <c r="N555" i="57"/>
  <c r="L761" i="69"/>
  <c r="M761" i="69"/>
  <c r="R493" i="69"/>
  <c r="R590" i="53"/>
  <c r="K238" i="33"/>
  <c r="O238" i="33"/>
  <c r="N238" i="33"/>
  <c r="L534" i="45"/>
  <c r="S534" i="45"/>
  <c r="S513" i="37"/>
  <c r="N513" i="37"/>
  <c r="R238" i="69"/>
  <c r="S238" i="69"/>
  <c r="M238" i="69"/>
  <c r="S280" i="45"/>
  <c r="J534" i="19"/>
  <c r="Q534" i="19"/>
  <c r="N315" i="18"/>
  <c r="T315" i="18"/>
  <c r="L1010" i="61"/>
  <c r="S1010" i="61"/>
  <c r="J1010" i="61"/>
  <c r="M548" i="41"/>
  <c r="N238" i="77"/>
  <c r="T238" i="77"/>
  <c r="R238" i="77"/>
  <c r="P755" i="61"/>
  <c r="T755" i="61"/>
  <c r="Q273" i="57"/>
  <c r="K273" i="57"/>
  <c r="N809" i="19"/>
  <c r="S308" i="29"/>
  <c r="O364" i="75"/>
  <c r="T15" i="26"/>
  <c r="S17" i="26"/>
  <c r="S20" i="26"/>
  <c r="P953" i="61"/>
  <c r="P1043" i="61" s="1"/>
  <c r="Q698" i="61"/>
  <c r="Q788" i="61" s="1"/>
  <c r="K462" i="45"/>
  <c r="L186" i="37"/>
  <c r="T186" i="37"/>
  <c r="Q187" i="37"/>
  <c r="N188" i="37"/>
  <c r="K189" i="37"/>
  <c r="S189" i="37"/>
  <c r="P190" i="37"/>
  <c r="M191" i="37"/>
  <c r="J192" i="37"/>
  <c r="R192" i="37"/>
  <c r="O193" i="37"/>
  <c r="L194" i="37"/>
  <c r="T194" i="37"/>
  <c r="Q195" i="37"/>
  <c r="N196" i="37"/>
  <c r="K197" i="37"/>
  <c r="S197" i="37"/>
  <c r="P198" i="37"/>
  <c r="M199" i="37"/>
  <c r="J200" i="37"/>
  <c r="R200" i="37"/>
  <c r="O201" i="37"/>
  <c r="M186" i="37"/>
  <c r="J187" i="37"/>
  <c r="R187" i="37"/>
  <c r="O188" i="37"/>
  <c r="L189" i="37"/>
  <c r="T189" i="37"/>
  <c r="Q190" i="37"/>
  <c r="N191" i="37"/>
  <c r="K192" i="37"/>
  <c r="S192" i="37"/>
  <c r="P193" i="37"/>
  <c r="M194" i="37"/>
  <c r="N186" i="37"/>
  <c r="K187" i="37"/>
  <c r="S187" i="37"/>
  <c r="P188" i="37"/>
  <c r="M189" i="37"/>
  <c r="J190" i="37"/>
  <c r="R190" i="37"/>
  <c r="O191" i="37"/>
  <c r="L192" i="37"/>
  <c r="T192" i="37"/>
  <c r="Q193" i="37"/>
  <c r="N194" i="37"/>
  <c r="K195" i="37"/>
  <c r="S195" i="37"/>
  <c r="P196" i="37"/>
  <c r="M197" i="37"/>
  <c r="J198" i="37"/>
  <c r="R198" i="37"/>
  <c r="O199" i="37"/>
  <c r="L200" i="37"/>
  <c r="T200" i="37"/>
  <c r="Q201" i="37"/>
  <c r="O186" i="37"/>
  <c r="L187" i="37"/>
  <c r="T187" i="37"/>
  <c r="Q188" i="37"/>
  <c r="N189" i="37"/>
  <c r="K190" i="37"/>
  <c r="S190" i="37"/>
  <c r="P191" i="37"/>
  <c r="M192" i="37"/>
  <c r="J193" i="37"/>
  <c r="R193" i="37"/>
  <c r="O194" i="37"/>
  <c r="L195" i="37"/>
  <c r="T195" i="37"/>
  <c r="Q196" i="37"/>
  <c r="N197" i="37"/>
  <c r="K198" i="37"/>
  <c r="S198" i="37"/>
  <c r="P199" i="37"/>
  <c r="M200" i="37"/>
  <c r="J201" i="37"/>
  <c r="R201" i="37"/>
  <c r="P186" i="37"/>
  <c r="M187" i="37"/>
  <c r="J188" i="37"/>
  <c r="R188" i="37"/>
  <c r="O189" i="37"/>
  <c r="L190" i="37"/>
  <c r="T190" i="37"/>
  <c r="Q191" i="37"/>
  <c r="N192" i="37"/>
  <c r="K193" i="37"/>
  <c r="S193" i="37"/>
  <c r="P194" i="37"/>
  <c r="M195" i="37"/>
  <c r="J196" i="37"/>
  <c r="R196" i="37"/>
  <c r="O197" i="37"/>
  <c r="L198" i="37"/>
  <c r="T198" i="37"/>
  <c r="Q199" i="37"/>
  <c r="N200" i="37"/>
  <c r="K201" i="37"/>
  <c r="S201" i="37"/>
  <c r="Q186" i="37"/>
  <c r="N187" i="37"/>
  <c r="K188" i="37"/>
  <c r="S188" i="37"/>
  <c r="P189" i="37"/>
  <c r="M190" i="37"/>
  <c r="J191" i="37"/>
  <c r="R191" i="37"/>
  <c r="O192" i="37"/>
  <c r="L193" i="37"/>
  <c r="T193" i="37"/>
  <c r="J186" i="37"/>
  <c r="R186" i="37"/>
  <c r="O187" i="37"/>
  <c r="L188" i="37"/>
  <c r="T188" i="37"/>
  <c r="Q189" i="37"/>
  <c r="N190" i="37"/>
  <c r="K191" i="37"/>
  <c r="S191" i="37"/>
  <c r="P192" i="37"/>
  <c r="M193" i="37"/>
  <c r="J194" i="37"/>
  <c r="R194" i="37"/>
  <c r="O195" i="37"/>
  <c r="L196" i="37"/>
  <c r="T196" i="37"/>
  <c r="Q197" i="37"/>
  <c r="N198" i="37"/>
  <c r="K199" i="37"/>
  <c r="S199" i="37"/>
  <c r="P200" i="37"/>
  <c r="M201" i="37"/>
  <c r="K186" i="37"/>
  <c r="S186" i="37"/>
  <c r="P187" i="37"/>
  <c r="M188" i="37"/>
  <c r="J189" i="37"/>
  <c r="R189" i="37"/>
  <c r="O190" i="37"/>
  <c r="L191" i="37"/>
  <c r="T191" i="37"/>
  <c r="Q192" i="37"/>
  <c r="N193" i="37"/>
  <c r="K194" i="37"/>
  <c r="S194" i="37"/>
  <c r="P195" i="37"/>
  <c r="M196" i="37"/>
  <c r="J197" i="37"/>
  <c r="R197" i="37"/>
  <c r="O198" i="37"/>
  <c r="L199" i="37"/>
  <c r="T199" i="37"/>
  <c r="Q200" i="37"/>
  <c r="N201" i="37"/>
  <c r="Q194" i="37"/>
  <c r="P197" i="37"/>
  <c r="O200" i="37"/>
  <c r="J195" i="37"/>
  <c r="T197" i="37"/>
  <c r="S200" i="37"/>
  <c r="N195" i="37"/>
  <c r="M198" i="37"/>
  <c r="L201" i="37"/>
  <c r="R195" i="37"/>
  <c r="Q198" i="37"/>
  <c r="P201" i="37"/>
  <c r="K196" i="37"/>
  <c r="J199" i="37"/>
  <c r="T201" i="37"/>
  <c r="O196" i="37"/>
  <c r="N199" i="37"/>
  <c r="S196" i="37"/>
  <c r="R199" i="37"/>
  <c r="L197" i="37"/>
  <c r="K200" i="37"/>
  <c r="J291" i="75"/>
  <c r="K291" i="75"/>
  <c r="N291" i="75"/>
  <c r="L291" i="75"/>
  <c r="J292" i="75"/>
  <c r="R292" i="75"/>
  <c r="O293" i="75"/>
  <c r="L294" i="75"/>
  <c r="T294" i="75"/>
  <c r="Q295" i="75"/>
  <c r="N296" i="75"/>
  <c r="K297" i="75"/>
  <c r="S297" i="75"/>
  <c r="P298" i="75"/>
  <c r="M299" i="75"/>
  <c r="J300" i="75"/>
  <c r="R300" i="75"/>
  <c r="O301" i="75"/>
  <c r="L302" i="75"/>
  <c r="T302" i="75"/>
  <c r="Q303" i="75"/>
  <c r="N304" i="75"/>
  <c r="K305" i="75"/>
  <c r="S305" i="75"/>
  <c r="P306" i="75"/>
  <c r="M291" i="75"/>
  <c r="K292" i="75"/>
  <c r="S292" i="75"/>
  <c r="P293" i="75"/>
  <c r="O291" i="75"/>
  <c r="L292" i="75"/>
  <c r="T292" i="75"/>
  <c r="Q293" i="75"/>
  <c r="N294" i="75"/>
  <c r="K295" i="75"/>
  <c r="S295" i="75"/>
  <c r="P296" i="75"/>
  <c r="M297" i="75"/>
  <c r="J298" i="75"/>
  <c r="R298" i="75"/>
  <c r="O299" i="75"/>
  <c r="L300" i="75"/>
  <c r="T300" i="75"/>
  <c r="Q301" i="75"/>
  <c r="N302" i="75"/>
  <c r="K303" i="75"/>
  <c r="S303" i="75"/>
  <c r="P304" i="75"/>
  <c r="M305" i="75"/>
  <c r="J306" i="75"/>
  <c r="R306" i="75"/>
  <c r="P291" i="75"/>
  <c r="M292" i="75"/>
  <c r="J293" i="75"/>
  <c r="R293" i="75"/>
  <c r="O294" i="75"/>
  <c r="Q291" i="75"/>
  <c r="N292" i="75"/>
  <c r="K293" i="75"/>
  <c r="S293" i="75"/>
  <c r="P294" i="75"/>
  <c r="M295" i="75"/>
  <c r="J296" i="75"/>
  <c r="R296" i="75"/>
  <c r="O297" i="75"/>
  <c r="L298" i="75"/>
  <c r="T298" i="75"/>
  <c r="Q299" i="75"/>
  <c r="N300" i="75"/>
  <c r="K301" i="75"/>
  <c r="S301" i="75"/>
  <c r="P302" i="75"/>
  <c r="M303" i="75"/>
  <c r="J304" i="75"/>
  <c r="R304" i="75"/>
  <c r="O305" i="75"/>
  <c r="L306" i="75"/>
  <c r="T306" i="75"/>
  <c r="R291" i="75"/>
  <c r="O292" i="75"/>
  <c r="L293" i="75"/>
  <c r="T293" i="75"/>
  <c r="Q294" i="75"/>
  <c r="N295" i="75"/>
  <c r="K296" i="75"/>
  <c r="S296" i="75"/>
  <c r="P297" i="75"/>
  <c r="M298" i="75"/>
  <c r="J299" i="75"/>
  <c r="R299" i="75"/>
  <c r="O300" i="75"/>
  <c r="L301" i="75"/>
  <c r="T301" i="75"/>
  <c r="Q302" i="75"/>
  <c r="N303" i="75"/>
  <c r="K304" i="75"/>
  <c r="S304" i="75"/>
  <c r="P305" i="75"/>
  <c r="M306" i="75"/>
  <c r="S291" i="75"/>
  <c r="P292" i="75"/>
  <c r="M293" i="75"/>
  <c r="J294" i="75"/>
  <c r="R294" i="75"/>
  <c r="O295" i="75"/>
  <c r="L296" i="75"/>
  <c r="T296" i="75"/>
  <c r="Q297" i="75"/>
  <c r="N298" i="75"/>
  <c r="K299" i="75"/>
  <c r="S299" i="75"/>
  <c r="P300" i="75"/>
  <c r="M301" i="75"/>
  <c r="J302" i="75"/>
  <c r="R302" i="75"/>
  <c r="O303" i="75"/>
  <c r="L304" i="75"/>
  <c r="T304" i="75"/>
  <c r="Q305" i="75"/>
  <c r="N306" i="75"/>
  <c r="T291" i="75"/>
  <c r="P295" i="75"/>
  <c r="N297" i="75"/>
  <c r="N299" i="75"/>
  <c r="N301" i="75"/>
  <c r="L303" i="75"/>
  <c r="L305" i="75"/>
  <c r="Q292" i="75"/>
  <c r="R295" i="75"/>
  <c r="R297" i="75"/>
  <c r="P299" i="75"/>
  <c r="P301" i="75"/>
  <c r="P303" i="75"/>
  <c r="N305" i="75"/>
  <c r="N293" i="75"/>
  <c r="T295" i="75"/>
  <c r="T297" i="75"/>
  <c r="T299" i="75"/>
  <c r="R301" i="75"/>
  <c r="R303" i="75"/>
  <c r="R305" i="75"/>
  <c r="K294" i="75"/>
  <c r="M296" i="75"/>
  <c r="K298" i="75"/>
  <c r="K300" i="75"/>
  <c r="K302" i="75"/>
  <c r="T303" i="75"/>
  <c r="T305" i="75"/>
  <c r="M294" i="75"/>
  <c r="O296" i="75"/>
  <c r="O298" i="75"/>
  <c r="M300" i="75"/>
  <c r="M302" i="75"/>
  <c r="M304" i="75"/>
  <c r="K306" i="75"/>
  <c r="S294" i="75"/>
  <c r="Q296" i="75"/>
  <c r="Q298" i="75"/>
  <c r="Q300" i="75"/>
  <c r="O302" i="75"/>
  <c r="O304" i="75"/>
  <c r="O306" i="75"/>
  <c r="J295" i="75"/>
  <c r="J297" i="75"/>
  <c r="S298" i="75"/>
  <c r="S300" i="75"/>
  <c r="S302" i="75"/>
  <c r="Q304" i="75"/>
  <c r="Q306" i="75"/>
  <c r="J305" i="75"/>
  <c r="S306" i="75"/>
  <c r="L295" i="75"/>
  <c r="L297" i="75"/>
  <c r="L299" i="75"/>
  <c r="J301" i="75"/>
  <c r="J303" i="75"/>
  <c r="K466" i="45"/>
  <c r="R469" i="45"/>
  <c r="M471" i="45"/>
  <c r="P470" i="45"/>
  <c r="M476" i="45"/>
  <c r="M473" i="45"/>
  <c r="R476" i="45"/>
  <c r="R473" i="45"/>
  <c r="L186" i="41"/>
  <c r="T186" i="41"/>
  <c r="Q187" i="41"/>
  <c r="N188" i="41"/>
  <c r="K189" i="41"/>
  <c r="S189" i="41"/>
  <c r="P190" i="41"/>
  <c r="M191" i="41"/>
  <c r="J192" i="41"/>
  <c r="R192" i="41"/>
  <c r="O193" i="41"/>
  <c r="L194" i="41"/>
  <c r="T194" i="41"/>
  <c r="Q195" i="41"/>
  <c r="N196" i="41"/>
  <c r="K197" i="41"/>
  <c r="S197" i="41"/>
  <c r="P198" i="41"/>
  <c r="M199" i="41"/>
  <c r="J200" i="41"/>
  <c r="R200" i="41"/>
  <c r="O201" i="41"/>
  <c r="M186" i="41"/>
  <c r="J187" i="41"/>
  <c r="R187" i="41"/>
  <c r="O188" i="41"/>
  <c r="L189" i="41"/>
  <c r="T189" i="41"/>
  <c r="Q190" i="41"/>
  <c r="N191" i="41"/>
  <c r="K192" i="41"/>
  <c r="S192" i="41"/>
  <c r="P193" i="41"/>
  <c r="M194" i="41"/>
  <c r="J195" i="41"/>
  <c r="R195" i="41"/>
  <c r="O196" i="41"/>
  <c r="L197" i="41"/>
  <c r="T197" i="41"/>
  <c r="Q198" i="41"/>
  <c r="N199" i="41"/>
  <c r="K200" i="41"/>
  <c r="S200" i="41"/>
  <c r="P201" i="41"/>
  <c r="N186" i="41"/>
  <c r="K187" i="41"/>
  <c r="S187" i="41"/>
  <c r="P188" i="41"/>
  <c r="M189" i="41"/>
  <c r="J190" i="41"/>
  <c r="R190" i="41"/>
  <c r="O191" i="41"/>
  <c r="L192" i="41"/>
  <c r="T192" i="41"/>
  <c r="Q193" i="41"/>
  <c r="N194" i="41"/>
  <c r="K195" i="41"/>
  <c r="S195" i="41"/>
  <c r="P196" i="41"/>
  <c r="M197" i="41"/>
  <c r="J198" i="41"/>
  <c r="R198" i="41"/>
  <c r="O199" i="41"/>
  <c r="L200" i="41"/>
  <c r="T200" i="41"/>
  <c r="Q201" i="41"/>
  <c r="O186" i="41"/>
  <c r="L187" i="41"/>
  <c r="T187" i="41"/>
  <c r="Q188" i="41"/>
  <c r="N189" i="41"/>
  <c r="K190" i="41"/>
  <c r="S190" i="41"/>
  <c r="P191" i="41"/>
  <c r="M192" i="41"/>
  <c r="J193" i="41"/>
  <c r="R193" i="41"/>
  <c r="O194" i="41"/>
  <c r="L195" i="41"/>
  <c r="T195" i="41"/>
  <c r="Q196" i="41"/>
  <c r="N197" i="41"/>
  <c r="K198" i="41"/>
  <c r="S198" i="41"/>
  <c r="P199" i="41"/>
  <c r="M200" i="41"/>
  <c r="J201" i="41"/>
  <c r="R201" i="41"/>
  <c r="P186" i="41"/>
  <c r="M187" i="41"/>
  <c r="J188" i="41"/>
  <c r="R188" i="41"/>
  <c r="O189" i="41"/>
  <c r="L190" i="41"/>
  <c r="T190" i="41"/>
  <c r="Q191" i="41"/>
  <c r="N192" i="41"/>
  <c r="K193" i="41"/>
  <c r="S193" i="41"/>
  <c r="P194" i="41"/>
  <c r="M195" i="41"/>
  <c r="J196" i="41"/>
  <c r="R196" i="41"/>
  <c r="O197" i="41"/>
  <c r="L198" i="41"/>
  <c r="T198" i="41"/>
  <c r="Q199" i="41"/>
  <c r="N200" i="41"/>
  <c r="K201" i="41"/>
  <c r="S201" i="41"/>
  <c r="Q186" i="41"/>
  <c r="N187" i="41"/>
  <c r="K188" i="41"/>
  <c r="S188" i="41"/>
  <c r="P189" i="41"/>
  <c r="M190" i="41"/>
  <c r="J191" i="41"/>
  <c r="R191" i="41"/>
  <c r="O192" i="41"/>
  <c r="L193" i="41"/>
  <c r="T193" i="41"/>
  <c r="Q194" i="41"/>
  <c r="N195" i="41"/>
  <c r="K196" i="41"/>
  <c r="S196" i="41"/>
  <c r="P197" i="41"/>
  <c r="M198" i="41"/>
  <c r="J199" i="41"/>
  <c r="R199" i="41"/>
  <c r="O200" i="41"/>
  <c r="L201" i="41"/>
  <c r="T201" i="41"/>
  <c r="J186" i="41"/>
  <c r="R186" i="41"/>
  <c r="O187" i="41"/>
  <c r="L188" i="41"/>
  <c r="T188" i="41"/>
  <c r="Q189" i="41"/>
  <c r="N190" i="41"/>
  <c r="K191" i="41"/>
  <c r="S191" i="41"/>
  <c r="P192" i="41"/>
  <c r="M193" i="41"/>
  <c r="J194" i="41"/>
  <c r="R194" i="41"/>
  <c r="O195" i="41"/>
  <c r="L196" i="41"/>
  <c r="T196" i="41"/>
  <c r="Q197" i="41"/>
  <c r="N198" i="41"/>
  <c r="K199" i="41"/>
  <c r="S199" i="41"/>
  <c r="P200" i="41"/>
  <c r="M201" i="41"/>
  <c r="K186" i="41"/>
  <c r="S186" i="41"/>
  <c r="P187" i="41"/>
  <c r="M188" i="41"/>
  <c r="J189" i="41"/>
  <c r="R189" i="41"/>
  <c r="O190" i="41"/>
  <c r="L191" i="41"/>
  <c r="T191" i="41"/>
  <c r="Q192" i="41"/>
  <c r="N193" i="41"/>
  <c r="K194" i="41"/>
  <c r="S194" i="41"/>
  <c r="P195" i="41"/>
  <c r="M196" i="41"/>
  <c r="J197" i="41"/>
  <c r="R197" i="41"/>
  <c r="O198" i="41"/>
  <c r="L199" i="41"/>
  <c r="T199" i="41"/>
  <c r="Q200" i="41"/>
  <c r="N201" i="41"/>
  <c r="N165" i="77"/>
  <c r="K166" i="77"/>
  <c r="S166" i="77"/>
  <c r="P167" i="77"/>
  <c r="M168" i="77"/>
  <c r="J169" i="77"/>
  <c r="R169" i="77"/>
  <c r="O170" i="77"/>
  <c r="L171" i="77"/>
  <c r="T171" i="77"/>
  <c r="Q172" i="77"/>
  <c r="N173" i="77"/>
  <c r="K174" i="77"/>
  <c r="S174" i="77"/>
  <c r="P175" i="77"/>
  <c r="M176" i="77"/>
  <c r="J177" i="77"/>
  <c r="R177" i="77"/>
  <c r="O178" i="77"/>
  <c r="L179" i="77"/>
  <c r="T179" i="77"/>
  <c r="Q180" i="77"/>
  <c r="Q165" i="77"/>
  <c r="O166" i="77"/>
  <c r="M167" i="77"/>
  <c r="K168" i="77"/>
  <c r="T168" i="77"/>
  <c r="S169" i="77"/>
  <c r="Q170" i="77"/>
  <c r="O171" i="77"/>
  <c r="M172" i="77"/>
  <c r="K173" i="77"/>
  <c r="T173" i="77"/>
  <c r="R174" i="77"/>
  <c r="Q175" i="77"/>
  <c r="O176" i="77"/>
  <c r="M177" i="77"/>
  <c r="K178" i="77"/>
  <c r="T178" i="77"/>
  <c r="R179" i="77"/>
  <c r="P180" i="77"/>
  <c r="R165" i="77"/>
  <c r="P166" i="77"/>
  <c r="N167" i="77"/>
  <c r="L168" i="77"/>
  <c r="K169" i="77"/>
  <c r="T169" i="77"/>
  <c r="R170" i="77"/>
  <c r="P171" i="77"/>
  <c r="N172" i="77"/>
  <c r="L173" i="77"/>
  <c r="J174" i="77"/>
  <c r="T174" i="77"/>
  <c r="R175" i="77"/>
  <c r="P176" i="77"/>
  <c r="N177" i="77"/>
  <c r="L178" i="77"/>
  <c r="J179" i="77"/>
  <c r="S179" i="77"/>
  <c r="R180" i="77"/>
  <c r="J165" i="77"/>
  <c r="S165" i="77"/>
  <c r="Q166" i="77"/>
  <c r="O167" i="77"/>
  <c r="N168" i="77"/>
  <c r="L169" i="77"/>
  <c r="J170" i="77"/>
  <c r="S170" i="77"/>
  <c r="Q171" i="77"/>
  <c r="O172" i="77"/>
  <c r="M173" i="77"/>
  <c r="L174" i="77"/>
  <c r="J175" i="77"/>
  <c r="S175" i="77"/>
  <c r="Q176" i="77"/>
  <c r="O177" i="77"/>
  <c r="M178" i="77"/>
  <c r="K179" i="77"/>
  <c r="J180" i="77"/>
  <c r="S180" i="77"/>
  <c r="K165" i="77"/>
  <c r="T165" i="77"/>
  <c r="R166" i="77"/>
  <c r="Q167" i="77"/>
  <c r="O168" i="77"/>
  <c r="M169" i="77"/>
  <c r="K170" i="77"/>
  <c r="T170" i="77"/>
  <c r="R171" i="77"/>
  <c r="P172" i="77"/>
  <c r="O173" i="77"/>
  <c r="M174" i="77"/>
  <c r="K175" i="77"/>
  <c r="T175" i="77"/>
  <c r="R176" i="77"/>
  <c r="P177" i="77"/>
  <c r="N178" i="77"/>
  <c r="M179" i="77"/>
  <c r="K180" i="77"/>
  <c r="T180" i="77"/>
  <c r="L165" i="77"/>
  <c r="J166" i="77"/>
  <c r="T166" i="77"/>
  <c r="R167" i="77"/>
  <c r="P168" i="77"/>
  <c r="N169" i="77"/>
  <c r="L170" i="77"/>
  <c r="J171" i="77"/>
  <c r="S171" i="77"/>
  <c r="R172" i="77"/>
  <c r="P173" i="77"/>
  <c r="N174" i="77"/>
  <c r="L175" i="77"/>
  <c r="J176" i="77"/>
  <c r="S176" i="77"/>
  <c r="Q177" i="77"/>
  <c r="P178" i="77"/>
  <c r="N179" i="77"/>
  <c r="L180" i="77"/>
  <c r="M165" i="77"/>
  <c r="L166" i="77"/>
  <c r="J167" i="77"/>
  <c r="S167" i="77"/>
  <c r="Q168" i="77"/>
  <c r="O169" i="77"/>
  <c r="M170" i="77"/>
  <c r="K171" i="77"/>
  <c r="J172" i="77"/>
  <c r="S172" i="77"/>
  <c r="Q173" i="77"/>
  <c r="O174" i="77"/>
  <c r="M175" i="77"/>
  <c r="K176" i="77"/>
  <c r="T176" i="77"/>
  <c r="S177" i="77"/>
  <c r="Q178" i="77"/>
  <c r="O179" i="77"/>
  <c r="M180" i="77"/>
  <c r="O165" i="77"/>
  <c r="M166" i="77"/>
  <c r="K167" i="77"/>
  <c r="T167" i="77"/>
  <c r="R168" i="77"/>
  <c r="P169" i="77"/>
  <c r="N170" i="77"/>
  <c r="M171" i="77"/>
  <c r="K172" i="77"/>
  <c r="T172" i="77"/>
  <c r="R173" i="77"/>
  <c r="P174" i="77"/>
  <c r="N175" i="77"/>
  <c r="L176" i="77"/>
  <c r="K177" i="77"/>
  <c r="T177" i="77"/>
  <c r="R178" i="77"/>
  <c r="P179" i="77"/>
  <c r="N180" i="77"/>
  <c r="N171" i="77"/>
  <c r="J178" i="77"/>
  <c r="P165" i="77"/>
  <c r="L172" i="77"/>
  <c r="S178" i="77"/>
  <c r="N166" i="77"/>
  <c r="J173" i="77"/>
  <c r="Q179" i="77"/>
  <c r="L167" i="77"/>
  <c r="S173" i="77"/>
  <c r="O180" i="77"/>
  <c r="J168" i="77"/>
  <c r="Q174" i="77"/>
  <c r="S168" i="77"/>
  <c r="O175" i="77"/>
  <c r="Q169" i="77"/>
  <c r="N176" i="77"/>
  <c r="P170" i="77"/>
  <c r="L177" i="77"/>
  <c r="P440" i="37"/>
  <c r="N446" i="37"/>
  <c r="L452" i="37"/>
  <c r="P443" i="37"/>
  <c r="N449" i="37"/>
  <c r="L455" i="37"/>
  <c r="J440" i="37"/>
  <c r="S445" i="37"/>
  <c r="Q451" i="37"/>
  <c r="J443" i="37"/>
  <c r="S448" i="37"/>
  <c r="Q454" i="37"/>
  <c r="L440" i="37"/>
  <c r="J446" i="37"/>
  <c r="S451" i="37"/>
  <c r="L443" i="37"/>
  <c r="J449" i="37"/>
  <c r="S454" i="37"/>
  <c r="N440" i="37"/>
  <c r="L446" i="37"/>
  <c r="J452" i="37"/>
  <c r="N443" i="37"/>
  <c r="L449" i="37"/>
  <c r="J455" i="37"/>
  <c r="M441" i="37"/>
  <c r="K447" i="37"/>
  <c r="T452" i="37"/>
  <c r="M444" i="37"/>
  <c r="K450" i="37"/>
  <c r="T455" i="37"/>
  <c r="R440" i="37"/>
  <c r="P446" i="37"/>
  <c r="N452" i="37"/>
  <c r="R443" i="37"/>
  <c r="P449" i="37"/>
  <c r="N455" i="37"/>
  <c r="T440" i="37"/>
  <c r="R446" i="37"/>
  <c r="P452" i="37"/>
  <c r="T443" i="37"/>
  <c r="R449" i="37"/>
  <c r="P455" i="37"/>
  <c r="K441" i="37"/>
  <c r="T446" i="37"/>
  <c r="R452" i="37"/>
  <c r="K444" i="37"/>
  <c r="T449" i="37"/>
  <c r="R455" i="37"/>
  <c r="J442" i="37"/>
  <c r="S447" i="37"/>
  <c r="Q453" i="37"/>
  <c r="J445" i="37"/>
  <c r="S450" i="37"/>
  <c r="O441" i="37"/>
  <c r="M447" i="37"/>
  <c r="K453" i="37"/>
  <c r="O444" i="37"/>
  <c r="M450" i="37"/>
  <c r="Q441" i="37"/>
  <c r="O447" i="37"/>
  <c r="M453" i="37"/>
  <c r="Q444" i="37"/>
  <c r="O450" i="37"/>
  <c r="S441" i="37"/>
  <c r="Q447" i="37"/>
  <c r="O453" i="37"/>
  <c r="S444" i="37"/>
  <c r="Q450" i="37"/>
  <c r="R442" i="37"/>
  <c r="P448" i="37"/>
  <c r="N454" i="37"/>
  <c r="R445" i="37"/>
  <c r="P451" i="37"/>
  <c r="L442" i="37"/>
  <c r="J448" i="37"/>
  <c r="S453" i="37"/>
  <c r="L445" i="37"/>
  <c r="J451" i="37"/>
  <c r="N442" i="37"/>
  <c r="L448" i="37"/>
  <c r="J454" i="37"/>
  <c r="N445" i="37"/>
  <c r="L451" i="37"/>
  <c r="P442" i="37"/>
  <c r="N448" i="37"/>
  <c r="L454" i="37"/>
  <c r="P445" i="37"/>
  <c r="N451" i="37"/>
  <c r="O443" i="37"/>
  <c r="M449" i="37"/>
  <c r="K455" i="37"/>
  <c r="Q440" i="37"/>
  <c r="O446" i="37"/>
  <c r="M452" i="37"/>
  <c r="T442" i="37"/>
  <c r="R448" i="37"/>
  <c r="P454" i="37"/>
  <c r="K440" i="37"/>
  <c r="T445" i="37"/>
  <c r="R451" i="37"/>
  <c r="K443" i="37"/>
  <c r="T448" i="37"/>
  <c r="R454" i="37"/>
  <c r="M440" i="37"/>
  <c r="K446" i="37"/>
  <c r="T451" i="37"/>
  <c r="M443" i="37"/>
  <c r="K449" i="37"/>
  <c r="T454" i="37"/>
  <c r="O440" i="37"/>
  <c r="M446" i="37"/>
  <c r="K452" i="37"/>
  <c r="L444" i="37"/>
  <c r="J450" i="37"/>
  <c r="S455" i="37"/>
  <c r="N441" i="37"/>
  <c r="L447" i="37"/>
  <c r="J453" i="37"/>
  <c r="Q443" i="37"/>
  <c r="O449" i="37"/>
  <c r="M455" i="37"/>
  <c r="S440" i="37"/>
  <c r="Q446" i="37"/>
  <c r="O452" i="37"/>
  <c r="S443" i="37"/>
  <c r="Q449" i="37"/>
  <c r="O455" i="37"/>
  <c r="J441" i="37"/>
  <c r="S446" i="37"/>
  <c r="Q452" i="37"/>
  <c r="J444" i="37"/>
  <c r="S449" i="37"/>
  <c r="Q455" i="37"/>
  <c r="L441" i="37"/>
  <c r="J447" i="37"/>
  <c r="S452" i="37"/>
  <c r="T444" i="37"/>
  <c r="R450" i="37"/>
  <c r="K442" i="37"/>
  <c r="T447" i="37"/>
  <c r="R453" i="37"/>
  <c r="N444" i="37"/>
  <c r="L450" i="37"/>
  <c r="P441" i="37"/>
  <c r="N447" i="37"/>
  <c r="L453" i="37"/>
  <c r="P444" i="37"/>
  <c r="N450" i="37"/>
  <c r="R441" i="37"/>
  <c r="P447" i="37"/>
  <c r="N453" i="37"/>
  <c r="R444" i="37"/>
  <c r="P450" i="37"/>
  <c r="T441" i="37"/>
  <c r="R447" i="37"/>
  <c r="P453" i="37"/>
  <c r="Q445" i="37"/>
  <c r="O451" i="37"/>
  <c r="S442" i="37"/>
  <c r="Q448" i="37"/>
  <c r="O454" i="37"/>
  <c r="K445" i="37"/>
  <c r="T450" i="37"/>
  <c r="M442" i="37"/>
  <c r="K448" i="37"/>
  <c r="T453" i="37"/>
  <c r="M445" i="37"/>
  <c r="K451" i="37"/>
  <c r="O442" i="37"/>
  <c r="M448" i="37"/>
  <c r="K454" i="37"/>
  <c r="O445" i="37"/>
  <c r="M451" i="37"/>
  <c r="Q442" i="37"/>
  <c r="O448" i="37"/>
  <c r="M454" i="37"/>
  <c r="O461" i="49"/>
  <c r="M467" i="49"/>
  <c r="J463" i="49"/>
  <c r="Q461" i="49"/>
  <c r="O467" i="49"/>
  <c r="M473" i="49"/>
  <c r="K466" i="49"/>
  <c r="T471" i="49"/>
  <c r="K461" i="49"/>
  <c r="T466" i="49"/>
  <c r="R472" i="49"/>
  <c r="T461" i="49"/>
  <c r="R467" i="49"/>
  <c r="P473" i="49"/>
  <c r="R462" i="49"/>
  <c r="P468" i="49"/>
  <c r="N474" i="49"/>
  <c r="N461" i="49"/>
  <c r="L467" i="49"/>
  <c r="J473" i="49"/>
  <c r="S468" i="49"/>
  <c r="N475" i="49"/>
  <c r="L462" i="49"/>
  <c r="J468" i="49"/>
  <c r="R463" i="49"/>
  <c r="N462" i="49"/>
  <c r="L468" i="49"/>
  <c r="J474" i="49"/>
  <c r="J461" i="49"/>
  <c r="S466" i="49"/>
  <c r="Q472" i="49"/>
  <c r="S461" i="49"/>
  <c r="Q467" i="49"/>
  <c r="O473" i="49"/>
  <c r="Q462" i="49"/>
  <c r="O468" i="49"/>
  <c r="M474" i="49"/>
  <c r="O463" i="49"/>
  <c r="M469" i="49"/>
  <c r="K475" i="49"/>
  <c r="K462" i="49"/>
  <c r="T467" i="49"/>
  <c r="R473" i="49"/>
  <c r="K473" i="49"/>
  <c r="P469" i="49"/>
  <c r="T462" i="49"/>
  <c r="R468" i="49"/>
  <c r="O464" i="49"/>
  <c r="K463" i="49"/>
  <c r="T468" i="49"/>
  <c r="R474" i="49"/>
  <c r="R461" i="49"/>
  <c r="P467" i="49"/>
  <c r="N473" i="49"/>
  <c r="P462" i="49"/>
  <c r="N468" i="49"/>
  <c r="L474" i="49"/>
  <c r="N463" i="49"/>
  <c r="L469" i="49"/>
  <c r="J475" i="49"/>
  <c r="L464" i="49"/>
  <c r="J470" i="49"/>
  <c r="S475" i="49"/>
  <c r="S462" i="49"/>
  <c r="Q468" i="49"/>
  <c r="O474" i="49"/>
  <c r="J476" i="49"/>
  <c r="L473" i="49"/>
  <c r="M470" i="49"/>
  <c r="Q463" i="49"/>
  <c r="O469" i="49"/>
  <c r="L465" i="49"/>
  <c r="S463" i="49"/>
  <c r="Q469" i="49"/>
  <c r="O475" i="49"/>
  <c r="O462" i="49"/>
  <c r="M468" i="49"/>
  <c r="K474" i="49"/>
  <c r="M463" i="49"/>
  <c r="K469" i="49"/>
  <c r="T474" i="49"/>
  <c r="K464" i="49"/>
  <c r="T469" i="49"/>
  <c r="R475" i="49"/>
  <c r="T464" i="49"/>
  <c r="R470" i="49"/>
  <c r="P476" i="49"/>
  <c r="P463" i="49"/>
  <c r="N469" i="49"/>
  <c r="L475" i="49"/>
  <c r="K476" i="49"/>
  <c r="S473" i="49"/>
  <c r="J471" i="49"/>
  <c r="N464" i="49"/>
  <c r="L470" i="49"/>
  <c r="T465" i="49"/>
  <c r="P464" i="49"/>
  <c r="N470" i="49"/>
  <c r="L476" i="49"/>
  <c r="L463" i="49"/>
  <c r="J469" i="49"/>
  <c r="S474" i="49"/>
  <c r="J464" i="49"/>
  <c r="S469" i="49"/>
  <c r="Q475" i="49"/>
  <c r="S464" i="49"/>
  <c r="Q470" i="49"/>
  <c r="O476" i="49"/>
  <c r="Q465" i="49"/>
  <c r="O471" i="49"/>
  <c r="M464" i="49"/>
  <c r="K470" i="49"/>
  <c r="T475" i="49"/>
  <c r="R476" i="49"/>
  <c r="T473" i="49"/>
  <c r="Q471" i="49"/>
  <c r="K465" i="49"/>
  <c r="T470" i="49"/>
  <c r="Q466" i="49"/>
  <c r="M465" i="49"/>
  <c r="K471" i="49"/>
  <c r="T476" i="49"/>
  <c r="T463" i="49"/>
  <c r="R469" i="49"/>
  <c r="P475" i="49"/>
  <c r="R464" i="49"/>
  <c r="P470" i="49"/>
  <c r="N476" i="49"/>
  <c r="P465" i="49"/>
  <c r="N471" i="49"/>
  <c r="N466" i="49"/>
  <c r="L472" i="49"/>
  <c r="J465" i="49"/>
  <c r="S470" i="49"/>
  <c r="Q476" i="49"/>
  <c r="S476" i="49"/>
  <c r="P474" i="49"/>
  <c r="R471" i="49"/>
  <c r="S465" i="49"/>
  <c r="P461" i="49"/>
  <c r="N467" i="49"/>
  <c r="J466" i="49"/>
  <c r="S471" i="49"/>
  <c r="Q464" i="49"/>
  <c r="O470" i="49"/>
  <c r="M476" i="49"/>
  <c r="O465" i="49"/>
  <c r="M471" i="49"/>
  <c r="M466" i="49"/>
  <c r="K472" i="49"/>
  <c r="M461" i="49"/>
  <c r="K467" i="49"/>
  <c r="T472" i="49"/>
  <c r="R465" i="49"/>
  <c r="P471" i="49"/>
  <c r="Q474" i="49"/>
  <c r="N472" i="49"/>
  <c r="P466" i="49"/>
  <c r="M462" i="49"/>
  <c r="K468" i="49"/>
  <c r="R466" i="49"/>
  <c r="P472" i="49"/>
  <c r="N465" i="49"/>
  <c r="L471" i="49"/>
  <c r="L466" i="49"/>
  <c r="J472" i="49"/>
  <c r="L461" i="49"/>
  <c r="J467" i="49"/>
  <c r="S472" i="49"/>
  <c r="J462" i="49"/>
  <c r="S467" i="49"/>
  <c r="Q473" i="49"/>
  <c r="O466" i="49"/>
  <c r="M472" i="49"/>
  <c r="M475" i="49"/>
  <c r="O472" i="49"/>
  <c r="M420" i="69"/>
  <c r="J421" i="69"/>
  <c r="R421" i="69"/>
  <c r="O422" i="69"/>
  <c r="L423" i="69"/>
  <c r="T423" i="69"/>
  <c r="Q424" i="69"/>
  <c r="N425" i="69"/>
  <c r="K426" i="69"/>
  <c r="S426" i="69"/>
  <c r="P427" i="69"/>
  <c r="M428" i="69"/>
  <c r="J429" i="69"/>
  <c r="R429" i="69"/>
  <c r="O430" i="69"/>
  <c r="L431" i="69"/>
  <c r="T431" i="69"/>
  <c r="Q432" i="69"/>
  <c r="N433" i="69"/>
  <c r="K434" i="69"/>
  <c r="S434" i="69"/>
  <c r="P435" i="69"/>
  <c r="N420" i="69"/>
  <c r="K421" i="69"/>
  <c r="S421" i="69"/>
  <c r="P422" i="69"/>
  <c r="M423" i="69"/>
  <c r="J424" i="69"/>
  <c r="R424" i="69"/>
  <c r="O425" i="69"/>
  <c r="L426" i="69"/>
  <c r="T426" i="69"/>
  <c r="Q427" i="69"/>
  <c r="N428" i="69"/>
  <c r="K429" i="69"/>
  <c r="S429" i="69"/>
  <c r="P430" i="69"/>
  <c r="M431" i="69"/>
  <c r="J432" i="69"/>
  <c r="R432" i="69"/>
  <c r="O433" i="69"/>
  <c r="L434" i="69"/>
  <c r="T434" i="69"/>
  <c r="Q435" i="69"/>
  <c r="O420" i="69"/>
  <c r="L421" i="69"/>
  <c r="T421" i="69"/>
  <c r="Q422" i="69"/>
  <c r="N423" i="69"/>
  <c r="K424" i="69"/>
  <c r="S424" i="69"/>
  <c r="P425" i="69"/>
  <c r="M426" i="69"/>
  <c r="J427" i="69"/>
  <c r="R427" i="69"/>
  <c r="O428" i="69"/>
  <c r="L429" i="69"/>
  <c r="T429" i="69"/>
  <c r="Q430" i="69"/>
  <c r="N431" i="69"/>
  <c r="K432" i="69"/>
  <c r="S432" i="69"/>
  <c r="P433" i="69"/>
  <c r="M434" i="69"/>
  <c r="J435" i="69"/>
  <c r="R435" i="69"/>
  <c r="P420" i="69"/>
  <c r="M421" i="69"/>
  <c r="J422" i="69"/>
  <c r="R422" i="69"/>
  <c r="O423" i="69"/>
  <c r="L424" i="69"/>
  <c r="T424" i="69"/>
  <c r="Q425" i="69"/>
  <c r="N426" i="69"/>
  <c r="K427" i="69"/>
  <c r="S427" i="69"/>
  <c r="P428" i="69"/>
  <c r="M429" i="69"/>
  <c r="J430" i="69"/>
  <c r="J420" i="69"/>
  <c r="R420" i="69"/>
  <c r="O421" i="69"/>
  <c r="L422" i="69"/>
  <c r="T422" i="69"/>
  <c r="Q423" i="69"/>
  <c r="N424" i="69"/>
  <c r="K425" i="69"/>
  <c r="S425" i="69"/>
  <c r="P426" i="69"/>
  <c r="M427" i="69"/>
  <c r="J428" i="69"/>
  <c r="R428" i="69"/>
  <c r="O429" i="69"/>
  <c r="L430" i="69"/>
  <c r="T430" i="69"/>
  <c r="Q431" i="69"/>
  <c r="N432" i="69"/>
  <c r="K433" i="69"/>
  <c r="S433" i="69"/>
  <c r="P434" i="69"/>
  <c r="M435" i="69"/>
  <c r="Q420" i="69"/>
  <c r="N422" i="69"/>
  <c r="O424" i="69"/>
  <c r="O426" i="69"/>
  <c r="L428" i="69"/>
  <c r="M430" i="69"/>
  <c r="R431" i="69"/>
  <c r="L433" i="69"/>
  <c r="Q434" i="69"/>
  <c r="S420" i="69"/>
  <c r="S422" i="69"/>
  <c r="P424" i="69"/>
  <c r="Q426" i="69"/>
  <c r="Q428" i="69"/>
  <c r="N430" i="69"/>
  <c r="S431" i="69"/>
  <c r="M433" i="69"/>
  <c r="R434" i="69"/>
  <c r="T420" i="69"/>
  <c r="J423" i="69"/>
  <c r="J425" i="69"/>
  <c r="R426" i="69"/>
  <c r="S428" i="69"/>
  <c r="R430" i="69"/>
  <c r="L432" i="69"/>
  <c r="Q433" i="69"/>
  <c r="K435" i="69"/>
  <c r="N421" i="69"/>
  <c r="K423" i="69"/>
  <c r="L425" i="69"/>
  <c r="L427" i="69"/>
  <c r="T428" i="69"/>
  <c r="S430" i="69"/>
  <c r="M432" i="69"/>
  <c r="R433" i="69"/>
  <c r="L435" i="69"/>
  <c r="P421" i="69"/>
  <c r="P423" i="69"/>
  <c r="M425" i="69"/>
  <c r="N427" i="69"/>
  <c r="N429" i="69"/>
  <c r="J431" i="69"/>
  <c r="O432" i="69"/>
  <c r="T433" i="69"/>
  <c r="N435" i="69"/>
  <c r="Q421" i="69"/>
  <c r="R423" i="69"/>
  <c r="R425" i="69"/>
  <c r="O427" i="69"/>
  <c r="P429" i="69"/>
  <c r="K431" i="69"/>
  <c r="P432" i="69"/>
  <c r="J434" i="69"/>
  <c r="O435" i="69"/>
  <c r="K420" i="69"/>
  <c r="K422" i="69"/>
  <c r="S423" i="69"/>
  <c r="T425" i="69"/>
  <c r="T427" i="69"/>
  <c r="Q429" i="69"/>
  <c r="O431" i="69"/>
  <c r="T432" i="69"/>
  <c r="N434" i="69"/>
  <c r="S435" i="69"/>
  <c r="L420" i="69"/>
  <c r="M422" i="69"/>
  <c r="M424" i="69"/>
  <c r="J426" i="69"/>
  <c r="K428" i="69"/>
  <c r="K430" i="69"/>
  <c r="P431" i="69"/>
  <c r="J433" i="69"/>
  <c r="O434" i="69"/>
  <c r="T435" i="69"/>
  <c r="T463" i="45"/>
  <c r="Q467" i="45"/>
  <c r="P469" i="45"/>
  <c r="T474" i="45"/>
  <c r="S466" i="45"/>
  <c r="L474" i="45"/>
  <c r="P472" i="45"/>
  <c r="M475" i="45"/>
  <c r="N469" i="45"/>
  <c r="O207" i="45"/>
  <c r="L208" i="45"/>
  <c r="T208" i="45"/>
  <c r="Q209" i="45"/>
  <c r="N210" i="45"/>
  <c r="K211" i="45"/>
  <c r="S211" i="45"/>
  <c r="P212" i="45"/>
  <c r="M213" i="45"/>
  <c r="J214" i="45"/>
  <c r="R214" i="45"/>
  <c r="O215" i="45"/>
  <c r="L216" i="45"/>
  <c r="T216" i="45"/>
  <c r="Q217" i="45"/>
  <c r="N218" i="45"/>
  <c r="K219" i="45"/>
  <c r="S219" i="45"/>
  <c r="P220" i="45"/>
  <c r="M221" i="45"/>
  <c r="J222" i="45"/>
  <c r="R222" i="45"/>
  <c r="P207" i="45"/>
  <c r="M208" i="45"/>
  <c r="J209" i="45"/>
  <c r="R209" i="45"/>
  <c r="O210" i="45"/>
  <c r="L211" i="45"/>
  <c r="T211" i="45"/>
  <c r="Q212" i="45"/>
  <c r="N213" i="45"/>
  <c r="K214" i="45"/>
  <c r="S214" i="45"/>
  <c r="P215" i="45"/>
  <c r="M216" i="45"/>
  <c r="J217" i="45"/>
  <c r="R217" i="45"/>
  <c r="O218" i="45"/>
  <c r="L219" i="45"/>
  <c r="T219" i="45"/>
  <c r="Q220" i="45"/>
  <c r="N221" i="45"/>
  <c r="K222" i="45"/>
  <c r="S222" i="45"/>
  <c r="Q207" i="45"/>
  <c r="N208" i="45"/>
  <c r="K209" i="45"/>
  <c r="S209" i="45"/>
  <c r="P210" i="45"/>
  <c r="M211" i="45"/>
  <c r="J212" i="45"/>
  <c r="R212" i="45"/>
  <c r="O213" i="45"/>
  <c r="L214" i="45"/>
  <c r="T214" i="45"/>
  <c r="Q215" i="45"/>
  <c r="N216" i="45"/>
  <c r="K217" i="45"/>
  <c r="S217" i="45"/>
  <c r="P218" i="45"/>
  <c r="M219" i="45"/>
  <c r="J220" i="45"/>
  <c r="R220" i="45"/>
  <c r="O221" i="45"/>
  <c r="L222" i="45"/>
  <c r="T222" i="45"/>
  <c r="J207" i="45"/>
  <c r="R207" i="45"/>
  <c r="O208" i="45"/>
  <c r="L209" i="45"/>
  <c r="T209" i="45"/>
  <c r="Q210" i="45"/>
  <c r="N211" i="45"/>
  <c r="K212" i="45"/>
  <c r="S212" i="45"/>
  <c r="P213" i="45"/>
  <c r="M214" i="45"/>
  <c r="J215" i="45"/>
  <c r="R215" i="45"/>
  <c r="O216" i="45"/>
  <c r="L217" i="45"/>
  <c r="T217" i="45"/>
  <c r="Q218" i="45"/>
  <c r="N219" i="45"/>
  <c r="K220" i="45"/>
  <c r="S220" i="45"/>
  <c r="P221" i="45"/>
  <c r="M222" i="45"/>
  <c r="K207" i="45"/>
  <c r="S207" i="45"/>
  <c r="P208" i="45"/>
  <c r="M209" i="45"/>
  <c r="J210" i="45"/>
  <c r="R210" i="45"/>
  <c r="O211" i="45"/>
  <c r="L212" i="45"/>
  <c r="T212" i="45"/>
  <c r="Q213" i="45"/>
  <c r="N214" i="45"/>
  <c r="K215" i="45"/>
  <c r="S215" i="45"/>
  <c r="P216" i="45"/>
  <c r="M217" i="45"/>
  <c r="J218" i="45"/>
  <c r="R218" i="45"/>
  <c r="O219" i="45"/>
  <c r="L220" i="45"/>
  <c r="T220" i="45"/>
  <c r="Q221" i="45"/>
  <c r="N222" i="45"/>
  <c r="L207" i="45"/>
  <c r="T207" i="45"/>
  <c r="Q208" i="45"/>
  <c r="N209" i="45"/>
  <c r="K210" i="45"/>
  <c r="S210" i="45"/>
  <c r="P211" i="45"/>
  <c r="M212" i="45"/>
  <c r="J213" i="45"/>
  <c r="R213" i="45"/>
  <c r="O214" i="45"/>
  <c r="L215" i="45"/>
  <c r="T215" i="45"/>
  <c r="Q216" i="45"/>
  <c r="N217" i="45"/>
  <c r="K218" i="45"/>
  <c r="S218" i="45"/>
  <c r="P219" i="45"/>
  <c r="M220" i="45"/>
  <c r="J221" i="45"/>
  <c r="R221" i="45"/>
  <c r="O222" i="45"/>
  <c r="M207" i="45"/>
  <c r="J208" i="45"/>
  <c r="R208" i="45"/>
  <c r="O209" i="45"/>
  <c r="L210" i="45"/>
  <c r="T210" i="45"/>
  <c r="Q211" i="45"/>
  <c r="N212" i="45"/>
  <c r="K213" i="45"/>
  <c r="S213" i="45"/>
  <c r="P214" i="45"/>
  <c r="M215" i="45"/>
  <c r="J216" i="45"/>
  <c r="R216" i="45"/>
  <c r="O217" i="45"/>
  <c r="L218" i="45"/>
  <c r="T218" i="45"/>
  <c r="Q219" i="45"/>
  <c r="N220" i="45"/>
  <c r="K221" i="45"/>
  <c r="S221" i="45"/>
  <c r="P222" i="45"/>
  <c r="N207" i="45"/>
  <c r="K208" i="45"/>
  <c r="S208" i="45"/>
  <c r="P209" i="45"/>
  <c r="M210" i="45"/>
  <c r="J211" i="45"/>
  <c r="R211" i="45"/>
  <c r="O212" i="45"/>
  <c r="L213" i="45"/>
  <c r="T213" i="45"/>
  <c r="Q214" i="45"/>
  <c r="N215" i="45"/>
  <c r="K216" i="45"/>
  <c r="S216" i="45"/>
  <c r="P217" i="45"/>
  <c r="M218" i="45"/>
  <c r="J219" i="45"/>
  <c r="R219" i="45"/>
  <c r="O220" i="45"/>
  <c r="L221" i="45"/>
  <c r="T221" i="45"/>
  <c r="Q222" i="45"/>
  <c r="Q688" i="69"/>
  <c r="O694" i="69"/>
  <c r="M700" i="69"/>
  <c r="Q691" i="69"/>
  <c r="O697" i="69"/>
  <c r="S688" i="69"/>
  <c r="Q694" i="69"/>
  <c r="O700" i="69"/>
  <c r="K689" i="69"/>
  <c r="T694" i="69"/>
  <c r="R700" i="69"/>
  <c r="J698" i="69"/>
  <c r="Q692" i="69"/>
  <c r="K703" i="69"/>
  <c r="R689" i="69"/>
  <c r="Q701" i="69"/>
  <c r="Q697" i="69"/>
  <c r="T691" i="69"/>
  <c r="R702" i="69"/>
  <c r="Q698" i="69"/>
  <c r="O695" i="69"/>
  <c r="K692" i="69"/>
  <c r="P692" i="69"/>
  <c r="O688" i="69"/>
  <c r="P693" i="69"/>
  <c r="N689" i="69"/>
  <c r="L695" i="69"/>
  <c r="J701" i="69"/>
  <c r="N692" i="69"/>
  <c r="L698" i="69"/>
  <c r="P689" i="69"/>
  <c r="N695" i="69"/>
  <c r="L701" i="69"/>
  <c r="S689" i="69"/>
  <c r="Q695" i="69"/>
  <c r="O701" i="69"/>
  <c r="O699" i="69"/>
  <c r="K694" i="69"/>
  <c r="S703" i="69"/>
  <c r="O691" i="69"/>
  <c r="P702" i="69"/>
  <c r="K699" i="69"/>
  <c r="N693" i="69"/>
  <c r="O703" i="69"/>
  <c r="M702" i="69"/>
  <c r="N699" i="69"/>
  <c r="R695" i="69"/>
  <c r="O696" i="69"/>
  <c r="S692" i="69"/>
  <c r="L697" i="69"/>
  <c r="M689" i="69"/>
  <c r="R703" i="69"/>
  <c r="K690" i="69"/>
  <c r="T695" i="69"/>
  <c r="R701" i="69"/>
  <c r="K693" i="69"/>
  <c r="T698" i="69"/>
  <c r="M690" i="69"/>
  <c r="K696" i="69"/>
  <c r="L688" i="69"/>
  <c r="P690" i="69"/>
  <c r="N696" i="69"/>
  <c r="P688" i="69"/>
  <c r="T700" i="69"/>
  <c r="P695" i="69"/>
  <c r="T692" i="69"/>
  <c r="M703" i="69"/>
  <c r="P700" i="69"/>
  <c r="S694" i="69"/>
  <c r="O690" i="69"/>
  <c r="O702" i="69"/>
  <c r="S699" i="69"/>
  <c r="K700" i="69"/>
  <c r="T696" i="69"/>
  <c r="M701" i="69"/>
  <c r="S690" i="69"/>
  <c r="Q696" i="69"/>
  <c r="J688" i="69"/>
  <c r="S693" i="69"/>
  <c r="Q699" i="69"/>
  <c r="J691" i="69"/>
  <c r="S696" i="69"/>
  <c r="T688" i="69"/>
  <c r="M691" i="69"/>
  <c r="K697" i="69"/>
  <c r="Q690" i="69"/>
  <c r="L702" i="69"/>
  <c r="J697" i="69"/>
  <c r="N694" i="69"/>
  <c r="T689" i="69"/>
  <c r="T701" i="69"/>
  <c r="M696" i="69"/>
  <c r="M694" i="69"/>
  <c r="S702" i="69"/>
  <c r="J703" i="69"/>
  <c r="S700" i="69"/>
  <c r="P703" i="69"/>
  <c r="P701" i="69"/>
  <c r="P691" i="69"/>
  <c r="N697" i="69"/>
  <c r="R688" i="69"/>
  <c r="P694" i="69"/>
  <c r="N700" i="69"/>
  <c r="R691" i="69"/>
  <c r="P697" i="69"/>
  <c r="Q689" i="69"/>
  <c r="J692" i="69"/>
  <c r="S697" i="69"/>
  <c r="L692" i="69"/>
  <c r="T702" i="69"/>
  <c r="O698" i="69"/>
  <c r="S695" i="69"/>
  <c r="S691" i="69"/>
  <c r="Q702" i="69"/>
  <c r="R697" i="69"/>
  <c r="N698" i="69"/>
  <c r="L703" i="69"/>
  <c r="M692" i="69"/>
  <c r="K698" i="69"/>
  <c r="O689" i="69"/>
  <c r="M695" i="69"/>
  <c r="K701" i="69"/>
  <c r="O692" i="69"/>
  <c r="M698" i="69"/>
  <c r="N690" i="69"/>
  <c r="R692" i="69"/>
  <c r="P698" i="69"/>
  <c r="Q693" i="69"/>
  <c r="Q703" i="69"/>
  <c r="T699" i="69"/>
  <c r="M697" i="69"/>
  <c r="M693" i="69"/>
  <c r="N703" i="69"/>
  <c r="L699" i="69"/>
  <c r="K702" i="69"/>
  <c r="T697" i="69"/>
  <c r="J693" i="69"/>
  <c r="S698" i="69"/>
  <c r="L690" i="69"/>
  <c r="J696" i="69"/>
  <c r="S701" i="69"/>
  <c r="L693" i="69"/>
  <c r="J699" i="69"/>
  <c r="K691" i="69"/>
  <c r="O693" i="69"/>
  <c r="M699" i="69"/>
  <c r="K695" i="69"/>
  <c r="L689" i="69"/>
  <c r="N701" i="69"/>
  <c r="R698" i="69"/>
  <c r="R694" i="69"/>
  <c r="M688" i="69"/>
  <c r="Q700" i="69"/>
  <c r="T703" i="69"/>
  <c r="R690" i="69"/>
  <c r="R693" i="69"/>
  <c r="P699" i="69"/>
  <c r="T690" i="69"/>
  <c r="R696" i="69"/>
  <c r="K688" i="69"/>
  <c r="T693" i="69"/>
  <c r="R699" i="69"/>
  <c r="N688" i="69"/>
  <c r="L694" i="69"/>
  <c r="J700" i="69"/>
  <c r="P696" i="69"/>
  <c r="L691" i="69"/>
  <c r="N702" i="69"/>
  <c r="L700" i="69"/>
  <c r="L696" i="69"/>
  <c r="J690" i="69"/>
  <c r="J702" i="69"/>
  <c r="J695" i="69"/>
  <c r="N691" i="69"/>
  <c r="J689" i="69"/>
  <c r="J694" i="69"/>
  <c r="P39" i="27"/>
  <c r="O620" i="19"/>
  <c r="O39" i="27" s="1"/>
  <c r="L463" i="45"/>
  <c r="O465" i="45"/>
  <c r="L473" i="45"/>
  <c r="R464" i="45"/>
  <c r="O472" i="45"/>
  <c r="K474" i="45"/>
  <c r="Q469" i="45"/>
  <c r="P474" i="45"/>
  <c r="T467" i="45"/>
  <c r="O186" i="49"/>
  <c r="L187" i="49"/>
  <c r="T187" i="49"/>
  <c r="Q188" i="49"/>
  <c r="N189" i="49"/>
  <c r="K190" i="49"/>
  <c r="S190" i="49"/>
  <c r="P191" i="49"/>
  <c r="M192" i="49"/>
  <c r="J193" i="49"/>
  <c r="R193" i="49"/>
  <c r="O194" i="49"/>
  <c r="L195" i="49"/>
  <c r="T195" i="49"/>
  <c r="Q196" i="49"/>
  <c r="N197" i="49"/>
  <c r="K198" i="49"/>
  <c r="S198" i="49"/>
  <c r="P199" i="49"/>
  <c r="M200" i="49"/>
  <c r="J201" i="49"/>
  <c r="R201" i="49"/>
  <c r="P186" i="49"/>
  <c r="M187" i="49"/>
  <c r="J188" i="49"/>
  <c r="R188" i="49"/>
  <c r="O189" i="49"/>
  <c r="L190" i="49"/>
  <c r="T190" i="49"/>
  <c r="Q191" i="49"/>
  <c r="N192" i="49"/>
  <c r="K193" i="49"/>
  <c r="S193" i="49"/>
  <c r="P194" i="49"/>
  <c r="M195" i="49"/>
  <c r="J196" i="49"/>
  <c r="R196" i="49"/>
  <c r="O197" i="49"/>
  <c r="L198" i="49"/>
  <c r="T198" i="49"/>
  <c r="Q199" i="49"/>
  <c r="N200" i="49"/>
  <c r="K201" i="49"/>
  <c r="S201" i="49"/>
  <c r="Q186" i="49"/>
  <c r="N187" i="49"/>
  <c r="K188" i="49"/>
  <c r="S188" i="49"/>
  <c r="P189" i="49"/>
  <c r="M190" i="49"/>
  <c r="J191" i="49"/>
  <c r="R191" i="49"/>
  <c r="O192" i="49"/>
  <c r="L193" i="49"/>
  <c r="T193" i="49"/>
  <c r="Q194" i="49"/>
  <c r="N195" i="49"/>
  <c r="K196" i="49"/>
  <c r="S196" i="49"/>
  <c r="P197" i="49"/>
  <c r="M198" i="49"/>
  <c r="J199" i="49"/>
  <c r="R199" i="49"/>
  <c r="O200" i="49"/>
  <c r="L201" i="49"/>
  <c r="T201" i="49"/>
  <c r="J186" i="49"/>
  <c r="R186" i="49"/>
  <c r="O187" i="49"/>
  <c r="L188" i="49"/>
  <c r="T188" i="49"/>
  <c r="Q189" i="49"/>
  <c r="N190" i="49"/>
  <c r="K191" i="49"/>
  <c r="S191" i="49"/>
  <c r="P192" i="49"/>
  <c r="M193" i="49"/>
  <c r="J194" i="49"/>
  <c r="R194" i="49"/>
  <c r="O195" i="49"/>
  <c r="L196" i="49"/>
  <c r="T196" i="49"/>
  <c r="Q197" i="49"/>
  <c r="N198" i="49"/>
  <c r="K199" i="49"/>
  <c r="S199" i="49"/>
  <c r="P200" i="49"/>
  <c r="M201" i="49"/>
  <c r="K186" i="49"/>
  <c r="S186" i="49"/>
  <c r="P187" i="49"/>
  <c r="M188" i="49"/>
  <c r="J189" i="49"/>
  <c r="R189" i="49"/>
  <c r="O190" i="49"/>
  <c r="L191" i="49"/>
  <c r="T191" i="49"/>
  <c r="Q192" i="49"/>
  <c r="N193" i="49"/>
  <c r="K194" i="49"/>
  <c r="S194" i="49"/>
  <c r="P195" i="49"/>
  <c r="M196" i="49"/>
  <c r="J197" i="49"/>
  <c r="R197" i="49"/>
  <c r="O198" i="49"/>
  <c r="L199" i="49"/>
  <c r="T199" i="49"/>
  <c r="Q200" i="49"/>
  <c r="N201" i="49"/>
  <c r="L186" i="49"/>
  <c r="T186" i="49"/>
  <c r="Q187" i="49"/>
  <c r="N188" i="49"/>
  <c r="K189" i="49"/>
  <c r="S189" i="49"/>
  <c r="P190" i="49"/>
  <c r="M191" i="49"/>
  <c r="J192" i="49"/>
  <c r="R192" i="49"/>
  <c r="O193" i="49"/>
  <c r="L194" i="49"/>
  <c r="T194" i="49"/>
  <c r="Q195" i="49"/>
  <c r="N196" i="49"/>
  <c r="K197" i="49"/>
  <c r="S197" i="49"/>
  <c r="P198" i="49"/>
  <c r="M199" i="49"/>
  <c r="J200" i="49"/>
  <c r="R200" i="49"/>
  <c r="O201" i="49"/>
  <c r="M186" i="49"/>
  <c r="J187" i="49"/>
  <c r="R187" i="49"/>
  <c r="O188" i="49"/>
  <c r="L189" i="49"/>
  <c r="T189" i="49"/>
  <c r="Q190" i="49"/>
  <c r="N191" i="49"/>
  <c r="K192" i="49"/>
  <c r="S192" i="49"/>
  <c r="P193" i="49"/>
  <c r="M194" i="49"/>
  <c r="J195" i="49"/>
  <c r="R195" i="49"/>
  <c r="O196" i="49"/>
  <c r="L197" i="49"/>
  <c r="T197" i="49"/>
  <c r="Q198" i="49"/>
  <c r="N199" i="49"/>
  <c r="K200" i="49"/>
  <c r="S200" i="49"/>
  <c r="P201" i="49"/>
  <c r="N186" i="49"/>
  <c r="K187" i="49"/>
  <c r="S187" i="49"/>
  <c r="P188" i="49"/>
  <c r="M189" i="49"/>
  <c r="J190" i="49"/>
  <c r="R190" i="49"/>
  <c r="O191" i="49"/>
  <c r="L192" i="49"/>
  <c r="T192" i="49"/>
  <c r="Q193" i="49"/>
  <c r="N194" i="49"/>
  <c r="K195" i="49"/>
  <c r="S195" i="49"/>
  <c r="P196" i="49"/>
  <c r="M197" i="49"/>
  <c r="J198" i="49"/>
  <c r="R198" i="49"/>
  <c r="O199" i="49"/>
  <c r="L200" i="49"/>
  <c r="T200" i="49"/>
  <c r="Q201" i="49"/>
  <c r="O462" i="45"/>
  <c r="L471" i="45"/>
  <c r="S476" i="45"/>
  <c r="Q466" i="45"/>
  <c r="M470" i="45"/>
  <c r="L468" i="45"/>
  <c r="T470" i="45"/>
  <c r="P463" i="45"/>
  <c r="O242" i="18"/>
  <c r="L243" i="18"/>
  <c r="T243" i="18"/>
  <c r="Q244" i="18"/>
  <c r="N245" i="18"/>
  <c r="K246" i="18"/>
  <c r="S246" i="18"/>
  <c r="P247" i="18"/>
  <c r="M248" i="18"/>
  <c r="J249" i="18"/>
  <c r="R249" i="18"/>
  <c r="O250" i="18"/>
  <c r="L251" i="18"/>
  <c r="T251" i="18"/>
  <c r="Q252" i="18"/>
  <c r="N253" i="18"/>
  <c r="K254" i="18"/>
  <c r="S254" i="18"/>
  <c r="P255" i="18"/>
  <c r="M256" i="18"/>
  <c r="J257" i="18"/>
  <c r="R257" i="18"/>
  <c r="P242" i="18"/>
  <c r="M243" i="18"/>
  <c r="J244" i="18"/>
  <c r="R244" i="18"/>
  <c r="O245" i="18"/>
  <c r="L246" i="18"/>
  <c r="T246" i="18"/>
  <c r="Q247" i="18"/>
  <c r="N248" i="18"/>
  <c r="K249" i="18"/>
  <c r="S249" i="18"/>
  <c r="P250" i="18"/>
  <c r="M251" i="18"/>
  <c r="J252" i="18"/>
  <c r="R252" i="18"/>
  <c r="O253" i="18"/>
  <c r="L254" i="18"/>
  <c r="T254" i="18"/>
  <c r="Q255" i="18"/>
  <c r="Q242" i="18"/>
  <c r="N243" i="18"/>
  <c r="K244" i="18"/>
  <c r="S244" i="18"/>
  <c r="P245" i="18"/>
  <c r="M246" i="18"/>
  <c r="J247" i="18"/>
  <c r="R247" i="18"/>
  <c r="O248" i="18"/>
  <c r="L249" i="18"/>
  <c r="T249" i="18"/>
  <c r="Q250" i="18"/>
  <c r="N251" i="18"/>
  <c r="K252" i="18"/>
  <c r="S252" i="18"/>
  <c r="P253" i="18"/>
  <c r="M254" i="18"/>
  <c r="J255" i="18"/>
  <c r="R255" i="18"/>
  <c r="O256" i="18"/>
  <c r="L257" i="18"/>
  <c r="T257" i="18"/>
  <c r="J242" i="18"/>
  <c r="R242" i="18"/>
  <c r="O243" i="18"/>
  <c r="L244" i="18"/>
  <c r="T244" i="18"/>
  <c r="Q245" i="18"/>
  <c r="N246" i="18"/>
  <c r="K247" i="18"/>
  <c r="S247" i="18"/>
  <c r="P248" i="18"/>
  <c r="M249" i="18"/>
  <c r="J250" i="18"/>
  <c r="R250" i="18"/>
  <c r="O251" i="18"/>
  <c r="L252" i="18"/>
  <c r="T252" i="18"/>
  <c r="Q253" i="18"/>
  <c r="N254" i="18"/>
  <c r="K255" i="18"/>
  <c r="S255" i="18"/>
  <c r="P256" i="18"/>
  <c r="M257" i="18"/>
  <c r="K242" i="18"/>
  <c r="S242" i="18"/>
  <c r="P243" i="18"/>
  <c r="M244" i="18"/>
  <c r="J245" i="18"/>
  <c r="R245" i="18"/>
  <c r="O246" i="18"/>
  <c r="L247" i="18"/>
  <c r="T247" i="18"/>
  <c r="Q248" i="18"/>
  <c r="N249" i="18"/>
  <c r="K250" i="18"/>
  <c r="S250" i="18"/>
  <c r="P251" i="18"/>
  <c r="M252" i="18"/>
  <c r="J253" i="18"/>
  <c r="R253" i="18"/>
  <c r="O254" i="18"/>
  <c r="L255" i="18"/>
  <c r="T255" i="18"/>
  <c r="Q256" i="18"/>
  <c r="N257" i="18"/>
  <c r="L242" i="18"/>
  <c r="T242" i="18"/>
  <c r="Q243" i="18"/>
  <c r="N244" i="18"/>
  <c r="K245" i="18"/>
  <c r="S245" i="18"/>
  <c r="P246" i="18"/>
  <c r="M247" i="18"/>
  <c r="J248" i="18"/>
  <c r="R248" i="18"/>
  <c r="O249" i="18"/>
  <c r="L250" i="18"/>
  <c r="T250" i="18"/>
  <c r="Q251" i="18"/>
  <c r="N252" i="18"/>
  <c r="K253" i="18"/>
  <c r="S253" i="18"/>
  <c r="P254" i="18"/>
  <c r="M255" i="18"/>
  <c r="J256" i="18"/>
  <c r="M242" i="18"/>
  <c r="J243" i="18"/>
  <c r="R243" i="18"/>
  <c r="O244" i="18"/>
  <c r="L245" i="18"/>
  <c r="T245" i="18"/>
  <c r="Q246" i="18"/>
  <c r="N247" i="18"/>
  <c r="K248" i="18"/>
  <c r="S248" i="18"/>
  <c r="P249" i="18"/>
  <c r="M250" i="18"/>
  <c r="J251" i="18"/>
  <c r="R251" i="18"/>
  <c r="O252" i="18"/>
  <c r="L253" i="18"/>
  <c r="T253" i="18"/>
  <c r="Q254" i="18"/>
  <c r="N255" i="18"/>
  <c r="K256" i="18"/>
  <c r="S256" i="18"/>
  <c r="P257" i="18"/>
  <c r="N242" i="18"/>
  <c r="K243" i="18"/>
  <c r="S243" i="18"/>
  <c r="P244" i="18"/>
  <c r="M245" i="18"/>
  <c r="J246" i="18"/>
  <c r="R246" i="18"/>
  <c r="O247" i="18"/>
  <c r="L248" i="18"/>
  <c r="T248" i="18"/>
  <c r="Q249" i="18"/>
  <c r="N250" i="18"/>
  <c r="K251" i="18"/>
  <c r="S251" i="18"/>
  <c r="P252" i="18"/>
  <c r="M253" i="18"/>
  <c r="J254" i="18"/>
  <c r="R254" i="18"/>
  <c r="O255" i="18"/>
  <c r="L256" i="18"/>
  <c r="T256" i="18"/>
  <c r="Q257" i="18"/>
  <c r="N256" i="18"/>
  <c r="R256" i="18"/>
  <c r="K257" i="18"/>
  <c r="O257" i="18"/>
  <c r="S257" i="18"/>
  <c r="Q214" i="53"/>
  <c r="N215" i="53"/>
  <c r="K216" i="53"/>
  <c r="S216" i="53"/>
  <c r="P217" i="53"/>
  <c r="M218" i="53"/>
  <c r="J219" i="53"/>
  <c r="R219" i="53"/>
  <c r="J214" i="53"/>
  <c r="R214" i="53"/>
  <c r="O215" i="53"/>
  <c r="L216" i="53"/>
  <c r="T216" i="53"/>
  <c r="Q217" i="53"/>
  <c r="N218" i="53"/>
  <c r="K219" i="53"/>
  <c r="S219" i="53"/>
  <c r="P220" i="53"/>
  <c r="M221" i="53"/>
  <c r="J222" i="53"/>
  <c r="R222" i="53"/>
  <c r="O223" i="53"/>
  <c r="L224" i="53"/>
  <c r="T224" i="53"/>
  <c r="Q225" i="53"/>
  <c r="N226" i="53"/>
  <c r="K227" i="53"/>
  <c r="S227" i="53"/>
  <c r="P228" i="53"/>
  <c r="M229" i="53"/>
  <c r="K214" i="53"/>
  <c r="S214" i="53"/>
  <c r="P215" i="53"/>
  <c r="M216" i="53"/>
  <c r="J217" i="53"/>
  <c r="R217" i="53"/>
  <c r="O218" i="53"/>
  <c r="L219" i="53"/>
  <c r="T219" i="53"/>
  <c r="Q220" i="53"/>
  <c r="N221" i="53"/>
  <c r="K222" i="53"/>
  <c r="S222" i="53"/>
  <c r="P223" i="53"/>
  <c r="M224" i="53"/>
  <c r="J225" i="53"/>
  <c r="R225" i="53"/>
  <c r="O226" i="53"/>
  <c r="L227" i="53"/>
  <c r="T227" i="53"/>
  <c r="Q228" i="53"/>
  <c r="N229" i="53"/>
  <c r="L214" i="53"/>
  <c r="T214" i="53"/>
  <c r="Q215" i="53"/>
  <c r="N216" i="53"/>
  <c r="K217" i="53"/>
  <c r="S217" i="53"/>
  <c r="P218" i="53"/>
  <c r="M219" i="53"/>
  <c r="J220" i="53"/>
  <c r="R220" i="53"/>
  <c r="O221" i="53"/>
  <c r="L222" i="53"/>
  <c r="T222" i="53"/>
  <c r="Q223" i="53"/>
  <c r="N224" i="53"/>
  <c r="K225" i="53"/>
  <c r="S225" i="53"/>
  <c r="P226" i="53"/>
  <c r="M227" i="53"/>
  <c r="J228" i="53"/>
  <c r="R228" i="53"/>
  <c r="O229" i="53"/>
  <c r="M214" i="53"/>
  <c r="J215" i="53"/>
  <c r="R215" i="53"/>
  <c r="O216" i="53"/>
  <c r="L217" i="53"/>
  <c r="T217" i="53"/>
  <c r="Q218" i="53"/>
  <c r="N219" i="53"/>
  <c r="K220" i="53"/>
  <c r="S220" i="53"/>
  <c r="P221" i="53"/>
  <c r="M222" i="53"/>
  <c r="J223" i="53"/>
  <c r="R223" i="53"/>
  <c r="O224" i="53"/>
  <c r="L225" i="53"/>
  <c r="T225" i="53"/>
  <c r="Q226" i="53"/>
  <c r="N227" i="53"/>
  <c r="K228" i="53"/>
  <c r="S228" i="53"/>
  <c r="P229" i="53"/>
  <c r="N214" i="53"/>
  <c r="K215" i="53"/>
  <c r="S215" i="53"/>
  <c r="P216" i="53"/>
  <c r="J216" i="53"/>
  <c r="L218" i="53"/>
  <c r="M220" i="53"/>
  <c r="R221" i="53"/>
  <c r="L223" i="53"/>
  <c r="Q224" i="53"/>
  <c r="K226" i="53"/>
  <c r="P227" i="53"/>
  <c r="J229" i="53"/>
  <c r="Q216" i="53"/>
  <c r="R218" i="53"/>
  <c r="N220" i="53"/>
  <c r="S221" i="53"/>
  <c r="M223" i="53"/>
  <c r="R224" i="53"/>
  <c r="L226" i="53"/>
  <c r="Q227" i="53"/>
  <c r="K229" i="53"/>
  <c r="R216" i="53"/>
  <c r="S218" i="53"/>
  <c r="O220" i="53"/>
  <c r="T221" i="53"/>
  <c r="N223" i="53"/>
  <c r="S224" i="53"/>
  <c r="M226" i="53"/>
  <c r="R227" i="53"/>
  <c r="L229" i="53"/>
  <c r="O214" i="53"/>
  <c r="M217" i="53"/>
  <c r="T218" i="53"/>
  <c r="T220" i="53"/>
  <c r="N222" i="53"/>
  <c r="S223" i="53"/>
  <c r="M225" i="53"/>
  <c r="R226" i="53"/>
  <c r="L228" i="53"/>
  <c r="Q229" i="53"/>
  <c r="P214" i="53"/>
  <c r="N217" i="53"/>
  <c r="O219" i="53"/>
  <c r="J221" i="53"/>
  <c r="O222" i="53"/>
  <c r="T223" i="53"/>
  <c r="N225" i="53"/>
  <c r="S226" i="53"/>
  <c r="M228" i="53"/>
  <c r="R229" i="53"/>
  <c r="L215" i="53"/>
  <c r="O217" i="53"/>
  <c r="P219" i="53"/>
  <c r="K221" i="53"/>
  <c r="P222" i="53"/>
  <c r="J224" i="53"/>
  <c r="O225" i="53"/>
  <c r="T226" i="53"/>
  <c r="N228" i="53"/>
  <c r="S229" i="53"/>
  <c r="M215" i="53"/>
  <c r="J218" i="53"/>
  <c r="Q219" i="53"/>
  <c r="L221" i="53"/>
  <c r="Q222" i="53"/>
  <c r="K224" i="53"/>
  <c r="P225" i="53"/>
  <c r="J227" i="53"/>
  <c r="O228" i="53"/>
  <c r="T229" i="53"/>
  <c r="T215" i="53"/>
  <c r="K218" i="53"/>
  <c r="L220" i="53"/>
  <c r="Q221" i="53"/>
  <c r="K223" i="53"/>
  <c r="P224" i="53"/>
  <c r="J226" i="53"/>
  <c r="O227" i="53"/>
  <c r="T228" i="53"/>
  <c r="Q475" i="45"/>
  <c r="N465" i="45"/>
  <c r="S474" i="45"/>
  <c r="Q464" i="45"/>
  <c r="M468" i="45"/>
  <c r="O467" i="45"/>
  <c r="O469" i="45"/>
  <c r="K186" i="19"/>
  <c r="S186" i="19"/>
  <c r="P187" i="19"/>
  <c r="M188" i="19"/>
  <c r="J189" i="19"/>
  <c r="R189" i="19"/>
  <c r="O190" i="19"/>
  <c r="L191" i="19"/>
  <c r="T191" i="19"/>
  <c r="Q192" i="19"/>
  <c r="N193" i="19"/>
  <c r="K194" i="19"/>
  <c r="S194" i="19"/>
  <c r="P195" i="19"/>
  <c r="M196" i="19"/>
  <c r="J197" i="19"/>
  <c r="R197" i="19"/>
  <c r="O198" i="19"/>
  <c r="L199" i="19"/>
  <c r="T199" i="19"/>
  <c r="Q200" i="19"/>
  <c r="N201" i="19"/>
  <c r="L186" i="19"/>
  <c r="T186" i="19"/>
  <c r="Q187" i="19"/>
  <c r="N188" i="19"/>
  <c r="K189" i="19"/>
  <c r="S189" i="19"/>
  <c r="P190" i="19"/>
  <c r="M191" i="19"/>
  <c r="J192" i="19"/>
  <c r="R192" i="19"/>
  <c r="O193" i="19"/>
  <c r="L194" i="19"/>
  <c r="T194" i="19"/>
  <c r="Q195" i="19"/>
  <c r="N196" i="19"/>
  <c r="K197" i="19"/>
  <c r="S197" i="19"/>
  <c r="P198" i="19"/>
  <c r="M199" i="19"/>
  <c r="J200" i="19"/>
  <c r="R200" i="19"/>
  <c r="O201" i="19"/>
  <c r="M186" i="19"/>
  <c r="J187" i="19"/>
  <c r="R187" i="19"/>
  <c r="O188" i="19"/>
  <c r="L189" i="19"/>
  <c r="T189" i="19"/>
  <c r="Q190" i="19"/>
  <c r="N191" i="19"/>
  <c r="K192" i="19"/>
  <c r="S192" i="19"/>
  <c r="P193" i="19"/>
  <c r="M194" i="19"/>
  <c r="J195" i="19"/>
  <c r="R195" i="19"/>
  <c r="O196" i="19"/>
  <c r="L197" i="19"/>
  <c r="T197" i="19"/>
  <c r="Q198" i="19"/>
  <c r="N199" i="19"/>
  <c r="K200" i="19"/>
  <c r="S200" i="19"/>
  <c r="P201" i="19"/>
  <c r="N186" i="19"/>
  <c r="K187" i="19"/>
  <c r="S187" i="19"/>
  <c r="P188" i="19"/>
  <c r="M189" i="19"/>
  <c r="J190" i="19"/>
  <c r="R190" i="19"/>
  <c r="O191" i="19"/>
  <c r="L192" i="19"/>
  <c r="T192" i="19"/>
  <c r="Q193" i="19"/>
  <c r="N194" i="19"/>
  <c r="K195" i="19"/>
  <c r="S195" i="19"/>
  <c r="P196" i="19"/>
  <c r="M197" i="19"/>
  <c r="J198" i="19"/>
  <c r="R198" i="19"/>
  <c r="O199" i="19"/>
  <c r="L200" i="19"/>
  <c r="T200" i="19"/>
  <c r="Q201" i="19"/>
  <c r="O186" i="19"/>
  <c r="L187" i="19"/>
  <c r="T187" i="19"/>
  <c r="Q188" i="19"/>
  <c r="N189" i="19"/>
  <c r="K190" i="19"/>
  <c r="S190" i="19"/>
  <c r="P191" i="19"/>
  <c r="M192" i="19"/>
  <c r="J193" i="19"/>
  <c r="R193" i="19"/>
  <c r="O194" i="19"/>
  <c r="L195" i="19"/>
  <c r="T195" i="19"/>
  <c r="Q196" i="19"/>
  <c r="N197" i="19"/>
  <c r="K198" i="19"/>
  <c r="S198" i="19"/>
  <c r="P199" i="19"/>
  <c r="M200" i="19"/>
  <c r="J201" i="19"/>
  <c r="R201" i="19"/>
  <c r="P186" i="19"/>
  <c r="M187" i="19"/>
  <c r="J188" i="19"/>
  <c r="R188" i="19"/>
  <c r="O189" i="19"/>
  <c r="L190" i="19"/>
  <c r="T190" i="19"/>
  <c r="Q191" i="19"/>
  <c r="N192" i="19"/>
  <c r="K193" i="19"/>
  <c r="S193" i="19"/>
  <c r="P194" i="19"/>
  <c r="M195" i="19"/>
  <c r="J196" i="19"/>
  <c r="R196" i="19"/>
  <c r="O197" i="19"/>
  <c r="L198" i="19"/>
  <c r="T198" i="19"/>
  <c r="Q199" i="19"/>
  <c r="N200" i="19"/>
  <c r="K201" i="19"/>
  <c r="S201" i="19"/>
  <c r="Q186" i="19"/>
  <c r="N187" i="19"/>
  <c r="K188" i="19"/>
  <c r="S188" i="19"/>
  <c r="P189" i="19"/>
  <c r="M190" i="19"/>
  <c r="J191" i="19"/>
  <c r="R191" i="19"/>
  <c r="O192" i="19"/>
  <c r="L193" i="19"/>
  <c r="T193" i="19"/>
  <c r="Q194" i="19"/>
  <c r="N195" i="19"/>
  <c r="K196" i="19"/>
  <c r="S196" i="19"/>
  <c r="P197" i="19"/>
  <c r="M198" i="19"/>
  <c r="J199" i="19"/>
  <c r="R199" i="19"/>
  <c r="O200" i="19"/>
  <c r="L201" i="19"/>
  <c r="T201" i="19"/>
  <c r="J186" i="19"/>
  <c r="R186" i="19"/>
  <c r="O187" i="19"/>
  <c r="L188" i="19"/>
  <c r="T188" i="19"/>
  <c r="Q189" i="19"/>
  <c r="N190" i="19"/>
  <c r="K191" i="19"/>
  <c r="S191" i="19"/>
  <c r="P192" i="19"/>
  <c r="M193" i="19"/>
  <c r="J194" i="19"/>
  <c r="R194" i="19"/>
  <c r="O195" i="19"/>
  <c r="L196" i="19"/>
  <c r="T196" i="19"/>
  <c r="Q197" i="19"/>
  <c r="N198" i="19"/>
  <c r="K199" i="19"/>
  <c r="S199" i="19"/>
  <c r="P200" i="19"/>
  <c r="M201" i="19"/>
  <c r="N200" i="57"/>
  <c r="K201" i="57"/>
  <c r="S201" i="57"/>
  <c r="P202" i="57"/>
  <c r="M203" i="57"/>
  <c r="J204" i="57"/>
  <c r="R204" i="57"/>
  <c r="O205" i="57"/>
  <c r="L206" i="57"/>
  <c r="T206" i="57"/>
  <c r="Q207" i="57"/>
  <c r="N208" i="57"/>
  <c r="K209" i="57"/>
  <c r="S209" i="57"/>
  <c r="P210" i="57"/>
  <c r="M211" i="57"/>
  <c r="J212" i="57"/>
  <c r="R212" i="57"/>
  <c r="O213" i="57"/>
  <c r="L214" i="57"/>
  <c r="T214" i="57"/>
  <c r="Q215" i="57"/>
  <c r="O200" i="57"/>
  <c r="P200" i="57"/>
  <c r="M201" i="57"/>
  <c r="J202" i="57"/>
  <c r="R202" i="57"/>
  <c r="O203" i="57"/>
  <c r="L204" i="57"/>
  <c r="T204" i="57"/>
  <c r="Q205" i="57"/>
  <c r="N206" i="57"/>
  <c r="K207" i="57"/>
  <c r="S207" i="57"/>
  <c r="P208" i="57"/>
  <c r="M209" i="57"/>
  <c r="J210" i="57"/>
  <c r="R210" i="57"/>
  <c r="O211" i="57"/>
  <c r="L212" i="57"/>
  <c r="T212" i="57"/>
  <c r="Q213" i="57"/>
  <c r="N214" i="57"/>
  <c r="K215" i="57"/>
  <c r="S215" i="57"/>
  <c r="Q200" i="57"/>
  <c r="N201" i="57"/>
  <c r="K202" i="57"/>
  <c r="S202" i="57"/>
  <c r="P203" i="57"/>
  <c r="M204" i="57"/>
  <c r="J205" i="57"/>
  <c r="R205" i="57"/>
  <c r="O206" i="57"/>
  <c r="L207" i="57"/>
  <c r="T207" i="57"/>
  <c r="Q208" i="57"/>
  <c r="N209" i="57"/>
  <c r="K210" i="57"/>
  <c r="S210" i="57"/>
  <c r="P211" i="57"/>
  <c r="M212" i="57"/>
  <c r="J213" i="57"/>
  <c r="R213" i="57"/>
  <c r="O214" i="57"/>
  <c r="L215" i="57"/>
  <c r="T215" i="57"/>
  <c r="J200" i="57"/>
  <c r="R200" i="57"/>
  <c r="O201" i="57"/>
  <c r="L202" i="57"/>
  <c r="T202" i="57"/>
  <c r="Q203" i="57"/>
  <c r="N204" i="57"/>
  <c r="K205" i="57"/>
  <c r="S205" i="57"/>
  <c r="P206" i="57"/>
  <c r="M207" i="57"/>
  <c r="J208" i="57"/>
  <c r="R208" i="57"/>
  <c r="O209" i="57"/>
  <c r="L210" i="57"/>
  <c r="T210" i="57"/>
  <c r="Q211" i="57"/>
  <c r="N212" i="57"/>
  <c r="K213" i="57"/>
  <c r="S213" i="57"/>
  <c r="P214" i="57"/>
  <c r="M215" i="57"/>
  <c r="K200" i="57"/>
  <c r="S200" i="57"/>
  <c r="P201" i="57"/>
  <c r="L200" i="57"/>
  <c r="T200" i="57"/>
  <c r="Q201" i="57"/>
  <c r="N202" i="57"/>
  <c r="K203" i="57"/>
  <c r="S203" i="57"/>
  <c r="P204" i="57"/>
  <c r="M205" i="57"/>
  <c r="J206" i="57"/>
  <c r="R206" i="57"/>
  <c r="O207" i="57"/>
  <c r="L208" i="57"/>
  <c r="T208" i="57"/>
  <c r="Q209" i="57"/>
  <c r="N210" i="57"/>
  <c r="K211" i="57"/>
  <c r="S211" i="57"/>
  <c r="P212" i="57"/>
  <c r="M213" i="57"/>
  <c r="J214" i="57"/>
  <c r="R214" i="57"/>
  <c r="O215" i="57"/>
  <c r="M200" i="57"/>
  <c r="J201" i="57"/>
  <c r="R201" i="57"/>
  <c r="O202" i="57"/>
  <c r="L203" i="57"/>
  <c r="T203" i="57"/>
  <c r="Q204" i="57"/>
  <c r="N205" i="57"/>
  <c r="K206" i="57"/>
  <c r="S206" i="57"/>
  <c r="P207" i="57"/>
  <c r="M208" i="57"/>
  <c r="J209" i="57"/>
  <c r="R209" i="57"/>
  <c r="O210" i="57"/>
  <c r="L211" i="57"/>
  <c r="T211" i="57"/>
  <c r="Q212" i="57"/>
  <c r="N213" i="57"/>
  <c r="K214" i="57"/>
  <c r="S214" i="57"/>
  <c r="P215" i="57"/>
  <c r="L201" i="57"/>
  <c r="O204" i="57"/>
  <c r="N207" i="57"/>
  <c r="M210" i="57"/>
  <c r="L213" i="57"/>
  <c r="T201" i="57"/>
  <c r="S204" i="57"/>
  <c r="R207" i="57"/>
  <c r="Q210" i="57"/>
  <c r="P213" i="57"/>
  <c r="M202" i="57"/>
  <c r="L205" i="57"/>
  <c r="K208" i="57"/>
  <c r="J211" i="57"/>
  <c r="T213" i="57"/>
  <c r="Q202" i="57"/>
  <c r="P205" i="57"/>
  <c r="O208" i="57"/>
  <c r="N211" i="57"/>
  <c r="M214" i="57"/>
  <c r="J203" i="57"/>
  <c r="T205" i="57"/>
  <c r="S208" i="57"/>
  <c r="R211" i="57"/>
  <c r="Q214" i="57"/>
  <c r="N203" i="57"/>
  <c r="M206" i="57"/>
  <c r="L209" i="57"/>
  <c r="K212" i="57"/>
  <c r="J215" i="57"/>
  <c r="R203" i="57"/>
  <c r="Q206" i="57"/>
  <c r="P209" i="57"/>
  <c r="O212" i="57"/>
  <c r="N215" i="57"/>
  <c r="K204" i="57"/>
  <c r="J207" i="57"/>
  <c r="T209" i="57"/>
  <c r="S212" i="57"/>
  <c r="R215" i="57"/>
  <c r="J482" i="57"/>
  <c r="R482" i="57"/>
  <c r="O483" i="57"/>
  <c r="L484" i="57"/>
  <c r="T484" i="57"/>
  <c r="Q485" i="57"/>
  <c r="N486" i="57"/>
  <c r="K487" i="57"/>
  <c r="S487" i="57"/>
  <c r="P488" i="57"/>
  <c r="M489" i="57"/>
  <c r="J490" i="57"/>
  <c r="R490" i="57"/>
  <c r="O491" i="57"/>
  <c r="L492" i="57"/>
  <c r="T492" i="57"/>
  <c r="Q493" i="57"/>
  <c r="N494" i="57"/>
  <c r="K495" i="57"/>
  <c r="S495" i="57"/>
  <c r="P496" i="57"/>
  <c r="M497" i="57"/>
  <c r="M482" i="57"/>
  <c r="J483" i="57"/>
  <c r="R483" i="57"/>
  <c r="O484" i="57"/>
  <c r="L485" i="57"/>
  <c r="T485" i="57"/>
  <c r="Q486" i="57"/>
  <c r="N487" i="57"/>
  <c r="K488" i="57"/>
  <c r="S488" i="57"/>
  <c r="P489" i="57"/>
  <c r="M490" i="57"/>
  <c r="J491" i="57"/>
  <c r="R491" i="57"/>
  <c r="O492" i="57"/>
  <c r="L493" i="57"/>
  <c r="T493" i="57"/>
  <c r="Q494" i="57"/>
  <c r="N495" i="57"/>
  <c r="K496" i="57"/>
  <c r="S496" i="57"/>
  <c r="P497" i="57"/>
  <c r="N482" i="57"/>
  <c r="K483" i="57"/>
  <c r="S483" i="57"/>
  <c r="P484" i="57"/>
  <c r="M485" i="57"/>
  <c r="J486" i="57"/>
  <c r="R486" i="57"/>
  <c r="O487" i="57"/>
  <c r="L488" i="57"/>
  <c r="T488" i="57"/>
  <c r="Q489" i="57"/>
  <c r="N490" i="57"/>
  <c r="K491" i="57"/>
  <c r="S491" i="57"/>
  <c r="P492" i="57"/>
  <c r="M493" i="57"/>
  <c r="J494" i="57"/>
  <c r="R494" i="57"/>
  <c r="O495" i="57"/>
  <c r="L496" i="57"/>
  <c r="T496" i="57"/>
  <c r="Q497" i="57"/>
  <c r="S482" i="57"/>
  <c r="J484" i="57"/>
  <c r="K485" i="57"/>
  <c r="M486" i="57"/>
  <c r="P487" i="57"/>
  <c r="Q488" i="57"/>
  <c r="S489" i="57"/>
  <c r="T490" i="57"/>
  <c r="K492" i="57"/>
  <c r="N493" i="57"/>
  <c r="O494" i="57"/>
  <c r="Q495" i="57"/>
  <c r="R496" i="57"/>
  <c r="T497" i="57"/>
  <c r="T482" i="57"/>
  <c r="K484" i="57"/>
  <c r="N485" i="57"/>
  <c r="O486" i="57"/>
  <c r="Q487" i="57"/>
  <c r="R488" i="57"/>
  <c r="T489" i="57"/>
  <c r="L491" i="57"/>
  <c r="M492" i="57"/>
  <c r="O493" i="57"/>
  <c r="P494" i="57"/>
  <c r="R495" i="57"/>
  <c r="J497" i="57"/>
  <c r="L483" i="57"/>
  <c r="M484" i="57"/>
  <c r="O485" i="57"/>
  <c r="P486" i="57"/>
  <c r="R487" i="57"/>
  <c r="J489" i="57"/>
  <c r="K490" i="57"/>
  <c r="M491" i="57"/>
  <c r="N492" i="57"/>
  <c r="P493" i="57"/>
  <c r="S494" i="57"/>
  <c r="T495" i="57"/>
  <c r="K497" i="57"/>
  <c r="K482" i="57"/>
  <c r="M483" i="57"/>
  <c r="N484" i="57"/>
  <c r="P485" i="57"/>
  <c r="S486" i="57"/>
  <c r="T487" i="57"/>
  <c r="K489" i="57"/>
  <c r="L490" i="57"/>
  <c r="N491" i="57"/>
  <c r="Q492" i="57"/>
  <c r="R493" i="57"/>
  <c r="T494" i="57"/>
  <c r="J496" i="57"/>
  <c r="L497" i="57"/>
  <c r="L482" i="57"/>
  <c r="N483" i="57"/>
  <c r="Q484" i="57"/>
  <c r="R485" i="57"/>
  <c r="T486" i="57"/>
  <c r="J488" i="57"/>
  <c r="L489" i="57"/>
  <c r="O490" i="57"/>
  <c r="P491" i="57"/>
  <c r="R492" i="57"/>
  <c r="S493" i="57"/>
  <c r="J495" i="57"/>
  <c r="M496" i="57"/>
  <c r="N497" i="57"/>
  <c r="O482" i="57"/>
  <c r="P483" i="57"/>
  <c r="R484" i="57"/>
  <c r="S485" i="57"/>
  <c r="J487" i="57"/>
  <c r="M488" i="57"/>
  <c r="N489" i="57"/>
  <c r="P490" i="57"/>
  <c r="Q491" i="57"/>
  <c r="S492" i="57"/>
  <c r="K494" i="57"/>
  <c r="L495" i="57"/>
  <c r="N496" i="57"/>
  <c r="O497" i="57"/>
  <c r="P482" i="57"/>
  <c r="Q483" i="57"/>
  <c r="S484" i="57"/>
  <c r="K486" i="57"/>
  <c r="L487" i="57"/>
  <c r="N488" i="57"/>
  <c r="O489" i="57"/>
  <c r="Q490" i="57"/>
  <c r="T491" i="57"/>
  <c r="J493" i="57"/>
  <c r="L494" i="57"/>
  <c r="M495" i="57"/>
  <c r="O496" i="57"/>
  <c r="R497" i="57"/>
  <c r="Q482" i="57"/>
  <c r="T483" i="57"/>
  <c r="J485" i="57"/>
  <c r="L486" i="57"/>
  <c r="M487" i="57"/>
  <c r="O488" i="57"/>
  <c r="R489" i="57"/>
  <c r="S490" i="57"/>
  <c r="J492" i="57"/>
  <c r="K493" i="57"/>
  <c r="M494" i="57"/>
  <c r="P495" i="57"/>
  <c r="Q496" i="57"/>
  <c r="S497" i="57"/>
  <c r="K461" i="45"/>
  <c r="N463" i="45"/>
  <c r="L469" i="45"/>
  <c r="J475" i="45"/>
  <c r="T464" i="45"/>
  <c r="R470" i="45"/>
  <c r="P476" i="45"/>
  <c r="O466" i="45"/>
  <c r="M472" i="45"/>
  <c r="L462" i="45"/>
  <c r="J468" i="45"/>
  <c r="S473" i="45"/>
  <c r="R463" i="45"/>
  <c r="R466" i="45"/>
  <c r="S461" i="45"/>
  <c r="K464" i="45"/>
  <c r="T469" i="45"/>
  <c r="R475" i="45"/>
  <c r="Q465" i="45"/>
  <c r="O471" i="45"/>
  <c r="N461" i="45"/>
  <c r="L467" i="45"/>
  <c r="J473" i="45"/>
  <c r="T462" i="45"/>
  <c r="R468" i="45"/>
  <c r="P462" i="45"/>
  <c r="S464" i="45"/>
  <c r="Q470" i="45"/>
  <c r="O476" i="45"/>
  <c r="N466" i="45"/>
  <c r="L472" i="45"/>
  <c r="M463" i="45"/>
  <c r="P465" i="45"/>
  <c r="N471" i="45"/>
  <c r="M461" i="45"/>
  <c r="K467" i="45"/>
  <c r="T472" i="45"/>
  <c r="S462" i="45"/>
  <c r="Q468" i="45"/>
  <c r="O474" i="45"/>
  <c r="N464" i="45"/>
  <c r="L470" i="45"/>
  <c r="J476" i="45"/>
  <c r="K463" i="45"/>
  <c r="T468" i="45"/>
  <c r="R474" i="45"/>
  <c r="J472" i="45"/>
  <c r="S468" i="45"/>
  <c r="R472" i="45"/>
  <c r="P467" i="45"/>
  <c r="J464" i="45"/>
  <c r="M466" i="45"/>
  <c r="K472" i="45"/>
  <c r="L461" i="45"/>
  <c r="J467" i="45"/>
  <c r="S472" i="45"/>
  <c r="R462" i="45"/>
  <c r="P468" i="45"/>
  <c r="N474" i="45"/>
  <c r="M464" i="45"/>
  <c r="K470" i="45"/>
  <c r="T475" i="45"/>
  <c r="S465" i="45"/>
  <c r="Q471" i="45"/>
  <c r="P461" i="45"/>
  <c r="P464" i="45"/>
  <c r="N470" i="45"/>
  <c r="L476" i="45"/>
  <c r="K476" i="45"/>
  <c r="T461" i="45"/>
  <c r="R467" i="45"/>
  <c r="P473" i="45"/>
  <c r="O463" i="45"/>
  <c r="M469" i="45"/>
  <c r="K475" i="45"/>
  <c r="J465" i="45"/>
  <c r="S470" i="45"/>
  <c r="Q476" i="45"/>
  <c r="P466" i="45"/>
  <c r="N472" i="45"/>
  <c r="M462" i="45"/>
  <c r="M465" i="45"/>
  <c r="K471" i="45"/>
  <c r="T476" i="45"/>
  <c r="N468" i="45"/>
  <c r="Q474" i="45"/>
  <c r="J461" i="45"/>
  <c r="N467" i="45"/>
  <c r="Q462" i="45"/>
  <c r="O468" i="45"/>
  <c r="M474" i="45"/>
  <c r="L464" i="45"/>
  <c r="J470" i="45"/>
  <c r="S475" i="45"/>
  <c r="R465" i="45"/>
  <c r="P471" i="45"/>
  <c r="O461" i="45"/>
  <c r="M467" i="45"/>
  <c r="K473" i="45"/>
  <c r="J463" i="45"/>
  <c r="J466" i="45"/>
  <c r="S471" i="45"/>
  <c r="O464" i="45"/>
  <c r="O470" i="45"/>
  <c r="N476" i="45"/>
  <c r="L465" i="45"/>
  <c r="K469" i="45"/>
  <c r="N475" i="45"/>
  <c r="T465" i="45"/>
  <c r="T471" i="45"/>
  <c r="T473" i="45"/>
  <c r="P475" i="45"/>
  <c r="R461" i="45"/>
  <c r="J471" i="45"/>
  <c r="L466" i="45"/>
  <c r="S463" i="45"/>
  <c r="K465" i="45"/>
  <c r="Q473" i="45"/>
  <c r="J235" i="29"/>
  <c r="R235" i="29"/>
  <c r="O236" i="29"/>
  <c r="L237" i="29"/>
  <c r="T237" i="29"/>
  <c r="L235" i="29"/>
  <c r="T235" i="29"/>
  <c r="Q236" i="29"/>
  <c r="N237" i="29"/>
  <c r="K238" i="29"/>
  <c r="S238" i="29"/>
  <c r="P239" i="29"/>
  <c r="M240" i="29"/>
  <c r="J241" i="29"/>
  <c r="R241" i="29"/>
  <c r="O242" i="29"/>
  <c r="L243" i="29"/>
  <c r="T243" i="29"/>
  <c r="Q244" i="29"/>
  <c r="N245" i="29"/>
  <c r="K246" i="29"/>
  <c r="S246" i="29"/>
  <c r="P247" i="29"/>
  <c r="M248" i="29"/>
  <c r="J249" i="29"/>
  <c r="R249" i="29"/>
  <c r="O250" i="29"/>
  <c r="M235" i="29"/>
  <c r="J236" i="29"/>
  <c r="R236" i="29"/>
  <c r="O237" i="29"/>
  <c r="L238" i="29"/>
  <c r="T238" i="29"/>
  <c r="Q239" i="29"/>
  <c r="N240" i="29"/>
  <c r="K241" i="29"/>
  <c r="S241" i="29"/>
  <c r="P242" i="29"/>
  <c r="M243" i="29"/>
  <c r="J244" i="29"/>
  <c r="R244" i="29"/>
  <c r="O245" i="29"/>
  <c r="L246" i="29"/>
  <c r="T246" i="29"/>
  <c r="Q247" i="29"/>
  <c r="N248" i="29"/>
  <c r="K249" i="29"/>
  <c r="S249" i="29"/>
  <c r="P250" i="29"/>
  <c r="P235" i="29"/>
  <c r="M236" i="29"/>
  <c r="J237" i="29"/>
  <c r="R237" i="29"/>
  <c r="O238" i="29"/>
  <c r="L239" i="29"/>
  <c r="T239" i="29"/>
  <c r="Q240" i="29"/>
  <c r="N241" i="29"/>
  <c r="K242" i="29"/>
  <c r="S242" i="29"/>
  <c r="P243" i="29"/>
  <c r="M244" i="29"/>
  <c r="J245" i="29"/>
  <c r="R245" i="29"/>
  <c r="O246" i="29"/>
  <c r="L247" i="29"/>
  <c r="T247" i="29"/>
  <c r="Q248" i="29"/>
  <c r="N249" i="29"/>
  <c r="K250" i="29"/>
  <c r="S250" i="29"/>
  <c r="Q235" i="29"/>
  <c r="N236" i="29"/>
  <c r="K237" i="29"/>
  <c r="S237" i="29"/>
  <c r="P238" i="29"/>
  <c r="M239" i="29"/>
  <c r="J240" i="29"/>
  <c r="R240" i="29"/>
  <c r="O241" i="29"/>
  <c r="L242" i="29"/>
  <c r="T242" i="29"/>
  <c r="Q243" i="29"/>
  <c r="N244" i="29"/>
  <c r="K245" i="29"/>
  <c r="S245" i="29"/>
  <c r="P246" i="29"/>
  <c r="M247" i="29"/>
  <c r="J248" i="29"/>
  <c r="R248" i="29"/>
  <c r="O249" i="29"/>
  <c r="L250" i="29"/>
  <c r="T250" i="29"/>
  <c r="N235" i="29"/>
  <c r="M237" i="29"/>
  <c r="J239" i="29"/>
  <c r="O240" i="29"/>
  <c r="T241" i="29"/>
  <c r="N243" i="29"/>
  <c r="S244" i="29"/>
  <c r="M246" i="29"/>
  <c r="R247" i="29"/>
  <c r="L249" i="29"/>
  <c r="Q250" i="29"/>
  <c r="O235" i="29"/>
  <c r="P237" i="29"/>
  <c r="K239" i="29"/>
  <c r="P240" i="29"/>
  <c r="J242" i="29"/>
  <c r="O243" i="29"/>
  <c r="T244" i="29"/>
  <c r="N246" i="29"/>
  <c r="S247" i="29"/>
  <c r="M249" i="29"/>
  <c r="R250" i="29"/>
  <c r="S235" i="29"/>
  <c r="Q237" i="29"/>
  <c r="N239" i="29"/>
  <c r="S240" i="29"/>
  <c r="M242" i="29"/>
  <c r="R243" i="29"/>
  <c r="L245" i="29"/>
  <c r="Q246" i="29"/>
  <c r="K248" i="29"/>
  <c r="P249" i="29"/>
  <c r="K236" i="29"/>
  <c r="J238" i="29"/>
  <c r="O239" i="29"/>
  <c r="T240" i="29"/>
  <c r="N242" i="29"/>
  <c r="S243" i="29"/>
  <c r="M245" i="29"/>
  <c r="R246" i="29"/>
  <c r="L248" i="29"/>
  <c r="Q249" i="29"/>
  <c r="L236" i="29"/>
  <c r="M238" i="29"/>
  <c r="R239" i="29"/>
  <c r="L241" i="29"/>
  <c r="Q242" i="29"/>
  <c r="K244" i="29"/>
  <c r="P245" i="29"/>
  <c r="J247" i="29"/>
  <c r="O248" i="29"/>
  <c r="T249" i="29"/>
  <c r="P236" i="29"/>
  <c r="N238" i="29"/>
  <c r="S239" i="29"/>
  <c r="M241" i="29"/>
  <c r="R242" i="29"/>
  <c r="L244" i="29"/>
  <c r="Q245" i="29"/>
  <c r="K247" i="29"/>
  <c r="P248" i="29"/>
  <c r="J250" i="29"/>
  <c r="S236" i="29"/>
  <c r="Q238" i="29"/>
  <c r="K240" i="29"/>
  <c r="P241" i="29"/>
  <c r="J243" i="29"/>
  <c r="O244" i="29"/>
  <c r="T245" i="29"/>
  <c r="N247" i="29"/>
  <c r="S248" i="29"/>
  <c r="M250" i="29"/>
  <c r="K235" i="29"/>
  <c r="T236" i="29"/>
  <c r="R238" i="29"/>
  <c r="L240" i="29"/>
  <c r="Q241" i="29"/>
  <c r="K243" i="29"/>
  <c r="P244" i="29"/>
  <c r="J246" i="29"/>
  <c r="O247" i="29"/>
  <c r="T248" i="29"/>
  <c r="N250" i="29"/>
  <c r="O170" i="61"/>
  <c r="L171" i="61"/>
  <c r="J170" i="61"/>
  <c r="R170" i="61"/>
  <c r="O171" i="61"/>
  <c r="L172" i="61"/>
  <c r="T172" i="61"/>
  <c r="Q173" i="61"/>
  <c r="N174" i="61"/>
  <c r="K175" i="61"/>
  <c r="S175" i="61"/>
  <c r="P176" i="61"/>
  <c r="M177" i="61"/>
  <c r="J178" i="61"/>
  <c r="R178" i="61"/>
  <c r="O179" i="61"/>
  <c r="L180" i="61"/>
  <c r="T180" i="61"/>
  <c r="Q181" i="61"/>
  <c r="N182" i="61"/>
  <c r="K183" i="61"/>
  <c r="S183" i="61"/>
  <c r="P184" i="61"/>
  <c r="M185" i="61"/>
  <c r="M170" i="61"/>
  <c r="J171" i="61"/>
  <c r="R171" i="61"/>
  <c r="O172" i="61"/>
  <c r="L173" i="61"/>
  <c r="T173" i="61"/>
  <c r="Q174" i="61"/>
  <c r="N175" i="61"/>
  <c r="K176" i="61"/>
  <c r="S176" i="61"/>
  <c r="P177" i="61"/>
  <c r="M178" i="61"/>
  <c r="N170" i="61"/>
  <c r="K171" i="61"/>
  <c r="S171" i="61"/>
  <c r="P172" i="61"/>
  <c r="M173" i="61"/>
  <c r="J174" i="61"/>
  <c r="R174" i="61"/>
  <c r="O175" i="61"/>
  <c r="L176" i="61"/>
  <c r="T176" i="61"/>
  <c r="Q177" i="61"/>
  <c r="N178" i="61"/>
  <c r="K179" i="61"/>
  <c r="S179" i="61"/>
  <c r="P180" i="61"/>
  <c r="M181" i="61"/>
  <c r="J182" i="61"/>
  <c r="R182" i="61"/>
  <c r="O183" i="61"/>
  <c r="L184" i="61"/>
  <c r="T184" i="61"/>
  <c r="Q185" i="61"/>
  <c r="K170" i="61"/>
  <c r="P171" i="61"/>
  <c r="R172" i="61"/>
  <c r="S173" i="61"/>
  <c r="J175" i="61"/>
  <c r="M176" i="61"/>
  <c r="N177" i="61"/>
  <c r="P178" i="61"/>
  <c r="P179" i="61"/>
  <c r="O180" i="61"/>
  <c r="O181" i="61"/>
  <c r="O182" i="61"/>
  <c r="N183" i="61"/>
  <c r="N184" i="61"/>
  <c r="N185" i="61"/>
  <c r="L170" i="61"/>
  <c r="Q171" i="61"/>
  <c r="S172" i="61"/>
  <c r="K174" i="61"/>
  <c r="L175" i="61"/>
  <c r="N176" i="61"/>
  <c r="O177" i="61"/>
  <c r="Q178" i="61"/>
  <c r="Q179" i="61"/>
  <c r="Q180" i="61"/>
  <c r="P181" i="61"/>
  <c r="P182" i="61"/>
  <c r="P183" i="61"/>
  <c r="O184" i="61"/>
  <c r="O185" i="61"/>
  <c r="P170" i="61"/>
  <c r="T171" i="61"/>
  <c r="J173" i="61"/>
  <c r="L174" i="61"/>
  <c r="M175" i="61"/>
  <c r="O176" i="61"/>
  <c r="R177" i="61"/>
  <c r="S178" i="61"/>
  <c r="R179" i="61"/>
  <c r="R180" i="61"/>
  <c r="R181" i="61"/>
  <c r="Q182" i="61"/>
  <c r="Q183" i="61"/>
  <c r="Q184" i="61"/>
  <c r="P185" i="61"/>
  <c r="Q170" i="61"/>
  <c r="J172" i="61"/>
  <c r="K173" i="61"/>
  <c r="M174" i="61"/>
  <c r="P175" i="61"/>
  <c r="Q176" i="61"/>
  <c r="S177" i="61"/>
  <c r="T178" i="61"/>
  <c r="T179" i="61"/>
  <c r="S180" i="61"/>
  <c r="S181" i="61"/>
  <c r="S182" i="61"/>
  <c r="R183" i="61"/>
  <c r="R184" i="61"/>
  <c r="R185" i="61"/>
  <c r="S170" i="61"/>
  <c r="K172" i="61"/>
  <c r="N173" i="61"/>
  <c r="O174" i="61"/>
  <c r="Q175" i="61"/>
  <c r="R176" i="61"/>
  <c r="T177" i="61"/>
  <c r="J179" i="61"/>
  <c r="J180" i="61"/>
  <c r="J181" i="61"/>
  <c r="T181" i="61"/>
  <c r="T182" i="61"/>
  <c r="T183" i="61"/>
  <c r="S184" i="61"/>
  <c r="S185" i="61"/>
  <c r="T170" i="61"/>
  <c r="M172" i="61"/>
  <c r="O173" i="61"/>
  <c r="P174" i="61"/>
  <c r="R175" i="61"/>
  <c r="J177" i="61"/>
  <c r="K178" i="61"/>
  <c r="L179" i="61"/>
  <c r="K180" i="61"/>
  <c r="K181" i="61"/>
  <c r="K182" i="61"/>
  <c r="J183" i="61"/>
  <c r="J184" i="61"/>
  <c r="J185" i="61"/>
  <c r="T185" i="61"/>
  <c r="M171" i="61"/>
  <c r="N172" i="61"/>
  <c r="P173" i="61"/>
  <c r="S174" i="61"/>
  <c r="T175" i="61"/>
  <c r="K177" i="61"/>
  <c r="L178" i="61"/>
  <c r="M179" i="61"/>
  <c r="M180" i="61"/>
  <c r="L181" i="61"/>
  <c r="L182" i="61"/>
  <c r="L183" i="61"/>
  <c r="K184" i="61"/>
  <c r="K185" i="61"/>
  <c r="N179" i="61"/>
  <c r="N171" i="61"/>
  <c r="N180" i="61"/>
  <c r="Q172" i="61"/>
  <c r="N181" i="61"/>
  <c r="R173" i="61"/>
  <c r="M182" i="61"/>
  <c r="T174" i="61"/>
  <c r="M183" i="61"/>
  <c r="J176" i="61"/>
  <c r="M184" i="61"/>
  <c r="L177" i="61"/>
  <c r="L185" i="61"/>
  <c r="O178" i="61"/>
  <c r="S469" i="45"/>
  <c r="O473" i="45"/>
  <c r="J469" i="45"/>
  <c r="O475" i="45"/>
  <c r="N462" i="45"/>
  <c r="Q463" i="45"/>
  <c r="S467" i="45"/>
  <c r="J165" i="33"/>
  <c r="R165" i="33"/>
  <c r="O166" i="33"/>
  <c r="L167" i="33"/>
  <c r="T167" i="33"/>
  <c r="Q168" i="33"/>
  <c r="N169" i="33"/>
  <c r="K170" i="33"/>
  <c r="S170" i="33"/>
  <c r="P171" i="33"/>
  <c r="M172" i="33"/>
  <c r="J173" i="33"/>
  <c r="R173" i="33"/>
  <c r="O174" i="33"/>
  <c r="L175" i="33"/>
  <c r="T175" i="33"/>
  <c r="Q176" i="33"/>
  <c r="N177" i="33"/>
  <c r="K178" i="33"/>
  <c r="S178" i="33"/>
  <c r="P179" i="33"/>
  <c r="M180" i="33"/>
  <c r="K165" i="33"/>
  <c r="S165" i="33"/>
  <c r="P166" i="33"/>
  <c r="M167" i="33"/>
  <c r="J168" i="33"/>
  <c r="R168" i="33"/>
  <c r="O169" i="33"/>
  <c r="L170" i="33"/>
  <c r="T170" i="33"/>
  <c r="Q171" i="33"/>
  <c r="N172" i="33"/>
  <c r="K173" i="33"/>
  <c r="S173" i="33"/>
  <c r="P174" i="33"/>
  <c r="M175" i="33"/>
  <c r="J176" i="33"/>
  <c r="R176" i="33"/>
  <c r="O177" i="33"/>
  <c r="L178" i="33"/>
  <c r="T178" i="33"/>
  <c r="Q179" i="33"/>
  <c r="N180" i="33"/>
  <c r="L165" i="33"/>
  <c r="T165" i="33"/>
  <c r="Q166" i="33"/>
  <c r="N167" i="33"/>
  <c r="K168" i="33"/>
  <c r="S168" i="33"/>
  <c r="P169" i="33"/>
  <c r="M170" i="33"/>
  <c r="J171" i="33"/>
  <c r="R171" i="33"/>
  <c r="O172" i="33"/>
  <c r="L173" i="33"/>
  <c r="T173" i="33"/>
  <c r="Q174" i="33"/>
  <c r="N175" i="33"/>
  <c r="K176" i="33"/>
  <c r="S176" i="33"/>
  <c r="P177" i="33"/>
  <c r="M178" i="33"/>
  <c r="J179" i="33"/>
  <c r="R179" i="33"/>
  <c r="O180" i="33"/>
  <c r="M165" i="33"/>
  <c r="J166" i="33"/>
  <c r="R166" i="33"/>
  <c r="O167" i="33"/>
  <c r="L168" i="33"/>
  <c r="T168" i="33"/>
  <c r="Q169" i="33"/>
  <c r="N170" i="33"/>
  <c r="K171" i="33"/>
  <c r="S171" i="33"/>
  <c r="P172" i="33"/>
  <c r="M173" i="33"/>
  <c r="J174" i="33"/>
  <c r="R174" i="33"/>
  <c r="O175" i="33"/>
  <c r="L176" i="33"/>
  <c r="T176" i="33"/>
  <c r="Q177" i="33"/>
  <c r="N178" i="33"/>
  <c r="K179" i="33"/>
  <c r="S179" i="33"/>
  <c r="P180" i="33"/>
  <c r="N165" i="33"/>
  <c r="K166" i="33"/>
  <c r="S166" i="33"/>
  <c r="P167" i="33"/>
  <c r="M168" i="33"/>
  <c r="J169" i="33"/>
  <c r="R169" i="33"/>
  <c r="O170" i="33"/>
  <c r="L171" i="33"/>
  <c r="T171" i="33"/>
  <c r="Q172" i="33"/>
  <c r="N173" i="33"/>
  <c r="K174" i="33"/>
  <c r="S174" i="33"/>
  <c r="P175" i="33"/>
  <c r="M176" i="33"/>
  <c r="J177" i="33"/>
  <c r="R177" i="33"/>
  <c r="O178" i="33"/>
  <c r="L179" i="33"/>
  <c r="T179" i="33"/>
  <c r="Q180" i="33"/>
  <c r="O165" i="33"/>
  <c r="L166" i="33"/>
  <c r="T166" i="33"/>
  <c r="Q167" i="33"/>
  <c r="N168" i="33"/>
  <c r="K169" i="33"/>
  <c r="S169" i="33"/>
  <c r="P170" i="33"/>
  <c r="M171" i="33"/>
  <c r="J172" i="33"/>
  <c r="R172" i="33"/>
  <c r="O173" i="33"/>
  <c r="L174" i="33"/>
  <c r="T174" i="33"/>
  <c r="Q175" i="33"/>
  <c r="N176" i="33"/>
  <c r="K177" i="33"/>
  <c r="S177" i="33"/>
  <c r="P178" i="33"/>
  <c r="M179" i="33"/>
  <c r="J180" i="33"/>
  <c r="R180" i="33"/>
  <c r="P165" i="33"/>
  <c r="M166" i="33"/>
  <c r="J167" i="33"/>
  <c r="R167" i="33"/>
  <c r="O168" i="33"/>
  <c r="L169" i="33"/>
  <c r="T169" i="33"/>
  <c r="Q170" i="33"/>
  <c r="N171" i="33"/>
  <c r="K172" i="33"/>
  <c r="S172" i="33"/>
  <c r="P173" i="33"/>
  <c r="M174" i="33"/>
  <c r="J175" i="33"/>
  <c r="R175" i="33"/>
  <c r="O176" i="33"/>
  <c r="L177" i="33"/>
  <c r="T177" i="33"/>
  <c r="Q178" i="33"/>
  <c r="N179" i="33"/>
  <c r="K180" i="33"/>
  <c r="S180" i="33"/>
  <c r="Q165" i="33"/>
  <c r="N166" i="33"/>
  <c r="K167" i="33"/>
  <c r="S167" i="33"/>
  <c r="P168" i="33"/>
  <c r="M169" i="33"/>
  <c r="J170" i="33"/>
  <c r="R170" i="33"/>
  <c r="O171" i="33"/>
  <c r="L172" i="33"/>
  <c r="T172" i="33"/>
  <c r="Q173" i="33"/>
  <c r="N174" i="33"/>
  <c r="K175" i="33"/>
  <c r="S175" i="33"/>
  <c r="P176" i="33"/>
  <c r="M177" i="33"/>
  <c r="J178" i="33"/>
  <c r="R178" i="33"/>
  <c r="O179" i="33"/>
  <c r="L180" i="33"/>
  <c r="T180" i="33"/>
  <c r="M165" i="69"/>
  <c r="J166" i="69"/>
  <c r="R166" i="69"/>
  <c r="O167" i="69"/>
  <c r="L168" i="69"/>
  <c r="T168" i="69"/>
  <c r="Q169" i="69"/>
  <c r="N170" i="69"/>
  <c r="K171" i="69"/>
  <c r="S171" i="69"/>
  <c r="P172" i="69"/>
  <c r="M173" i="69"/>
  <c r="J174" i="69"/>
  <c r="O165" i="69"/>
  <c r="L166" i="69"/>
  <c r="T166" i="69"/>
  <c r="Q167" i="69"/>
  <c r="N168" i="69"/>
  <c r="K169" i="69"/>
  <c r="S169" i="69"/>
  <c r="P170" i="69"/>
  <c r="M171" i="69"/>
  <c r="J172" i="69"/>
  <c r="R172" i="69"/>
  <c r="O173" i="69"/>
  <c r="L165" i="69"/>
  <c r="P165" i="69"/>
  <c r="O166" i="69"/>
  <c r="N167" i="69"/>
  <c r="O168" i="69"/>
  <c r="N169" i="69"/>
  <c r="M170" i="69"/>
  <c r="N171" i="69"/>
  <c r="M172" i="69"/>
  <c r="L173" i="69"/>
  <c r="L174" i="69"/>
  <c r="T174" i="69"/>
  <c r="Q175" i="69"/>
  <c r="N176" i="69"/>
  <c r="K177" i="69"/>
  <c r="S177" i="69"/>
  <c r="P178" i="69"/>
  <c r="M179" i="69"/>
  <c r="J180" i="69"/>
  <c r="R180" i="69"/>
  <c r="R165" i="69"/>
  <c r="Q166" i="69"/>
  <c r="R167" i="69"/>
  <c r="Q168" i="69"/>
  <c r="P169" i="69"/>
  <c r="Q170" i="69"/>
  <c r="P171" i="69"/>
  <c r="O172" i="69"/>
  <c r="P173" i="69"/>
  <c r="N174" i="69"/>
  <c r="K175" i="69"/>
  <c r="S175" i="69"/>
  <c r="P176" i="69"/>
  <c r="M177" i="69"/>
  <c r="J178" i="69"/>
  <c r="R178" i="69"/>
  <c r="O179" i="69"/>
  <c r="L180" i="69"/>
  <c r="T180" i="69"/>
  <c r="S165" i="69"/>
  <c r="S166" i="69"/>
  <c r="S167" i="69"/>
  <c r="R168" i="69"/>
  <c r="R169" i="69"/>
  <c r="R170" i="69"/>
  <c r="Q171" i="69"/>
  <c r="Q172" i="69"/>
  <c r="Q173" i="69"/>
  <c r="O174" i="69"/>
  <c r="L175" i="69"/>
  <c r="T175" i="69"/>
  <c r="Q176" i="69"/>
  <c r="N177" i="69"/>
  <c r="K178" i="69"/>
  <c r="S178" i="69"/>
  <c r="P179" i="69"/>
  <c r="M180" i="69"/>
  <c r="T165" i="69"/>
  <c r="J167" i="69"/>
  <c r="T167" i="69"/>
  <c r="S168" i="69"/>
  <c r="T169" i="69"/>
  <c r="S170" i="69"/>
  <c r="R171" i="69"/>
  <c r="S172" i="69"/>
  <c r="R173" i="69"/>
  <c r="P174" i="69"/>
  <c r="M175" i="69"/>
  <c r="J176" i="69"/>
  <c r="R176" i="69"/>
  <c r="O177" i="69"/>
  <c r="L178" i="69"/>
  <c r="T178" i="69"/>
  <c r="Q179" i="69"/>
  <c r="N180" i="69"/>
  <c r="K165" i="69"/>
  <c r="M166" i="69"/>
  <c r="L167" i="69"/>
  <c r="K168" i="69"/>
  <c r="L169" i="69"/>
  <c r="K170" i="69"/>
  <c r="J171" i="69"/>
  <c r="K172" i="69"/>
  <c r="J173" i="69"/>
  <c r="T173" i="69"/>
  <c r="R174" i="69"/>
  <c r="O175" i="69"/>
  <c r="L176" i="69"/>
  <c r="T176" i="69"/>
  <c r="Q177" i="69"/>
  <c r="N178" i="69"/>
  <c r="K179" i="69"/>
  <c r="S179" i="69"/>
  <c r="P180" i="69"/>
  <c r="N165" i="69"/>
  <c r="N166" i="69"/>
  <c r="M167" i="69"/>
  <c r="M168" i="69"/>
  <c r="M169" i="69"/>
  <c r="L170" i="69"/>
  <c r="L171" i="69"/>
  <c r="L172" i="69"/>
  <c r="K173" i="69"/>
  <c r="K174" i="69"/>
  <c r="S174" i="69"/>
  <c r="P175" i="69"/>
  <c r="M176" i="69"/>
  <c r="J177" i="69"/>
  <c r="R177" i="69"/>
  <c r="O178" i="69"/>
  <c r="L179" i="69"/>
  <c r="T179" i="69"/>
  <c r="Q180" i="69"/>
  <c r="J168" i="69"/>
  <c r="T171" i="69"/>
  <c r="N175" i="69"/>
  <c r="M178" i="69"/>
  <c r="P168" i="69"/>
  <c r="N172" i="69"/>
  <c r="R175" i="69"/>
  <c r="Q178" i="69"/>
  <c r="J165" i="69"/>
  <c r="J169" i="69"/>
  <c r="T172" i="69"/>
  <c r="K176" i="69"/>
  <c r="J179" i="69"/>
  <c r="Q165" i="69"/>
  <c r="O169" i="69"/>
  <c r="N173" i="69"/>
  <c r="O176" i="69"/>
  <c r="N179" i="69"/>
  <c r="K166" i="69"/>
  <c r="J170" i="69"/>
  <c r="S173" i="69"/>
  <c r="S176" i="69"/>
  <c r="R179" i="69"/>
  <c r="P166" i="69"/>
  <c r="O170" i="69"/>
  <c r="M174" i="69"/>
  <c r="L177" i="69"/>
  <c r="K180" i="69"/>
  <c r="K167" i="69"/>
  <c r="T170" i="69"/>
  <c r="Q174" i="69"/>
  <c r="P177" i="69"/>
  <c r="O180" i="69"/>
  <c r="P167" i="69"/>
  <c r="O171" i="69"/>
  <c r="J175" i="69"/>
  <c r="T177" i="69"/>
  <c r="S180" i="69"/>
  <c r="P35" i="27"/>
  <c r="O70" i="19"/>
  <c r="O35" i="27" s="1"/>
  <c r="K468" i="45"/>
  <c r="R471" i="45"/>
  <c r="N473" i="45"/>
  <c r="T466" i="45"/>
  <c r="Q472" i="45"/>
  <c r="J474" i="45"/>
  <c r="Q461" i="45"/>
  <c r="L475" i="45"/>
  <c r="J462" i="45"/>
  <c r="S698" i="61"/>
  <c r="S788" i="61" s="1"/>
  <c r="Q752" i="19"/>
  <c r="Q842" i="19" s="1"/>
  <c r="K752" i="19"/>
  <c r="K842" i="19" s="1"/>
  <c r="O953" i="61"/>
  <c r="O1043" i="61" s="1"/>
  <c r="J953" i="61"/>
  <c r="J1043" i="61" s="1"/>
  <c r="S477" i="19"/>
  <c r="S567" i="19" s="1"/>
  <c r="L491" i="41"/>
  <c r="L581" i="41" s="1"/>
  <c r="J491" i="41"/>
  <c r="J581" i="41" s="1"/>
  <c r="O491" i="41"/>
  <c r="O581" i="41" s="1"/>
  <c r="N491" i="41"/>
  <c r="N581" i="41" s="1"/>
  <c r="K698" i="61"/>
  <c r="K788" i="61" s="1"/>
  <c r="N698" i="61"/>
  <c r="N788" i="61" s="1"/>
  <c r="P752" i="19"/>
  <c r="P842" i="19" s="1"/>
  <c r="N752" i="19"/>
  <c r="N842" i="19" s="1"/>
  <c r="K477" i="19"/>
  <c r="K567" i="19" s="1"/>
  <c r="Q477" i="19"/>
  <c r="Q567" i="19" s="1"/>
  <c r="Q443" i="61"/>
  <c r="Q533" i="61" s="1"/>
  <c r="N443" i="61"/>
  <c r="N533" i="61" s="1"/>
  <c r="M752" i="19"/>
  <c r="M842" i="19" s="1"/>
  <c r="O752" i="19"/>
  <c r="O842" i="19" s="1"/>
  <c r="L953" i="61"/>
  <c r="L1043" i="61" s="1"/>
  <c r="T953" i="61"/>
  <c r="T1043" i="61" s="1"/>
  <c r="Q953" i="61"/>
  <c r="Q1043" i="61" s="1"/>
  <c r="T477" i="19"/>
  <c r="T567" i="19" s="1"/>
  <c r="P443" i="61"/>
  <c r="P533" i="61" s="1"/>
  <c r="T443" i="61"/>
  <c r="T533" i="61" s="1"/>
  <c r="R533" i="53"/>
  <c r="R623" i="53" s="1"/>
  <c r="O698" i="61"/>
  <c r="O788" i="61" s="1"/>
  <c r="L752" i="19"/>
  <c r="L842" i="19" s="1"/>
  <c r="L477" i="19"/>
  <c r="L567" i="19" s="1"/>
  <c r="O477" i="19"/>
  <c r="O567" i="19" s="1"/>
  <c r="L443" i="61"/>
  <c r="L533" i="61" s="1"/>
  <c r="J533" i="53"/>
  <c r="J623" i="53" s="1"/>
  <c r="P533" i="53"/>
  <c r="P623" i="53" s="1"/>
  <c r="N533" i="53"/>
  <c r="N623" i="53" s="1"/>
  <c r="R477" i="19"/>
  <c r="R567" i="19" s="1"/>
  <c r="T491" i="41"/>
  <c r="T581" i="41" s="1"/>
  <c r="R443" i="61"/>
  <c r="R533" i="61" s="1"/>
  <c r="L533" i="53"/>
  <c r="L623" i="53" s="1"/>
  <c r="P698" i="61"/>
  <c r="P788" i="61" s="1"/>
  <c r="K953" i="61"/>
  <c r="K1043" i="61" s="1"/>
  <c r="S953" i="61"/>
  <c r="S1043" i="61" s="1"/>
  <c r="N953" i="61"/>
  <c r="N1043" i="61" s="1"/>
  <c r="J477" i="19"/>
  <c r="J567" i="19" s="1"/>
  <c r="P477" i="19"/>
  <c r="P567" i="19" s="1"/>
  <c r="J443" i="61"/>
  <c r="J533" i="61" s="1"/>
  <c r="O443" i="61"/>
  <c r="O533" i="61" s="1"/>
  <c r="R698" i="61"/>
  <c r="R788" i="61" s="1"/>
  <c r="T698" i="61"/>
  <c r="T788" i="61" s="1"/>
  <c r="R752" i="19"/>
  <c r="R842" i="19" s="1"/>
  <c r="P491" i="41"/>
  <c r="P581" i="41" s="1"/>
  <c r="S491" i="41"/>
  <c r="S581" i="41" s="1"/>
  <c r="S443" i="61"/>
  <c r="S533" i="61" s="1"/>
  <c r="T533" i="53"/>
  <c r="T623" i="53" s="1"/>
  <c r="S533" i="53"/>
  <c r="S623" i="53" s="1"/>
  <c r="M698" i="61"/>
  <c r="M788" i="61" s="1"/>
  <c r="J698" i="61"/>
  <c r="J788" i="61" s="1"/>
  <c r="L698" i="61"/>
  <c r="L788" i="61" s="1"/>
  <c r="T752" i="19"/>
  <c r="T842" i="19" s="1"/>
  <c r="S752" i="19"/>
  <c r="S842" i="19" s="1"/>
  <c r="J752" i="19"/>
  <c r="J842" i="19" s="1"/>
  <c r="R953" i="61"/>
  <c r="R1043" i="61" s="1"/>
  <c r="M953" i="61"/>
  <c r="M1043" i="61" s="1"/>
  <c r="M477" i="19"/>
  <c r="M567" i="19" s="1"/>
  <c r="N477" i="19"/>
  <c r="N567" i="19" s="1"/>
  <c r="R491" i="41"/>
  <c r="R581" i="41" s="1"/>
  <c r="Q491" i="41"/>
  <c r="Q581" i="41" s="1"/>
  <c r="M491" i="41"/>
  <c r="M581" i="41" s="1"/>
  <c r="K491" i="41"/>
  <c r="K581" i="41" s="1"/>
  <c r="M443" i="61"/>
  <c r="M533" i="61" s="1"/>
  <c r="K443" i="61"/>
  <c r="K533" i="61" s="1"/>
  <c r="K533" i="53"/>
  <c r="K623" i="53" s="1"/>
  <c r="Q533" i="53"/>
  <c r="Q623" i="53" s="1"/>
  <c r="O533" i="53"/>
  <c r="O623" i="53" s="1"/>
  <c r="M533" i="53"/>
  <c r="M623" i="53" s="1"/>
  <c r="L70" i="37"/>
  <c r="L40" i="27" s="1"/>
  <c r="O345" i="19"/>
  <c r="O37" i="27" s="1"/>
  <c r="P345" i="19"/>
  <c r="P37" i="27" s="1"/>
  <c r="C503" i="23"/>
  <c r="C93" i="23"/>
  <c r="D91" i="29"/>
  <c r="C197" i="23"/>
  <c r="C352" i="23"/>
  <c r="C233" i="23"/>
  <c r="C313" i="23"/>
  <c r="C159" i="23"/>
  <c r="C126" i="23"/>
  <c r="D76" i="57"/>
  <c r="R15" i="45"/>
  <c r="Q15" i="75"/>
  <c r="P15" i="45"/>
  <c r="T15" i="41"/>
  <c r="D70" i="49"/>
  <c r="P15" i="61"/>
  <c r="P15" i="57"/>
  <c r="Q15" i="41"/>
  <c r="S15" i="61"/>
  <c r="Q15" i="45"/>
  <c r="S15" i="37"/>
  <c r="T15" i="57"/>
  <c r="C50" i="23"/>
  <c r="C422" i="23"/>
  <c r="D61" i="69"/>
  <c r="T15" i="33"/>
  <c r="C269" i="23"/>
  <c r="D82" i="53"/>
  <c r="P15" i="53"/>
  <c r="R15" i="69"/>
  <c r="Q15" i="33"/>
  <c r="Q15" i="49"/>
  <c r="P15" i="41"/>
  <c r="S15" i="75"/>
  <c r="D115" i="75"/>
  <c r="C470" i="23"/>
  <c r="T15" i="49"/>
  <c r="O79" i="45"/>
  <c r="O44" i="27" s="1"/>
  <c r="N79" i="45"/>
  <c r="N44" i="27" s="1"/>
  <c r="N62" i="27" s="1"/>
  <c r="M79" i="45"/>
  <c r="M44" i="27" s="1"/>
  <c r="S15" i="49"/>
  <c r="T79" i="45"/>
  <c r="T44" i="27" s="1"/>
  <c r="L79" i="45"/>
  <c r="L44" i="27" s="1"/>
  <c r="S79" i="45"/>
  <c r="S44" i="27" s="1"/>
  <c r="K79" i="45"/>
  <c r="K44" i="27" s="1"/>
  <c r="R79" i="45"/>
  <c r="R44" i="27" s="1"/>
  <c r="J79" i="45"/>
  <c r="J44" i="27" s="1"/>
  <c r="Q79" i="45"/>
  <c r="Q44" i="27" s="1"/>
  <c r="P79" i="45"/>
  <c r="P44" i="27" s="1"/>
  <c r="S15" i="69"/>
  <c r="T15" i="75"/>
  <c r="P15" i="33"/>
  <c r="T15" i="37"/>
  <c r="R15" i="29"/>
  <c r="T15" i="27"/>
  <c r="Q15" i="27"/>
  <c r="P234" i="79" l="1"/>
  <c r="J234" i="79"/>
  <c r="Q234" i="79"/>
  <c r="N234" i="79"/>
  <c r="R234" i="79"/>
  <c r="T234" i="79"/>
  <c r="O234" i="79"/>
  <c r="M234" i="79"/>
  <c r="L234" i="79"/>
  <c r="S234" i="79"/>
  <c r="K234" i="79"/>
  <c r="J234" i="78"/>
  <c r="P234" i="78"/>
  <c r="Q234" i="78"/>
  <c r="N234" i="78"/>
  <c r="R234" i="78"/>
  <c r="T234" i="78"/>
  <c r="O234" i="78"/>
  <c r="M234" i="78"/>
  <c r="L234" i="78"/>
  <c r="S234" i="78"/>
  <c r="K234" i="78"/>
  <c r="P234" i="27"/>
  <c r="Q234" i="27"/>
  <c r="N234" i="27"/>
  <c r="R234" i="27"/>
  <c r="T234" i="27"/>
  <c r="O234" i="27"/>
  <c r="M234" i="27"/>
  <c r="L234" i="27"/>
  <c r="S234" i="27"/>
  <c r="K234" i="27"/>
  <c r="J234" i="27"/>
  <c r="U15" i="26"/>
  <c r="T17" i="26"/>
  <c r="T20" i="26"/>
  <c r="S202" i="41"/>
  <c r="S292" i="41" s="1"/>
  <c r="K202" i="41"/>
  <c r="K292" i="41" s="1"/>
  <c r="K704" i="69"/>
  <c r="K794" i="69" s="1"/>
  <c r="P498" i="57"/>
  <c r="P588" i="57" s="1"/>
  <c r="P181" i="77"/>
  <c r="P271" i="77" s="1"/>
  <c r="T186" i="61"/>
  <c r="T276" i="61" s="1"/>
  <c r="N202" i="49"/>
  <c r="N292" i="49" s="1"/>
  <c r="L477" i="49"/>
  <c r="L567" i="49" s="1"/>
  <c r="P230" i="53"/>
  <c r="P320" i="53" s="1"/>
  <c r="R181" i="69"/>
  <c r="R271" i="69" s="1"/>
  <c r="S186" i="61"/>
  <c r="S276" i="61" s="1"/>
  <c r="Q186" i="61"/>
  <c r="Q276" i="61" s="1"/>
  <c r="R186" i="61"/>
  <c r="R276" i="61" s="1"/>
  <c r="K181" i="69"/>
  <c r="K271" i="69" s="1"/>
  <c r="P181" i="69"/>
  <c r="P271" i="69" s="1"/>
  <c r="K186" i="61"/>
  <c r="K276" i="61" s="1"/>
  <c r="J186" i="61"/>
  <c r="J276" i="61" s="1"/>
  <c r="Q477" i="45"/>
  <c r="Q567" i="45" s="1"/>
  <c r="L181" i="69"/>
  <c r="L271" i="69" s="1"/>
  <c r="T181" i="33"/>
  <c r="T271" i="33" s="1"/>
  <c r="R181" i="33"/>
  <c r="R271" i="33" s="1"/>
  <c r="L186" i="61"/>
  <c r="L276" i="61" s="1"/>
  <c r="M181" i="69"/>
  <c r="M271" i="69" s="1"/>
  <c r="P181" i="33"/>
  <c r="P271" i="33" s="1"/>
  <c r="N181" i="33"/>
  <c r="N271" i="33" s="1"/>
  <c r="L181" i="33"/>
  <c r="L271" i="33" s="1"/>
  <c r="J181" i="33"/>
  <c r="J271" i="33" s="1"/>
  <c r="M186" i="61"/>
  <c r="M276" i="61" s="1"/>
  <c r="O186" i="61"/>
  <c r="O276" i="61" s="1"/>
  <c r="J181" i="69"/>
  <c r="J271" i="69" s="1"/>
  <c r="N181" i="69"/>
  <c r="N271" i="69" s="1"/>
  <c r="Q181" i="69"/>
  <c r="Q271" i="69" s="1"/>
  <c r="P186" i="61"/>
  <c r="P276" i="61" s="1"/>
  <c r="O181" i="69"/>
  <c r="O271" i="69" s="1"/>
  <c r="S181" i="33"/>
  <c r="S271" i="33" s="1"/>
  <c r="T181" i="69"/>
  <c r="T271" i="69" s="1"/>
  <c r="S181" i="69"/>
  <c r="S271" i="69" s="1"/>
  <c r="Q181" i="33"/>
  <c r="Q271" i="33" s="1"/>
  <c r="O181" i="33"/>
  <c r="O271" i="33" s="1"/>
  <c r="M181" i="33"/>
  <c r="M271" i="33" s="1"/>
  <c r="K181" i="33"/>
  <c r="K271" i="33" s="1"/>
  <c r="N186" i="61"/>
  <c r="N276" i="61" s="1"/>
  <c r="N251" i="29"/>
  <c r="N341" i="29" s="1"/>
  <c r="L251" i="29"/>
  <c r="L341" i="29" s="1"/>
  <c r="M230" i="53"/>
  <c r="M320" i="53" s="1"/>
  <c r="O176" i="27"/>
  <c r="M172" i="27"/>
  <c r="O166" i="27"/>
  <c r="K175" i="27"/>
  <c r="M169" i="27"/>
  <c r="O163" i="27"/>
  <c r="K172" i="27"/>
  <c r="M166" i="27"/>
  <c r="T174" i="27"/>
  <c r="K169" i="27"/>
  <c r="M163" i="27"/>
  <c r="T171" i="27"/>
  <c r="K166" i="27"/>
  <c r="O175" i="27"/>
  <c r="Q169" i="27"/>
  <c r="S163" i="27"/>
  <c r="R171" i="27"/>
  <c r="T165" i="27"/>
  <c r="P174" i="27"/>
  <c r="R168" i="27"/>
  <c r="T162" i="27"/>
  <c r="J704" i="69"/>
  <c r="J794" i="69" s="1"/>
  <c r="S704" i="69"/>
  <c r="S794" i="69" s="1"/>
  <c r="K223" i="45"/>
  <c r="K313" i="45" s="1"/>
  <c r="Q223" i="45"/>
  <c r="Q313" i="45" s="1"/>
  <c r="T436" i="69"/>
  <c r="T526" i="69" s="1"/>
  <c r="Q436" i="69"/>
  <c r="Q526" i="69" s="1"/>
  <c r="N436" i="69"/>
  <c r="N526" i="69" s="1"/>
  <c r="M477" i="49"/>
  <c r="M567" i="49" s="1"/>
  <c r="R456" i="37"/>
  <c r="R546" i="37" s="1"/>
  <c r="J456" i="37"/>
  <c r="J546" i="37" s="1"/>
  <c r="M181" i="77"/>
  <c r="M271" i="77" s="1"/>
  <c r="L181" i="77"/>
  <c r="L271" i="77" s="1"/>
  <c r="K181" i="77"/>
  <c r="K271" i="77" s="1"/>
  <c r="J181" i="77"/>
  <c r="J271" i="77" s="1"/>
  <c r="R202" i="37"/>
  <c r="R292" i="37" s="1"/>
  <c r="M477" i="45"/>
  <c r="M567" i="45" s="1"/>
  <c r="S498" i="57"/>
  <c r="S588" i="57" s="1"/>
  <c r="O230" i="53"/>
  <c r="O320" i="53" s="1"/>
  <c r="R230" i="53"/>
  <c r="R320" i="53" s="1"/>
  <c r="P171" i="27"/>
  <c r="R165" i="27"/>
  <c r="N174" i="27"/>
  <c r="P168" i="27"/>
  <c r="R162" i="27"/>
  <c r="N171" i="27"/>
  <c r="P165" i="27"/>
  <c r="L174" i="27"/>
  <c r="N168" i="27"/>
  <c r="P162" i="27"/>
  <c r="L171" i="27"/>
  <c r="N165" i="27"/>
  <c r="R174" i="27"/>
  <c r="T168" i="27"/>
  <c r="K163" i="27"/>
  <c r="J171" i="27"/>
  <c r="L165" i="27"/>
  <c r="S173" i="27"/>
  <c r="J168" i="27"/>
  <c r="L162" i="27"/>
  <c r="S202" i="49"/>
  <c r="S292" i="49" s="1"/>
  <c r="R704" i="69"/>
  <c r="R794" i="69" s="1"/>
  <c r="P223" i="45"/>
  <c r="P313" i="45" s="1"/>
  <c r="S436" i="69"/>
  <c r="S526" i="69" s="1"/>
  <c r="O456" i="37"/>
  <c r="O546" i="37" s="1"/>
  <c r="R307" i="75"/>
  <c r="R397" i="75" s="1"/>
  <c r="J202" i="37"/>
  <c r="J292" i="37" s="1"/>
  <c r="M251" i="29"/>
  <c r="M341" i="29" s="1"/>
  <c r="R498" i="57"/>
  <c r="R588" i="57" s="1"/>
  <c r="S202" i="19"/>
  <c r="S292" i="19" s="1"/>
  <c r="N230" i="53"/>
  <c r="N320" i="53" s="1"/>
  <c r="J230" i="53"/>
  <c r="J320" i="53" s="1"/>
  <c r="Q230" i="53"/>
  <c r="Q320" i="53" s="1"/>
  <c r="S176" i="27"/>
  <c r="Q176" i="27"/>
  <c r="S170" i="27"/>
  <c r="J165" i="27"/>
  <c r="Q173" i="27"/>
  <c r="S167" i="27"/>
  <c r="J162" i="27"/>
  <c r="Q170" i="27"/>
  <c r="S164" i="27"/>
  <c r="O173" i="27"/>
  <c r="Q167" i="27"/>
  <c r="S258" i="18"/>
  <c r="S348" i="18" s="1"/>
  <c r="S161" i="27"/>
  <c r="M176" i="27"/>
  <c r="O170" i="27"/>
  <c r="Q164" i="27"/>
  <c r="J174" i="27"/>
  <c r="L168" i="27"/>
  <c r="N162" i="27"/>
  <c r="M170" i="27"/>
  <c r="O164" i="27"/>
  <c r="K173" i="27"/>
  <c r="M167" i="27"/>
  <c r="O258" i="18"/>
  <c r="O348" i="18" s="1"/>
  <c r="O161" i="27"/>
  <c r="M202" i="49"/>
  <c r="M292" i="49" s="1"/>
  <c r="K202" i="49"/>
  <c r="K292" i="49" s="1"/>
  <c r="Q202" i="49"/>
  <c r="Q292" i="49" s="1"/>
  <c r="O202" i="49"/>
  <c r="O292" i="49" s="1"/>
  <c r="L704" i="69"/>
  <c r="L794" i="69" s="1"/>
  <c r="L436" i="69"/>
  <c r="L526" i="69" s="1"/>
  <c r="K436" i="69"/>
  <c r="K526" i="69" s="1"/>
  <c r="O436" i="69"/>
  <c r="O526" i="69" s="1"/>
  <c r="J477" i="49"/>
  <c r="J567" i="49" s="1"/>
  <c r="T456" i="37"/>
  <c r="T546" i="37" s="1"/>
  <c r="L456" i="37"/>
  <c r="L546" i="37" s="1"/>
  <c r="Q181" i="77"/>
  <c r="Q271" i="77" s="1"/>
  <c r="Q202" i="41"/>
  <c r="Q292" i="41" s="1"/>
  <c r="O202" i="41"/>
  <c r="O292" i="41" s="1"/>
  <c r="M202" i="41"/>
  <c r="M292" i="41" s="1"/>
  <c r="O307" i="75"/>
  <c r="O397" i="75" s="1"/>
  <c r="P202" i="37"/>
  <c r="P292" i="37" s="1"/>
  <c r="N202" i="37"/>
  <c r="N292" i="37" s="1"/>
  <c r="R477" i="45"/>
  <c r="R567" i="45" s="1"/>
  <c r="O477" i="45"/>
  <c r="O567" i="45" s="1"/>
  <c r="P477" i="45"/>
  <c r="P567" i="45" s="1"/>
  <c r="K477" i="45"/>
  <c r="K567" i="45" s="1"/>
  <c r="L498" i="57"/>
  <c r="L588" i="57" s="1"/>
  <c r="J498" i="57"/>
  <c r="J588" i="57" s="1"/>
  <c r="T216" i="57"/>
  <c r="T306" i="57" s="1"/>
  <c r="N216" i="57"/>
  <c r="N306" i="57" s="1"/>
  <c r="Q202" i="19"/>
  <c r="Q292" i="19" s="1"/>
  <c r="O202" i="19"/>
  <c r="O292" i="19" s="1"/>
  <c r="M202" i="19"/>
  <c r="M292" i="19" s="1"/>
  <c r="K202" i="19"/>
  <c r="K292" i="19" s="1"/>
  <c r="S230" i="53"/>
  <c r="S320" i="53" s="1"/>
  <c r="N175" i="27"/>
  <c r="T175" i="27"/>
  <c r="K170" i="27"/>
  <c r="M164" i="27"/>
  <c r="T172" i="27"/>
  <c r="K167" i="27"/>
  <c r="M161" i="27"/>
  <c r="M258" i="18"/>
  <c r="M348" i="18" s="1"/>
  <c r="T169" i="27"/>
  <c r="K164" i="27"/>
  <c r="R172" i="27"/>
  <c r="T166" i="27"/>
  <c r="K258" i="18"/>
  <c r="K348" i="18" s="1"/>
  <c r="K161" i="27"/>
  <c r="P175" i="27"/>
  <c r="R169" i="27"/>
  <c r="T163" i="27"/>
  <c r="M173" i="27"/>
  <c r="O167" i="27"/>
  <c r="Q161" i="27"/>
  <c r="Q258" i="18"/>
  <c r="Q348" i="18" s="1"/>
  <c r="P169" i="27"/>
  <c r="R163" i="27"/>
  <c r="N172" i="27"/>
  <c r="P166" i="27"/>
  <c r="N704" i="69"/>
  <c r="N794" i="69" s="1"/>
  <c r="T704" i="69"/>
  <c r="T794" i="69" s="1"/>
  <c r="M223" i="45"/>
  <c r="M313" i="45" s="1"/>
  <c r="T223" i="45"/>
  <c r="T313" i="45" s="1"/>
  <c r="R223" i="45"/>
  <c r="R313" i="45" s="1"/>
  <c r="P477" i="49"/>
  <c r="P567" i="49" s="1"/>
  <c r="R477" i="49"/>
  <c r="R567" i="49" s="1"/>
  <c r="T477" i="49"/>
  <c r="T567" i="49" s="1"/>
  <c r="Q477" i="49"/>
  <c r="Q567" i="49" s="1"/>
  <c r="Q456" i="37"/>
  <c r="Q546" i="37" s="1"/>
  <c r="R181" i="77"/>
  <c r="R271" i="77" s="1"/>
  <c r="P251" i="29"/>
  <c r="P341" i="29" s="1"/>
  <c r="R251" i="29"/>
  <c r="R341" i="29" s="1"/>
  <c r="L216" i="57"/>
  <c r="L306" i="57" s="1"/>
  <c r="R216" i="57"/>
  <c r="R306" i="57" s="1"/>
  <c r="K230" i="53"/>
  <c r="K320" i="53" s="1"/>
  <c r="R175" i="27"/>
  <c r="L175" i="27"/>
  <c r="N169" i="27"/>
  <c r="P163" i="27"/>
  <c r="L172" i="27"/>
  <c r="N166" i="27"/>
  <c r="J175" i="27"/>
  <c r="L169" i="27"/>
  <c r="N163" i="27"/>
  <c r="J172" i="27"/>
  <c r="L166" i="27"/>
  <c r="S174" i="27"/>
  <c r="J169" i="27"/>
  <c r="L163" i="27"/>
  <c r="P172" i="27"/>
  <c r="R166" i="27"/>
  <c r="Q174" i="27"/>
  <c r="S168" i="27"/>
  <c r="J163" i="27"/>
  <c r="Q171" i="27"/>
  <c r="S165" i="27"/>
  <c r="L223" i="45"/>
  <c r="L313" i="45" s="1"/>
  <c r="J223" i="45"/>
  <c r="J313" i="45" s="1"/>
  <c r="P436" i="69"/>
  <c r="P526" i="69" s="1"/>
  <c r="N456" i="37"/>
  <c r="N546" i="37" s="1"/>
  <c r="S307" i="75"/>
  <c r="S397" i="75" s="1"/>
  <c r="P307" i="75"/>
  <c r="P397" i="75" s="1"/>
  <c r="L307" i="75"/>
  <c r="L397" i="75" s="1"/>
  <c r="S202" i="37"/>
  <c r="S292" i="37" s="1"/>
  <c r="Q202" i="37"/>
  <c r="Q292" i="37" s="1"/>
  <c r="J251" i="29"/>
  <c r="J341" i="29" s="1"/>
  <c r="J477" i="45"/>
  <c r="J567" i="45" s="1"/>
  <c r="S477" i="45"/>
  <c r="S567" i="45" s="1"/>
  <c r="T498" i="57"/>
  <c r="T588" i="57" s="1"/>
  <c r="M498" i="57"/>
  <c r="M588" i="57" s="1"/>
  <c r="J216" i="57"/>
  <c r="J306" i="57" s="1"/>
  <c r="P216" i="57"/>
  <c r="P306" i="57" s="1"/>
  <c r="T230" i="53"/>
  <c r="T320" i="53" s="1"/>
  <c r="O174" i="27"/>
  <c r="Q168" i="27"/>
  <c r="S162" i="27"/>
  <c r="O171" i="27"/>
  <c r="Q165" i="27"/>
  <c r="M174" i="27"/>
  <c r="O168" i="27"/>
  <c r="Q162" i="27"/>
  <c r="M171" i="27"/>
  <c r="O165" i="27"/>
  <c r="K174" i="27"/>
  <c r="M168" i="27"/>
  <c r="O162" i="27"/>
  <c r="S171" i="27"/>
  <c r="J166" i="27"/>
  <c r="T173" i="27"/>
  <c r="K168" i="27"/>
  <c r="M162" i="27"/>
  <c r="R176" i="27"/>
  <c r="T170" i="27"/>
  <c r="K165" i="27"/>
  <c r="T202" i="49"/>
  <c r="T292" i="49" s="1"/>
  <c r="R202" i="49"/>
  <c r="R292" i="49" s="1"/>
  <c r="Q704" i="69"/>
  <c r="Q794" i="69" s="1"/>
  <c r="O223" i="45"/>
  <c r="O313" i="45" s="1"/>
  <c r="R436" i="69"/>
  <c r="R526" i="69" s="1"/>
  <c r="N477" i="49"/>
  <c r="N567" i="49" s="1"/>
  <c r="S456" i="37"/>
  <c r="S546" i="37" s="1"/>
  <c r="K456" i="37"/>
  <c r="K546" i="37" s="1"/>
  <c r="O181" i="77"/>
  <c r="O271" i="77" s="1"/>
  <c r="R202" i="41"/>
  <c r="R292" i="41" s="1"/>
  <c r="T202" i="41"/>
  <c r="T292" i="41" s="1"/>
  <c r="N307" i="75"/>
  <c r="N397" i="75" s="1"/>
  <c r="K202" i="37"/>
  <c r="K292" i="37" s="1"/>
  <c r="K251" i="29"/>
  <c r="K341" i="29" s="1"/>
  <c r="S251" i="29"/>
  <c r="S341" i="29" s="1"/>
  <c r="Q251" i="29"/>
  <c r="Q341" i="29" s="1"/>
  <c r="T477" i="45"/>
  <c r="T567" i="45" s="1"/>
  <c r="L477" i="45"/>
  <c r="L567" i="45" s="1"/>
  <c r="M216" i="57"/>
  <c r="M306" i="57" s="1"/>
  <c r="S216" i="57"/>
  <c r="S306" i="57" s="1"/>
  <c r="Q216" i="57"/>
  <c r="Q306" i="57" s="1"/>
  <c r="O216" i="57"/>
  <c r="O306" i="57" s="1"/>
  <c r="R202" i="19"/>
  <c r="R292" i="19" s="1"/>
  <c r="T202" i="19"/>
  <c r="T292" i="19" s="1"/>
  <c r="L230" i="53"/>
  <c r="L320" i="53" s="1"/>
  <c r="K176" i="27"/>
  <c r="R173" i="27"/>
  <c r="T167" i="27"/>
  <c r="K162" i="27"/>
  <c r="P176" i="27"/>
  <c r="R170" i="27"/>
  <c r="T164" i="27"/>
  <c r="P173" i="27"/>
  <c r="R167" i="27"/>
  <c r="T258" i="18"/>
  <c r="T348" i="18" s="1"/>
  <c r="T161" i="27"/>
  <c r="N176" i="27"/>
  <c r="P170" i="27"/>
  <c r="R164" i="27"/>
  <c r="N173" i="27"/>
  <c r="P167" i="27"/>
  <c r="R258" i="18"/>
  <c r="R348" i="18" s="1"/>
  <c r="R161" i="27"/>
  <c r="T176" i="27"/>
  <c r="K171" i="27"/>
  <c r="M165" i="27"/>
  <c r="L173" i="27"/>
  <c r="N167" i="27"/>
  <c r="P258" i="18"/>
  <c r="P348" i="18" s="1"/>
  <c r="P161" i="27"/>
  <c r="J176" i="27"/>
  <c r="L170" i="27"/>
  <c r="N164" i="27"/>
  <c r="L202" i="49"/>
  <c r="L292" i="49" s="1"/>
  <c r="J202" i="49"/>
  <c r="J292" i="49" s="1"/>
  <c r="P202" i="49"/>
  <c r="P292" i="49" s="1"/>
  <c r="M704" i="69"/>
  <c r="M794" i="69" s="1"/>
  <c r="O704" i="69"/>
  <c r="O794" i="69" s="1"/>
  <c r="J436" i="69"/>
  <c r="J526" i="69" s="1"/>
  <c r="M436" i="69"/>
  <c r="M526" i="69" s="1"/>
  <c r="K477" i="49"/>
  <c r="K567" i="49" s="1"/>
  <c r="O477" i="49"/>
  <c r="O567" i="49" s="1"/>
  <c r="P456" i="37"/>
  <c r="P546" i="37" s="1"/>
  <c r="N181" i="77"/>
  <c r="N271" i="77" s="1"/>
  <c r="J202" i="41"/>
  <c r="J292" i="41" s="1"/>
  <c r="P202" i="41"/>
  <c r="P292" i="41" s="1"/>
  <c r="N202" i="41"/>
  <c r="N292" i="41" s="1"/>
  <c r="L202" i="41"/>
  <c r="L292" i="41" s="1"/>
  <c r="M307" i="75"/>
  <c r="M397" i="75" s="1"/>
  <c r="K307" i="75"/>
  <c r="K397" i="75" s="1"/>
  <c r="O202" i="37"/>
  <c r="O292" i="37" s="1"/>
  <c r="M202" i="37"/>
  <c r="M292" i="37" s="1"/>
  <c r="T202" i="37"/>
  <c r="T292" i="37" s="1"/>
  <c r="O251" i="29"/>
  <c r="O341" i="29" s="1"/>
  <c r="T251" i="29"/>
  <c r="T341" i="29" s="1"/>
  <c r="N477" i="45"/>
  <c r="N567" i="45" s="1"/>
  <c r="Q498" i="57"/>
  <c r="Q588" i="57" s="1"/>
  <c r="O498" i="57"/>
  <c r="O588" i="57" s="1"/>
  <c r="K498" i="57"/>
  <c r="K588" i="57" s="1"/>
  <c r="N498" i="57"/>
  <c r="N588" i="57" s="1"/>
  <c r="K216" i="57"/>
  <c r="K306" i="57" s="1"/>
  <c r="J202" i="19"/>
  <c r="J292" i="19" s="1"/>
  <c r="P202" i="19"/>
  <c r="P292" i="19" s="1"/>
  <c r="N202" i="19"/>
  <c r="N292" i="19" s="1"/>
  <c r="L202" i="19"/>
  <c r="L292" i="19" s="1"/>
  <c r="J173" i="27"/>
  <c r="L167" i="27"/>
  <c r="N161" i="27"/>
  <c r="N258" i="18"/>
  <c r="N348" i="18" s="1"/>
  <c r="S175" i="27"/>
  <c r="J170" i="27"/>
  <c r="L164" i="27"/>
  <c r="S172" i="27"/>
  <c r="J167" i="27"/>
  <c r="L258" i="18"/>
  <c r="L348" i="18" s="1"/>
  <c r="L161" i="27"/>
  <c r="Q175" i="27"/>
  <c r="S169" i="27"/>
  <c r="J164" i="27"/>
  <c r="Q172" i="27"/>
  <c r="S166" i="27"/>
  <c r="J258" i="18"/>
  <c r="J348" i="18" s="1"/>
  <c r="J161" i="27"/>
  <c r="L176" i="27"/>
  <c r="N170" i="27"/>
  <c r="P164" i="27"/>
  <c r="O172" i="27"/>
  <c r="Q166" i="27"/>
  <c r="M175" i="27"/>
  <c r="O169" i="27"/>
  <c r="Q163" i="27"/>
  <c r="P704" i="69"/>
  <c r="P794" i="69" s="1"/>
  <c r="N223" i="45"/>
  <c r="N313" i="45" s="1"/>
  <c r="S223" i="45"/>
  <c r="S313" i="45" s="1"/>
  <c r="S477" i="49"/>
  <c r="S567" i="49" s="1"/>
  <c r="M456" i="37"/>
  <c r="M546" i="37" s="1"/>
  <c r="T181" i="77"/>
  <c r="T271" i="77" s="1"/>
  <c r="S181" i="77"/>
  <c r="S271" i="77" s="1"/>
  <c r="T307" i="75"/>
  <c r="T397" i="75" s="1"/>
  <c r="Q307" i="75"/>
  <c r="Q397" i="75" s="1"/>
  <c r="J307" i="75"/>
  <c r="J397" i="75" s="1"/>
  <c r="L202" i="37"/>
  <c r="L292" i="37" s="1"/>
  <c r="P62" i="27"/>
  <c r="O62" i="27"/>
  <c r="I788" i="61"/>
  <c r="K133" i="4" s="1"/>
  <c r="M133" i="4" s="1"/>
  <c r="I623" i="53"/>
  <c r="K103" i="4" s="1"/>
  <c r="M103" i="4" s="1"/>
  <c r="I581" i="41"/>
  <c r="K67" i="4" s="1"/>
  <c r="M67" i="4" s="1"/>
  <c r="I567" i="19"/>
  <c r="K37" i="4" s="1"/>
  <c r="M37" i="4" s="1"/>
  <c r="I1043" i="61"/>
  <c r="K139" i="4" s="1"/>
  <c r="M139" i="4" s="1"/>
  <c r="I842" i="19"/>
  <c r="K43" i="4" s="1"/>
  <c r="M43" i="4" s="1"/>
  <c r="I533" i="61"/>
  <c r="K127" i="4" s="1"/>
  <c r="M127" i="4" s="1"/>
  <c r="Q70" i="19"/>
  <c r="Q35" i="27" s="1"/>
  <c r="Q345" i="19"/>
  <c r="Q37" i="27" s="1"/>
  <c r="Q620" i="19"/>
  <c r="Q39" i="27" s="1"/>
  <c r="U17" i="26" l="1"/>
  <c r="V15" i="26"/>
  <c r="U20" i="26"/>
  <c r="J177" i="27"/>
  <c r="O177" i="27"/>
  <c r="T177" i="27"/>
  <c r="R177" i="27"/>
  <c r="M177" i="27"/>
  <c r="P177" i="27"/>
  <c r="K177" i="27"/>
  <c r="S177" i="27"/>
  <c r="L177" i="27"/>
  <c r="N177" i="27"/>
  <c r="Q177" i="27"/>
  <c r="Q62" i="27"/>
  <c r="I306" i="57"/>
  <c r="K109" i="4" s="1"/>
  <c r="M109" i="4" s="1"/>
  <c r="I794" i="69"/>
  <c r="K157" i="4" s="1"/>
  <c r="M157" i="4" s="1"/>
  <c r="I292" i="49"/>
  <c r="K85" i="4" s="1"/>
  <c r="M85" i="4" s="1"/>
  <c r="I567" i="45"/>
  <c r="K79" i="4" s="1"/>
  <c r="M79" i="4" s="1"/>
  <c r="I313" i="45"/>
  <c r="K73" i="4" s="1"/>
  <c r="M73" i="4" s="1"/>
  <c r="I292" i="41"/>
  <c r="K61" i="4" s="1"/>
  <c r="M61" i="4" s="1"/>
  <c r="I292" i="37"/>
  <c r="K49" i="4" s="1"/>
  <c r="M49" i="4" s="1"/>
  <c r="I271" i="77"/>
  <c r="K169" i="4" s="1"/>
  <c r="M169" i="4" s="1"/>
  <c r="I271" i="69"/>
  <c r="K145" i="4" s="1"/>
  <c r="M145" i="4" s="1"/>
  <c r="I292" i="19"/>
  <c r="K31" i="4" s="1"/>
  <c r="M31" i="4" s="1"/>
  <c r="I271" i="33"/>
  <c r="K25" i="4" s="1"/>
  <c r="M25" i="4" s="1"/>
  <c r="I320" i="53"/>
  <c r="K97" i="4" s="1"/>
  <c r="M97" i="4" s="1"/>
  <c r="I526" i="69"/>
  <c r="K151" i="4" s="1"/>
  <c r="M151" i="4" s="1"/>
  <c r="I546" i="37"/>
  <c r="K55" i="4" s="1"/>
  <c r="M55" i="4" s="1"/>
  <c r="I341" i="29"/>
  <c r="K19" i="4" s="1"/>
  <c r="M19" i="4" s="1"/>
  <c r="I348" i="18"/>
  <c r="K13" i="4" s="1"/>
  <c r="M13" i="4" s="1"/>
  <c r="I276" i="61"/>
  <c r="K121" i="4" s="1"/>
  <c r="M121" i="4" s="1"/>
  <c r="I588" i="57"/>
  <c r="K115" i="4" s="1"/>
  <c r="M115" i="4" s="1"/>
  <c r="I567" i="49"/>
  <c r="K91" i="4" s="1"/>
  <c r="M91" i="4" s="1"/>
  <c r="I397" i="75"/>
  <c r="K163" i="4" s="1"/>
  <c r="M163" i="4" s="1"/>
  <c r="R620" i="19"/>
  <c r="R39" i="27" s="1"/>
  <c r="R345" i="19"/>
  <c r="R37" i="27" s="1"/>
  <c r="R70" i="19"/>
  <c r="R35" i="27" s="1"/>
  <c r="V17" i="26" l="1"/>
  <c r="V20" i="26"/>
  <c r="W15" i="26"/>
  <c r="R62" i="27"/>
  <c r="S620" i="19"/>
  <c r="S39" i="27" s="1"/>
  <c r="T620" i="19"/>
  <c r="T39" i="27" s="1"/>
  <c r="S345" i="19"/>
  <c r="S37" i="27" s="1"/>
  <c r="T345" i="19"/>
  <c r="T37" i="27" s="1"/>
  <c r="S70" i="19"/>
  <c r="S35" i="27" s="1"/>
  <c r="T70" i="19"/>
  <c r="T35" i="27" s="1"/>
  <c r="W20" i="26" l="1"/>
  <c r="W17" i="26"/>
  <c r="T62" i="27"/>
  <c r="S62" i="27"/>
  <c r="J37" i="19"/>
  <c r="K37" i="19"/>
  <c r="L37" i="19"/>
  <c r="M37" i="19"/>
  <c r="N37" i="19"/>
  <c r="O37" i="19"/>
  <c r="P37" i="19"/>
  <c r="Q37" i="19"/>
  <c r="R37" i="19"/>
  <c r="S37" i="19"/>
  <c r="T37" i="19"/>
  <c r="J37" i="18"/>
  <c r="K37" i="18"/>
  <c r="L37" i="18"/>
  <c r="M37" i="18"/>
  <c r="N37" i="18"/>
  <c r="O37" i="18"/>
  <c r="P37" i="18"/>
  <c r="Q37" i="18"/>
  <c r="R37" i="18"/>
  <c r="S37" i="18"/>
  <c r="T37" i="18"/>
  <c r="J36" i="19"/>
  <c r="K36" i="19"/>
  <c r="L36" i="19"/>
  <c r="M36" i="19"/>
  <c r="N36" i="19"/>
  <c r="O36" i="19"/>
  <c r="P36" i="19"/>
  <c r="Q36" i="19"/>
  <c r="R36" i="19"/>
  <c r="S36" i="19"/>
  <c r="T36" i="19"/>
  <c r="J36" i="18"/>
  <c r="K36" i="18"/>
  <c r="L36" i="18"/>
  <c r="M36" i="18"/>
  <c r="N36" i="18"/>
  <c r="O36" i="18"/>
  <c r="P36" i="18"/>
  <c r="Q36" i="18"/>
  <c r="R36" i="18"/>
  <c r="S36" i="18"/>
  <c r="T36" i="18"/>
  <c r="J35" i="19"/>
  <c r="K35" i="19"/>
  <c r="L35" i="19"/>
  <c r="M35" i="19"/>
  <c r="N35" i="19"/>
  <c r="O35" i="19"/>
  <c r="P35" i="19"/>
  <c r="Q35" i="19"/>
  <c r="R35" i="19"/>
  <c r="S35" i="19"/>
  <c r="T35" i="19"/>
  <c r="J35" i="18"/>
  <c r="K35" i="18"/>
  <c r="L35" i="18"/>
  <c r="M35" i="18"/>
  <c r="N35" i="18"/>
  <c r="O35" i="18"/>
  <c r="P35" i="18"/>
  <c r="Q35" i="18"/>
  <c r="R35" i="18"/>
  <c r="S35" i="18"/>
  <c r="T35" i="18"/>
  <c r="I32" i="23"/>
  <c r="I6" i="23"/>
  <c r="D109" i="19" l="1"/>
  <c r="D157" i="18"/>
  <c r="D99" i="19"/>
  <c r="D139" i="18"/>
  <c r="D89" i="19"/>
  <c r="D121" i="18"/>
  <c r="F45" i="25"/>
  <c r="F43" i="25"/>
  <c r="F42" i="25"/>
  <c r="R8" i="26" l="1"/>
  <c r="Q10" i="26"/>
  <c r="R10" i="26" l="1"/>
  <c r="S8" i="26"/>
  <c r="T8" i="26" l="1"/>
  <c r="S10" i="26"/>
  <c r="T10" i="26" l="1"/>
  <c r="U8" i="26"/>
  <c r="U10" i="26" l="1"/>
  <c r="V8" i="26"/>
  <c r="V10" i="26" l="1"/>
  <c r="W8" i="26"/>
  <c r="W10" i="26" s="1"/>
  <c r="P16" i="25" l="1"/>
  <c r="P15" i="25" s="1"/>
  <c r="Q16" i="25"/>
  <c r="R16" i="25"/>
  <c r="S16" i="25"/>
  <c r="T16" i="25"/>
  <c r="T15" i="25" s="1"/>
  <c r="O14" i="25"/>
  <c r="O13" i="25" s="1"/>
  <c r="J12" i="25"/>
  <c r="J11" i="25" s="1"/>
  <c r="K12" i="25"/>
  <c r="K11" i="25" s="1"/>
  <c r="L12" i="25"/>
  <c r="L11" i="25" s="1"/>
  <c r="M12" i="25"/>
  <c r="M11" i="25" s="1"/>
  <c r="N12" i="25"/>
  <c r="N11" i="25" s="1"/>
  <c r="P10" i="25"/>
  <c r="Q10" i="25"/>
  <c r="R10" i="25"/>
  <c r="S10" i="25"/>
  <c r="T10" i="25"/>
  <c r="O10" i="25"/>
  <c r="J10" i="25"/>
  <c r="K10" i="25"/>
  <c r="L10" i="25"/>
  <c r="M10" i="25"/>
  <c r="N10" i="25"/>
  <c r="D62" i="19"/>
  <c r="D78" i="18"/>
  <c r="D52" i="19"/>
  <c r="D60" i="18"/>
  <c r="B25" i="19"/>
  <c r="B25" i="18"/>
  <c r="P16" i="19"/>
  <c r="P15" i="19" s="1"/>
  <c r="Q16" i="19"/>
  <c r="Q15" i="19" s="1"/>
  <c r="R16" i="19"/>
  <c r="R15" i="19" s="1"/>
  <c r="S16" i="19"/>
  <c r="S15" i="19" s="1"/>
  <c r="T16" i="19"/>
  <c r="T15" i="19" s="1"/>
  <c r="O14" i="19"/>
  <c r="O13" i="19" s="1"/>
  <c r="J12" i="19"/>
  <c r="J11" i="19" s="1"/>
  <c r="K12" i="19"/>
  <c r="K11" i="19" s="1"/>
  <c r="L12" i="19"/>
  <c r="L11" i="19" s="1"/>
  <c r="M12" i="19"/>
  <c r="M11" i="19" s="1"/>
  <c r="N12" i="19"/>
  <c r="N11" i="19" s="1"/>
  <c r="P10" i="19"/>
  <c r="Q10" i="19"/>
  <c r="R10" i="19"/>
  <c r="S10" i="19"/>
  <c r="T10" i="19"/>
  <c r="O10" i="19"/>
  <c r="J10" i="19"/>
  <c r="K10" i="19"/>
  <c r="L10" i="19"/>
  <c r="M10" i="19"/>
  <c r="N10" i="19"/>
  <c r="D70" i="19" l="1"/>
  <c r="D94" i="18"/>
  <c r="R15" i="25"/>
  <c r="Q15" i="25"/>
  <c r="S15" i="25"/>
  <c r="C6" i="23"/>
  <c r="C32" i="23"/>
  <c r="P16" i="18"/>
  <c r="P15" i="18" s="1"/>
  <c r="Q16" i="18"/>
  <c r="R16" i="18"/>
  <c r="R15" i="18" s="1"/>
  <c r="S16" i="18"/>
  <c r="S15" i="18" s="1"/>
  <c r="T16" i="18"/>
  <c r="T15" i="18" s="1"/>
  <c r="O14" i="18"/>
  <c r="O13" i="18" s="1"/>
  <c r="J12" i="18"/>
  <c r="J11" i="18" s="1"/>
  <c r="K12" i="18"/>
  <c r="K11" i="18" s="1"/>
  <c r="L12" i="18"/>
  <c r="L11" i="18" s="1"/>
  <c r="M12" i="18"/>
  <c r="M11" i="18" s="1"/>
  <c r="N12" i="18"/>
  <c r="N11" i="18" s="1"/>
  <c r="P10" i="18"/>
  <c r="Q10" i="18"/>
  <c r="R10" i="18"/>
  <c r="S10" i="18"/>
  <c r="T10" i="18"/>
  <c r="O10" i="18"/>
  <c r="J10" i="18"/>
  <c r="K10" i="18"/>
  <c r="L10" i="18"/>
  <c r="M10" i="18"/>
  <c r="N10" i="18"/>
  <c r="Q15" i="18" l="1"/>
  <c r="H34" i="6" l="1"/>
  <c r="D77" i="7"/>
  <c r="D76" i="7"/>
  <c r="D75" i="7"/>
  <c r="D74" i="7"/>
  <c r="D55" i="7"/>
  <c r="D54" i="7"/>
  <c r="D53" i="7"/>
  <c r="D52" i="7"/>
  <c r="D51" i="7"/>
  <c r="D50" i="7"/>
  <c r="D49" i="7"/>
  <c r="D48" i="7"/>
  <c r="D47" i="7"/>
  <c r="D46" i="7"/>
  <c r="D45" i="7"/>
  <c r="D44" i="7"/>
  <c r="D39" i="7"/>
  <c r="D38" i="7"/>
  <c r="D37" i="7"/>
  <c r="D36" i="7"/>
  <c r="D35" i="7"/>
  <c r="D34" i="7"/>
  <c r="D33" i="7"/>
  <c r="D32" i="7"/>
  <c r="D31" i="7"/>
  <c r="D30" i="7"/>
  <c r="D29" i="7"/>
  <c r="D28" i="7"/>
  <c r="D27" i="7"/>
  <c r="D26" i="7"/>
  <c r="D25" i="7"/>
  <c r="D24" i="7"/>
  <c r="D23" i="7"/>
  <c r="D22" i="7"/>
  <c r="D21" i="7"/>
  <c r="D20" i="7"/>
  <c r="D19" i="7"/>
  <c r="D18" i="7"/>
  <c r="D17" i="7"/>
  <c r="D16" i="7"/>
  <c r="D15" i="7"/>
  <c r="D14" i="7"/>
  <c r="D13" i="7"/>
  <c r="D12" i="7"/>
  <c r="D11" i="7"/>
  <c r="D10" i="7"/>
  <c r="D9" i="7"/>
  <c r="H16" i="6"/>
  <c r="H13" i="6"/>
  <c r="K190" i="4"/>
  <c r="M190" i="4"/>
  <c r="F186" i="4" s="1"/>
  <c r="K182" i="4"/>
  <c r="M182" i="4"/>
  <c r="F178" i="4" s="1"/>
  <c r="K174" i="4"/>
  <c r="K7" i="84" l="1"/>
  <c r="K8" i="84" s="1"/>
  <c r="L7" i="84"/>
  <c r="N7" i="84"/>
  <c r="M7" i="84"/>
  <c r="J7" i="84"/>
  <c r="L7" i="82"/>
  <c r="M7" i="82"/>
  <c r="K7" i="82"/>
  <c r="K8" i="82" s="1"/>
  <c r="N7" i="82"/>
  <c r="J7" i="82"/>
  <c r="K7" i="81"/>
  <c r="N7" i="81"/>
  <c r="J7" i="81"/>
  <c r="M7" i="81"/>
  <c r="L7" i="81"/>
  <c r="N7" i="78"/>
  <c r="M7" i="78"/>
  <c r="M7" i="79"/>
  <c r="M8" i="79" s="1"/>
  <c r="L7" i="78"/>
  <c r="L7" i="80"/>
  <c r="L7" i="79"/>
  <c r="K7" i="79"/>
  <c r="K8" i="79" s="1"/>
  <c r="N7" i="79"/>
  <c r="K7" i="80"/>
  <c r="J7" i="80"/>
  <c r="M7" i="80"/>
  <c r="J7" i="78"/>
  <c r="K7" i="78"/>
  <c r="N7" i="80"/>
  <c r="J7" i="79"/>
  <c r="M7" i="37"/>
  <c r="M8" i="37" s="1"/>
  <c r="M7" i="29"/>
  <c r="M8" i="29" s="1"/>
  <c r="L7" i="29"/>
  <c r="K7" i="41"/>
  <c r="K8" i="41" s="1"/>
  <c r="J7" i="53"/>
  <c r="K7" i="61"/>
  <c r="L7" i="75"/>
  <c r="N7" i="69"/>
  <c r="L7" i="69"/>
  <c r="L8" i="69" s="1"/>
  <c r="L7" i="27"/>
  <c r="M7" i="33"/>
  <c r="M8" i="33" s="1"/>
  <c r="L7" i="33"/>
  <c r="L8" i="33" s="1"/>
  <c r="J7" i="33"/>
  <c r="J8" i="33" s="1"/>
  <c r="J7" i="75"/>
  <c r="J8" i="75" s="1"/>
  <c r="N7" i="49"/>
  <c r="L7" i="61"/>
  <c r="M7" i="75"/>
  <c r="K7" i="75"/>
  <c r="N7" i="77"/>
  <c r="N8" i="77" s="1"/>
  <c r="N7" i="33"/>
  <c r="N8" i="33" s="1"/>
  <c r="N7" i="41"/>
  <c r="N8" i="41" s="1"/>
  <c r="L7" i="53"/>
  <c r="K7" i="53"/>
  <c r="K8" i="53" s="1"/>
  <c r="J7" i="77"/>
  <c r="J8" i="77" s="1"/>
  <c r="K7" i="37"/>
  <c r="K8" i="37" s="1"/>
  <c r="J7" i="37"/>
  <c r="K7" i="33"/>
  <c r="L7" i="41"/>
  <c r="L8" i="41" s="1"/>
  <c r="M7" i="61"/>
  <c r="N7" i="75"/>
  <c r="M7" i="45"/>
  <c r="K7" i="57"/>
  <c r="N7" i="53"/>
  <c r="M7" i="41"/>
  <c r="M7" i="27"/>
  <c r="M8" i="27" s="1"/>
  <c r="J7" i="41"/>
  <c r="J8" i="41" s="1"/>
  <c r="N7" i="61"/>
  <c r="J7" i="69"/>
  <c r="K7" i="77"/>
  <c r="K8" i="77" s="1"/>
  <c r="K7" i="49"/>
  <c r="L7" i="45"/>
  <c r="J7" i="45"/>
  <c r="J8" i="45" s="1"/>
  <c r="N7" i="27"/>
  <c r="N8" i="27" s="1"/>
  <c r="K7" i="27"/>
  <c r="K7" i="29"/>
  <c r="K8" i="29" s="1"/>
  <c r="K7" i="69"/>
  <c r="L7" i="77"/>
  <c r="L8" i="77" s="1"/>
  <c r="N7" i="45"/>
  <c r="M7" i="57"/>
  <c r="J7" i="49"/>
  <c r="N7" i="29"/>
  <c r="N7" i="37"/>
  <c r="N8" i="37" s="1"/>
  <c r="L7" i="37"/>
  <c r="N7" i="57"/>
  <c r="J7" i="61"/>
  <c r="J7" i="57"/>
  <c r="J7" i="27"/>
  <c r="L7" i="57"/>
  <c r="K7" i="45"/>
  <c r="M7" i="53"/>
  <c r="J7" i="29"/>
  <c r="J8" i="29" s="1"/>
  <c r="M7" i="69"/>
  <c r="M7" i="77"/>
  <c r="L7" i="49"/>
  <c r="M7" i="49"/>
  <c r="J7" i="25"/>
  <c r="K7" i="25"/>
  <c r="L7" i="25"/>
  <c r="N7" i="25"/>
  <c r="M7" i="25"/>
  <c r="M8" i="25" s="1"/>
  <c r="N7" i="19"/>
  <c r="J7" i="19"/>
  <c r="M7" i="19"/>
  <c r="K7" i="19"/>
  <c r="L7" i="19"/>
  <c r="J7" i="18"/>
  <c r="J8" i="18" s="1"/>
  <c r="N7" i="18"/>
  <c r="N8" i="18" s="1"/>
  <c r="L7" i="18"/>
  <c r="M7" i="18"/>
  <c r="M8" i="18" s="1"/>
  <c r="K7" i="18"/>
  <c r="G178" i="4"/>
  <c r="G186" i="4"/>
  <c r="H14" i="6"/>
  <c r="H21" i="6" s="1"/>
  <c r="O7" i="84" s="1"/>
  <c r="M8" i="84" l="1"/>
  <c r="M9" i="84" s="1"/>
  <c r="M20" i="84" s="1"/>
  <c r="J8" i="84"/>
  <c r="J9" i="84" s="1"/>
  <c r="J20" i="84" s="1"/>
  <c r="N8" i="84"/>
  <c r="N9" i="84" s="1"/>
  <c r="N20" i="84" s="1"/>
  <c r="L8" i="84"/>
  <c r="L9" i="84"/>
  <c r="L20" i="84" s="1"/>
  <c r="O8" i="84"/>
  <c r="O9" i="84" s="1"/>
  <c r="O20" i="84" s="1"/>
  <c r="K9" i="84"/>
  <c r="K20" i="84" s="1"/>
  <c r="K5" i="84"/>
  <c r="K4" i="84"/>
  <c r="N8" i="82"/>
  <c r="N9" i="82" s="1"/>
  <c r="N20" i="82" s="1"/>
  <c r="K9" i="82"/>
  <c r="K20" i="82" s="1"/>
  <c r="K4" i="82"/>
  <c r="K5" i="82"/>
  <c r="M8" i="82"/>
  <c r="M9" i="82" s="1"/>
  <c r="M20" i="82" s="1"/>
  <c r="O7" i="81"/>
  <c r="O8" i="81" s="1"/>
  <c r="O9" i="81" s="1"/>
  <c r="O20" i="81" s="1"/>
  <c r="O7" i="82"/>
  <c r="J8" i="82"/>
  <c r="J9" i="82" s="1"/>
  <c r="J20" i="82" s="1"/>
  <c r="L8" i="82"/>
  <c r="L8" i="81"/>
  <c r="L9" i="81" s="1"/>
  <c r="L20" i="81" s="1"/>
  <c r="M8" i="81"/>
  <c r="M9" i="81" s="1"/>
  <c r="M20" i="81" s="1"/>
  <c r="J8" i="81"/>
  <c r="J9" i="81" s="1"/>
  <c r="J20" i="81" s="1"/>
  <c r="N8" i="81"/>
  <c r="N9" i="81" s="1"/>
  <c r="N20" i="81" s="1"/>
  <c r="K8" i="81"/>
  <c r="K9" i="81" s="1"/>
  <c r="K20" i="81" s="1"/>
  <c r="L8" i="49"/>
  <c r="L9" i="49" s="1"/>
  <c r="L20" i="49" s="1"/>
  <c r="J9" i="77"/>
  <c r="J20" i="77" s="1"/>
  <c r="J5" i="77"/>
  <c r="J4" i="77"/>
  <c r="J8" i="79"/>
  <c r="J9" i="79" s="1"/>
  <c r="J20" i="79" s="1"/>
  <c r="O7" i="78"/>
  <c r="O7" i="79"/>
  <c r="O7" i="80"/>
  <c r="O7" i="61"/>
  <c r="O7" i="53"/>
  <c r="O7" i="69"/>
  <c r="O7" i="57"/>
  <c r="O7" i="75"/>
  <c r="O7" i="49"/>
  <c r="O7" i="45"/>
  <c r="O7" i="33"/>
  <c r="O7" i="77"/>
  <c r="O8" i="77" s="1"/>
  <c r="O7" i="27"/>
  <c r="O7" i="37"/>
  <c r="O7" i="29"/>
  <c r="O7" i="41"/>
  <c r="O7" i="25"/>
  <c r="O8" i="25" s="1"/>
  <c r="M8" i="49"/>
  <c r="M9" i="49" s="1"/>
  <c r="M20" i="49" s="1"/>
  <c r="J8" i="27"/>
  <c r="J9" i="27" s="1"/>
  <c r="J20" i="27" s="1"/>
  <c r="M8" i="57"/>
  <c r="M9" i="57" s="1"/>
  <c r="M20" i="57" s="1"/>
  <c r="L8" i="45"/>
  <c r="L9" i="45" s="1"/>
  <c r="L20" i="45" s="1"/>
  <c r="N8" i="53"/>
  <c r="N9" i="53" s="1"/>
  <c r="N20" i="53" s="1"/>
  <c r="K9" i="37"/>
  <c r="K20" i="37" s="1"/>
  <c r="K5" i="37"/>
  <c r="K4" i="37"/>
  <c r="M8" i="75"/>
  <c r="M9" i="75" s="1"/>
  <c r="M20" i="75" s="1"/>
  <c r="L9" i="69"/>
  <c r="L20" i="69" s="1"/>
  <c r="L5" i="69"/>
  <c r="L4" i="69"/>
  <c r="M9" i="37"/>
  <c r="M20" i="37" s="1"/>
  <c r="M5" i="37"/>
  <c r="M4" i="37"/>
  <c r="N8" i="79"/>
  <c r="N9" i="79" s="1"/>
  <c r="N20" i="79" s="1"/>
  <c r="K8" i="57"/>
  <c r="K9" i="77"/>
  <c r="K20" i="77" s="1"/>
  <c r="K5" i="77"/>
  <c r="K4" i="77"/>
  <c r="L8" i="79"/>
  <c r="L9" i="79" s="1"/>
  <c r="L20" i="79" s="1"/>
  <c r="M9" i="25"/>
  <c r="M20" i="25" s="1"/>
  <c r="M4" i="25"/>
  <c r="M5" i="25"/>
  <c r="M29" i="25" s="1"/>
  <c r="M27" i="84" s="1"/>
  <c r="M8" i="69"/>
  <c r="M9" i="69" s="1"/>
  <c r="M20" i="69" s="1"/>
  <c r="N8" i="57"/>
  <c r="N9" i="57" s="1"/>
  <c r="N20" i="57" s="1"/>
  <c r="K8" i="69"/>
  <c r="K9" i="69" s="1"/>
  <c r="K20" i="69" s="1"/>
  <c r="J8" i="69"/>
  <c r="N8" i="75"/>
  <c r="N9" i="75" s="1"/>
  <c r="N20" i="75" s="1"/>
  <c r="L8" i="53"/>
  <c r="L9" i="53" s="1"/>
  <c r="L20" i="53" s="1"/>
  <c r="J9" i="75"/>
  <c r="J20" i="75" s="1"/>
  <c r="J4" i="75"/>
  <c r="J5" i="75"/>
  <c r="K8" i="61"/>
  <c r="K9" i="61" s="1"/>
  <c r="K20" i="61" s="1"/>
  <c r="K8" i="78"/>
  <c r="K9" i="78" s="1"/>
  <c r="K20" i="78" s="1"/>
  <c r="L8" i="80"/>
  <c r="L9" i="80" s="1"/>
  <c r="L20" i="80" s="1"/>
  <c r="L9" i="77"/>
  <c r="L20" i="77" s="1"/>
  <c r="L5" i="77"/>
  <c r="L4" i="77"/>
  <c r="K9" i="53"/>
  <c r="K20" i="53" s="1"/>
  <c r="K4" i="53"/>
  <c r="K5" i="53"/>
  <c r="N8" i="25"/>
  <c r="N9" i="25" s="1"/>
  <c r="N20" i="25" s="1"/>
  <c r="J9" i="29"/>
  <c r="J20" i="29" s="1"/>
  <c r="J4" i="29"/>
  <c r="J5" i="29"/>
  <c r="L8" i="37"/>
  <c r="L9" i="37" s="1"/>
  <c r="L20" i="37" s="1"/>
  <c r="K9" i="29"/>
  <c r="K20" i="29" s="1"/>
  <c r="K5" i="29"/>
  <c r="K4" i="29"/>
  <c r="N8" i="61"/>
  <c r="N9" i="61" s="1"/>
  <c r="N20" i="61" s="1"/>
  <c r="M8" i="61"/>
  <c r="M9" i="61" s="1"/>
  <c r="M20" i="61" s="1"/>
  <c r="N9" i="41"/>
  <c r="N20" i="41" s="1"/>
  <c r="N4" i="41"/>
  <c r="N5" i="41"/>
  <c r="J9" i="33"/>
  <c r="J20" i="33" s="1"/>
  <c r="J4" i="33"/>
  <c r="J5" i="33"/>
  <c r="J8" i="53"/>
  <c r="J9" i="53" s="1"/>
  <c r="J20" i="53" s="1"/>
  <c r="J8" i="78"/>
  <c r="J9" i="78" s="1"/>
  <c r="J20" i="78" s="1"/>
  <c r="L8" i="78"/>
  <c r="L9" i="78" s="1"/>
  <c r="L20" i="78" s="1"/>
  <c r="J8" i="57"/>
  <c r="J9" i="57" s="1"/>
  <c r="J20" i="57" s="1"/>
  <c r="N8" i="69"/>
  <c r="N9" i="69" s="1"/>
  <c r="N20" i="69" s="1"/>
  <c r="M8" i="77"/>
  <c r="M9" i="77" s="1"/>
  <c r="M20" i="77" s="1"/>
  <c r="N8" i="80"/>
  <c r="N9" i="80" s="1"/>
  <c r="N20" i="80" s="1"/>
  <c r="L8" i="25"/>
  <c r="L9" i="25" s="1"/>
  <c r="L20" i="25" s="1"/>
  <c r="M8" i="53"/>
  <c r="M9" i="53" s="1"/>
  <c r="M20" i="53" s="1"/>
  <c r="N9" i="37"/>
  <c r="N20" i="37" s="1"/>
  <c r="N5" i="37"/>
  <c r="N4" i="37"/>
  <c r="K8" i="27"/>
  <c r="K9" i="27" s="1"/>
  <c r="K20" i="27" s="1"/>
  <c r="J9" i="41"/>
  <c r="J20" i="41" s="1"/>
  <c r="J5" i="41"/>
  <c r="J4" i="41"/>
  <c r="L9" i="41"/>
  <c r="L20" i="41" s="1"/>
  <c r="L4" i="41"/>
  <c r="L5" i="41"/>
  <c r="N9" i="33"/>
  <c r="N20" i="33" s="1"/>
  <c r="N4" i="33"/>
  <c r="N5" i="33"/>
  <c r="L9" i="33"/>
  <c r="L20" i="33" s="1"/>
  <c r="L5" i="33"/>
  <c r="L4" i="33"/>
  <c r="K9" i="41"/>
  <c r="K20" i="41" s="1"/>
  <c r="K5" i="41"/>
  <c r="K4" i="41"/>
  <c r="M8" i="80"/>
  <c r="M9" i="80" s="1"/>
  <c r="M20" i="80" s="1"/>
  <c r="M9" i="79"/>
  <c r="M20" i="79" s="1"/>
  <c r="M4" i="79"/>
  <c r="M5" i="79"/>
  <c r="N8" i="45"/>
  <c r="N9" i="45" s="1"/>
  <c r="N20" i="45" s="1"/>
  <c r="L8" i="61"/>
  <c r="L9" i="61" s="1"/>
  <c r="L20" i="61" s="1"/>
  <c r="N8" i="49"/>
  <c r="K8" i="25"/>
  <c r="K9" i="25" s="1"/>
  <c r="K20" i="25" s="1"/>
  <c r="K8" i="45"/>
  <c r="K9" i="45" s="1"/>
  <c r="K20" i="45" s="1"/>
  <c r="N8" i="29"/>
  <c r="N9" i="29" s="1"/>
  <c r="N20" i="29" s="1"/>
  <c r="N9" i="27"/>
  <c r="N20" i="27" s="1"/>
  <c r="N4" i="27"/>
  <c r="N5" i="27"/>
  <c r="M9" i="27"/>
  <c r="M20" i="27" s="1"/>
  <c r="M5" i="27"/>
  <c r="M4" i="27"/>
  <c r="K8" i="33"/>
  <c r="K9" i="33" s="1"/>
  <c r="K20" i="33" s="1"/>
  <c r="N9" i="77"/>
  <c r="N20" i="77" s="1"/>
  <c r="N4" i="77"/>
  <c r="N5" i="77"/>
  <c r="M9" i="33"/>
  <c r="M20" i="33" s="1"/>
  <c r="M5" i="33"/>
  <c r="M4" i="33"/>
  <c r="L8" i="29"/>
  <c r="L9" i="29" s="1"/>
  <c r="L20" i="29" s="1"/>
  <c r="J8" i="80"/>
  <c r="M8" i="78"/>
  <c r="M9" i="78" s="1"/>
  <c r="M20" i="78" s="1"/>
  <c r="K8" i="49"/>
  <c r="K9" i="49" s="1"/>
  <c r="K20" i="49" s="1"/>
  <c r="K9" i="79"/>
  <c r="K20" i="79" s="1"/>
  <c r="K4" i="79"/>
  <c r="K5" i="79"/>
  <c r="J8" i="61"/>
  <c r="J9" i="61" s="1"/>
  <c r="J20" i="61" s="1"/>
  <c r="M8" i="45"/>
  <c r="M9" i="45" s="1"/>
  <c r="M20" i="45" s="1"/>
  <c r="L8" i="75"/>
  <c r="L9" i="75" s="1"/>
  <c r="L20" i="75" s="1"/>
  <c r="J8" i="25"/>
  <c r="J9" i="25" s="1"/>
  <c r="J20" i="25" s="1"/>
  <c r="L8" i="57"/>
  <c r="L9" i="57" s="1"/>
  <c r="L20" i="57" s="1"/>
  <c r="J8" i="49"/>
  <c r="J9" i="49" s="1"/>
  <c r="J20" i="49" s="1"/>
  <c r="J9" i="45"/>
  <c r="J20" i="45" s="1"/>
  <c r="J5" i="45"/>
  <c r="J4" i="45"/>
  <c r="M8" i="41"/>
  <c r="J8" i="37"/>
  <c r="J9" i="37" s="1"/>
  <c r="J20" i="37" s="1"/>
  <c r="K8" i="75"/>
  <c r="K9" i="75" s="1"/>
  <c r="K20" i="75" s="1"/>
  <c r="L8" i="27"/>
  <c r="L9" i="27" s="1"/>
  <c r="L20" i="27" s="1"/>
  <c r="M9" i="29"/>
  <c r="M20" i="29" s="1"/>
  <c r="M4" i="29"/>
  <c r="M5" i="29"/>
  <c r="K8" i="80"/>
  <c r="K9" i="80" s="1"/>
  <c r="K20" i="80" s="1"/>
  <c r="N8" i="78"/>
  <c r="N9" i="78" s="1"/>
  <c r="N20" i="78" s="1"/>
  <c r="K8" i="19"/>
  <c r="K9" i="19" s="1"/>
  <c r="K20" i="19" s="1"/>
  <c r="K8" i="18"/>
  <c r="K9" i="18" s="1"/>
  <c r="K20" i="18" s="1"/>
  <c r="M8" i="19"/>
  <c r="M9" i="18"/>
  <c r="M20" i="18" s="1"/>
  <c r="M4" i="18"/>
  <c r="M5" i="18"/>
  <c r="J8" i="19"/>
  <c r="J9" i="19" s="1"/>
  <c r="J20" i="19" s="1"/>
  <c r="L8" i="18"/>
  <c r="L9" i="18" s="1"/>
  <c r="L20" i="18" s="1"/>
  <c r="N9" i="18"/>
  <c r="N20" i="18" s="1"/>
  <c r="N5" i="18"/>
  <c r="N4" i="18"/>
  <c r="O7" i="19"/>
  <c r="O7" i="18"/>
  <c r="J9" i="18"/>
  <c r="J20" i="18" s="1"/>
  <c r="J4" i="18"/>
  <c r="J5" i="18"/>
  <c r="L8" i="19"/>
  <c r="L9" i="19" s="1"/>
  <c r="L20" i="19" s="1"/>
  <c r="N8" i="19"/>
  <c r="N9" i="19" s="1"/>
  <c r="N20" i="19" s="1"/>
  <c r="H23" i="6"/>
  <c r="H29" i="6" s="1"/>
  <c r="L4" i="84" l="1"/>
  <c r="L5" i="84"/>
  <c r="N5" i="84"/>
  <c r="N4" i="84"/>
  <c r="K18" i="84"/>
  <c r="K17" i="84"/>
  <c r="K6" i="84" s="1"/>
  <c r="J5" i="84"/>
  <c r="J4" i="84"/>
  <c r="S7" i="84"/>
  <c r="T7" i="84"/>
  <c r="Q7" i="84"/>
  <c r="P7" i="84"/>
  <c r="R7" i="84"/>
  <c r="O4" i="84"/>
  <c r="O5" i="84"/>
  <c r="M5" i="84"/>
  <c r="M4" i="84"/>
  <c r="T7" i="82"/>
  <c r="R7" i="82"/>
  <c r="P7" i="82"/>
  <c r="S7" i="82"/>
  <c r="Q7" i="82"/>
  <c r="J5" i="82"/>
  <c r="J4" i="82"/>
  <c r="M4" i="82"/>
  <c r="M5" i="82"/>
  <c r="L5" i="82"/>
  <c r="L4" i="82"/>
  <c r="L9" i="82"/>
  <c r="L20" i="82" s="1"/>
  <c r="O8" i="82"/>
  <c r="O9" i="82" s="1"/>
  <c r="O20" i="82" s="1"/>
  <c r="K18" i="82"/>
  <c r="K17" i="82"/>
  <c r="K6" i="82" s="1"/>
  <c r="N5" i="82"/>
  <c r="N4" i="82"/>
  <c r="J5" i="81"/>
  <c r="J4" i="81"/>
  <c r="M4" i="81"/>
  <c r="M5" i="81"/>
  <c r="Q7" i="81"/>
  <c r="P7" i="81"/>
  <c r="R7" i="81"/>
  <c r="R8" i="81" s="1"/>
  <c r="S7" i="81"/>
  <c r="T7" i="81"/>
  <c r="T8" i="81" s="1"/>
  <c r="K5" i="81"/>
  <c r="K4" i="81"/>
  <c r="L4" i="81"/>
  <c r="L5" i="81"/>
  <c r="N4" i="81"/>
  <c r="N5" i="81"/>
  <c r="O4" i="81"/>
  <c r="O5" i="81"/>
  <c r="O9" i="25"/>
  <c r="O20" i="25" s="1"/>
  <c r="O4" i="25"/>
  <c r="O5" i="25"/>
  <c r="O29" i="25" s="1"/>
  <c r="O27" i="84" s="1"/>
  <c r="O8" i="49"/>
  <c r="O9" i="49" s="1"/>
  <c r="O20" i="49" s="1"/>
  <c r="O8" i="78"/>
  <c r="O9" i="78" s="1"/>
  <c r="O20" i="78" s="1"/>
  <c r="N18" i="33"/>
  <c r="N17" i="33"/>
  <c r="N6" i="33" s="1"/>
  <c r="J17" i="33"/>
  <c r="J6" i="33" s="1"/>
  <c r="J18" i="33"/>
  <c r="J5" i="25"/>
  <c r="J29" i="25" s="1"/>
  <c r="J27" i="84" s="1"/>
  <c r="J4" i="25"/>
  <c r="M5" i="80"/>
  <c r="M4" i="80"/>
  <c r="L4" i="25"/>
  <c r="L5" i="25"/>
  <c r="L29" i="25" s="1"/>
  <c r="L27" i="84" s="1"/>
  <c r="J4" i="57"/>
  <c r="J5" i="57"/>
  <c r="N5" i="61"/>
  <c r="N4" i="61"/>
  <c r="L4" i="45"/>
  <c r="L5" i="45"/>
  <c r="O8" i="41"/>
  <c r="O9" i="41" s="1"/>
  <c r="O20" i="41" s="1"/>
  <c r="O8" i="75"/>
  <c r="O9" i="75" s="1"/>
  <c r="O20" i="75" s="1"/>
  <c r="M5" i="41"/>
  <c r="M4" i="41"/>
  <c r="N5" i="49"/>
  <c r="N4" i="49"/>
  <c r="L17" i="77"/>
  <c r="L6" i="77" s="1"/>
  <c r="L18" i="77"/>
  <c r="J18" i="75"/>
  <c r="J17" i="75"/>
  <c r="J6" i="75" s="1"/>
  <c r="L4" i="27"/>
  <c r="L5" i="27"/>
  <c r="J17" i="45"/>
  <c r="J6" i="45" s="1"/>
  <c r="J18" i="45"/>
  <c r="L5" i="29"/>
  <c r="L4" i="29"/>
  <c r="K4" i="33"/>
  <c r="K5" i="33"/>
  <c r="N4" i="29"/>
  <c r="N5" i="29"/>
  <c r="L5" i="61"/>
  <c r="L4" i="61"/>
  <c r="K5" i="27"/>
  <c r="K4" i="27"/>
  <c r="K4" i="69"/>
  <c r="K5" i="69"/>
  <c r="N5" i="79"/>
  <c r="N4" i="79"/>
  <c r="M5" i="75"/>
  <c r="M4" i="75"/>
  <c r="O8" i="29"/>
  <c r="O9" i="29" s="1"/>
  <c r="O20" i="29" s="1"/>
  <c r="O8" i="57"/>
  <c r="O9" i="57" s="1"/>
  <c r="O20" i="57" s="1"/>
  <c r="J5" i="79"/>
  <c r="J4" i="79"/>
  <c r="K17" i="79"/>
  <c r="K6" i="79" s="1"/>
  <c r="K18" i="79"/>
  <c r="J4" i="69"/>
  <c r="J5" i="69"/>
  <c r="N4" i="78"/>
  <c r="N5" i="78"/>
  <c r="L4" i="75"/>
  <c r="L5" i="75"/>
  <c r="K17" i="41"/>
  <c r="K6" i="41" s="1"/>
  <c r="K18" i="41"/>
  <c r="L17" i="41"/>
  <c r="L6" i="41" s="1"/>
  <c r="L18" i="41"/>
  <c r="N5" i="80"/>
  <c r="N4" i="80"/>
  <c r="L4" i="78"/>
  <c r="L5" i="78"/>
  <c r="N17" i="41"/>
  <c r="N6" i="41" s="1"/>
  <c r="N18" i="41"/>
  <c r="K18" i="29"/>
  <c r="K17" i="29"/>
  <c r="K6" i="29" s="1"/>
  <c r="N5" i="25"/>
  <c r="N29" i="25" s="1"/>
  <c r="N27" i="84" s="1"/>
  <c r="N4" i="25"/>
  <c r="L5" i="80"/>
  <c r="L4" i="80"/>
  <c r="L5" i="79"/>
  <c r="L4" i="79"/>
  <c r="M4" i="57"/>
  <c r="M5" i="57"/>
  <c r="O8" i="37"/>
  <c r="O9" i="37" s="1"/>
  <c r="O20" i="37" s="1"/>
  <c r="O8" i="69"/>
  <c r="O9" i="69" s="1"/>
  <c r="O20" i="69" s="1"/>
  <c r="J5" i="80"/>
  <c r="J4" i="80"/>
  <c r="K4" i="57"/>
  <c r="K5" i="57"/>
  <c r="K5" i="75"/>
  <c r="K4" i="75"/>
  <c r="K5" i="49"/>
  <c r="K4" i="49"/>
  <c r="M18" i="33"/>
  <c r="M17" i="33"/>
  <c r="M6" i="33" s="1"/>
  <c r="M18" i="27"/>
  <c r="M17" i="27"/>
  <c r="M6" i="27" s="1"/>
  <c r="K5" i="45"/>
  <c r="K4" i="45"/>
  <c r="N5" i="45"/>
  <c r="N4" i="45"/>
  <c r="N17" i="37"/>
  <c r="N6" i="37" s="1"/>
  <c r="N18" i="37"/>
  <c r="K18" i="53"/>
  <c r="K17" i="53"/>
  <c r="K6" i="53" s="1"/>
  <c r="L5" i="53"/>
  <c r="L4" i="53"/>
  <c r="N5" i="57"/>
  <c r="N4" i="57"/>
  <c r="M18" i="37"/>
  <c r="M17" i="37"/>
  <c r="M6" i="37" s="1"/>
  <c r="K17" i="37"/>
  <c r="K6" i="37" s="1"/>
  <c r="K18" i="37"/>
  <c r="O8" i="27"/>
  <c r="O9" i="27" s="1"/>
  <c r="O20" i="27" s="1"/>
  <c r="O8" i="53"/>
  <c r="O9" i="53" s="1"/>
  <c r="O20" i="53" s="1"/>
  <c r="J18" i="77"/>
  <c r="J17" i="77"/>
  <c r="J6" i="77" s="1"/>
  <c r="J5" i="49"/>
  <c r="J4" i="49"/>
  <c r="M5" i="77"/>
  <c r="M4" i="77"/>
  <c r="K5" i="78"/>
  <c r="K4" i="78"/>
  <c r="K17" i="77"/>
  <c r="K6" i="77" s="1"/>
  <c r="K18" i="77"/>
  <c r="O9" i="77"/>
  <c r="O20" i="77" s="1"/>
  <c r="O4" i="77"/>
  <c r="O5" i="77"/>
  <c r="Q7" i="79"/>
  <c r="Q8" i="79" s="1"/>
  <c r="T7" i="79"/>
  <c r="T8" i="79" s="1"/>
  <c r="S7" i="78"/>
  <c r="S8" i="78" s="1"/>
  <c r="T7" i="80"/>
  <c r="T7" i="78"/>
  <c r="T8" i="78" s="1"/>
  <c r="Q7" i="80"/>
  <c r="R7" i="78"/>
  <c r="P7" i="78"/>
  <c r="R7" i="80"/>
  <c r="P7" i="80"/>
  <c r="Q7" i="78"/>
  <c r="P7" i="79"/>
  <c r="P8" i="79" s="1"/>
  <c r="S7" i="79"/>
  <c r="R7" i="79"/>
  <c r="R8" i="79" s="1"/>
  <c r="S7" i="80"/>
  <c r="R7" i="29"/>
  <c r="R8" i="29" s="1"/>
  <c r="S7" i="37"/>
  <c r="P7" i="45"/>
  <c r="S7" i="75"/>
  <c r="T7" i="33"/>
  <c r="Q7" i="33"/>
  <c r="Q7" i="75"/>
  <c r="S7" i="61"/>
  <c r="S8" i="61" s="1"/>
  <c r="T7" i="37"/>
  <c r="T8" i="37" s="1"/>
  <c r="P7" i="57"/>
  <c r="T7" i="41"/>
  <c r="Q7" i="41"/>
  <c r="Q7" i="45"/>
  <c r="Q7" i="27"/>
  <c r="Q8" i="27" s="1"/>
  <c r="R7" i="45"/>
  <c r="T7" i="49"/>
  <c r="P7" i="61"/>
  <c r="T7" i="27"/>
  <c r="T7" i="57"/>
  <c r="T8" i="57" s="1"/>
  <c r="S7" i="41"/>
  <c r="Q7" i="53"/>
  <c r="R7" i="37"/>
  <c r="R7" i="77"/>
  <c r="R7" i="69"/>
  <c r="S7" i="53"/>
  <c r="S8" i="53" s="1"/>
  <c r="Q7" i="57"/>
  <c r="Q8" i="57" s="1"/>
  <c r="R7" i="27"/>
  <c r="Q7" i="61"/>
  <c r="Q8" i="61" s="1"/>
  <c r="T7" i="61"/>
  <c r="P7" i="37"/>
  <c r="P7" i="29"/>
  <c r="S7" i="33"/>
  <c r="R7" i="41"/>
  <c r="R8" i="41" s="1"/>
  <c r="S7" i="57"/>
  <c r="P7" i="27"/>
  <c r="P8" i="27" s="1"/>
  <c r="T7" i="53"/>
  <c r="S7" i="77"/>
  <c r="R7" i="49"/>
  <c r="P7" i="75"/>
  <c r="Q7" i="49"/>
  <c r="P7" i="41"/>
  <c r="R7" i="53"/>
  <c r="R8" i="53" s="1"/>
  <c r="R7" i="75"/>
  <c r="P7" i="33"/>
  <c r="P8" i="33" s="1"/>
  <c r="S7" i="29"/>
  <c r="S8" i="29" s="1"/>
  <c r="R7" i="61"/>
  <c r="R8" i="61" s="1"/>
  <c r="Q7" i="37"/>
  <c r="Q8" i="37" s="1"/>
  <c r="P7" i="53"/>
  <c r="S7" i="45"/>
  <c r="S8" i="45" s="1"/>
  <c r="T7" i="75"/>
  <c r="T8" i="75" s="1"/>
  <c r="Q7" i="77"/>
  <c r="S7" i="27"/>
  <c r="S8" i="27" s="1"/>
  <c r="Q7" i="69"/>
  <c r="R7" i="33"/>
  <c r="R8" i="33" s="1"/>
  <c r="T7" i="29"/>
  <c r="P7" i="49"/>
  <c r="S7" i="49"/>
  <c r="T7" i="45"/>
  <c r="T8" i="45" s="1"/>
  <c r="Q7" i="29"/>
  <c r="P7" i="77"/>
  <c r="P8" i="77" s="1"/>
  <c r="R7" i="57"/>
  <c r="T7" i="69"/>
  <c r="P7" i="69"/>
  <c r="P8" i="69" s="1"/>
  <c r="S7" i="69"/>
  <c r="S8" i="69" s="1"/>
  <c r="T7" i="77"/>
  <c r="T7" i="25"/>
  <c r="T8" i="25" s="1"/>
  <c r="S7" i="25"/>
  <c r="P7" i="25"/>
  <c r="P8" i="25" s="1"/>
  <c r="R7" i="25"/>
  <c r="R8" i="25" s="1"/>
  <c r="Q7" i="25"/>
  <c r="Q8" i="25" s="1"/>
  <c r="M17" i="29"/>
  <c r="M6" i="29" s="1"/>
  <c r="M18" i="29"/>
  <c r="J5" i="37"/>
  <c r="J4" i="37"/>
  <c r="M4" i="78"/>
  <c r="M5" i="78"/>
  <c r="N18" i="77"/>
  <c r="N17" i="77"/>
  <c r="N6" i="77" s="1"/>
  <c r="N17" i="27"/>
  <c r="N6" i="27" s="1"/>
  <c r="N18" i="27"/>
  <c r="K4" i="25"/>
  <c r="K5" i="25"/>
  <c r="K29" i="25" s="1"/>
  <c r="K27" i="84" s="1"/>
  <c r="L18" i="33"/>
  <c r="L17" i="33"/>
  <c r="L6" i="33" s="1"/>
  <c r="L4" i="37"/>
  <c r="L5" i="37"/>
  <c r="N5" i="75"/>
  <c r="N4" i="75"/>
  <c r="M5" i="69"/>
  <c r="M4" i="69"/>
  <c r="O8" i="33"/>
  <c r="O9" i="33" s="1"/>
  <c r="O20" i="33" s="1"/>
  <c r="O8" i="80"/>
  <c r="O9" i="80" s="1"/>
  <c r="O20" i="80" s="1"/>
  <c r="K5" i="80"/>
  <c r="K4" i="80"/>
  <c r="M5" i="45"/>
  <c r="M4" i="45"/>
  <c r="M17" i="79"/>
  <c r="M6" i="79" s="1"/>
  <c r="M18" i="79"/>
  <c r="J5" i="78"/>
  <c r="J4" i="78"/>
  <c r="J5" i="27"/>
  <c r="J4" i="27"/>
  <c r="O8" i="61"/>
  <c r="O9" i="61" s="1"/>
  <c r="O20" i="61" s="1"/>
  <c r="M9" i="41"/>
  <c r="M20" i="41" s="1"/>
  <c r="L4" i="57"/>
  <c r="L5" i="57"/>
  <c r="J5" i="61"/>
  <c r="J4" i="61"/>
  <c r="J9" i="80"/>
  <c r="J20" i="80" s="1"/>
  <c r="N9" i="49"/>
  <c r="N20" i="49" s="1"/>
  <c r="J17" i="41"/>
  <c r="J6" i="41" s="1"/>
  <c r="J18" i="41"/>
  <c r="M4" i="53"/>
  <c r="M5" i="53"/>
  <c r="N4" i="69"/>
  <c r="N5" i="69"/>
  <c r="J4" i="53"/>
  <c r="J5" i="53"/>
  <c r="M5" i="61"/>
  <c r="M4" i="61"/>
  <c r="J18" i="29"/>
  <c r="J17" i="29"/>
  <c r="J6" i="29" s="1"/>
  <c r="K5" i="61"/>
  <c r="K4" i="61"/>
  <c r="J9" i="69"/>
  <c r="J20" i="69" s="1"/>
  <c r="M17" i="25"/>
  <c r="M18" i="25"/>
  <c r="M30" i="25" s="1"/>
  <c r="K9" i="57"/>
  <c r="K20" i="57" s="1"/>
  <c r="L18" i="69"/>
  <c r="L17" i="69"/>
  <c r="L6" i="69" s="1"/>
  <c r="N5" i="53"/>
  <c r="N4" i="53"/>
  <c r="M5" i="49"/>
  <c r="M4" i="49"/>
  <c r="O8" i="45"/>
  <c r="O9" i="45" s="1"/>
  <c r="O20" i="45" s="1"/>
  <c r="O8" i="79"/>
  <c r="O9" i="79" s="1"/>
  <c r="O20" i="79" s="1"/>
  <c r="L4" i="49"/>
  <c r="L5" i="49"/>
  <c r="M17" i="18"/>
  <c r="M6" i="18" s="1"/>
  <c r="M18" i="18"/>
  <c r="J17" i="18"/>
  <c r="J6" i="18" s="1"/>
  <c r="J18" i="18"/>
  <c r="N17" i="18"/>
  <c r="N6" i="18" s="1"/>
  <c r="N18" i="18"/>
  <c r="O8" i="19"/>
  <c r="O9" i="19" s="1"/>
  <c r="O20" i="19" s="1"/>
  <c r="M4" i="19"/>
  <c r="M5" i="19"/>
  <c r="N4" i="19"/>
  <c r="N5" i="19"/>
  <c r="L5" i="18"/>
  <c r="L4" i="18"/>
  <c r="K4" i="18"/>
  <c r="K5" i="18"/>
  <c r="L4" i="19"/>
  <c r="L5" i="19"/>
  <c r="J4" i="19"/>
  <c r="J5" i="19"/>
  <c r="K5" i="19"/>
  <c r="K4" i="19"/>
  <c r="O8" i="18"/>
  <c r="O9" i="18" s="1"/>
  <c r="O20" i="18" s="1"/>
  <c r="S7" i="19"/>
  <c r="R7" i="19"/>
  <c r="P7" i="19"/>
  <c r="Q7" i="19"/>
  <c r="T7" i="19"/>
  <c r="S7" i="18"/>
  <c r="R7" i="18"/>
  <c r="R8" i="18" s="1"/>
  <c r="T7" i="18"/>
  <c r="P7" i="18"/>
  <c r="Q7" i="18"/>
  <c r="Q8" i="18" s="1"/>
  <c r="M9" i="19"/>
  <c r="M20" i="19" s="1"/>
  <c r="H31" i="6"/>
  <c r="M18" i="84" l="1"/>
  <c r="M17" i="84"/>
  <c r="M6" i="84" s="1"/>
  <c r="O18" i="84"/>
  <c r="O17" i="84"/>
  <c r="O6" i="84" s="1"/>
  <c r="J17" i="84"/>
  <c r="J6" i="84" s="1"/>
  <c r="J18" i="84"/>
  <c r="R8" i="84"/>
  <c r="R9" i="84"/>
  <c r="R20" i="84" s="1"/>
  <c r="P8" i="84"/>
  <c r="P9" i="84"/>
  <c r="P20" i="84" s="1"/>
  <c r="Q8" i="84"/>
  <c r="Q9" i="84"/>
  <c r="Q20" i="84" s="1"/>
  <c r="N18" i="84"/>
  <c r="N17" i="84"/>
  <c r="N6" i="84" s="1"/>
  <c r="T8" i="84"/>
  <c r="T9" i="84"/>
  <c r="T20" i="84" s="1"/>
  <c r="L17" i="84"/>
  <c r="L6" i="84" s="1"/>
  <c r="L18" i="84"/>
  <c r="S8" i="84"/>
  <c r="S9" i="84"/>
  <c r="S20" i="84" s="1"/>
  <c r="N49" i="84"/>
  <c r="N50" i="84"/>
  <c r="M28" i="79"/>
  <c r="M31" i="25"/>
  <c r="M27" i="78" s="1"/>
  <c r="M28" i="25"/>
  <c r="S8" i="82"/>
  <c r="S9" i="82" s="1"/>
  <c r="S20" i="82" s="1"/>
  <c r="P8" i="82"/>
  <c r="P9" i="82" s="1"/>
  <c r="P20" i="82" s="1"/>
  <c r="L18" i="82"/>
  <c r="L17" i="82"/>
  <c r="L6" i="82" s="1"/>
  <c r="J18" i="82"/>
  <c r="J17" i="82"/>
  <c r="J6" i="82" s="1"/>
  <c r="R8" i="82"/>
  <c r="R9" i="82" s="1"/>
  <c r="R20" i="82" s="1"/>
  <c r="N17" i="82"/>
  <c r="N6" i="82" s="1"/>
  <c r="N18" i="82"/>
  <c r="O4" i="82"/>
  <c r="O5" i="82"/>
  <c r="M18" i="82"/>
  <c r="M17" i="82"/>
  <c r="M6" i="82" s="1"/>
  <c r="Q8" i="82"/>
  <c r="Q9" i="82" s="1"/>
  <c r="Q20" i="82" s="1"/>
  <c r="T8" i="82"/>
  <c r="R9" i="81"/>
  <c r="R20" i="81" s="1"/>
  <c r="R4" i="81"/>
  <c r="R5" i="81"/>
  <c r="P8" i="81"/>
  <c r="P9" i="81" s="1"/>
  <c r="P20" i="81" s="1"/>
  <c r="L18" i="81"/>
  <c r="L17" i="81"/>
  <c r="L6" i="81" s="1"/>
  <c r="Q8" i="81"/>
  <c r="Q9" i="81" s="1"/>
  <c r="Q20" i="81" s="1"/>
  <c r="M18" i="81"/>
  <c r="M17" i="81"/>
  <c r="M6" i="81" s="1"/>
  <c r="S8" i="81"/>
  <c r="S9" i="81" s="1"/>
  <c r="S20" i="81" s="1"/>
  <c r="O17" i="81"/>
  <c r="O6" i="81" s="1"/>
  <c r="O18" i="81"/>
  <c r="K18" i="81"/>
  <c r="K17" i="81"/>
  <c r="K6" i="81" s="1"/>
  <c r="M6" i="25"/>
  <c r="N17" i="81"/>
  <c r="N6" i="81" s="1"/>
  <c r="N18" i="81"/>
  <c r="T9" i="81"/>
  <c r="T20" i="81" s="1"/>
  <c r="T4" i="81"/>
  <c r="T5" i="81"/>
  <c r="J18" i="81"/>
  <c r="J17" i="81"/>
  <c r="J6" i="81" s="1"/>
  <c r="R8" i="49"/>
  <c r="R9" i="49" s="1"/>
  <c r="R20" i="49" s="1"/>
  <c r="J19" i="45"/>
  <c r="N17" i="69"/>
  <c r="N6" i="69" s="1"/>
  <c r="N18" i="69"/>
  <c r="J17" i="27"/>
  <c r="J6" i="27" s="1"/>
  <c r="J18" i="27"/>
  <c r="K18" i="80"/>
  <c r="K17" i="80"/>
  <c r="K6" i="80" s="1"/>
  <c r="N17" i="75"/>
  <c r="N6" i="75" s="1"/>
  <c r="N18" i="75"/>
  <c r="P9" i="69"/>
  <c r="P20" i="69" s="1"/>
  <c r="P4" i="69"/>
  <c r="P5" i="69"/>
  <c r="T8" i="29"/>
  <c r="Q9" i="37"/>
  <c r="Q20" i="37" s="1"/>
  <c r="Q4" i="37"/>
  <c r="Q5" i="37"/>
  <c r="P8" i="75"/>
  <c r="P9" i="75" s="1"/>
  <c r="P20" i="75" s="1"/>
  <c r="P8" i="29"/>
  <c r="P9" i="29" s="1"/>
  <c r="P20" i="29" s="1"/>
  <c r="R8" i="77"/>
  <c r="R9" i="77" s="1"/>
  <c r="R20" i="77" s="1"/>
  <c r="R8" i="45"/>
  <c r="R9" i="45" s="1"/>
  <c r="R20" i="45" s="1"/>
  <c r="Q8" i="75"/>
  <c r="Q9" i="75" s="1"/>
  <c r="Q20" i="75" s="1"/>
  <c r="R9" i="79"/>
  <c r="R20" i="79" s="1"/>
  <c r="R5" i="79"/>
  <c r="R4" i="79"/>
  <c r="Q8" i="80"/>
  <c r="Q9" i="80" s="1"/>
  <c r="Q20" i="80" s="1"/>
  <c r="J17" i="49"/>
  <c r="J6" i="49" s="1"/>
  <c r="J18" i="49"/>
  <c r="O4" i="29"/>
  <c r="O5" i="29"/>
  <c r="K18" i="27"/>
  <c r="K17" i="27"/>
  <c r="K6" i="27" s="1"/>
  <c r="L18" i="29"/>
  <c r="M19" i="29" s="1"/>
  <c r="L17" i="29"/>
  <c r="L6" i="29" s="1"/>
  <c r="O5" i="41"/>
  <c r="O4" i="41"/>
  <c r="Q9" i="27"/>
  <c r="Q20" i="27" s="1"/>
  <c r="Q4" i="27"/>
  <c r="Q5" i="27"/>
  <c r="M17" i="53"/>
  <c r="M6" i="53" s="1"/>
  <c r="M18" i="53"/>
  <c r="L18" i="57"/>
  <c r="L17" i="57"/>
  <c r="L6" i="57" s="1"/>
  <c r="J17" i="78"/>
  <c r="J18" i="78"/>
  <c r="O5" i="80"/>
  <c r="O4" i="80"/>
  <c r="R9" i="25"/>
  <c r="R20" i="25" s="1"/>
  <c r="R4" i="25"/>
  <c r="R5" i="25"/>
  <c r="R29" i="25" s="1"/>
  <c r="R27" i="84" s="1"/>
  <c r="R8" i="57"/>
  <c r="R9" i="57" s="1"/>
  <c r="R20" i="57" s="1"/>
  <c r="Q8" i="69"/>
  <c r="Q9" i="69" s="1"/>
  <c r="Q20" i="69" s="1"/>
  <c r="S9" i="29"/>
  <c r="S20" i="29" s="1"/>
  <c r="S5" i="29"/>
  <c r="S4" i="29"/>
  <c r="S8" i="77"/>
  <c r="S9" i="77" s="1"/>
  <c r="S20" i="77" s="1"/>
  <c r="T8" i="61"/>
  <c r="T9" i="61" s="1"/>
  <c r="T20" i="61" s="1"/>
  <c r="Q8" i="53"/>
  <c r="Q9" i="53" s="1"/>
  <c r="Q20" i="53" s="1"/>
  <c r="Q8" i="45"/>
  <c r="Q9" i="45" s="1"/>
  <c r="Q20" i="45" s="1"/>
  <c r="T8" i="33"/>
  <c r="T9" i="33" s="1"/>
  <c r="T20" i="33" s="1"/>
  <c r="P9" i="79"/>
  <c r="P20" i="79" s="1"/>
  <c r="P4" i="79"/>
  <c r="P5" i="79"/>
  <c r="T8" i="80"/>
  <c r="T9" i="80" s="1"/>
  <c r="T20" i="80" s="1"/>
  <c r="K19" i="77"/>
  <c r="J19" i="77"/>
  <c r="L19" i="77"/>
  <c r="J17" i="80"/>
  <c r="J6" i="80" s="1"/>
  <c r="J18" i="80"/>
  <c r="L18" i="79"/>
  <c r="L17" i="79"/>
  <c r="L6" i="79" s="1"/>
  <c r="M17" i="75"/>
  <c r="M6" i="75" s="1"/>
  <c r="M18" i="75"/>
  <c r="L18" i="61"/>
  <c r="L17" i="61"/>
  <c r="L6" i="61" s="1"/>
  <c r="N18" i="49"/>
  <c r="N17" i="49"/>
  <c r="N6" i="49" s="1"/>
  <c r="M17" i="80"/>
  <c r="M6" i="80" s="1"/>
  <c r="M18" i="80"/>
  <c r="O5" i="78"/>
  <c r="O4" i="78"/>
  <c r="Q9" i="25"/>
  <c r="Q20" i="25" s="1"/>
  <c r="Q5" i="25"/>
  <c r="Q29" i="25" s="1"/>
  <c r="Q27" i="84" s="1"/>
  <c r="Q4" i="25"/>
  <c r="R8" i="37"/>
  <c r="R9" i="37" s="1"/>
  <c r="R20" i="37" s="1"/>
  <c r="S8" i="79"/>
  <c r="S9" i="79" s="1"/>
  <c r="S20" i="79" s="1"/>
  <c r="O5" i="45"/>
  <c r="O4" i="45"/>
  <c r="M27" i="79"/>
  <c r="J19" i="29"/>
  <c r="K19" i="29"/>
  <c r="M17" i="78"/>
  <c r="M18" i="78"/>
  <c r="P9" i="25"/>
  <c r="P20" i="25" s="1"/>
  <c r="P4" i="25"/>
  <c r="P5" i="25"/>
  <c r="P29" i="25" s="1"/>
  <c r="P27" i="84" s="1"/>
  <c r="P9" i="77"/>
  <c r="P20" i="77" s="1"/>
  <c r="P4" i="77"/>
  <c r="P5" i="77"/>
  <c r="S9" i="27"/>
  <c r="S20" i="27" s="1"/>
  <c r="S5" i="27"/>
  <c r="S4" i="27"/>
  <c r="P9" i="33"/>
  <c r="P20" i="33" s="1"/>
  <c r="P5" i="33"/>
  <c r="P4" i="33"/>
  <c r="T8" i="53"/>
  <c r="T9" i="53" s="1"/>
  <c r="T20" i="53" s="1"/>
  <c r="Q9" i="61"/>
  <c r="Q20" i="61" s="1"/>
  <c r="Q4" i="61"/>
  <c r="Q5" i="61"/>
  <c r="S8" i="41"/>
  <c r="S9" i="41" s="1"/>
  <c r="S20" i="41" s="1"/>
  <c r="Q8" i="41"/>
  <c r="Q9" i="41" s="1"/>
  <c r="Q20" i="41" s="1"/>
  <c r="S8" i="75"/>
  <c r="S9" i="75" s="1"/>
  <c r="S20" i="75" s="1"/>
  <c r="Q8" i="78"/>
  <c r="Q9" i="78" s="1"/>
  <c r="Q20" i="78" s="1"/>
  <c r="S9" i="78"/>
  <c r="S20" i="78" s="1"/>
  <c r="S4" i="78"/>
  <c r="S5" i="78"/>
  <c r="L18" i="78"/>
  <c r="L17" i="78"/>
  <c r="L17" i="75"/>
  <c r="L6" i="75" s="1"/>
  <c r="L18" i="75"/>
  <c r="N18" i="29"/>
  <c r="N17" i="29"/>
  <c r="N6" i="29" s="1"/>
  <c r="L18" i="27"/>
  <c r="L17" i="27"/>
  <c r="L6" i="27" s="1"/>
  <c r="O5" i="79"/>
  <c r="O4" i="79"/>
  <c r="R9" i="61"/>
  <c r="R20" i="61" s="1"/>
  <c r="R4" i="61"/>
  <c r="R5" i="61"/>
  <c r="L17" i="45"/>
  <c r="L6" i="45" s="1"/>
  <c r="L18" i="45"/>
  <c r="J19" i="41"/>
  <c r="L19" i="41"/>
  <c r="K19" i="41"/>
  <c r="O5" i="33"/>
  <c r="O4" i="33"/>
  <c r="S8" i="25"/>
  <c r="S9" i="25" s="1"/>
  <c r="S20" i="25" s="1"/>
  <c r="Q8" i="29"/>
  <c r="Q9" i="29" s="1"/>
  <c r="Q20" i="29" s="1"/>
  <c r="Q8" i="77"/>
  <c r="Q9" i="77" s="1"/>
  <c r="Q20" i="77" s="1"/>
  <c r="R8" i="75"/>
  <c r="P9" i="27"/>
  <c r="P20" i="27" s="1"/>
  <c r="P4" i="27"/>
  <c r="P5" i="27"/>
  <c r="R8" i="27"/>
  <c r="R9" i="27" s="1"/>
  <c r="R20" i="27" s="1"/>
  <c r="T9" i="57"/>
  <c r="T20" i="57" s="1"/>
  <c r="T5" i="57"/>
  <c r="T4" i="57"/>
  <c r="T8" i="41"/>
  <c r="T9" i="41" s="1"/>
  <c r="T20" i="41" s="1"/>
  <c r="P8" i="45"/>
  <c r="P9" i="45" s="1"/>
  <c r="P20" i="45" s="1"/>
  <c r="P8" i="80"/>
  <c r="P9" i="80" s="1"/>
  <c r="P20" i="80" s="1"/>
  <c r="T9" i="79"/>
  <c r="T20" i="79" s="1"/>
  <c r="T5" i="79"/>
  <c r="T4" i="79"/>
  <c r="K18" i="78"/>
  <c r="K17" i="78"/>
  <c r="O4" i="53"/>
  <c r="O5" i="53"/>
  <c r="N18" i="57"/>
  <c r="N17" i="57"/>
  <c r="N6" i="57" s="1"/>
  <c r="N18" i="45"/>
  <c r="N17" i="45"/>
  <c r="N6" i="45" s="1"/>
  <c r="K17" i="49"/>
  <c r="K6" i="49" s="1"/>
  <c r="K18" i="49"/>
  <c r="O5" i="69"/>
  <c r="O4" i="69"/>
  <c r="L17" i="80"/>
  <c r="L6" i="80" s="1"/>
  <c r="L18" i="80"/>
  <c r="J18" i="79"/>
  <c r="J17" i="79"/>
  <c r="J6" i="79" s="1"/>
  <c r="N17" i="79"/>
  <c r="N6" i="79" s="1"/>
  <c r="N18" i="79"/>
  <c r="M18" i="41"/>
  <c r="M17" i="41"/>
  <c r="M6" i="41" s="1"/>
  <c r="N18" i="61"/>
  <c r="N17" i="61"/>
  <c r="N6" i="61" s="1"/>
  <c r="J18" i="25"/>
  <c r="J30" i="25" s="1"/>
  <c r="J17" i="25"/>
  <c r="O5" i="49"/>
  <c r="O4" i="49"/>
  <c r="K17" i="61"/>
  <c r="K6" i="61" s="1"/>
  <c r="K18" i="61"/>
  <c r="T8" i="69"/>
  <c r="T9" i="69" s="1"/>
  <c r="T20" i="69" s="1"/>
  <c r="T9" i="78"/>
  <c r="T20" i="78" s="1"/>
  <c r="T5" i="78"/>
  <c r="T4" i="78"/>
  <c r="M17" i="49"/>
  <c r="M6" i="49" s="1"/>
  <c r="M18" i="49"/>
  <c r="M17" i="61"/>
  <c r="M6" i="61" s="1"/>
  <c r="M18" i="61"/>
  <c r="K18" i="25"/>
  <c r="K30" i="25" s="1"/>
  <c r="K17" i="25"/>
  <c r="T9" i="25"/>
  <c r="T20" i="25" s="1"/>
  <c r="T5" i="25"/>
  <c r="T29" i="25" s="1"/>
  <c r="T27" i="84" s="1"/>
  <c r="T4" i="25"/>
  <c r="T9" i="45"/>
  <c r="T20" i="45" s="1"/>
  <c r="T4" i="45"/>
  <c r="T5" i="45"/>
  <c r="T9" i="75"/>
  <c r="T20" i="75" s="1"/>
  <c r="T5" i="75"/>
  <c r="T4" i="75"/>
  <c r="R9" i="53"/>
  <c r="R20" i="53" s="1"/>
  <c r="R5" i="53"/>
  <c r="R4" i="53"/>
  <c r="S8" i="57"/>
  <c r="S9" i="57" s="1"/>
  <c r="S20" i="57" s="1"/>
  <c r="Q9" i="57"/>
  <c r="Q20" i="57" s="1"/>
  <c r="Q4" i="57"/>
  <c r="Q5" i="57"/>
  <c r="T8" i="27"/>
  <c r="T9" i="27" s="1"/>
  <c r="T20" i="27" s="1"/>
  <c r="P8" i="57"/>
  <c r="P9" i="57" s="1"/>
  <c r="P20" i="57" s="1"/>
  <c r="S8" i="37"/>
  <c r="R8" i="80"/>
  <c r="R9" i="80" s="1"/>
  <c r="R20" i="80" s="1"/>
  <c r="Q9" i="79"/>
  <c r="Q20" i="79" s="1"/>
  <c r="Q5" i="79"/>
  <c r="Q4" i="79"/>
  <c r="N17" i="78"/>
  <c r="N18" i="78"/>
  <c r="K18" i="69"/>
  <c r="K17" i="69"/>
  <c r="K6" i="69" s="1"/>
  <c r="K18" i="33"/>
  <c r="K19" i="33" s="1"/>
  <c r="K17" i="33"/>
  <c r="K6" i="33" s="1"/>
  <c r="J18" i="57"/>
  <c r="J17" i="57"/>
  <c r="J6" i="57" s="1"/>
  <c r="J19" i="33"/>
  <c r="O18" i="25"/>
  <c r="O30" i="25" s="1"/>
  <c r="O17" i="25"/>
  <c r="O6" i="25" s="1"/>
  <c r="R9" i="33"/>
  <c r="R20" i="33" s="1"/>
  <c r="R4" i="33"/>
  <c r="R5" i="33"/>
  <c r="Q8" i="33"/>
  <c r="Q9" i="33" s="1"/>
  <c r="Q20" i="33" s="1"/>
  <c r="L17" i="49"/>
  <c r="L6" i="49" s="1"/>
  <c r="L18" i="49"/>
  <c r="J18" i="53"/>
  <c r="J17" i="53"/>
  <c r="J6" i="53" s="1"/>
  <c r="O4" i="61"/>
  <c r="O5" i="61"/>
  <c r="M17" i="45"/>
  <c r="M6" i="45" s="1"/>
  <c r="M18" i="45"/>
  <c r="M17" i="69"/>
  <c r="M6" i="69" s="1"/>
  <c r="M18" i="69"/>
  <c r="J17" i="37"/>
  <c r="J6" i="37" s="1"/>
  <c r="J18" i="37"/>
  <c r="T8" i="77"/>
  <c r="T9" i="77" s="1"/>
  <c r="T20" i="77" s="1"/>
  <c r="S8" i="49"/>
  <c r="S9" i="49" s="1"/>
  <c r="S20" i="49" s="1"/>
  <c r="S9" i="45"/>
  <c r="S20" i="45" s="1"/>
  <c r="S5" i="45"/>
  <c r="S4" i="45"/>
  <c r="P8" i="41"/>
  <c r="P9" i="41" s="1"/>
  <c r="P20" i="41" s="1"/>
  <c r="R9" i="41"/>
  <c r="R20" i="41" s="1"/>
  <c r="R5" i="41"/>
  <c r="R4" i="41"/>
  <c r="S9" i="53"/>
  <c r="S20" i="53" s="1"/>
  <c r="S5" i="53"/>
  <c r="S4" i="53"/>
  <c r="P8" i="61"/>
  <c r="P9" i="61" s="1"/>
  <c r="P20" i="61" s="1"/>
  <c r="T9" i="37"/>
  <c r="T20" i="37" s="1"/>
  <c r="T4" i="37"/>
  <c r="T5" i="37"/>
  <c r="R9" i="29"/>
  <c r="R20" i="29" s="1"/>
  <c r="R4" i="29"/>
  <c r="R5" i="29"/>
  <c r="P8" i="78"/>
  <c r="P9" i="78" s="1"/>
  <c r="P20" i="78" s="1"/>
  <c r="O18" i="77"/>
  <c r="O17" i="77"/>
  <c r="O6" i="77" s="1"/>
  <c r="M18" i="77"/>
  <c r="M17" i="77"/>
  <c r="M6" i="77" s="1"/>
  <c r="O5" i="27"/>
  <c r="O4" i="27"/>
  <c r="L18" i="53"/>
  <c r="L17" i="53"/>
  <c r="L6" i="53" s="1"/>
  <c r="K18" i="45"/>
  <c r="K19" i="45" s="1"/>
  <c r="K17" i="45"/>
  <c r="K6" i="45" s="1"/>
  <c r="K18" i="75"/>
  <c r="K19" i="75" s="1"/>
  <c r="K17" i="75"/>
  <c r="K6" i="75" s="1"/>
  <c r="O5" i="37"/>
  <c r="O4" i="37"/>
  <c r="N18" i="25"/>
  <c r="N30" i="25" s="1"/>
  <c r="N17" i="25"/>
  <c r="N6" i="25" s="1"/>
  <c r="N18" i="80"/>
  <c r="N17" i="80"/>
  <c r="N6" i="80" s="1"/>
  <c r="O5" i="57"/>
  <c r="O4" i="57"/>
  <c r="J19" i="75"/>
  <c r="O5" i="75"/>
  <c r="O4" i="75"/>
  <c r="J17" i="61"/>
  <c r="J6" i="61" s="1"/>
  <c r="J18" i="61"/>
  <c r="L18" i="37"/>
  <c r="L17" i="37"/>
  <c r="L6" i="37" s="1"/>
  <c r="P8" i="37"/>
  <c r="P9" i="37" s="1"/>
  <c r="P20" i="37" s="1"/>
  <c r="N17" i="53"/>
  <c r="N6" i="53" s="1"/>
  <c r="N18" i="53"/>
  <c r="S9" i="69"/>
  <c r="S20" i="69" s="1"/>
  <c r="S5" i="69"/>
  <c r="S4" i="69"/>
  <c r="P8" i="49"/>
  <c r="P9" i="49" s="1"/>
  <c r="P20" i="49" s="1"/>
  <c r="P8" i="53"/>
  <c r="P9" i="53" s="1"/>
  <c r="P20" i="53" s="1"/>
  <c r="Q8" i="49"/>
  <c r="Q9" i="49" s="1"/>
  <c r="Q20" i="49" s="1"/>
  <c r="S8" i="33"/>
  <c r="S9" i="33" s="1"/>
  <c r="S20" i="33" s="1"/>
  <c r="R8" i="69"/>
  <c r="R9" i="69" s="1"/>
  <c r="R20" i="69" s="1"/>
  <c r="T8" i="49"/>
  <c r="T9" i="49" s="1"/>
  <c r="T20" i="49" s="1"/>
  <c r="S9" i="61"/>
  <c r="S20" i="61" s="1"/>
  <c r="S5" i="61"/>
  <c r="S4" i="61"/>
  <c r="S8" i="80"/>
  <c r="S9" i="80" s="1"/>
  <c r="S20" i="80" s="1"/>
  <c r="R8" i="78"/>
  <c r="R9" i="78" s="1"/>
  <c r="R20" i="78" s="1"/>
  <c r="K18" i="57"/>
  <c r="K17" i="57"/>
  <c r="K6" i="57" s="1"/>
  <c r="M17" i="57"/>
  <c r="M6" i="57" s="1"/>
  <c r="M18" i="57"/>
  <c r="J17" i="69"/>
  <c r="J6" i="69" s="1"/>
  <c r="J18" i="69"/>
  <c r="L17" i="25"/>
  <c r="L18" i="25"/>
  <c r="L30" i="25" s="1"/>
  <c r="J19" i="18"/>
  <c r="L17" i="18"/>
  <c r="L6" i="18" s="1"/>
  <c r="L18" i="18"/>
  <c r="L17" i="19"/>
  <c r="L6" i="19" s="1"/>
  <c r="L18" i="19"/>
  <c r="N17" i="19"/>
  <c r="N6" i="19" s="1"/>
  <c r="N18" i="19"/>
  <c r="K17" i="18"/>
  <c r="K6" i="18" s="1"/>
  <c r="K18" i="18"/>
  <c r="M18" i="19"/>
  <c r="M17" i="19"/>
  <c r="M6" i="19" s="1"/>
  <c r="K17" i="19"/>
  <c r="K6" i="19" s="1"/>
  <c r="K18" i="19"/>
  <c r="J17" i="19"/>
  <c r="J6" i="19" s="1"/>
  <c r="J18" i="19"/>
  <c r="Q9" i="18"/>
  <c r="Q20" i="18" s="1"/>
  <c r="Q5" i="18"/>
  <c r="Q4" i="18"/>
  <c r="T8" i="19"/>
  <c r="T9" i="19" s="1"/>
  <c r="T20" i="19" s="1"/>
  <c r="O4" i="18"/>
  <c r="O5" i="18"/>
  <c r="P8" i="18"/>
  <c r="Q8" i="19"/>
  <c r="Q9" i="19" s="1"/>
  <c r="Q20" i="19" s="1"/>
  <c r="T8" i="18"/>
  <c r="T9" i="18" s="1"/>
  <c r="T20" i="18" s="1"/>
  <c r="P8" i="19"/>
  <c r="P9" i="19" s="1"/>
  <c r="P20" i="19" s="1"/>
  <c r="R9" i="18"/>
  <c r="R20" i="18" s="1"/>
  <c r="R5" i="18"/>
  <c r="R4" i="18"/>
  <c r="R8" i="19"/>
  <c r="R9" i="19" s="1"/>
  <c r="R20" i="19" s="1"/>
  <c r="S8" i="18"/>
  <c r="S9" i="18" s="1"/>
  <c r="S20" i="18" s="1"/>
  <c r="S8" i="19"/>
  <c r="S9" i="19" s="1"/>
  <c r="S20" i="19" s="1"/>
  <c r="O5" i="19"/>
  <c r="O4" i="19"/>
  <c r="M173" i="78" l="1"/>
  <c r="M173" i="79" s="1"/>
  <c r="M176" i="78"/>
  <c r="M176" i="79" s="1"/>
  <c r="M174" i="78"/>
  <c r="M174" i="79" s="1"/>
  <c r="M175" i="78"/>
  <c r="M175" i="79" s="1"/>
  <c r="M171" i="78"/>
  <c r="M171" i="79" s="1"/>
  <c r="M162" i="78"/>
  <c r="M162" i="79" s="1"/>
  <c r="M169" i="78"/>
  <c r="M169" i="79" s="1"/>
  <c r="M168" i="78"/>
  <c r="M168" i="79" s="1"/>
  <c r="M170" i="78"/>
  <c r="M170" i="79" s="1"/>
  <c r="M172" i="78"/>
  <c r="M172" i="79" s="1"/>
  <c r="M163" i="78"/>
  <c r="M163" i="79" s="1"/>
  <c r="M161" i="78"/>
  <c r="M166" i="78"/>
  <c r="M166" i="79" s="1"/>
  <c r="M164" i="78"/>
  <c r="M164" i="79" s="1"/>
  <c r="M167" i="78"/>
  <c r="M167" i="79" s="1"/>
  <c r="M165" i="78"/>
  <c r="M165" i="79" s="1"/>
  <c r="T5" i="84"/>
  <c r="T4" i="84"/>
  <c r="R4" i="84"/>
  <c r="R5" i="84"/>
  <c r="J19" i="84"/>
  <c r="L19" i="84"/>
  <c r="O19" i="84"/>
  <c r="M19" i="84"/>
  <c r="N19" i="84"/>
  <c r="K19" i="84"/>
  <c r="S5" i="84"/>
  <c r="S4" i="84"/>
  <c r="Q5" i="84"/>
  <c r="Q4" i="84"/>
  <c r="P4" i="84"/>
  <c r="P5" i="84"/>
  <c r="O31" i="25"/>
  <c r="O27" i="78" s="1"/>
  <c r="L28" i="25"/>
  <c r="O28" i="25"/>
  <c r="L28" i="79"/>
  <c r="K28" i="79"/>
  <c r="N28" i="79"/>
  <c r="K28" i="25"/>
  <c r="N31" i="25"/>
  <c r="N27" i="78" s="1"/>
  <c r="N162" i="78" s="1"/>
  <c r="K31" i="25"/>
  <c r="K27" i="78" s="1"/>
  <c r="K174" i="78" s="1"/>
  <c r="N28" i="25"/>
  <c r="J31" i="25"/>
  <c r="J27" i="78" s="1"/>
  <c r="J174" i="78" s="1"/>
  <c r="J28" i="25"/>
  <c r="O28" i="79"/>
  <c r="L31" i="25"/>
  <c r="L27" i="78" s="1"/>
  <c r="L176" i="78" s="1"/>
  <c r="J28" i="79"/>
  <c r="M36" i="79"/>
  <c r="M59" i="79"/>
  <c r="M53" i="79"/>
  <c r="M51" i="79"/>
  <c r="M54" i="79"/>
  <c r="M44" i="79"/>
  <c r="M52" i="79"/>
  <c r="M40" i="79"/>
  <c r="M49" i="79"/>
  <c r="M46" i="79"/>
  <c r="M56" i="79"/>
  <c r="M50" i="79"/>
  <c r="M39" i="79"/>
  <c r="M55" i="79"/>
  <c r="M37" i="79"/>
  <c r="M42" i="79"/>
  <c r="M43" i="79"/>
  <c r="M60" i="79"/>
  <c r="M47" i="79"/>
  <c r="M45" i="79"/>
  <c r="M48" i="79"/>
  <c r="M58" i="79"/>
  <c r="M57" i="79"/>
  <c r="M34" i="79"/>
  <c r="M35" i="79"/>
  <c r="M38" i="79"/>
  <c r="M48" i="78"/>
  <c r="M37" i="78"/>
  <c r="M57" i="78"/>
  <c r="M53" i="78"/>
  <c r="M44" i="78"/>
  <c r="M34" i="78"/>
  <c r="M49" i="78"/>
  <c r="M46" i="78"/>
  <c r="M38" i="78"/>
  <c r="M52" i="78"/>
  <c r="M50" i="78"/>
  <c r="M43" i="78"/>
  <c r="M54" i="78"/>
  <c r="M60" i="78"/>
  <c r="M42" i="78"/>
  <c r="M45" i="78"/>
  <c r="M51" i="78"/>
  <c r="M40" i="78"/>
  <c r="M35" i="78"/>
  <c r="M36" i="78"/>
  <c r="M47" i="78"/>
  <c r="M56" i="78"/>
  <c r="M58" i="78"/>
  <c r="M55" i="78"/>
  <c r="M59" i="78"/>
  <c r="M39" i="78"/>
  <c r="T5" i="82"/>
  <c r="T4" i="82"/>
  <c r="O17" i="82"/>
  <c r="O6" i="82" s="1"/>
  <c r="O18" i="82"/>
  <c r="J19" i="82"/>
  <c r="L19" i="82"/>
  <c r="N19" i="82"/>
  <c r="K19" i="82"/>
  <c r="M19" i="82"/>
  <c r="P4" i="82"/>
  <c r="P5" i="82"/>
  <c r="Q5" i="82"/>
  <c r="Q4" i="82"/>
  <c r="T9" i="82"/>
  <c r="T20" i="82" s="1"/>
  <c r="R5" i="82"/>
  <c r="R4" i="82"/>
  <c r="S5" i="82"/>
  <c r="S4" i="82"/>
  <c r="N27" i="79"/>
  <c r="P4" i="81"/>
  <c r="P5" i="81"/>
  <c r="J45" i="25"/>
  <c r="K45" i="25" s="1"/>
  <c r="L45" i="25" s="1"/>
  <c r="M45" i="25" s="1"/>
  <c r="N45" i="25" s="1"/>
  <c r="O45" i="25" s="1"/>
  <c r="J43" i="25"/>
  <c r="K43" i="25" s="1"/>
  <c r="L43" i="25" s="1"/>
  <c r="M43" i="25" s="1"/>
  <c r="N43" i="25" s="1"/>
  <c r="O43" i="25" s="1"/>
  <c r="J42" i="25"/>
  <c r="K42" i="25" s="1"/>
  <c r="L42" i="25" s="1"/>
  <c r="M42" i="25" s="1"/>
  <c r="N42" i="25" s="1"/>
  <c r="O42" i="25" s="1"/>
  <c r="Q4" i="81"/>
  <c r="Q5" i="81"/>
  <c r="J19" i="81"/>
  <c r="M19" i="81"/>
  <c r="L19" i="81"/>
  <c r="K19" i="81"/>
  <c r="N19" i="81"/>
  <c r="O19" i="81"/>
  <c r="R17" i="81"/>
  <c r="R6" i="81" s="1"/>
  <c r="R18" i="81"/>
  <c r="L27" i="79"/>
  <c r="L6" i="25"/>
  <c r="O27" i="79"/>
  <c r="T17" i="81"/>
  <c r="T6" i="81" s="1"/>
  <c r="T18" i="81"/>
  <c r="S4" i="81"/>
  <c r="S5" i="81"/>
  <c r="K27" i="79"/>
  <c r="K6" i="25"/>
  <c r="L6" i="78"/>
  <c r="N6" i="78"/>
  <c r="J6" i="78"/>
  <c r="K6" i="78"/>
  <c r="M6" i="78"/>
  <c r="L19" i="29"/>
  <c r="M19" i="75"/>
  <c r="N19" i="75"/>
  <c r="L19" i="75"/>
  <c r="N19" i="33"/>
  <c r="M19" i="33"/>
  <c r="L19" i="45"/>
  <c r="S4" i="37"/>
  <c r="S5" i="37"/>
  <c r="S18" i="61"/>
  <c r="S17" i="61"/>
  <c r="S6" i="61" s="1"/>
  <c r="T18" i="37"/>
  <c r="T17" i="37"/>
  <c r="T6" i="37" s="1"/>
  <c r="S9" i="37"/>
  <c r="S20" i="37" s="1"/>
  <c r="T17" i="57"/>
  <c r="T6" i="57" s="1"/>
  <c r="T18" i="57"/>
  <c r="R4" i="75"/>
  <c r="R5" i="75"/>
  <c r="O17" i="33"/>
  <c r="O6" i="33" s="1"/>
  <c r="O18" i="33"/>
  <c r="N19" i="41"/>
  <c r="O18" i="78"/>
  <c r="O17" i="78"/>
  <c r="T4" i="80"/>
  <c r="T5" i="80"/>
  <c r="Q18" i="27"/>
  <c r="Q17" i="27"/>
  <c r="Q6" i="27" s="1"/>
  <c r="R17" i="79"/>
  <c r="R6" i="79" s="1"/>
  <c r="R18" i="79"/>
  <c r="T5" i="29"/>
  <c r="T4" i="29"/>
  <c r="J19" i="27"/>
  <c r="L19" i="27"/>
  <c r="K19" i="27"/>
  <c r="N19" i="27"/>
  <c r="M19" i="27"/>
  <c r="N19" i="45"/>
  <c r="Q5" i="49"/>
  <c r="Q4" i="49"/>
  <c r="S5" i="79"/>
  <c r="S4" i="79"/>
  <c r="O17" i="75"/>
  <c r="O6" i="75" s="1"/>
  <c r="O18" i="75"/>
  <c r="O17" i="61"/>
  <c r="O6" i="61" s="1"/>
  <c r="O18" i="61"/>
  <c r="O19" i="61" s="1"/>
  <c r="R17" i="33"/>
  <c r="R6" i="33" s="1"/>
  <c r="R18" i="33"/>
  <c r="L19" i="33"/>
  <c r="S5" i="57"/>
  <c r="S4" i="57"/>
  <c r="O18" i="53"/>
  <c r="O19" i="53" s="1"/>
  <c r="O17" i="53"/>
  <c r="O6" i="53" s="1"/>
  <c r="P5" i="80"/>
  <c r="P4" i="80"/>
  <c r="Q4" i="77"/>
  <c r="Q5" i="77"/>
  <c r="O18" i="79"/>
  <c r="O19" i="79" s="1"/>
  <c r="O17" i="79"/>
  <c r="O6" i="79" s="1"/>
  <c r="T5" i="53"/>
  <c r="T4" i="53"/>
  <c r="Q4" i="69"/>
  <c r="Q5" i="69"/>
  <c r="J19" i="78"/>
  <c r="M19" i="78"/>
  <c r="N19" i="78"/>
  <c r="K19" i="78"/>
  <c r="L19" i="78"/>
  <c r="Q4" i="33"/>
  <c r="Q5" i="33"/>
  <c r="T17" i="45"/>
  <c r="T6" i="45" s="1"/>
  <c r="T18" i="45"/>
  <c r="T4" i="49"/>
  <c r="T5" i="49"/>
  <c r="P4" i="53"/>
  <c r="P5" i="53"/>
  <c r="T4" i="77"/>
  <c r="T5" i="77"/>
  <c r="P4" i="57"/>
  <c r="P5" i="57"/>
  <c r="O18" i="49"/>
  <c r="O17" i="49"/>
  <c r="O6" i="49" s="1"/>
  <c r="O17" i="69"/>
  <c r="O6" i="69" s="1"/>
  <c r="O18" i="69"/>
  <c r="O19" i="69" s="1"/>
  <c r="R5" i="27"/>
  <c r="R4" i="27"/>
  <c r="M19" i="41"/>
  <c r="S17" i="78"/>
  <c r="S18" i="78"/>
  <c r="Q5" i="41"/>
  <c r="Q4" i="41"/>
  <c r="R4" i="37"/>
  <c r="R5" i="37"/>
  <c r="J19" i="80"/>
  <c r="K19" i="80"/>
  <c r="L19" i="80"/>
  <c r="N19" i="80"/>
  <c r="M19" i="80"/>
  <c r="O19" i="77"/>
  <c r="T5" i="61"/>
  <c r="T4" i="61"/>
  <c r="M19" i="49"/>
  <c r="K19" i="49"/>
  <c r="N19" i="49"/>
  <c r="J19" i="49"/>
  <c r="L19" i="49"/>
  <c r="Q5" i="75"/>
  <c r="Q4" i="75"/>
  <c r="P4" i="75"/>
  <c r="P5" i="75"/>
  <c r="R18" i="41"/>
  <c r="R17" i="41"/>
  <c r="R6" i="41" s="1"/>
  <c r="S5" i="75"/>
  <c r="S4" i="75"/>
  <c r="P18" i="79"/>
  <c r="P17" i="79"/>
  <c r="P6" i="79" s="1"/>
  <c r="O18" i="80"/>
  <c r="O19" i="80" s="1"/>
  <c r="O17" i="80"/>
  <c r="O6" i="80" s="1"/>
  <c r="P17" i="69"/>
  <c r="P6" i="69" s="1"/>
  <c r="P18" i="69"/>
  <c r="R4" i="78"/>
  <c r="R5" i="78"/>
  <c r="P5" i="37"/>
  <c r="P4" i="37"/>
  <c r="P5" i="78"/>
  <c r="P4" i="78"/>
  <c r="P5" i="61"/>
  <c r="P4" i="61"/>
  <c r="P5" i="41"/>
  <c r="P4" i="41"/>
  <c r="J19" i="37"/>
  <c r="K19" i="37"/>
  <c r="L19" i="37"/>
  <c r="N19" i="37"/>
  <c r="M19" i="37"/>
  <c r="J19" i="57"/>
  <c r="K19" i="57"/>
  <c r="L19" i="57"/>
  <c r="M19" i="57"/>
  <c r="N19" i="57"/>
  <c r="Q18" i="79"/>
  <c r="Q17" i="79"/>
  <c r="Q6" i="79" s="1"/>
  <c r="R18" i="53"/>
  <c r="R17" i="53"/>
  <c r="R6" i="53" s="1"/>
  <c r="T18" i="78"/>
  <c r="T17" i="78"/>
  <c r="J6" i="25"/>
  <c r="P4" i="45"/>
  <c r="P5" i="45"/>
  <c r="P18" i="27"/>
  <c r="P17" i="27"/>
  <c r="P6" i="27" s="1"/>
  <c r="Q4" i="29"/>
  <c r="Q5" i="29"/>
  <c r="P18" i="33"/>
  <c r="P17" i="33"/>
  <c r="P6" i="33" s="1"/>
  <c r="P17" i="25"/>
  <c r="P6" i="25" s="1"/>
  <c r="P18" i="25"/>
  <c r="P28" i="25" s="1"/>
  <c r="R4" i="57"/>
  <c r="R5" i="57"/>
  <c r="O17" i="41"/>
  <c r="O6" i="41" s="1"/>
  <c r="O18" i="41"/>
  <c r="O19" i="41" s="1"/>
  <c r="Q18" i="37"/>
  <c r="Q17" i="37"/>
  <c r="Q6" i="37" s="1"/>
  <c r="M19" i="45"/>
  <c r="S4" i="49"/>
  <c r="S5" i="49"/>
  <c r="Q5" i="53"/>
  <c r="Q4" i="53"/>
  <c r="K19" i="69"/>
  <c r="J19" i="69"/>
  <c r="M19" i="69"/>
  <c r="L19" i="69"/>
  <c r="N19" i="69"/>
  <c r="R5" i="69"/>
  <c r="R4" i="69"/>
  <c r="P5" i="49"/>
  <c r="P4" i="49"/>
  <c r="R18" i="29"/>
  <c r="R17" i="29"/>
  <c r="R6" i="29" s="1"/>
  <c r="L19" i="53"/>
  <c r="K19" i="53"/>
  <c r="M19" i="53"/>
  <c r="N19" i="53"/>
  <c r="J19" i="53"/>
  <c r="T5" i="27"/>
  <c r="T4" i="27"/>
  <c r="T17" i="25"/>
  <c r="T6" i="25" s="1"/>
  <c r="T18" i="25"/>
  <c r="T30" i="25" s="1"/>
  <c r="J27" i="79"/>
  <c r="L19" i="25"/>
  <c r="J19" i="25"/>
  <c r="K19" i="25"/>
  <c r="M19" i="25"/>
  <c r="N19" i="25"/>
  <c r="O19" i="25"/>
  <c r="S4" i="41"/>
  <c r="S5" i="41"/>
  <c r="Q18" i="25"/>
  <c r="Q30" i="25" s="1"/>
  <c r="Q17" i="25"/>
  <c r="Q6" i="25" s="1"/>
  <c r="M19" i="77"/>
  <c r="T4" i="33"/>
  <c r="T5" i="33"/>
  <c r="S5" i="77"/>
  <c r="S4" i="77"/>
  <c r="R17" i="25"/>
  <c r="R6" i="25" s="1"/>
  <c r="R18" i="25"/>
  <c r="R30" i="25" s="1"/>
  <c r="R5" i="45"/>
  <c r="R4" i="45"/>
  <c r="P5" i="29"/>
  <c r="P4" i="29"/>
  <c r="S5" i="80"/>
  <c r="S4" i="80"/>
  <c r="O17" i="57"/>
  <c r="O6" i="57" s="1"/>
  <c r="O18" i="57"/>
  <c r="O17" i="37"/>
  <c r="O6" i="37" s="1"/>
  <c r="O18" i="37"/>
  <c r="O19" i="37" s="1"/>
  <c r="O18" i="27"/>
  <c r="O17" i="27"/>
  <c r="O6" i="27" s="1"/>
  <c r="S18" i="53"/>
  <c r="S17" i="53"/>
  <c r="S6" i="53" s="1"/>
  <c r="S18" i="45"/>
  <c r="S17" i="45"/>
  <c r="S6" i="45" s="1"/>
  <c r="Q17" i="57"/>
  <c r="Q6" i="57" s="1"/>
  <c r="Q18" i="57"/>
  <c r="T5" i="41"/>
  <c r="T4" i="41"/>
  <c r="S5" i="25"/>
  <c r="S29" i="25" s="1"/>
  <c r="S27" i="84" s="1"/>
  <c r="S4" i="25"/>
  <c r="R18" i="61"/>
  <c r="R17" i="61"/>
  <c r="R6" i="61" s="1"/>
  <c r="Q17" i="61"/>
  <c r="Q6" i="61" s="1"/>
  <c r="Q18" i="61"/>
  <c r="N19" i="29"/>
  <c r="N19" i="77"/>
  <c r="Q5" i="80"/>
  <c r="Q4" i="80"/>
  <c r="P18" i="77"/>
  <c r="P19" i="77" s="1"/>
  <c r="P17" i="77"/>
  <c r="P6" i="77" s="1"/>
  <c r="O18" i="29"/>
  <c r="O17" i="29"/>
  <c r="O6" i="29" s="1"/>
  <c r="S4" i="33"/>
  <c r="S5" i="33"/>
  <c r="S17" i="69"/>
  <c r="S6" i="69" s="1"/>
  <c r="S18" i="69"/>
  <c r="M19" i="61"/>
  <c r="N19" i="61"/>
  <c r="J19" i="61"/>
  <c r="K19" i="61"/>
  <c r="L19" i="61"/>
  <c r="R4" i="80"/>
  <c r="R5" i="80"/>
  <c r="T18" i="75"/>
  <c r="T17" i="75"/>
  <c r="T6" i="75" s="1"/>
  <c r="T5" i="69"/>
  <c r="T4" i="69"/>
  <c r="J19" i="79"/>
  <c r="N19" i="79"/>
  <c r="K19" i="79"/>
  <c r="M19" i="79"/>
  <c r="L19" i="79"/>
  <c r="T18" i="79"/>
  <c r="T17" i="79"/>
  <c r="T6" i="79" s="1"/>
  <c r="R9" i="75"/>
  <c r="R20" i="75" s="1"/>
  <c r="Q4" i="78"/>
  <c r="Q5" i="78"/>
  <c r="S18" i="27"/>
  <c r="S17" i="27"/>
  <c r="S6" i="27" s="1"/>
  <c r="O18" i="45"/>
  <c r="O17" i="45"/>
  <c r="O6" i="45" s="1"/>
  <c r="Q4" i="45"/>
  <c r="Q5" i="45"/>
  <c r="S17" i="29"/>
  <c r="S6" i="29" s="1"/>
  <c r="S18" i="29"/>
  <c r="R4" i="77"/>
  <c r="R5" i="77"/>
  <c r="T9" i="29"/>
  <c r="T20" i="29" s="1"/>
  <c r="R5" i="49"/>
  <c r="R4" i="49"/>
  <c r="N19" i="18"/>
  <c r="L19" i="18"/>
  <c r="K19" i="18"/>
  <c r="K19" i="19"/>
  <c r="L19" i="19"/>
  <c r="N19" i="19"/>
  <c r="J19" i="19"/>
  <c r="M19" i="19"/>
  <c r="M19" i="18"/>
  <c r="R17" i="18"/>
  <c r="R6" i="18" s="1"/>
  <c r="R18" i="18"/>
  <c r="Q17" i="18"/>
  <c r="Q6" i="18" s="1"/>
  <c r="Q18" i="18"/>
  <c r="O17" i="19"/>
  <c r="O6" i="19" s="1"/>
  <c r="O18" i="19"/>
  <c r="O19" i="19" s="1"/>
  <c r="O17" i="18"/>
  <c r="O6" i="18" s="1"/>
  <c r="O18" i="18"/>
  <c r="P5" i="18"/>
  <c r="P4" i="18"/>
  <c r="P5" i="19"/>
  <c r="P4" i="19"/>
  <c r="S4" i="19"/>
  <c r="S5" i="19"/>
  <c r="T4" i="18"/>
  <c r="T5" i="18"/>
  <c r="T4" i="19"/>
  <c r="T5" i="19"/>
  <c r="R5" i="19"/>
  <c r="R4" i="19"/>
  <c r="S4" i="18"/>
  <c r="S5" i="18"/>
  <c r="Q5" i="19"/>
  <c r="Q4" i="19"/>
  <c r="P9" i="18"/>
  <c r="P20" i="18" s="1"/>
  <c r="L176" i="79" l="1"/>
  <c r="K174" i="79"/>
  <c r="N162" i="79"/>
  <c r="K171" i="78"/>
  <c r="K171" i="79" s="1"/>
  <c r="J164" i="78"/>
  <c r="J164" i="79" s="1"/>
  <c r="K167" i="78"/>
  <c r="K167" i="79" s="1"/>
  <c r="J161" i="78"/>
  <c r="J161" i="79" s="1"/>
  <c r="K166" i="78"/>
  <c r="K166" i="79" s="1"/>
  <c r="J163" i="78"/>
  <c r="J163" i="79" s="1"/>
  <c r="K161" i="78"/>
  <c r="K161" i="79" s="1"/>
  <c r="J166" i="78"/>
  <c r="J166" i="79" s="1"/>
  <c r="K170" i="78"/>
  <c r="K170" i="79" s="1"/>
  <c r="L161" i="78"/>
  <c r="J174" i="79"/>
  <c r="K172" i="78"/>
  <c r="K172" i="79" s="1"/>
  <c r="L164" i="78"/>
  <c r="L164" i="79" s="1"/>
  <c r="K168" i="78"/>
  <c r="K168" i="79" s="1"/>
  <c r="L169" i="78"/>
  <c r="L169" i="79" s="1"/>
  <c r="K173" i="78"/>
  <c r="K173" i="79" s="1"/>
  <c r="L172" i="78"/>
  <c r="L172" i="79" s="1"/>
  <c r="L168" i="78"/>
  <c r="L168" i="79" s="1"/>
  <c r="N167" i="78"/>
  <c r="N167" i="79" s="1"/>
  <c r="N168" i="78"/>
  <c r="N168" i="79" s="1"/>
  <c r="N175" i="78"/>
  <c r="L166" i="78"/>
  <c r="L166" i="79" s="1"/>
  <c r="N171" i="78"/>
  <c r="N171" i="79" s="1"/>
  <c r="K165" i="78"/>
  <c r="K165" i="79" s="1"/>
  <c r="K175" i="78"/>
  <c r="K175" i="79" s="1"/>
  <c r="J171" i="78"/>
  <c r="J171" i="79" s="1"/>
  <c r="J175" i="78"/>
  <c r="J175" i="79" s="1"/>
  <c r="L170" i="78"/>
  <c r="L170" i="79" s="1"/>
  <c r="L173" i="78"/>
  <c r="L173" i="79" s="1"/>
  <c r="L174" i="78"/>
  <c r="L174" i="79" s="1"/>
  <c r="N163" i="78"/>
  <c r="N163" i="79" s="1"/>
  <c r="M177" i="78"/>
  <c r="M161" i="79"/>
  <c r="J168" i="78"/>
  <c r="J168" i="79" s="1"/>
  <c r="J169" i="78"/>
  <c r="J169" i="79" s="1"/>
  <c r="L165" i="78"/>
  <c r="L165" i="79" s="1"/>
  <c r="L167" i="78"/>
  <c r="L167" i="79" s="1"/>
  <c r="N169" i="78"/>
  <c r="N169" i="79" s="1"/>
  <c r="N174" i="78"/>
  <c r="N176" i="78"/>
  <c r="K169" i="78"/>
  <c r="K169" i="79" s="1"/>
  <c r="K162" i="78"/>
  <c r="K162" i="79" s="1"/>
  <c r="K176" i="78"/>
  <c r="K176" i="79" s="1"/>
  <c r="J165" i="78"/>
  <c r="J165" i="79" s="1"/>
  <c r="J162" i="78"/>
  <c r="J162" i="79" s="1"/>
  <c r="J176" i="78"/>
  <c r="J176" i="79" s="1"/>
  <c r="L171" i="78"/>
  <c r="L171" i="79" s="1"/>
  <c r="L163" i="78"/>
  <c r="L163" i="79" s="1"/>
  <c r="N161" i="78"/>
  <c r="N166" i="78"/>
  <c r="N166" i="79" s="1"/>
  <c r="O167" i="78"/>
  <c r="O167" i="79" s="1"/>
  <c r="O175" i="78"/>
  <c r="O162" i="78"/>
  <c r="O170" i="78"/>
  <c r="O170" i="79" s="1"/>
  <c r="O165" i="78"/>
  <c r="O165" i="79" s="1"/>
  <c r="O173" i="78"/>
  <c r="O168" i="78"/>
  <c r="O168" i="79" s="1"/>
  <c r="O176" i="78"/>
  <c r="O163" i="78"/>
  <c r="O163" i="79" s="1"/>
  <c r="O171" i="78"/>
  <c r="O171" i="79" s="1"/>
  <c r="O166" i="78"/>
  <c r="O166" i="79" s="1"/>
  <c r="O174" i="78"/>
  <c r="O161" i="78"/>
  <c r="O169" i="78"/>
  <c r="O169" i="79" s="1"/>
  <c r="O164" i="78"/>
  <c r="O164" i="79" s="1"/>
  <c r="O172" i="78"/>
  <c r="O172" i="79" s="1"/>
  <c r="J172" i="78"/>
  <c r="J172" i="79" s="1"/>
  <c r="J173" i="78"/>
  <c r="J173" i="79" s="1"/>
  <c r="L162" i="78"/>
  <c r="L162" i="79" s="1"/>
  <c r="N172" i="78"/>
  <c r="N172" i="79" s="1"/>
  <c r="N173" i="78"/>
  <c r="N170" i="78"/>
  <c r="N170" i="79" s="1"/>
  <c r="K163" i="78"/>
  <c r="K163" i="79" s="1"/>
  <c r="K164" i="78"/>
  <c r="K164" i="79" s="1"/>
  <c r="J170" i="78"/>
  <c r="J170" i="79" s="1"/>
  <c r="J167" i="78"/>
  <c r="J167" i="79" s="1"/>
  <c r="L175" i="78"/>
  <c r="L175" i="79" s="1"/>
  <c r="N164" i="78"/>
  <c r="N164" i="79" s="1"/>
  <c r="N165" i="78"/>
  <c r="N165" i="79" s="1"/>
  <c r="S17" i="84"/>
  <c r="S6" i="84" s="1"/>
  <c r="S18" i="84"/>
  <c r="P17" i="84"/>
  <c r="P6" i="84" s="1"/>
  <c r="P18" i="84"/>
  <c r="R18" i="84"/>
  <c r="R17" i="84"/>
  <c r="R6" i="84" s="1"/>
  <c r="Q18" i="84"/>
  <c r="Q17" i="84"/>
  <c r="Q6" i="84" s="1"/>
  <c r="T17" i="84"/>
  <c r="T6" i="84" s="1"/>
  <c r="T18" i="84"/>
  <c r="P28" i="79"/>
  <c r="R31" i="25"/>
  <c r="R27" i="78" s="1"/>
  <c r="R28" i="25"/>
  <c r="R28" i="79"/>
  <c r="P19" i="25"/>
  <c r="P30" i="25"/>
  <c r="P27" i="79" s="1"/>
  <c r="T31" i="25"/>
  <c r="T27" i="78" s="1"/>
  <c r="T168" i="78" s="1"/>
  <c r="T28" i="25"/>
  <c r="T28" i="79"/>
  <c r="Q28" i="79"/>
  <c r="Q31" i="25"/>
  <c r="Q27" i="78" s="1"/>
  <c r="P31" i="25"/>
  <c r="P27" i="78" s="1"/>
  <c r="Q28" i="25"/>
  <c r="K46" i="78"/>
  <c r="K47" i="78"/>
  <c r="K35" i="78"/>
  <c r="K51" i="78"/>
  <c r="K40" i="78"/>
  <c r="K52" i="78"/>
  <c r="K50" i="78"/>
  <c r="K54" i="78"/>
  <c r="K59" i="78"/>
  <c r="K55" i="78"/>
  <c r="K41" i="78"/>
  <c r="K58" i="78"/>
  <c r="K38" i="78"/>
  <c r="K60" i="78"/>
  <c r="K45" i="78"/>
  <c r="K56" i="78"/>
  <c r="K43" i="78"/>
  <c r="K49" i="78"/>
  <c r="K36" i="78"/>
  <c r="K53" i="78"/>
  <c r="K39" i="78"/>
  <c r="K44" i="78"/>
  <c r="K57" i="78"/>
  <c r="K42" i="78"/>
  <c r="K48" i="78"/>
  <c r="K37" i="78"/>
  <c r="L59" i="78"/>
  <c r="L46" i="78"/>
  <c r="L53" i="78"/>
  <c r="L54" i="78"/>
  <c r="L42" i="78"/>
  <c r="L51" i="78"/>
  <c r="L60" i="78"/>
  <c r="L43" i="78"/>
  <c r="L36" i="78"/>
  <c r="L57" i="78"/>
  <c r="L52" i="78"/>
  <c r="L56" i="78"/>
  <c r="L48" i="78"/>
  <c r="L45" i="78"/>
  <c r="L35" i="78"/>
  <c r="L38" i="78"/>
  <c r="L47" i="78"/>
  <c r="L50" i="78"/>
  <c r="L40" i="78"/>
  <c r="L49" i="78"/>
  <c r="L44" i="78"/>
  <c r="L37" i="78"/>
  <c r="L55" i="78"/>
  <c r="L39" i="78"/>
  <c r="L58" i="78"/>
  <c r="N59" i="78"/>
  <c r="N47" i="78"/>
  <c r="N48" i="78"/>
  <c r="N58" i="78"/>
  <c r="N55" i="78"/>
  <c r="N43" i="78"/>
  <c r="N52" i="78"/>
  <c r="N53" i="78"/>
  <c r="N37" i="78"/>
  <c r="N57" i="78"/>
  <c r="N50" i="78"/>
  <c r="N51" i="78"/>
  <c r="N42" i="78"/>
  <c r="N56" i="78"/>
  <c r="N46" i="78"/>
  <c r="N41" i="78"/>
  <c r="N34" i="78"/>
  <c r="N35" i="78"/>
  <c r="N39" i="78"/>
  <c r="N38" i="78"/>
  <c r="N36" i="78"/>
  <c r="N44" i="78"/>
  <c r="N40" i="78"/>
  <c r="N45" i="78"/>
  <c r="N60" i="78"/>
  <c r="N54" i="78"/>
  <c r="N49" i="78"/>
  <c r="L59" i="79"/>
  <c r="L38" i="79"/>
  <c r="L60" i="79"/>
  <c r="L45" i="79"/>
  <c r="L46" i="79"/>
  <c r="L57" i="79"/>
  <c r="L56" i="79"/>
  <c r="L42" i="79"/>
  <c r="L52" i="79"/>
  <c r="L39" i="79"/>
  <c r="L44" i="79"/>
  <c r="L35" i="79"/>
  <c r="L50" i="79"/>
  <c r="L36" i="79"/>
  <c r="L40" i="79"/>
  <c r="L37" i="79"/>
  <c r="L53" i="79"/>
  <c r="L55" i="79"/>
  <c r="L47" i="79"/>
  <c r="L51" i="79"/>
  <c r="L58" i="79"/>
  <c r="L48" i="79"/>
  <c r="L49" i="79"/>
  <c r="L43" i="79"/>
  <c r="L54" i="79"/>
  <c r="K59" i="79"/>
  <c r="K58" i="79"/>
  <c r="K39" i="79"/>
  <c r="K49" i="79"/>
  <c r="K55" i="79"/>
  <c r="K37" i="79"/>
  <c r="K45" i="79"/>
  <c r="K43" i="79"/>
  <c r="K38" i="79"/>
  <c r="K52" i="79"/>
  <c r="K50" i="79"/>
  <c r="K35" i="79"/>
  <c r="K36" i="79"/>
  <c r="K53" i="79"/>
  <c r="K60" i="79"/>
  <c r="K46" i="79"/>
  <c r="K54" i="79"/>
  <c r="K51" i="79"/>
  <c r="K40" i="79"/>
  <c r="K41" i="79"/>
  <c r="K44" i="79"/>
  <c r="K57" i="79"/>
  <c r="K47" i="79"/>
  <c r="K42" i="79"/>
  <c r="K56" i="79"/>
  <c r="K48" i="79"/>
  <c r="J36" i="79"/>
  <c r="J59" i="79"/>
  <c r="J58" i="79"/>
  <c r="J52" i="79"/>
  <c r="J53" i="79"/>
  <c r="J57" i="79"/>
  <c r="J60" i="79"/>
  <c r="J56" i="79"/>
  <c r="J39" i="79"/>
  <c r="J40" i="79"/>
  <c r="J41" i="79"/>
  <c r="J54" i="79"/>
  <c r="J49" i="79"/>
  <c r="J46" i="79"/>
  <c r="J47" i="79"/>
  <c r="J42" i="79"/>
  <c r="J37" i="79"/>
  <c r="J35" i="79"/>
  <c r="J43" i="79"/>
  <c r="J38" i="79"/>
  <c r="J55" i="79"/>
  <c r="J51" i="79"/>
  <c r="J44" i="79"/>
  <c r="J50" i="79"/>
  <c r="J45" i="79"/>
  <c r="J48" i="79"/>
  <c r="N56" i="79"/>
  <c r="N51" i="79"/>
  <c r="N55" i="79"/>
  <c r="N46" i="79"/>
  <c r="N34" i="79"/>
  <c r="N45" i="79"/>
  <c r="N48" i="79"/>
  <c r="N35" i="79"/>
  <c r="N43" i="79"/>
  <c r="N49" i="79"/>
  <c r="N58" i="79"/>
  <c r="N57" i="79"/>
  <c r="N50" i="79"/>
  <c r="N38" i="79"/>
  <c r="N53" i="79"/>
  <c r="N59" i="79"/>
  <c r="N41" i="79"/>
  <c r="N36" i="79"/>
  <c r="N44" i="79"/>
  <c r="N60" i="79"/>
  <c r="N47" i="79"/>
  <c r="N52" i="79"/>
  <c r="N54" i="79"/>
  <c r="N39" i="79"/>
  <c r="N40" i="79"/>
  <c r="N42" i="79"/>
  <c r="N37" i="79"/>
  <c r="O34" i="78"/>
  <c r="O39" i="78"/>
  <c r="O50" i="78"/>
  <c r="O60" i="78"/>
  <c r="O59" i="78"/>
  <c r="O57" i="78"/>
  <c r="O55" i="78"/>
  <c r="O51" i="78"/>
  <c r="O44" i="78"/>
  <c r="O47" i="78"/>
  <c r="O37" i="78"/>
  <c r="O58" i="78"/>
  <c r="O52" i="78"/>
  <c r="O53" i="78"/>
  <c r="O45" i="78"/>
  <c r="O35" i="78"/>
  <c r="O43" i="78"/>
  <c r="O56" i="78"/>
  <c r="O46" i="78"/>
  <c r="O36" i="78"/>
  <c r="O42" i="78"/>
  <c r="O54" i="78"/>
  <c r="O48" i="78"/>
  <c r="O38" i="78"/>
  <c r="O41" i="78"/>
  <c r="O49" i="78"/>
  <c r="O40" i="78"/>
  <c r="J44" i="78"/>
  <c r="J55" i="78"/>
  <c r="J40" i="78"/>
  <c r="J39" i="78"/>
  <c r="J49" i="78"/>
  <c r="J59" i="78"/>
  <c r="J60" i="78"/>
  <c r="J57" i="78"/>
  <c r="J47" i="78"/>
  <c r="J52" i="78"/>
  <c r="J48" i="78"/>
  <c r="J51" i="78"/>
  <c r="J35" i="78"/>
  <c r="J54" i="78"/>
  <c r="J45" i="78"/>
  <c r="J53" i="78"/>
  <c r="J56" i="78"/>
  <c r="J36" i="78"/>
  <c r="J41" i="78"/>
  <c r="J50" i="78"/>
  <c r="J43" i="78"/>
  <c r="J46" i="78"/>
  <c r="J58" i="78"/>
  <c r="J37" i="78"/>
  <c r="J38" i="78"/>
  <c r="J42" i="78"/>
  <c r="O48" i="79"/>
  <c r="O60" i="79"/>
  <c r="O47" i="79"/>
  <c r="O54" i="79"/>
  <c r="O44" i="79"/>
  <c r="O50" i="79"/>
  <c r="O37" i="79"/>
  <c r="O40" i="79"/>
  <c r="O46" i="79"/>
  <c r="O43" i="79"/>
  <c r="O58" i="79"/>
  <c r="O45" i="79"/>
  <c r="O51" i="79"/>
  <c r="O34" i="79"/>
  <c r="O59" i="79"/>
  <c r="O36" i="79"/>
  <c r="O53" i="79"/>
  <c r="O41" i="79"/>
  <c r="O57" i="79"/>
  <c r="O55" i="79"/>
  <c r="O49" i="79"/>
  <c r="O52" i="79"/>
  <c r="O42" i="79"/>
  <c r="O56" i="79"/>
  <c r="O38" i="79"/>
  <c r="O39" i="79"/>
  <c r="O35" i="79"/>
  <c r="P43" i="25"/>
  <c r="Q43" i="25" s="1"/>
  <c r="R43" i="25" s="1"/>
  <c r="R17" i="82"/>
  <c r="R6" i="82" s="1"/>
  <c r="R18" i="82"/>
  <c r="P45" i="25"/>
  <c r="Q45" i="25" s="1"/>
  <c r="R45" i="25" s="1"/>
  <c r="P42" i="25"/>
  <c r="Q42" i="25" s="1"/>
  <c r="R42" i="25" s="1"/>
  <c r="P17" i="82"/>
  <c r="P6" i="82" s="1"/>
  <c r="P18" i="82"/>
  <c r="P19" i="82" s="1"/>
  <c r="S18" i="82"/>
  <c r="S17" i="82"/>
  <c r="S6" i="82" s="1"/>
  <c r="Q18" i="82"/>
  <c r="Q17" i="82"/>
  <c r="Q6" i="82" s="1"/>
  <c r="O19" i="82"/>
  <c r="T17" i="82"/>
  <c r="T6" i="82" s="1"/>
  <c r="T18" i="82"/>
  <c r="T27" i="79"/>
  <c r="P18" i="81"/>
  <c r="P17" i="81"/>
  <c r="P6" i="81" s="1"/>
  <c r="S18" i="81"/>
  <c r="S17" i="81"/>
  <c r="S6" i="81" s="1"/>
  <c r="Q18" i="81"/>
  <c r="Q17" i="81"/>
  <c r="Q6" i="81" s="1"/>
  <c r="R27" i="79"/>
  <c r="P19" i="79"/>
  <c r="T6" i="78"/>
  <c r="S6" i="78"/>
  <c r="O6" i="78"/>
  <c r="P19" i="69"/>
  <c r="Q19" i="79"/>
  <c r="Q18" i="45"/>
  <c r="Q17" i="45"/>
  <c r="Q6" i="45" s="1"/>
  <c r="T17" i="41"/>
  <c r="T6" i="41" s="1"/>
  <c r="T18" i="41"/>
  <c r="T17" i="33"/>
  <c r="T6" i="33" s="1"/>
  <c r="T18" i="33"/>
  <c r="S17" i="41"/>
  <c r="S6" i="41" s="1"/>
  <c r="S18" i="41"/>
  <c r="P17" i="45"/>
  <c r="P6" i="45" s="1"/>
  <c r="P18" i="45"/>
  <c r="P19" i="45" s="1"/>
  <c r="P17" i="53"/>
  <c r="P6" i="53" s="1"/>
  <c r="P18" i="53"/>
  <c r="Q17" i="69"/>
  <c r="Q6" i="69" s="1"/>
  <c r="Q18" i="69"/>
  <c r="Q19" i="69" s="1"/>
  <c r="Q19" i="27"/>
  <c r="T17" i="29"/>
  <c r="T6" i="29" s="1"/>
  <c r="T18" i="29"/>
  <c r="T18" i="27"/>
  <c r="T17" i="27"/>
  <c r="T6" i="27" s="1"/>
  <c r="R18" i="49"/>
  <c r="R17" i="49"/>
  <c r="R6" i="49" s="1"/>
  <c r="S18" i="33"/>
  <c r="S17" i="33"/>
  <c r="S6" i="33" s="1"/>
  <c r="P18" i="41"/>
  <c r="P17" i="41"/>
  <c r="P6" i="41" s="1"/>
  <c r="T18" i="61"/>
  <c r="T17" i="61"/>
  <c r="T6" i="61" s="1"/>
  <c r="T18" i="49"/>
  <c r="T17" i="49"/>
  <c r="T6" i="49" s="1"/>
  <c r="Q18" i="41"/>
  <c r="Q17" i="41"/>
  <c r="Q6" i="41" s="1"/>
  <c r="R19" i="79"/>
  <c r="R18" i="80"/>
  <c r="R17" i="80"/>
  <c r="R6" i="80" s="1"/>
  <c r="S18" i="80"/>
  <c r="S17" i="80"/>
  <c r="S6" i="80" s="1"/>
  <c r="J325" i="45"/>
  <c r="J545" i="61"/>
  <c r="J304" i="41"/>
  <c r="J288" i="61"/>
  <c r="J304" i="37"/>
  <c r="J579" i="19"/>
  <c r="J304" i="49"/>
  <c r="J332" i="53"/>
  <c r="J304" i="19"/>
  <c r="J318" i="57"/>
  <c r="J538" i="69"/>
  <c r="J283" i="69"/>
  <c r="J800" i="61"/>
  <c r="J29" i="57"/>
  <c r="J29" i="37"/>
  <c r="J29" i="69"/>
  <c r="J29" i="53"/>
  <c r="J29" i="77"/>
  <c r="J29" i="61"/>
  <c r="J29" i="49"/>
  <c r="J29" i="75"/>
  <c r="J29" i="33"/>
  <c r="J29" i="45"/>
  <c r="J29" i="29"/>
  <c r="J29" i="41"/>
  <c r="J29" i="18"/>
  <c r="J29" i="19"/>
  <c r="O19" i="57"/>
  <c r="P17" i="75"/>
  <c r="P6" i="75" s="1"/>
  <c r="P18" i="75"/>
  <c r="P19" i="75" s="1"/>
  <c r="Q17" i="77"/>
  <c r="Q6" i="77" s="1"/>
  <c r="Q18" i="77"/>
  <c r="Q19" i="77" s="1"/>
  <c r="S18" i="57"/>
  <c r="S17" i="57"/>
  <c r="S6" i="57" s="1"/>
  <c r="Q18" i="49"/>
  <c r="Q17" i="49"/>
  <c r="Q6" i="49" s="1"/>
  <c r="O19" i="27"/>
  <c r="P19" i="33"/>
  <c r="O19" i="33"/>
  <c r="S18" i="37"/>
  <c r="S17" i="37"/>
  <c r="S6" i="37" s="1"/>
  <c r="R17" i="69"/>
  <c r="R6" i="69" s="1"/>
  <c r="R18" i="69"/>
  <c r="R17" i="77"/>
  <c r="R6" i="77" s="1"/>
  <c r="R18" i="77"/>
  <c r="Q19" i="25"/>
  <c r="Q27" i="79"/>
  <c r="Q18" i="29"/>
  <c r="Q17" i="29"/>
  <c r="Q6" i="29" s="1"/>
  <c r="J801" i="61"/>
  <c r="J284" i="69"/>
  <c r="J539" i="69"/>
  <c r="J326" i="45"/>
  <c r="J546" i="61"/>
  <c r="J305" i="41"/>
  <c r="J305" i="49"/>
  <c r="J333" i="53"/>
  <c r="J305" i="19"/>
  <c r="J580" i="19"/>
  <c r="J305" i="37"/>
  <c r="J289" i="61"/>
  <c r="J319" i="57"/>
  <c r="J30" i="53"/>
  <c r="J30" i="61"/>
  <c r="J30" i="41"/>
  <c r="J30" i="49"/>
  <c r="J30" i="75"/>
  <c r="J30" i="57"/>
  <c r="J30" i="45"/>
  <c r="J30" i="69"/>
  <c r="J30" i="33"/>
  <c r="J30" i="29"/>
  <c r="J30" i="37"/>
  <c r="J30" i="77"/>
  <c r="J30" i="19"/>
  <c r="J30" i="18"/>
  <c r="P17" i="61"/>
  <c r="P6" i="61" s="1"/>
  <c r="P18" i="61"/>
  <c r="P17" i="37"/>
  <c r="P6" i="37" s="1"/>
  <c r="P18" i="37"/>
  <c r="P18" i="57"/>
  <c r="Q19" i="57" s="1"/>
  <c r="P17" i="57"/>
  <c r="P6" i="57" s="1"/>
  <c r="S17" i="79"/>
  <c r="S6" i="79" s="1"/>
  <c r="S18" i="79"/>
  <c r="S19" i="79" s="1"/>
  <c r="P18" i="29"/>
  <c r="P17" i="29"/>
  <c r="P6" i="29" s="1"/>
  <c r="Q17" i="53"/>
  <c r="Q6" i="53" s="1"/>
  <c r="Q18" i="53"/>
  <c r="J306" i="49"/>
  <c r="J334" i="53"/>
  <c r="J306" i="19"/>
  <c r="J320" i="57"/>
  <c r="J540" i="69"/>
  <c r="J290" i="61"/>
  <c r="J306" i="37"/>
  <c r="J581" i="19"/>
  <c r="J802" i="61"/>
  <c r="J547" i="61"/>
  <c r="J306" i="41"/>
  <c r="J327" i="45"/>
  <c r="J285" i="69"/>
  <c r="J31" i="49"/>
  <c r="J31" i="57"/>
  <c r="J31" i="37"/>
  <c r="J31" i="45"/>
  <c r="J31" i="69"/>
  <c r="J31" i="53"/>
  <c r="J31" i="77"/>
  <c r="J31" i="61"/>
  <c r="J31" i="41"/>
  <c r="J31" i="29"/>
  <c r="J31" i="75"/>
  <c r="J31" i="33"/>
  <c r="J31" i="18"/>
  <c r="J31" i="19"/>
  <c r="R18" i="78"/>
  <c r="R17" i="78"/>
  <c r="O19" i="49"/>
  <c r="T18" i="80"/>
  <c r="T17" i="80"/>
  <c r="T6" i="80" s="1"/>
  <c r="R18" i="75"/>
  <c r="R17" i="75"/>
  <c r="R6" i="75" s="1"/>
  <c r="Q18" i="78"/>
  <c r="Q17" i="78"/>
  <c r="Q17" i="80"/>
  <c r="Q6" i="80" s="1"/>
  <c r="Q18" i="80"/>
  <c r="S17" i="25"/>
  <c r="S6" i="25" s="1"/>
  <c r="S18" i="25"/>
  <c r="S30" i="25" s="1"/>
  <c r="O19" i="45"/>
  <c r="S17" i="49"/>
  <c r="S6" i="49" s="1"/>
  <c r="S18" i="49"/>
  <c r="R17" i="57"/>
  <c r="R6" i="57" s="1"/>
  <c r="R18" i="57"/>
  <c r="P18" i="78"/>
  <c r="P17" i="78"/>
  <c r="Q17" i="75"/>
  <c r="Q6" i="75" s="1"/>
  <c r="Q18" i="75"/>
  <c r="R18" i="37"/>
  <c r="R17" i="37"/>
  <c r="R6" i="37" s="1"/>
  <c r="T18" i="77"/>
  <c r="T17" i="77"/>
  <c r="T6" i="77" s="1"/>
  <c r="O19" i="78"/>
  <c r="T18" i="53"/>
  <c r="T17" i="53"/>
  <c r="T6" i="53" s="1"/>
  <c r="P17" i="80"/>
  <c r="P6" i="80" s="1"/>
  <c r="P18" i="80"/>
  <c r="O19" i="75"/>
  <c r="P19" i="27"/>
  <c r="O19" i="29"/>
  <c r="R18" i="45"/>
  <c r="R17" i="45"/>
  <c r="R6" i="45" s="1"/>
  <c r="T17" i="69"/>
  <c r="T6" i="69" s="1"/>
  <c r="T18" i="69"/>
  <c r="S17" i="77"/>
  <c r="S6" i="77" s="1"/>
  <c r="S18" i="77"/>
  <c r="R19" i="25"/>
  <c r="P18" i="49"/>
  <c r="P17" i="49"/>
  <c r="P6" i="49" s="1"/>
  <c r="S18" i="75"/>
  <c r="S17" i="75"/>
  <c r="S6" i="75" s="1"/>
  <c r="R18" i="27"/>
  <c r="S19" i="27" s="1"/>
  <c r="R17" i="27"/>
  <c r="R6" i="27" s="1"/>
  <c r="Q17" i="33"/>
  <c r="Q6" i="33" s="1"/>
  <c r="Q18" i="33"/>
  <c r="O19" i="18"/>
  <c r="S18" i="18"/>
  <c r="S17" i="18"/>
  <c r="S6" i="18" s="1"/>
  <c r="Q18" i="19"/>
  <c r="Q17" i="19"/>
  <c r="Q6" i="19" s="1"/>
  <c r="P17" i="18"/>
  <c r="P6" i="18" s="1"/>
  <c r="P18" i="18"/>
  <c r="Q19" i="18" s="1"/>
  <c r="P17" i="19"/>
  <c r="P6" i="19" s="1"/>
  <c r="P18" i="19"/>
  <c r="P19" i="19" s="1"/>
  <c r="R17" i="19"/>
  <c r="R6" i="19" s="1"/>
  <c r="R18" i="19"/>
  <c r="T17" i="19"/>
  <c r="T6" i="19" s="1"/>
  <c r="T18" i="19"/>
  <c r="T18" i="18"/>
  <c r="T17" i="18"/>
  <c r="T6" i="18" s="1"/>
  <c r="S17" i="19"/>
  <c r="S6" i="19" s="1"/>
  <c r="S18" i="19"/>
  <c r="L161" i="79" l="1"/>
  <c r="M177" i="79"/>
  <c r="O162" i="79"/>
  <c r="T168" i="79"/>
  <c r="O176" i="79"/>
  <c r="N175" i="79"/>
  <c r="O173" i="79"/>
  <c r="N176" i="79"/>
  <c r="O174" i="79"/>
  <c r="N174" i="79"/>
  <c r="O175" i="79"/>
  <c r="N173" i="79"/>
  <c r="J177" i="78"/>
  <c r="P164" i="78"/>
  <c r="P164" i="79" s="1"/>
  <c r="P172" i="78"/>
  <c r="P172" i="79" s="1"/>
  <c r="P167" i="78"/>
  <c r="P167" i="79" s="1"/>
  <c r="P175" i="78"/>
  <c r="P175" i="79" s="1"/>
  <c r="P162" i="78"/>
  <c r="P170" i="78"/>
  <c r="P170" i="79" s="1"/>
  <c r="P165" i="78"/>
  <c r="P165" i="79" s="1"/>
  <c r="P173" i="78"/>
  <c r="P173" i="79" s="1"/>
  <c r="P168" i="78"/>
  <c r="P168" i="79" s="1"/>
  <c r="P176" i="78"/>
  <c r="P176" i="79" s="1"/>
  <c r="P163" i="78"/>
  <c r="P163" i="79" s="1"/>
  <c r="P171" i="78"/>
  <c r="P171" i="79" s="1"/>
  <c r="P166" i="78"/>
  <c r="P166" i="79" s="1"/>
  <c r="P174" i="78"/>
  <c r="P174" i="79" s="1"/>
  <c r="P161" i="78"/>
  <c r="P169" i="78"/>
  <c r="P169" i="79" s="1"/>
  <c r="N161" i="79"/>
  <c r="N177" i="78"/>
  <c r="T173" i="78"/>
  <c r="T173" i="79" s="1"/>
  <c r="T170" i="78"/>
  <c r="T170" i="79" s="1"/>
  <c r="T175" i="78"/>
  <c r="T175" i="79" s="1"/>
  <c r="T172" i="78"/>
  <c r="T172" i="79" s="1"/>
  <c r="T169" i="78"/>
  <c r="T169" i="79" s="1"/>
  <c r="T174" i="78"/>
  <c r="T174" i="79" s="1"/>
  <c r="T171" i="78"/>
  <c r="T171" i="79" s="1"/>
  <c r="T176" i="78"/>
  <c r="T176" i="79" s="1"/>
  <c r="T165" i="78"/>
  <c r="T165" i="79" s="1"/>
  <c r="T162" i="78"/>
  <c r="T167" i="78"/>
  <c r="T167" i="79" s="1"/>
  <c r="T164" i="78"/>
  <c r="T164" i="79" s="1"/>
  <c r="T161" i="78"/>
  <c r="T166" i="78"/>
  <c r="T166" i="79" s="1"/>
  <c r="T163" i="78"/>
  <c r="T163" i="79" s="1"/>
  <c r="R166" i="78"/>
  <c r="R166" i="79" s="1"/>
  <c r="R174" i="78"/>
  <c r="R174" i="79" s="1"/>
  <c r="R161" i="78"/>
  <c r="R169" i="78"/>
  <c r="R169" i="79" s="1"/>
  <c r="R164" i="78"/>
  <c r="R164" i="79" s="1"/>
  <c r="R172" i="78"/>
  <c r="R172" i="79" s="1"/>
  <c r="R167" i="78"/>
  <c r="R167" i="79" s="1"/>
  <c r="R175" i="78"/>
  <c r="R175" i="79" s="1"/>
  <c r="R162" i="78"/>
  <c r="R170" i="78"/>
  <c r="R170" i="79" s="1"/>
  <c r="R165" i="78"/>
  <c r="R165" i="79" s="1"/>
  <c r="R173" i="78"/>
  <c r="R173" i="79" s="1"/>
  <c r="R168" i="78"/>
  <c r="R168" i="79" s="1"/>
  <c r="R176" i="78"/>
  <c r="R176" i="79" s="1"/>
  <c r="R163" i="78"/>
  <c r="R163" i="79" s="1"/>
  <c r="R171" i="78"/>
  <c r="R171" i="79" s="1"/>
  <c r="L177" i="78"/>
  <c r="Q161" i="78"/>
  <c r="Q169" i="78"/>
  <c r="Q169" i="79" s="1"/>
  <c r="Q164" i="78"/>
  <c r="Q164" i="79" s="1"/>
  <c r="Q172" i="78"/>
  <c r="Q172" i="79" s="1"/>
  <c r="Q167" i="78"/>
  <c r="Q167" i="79" s="1"/>
  <c r="Q175" i="78"/>
  <c r="Q175" i="79" s="1"/>
  <c r="Q162" i="78"/>
  <c r="Q170" i="78"/>
  <c r="Q170" i="79" s="1"/>
  <c r="Q165" i="78"/>
  <c r="Q165" i="79" s="1"/>
  <c r="Q173" i="78"/>
  <c r="Q173" i="79" s="1"/>
  <c r="Q168" i="78"/>
  <c r="Q168" i="79" s="1"/>
  <c r="Q176" i="78"/>
  <c r="Q176" i="79" s="1"/>
  <c r="Q163" i="78"/>
  <c r="Q163" i="79" s="1"/>
  <c r="Q171" i="78"/>
  <c r="Q171" i="79" s="1"/>
  <c r="Q166" i="78"/>
  <c r="Q166" i="79" s="1"/>
  <c r="Q174" i="78"/>
  <c r="Q174" i="79" s="1"/>
  <c r="O161" i="79"/>
  <c r="O177" i="78"/>
  <c r="K177" i="78"/>
  <c r="J177" i="79"/>
  <c r="K177" i="79"/>
  <c r="S19" i="84"/>
  <c r="T19" i="84"/>
  <c r="R19" i="84"/>
  <c r="Q19" i="84"/>
  <c r="P19" i="84"/>
  <c r="S28" i="25"/>
  <c r="S28" i="79"/>
  <c r="S31" i="25"/>
  <c r="S27" i="78" s="1"/>
  <c r="Q41" i="78"/>
  <c r="Q50" i="78"/>
  <c r="Q60" i="78"/>
  <c r="Q59" i="78"/>
  <c r="Q58" i="78"/>
  <c r="Q37" i="78"/>
  <c r="Q45" i="78"/>
  <c r="Q55" i="78"/>
  <c r="Q38" i="78"/>
  <c r="Q46" i="78"/>
  <c r="Q36" i="78"/>
  <c r="Q52" i="78"/>
  <c r="Q49" i="78"/>
  <c r="Q53" i="78"/>
  <c r="Q43" i="78"/>
  <c r="Q57" i="78"/>
  <c r="Q47" i="78"/>
  <c r="Q42" i="78"/>
  <c r="Q54" i="78"/>
  <c r="Q40" i="78"/>
  <c r="Q48" i="78"/>
  <c r="Q56" i="78"/>
  <c r="Q51" i="78"/>
  <c r="Q44" i="78"/>
  <c r="Q39" i="78"/>
  <c r="Q34" i="78"/>
  <c r="Q35" i="78"/>
  <c r="R52" i="78"/>
  <c r="R40" i="78"/>
  <c r="R41" i="78"/>
  <c r="R51" i="78"/>
  <c r="R48" i="78"/>
  <c r="R47" i="78"/>
  <c r="R58" i="78"/>
  <c r="R56" i="78"/>
  <c r="R38" i="78"/>
  <c r="R39" i="78"/>
  <c r="R45" i="78"/>
  <c r="R42" i="78"/>
  <c r="R46" i="78"/>
  <c r="R53" i="78"/>
  <c r="R36" i="78"/>
  <c r="R55" i="78"/>
  <c r="R50" i="78"/>
  <c r="R43" i="78"/>
  <c r="R59" i="78"/>
  <c r="R54" i="78"/>
  <c r="R35" i="78"/>
  <c r="R44" i="78"/>
  <c r="R57" i="78"/>
  <c r="R60" i="78"/>
  <c r="R37" i="78"/>
  <c r="R34" i="78"/>
  <c r="R49" i="78"/>
  <c r="P60" i="79"/>
  <c r="P42" i="79"/>
  <c r="P58" i="79"/>
  <c r="P39" i="79"/>
  <c r="P34" i="79"/>
  <c r="P51" i="79"/>
  <c r="P36" i="79"/>
  <c r="P52" i="79"/>
  <c r="P50" i="79"/>
  <c r="P49" i="79"/>
  <c r="P41" i="79"/>
  <c r="P35" i="79"/>
  <c r="P56" i="79"/>
  <c r="P44" i="79"/>
  <c r="P45" i="79"/>
  <c r="P47" i="79"/>
  <c r="P55" i="79"/>
  <c r="P59" i="79"/>
  <c r="P38" i="79"/>
  <c r="P40" i="79"/>
  <c r="P43" i="79"/>
  <c r="P53" i="79"/>
  <c r="P48" i="79"/>
  <c r="P46" i="79"/>
  <c r="P54" i="79"/>
  <c r="P37" i="79"/>
  <c r="P57" i="79"/>
  <c r="R58" i="79"/>
  <c r="R55" i="79"/>
  <c r="R59" i="79"/>
  <c r="R40" i="79"/>
  <c r="R56" i="79"/>
  <c r="R38" i="79"/>
  <c r="R51" i="79"/>
  <c r="R41" i="79"/>
  <c r="R45" i="79"/>
  <c r="R46" i="79"/>
  <c r="R35" i="79"/>
  <c r="R50" i="79"/>
  <c r="R36" i="79"/>
  <c r="R44" i="79"/>
  <c r="R54" i="79"/>
  <c r="R47" i="79"/>
  <c r="R34" i="79"/>
  <c r="R37" i="79"/>
  <c r="R52" i="79"/>
  <c r="R43" i="79"/>
  <c r="R49" i="79"/>
  <c r="R53" i="79"/>
  <c r="R57" i="79"/>
  <c r="R48" i="79"/>
  <c r="R60" i="79"/>
  <c r="R42" i="79"/>
  <c r="R39" i="79"/>
  <c r="N62" i="79"/>
  <c r="P34" i="78"/>
  <c r="P39" i="78"/>
  <c r="P49" i="78"/>
  <c r="P57" i="78"/>
  <c r="P54" i="78"/>
  <c r="P58" i="78"/>
  <c r="P37" i="78"/>
  <c r="P51" i="78"/>
  <c r="P60" i="78"/>
  <c r="P53" i="78"/>
  <c r="P35" i="78"/>
  <c r="P59" i="78"/>
  <c r="P45" i="78"/>
  <c r="P50" i="78"/>
  <c r="P47" i="78"/>
  <c r="P48" i="78"/>
  <c r="P52" i="78"/>
  <c r="P55" i="78"/>
  <c r="P46" i="78"/>
  <c r="P40" i="78"/>
  <c r="P43" i="78"/>
  <c r="P44" i="78"/>
  <c r="P42" i="78"/>
  <c r="P56" i="78"/>
  <c r="P38" i="78"/>
  <c r="P41" i="78"/>
  <c r="P36" i="78"/>
  <c r="O62" i="78"/>
  <c r="T53" i="79"/>
  <c r="T46" i="79"/>
  <c r="T45" i="79"/>
  <c r="T60" i="79"/>
  <c r="T34" i="79"/>
  <c r="T55" i="79"/>
  <c r="T59" i="79"/>
  <c r="T56" i="79"/>
  <c r="T51" i="79"/>
  <c r="T35" i="79"/>
  <c r="T52" i="79"/>
  <c r="T50" i="79"/>
  <c r="T40" i="79"/>
  <c r="T36" i="79"/>
  <c r="T47" i="79"/>
  <c r="T37" i="79"/>
  <c r="T44" i="79"/>
  <c r="T58" i="79"/>
  <c r="T54" i="79"/>
  <c r="T48" i="79"/>
  <c r="T43" i="79"/>
  <c r="T41" i="79"/>
  <c r="T49" i="79"/>
  <c r="T39" i="79"/>
  <c r="T38" i="79"/>
  <c r="T57" i="79"/>
  <c r="T42" i="79"/>
  <c r="Q41" i="79"/>
  <c r="Q52" i="79"/>
  <c r="Q60" i="79"/>
  <c r="Q40" i="79"/>
  <c r="Q50" i="79"/>
  <c r="Q58" i="79"/>
  <c r="Q43" i="79"/>
  <c r="Q34" i="79"/>
  <c r="Q47" i="79"/>
  <c r="Q38" i="79"/>
  <c r="Q39" i="79"/>
  <c r="Q46" i="79"/>
  <c r="Q49" i="79"/>
  <c r="Q36" i="79"/>
  <c r="Q44" i="79"/>
  <c r="Q35" i="79"/>
  <c r="Q37" i="79"/>
  <c r="Q48" i="79"/>
  <c r="Q54" i="79"/>
  <c r="Q57" i="79"/>
  <c r="Q56" i="79"/>
  <c r="Q53" i="79"/>
  <c r="Q55" i="79"/>
  <c r="Q42" i="79"/>
  <c r="Q45" i="79"/>
  <c r="Q51" i="79"/>
  <c r="Q59" i="79"/>
  <c r="T54" i="78"/>
  <c r="T42" i="78"/>
  <c r="T49" i="78"/>
  <c r="T59" i="78"/>
  <c r="T34" i="78"/>
  <c r="T45" i="78"/>
  <c r="T46" i="78"/>
  <c r="T56" i="78"/>
  <c r="T52" i="78"/>
  <c r="T35" i="78"/>
  <c r="T47" i="78"/>
  <c r="T40" i="78"/>
  <c r="T50" i="78"/>
  <c r="T53" i="78"/>
  <c r="T36" i="78"/>
  <c r="T58" i="78"/>
  <c r="T48" i="78"/>
  <c r="T37" i="78"/>
  <c r="T51" i="78"/>
  <c r="T60" i="78"/>
  <c r="T39" i="78"/>
  <c r="T55" i="78"/>
  <c r="T38" i="78"/>
  <c r="T41" i="78"/>
  <c r="T43" i="78"/>
  <c r="T57" i="78"/>
  <c r="T44" i="78"/>
  <c r="O62" i="79"/>
  <c r="N62" i="78"/>
  <c r="R19" i="77"/>
  <c r="T19" i="82"/>
  <c r="R19" i="82"/>
  <c r="S43" i="25"/>
  <c r="T43" i="25" s="1"/>
  <c r="S19" i="82"/>
  <c r="Q19" i="82"/>
  <c r="J400" i="53"/>
  <c r="J401" i="53"/>
  <c r="J404" i="53"/>
  <c r="J399" i="53"/>
  <c r="J405" i="53"/>
  <c r="J398" i="53"/>
  <c r="J406" i="53"/>
  <c r="J402" i="53"/>
  <c r="J403" i="53"/>
  <c r="J428" i="53"/>
  <c r="J429" i="53"/>
  <c r="J427" i="53"/>
  <c r="J432" i="53"/>
  <c r="J426" i="53"/>
  <c r="J430" i="53"/>
  <c r="J434" i="53"/>
  <c r="J433" i="53"/>
  <c r="J431" i="53"/>
  <c r="J412" i="53"/>
  <c r="J418" i="53"/>
  <c r="J413" i="53"/>
  <c r="J419" i="53"/>
  <c r="J415" i="53"/>
  <c r="J420" i="53"/>
  <c r="J414" i="53"/>
  <c r="J417" i="53"/>
  <c r="J416" i="53"/>
  <c r="J97" i="53"/>
  <c r="J98" i="53"/>
  <c r="J102" i="53"/>
  <c r="J96" i="53"/>
  <c r="J95" i="53"/>
  <c r="J99" i="53"/>
  <c r="J100" i="53"/>
  <c r="J101" i="53"/>
  <c r="J103" i="53"/>
  <c r="J113" i="53"/>
  <c r="J116" i="53"/>
  <c r="J112" i="53"/>
  <c r="J114" i="53"/>
  <c r="J117" i="53"/>
  <c r="J110" i="53"/>
  <c r="J111" i="53"/>
  <c r="J115" i="53"/>
  <c r="J109" i="53"/>
  <c r="J125" i="53"/>
  <c r="J129" i="53"/>
  <c r="J128" i="53"/>
  <c r="J126" i="53"/>
  <c r="J124" i="53"/>
  <c r="J130" i="53"/>
  <c r="J123" i="53"/>
  <c r="J131" i="53"/>
  <c r="J127" i="53"/>
  <c r="J371" i="49"/>
  <c r="J369" i="49"/>
  <c r="J370" i="49"/>
  <c r="J372" i="49"/>
  <c r="J368" i="49"/>
  <c r="J378" i="49"/>
  <c r="J382" i="49"/>
  <c r="J380" i="49"/>
  <c r="J381" i="49"/>
  <c r="J379" i="49"/>
  <c r="J359" i="49"/>
  <c r="J362" i="49"/>
  <c r="J360" i="49"/>
  <c r="J358" i="49"/>
  <c r="J361" i="49"/>
  <c r="J106" i="49"/>
  <c r="J105" i="49"/>
  <c r="J103" i="49"/>
  <c r="J107" i="49"/>
  <c r="J104" i="49"/>
  <c r="J85" i="49"/>
  <c r="J86" i="49"/>
  <c r="J84" i="49"/>
  <c r="J87" i="49"/>
  <c r="J83" i="49"/>
  <c r="J96" i="49"/>
  <c r="J95" i="49"/>
  <c r="J94" i="49"/>
  <c r="J97" i="49"/>
  <c r="J93" i="49"/>
  <c r="J379" i="41"/>
  <c r="J377" i="41"/>
  <c r="J378" i="41"/>
  <c r="J380" i="41"/>
  <c r="J376" i="41"/>
  <c r="J382" i="41"/>
  <c r="J381" i="41"/>
  <c r="J366" i="41"/>
  <c r="J364" i="41"/>
  <c r="J367" i="41"/>
  <c r="J369" i="41"/>
  <c r="J370" i="41"/>
  <c r="J368" i="41"/>
  <c r="J365" i="41"/>
  <c r="J393" i="41"/>
  <c r="J391" i="41"/>
  <c r="J388" i="41"/>
  <c r="J392" i="41"/>
  <c r="J394" i="41"/>
  <c r="J389" i="41"/>
  <c r="J390" i="41"/>
  <c r="J85" i="41"/>
  <c r="J86" i="41"/>
  <c r="J84" i="41"/>
  <c r="J87" i="41"/>
  <c r="J83" i="41"/>
  <c r="J106" i="41"/>
  <c r="J105" i="41"/>
  <c r="J104" i="41"/>
  <c r="J103" i="41"/>
  <c r="J107" i="41"/>
  <c r="J96" i="41"/>
  <c r="J95" i="41"/>
  <c r="J94" i="41"/>
  <c r="J97" i="41"/>
  <c r="J93" i="41"/>
  <c r="J122" i="29"/>
  <c r="J126" i="29"/>
  <c r="J121" i="29"/>
  <c r="J129" i="29"/>
  <c r="J127" i="29"/>
  <c r="J130" i="29"/>
  <c r="J123" i="29"/>
  <c r="J132" i="29"/>
  <c r="J125" i="29"/>
  <c r="J128" i="29"/>
  <c r="J131" i="29"/>
  <c r="J124" i="29"/>
  <c r="J109" i="29"/>
  <c r="J105" i="29"/>
  <c r="J113" i="29"/>
  <c r="J108" i="29"/>
  <c r="J106" i="29"/>
  <c r="J114" i="29"/>
  <c r="J104" i="29"/>
  <c r="J107" i="29"/>
  <c r="J110" i="29"/>
  <c r="J112" i="29"/>
  <c r="J115" i="29"/>
  <c r="J111" i="29"/>
  <c r="J139" i="29"/>
  <c r="J145" i="29"/>
  <c r="J147" i="29"/>
  <c r="J138" i="29"/>
  <c r="J140" i="29"/>
  <c r="J146" i="29"/>
  <c r="J148" i="29"/>
  <c r="J149" i="29"/>
  <c r="J142" i="29"/>
  <c r="J144" i="29"/>
  <c r="J143" i="29"/>
  <c r="J141" i="29"/>
  <c r="J147" i="18"/>
  <c r="J155" i="18"/>
  <c r="J144" i="18"/>
  <c r="J145" i="18"/>
  <c r="J148" i="18"/>
  <c r="J143" i="18"/>
  <c r="J153" i="18"/>
  <c r="J152" i="18"/>
  <c r="J146" i="18"/>
  <c r="J154" i="18"/>
  <c r="J135" i="18"/>
  <c r="J136" i="18"/>
  <c r="J137" i="18"/>
  <c r="J125" i="18"/>
  <c r="J127" i="18"/>
  <c r="J128" i="18"/>
  <c r="J129" i="18"/>
  <c r="J130" i="18"/>
  <c r="J134" i="18"/>
  <c r="J126" i="18"/>
  <c r="J111" i="18"/>
  <c r="J117" i="18"/>
  <c r="J112" i="18"/>
  <c r="J108" i="18"/>
  <c r="J118" i="18"/>
  <c r="J109" i="18"/>
  <c r="J110" i="18"/>
  <c r="J116" i="18"/>
  <c r="J119" i="18"/>
  <c r="J107" i="18"/>
  <c r="S19" i="33"/>
  <c r="Q19" i="75"/>
  <c r="S19" i="81"/>
  <c r="Q19" i="81"/>
  <c r="T19" i="81"/>
  <c r="P19" i="81"/>
  <c r="S27" i="79"/>
  <c r="S45" i="25"/>
  <c r="T45" i="25" s="1"/>
  <c r="R19" i="81"/>
  <c r="S42" i="25"/>
  <c r="T42" i="25" s="1"/>
  <c r="Q6" i="78"/>
  <c r="R6" i="78"/>
  <c r="P6" i="78"/>
  <c r="Q19" i="41"/>
  <c r="J81" i="69"/>
  <c r="J82" i="69"/>
  <c r="J89" i="69"/>
  <c r="J88" i="69"/>
  <c r="J74" i="69"/>
  <c r="J75" i="69"/>
  <c r="J336" i="69"/>
  <c r="J337" i="69"/>
  <c r="J330" i="69"/>
  <c r="J329" i="69"/>
  <c r="J344" i="69"/>
  <c r="J343" i="69"/>
  <c r="Q19" i="80"/>
  <c r="S19" i="37"/>
  <c r="P19" i="80"/>
  <c r="T19" i="78"/>
  <c r="R19" i="27"/>
  <c r="T19" i="27"/>
  <c r="T19" i="29"/>
  <c r="S19" i="57"/>
  <c r="S19" i="75"/>
  <c r="S19" i="41"/>
  <c r="Q19" i="45"/>
  <c r="R19" i="45"/>
  <c r="S19" i="45"/>
  <c r="T19" i="41"/>
  <c r="R19" i="37"/>
  <c r="T19" i="33"/>
  <c r="T19" i="57"/>
  <c r="K326" i="45"/>
  <c r="K801" i="61"/>
  <c r="K284" i="69"/>
  <c r="K539" i="69"/>
  <c r="K289" i="61"/>
  <c r="K305" i="37"/>
  <c r="K580" i="19"/>
  <c r="K319" i="57"/>
  <c r="K305" i="41"/>
  <c r="K546" i="61"/>
  <c r="K333" i="53"/>
  <c r="K305" i="49"/>
  <c r="K305" i="19"/>
  <c r="K30" i="69"/>
  <c r="K30" i="77"/>
  <c r="K30" i="61"/>
  <c r="K30" i="41"/>
  <c r="K30" i="49"/>
  <c r="K30" i="75"/>
  <c r="K30" i="57"/>
  <c r="K30" i="37"/>
  <c r="K30" i="45"/>
  <c r="K30" i="33"/>
  <c r="K30" i="53"/>
  <c r="K30" i="29"/>
  <c r="K30" i="19"/>
  <c r="K30" i="18"/>
  <c r="P19" i="29"/>
  <c r="J605" i="61"/>
  <c r="J606" i="61"/>
  <c r="J81" i="33"/>
  <c r="J82" i="33"/>
  <c r="Q19" i="49"/>
  <c r="T19" i="80"/>
  <c r="R19" i="41"/>
  <c r="P19" i="41"/>
  <c r="J87" i="61"/>
  <c r="J86" i="61"/>
  <c r="J359" i="19"/>
  <c r="J361" i="19"/>
  <c r="J358" i="19"/>
  <c r="J362" i="19"/>
  <c r="J360" i="19"/>
  <c r="T19" i="49"/>
  <c r="P19" i="49"/>
  <c r="R19" i="49"/>
  <c r="T19" i="75"/>
  <c r="T19" i="77"/>
  <c r="R19" i="78"/>
  <c r="J89" i="33"/>
  <c r="J88" i="33"/>
  <c r="J123" i="45"/>
  <c r="J121" i="45"/>
  <c r="J118" i="45"/>
  <c r="J125" i="45"/>
  <c r="J124" i="45"/>
  <c r="J119" i="45"/>
  <c r="J120" i="45"/>
  <c r="J122" i="45"/>
  <c r="J860" i="61"/>
  <c r="J861" i="61"/>
  <c r="S19" i="29"/>
  <c r="T19" i="37"/>
  <c r="J391" i="57"/>
  <c r="J389" i="57"/>
  <c r="J386" i="57"/>
  <c r="J387" i="57"/>
  <c r="J390" i="57"/>
  <c r="J388" i="57"/>
  <c r="J599" i="61"/>
  <c r="J598" i="61"/>
  <c r="J95" i="45"/>
  <c r="J98" i="45"/>
  <c r="J92" i="45"/>
  <c r="J94" i="45"/>
  <c r="J93" i="45"/>
  <c r="J99" i="45"/>
  <c r="J96" i="45"/>
  <c r="J97" i="45"/>
  <c r="J84" i="37"/>
  <c r="J87" i="37"/>
  <c r="J85" i="37"/>
  <c r="J83" i="37"/>
  <c r="J86" i="37"/>
  <c r="K538" i="69"/>
  <c r="K325" i="45"/>
  <c r="K545" i="61"/>
  <c r="K304" i="41"/>
  <c r="K288" i="61"/>
  <c r="K304" i="37"/>
  <c r="K579" i="19"/>
  <c r="K304" i="49"/>
  <c r="K332" i="53"/>
  <c r="K304" i="19"/>
  <c r="K800" i="61"/>
  <c r="K283" i="69"/>
  <c r="K318" i="57"/>
  <c r="K29" i="75"/>
  <c r="K29" i="45"/>
  <c r="K29" i="69"/>
  <c r="K29" i="53"/>
  <c r="K29" i="33"/>
  <c r="K29" i="77"/>
  <c r="K29" i="61"/>
  <c r="K29" i="41"/>
  <c r="K29" i="49"/>
  <c r="K29" i="57"/>
  <c r="K29" i="37"/>
  <c r="K29" i="29"/>
  <c r="K29" i="19"/>
  <c r="K29" i="18"/>
  <c r="P19" i="57"/>
  <c r="T19" i="69"/>
  <c r="R19" i="69"/>
  <c r="J103" i="19"/>
  <c r="J104" i="19"/>
  <c r="J105" i="19"/>
  <c r="J106" i="19"/>
  <c r="J107" i="19"/>
  <c r="J182" i="75"/>
  <c r="J181" i="75"/>
  <c r="J178" i="75"/>
  <c r="J196" i="75"/>
  <c r="J188" i="75"/>
  <c r="J184" i="75"/>
  <c r="J189" i="75"/>
  <c r="J183" i="75"/>
  <c r="J186" i="75"/>
  <c r="J191" i="75"/>
  <c r="J190" i="75"/>
  <c r="J192" i="75"/>
  <c r="J195" i="75"/>
  <c r="J179" i="75"/>
  <c r="J185" i="75"/>
  <c r="J187" i="75"/>
  <c r="J194" i="75"/>
  <c r="J180" i="75"/>
  <c r="J197" i="75"/>
  <c r="J193" i="75"/>
  <c r="J103" i="37"/>
  <c r="J106" i="37"/>
  <c r="J104" i="37"/>
  <c r="J105" i="37"/>
  <c r="J107" i="37"/>
  <c r="J656" i="19"/>
  <c r="J655" i="19"/>
  <c r="J653" i="19"/>
  <c r="J654" i="19"/>
  <c r="J657" i="19"/>
  <c r="R19" i="29"/>
  <c r="R19" i="57"/>
  <c r="J105" i="45"/>
  <c r="J107" i="45"/>
  <c r="J108" i="45"/>
  <c r="J106" i="45"/>
  <c r="J109" i="45"/>
  <c r="J112" i="45"/>
  <c r="J111" i="45"/>
  <c r="J110" i="45"/>
  <c r="J344" i="61"/>
  <c r="J343" i="61"/>
  <c r="J378" i="45"/>
  <c r="J377" i="45"/>
  <c r="T19" i="79"/>
  <c r="J75" i="33"/>
  <c r="J74" i="33"/>
  <c r="J95" i="57"/>
  <c r="J91" i="57"/>
  <c r="J93" i="57"/>
  <c r="J92" i="57"/>
  <c r="J94" i="57"/>
  <c r="J90" i="57"/>
  <c r="J89" i="57"/>
  <c r="J634" i="19"/>
  <c r="J636" i="19"/>
  <c r="J637" i="19"/>
  <c r="J635" i="19"/>
  <c r="J633" i="19"/>
  <c r="R19" i="33"/>
  <c r="S19" i="69"/>
  <c r="S19" i="49"/>
  <c r="Q19" i="78"/>
  <c r="P19" i="78"/>
  <c r="J381" i="19"/>
  <c r="J378" i="19"/>
  <c r="J379" i="19"/>
  <c r="J380" i="19"/>
  <c r="J382" i="19"/>
  <c r="R19" i="61"/>
  <c r="Q19" i="61"/>
  <c r="P19" i="61"/>
  <c r="T19" i="61"/>
  <c r="J370" i="45"/>
  <c r="J371" i="45"/>
  <c r="S19" i="61"/>
  <c r="J116" i="57"/>
  <c r="J114" i="57"/>
  <c r="J118" i="57"/>
  <c r="J117" i="57"/>
  <c r="J113" i="57"/>
  <c r="J115" i="57"/>
  <c r="J119" i="57"/>
  <c r="J363" i="37"/>
  <c r="J364" i="37"/>
  <c r="K290" i="61"/>
  <c r="K306" i="37"/>
  <c r="K581" i="19"/>
  <c r="K306" i="49"/>
  <c r="K334" i="53"/>
  <c r="K306" i="19"/>
  <c r="K320" i="57"/>
  <c r="K802" i="61"/>
  <c r="K285" i="69"/>
  <c r="K327" i="45"/>
  <c r="K547" i="61"/>
  <c r="K306" i="41"/>
  <c r="K540" i="69"/>
  <c r="K31" i="61"/>
  <c r="K31" i="41"/>
  <c r="K31" i="75"/>
  <c r="K31" i="57"/>
  <c r="K31" i="37"/>
  <c r="K31" i="45"/>
  <c r="K31" i="69"/>
  <c r="K31" i="53"/>
  <c r="K31" i="33"/>
  <c r="K31" i="77"/>
  <c r="K31" i="49"/>
  <c r="K31" i="29"/>
  <c r="K31" i="18"/>
  <c r="K31" i="19"/>
  <c r="J101" i="57"/>
  <c r="J104" i="57"/>
  <c r="J106" i="57"/>
  <c r="J107" i="57"/>
  <c r="J103" i="57"/>
  <c r="J105" i="57"/>
  <c r="J102" i="57"/>
  <c r="J356" i="37"/>
  <c r="J357" i="37"/>
  <c r="J600" i="69"/>
  <c r="J598" i="69"/>
  <c r="J601" i="69"/>
  <c r="J599" i="69"/>
  <c r="S19" i="77"/>
  <c r="J145" i="75"/>
  <c r="J143" i="75"/>
  <c r="J134" i="75"/>
  <c r="J144" i="75"/>
  <c r="J135" i="75"/>
  <c r="J146" i="75"/>
  <c r="J136" i="75"/>
  <c r="J147" i="75"/>
  <c r="J133" i="75"/>
  <c r="J138" i="75"/>
  <c r="J128" i="75"/>
  <c r="J141" i="75"/>
  <c r="J139" i="75"/>
  <c r="J130" i="75"/>
  <c r="J137" i="75"/>
  <c r="J142" i="75"/>
  <c r="J132" i="75"/>
  <c r="J129" i="75"/>
  <c r="J140" i="75"/>
  <c r="J131" i="75"/>
  <c r="J846" i="61"/>
  <c r="J847" i="61"/>
  <c r="J349" i="37"/>
  <c r="J350" i="37"/>
  <c r="Q19" i="53"/>
  <c r="P19" i="53"/>
  <c r="T19" i="53"/>
  <c r="R19" i="53"/>
  <c r="S19" i="53"/>
  <c r="S19" i="78"/>
  <c r="T19" i="25"/>
  <c r="R19" i="75"/>
  <c r="J351" i="61"/>
  <c r="J350" i="61"/>
  <c r="S19" i="80"/>
  <c r="J96" i="19"/>
  <c r="J95" i="19"/>
  <c r="J94" i="19"/>
  <c r="J93" i="19"/>
  <c r="J97" i="19"/>
  <c r="J161" i="75"/>
  <c r="J166" i="75"/>
  <c r="J157" i="75"/>
  <c r="J169" i="75"/>
  <c r="J172" i="75"/>
  <c r="J160" i="75"/>
  <c r="J162" i="75"/>
  <c r="J159" i="75"/>
  <c r="J163" i="75"/>
  <c r="J170" i="75"/>
  <c r="J156" i="75"/>
  <c r="J154" i="75"/>
  <c r="J171" i="75"/>
  <c r="J153" i="75"/>
  <c r="J165" i="75"/>
  <c r="J158" i="75"/>
  <c r="J168" i="75"/>
  <c r="J155" i="75"/>
  <c r="J167" i="75"/>
  <c r="J164" i="75"/>
  <c r="J646" i="19"/>
  <c r="J643" i="19"/>
  <c r="J647" i="19"/>
  <c r="J644" i="19"/>
  <c r="J645" i="19"/>
  <c r="Q19" i="33"/>
  <c r="J336" i="61"/>
  <c r="J337" i="61"/>
  <c r="J93" i="61"/>
  <c r="J94" i="61"/>
  <c r="J608" i="69"/>
  <c r="J610" i="69"/>
  <c r="J607" i="69"/>
  <c r="J609" i="69"/>
  <c r="S19" i="25"/>
  <c r="Q19" i="37"/>
  <c r="P19" i="37"/>
  <c r="J81" i="77"/>
  <c r="J82" i="77"/>
  <c r="J371" i="19"/>
  <c r="J372" i="19"/>
  <c r="J369" i="19"/>
  <c r="J368" i="19"/>
  <c r="J370" i="19"/>
  <c r="J854" i="61"/>
  <c r="J853" i="61"/>
  <c r="Q19" i="29"/>
  <c r="J87" i="19"/>
  <c r="J86" i="19"/>
  <c r="J85" i="19"/>
  <c r="J83" i="19"/>
  <c r="J84" i="19"/>
  <c r="J79" i="61"/>
  <c r="J80" i="61"/>
  <c r="J589" i="69"/>
  <c r="J591" i="69"/>
  <c r="J592" i="69"/>
  <c r="J590" i="69"/>
  <c r="T19" i="45"/>
  <c r="J88" i="77"/>
  <c r="J89" i="77"/>
  <c r="J385" i="45"/>
  <c r="J384" i="45"/>
  <c r="J399" i="57"/>
  <c r="J402" i="57"/>
  <c r="J401" i="57"/>
  <c r="J398" i="57"/>
  <c r="J397" i="57"/>
  <c r="J400" i="57"/>
  <c r="J97" i="37"/>
  <c r="J93" i="37"/>
  <c r="J96" i="37"/>
  <c r="J94" i="37"/>
  <c r="J95" i="37"/>
  <c r="J75" i="77"/>
  <c r="J74" i="77"/>
  <c r="J378" i="57"/>
  <c r="J379" i="57"/>
  <c r="J380" i="57"/>
  <c r="J377" i="57"/>
  <c r="J376" i="57"/>
  <c r="J375" i="57"/>
  <c r="J591" i="61"/>
  <c r="J592" i="61"/>
  <c r="R19" i="80"/>
  <c r="R19" i="18"/>
  <c r="R19" i="19"/>
  <c r="T19" i="19"/>
  <c r="S19" i="19"/>
  <c r="S19" i="18"/>
  <c r="P19" i="18"/>
  <c r="T19" i="18"/>
  <c r="Q19" i="19"/>
  <c r="L177" i="79" l="1"/>
  <c r="P162" i="79"/>
  <c r="R162" i="79"/>
  <c r="T162" i="79"/>
  <c r="Q162" i="79"/>
  <c r="O177" i="79"/>
  <c r="N177" i="79"/>
  <c r="Q161" i="79"/>
  <c r="Q177" i="78"/>
  <c r="R177" i="78"/>
  <c r="R161" i="79"/>
  <c r="P161" i="79"/>
  <c r="P177" i="78"/>
  <c r="S163" i="78"/>
  <c r="S163" i="79" s="1"/>
  <c r="S166" i="78"/>
  <c r="S166" i="79" s="1"/>
  <c r="S161" i="78"/>
  <c r="S164" i="78"/>
  <c r="S164" i="79" s="1"/>
  <c r="S167" i="78"/>
  <c r="S167" i="79" s="1"/>
  <c r="S162" i="78"/>
  <c r="S165" i="78"/>
  <c r="S165" i="79" s="1"/>
  <c r="S168" i="78"/>
  <c r="S168" i="79" s="1"/>
  <c r="S171" i="78"/>
  <c r="S171" i="79" s="1"/>
  <c r="S174" i="78"/>
  <c r="S174" i="79" s="1"/>
  <c r="S169" i="78"/>
  <c r="S169" i="79" s="1"/>
  <c r="S172" i="78"/>
  <c r="S172" i="79" s="1"/>
  <c r="S175" i="78"/>
  <c r="S175" i="79" s="1"/>
  <c r="S170" i="78"/>
  <c r="S170" i="79" s="1"/>
  <c r="S173" i="78"/>
  <c r="S173" i="79" s="1"/>
  <c r="S176" i="78"/>
  <c r="S176" i="79" s="1"/>
  <c r="T177" i="78"/>
  <c r="T161" i="79"/>
  <c r="Q62" i="79"/>
  <c r="P62" i="78"/>
  <c r="R62" i="79"/>
  <c r="S35" i="78"/>
  <c r="S43" i="78"/>
  <c r="S52" i="78"/>
  <c r="S59" i="78"/>
  <c r="S38" i="78"/>
  <c r="S47" i="78"/>
  <c r="S58" i="78"/>
  <c r="S36" i="78"/>
  <c r="S60" i="78"/>
  <c r="S55" i="78"/>
  <c r="S46" i="78"/>
  <c r="S37" i="78"/>
  <c r="S51" i="78"/>
  <c r="S39" i="78"/>
  <c r="S48" i="78"/>
  <c r="S49" i="78"/>
  <c r="S34" i="78"/>
  <c r="S42" i="78"/>
  <c r="S53" i="78"/>
  <c r="S44" i="78"/>
  <c r="S40" i="78"/>
  <c r="S41" i="78"/>
  <c r="S50" i="78"/>
  <c r="S56" i="78"/>
  <c r="S45" i="78"/>
  <c r="S54" i="78"/>
  <c r="S57" i="78"/>
  <c r="S39" i="79"/>
  <c r="S46" i="79"/>
  <c r="S52" i="79"/>
  <c r="S47" i="79"/>
  <c r="S37" i="79"/>
  <c r="S45" i="79"/>
  <c r="S38" i="79"/>
  <c r="S54" i="79"/>
  <c r="S58" i="79"/>
  <c r="S40" i="79"/>
  <c r="S35" i="79"/>
  <c r="S56" i="79"/>
  <c r="S36" i="79"/>
  <c r="S60" i="79"/>
  <c r="S53" i="79"/>
  <c r="S43" i="79"/>
  <c r="S59" i="79"/>
  <c r="S51" i="79"/>
  <c r="S48" i="79"/>
  <c r="S57" i="79"/>
  <c r="S34" i="79"/>
  <c r="S42" i="79"/>
  <c r="S44" i="79"/>
  <c r="S41" i="79"/>
  <c r="S49" i="79"/>
  <c r="S55" i="79"/>
  <c r="S50" i="79"/>
  <c r="R62" i="78"/>
  <c r="T62" i="78"/>
  <c r="P62" i="79"/>
  <c r="Q62" i="78"/>
  <c r="T62" i="79"/>
  <c r="J444" i="53"/>
  <c r="J448" i="53"/>
  <c r="J436" i="53"/>
  <c r="J408" i="53"/>
  <c r="J440" i="53"/>
  <c r="J447" i="53"/>
  <c r="K398" i="53"/>
  <c r="K406" i="53"/>
  <c r="K401" i="53"/>
  <c r="K404" i="53"/>
  <c r="K402" i="53"/>
  <c r="K399" i="53"/>
  <c r="K405" i="53"/>
  <c r="K403" i="53"/>
  <c r="K400" i="53"/>
  <c r="J441" i="53"/>
  <c r="J115" i="49"/>
  <c r="J143" i="53"/>
  <c r="J422" i="53"/>
  <c r="J446" i="53"/>
  <c r="K426" i="53"/>
  <c r="K434" i="53"/>
  <c r="K431" i="53"/>
  <c r="K433" i="53"/>
  <c r="K430" i="53"/>
  <c r="K432" i="53"/>
  <c r="K429" i="53"/>
  <c r="K427" i="53"/>
  <c r="K428" i="53"/>
  <c r="K417" i="53"/>
  <c r="K415" i="53"/>
  <c r="K416" i="53"/>
  <c r="K419" i="53"/>
  <c r="K412" i="53"/>
  <c r="K420" i="53"/>
  <c r="K418" i="53"/>
  <c r="K414" i="53"/>
  <c r="K413" i="53"/>
  <c r="J142" i="53"/>
  <c r="J443" i="53"/>
  <c r="J389" i="49"/>
  <c r="J141" i="53"/>
  <c r="J445" i="53"/>
  <c r="J442" i="53"/>
  <c r="J374" i="49"/>
  <c r="K95" i="53"/>
  <c r="K103" i="53"/>
  <c r="K98" i="53"/>
  <c r="K99" i="53"/>
  <c r="K97" i="53"/>
  <c r="K96" i="53"/>
  <c r="K100" i="53"/>
  <c r="K101" i="53"/>
  <c r="K102" i="53"/>
  <c r="J137" i="53"/>
  <c r="J105" i="53"/>
  <c r="K112" i="53"/>
  <c r="K110" i="53"/>
  <c r="K114" i="53"/>
  <c r="K117" i="53"/>
  <c r="K109" i="53"/>
  <c r="K111" i="53"/>
  <c r="K113" i="53"/>
  <c r="K116" i="53"/>
  <c r="K115" i="53"/>
  <c r="J138" i="53"/>
  <c r="K129" i="53"/>
  <c r="K127" i="53"/>
  <c r="K124" i="53"/>
  <c r="K128" i="53"/>
  <c r="K130" i="53"/>
  <c r="K126" i="53"/>
  <c r="K123" i="53"/>
  <c r="K125" i="53"/>
  <c r="K131" i="53"/>
  <c r="J144" i="53"/>
  <c r="J114" i="49"/>
  <c r="J391" i="49"/>
  <c r="J119" i="53"/>
  <c r="J140" i="53"/>
  <c r="J99" i="49"/>
  <c r="J133" i="53"/>
  <c r="J145" i="53"/>
  <c r="J139" i="53"/>
  <c r="J116" i="49"/>
  <c r="J364" i="49"/>
  <c r="J388" i="49"/>
  <c r="J384" i="49"/>
  <c r="K368" i="49"/>
  <c r="K371" i="49"/>
  <c r="K372" i="49"/>
  <c r="K370" i="49"/>
  <c r="K369" i="49"/>
  <c r="J390" i="49"/>
  <c r="J392" i="49"/>
  <c r="K361" i="49"/>
  <c r="K359" i="49"/>
  <c r="K362" i="49"/>
  <c r="K360" i="49"/>
  <c r="K358" i="49"/>
  <c r="K381" i="49"/>
  <c r="K380" i="49"/>
  <c r="K382" i="49"/>
  <c r="K378" i="49"/>
  <c r="K379" i="49"/>
  <c r="K86" i="49"/>
  <c r="K87" i="49"/>
  <c r="K83" i="49"/>
  <c r="K84" i="49"/>
  <c r="K85" i="49"/>
  <c r="K106" i="49"/>
  <c r="K105" i="49"/>
  <c r="K107" i="49"/>
  <c r="K104" i="49"/>
  <c r="K103" i="49"/>
  <c r="K93" i="49"/>
  <c r="K97" i="49"/>
  <c r="K96" i="49"/>
  <c r="K95" i="49"/>
  <c r="K94" i="49"/>
  <c r="J109" i="49"/>
  <c r="J89" i="49"/>
  <c r="J113" i="49"/>
  <c r="J117" i="49"/>
  <c r="J402" i="41"/>
  <c r="J115" i="41"/>
  <c r="J401" i="41"/>
  <c r="J404" i="41"/>
  <c r="K365" i="41"/>
  <c r="K364" i="41"/>
  <c r="K369" i="41"/>
  <c r="K367" i="41"/>
  <c r="K370" i="41"/>
  <c r="K366" i="41"/>
  <c r="K368" i="41"/>
  <c r="J116" i="41"/>
  <c r="J109" i="41"/>
  <c r="J384" i="41"/>
  <c r="K388" i="41"/>
  <c r="K389" i="41"/>
  <c r="K390" i="41"/>
  <c r="K392" i="41"/>
  <c r="K394" i="41"/>
  <c r="K393" i="41"/>
  <c r="K391" i="41"/>
  <c r="K376" i="41"/>
  <c r="K382" i="41"/>
  <c r="K381" i="41"/>
  <c r="K377" i="41"/>
  <c r="K379" i="41"/>
  <c r="K378" i="41"/>
  <c r="K380" i="41"/>
  <c r="J406" i="41"/>
  <c r="J405" i="41"/>
  <c r="J403" i="41"/>
  <c r="J396" i="41"/>
  <c r="J400" i="41"/>
  <c r="J372" i="41"/>
  <c r="K93" i="41"/>
  <c r="K95" i="41"/>
  <c r="K94" i="41"/>
  <c r="K96" i="41"/>
  <c r="K97" i="41"/>
  <c r="J164" i="18"/>
  <c r="J162" i="29"/>
  <c r="J159" i="29"/>
  <c r="J99" i="41"/>
  <c r="J164" i="29"/>
  <c r="J89" i="41"/>
  <c r="J113" i="41"/>
  <c r="K103" i="41"/>
  <c r="K106" i="41"/>
  <c r="K104" i="41"/>
  <c r="K107" i="41"/>
  <c r="K105" i="41"/>
  <c r="J161" i="29"/>
  <c r="J117" i="41"/>
  <c r="K86" i="41"/>
  <c r="K85" i="41"/>
  <c r="K83" i="41"/>
  <c r="K84" i="41"/>
  <c r="K87" i="41"/>
  <c r="J156" i="29"/>
  <c r="J114" i="41"/>
  <c r="K127" i="29"/>
  <c r="K123" i="29"/>
  <c r="K131" i="29"/>
  <c r="K126" i="29"/>
  <c r="K124" i="29"/>
  <c r="K132" i="29"/>
  <c r="K129" i="29"/>
  <c r="K122" i="29"/>
  <c r="K125" i="29"/>
  <c r="K130" i="29"/>
  <c r="K128" i="29"/>
  <c r="K121" i="29"/>
  <c r="K148" i="29"/>
  <c r="K141" i="29"/>
  <c r="K145" i="29"/>
  <c r="K140" i="29"/>
  <c r="K142" i="29"/>
  <c r="K144" i="29"/>
  <c r="K139" i="29"/>
  <c r="K147" i="29"/>
  <c r="K146" i="29"/>
  <c r="K143" i="29"/>
  <c r="K138" i="29"/>
  <c r="K149" i="29"/>
  <c r="J166" i="29"/>
  <c r="J163" i="18"/>
  <c r="J163" i="29"/>
  <c r="J160" i="29"/>
  <c r="J151" i="29"/>
  <c r="J158" i="29"/>
  <c r="J162" i="18"/>
  <c r="J155" i="29"/>
  <c r="J117" i="29"/>
  <c r="J134" i="29"/>
  <c r="K106" i="29"/>
  <c r="K114" i="29"/>
  <c r="K110" i="29"/>
  <c r="K105" i="29"/>
  <c r="K113" i="29"/>
  <c r="K111" i="29"/>
  <c r="K104" i="29"/>
  <c r="K107" i="29"/>
  <c r="K109" i="29"/>
  <c r="K112" i="29"/>
  <c r="K115" i="29"/>
  <c r="K108" i="29"/>
  <c r="J173" i="18"/>
  <c r="J165" i="29"/>
  <c r="J170" i="18"/>
  <c r="J157" i="29"/>
  <c r="J161" i="18"/>
  <c r="K130" i="18"/>
  <c r="K134" i="18"/>
  <c r="K136" i="18"/>
  <c r="K137" i="18"/>
  <c r="K125" i="18"/>
  <c r="K126" i="18"/>
  <c r="K128" i="18"/>
  <c r="K129" i="18"/>
  <c r="K127" i="18"/>
  <c r="K135" i="18"/>
  <c r="J166" i="18"/>
  <c r="J171" i="18"/>
  <c r="J165" i="18"/>
  <c r="K143" i="18"/>
  <c r="K147" i="18"/>
  <c r="K153" i="18"/>
  <c r="K155" i="18"/>
  <c r="K144" i="18"/>
  <c r="K152" i="18"/>
  <c r="K145" i="18"/>
  <c r="K148" i="18"/>
  <c r="K154" i="18"/>
  <c r="K146" i="18"/>
  <c r="K119" i="18"/>
  <c r="K111" i="18"/>
  <c r="K107" i="18"/>
  <c r="K117" i="18"/>
  <c r="K112" i="18"/>
  <c r="K108" i="18"/>
  <c r="K118" i="18"/>
  <c r="K109" i="18"/>
  <c r="K110" i="18"/>
  <c r="K116" i="18"/>
  <c r="J346" i="69"/>
  <c r="J91" i="69"/>
  <c r="J172" i="18"/>
  <c r="J96" i="69"/>
  <c r="J339" i="69"/>
  <c r="J95" i="69"/>
  <c r="J77" i="69"/>
  <c r="K75" i="69"/>
  <c r="K74" i="69"/>
  <c r="K89" i="69"/>
  <c r="K88" i="69"/>
  <c r="K82" i="69"/>
  <c r="K81" i="69"/>
  <c r="J84" i="69"/>
  <c r="K336" i="69"/>
  <c r="K337" i="69"/>
  <c r="K343" i="69"/>
  <c r="K344" i="69"/>
  <c r="K329" i="69"/>
  <c r="K330" i="69"/>
  <c r="J332" i="69"/>
  <c r="J350" i="69"/>
  <c r="J351" i="69"/>
  <c r="J613" i="61"/>
  <c r="J346" i="61"/>
  <c r="J409" i="57"/>
  <c r="J96" i="61"/>
  <c r="J89" i="61"/>
  <c r="J84" i="77"/>
  <c r="J115" i="19"/>
  <c r="J412" i="57"/>
  <c r="J117" i="19"/>
  <c r="J96" i="33"/>
  <c r="J619" i="69"/>
  <c r="J411" i="57"/>
  <c r="J211" i="75"/>
  <c r="J121" i="57"/>
  <c r="J664" i="19"/>
  <c r="J135" i="45"/>
  <c r="J96" i="77"/>
  <c r="J387" i="45"/>
  <c r="J856" i="61"/>
  <c r="J371" i="37"/>
  <c r="J608" i="61"/>
  <c r="J84" i="33"/>
  <c r="J212" i="75"/>
  <c r="J91" i="77"/>
  <c r="J114" i="19"/>
  <c r="J380" i="45"/>
  <c r="J649" i="19"/>
  <c r="J359" i="37"/>
  <c r="J366" i="37"/>
  <c r="J384" i="19"/>
  <c r="J129" i="57"/>
  <c r="J659" i="19"/>
  <c r="J109" i="19"/>
  <c r="J77" i="77"/>
  <c r="J95" i="77"/>
  <c r="K337" i="61"/>
  <c r="K336" i="61"/>
  <c r="K853" i="61"/>
  <c r="K854" i="61"/>
  <c r="J594" i="61"/>
  <c r="J612" i="61"/>
  <c r="J99" i="37"/>
  <c r="J101" i="61"/>
  <c r="J612" i="69"/>
  <c r="J849" i="61"/>
  <c r="J868" i="61"/>
  <c r="J205" i="75"/>
  <c r="J221" i="75"/>
  <c r="K119" i="57"/>
  <c r="K117" i="57"/>
  <c r="K118" i="57"/>
  <c r="K113" i="57"/>
  <c r="K115" i="57"/>
  <c r="K116" i="57"/>
  <c r="K114" i="57"/>
  <c r="K350" i="61"/>
  <c r="K351" i="61"/>
  <c r="J392" i="45"/>
  <c r="J97" i="57"/>
  <c r="J125" i="57"/>
  <c r="K80" i="61"/>
  <c r="K79" i="61"/>
  <c r="J138" i="45"/>
  <c r="J863" i="61"/>
  <c r="K377" i="45"/>
  <c r="K378" i="45"/>
  <c r="J370" i="37"/>
  <c r="J352" i="37"/>
  <c r="K385" i="45"/>
  <c r="K384" i="45"/>
  <c r="J382" i="57"/>
  <c r="J408" i="57"/>
  <c r="J100" i="61"/>
  <c r="J82" i="61"/>
  <c r="J867" i="61"/>
  <c r="J214" i="75"/>
  <c r="J210" i="75"/>
  <c r="J603" i="69"/>
  <c r="K195" i="75"/>
  <c r="K197" i="75"/>
  <c r="K185" i="75"/>
  <c r="K193" i="75"/>
  <c r="K178" i="75"/>
  <c r="K188" i="75"/>
  <c r="K191" i="75"/>
  <c r="K179" i="75"/>
  <c r="K181" i="75"/>
  <c r="K180" i="75"/>
  <c r="K190" i="75"/>
  <c r="K187" i="75"/>
  <c r="K182" i="75"/>
  <c r="K183" i="75"/>
  <c r="K194" i="75"/>
  <c r="K186" i="75"/>
  <c r="K192" i="75"/>
  <c r="K196" i="75"/>
  <c r="K184" i="75"/>
  <c r="K189" i="75"/>
  <c r="K861" i="61"/>
  <c r="K860" i="61"/>
  <c r="J391" i="45"/>
  <c r="J373" i="45"/>
  <c r="J126" i="57"/>
  <c r="K75" i="77"/>
  <c r="K74" i="77"/>
  <c r="K846" i="61"/>
  <c r="K847" i="61"/>
  <c r="K591" i="61"/>
  <c r="K592" i="61"/>
  <c r="J116" i="37"/>
  <c r="J132" i="45"/>
  <c r="J91" i="33"/>
  <c r="K86" i="61"/>
  <c r="K87" i="61"/>
  <c r="K388" i="57"/>
  <c r="K387" i="57"/>
  <c r="K390" i="57"/>
  <c r="K386" i="57"/>
  <c r="K391" i="57"/>
  <c r="K389" i="57"/>
  <c r="J206" i="75"/>
  <c r="J216" i="75"/>
  <c r="J219" i="75"/>
  <c r="K88" i="77"/>
  <c r="K89" i="77"/>
  <c r="K397" i="57"/>
  <c r="K398" i="57"/>
  <c r="K399" i="57"/>
  <c r="K400" i="57"/>
  <c r="K402" i="57"/>
  <c r="K401" i="57"/>
  <c r="L327" i="45"/>
  <c r="L547" i="61"/>
  <c r="L306" i="41"/>
  <c r="L290" i="61"/>
  <c r="L306" i="37"/>
  <c r="L581" i="19"/>
  <c r="L306" i="49"/>
  <c r="L334" i="53"/>
  <c r="L306" i="19"/>
  <c r="L320" i="57"/>
  <c r="L540" i="69"/>
  <c r="L285" i="69"/>
  <c r="L802" i="61"/>
  <c r="L31" i="77"/>
  <c r="L31" i="49"/>
  <c r="L31" i="75"/>
  <c r="L31" i="57"/>
  <c r="L31" i="37"/>
  <c r="L31" i="45"/>
  <c r="L31" i="69"/>
  <c r="L31" i="53"/>
  <c r="L31" i="33"/>
  <c r="L31" i="61"/>
  <c r="L31" i="41"/>
  <c r="L31" i="29"/>
  <c r="L31" i="18"/>
  <c r="L31" i="19"/>
  <c r="J130" i="57"/>
  <c r="K85" i="19"/>
  <c r="K83" i="19"/>
  <c r="K84" i="19"/>
  <c r="K86" i="19"/>
  <c r="K87" i="19"/>
  <c r="K75" i="33"/>
  <c r="K74" i="33"/>
  <c r="K361" i="19"/>
  <c r="K360" i="19"/>
  <c r="K358" i="19"/>
  <c r="K362" i="19"/>
  <c r="K359" i="19"/>
  <c r="K371" i="45"/>
  <c r="K370" i="45"/>
  <c r="J89" i="37"/>
  <c r="J113" i="37"/>
  <c r="J133" i="45"/>
  <c r="J390" i="19"/>
  <c r="K82" i="33"/>
  <c r="K81" i="33"/>
  <c r="K81" i="77"/>
  <c r="K82" i="77"/>
  <c r="K645" i="19"/>
  <c r="K643" i="19"/>
  <c r="K647" i="19"/>
  <c r="K644" i="19"/>
  <c r="K646" i="19"/>
  <c r="L319" i="57"/>
  <c r="L801" i="61"/>
  <c r="L284" i="69"/>
  <c r="L326" i="45"/>
  <c r="L546" i="61"/>
  <c r="L305" i="41"/>
  <c r="L305" i="49"/>
  <c r="L333" i="53"/>
  <c r="L305" i="19"/>
  <c r="L580" i="19"/>
  <c r="L305" i="37"/>
  <c r="L539" i="69"/>
  <c r="L289" i="61"/>
  <c r="L30" i="45"/>
  <c r="L30" i="53"/>
  <c r="L30" i="33"/>
  <c r="L30" i="77"/>
  <c r="L30" i="61"/>
  <c r="L30" i="41"/>
  <c r="L30" i="49"/>
  <c r="L30" i="75"/>
  <c r="L30" i="57"/>
  <c r="L30" i="37"/>
  <c r="L30" i="69"/>
  <c r="L30" i="29"/>
  <c r="L30" i="18"/>
  <c r="L30" i="19"/>
  <c r="K379" i="57"/>
  <c r="K375" i="57"/>
  <c r="K376" i="57"/>
  <c r="K378" i="57"/>
  <c r="K380" i="57"/>
  <c r="K377" i="57"/>
  <c r="K599" i="61"/>
  <c r="K598" i="61"/>
  <c r="J410" i="57"/>
  <c r="J404" i="57"/>
  <c r="J89" i="19"/>
  <c r="J113" i="19"/>
  <c r="J374" i="19"/>
  <c r="J358" i="61"/>
  <c r="J99" i="19"/>
  <c r="J215" i="75"/>
  <c r="J149" i="75"/>
  <c r="J203" i="75"/>
  <c r="J209" i="75"/>
  <c r="J109" i="57"/>
  <c r="K88" i="33"/>
  <c r="K89" i="33"/>
  <c r="K94" i="61"/>
  <c r="K93" i="61"/>
  <c r="K378" i="19"/>
  <c r="K382" i="19"/>
  <c r="K379" i="19"/>
  <c r="K380" i="19"/>
  <c r="K381" i="19"/>
  <c r="J639" i="19"/>
  <c r="J663" i="19"/>
  <c r="J128" i="57"/>
  <c r="J109" i="37"/>
  <c r="K591" i="69"/>
  <c r="K592" i="69"/>
  <c r="K589" i="69"/>
  <c r="K590" i="69"/>
  <c r="J115" i="37"/>
  <c r="J131" i="45"/>
  <c r="J101" i="45"/>
  <c r="J393" i="57"/>
  <c r="J392" i="19"/>
  <c r="K110" i="45"/>
  <c r="K106" i="45"/>
  <c r="K109" i="45"/>
  <c r="K105" i="45"/>
  <c r="K108" i="45"/>
  <c r="K112" i="45"/>
  <c r="K107" i="45"/>
  <c r="K111" i="45"/>
  <c r="K357" i="37"/>
  <c r="K356" i="37"/>
  <c r="J95" i="33"/>
  <c r="J77" i="33"/>
  <c r="J413" i="57"/>
  <c r="J617" i="69"/>
  <c r="J339" i="61"/>
  <c r="J357" i="61"/>
  <c r="J174" i="75"/>
  <c r="J204" i="75"/>
  <c r="J213" i="75"/>
  <c r="J218" i="75"/>
  <c r="K608" i="69"/>
  <c r="K610" i="69"/>
  <c r="K609" i="69"/>
  <c r="K607" i="69"/>
  <c r="J665" i="19"/>
  <c r="K86" i="37"/>
  <c r="K84" i="37"/>
  <c r="K87" i="37"/>
  <c r="K83" i="37"/>
  <c r="K85" i="37"/>
  <c r="J117" i="37"/>
  <c r="J137" i="45"/>
  <c r="J388" i="19"/>
  <c r="J364" i="19"/>
  <c r="K93" i="37"/>
  <c r="K96" i="37"/>
  <c r="K97" i="37"/>
  <c r="K95" i="37"/>
  <c r="K94" i="37"/>
  <c r="K368" i="19"/>
  <c r="K369" i="19"/>
  <c r="K371" i="19"/>
  <c r="K370" i="19"/>
  <c r="K372" i="19"/>
  <c r="K343" i="61"/>
  <c r="K344" i="61"/>
  <c r="K106" i="37"/>
  <c r="K104" i="37"/>
  <c r="K105" i="37"/>
  <c r="K103" i="37"/>
  <c r="K107" i="37"/>
  <c r="K95" i="19"/>
  <c r="K94" i="19"/>
  <c r="K93" i="19"/>
  <c r="K96" i="19"/>
  <c r="K97" i="19"/>
  <c r="J116" i="19"/>
  <c r="J353" i="61"/>
  <c r="J207" i="75"/>
  <c r="J208" i="75"/>
  <c r="J220" i="75"/>
  <c r="J667" i="19"/>
  <c r="J127" i="57"/>
  <c r="J114" i="45"/>
  <c r="J199" i="75"/>
  <c r="K89" i="57"/>
  <c r="K90" i="57"/>
  <c r="K92" i="57"/>
  <c r="K95" i="57"/>
  <c r="K93" i="57"/>
  <c r="K94" i="57"/>
  <c r="K91" i="57"/>
  <c r="K94" i="45"/>
  <c r="K92" i="45"/>
  <c r="K97" i="45"/>
  <c r="K93" i="45"/>
  <c r="K96" i="45"/>
  <c r="K99" i="45"/>
  <c r="K95" i="45"/>
  <c r="K98" i="45"/>
  <c r="K636" i="19"/>
  <c r="K633" i="19"/>
  <c r="K634" i="19"/>
  <c r="K635" i="19"/>
  <c r="K637" i="19"/>
  <c r="L800" i="61"/>
  <c r="L283" i="69"/>
  <c r="L538" i="69"/>
  <c r="L325" i="45"/>
  <c r="L545" i="61"/>
  <c r="L304" i="41"/>
  <c r="L288" i="61"/>
  <c r="L304" i="37"/>
  <c r="L579" i="19"/>
  <c r="L318" i="57"/>
  <c r="L332" i="53"/>
  <c r="L304" i="49"/>
  <c r="L304" i="19"/>
  <c r="L29" i="49"/>
  <c r="L29" i="57"/>
  <c r="L29" i="37"/>
  <c r="L29" i="45"/>
  <c r="L29" i="69"/>
  <c r="L29" i="53"/>
  <c r="L29" i="77"/>
  <c r="L29" i="61"/>
  <c r="L29" i="41"/>
  <c r="L29" i="33"/>
  <c r="L29" i="29"/>
  <c r="L29" i="75"/>
  <c r="L29" i="18"/>
  <c r="L29" i="19"/>
  <c r="J114" i="37"/>
  <c r="J134" i="45"/>
  <c r="J391" i="19"/>
  <c r="K104" i="57"/>
  <c r="K102" i="57"/>
  <c r="K105" i="57"/>
  <c r="K106" i="57"/>
  <c r="K101" i="57"/>
  <c r="K107" i="57"/>
  <c r="K103" i="57"/>
  <c r="K600" i="69"/>
  <c r="K601" i="69"/>
  <c r="K599" i="69"/>
  <c r="K598" i="69"/>
  <c r="J616" i="69"/>
  <c r="J594" i="69"/>
  <c r="K363" i="37"/>
  <c r="K364" i="37"/>
  <c r="J618" i="69"/>
  <c r="J217" i="75"/>
  <c r="J222" i="75"/>
  <c r="K104" i="19"/>
  <c r="K105" i="19"/>
  <c r="K107" i="19"/>
  <c r="K106" i="19"/>
  <c r="K103" i="19"/>
  <c r="K125" i="45"/>
  <c r="K122" i="45"/>
  <c r="K119" i="45"/>
  <c r="K118" i="45"/>
  <c r="K123" i="45"/>
  <c r="K120" i="45"/>
  <c r="K124" i="45"/>
  <c r="K121" i="45"/>
  <c r="K605" i="61"/>
  <c r="K606" i="61"/>
  <c r="K656" i="19"/>
  <c r="K655" i="19"/>
  <c r="K654" i="19"/>
  <c r="K657" i="19"/>
  <c r="K653" i="19"/>
  <c r="J666" i="19"/>
  <c r="J131" i="57"/>
  <c r="K131" i="75"/>
  <c r="K141" i="75"/>
  <c r="K132" i="75"/>
  <c r="K143" i="75"/>
  <c r="K133" i="75"/>
  <c r="K144" i="75"/>
  <c r="K130" i="75"/>
  <c r="K135" i="75"/>
  <c r="K145" i="75"/>
  <c r="K138" i="75"/>
  <c r="K136" i="75"/>
  <c r="K147" i="75"/>
  <c r="K146" i="75"/>
  <c r="K137" i="75"/>
  <c r="K128" i="75"/>
  <c r="K142" i="75"/>
  <c r="K140" i="75"/>
  <c r="K134" i="75"/>
  <c r="K139" i="75"/>
  <c r="K129" i="75"/>
  <c r="K350" i="37"/>
  <c r="K349" i="37"/>
  <c r="J136" i="45"/>
  <c r="J601" i="61"/>
  <c r="J127" i="45"/>
  <c r="J389" i="19"/>
  <c r="K156" i="75"/>
  <c r="K159" i="75"/>
  <c r="K154" i="75"/>
  <c r="K160" i="75"/>
  <c r="K167" i="75"/>
  <c r="K165" i="75"/>
  <c r="K162" i="75"/>
  <c r="K168" i="75"/>
  <c r="K170" i="75"/>
  <c r="K161" i="75"/>
  <c r="K171" i="75"/>
  <c r="K153" i="75"/>
  <c r="K166" i="75"/>
  <c r="K172" i="75"/>
  <c r="K157" i="75"/>
  <c r="K155" i="75"/>
  <c r="K158" i="75"/>
  <c r="K163" i="75"/>
  <c r="K164" i="75"/>
  <c r="K169" i="75"/>
  <c r="S162" i="79" l="1"/>
  <c r="R177" i="79"/>
  <c r="Q177" i="79"/>
  <c r="T177" i="79"/>
  <c r="P177" i="79"/>
  <c r="J413" i="19"/>
  <c r="J408" i="19"/>
  <c r="J411" i="19"/>
  <c r="J414" i="19"/>
  <c r="J412" i="19"/>
  <c r="J415" i="19"/>
  <c r="J405" i="19"/>
  <c r="J410" i="19"/>
  <c r="J409" i="19"/>
  <c r="J401" i="19"/>
  <c r="J416" i="19"/>
  <c r="J403" i="19"/>
  <c r="J406" i="19"/>
  <c r="J404" i="19"/>
  <c r="J407" i="19"/>
  <c r="J402" i="19"/>
  <c r="J424" i="57"/>
  <c r="J433" i="57"/>
  <c r="J436" i="57"/>
  <c r="J427" i="57"/>
  <c r="J430" i="57"/>
  <c r="J423" i="57"/>
  <c r="J426" i="57"/>
  <c r="J429" i="57"/>
  <c r="J432" i="57"/>
  <c r="J435" i="57"/>
  <c r="J425" i="57"/>
  <c r="J428" i="57"/>
  <c r="J431" i="57"/>
  <c r="J434" i="57"/>
  <c r="J437" i="57"/>
  <c r="J422" i="57"/>
  <c r="J127" i="41"/>
  <c r="J130" i="41"/>
  <c r="J133" i="41"/>
  <c r="J136" i="41"/>
  <c r="J139" i="41"/>
  <c r="J129" i="41"/>
  <c r="J132" i="41"/>
  <c r="J135" i="41"/>
  <c r="J138" i="41"/>
  <c r="J141" i="41"/>
  <c r="J126" i="41"/>
  <c r="J128" i="41"/>
  <c r="J131" i="41"/>
  <c r="J137" i="41"/>
  <c r="J140" i="41"/>
  <c r="J134" i="41"/>
  <c r="J376" i="61"/>
  <c r="J379" i="61"/>
  <c r="J375" i="61"/>
  <c r="J377" i="61"/>
  <c r="J380" i="61"/>
  <c r="J382" i="61"/>
  <c r="J374" i="61"/>
  <c r="J373" i="61"/>
  <c r="J381" i="61"/>
  <c r="J378" i="61"/>
  <c r="J368" i="61"/>
  <c r="J371" i="61"/>
  <c r="J370" i="61"/>
  <c r="J367" i="61"/>
  <c r="J369" i="61"/>
  <c r="J372" i="61"/>
  <c r="J243" i="75"/>
  <c r="J231" i="75"/>
  <c r="J245" i="75"/>
  <c r="J246" i="75"/>
  <c r="J242" i="75"/>
  <c r="J244" i="75"/>
  <c r="J233" i="75"/>
  <c r="J232" i="75"/>
  <c r="J239" i="75"/>
  <c r="J234" i="75"/>
  <c r="J235" i="75"/>
  <c r="J241" i="75"/>
  <c r="J237" i="75"/>
  <c r="J238" i="75"/>
  <c r="J240" i="75"/>
  <c r="J236" i="75"/>
  <c r="J126" i="37"/>
  <c r="J136" i="37"/>
  <c r="J128" i="37"/>
  <c r="J137" i="37"/>
  <c r="J129" i="37"/>
  <c r="J131" i="37"/>
  <c r="J134" i="37"/>
  <c r="J132" i="37"/>
  <c r="J127" i="37"/>
  <c r="J130" i="37"/>
  <c r="J139" i="37"/>
  <c r="J141" i="37"/>
  <c r="J140" i="37"/>
  <c r="J135" i="37"/>
  <c r="J138" i="37"/>
  <c r="J133" i="37"/>
  <c r="J360" i="69"/>
  <c r="J366" i="69"/>
  <c r="J361" i="69"/>
  <c r="J367" i="69"/>
  <c r="J373" i="69"/>
  <c r="J362" i="69"/>
  <c r="J368" i="69"/>
  <c r="J374" i="69"/>
  <c r="J369" i="69"/>
  <c r="J375" i="69"/>
  <c r="J364" i="69"/>
  <c r="J370" i="69"/>
  <c r="J371" i="69"/>
  <c r="J363" i="69"/>
  <c r="J365" i="69"/>
  <c r="J372" i="69"/>
  <c r="J110" i="69"/>
  <c r="J112" i="69"/>
  <c r="J105" i="69"/>
  <c r="J118" i="69"/>
  <c r="J106" i="69"/>
  <c r="J117" i="69"/>
  <c r="J108" i="69"/>
  <c r="J120" i="69"/>
  <c r="J119" i="69"/>
  <c r="J107" i="69"/>
  <c r="J113" i="69"/>
  <c r="J111" i="69"/>
  <c r="J109" i="69"/>
  <c r="J114" i="69"/>
  <c r="J116" i="69"/>
  <c r="J115" i="69"/>
  <c r="J185" i="29"/>
  <c r="J184" i="29"/>
  <c r="J180" i="29"/>
  <c r="J187" i="29"/>
  <c r="J186" i="29"/>
  <c r="J175" i="29"/>
  <c r="J181" i="29"/>
  <c r="J182" i="29"/>
  <c r="J188" i="29"/>
  <c r="J177" i="29"/>
  <c r="J176" i="29"/>
  <c r="J183" i="29"/>
  <c r="J179" i="29"/>
  <c r="J190" i="29"/>
  <c r="J178" i="29"/>
  <c r="J189" i="29"/>
  <c r="J643" i="69"/>
  <c r="J633" i="69"/>
  <c r="J639" i="69"/>
  <c r="J640" i="69"/>
  <c r="J628" i="69"/>
  <c r="J642" i="69"/>
  <c r="J641" i="69"/>
  <c r="J634" i="69"/>
  <c r="J635" i="69"/>
  <c r="J630" i="69"/>
  <c r="J636" i="69"/>
  <c r="J638" i="69"/>
  <c r="J631" i="69"/>
  <c r="J637" i="69"/>
  <c r="J629" i="69"/>
  <c r="J632" i="69"/>
  <c r="J415" i="45"/>
  <c r="J413" i="45"/>
  <c r="J401" i="45"/>
  <c r="J404" i="45"/>
  <c r="J402" i="45"/>
  <c r="J403" i="45"/>
  <c r="J412" i="45"/>
  <c r="J405" i="45"/>
  <c r="J408" i="45"/>
  <c r="J406" i="45"/>
  <c r="J416" i="45"/>
  <c r="J409" i="45"/>
  <c r="J410" i="45"/>
  <c r="J414" i="45"/>
  <c r="J407" i="45"/>
  <c r="J411" i="45"/>
  <c r="J403" i="49"/>
  <c r="J415" i="49"/>
  <c r="J404" i="49"/>
  <c r="J405" i="49"/>
  <c r="J410" i="49"/>
  <c r="J412" i="49"/>
  <c r="J414" i="49"/>
  <c r="J407" i="49"/>
  <c r="J416" i="49"/>
  <c r="J406" i="49"/>
  <c r="J401" i="49"/>
  <c r="J408" i="49"/>
  <c r="J411" i="49"/>
  <c r="J402" i="49"/>
  <c r="J409" i="49"/>
  <c r="J413" i="49"/>
  <c r="J165" i="53"/>
  <c r="J160" i="53"/>
  <c r="J166" i="53"/>
  <c r="J167" i="53"/>
  <c r="J155" i="53"/>
  <c r="J161" i="53"/>
  <c r="J154" i="53"/>
  <c r="J156" i="53"/>
  <c r="J168" i="53"/>
  <c r="J163" i="53"/>
  <c r="J169" i="53"/>
  <c r="J162" i="53"/>
  <c r="J157" i="53"/>
  <c r="J158" i="53"/>
  <c r="J164" i="53"/>
  <c r="J159" i="53"/>
  <c r="J159" i="45"/>
  <c r="J155" i="45"/>
  <c r="J157" i="45"/>
  <c r="J160" i="45"/>
  <c r="J153" i="45"/>
  <c r="J156" i="45"/>
  <c r="J151" i="45"/>
  <c r="J154" i="45"/>
  <c r="J147" i="45"/>
  <c r="J150" i="45"/>
  <c r="J161" i="45"/>
  <c r="J158" i="45"/>
  <c r="J149" i="45"/>
  <c r="J152" i="45"/>
  <c r="J148" i="45"/>
  <c r="J162" i="45"/>
  <c r="J677" i="19"/>
  <c r="J688" i="19"/>
  <c r="J681" i="19"/>
  <c r="J687" i="19"/>
  <c r="J683" i="19"/>
  <c r="J676" i="19"/>
  <c r="J682" i="19"/>
  <c r="J685" i="19"/>
  <c r="J689" i="19"/>
  <c r="J678" i="19"/>
  <c r="J680" i="19"/>
  <c r="J691" i="19"/>
  <c r="J684" i="19"/>
  <c r="J690" i="19"/>
  <c r="J679" i="19"/>
  <c r="J686" i="19"/>
  <c r="J150" i="57"/>
  <c r="J145" i="57"/>
  <c r="J152" i="57"/>
  <c r="J142" i="57"/>
  <c r="J147" i="57"/>
  <c r="J141" i="57"/>
  <c r="J153" i="57"/>
  <c r="J148" i="57"/>
  <c r="J144" i="57"/>
  <c r="J155" i="57"/>
  <c r="J143" i="57"/>
  <c r="J151" i="57"/>
  <c r="J149" i="57"/>
  <c r="J146" i="57"/>
  <c r="J140" i="57"/>
  <c r="J154" i="57"/>
  <c r="J884" i="61"/>
  <c r="J882" i="61"/>
  <c r="J886" i="61"/>
  <c r="J883" i="61"/>
  <c r="J892" i="61"/>
  <c r="J890" i="61"/>
  <c r="J880" i="61"/>
  <c r="J879" i="61"/>
  <c r="J877" i="61"/>
  <c r="J881" i="61"/>
  <c r="J891" i="61"/>
  <c r="J878" i="61"/>
  <c r="J888" i="61"/>
  <c r="J887" i="61"/>
  <c r="J885" i="61"/>
  <c r="J889" i="61"/>
  <c r="J395" i="37"/>
  <c r="J380" i="37"/>
  <c r="J383" i="37"/>
  <c r="J386" i="37"/>
  <c r="J389" i="37"/>
  <c r="J392" i="37"/>
  <c r="J382" i="37"/>
  <c r="J385" i="37"/>
  <c r="J388" i="37"/>
  <c r="J391" i="37"/>
  <c r="J394" i="37"/>
  <c r="J387" i="37"/>
  <c r="J390" i="37"/>
  <c r="J393" i="37"/>
  <c r="J381" i="37"/>
  <c r="J384" i="37"/>
  <c r="J106" i="77"/>
  <c r="J112" i="77"/>
  <c r="J117" i="77"/>
  <c r="J107" i="77"/>
  <c r="J114" i="77"/>
  <c r="J110" i="77"/>
  <c r="J105" i="77"/>
  <c r="J113" i="77"/>
  <c r="J116" i="77"/>
  <c r="J118" i="77"/>
  <c r="J120" i="77"/>
  <c r="J119" i="77"/>
  <c r="J108" i="77"/>
  <c r="J115" i="77"/>
  <c r="J111" i="77"/>
  <c r="J109" i="77"/>
  <c r="J417" i="41"/>
  <c r="J425" i="41"/>
  <c r="J419" i="41"/>
  <c r="J418" i="41"/>
  <c r="J423" i="41"/>
  <c r="J422" i="41"/>
  <c r="J427" i="41"/>
  <c r="J420" i="41"/>
  <c r="J429" i="41"/>
  <c r="J415" i="41"/>
  <c r="J430" i="41"/>
  <c r="J424" i="41"/>
  <c r="J421" i="41"/>
  <c r="J416" i="41"/>
  <c r="J428" i="41"/>
  <c r="J426" i="41"/>
  <c r="J459" i="53"/>
  <c r="J462" i="53"/>
  <c r="J468" i="53"/>
  <c r="J471" i="53"/>
  <c r="J465" i="53"/>
  <c r="J460" i="53"/>
  <c r="J458" i="53"/>
  <c r="J461" i="53"/>
  <c r="J464" i="53"/>
  <c r="J467" i="53"/>
  <c r="J470" i="53"/>
  <c r="J463" i="53"/>
  <c r="J466" i="53"/>
  <c r="J469" i="53"/>
  <c r="J472" i="53"/>
  <c r="J457" i="53"/>
  <c r="J110" i="33"/>
  <c r="J107" i="33"/>
  <c r="J113" i="33"/>
  <c r="J116" i="33"/>
  <c r="J119" i="33"/>
  <c r="J118" i="33"/>
  <c r="J106" i="33"/>
  <c r="J109" i="33"/>
  <c r="J112" i="33"/>
  <c r="J115" i="33"/>
  <c r="J105" i="33"/>
  <c r="J108" i="33"/>
  <c r="J111" i="33"/>
  <c r="J114" i="33"/>
  <c r="J117" i="33"/>
  <c r="J120" i="33"/>
  <c r="J126" i="19"/>
  <c r="J129" i="19"/>
  <c r="J132" i="19"/>
  <c r="J135" i="19"/>
  <c r="J138" i="19"/>
  <c r="J141" i="19"/>
  <c r="J128" i="19"/>
  <c r="J131" i="19"/>
  <c r="J134" i="19"/>
  <c r="J137" i="19"/>
  <c r="J140" i="19"/>
  <c r="J127" i="19"/>
  <c r="J130" i="19"/>
  <c r="J133" i="19"/>
  <c r="J136" i="19"/>
  <c r="J139" i="19"/>
  <c r="J113" i="61"/>
  <c r="J121" i="61"/>
  <c r="J122" i="61"/>
  <c r="J124" i="61"/>
  <c r="J111" i="61"/>
  <c r="J112" i="61"/>
  <c r="J115" i="61"/>
  <c r="J114" i="61"/>
  <c r="J125" i="61"/>
  <c r="J119" i="61"/>
  <c r="J120" i="61"/>
  <c r="J123" i="61"/>
  <c r="J118" i="61"/>
  <c r="J116" i="61"/>
  <c r="J110" i="61"/>
  <c r="J117" i="61"/>
  <c r="J633" i="61"/>
  <c r="J636" i="61"/>
  <c r="J634" i="61"/>
  <c r="J637" i="61"/>
  <c r="J627" i="61"/>
  <c r="J630" i="61"/>
  <c r="J624" i="61"/>
  <c r="J623" i="61"/>
  <c r="J635" i="61"/>
  <c r="J632" i="61"/>
  <c r="J625" i="61"/>
  <c r="J628" i="61"/>
  <c r="J631" i="61"/>
  <c r="J626" i="61"/>
  <c r="J629" i="61"/>
  <c r="J622" i="61"/>
  <c r="J130" i="49"/>
  <c r="J133" i="49"/>
  <c r="J136" i="49"/>
  <c r="J139" i="49"/>
  <c r="J127" i="49"/>
  <c r="J138" i="49"/>
  <c r="J141" i="49"/>
  <c r="J126" i="49"/>
  <c r="J129" i="49"/>
  <c r="J132" i="49"/>
  <c r="J135" i="49"/>
  <c r="J128" i="49"/>
  <c r="J131" i="49"/>
  <c r="J134" i="49"/>
  <c r="J137" i="49"/>
  <c r="J140" i="49"/>
  <c r="S161" i="79"/>
  <c r="S177" i="78"/>
  <c r="S62" i="78"/>
  <c r="S62" i="79"/>
  <c r="K448" i="53"/>
  <c r="K442" i="53"/>
  <c r="L403" i="53"/>
  <c r="L398" i="53"/>
  <c r="L401" i="53"/>
  <c r="L399" i="53"/>
  <c r="L402" i="53"/>
  <c r="L404" i="53"/>
  <c r="L406" i="53"/>
  <c r="L400" i="53"/>
  <c r="L405" i="53"/>
  <c r="K440" i="53"/>
  <c r="K408" i="53"/>
  <c r="K445" i="53"/>
  <c r="K436" i="53"/>
  <c r="K447" i="53"/>
  <c r="J450" i="53"/>
  <c r="J81" i="27" s="1"/>
  <c r="J598" i="53"/>
  <c r="J609" i="53" s="1"/>
  <c r="J541" i="53"/>
  <c r="J559" i="53" s="1"/>
  <c r="J602" i="53"/>
  <c r="J613" i="53" s="1"/>
  <c r="J553" i="53"/>
  <c r="J571" i="53" s="1"/>
  <c r="J542" i="53"/>
  <c r="J560" i="53" s="1"/>
  <c r="J540" i="53"/>
  <c r="J543" i="53"/>
  <c r="J561" i="53" s="1"/>
  <c r="J546" i="53"/>
  <c r="J564" i="53" s="1"/>
  <c r="J549" i="53"/>
  <c r="J567" i="53" s="1"/>
  <c r="J547" i="53"/>
  <c r="J565" i="53" s="1"/>
  <c r="J544" i="53"/>
  <c r="J562" i="53" s="1"/>
  <c r="J599" i="53"/>
  <c r="J610" i="53" s="1"/>
  <c r="J597" i="53"/>
  <c r="J600" i="53"/>
  <c r="J611" i="53" s="1"/>
  <c r="J550" i="53"/>
  <c r="J568" i="53" s="1"/>
  <c r="J601" i="53"/>
  <c r="J612" i="53" s="1"/>
  <c r="J603" i="53"/>
  <c r="J614" i="53" s="1"/>
  <c r="J548" i="53"/>
  <c r="J566" i="53" s="1"/>
  <c r="J551" i="53"/>
  <c r="J569" i="53" s="1"/>
  <c r="J552" i="53"/>
  <c r="J570" i="53" s="1"/>
  <c r="J545" i="53"/>
  <c r="J563" i="53" s="1"/>
  <c r="K441" i="53"/>
  <c r="K444" i="53"/>
  <c r="K422" i="53"/>
  <c r="K446" i="53"/>
  <c r="L414" i="53"/>
  <c r="L412" i="53"/>
  <c r="L420" i="53"/>
  <c r="L417" i="53"/>
  <c r="L418" i="53"/>
  <c r="L413" i="53"/>
  <c r="L415" i="53"/>
  <c r="L419" i="53"/>
  <c r="L416" i="53"/>
  <c r="L428" i="53"/>
  <c r="L430" i="53"/>
  <c r="L431" i="53"/>
  <c r="L432" i="53"/>
  <c r="L427" i="53"/>
  <c r="L426" i="53"/>
  <c r="L433" i="53"/>
  <c r="L429" i="53"/>
  <c r="L434" i="53"/>
  <c r="K443" i="53"/>
  <c r="K138" i="53"/>
  <c r="K142" i="53"/>
  <c r="L109" i="53"/>
  <c r="L112" i="53"/>
  <c r="L114" i="53"/>
  <c r="L115" i="53"/>
  <c r="L110" i="53"/>
  <c r="L111" i="53"/>
  <c r="L113" i="53"/>
  <c r="L117" i="53"/>
  <c r="L116" i="53"/>
  <c r="K139" i="53"/>
  <c r="K133" i="53"/>
  <c r="K141" i="53"/>
  <c r="L100" i="53"/>
  <c r="L95" i="53"/>
  <c r="L96" i="53"/>
  <c r="L101" i="53"/>
  <c r="L102" i="53"/>
  <c r="L103" i="53"/>
  <c r="L97" i="53"/>
  <c r="L98" i="53"/>
  <c r="L99" i="53"/>
  <c r="L125" i="53"/>
  <c r="L128" i="53"/>
  <c r="L127" i="53"/>
  <c r="L131" i="53"/>
  <c r="L123" i="53"/>
  <c r="L130" i="53"/>
  <c r="L124" i="53"/>
  <c r="L129" i="53"/>
  <c r="L126" i="53"/>
  <c r="K140" i="53"/>
  <c r="J147" i="53"/>
  <c r="J80" i="27" s="1"/>
  <c r="J294" i="53"/>
  <c r="J241" i="53"/>
  <c r="J259" i="53" s="1"/>
  <c r="J237" i="53"/>
  <c r="J296" i="53"/>
  <c r="J307" i="53" s="1"/>
  <c r="J243" i="53"/>
  <c r="J261" i="53" s="1"/>
  <c r="J298" i="53"/>
  <c r="J309" i="53" s="1"/>
  <c r="J300" i="53"/>
  <c r="J311" i="53" s="1"/>
  <c r="J239" i="53"/>
  <c r="J257" i="53" s="1"/>
  <c r="J238" i="53"/>
  <c r="J256" i="53" s="1"/>
  <c r="J242" i="53"/>
  <c r="J260" i="53" s="1"/>
  <c r="J245" i="53"/>
  <c r="J263" i="53" s="1"/>
  <c r="J295" i="53"/>
  <c r="J306" i="53" s="1"/>
  <c r="J299" i="53"/>
  <c r="J310" i="53" s="1"/>
  <c r="J247" i="53"/>
  <c r="J265" i="53" s="1"/>
  <c r="J248" i="53"/>
  <c r="J266" i="53" s="1"/>
  <c r="J297" i="53"/>
  <c r="J308" i="53" s="1"/>
  <c r="J246" i="53"/>
  <c r="J264" i="53" s="1"/>
  <c r="J244" i="53"/>
  <c r="J262" i="53" s="1"/>
  <c r="J249" i="53"/>
  <c r="J267" i="53" s="1"/>
  <c r="J250" i="53"/>
  <c r="J268" i="53" s="1"/>
  <c r="J240" i="53"/>
  <c r="J258" i="53" s="1"/>
  <c r="K145" i="53"/>
  <c r="K144" i="53"/>
  <c r="K137" i="53"/>
  <c r="K105" i="53"/>
  <c r="K119" i="53"/>
  <c r="K143" i="53"/>
  <c r="K390" i="49"/>
  <c r="K391" i="49"/>
  <c r="K364" i="49"/>
  <c r="K388" i="49"/>
  <c r="L358" i="49"/>
  <c r="L361" i="49"/>
  <c r="L359" i="49"/>
  <c r="L362" i="49"/>
  <c r="L360" i="49"/>
  <c r="K392" i="49"/>
  <c r="K389" i="49"/>
  <c r="K374" i="49"/>
  <c r="K384" i="49"/>
  <c r="L368" i="49"/>
  <c r="L371" i="49"/>
  <c r="L369" i="49"/>
  <c r="L372" i="49"/>
  <c r="L370" i="49"/>
  <c r="L380" i="49"/>
  <c r="L378" i="49"/>
  <c r="L382" i="49"/>
  <c r="L379" i="49"/>
  <c r="L381" i="49"/>
  <c r="J394" i="49"/>
  <c r="J79" i="27" s="1"/>
  <c r="J491" i="49"/>
  <c r="J509" i="49" s="1"/>
  <c r="J489" i="49"/>
  <c r="J507" i="49" s="1"/>
  <c r="J492" i="49"/>
  <c r="J510" i="49" s="1"/>
  <c r="J495" i="49"/>
  <c r="J513" i="49" s="1"/>
  <c r="J488" i="49"/>
  <c r="J506" i="49" s="1"/>
  <c r="J545" i="49"/>
  <c r="J556" i="49" s="1"/>
  <c r="J543" i="49"/>
  <c r="J554" i="49" s="1"/>
  <c r="J541" i="49"/>
  <c r="J486" i="49"/>
  <c r="J504" i="49" s="1"/>
  <c r="J485" i="49"/>
  <c r="J503" i="49" s="1"/>
  <c r="J542" i="49"/>
  <c r="J553" i="49" s="1"/>
  <c r="J497" i="49"/>
  <c r="J515" i="49" s="1"/>
  <c r="J496" i="49"/>
  <c r="J514" i="49" s="1"/>
  <c r="J494" i="49"/>
  <c r="J512" i="49" s="1"/>
  <c r="J493" i="49"/>
  <c r="J511" i="49" s="1"/>
  <c r="J547" i="49"/>
  <c r="J558" i="49" s="1"/>
  <c r="J484" i="49"/>
  <c r="J487" i="49"/>
  <c r="J505" i="49" s="1"/>
  <c r="J490" i="49"/>
  <c r="J508" i="49" s="1"/>
  <c r="J546" i="49"/>
  <c r="J557" i="49" s="1"/>
  <c r="J544" i="49"/>
  <c r="J555" i="49" s="1"/>
  <c r="K117" i="41"/>
  <c r="K165" i="29"/>
  <c r="L94" i="49"/>
  <c r="L93" i="49"/>
  <c r="L96" i="49"/>
  <c r="L97" i="49"/>
  <c r="L95" i="49"/>
  <c r="K159" i="29"/>
  <c r="L83" i="49"/>
  <c r="L84" i="49"/>
  <c r="L87" i="49"/>
  <c r="L85" i="49"/>
  <c r="L86" i="49"/>
  <c r="K161" i="29"/>
  <c r="K115" i="49"/>
  <c r="K114" i="41"/>
  <c r="K114" i="49"/>
  <c r="K99" i="49"/>
  <c r="K89" i="49"/>
  <c r="K113" i="49"/>
  <c r="J119" i="49"/>
  <c r="J78" i="27" s="1"/>
  <c r="J216" i="49"/>
  <c r="J234" i="49" s="1"/>
  <c r="J214" i="49"/>
  <c r="J232" i="49" s="1"/>
  <c r="J217" i="49"/>
  <c r="J235" i="49" s="1"/>
  <c r="J220" i="49"/>
  <c r="J238" i="49" s="1"/>
  <c r="J213" i="49"/>
  <c r="J231" i="49" s="1"/>
  <c r="J270" i="49"/>
  <c r="J281" i="49" s="1"/>
  <c r="J268" i="49"/>
  <c r="J279" i="49" s="1"/>
  <c r="J266" i="49"/>
  <c r="J211" i="49"/>
  <c r="J229" i="49" s="1"/>
  <c r="J210" i="49"/>
  <c r="J228" i="49" s="1"/>
  <c r="J267" i="49"/>
  <c r="J278" i="49" s="1"/>
  <c r="J222" i="49"/>
  <c r="J240" i="49" s="1"/>
  <c r="J221" i="49"/>
  <c r="J239" i="49" s="1"/>
  <c r="J219" i="49"/>
  <c r="J237" i="49" s="1"/>
  <c r="J218" i="49"/>
  <c r="J236" i="49" s="1"/>
  <c r="J272" i="49"/>
  <c r="J283" i="49" s="1"/>
  <c r="J209" i="49"/>
  <c r="J212" i="49"/>
  <c r="J230" i="49" s="1"/>
  <c r="J215" i="49"/>
  <c r="J233" i="49" s="1"/>
  <c r="J271" i="49"/>
  <c r="J282" i="49" s="1"/>
  <c r="J269" i="49"/>
  <c r="J280" i="49" s="1"/>
  <c r="K109" i="49"/>
  <c r="K117" i="49"/>
  <c r="L107" i="49"/>
  <c r="L105" i="49"/>
  <c r="L104" i="49"/>
  <c r="L103" i="49"/>
  <c r="L106" i="49"/>
  <c r="K170" i="18"/>
  <c r="K116" i="49"/>
  <c r="K164" i="29"/>
  <c r="L366" i="41"/>
  <c r="L368" i="41"/>
  <c r="L364" i="41"/>
  <c r="L369" i="41"/>
  <c r="L367" i="41"/>
  <c r="L370" i="41"/>
  <c r="L365" i="41"/>
  <c r="K404" i="41"/>
  <c r="K402" i="41"/>
  <c r="L391" i="41"/>
  <c r="L388" i="41"/>
  <c r="L392" i="41"/>
  <c r="L393" i="41"/>
  <c r="L389" i="41"/>
  <c r="L394" i="41"/>
  <c r="L390" i="41"/>
  <c r="J408" i="41"/>
  <c r="J75" i="27" s="1"/>
  <c r="J504" i="41"/>
  <c r="J522" i="41" s="1"/>
  <c r="J560" i="41"/>
  <c r="J571" i="41" s="1"/>
  <c r="J555" i="41"/>
  <c r="J507" i="41"/>
  <c r="J525" i="41" s="1"/>
  <c r="J511" i="41"/>
  <c r="J529" i="41" s="1"/>
  <c r="J503" i="41"/>
  <c r="J521" i="41" s="1"/>
  <c r="J498" i="41"/>
  <c r="J501" i="41"/>
  <c r="J519" i="41" s="1"/>
  <c r="J502" i="41"/>
  <c r="J520" i="41" s="1"/>
  <c r="J500" i="41"/>
  <c r="J518" i="41" s="1"/>
  <c r="J559" i="41"/>
  <c r="J570" i="41" s="1"/>
  <c r="J557" i="41"/>
  <c r="J568" i="41" s="1"/>
  <c r="J499" i="41"/>
  <c r="J517" i="41" s="1"/>
  <c r="J561" i="41"/>
  <c r="J572" i="41" s="1"/>
  <c r="J506" i="41"/>
  <c r="J524" i="41" s="1"/>
  <c r="J509" i="41"/>
  <c r="J527" i="41" s="1"/>
  <c r="J505" i="41"/>
  <c r="J523" i="41" s="1"/>
  <c r="J556" i="41"/>
  <c r="J567" i="41" s="1"/>
  <c r="J510" i="41"/>
  <c r="J528" i="41" s="1"/>
  <c r="J508" i="41"/>
  <c r="J526" i="41" s="1"/>
  <c r="J558" i="41"/>
  <c r="J569" i="41" s="1"/>
  <c r="K406" i="41"/>
  <c r="K403" i="41"/>
  <c r="K396" i="41"/>
  <c r="K405" i="41"/>
  <c r="K116" i="41"/>
  <c r="K384" i="41"/>
  <c r="K400" i="41"/>
  <c r="K372" i="41"/>
  <c r="L381" i="41"/>
  <c r="L379" i="41"/>
  <c r="L380" i="41"/>
  <c r="L378" i="41"/>
  <c r="L376" i="41"/>
  <c r="L382" i="41"/>
  <c r="L377" i="41"/>
  <c r="K401" i="41"/>
  <c r="L97" i="41"/>
  <c r="L93" i="41"/>
  <c r="L96" i="41"/>
  <c r="L94" i="41"/>
  <c r="L95" i="41"/>
  <c r="K89" i="41"/>
  <c r="K113" i="41"/>
  <c r="K115" i="41"/>
  <c r="K109" i="41"/>
  <c r="J119" i="41"/>
  <c r="J74" i="27" s="1"/>
  <c r="J216" i="41"/>
  <c r="J234" i="41" s="1"/>
  <c r="J214" i="41"/>
  <c r="J232" i="41" s="1"/>
  <c r="J217" i="41"/>
  <c r="J235" i="41" s="1"/>
  <c r="J220" i="41"/>
  <c r="J238" i="41" s="1"/>
  <c r="J213" i="41"/>
  <c r="J231" i="41" s="1"/>
  <c r="J270" i="41"/>
  <c r="J281" i="41" s="1"/>
  <c r="J268" i="41"/>
  <c r="J279" i="41" s="1"/>
  <c r="J266" i="41"/>
  <c r="J211" i="41"/>
  <c r="J229" i="41" s="1"/>
  <c r="J210" i="41"/>
  <c r="J228" i="41" s="1"/>
  <c r="J267" i="41"/>
  <c r="J278" i="41" s="1"/>
  <c r="J222" i="41"/>
  <c r="J240" i="41" s="1"/>
  <c r="J221" i="41"/>
  <c r="J239" i="41" s="1"/>
  <c r="J219" i="41"/>
  <c r="J237" i="41" s="1"/>
  <c r="J218" i="41"/>
  <c r="J236" i="41" s="1"/>
  <c r="J272" i="41"/>
  <c r="J283" i="41" s="1"/>
  <c r="J209" i="41"/>
  <c r="J212" i="41"/>
  <c r="J230" i="41" s="1"/>
  <c r="J215" i="41"/>
  <c r="J233" i="41" s="1"/>
  <c r="J271" i="41"/>
  <c r="J282" i="41" s="1"/>
  <c r="J269" i="41"/>
  <c r="J280" i="41" s="1"/>
  <c r="L83" i="41"/>
  <c r="L87" i="41"/>
  <c r="L84" i="41"/>
  <c r="L86" i="41"/>
  <c r="L85" i="41"/>
  <c r="L103" i="41"/>
  <c r="L106" i="41"/>
  <c r="L104" i="41"/>
  <c r="L105" i="41"/>
  <c r="L107" i="41"/>
  <c r="K99" i="41"/>
  <c r="K156" i="29"/>
  <c r="K151" i="29"/>
  <c r="K160" i="29"/>
  <c r="K158" i="29"/>
  <c r="L146" i="29"/>
  <c r="L139" i="29"/>
  <c r="L141" i="29"/>
  <c r="L138" i="29"/>
  <c r="L140" i="29"/>
  <c r="L142" i="29"/>
  <c r="L149" i="29"/>
  <c r="L143" i="29"/>
  <c r="L148" i="29"/>
  <c r="L145" i="29"/>
  <c r="L144" i="29"/>
  <c r="L147" i="29"/>
  <c r="K166" i="29"/>
  <c r="L107" i="29"/>
  <c r="L115" i="29"/>
  <c r="L110" i="29"/>
  <c r="L108" i="29"/>
  <c r="L111" i="29"/>
  <c r="L104" i="29"/>
  <c r="L113" i="29"/>
  <c r="L106" i="29"/>
  <c r="L109" i="29"/>
  <c r="L114" i="29"/>
  <c r="L112" i="29"/>
  <c r="L105" i="29"/>
  <c r="K163" i="29"/>
  <c r="K157" i="29"/>
  <c r="K134" i="29"/>
  <c r="K166" i="18"/>
  <c r="K155" i="29"/>
  <c r="K117" i="29"/>
  <c r="L124" i="29"/>
  <c r="L132" i="29"/>
  <c r="L128" i="29"/>
  <c r="L123" i="29"/>
  <c r="L131" i="29"/>
  <c r="L121" i="29"/>
  <c r="L129" i="29"/>
  <c r="L127" i="29"/>
  <c r="L130" i="29"/>
  <c r="L126" i="29"/>
  <c r="L122" i="29"/>
  <c r="L125" i="29"/>
  <c r="K164" i="18"/>
  <c r="K162" i="29"/>
  <c r="J168" i="29"/>
  <c r="J68" i="27" s="1"/>
  <c r="J271" i="29"/>
  <c r="J289" i="29" s="1"/>
  <c r="J262" i="29"/>
  <c r="J280" i="29" s="1"/>
  <c r="J268" i="29"/>
  <c r="J286" i="29" s="1"/>
  <c r="J258" i="29"/>
  <c r="J261" i="29"/>
  <c r="J279" i="29" s="1"/>
  <c r="J259" i="29"/>
  <c r="J277" i="29" s="1"/>
  <c r="J321" i="29"/>
  <c r="J332" i="29" s="1"/>
  <c r="J320" i="29"/>
  <c r="J331" i="29" s="1"/>
  <c r="J269" i="29"/>
  <c r="J287" i="29" s="1"/>
  <c r="J263" i="29"/>
  <c r="J281" i="29" s="1"/>
  <c r="J266" i="29"/>
  <c r="J284" i="29" s="1"/>
  <c r="J267" i="29"/>
  <c r="J285" i="29" s="1"/>
  <c r="J265" i="29"/>
  <c r="J283" i="29" s="1"/>
  <c r="J270" i="29"/>
  <c r="J288" i="29" s="1"/>
  <c r="J316" i="29"/>
  <c r="J327" i="29" s="1"/>
  <c r="J318" i="29"/>
  <c r="J329" i="29" s="1"/>
  <c r="J264" i="29"/>
  <c r="J282" i="29" s="1"/>
  <c r="J319" i="29"/>
  <c r="J330" i="29" s="1"/>
  <c r="J317" i="29"/>
  <c r="J328" i="29" s="1"/>
  <c r="J315" i="29"/>
  <c r="J260" i="29"/>
  <c r="J278" i="29" s="1"/>
  <c r="K162" i="18"/>
  <c r="K171" i="18"/>
  <c r="K161" i="18"/>
  <c r="L109" i="18"/>
  <c r="L110" i="18"/>
  <c r="L116" i="18"/>
  <c r="L119" i="18"/>
  <c r="L111" i="18"/>
  <c r="L107" i="18"/>
  <c r="L117" i="18"/>
  <c r="L112" i="18"/>
  <c r="L108" i="18"/>
  <c r="L118" i="18"/>
  <c r="L125" i="18"/>
  <c r="L127" i="18"/>
  <c r="L129" i="18"/>
  <c r="L130" i="18"/>
  <c r="L134" i="18"/>
  <c r="L135" i="18"/>
  <c r="L137" i="18"/>
  <c r="L126" i="18"/>
  <c r="L136" i="18"/>
  <c r="L128" i="18"/>
  <c r="K163" i="18"/>
  <c r="K165" i="18"/>
  <c r="L154" i="18"/>
  <c r="L147" i="18"/>
  <c r="L152" i="18"/>
  <c r="L155" i="18"/>
  <c r="L146" i="18"/>
  <c r="L153" i="18"/>
  <c r="L145" i="18"/>
  <c r="L143" i="18"/>
  <c r="L144" i="18"/>
  <c r="L148" i="18"/>
  <c r="K172" i="18"/>
  <c r="K173" i="18"/>
  <c r="J965" i="61"/>
  <c r="J983" i="61" s="1"/>
  <c r="J963" i="61"/>
  <c r="J981" i="61" s="1"/>
  <c r="J966" i="61"/>
  <c r="J984" i="61" s="1"/>
  <c r="J968" i="61"/>
  <c r="J986" i="61" s="1"/>
  <c r="J973" i="61"/>
  <c r="J991" i="61" s="1"/>
  <c r="J962" i="61"/>
  <c r="J980" i="61" s="1"/>
  <c r="J967" i="61"/>
  <c r="J985" i="61" s="1"/>
  <c r="J964" i="61"/>
  <c r="J982" i="61" s="1"/>
  <c r="J971" i="61"/>
  <c r="J989" i="61" s="1"/>
  <c r="J960" i="61"/>
  <c r="J969" i="61"/>
  <c r="J987" i="61" s="1"/>
  <c r="J961" i="61"/>
  <c r="J979" i="61" s="1"/>
  <c r="J970" i="61"/>
  <c r="J988" i="61" s="1"/>
  <c r="J972" i="61"/>
  <c r="J990" i="61" s="1"/>
  <c r="J512" i="57"/>
  <c r="J530" i="57" s="1"/>
  <c r="J509" i="57"/>
  <c r="J527" i="57" s="1"/>
  <c r="J505" i="57"/>
  <c r="J508" i="57"/>
  <c r="J526" i="57" s="1"/>
  <c r="J514" i="57"/>
  <c r="J532" i="57" s="1"/>
  <c r="J515" i="57"/>
  <c r="J533" i="57" s="1"/>
  <c r="J510" i="57"/>
  <c r="J528" i="57" s="1"/>
  <c r="J506" i="57"/>
  <c r="J524" i="57" s="1"/>
  <c r="J517" i="57"/>
  <c r="J535" i="57" s="1"/>
  <c r="J513" i="57"/>
  <c r="J531" i="57" s="1"/>
  <c r="J516" i="57"/>
  <c r="J534" i="57" s="1"/>
  <c r="J518" i="57"/>
  <c r="J536" i="57" s="1"/>
  <c r="J511" i="57"/>
  <c r="J529" i="57" s="1"/>
  <c r="J507" i="57"/>
  <c r="J525" i="57" s="1"/>
  <c r="J235" i="45"/>
  <c r="J253" i="45" s="1"/>
  <c r="J233" i="45"/>
  <c r="J251" i="45" s="1"/>
  <c r="J230" i="45"/>
  <c r="J234" i="45"/>
  <c r="J252" i="45" s="1"/>
  <c r="J232" i="45"/>
  <c r="J250" i="45" s="1"/>
  <c r="J243" i="45"/>
  <c r="J261" i="45" s="1"/>
  <c r="J241" i="45"/>
  <c r="J259" i="45" s="1"/>
  <c r="J242" i="45"/>
  <c r="J260" i="45" s="1"/>
  <c r="J240" i="45"/>
  <c r="J258" i="45" s="1"/>
  <c r="J239" i="45"/>
  <c r="J257" i="45" s="1"/>
  <c r="J231" i="45"/>
  <c r="J249" i="45" s="1"/>
  <c r="J237" i="45"/>
  <c r="J255" i="45" s="1"/>
  <c r="J238" i="45"/>
  <c r="J256" i="45" s="1"/>
  <c r="J236" i="45"/>
  <c r="J254" i="45" s="1"/>
  <c r="J213" i="37"/>
  <c r="J231" i="37" s="1"/>
  <c r="J210" i="37"/>
  <c r="J228" i="37" s="1"/>
  <c r="J209" i="37"/>
  <c r="J221" i="37"/>
  <c r="J239" i="37" s="1"/>
  <c r="J215" i="37"/>
  <c r="J233" i="37" s="1"/>
  <c r="J218" i="37"/>
  <c r="J236" i="37" s="1"/>
  <c r="J214" i="37"/>
  <c r="J232" i="37" s="1"/>
  <c r="J217" i="37"/>
  <c r="J235" i="37" s="1"/>
  <c r="J211" i="37"/>
  <c r="J229" i="37" s="1"/>
  <c r="J220" i="37"/>
  <c r="J238" i="37" s="1"/>
  <c r="J216" i="37"/>
  <c r="J234" i="37" s="1"/>
  <c r="J222" i="37"/>
  <c r="J240" i="37" s="1"/>
  <c r="J212" i="37"/>
  <c r="J230" i="37" s="1"/>
  <c r="J219" i="37"/>
  <c r="J237" i="37" s="1"/>
  <c r="J489" i="45"/>
  <c r="J507" i="45" s="1"/>
  <c r="J484" i="45"/>
  <c r="J493" i="45"/>
  <c r="J511" i="45" s="1"/>
  <c r="J488" i="45"/>
  <c r="J506" i="45" s="1"/>
  <c r="J490" i="45"/>
  <c r="J508" i="45" s="1"/>
  <c r="J491" i="45"/>
  <c r="J509" i="45" s="1"/>
  <c r="J492" i="45"/>
  <c r="J510" i="45" s="1"/>
  <c r="J494" i="45"/>
  <c r="J512" i="45" s="1"/>
  <c r="J495" i="45"/>
  <c r="J513" i="45" s="1"/>
  <c r="J485" i="45"/>
  <c r="J503" i="45" s="1"/>
  <c r="J487" i="45"/>
  <c r="J505" i="45" s="1"/>
  <c r="J496" i="45"/>
  <c r="J514" i="45" s="1"/>
  <c r="J497" i="45"/>
  <c r="J515" i="45" s="1"/>
  <c r="J486" i="45"/>
  <c r="J504" i="45" s="1"/>
  <c r="J476" i="37"/>
  <c r="J494" i="37" s="1"/>
  <c r="J463" i="37"/>
  <c r="J474" i="37"/>
  <c r="J492" i="37" s="1"/>
  <c r="J467" i="37"/>
  <c r="J485" i="37" s="1"/>
  <c r="J465" i="37"/>
  <c r="J483" i="37" s="1"/>
  <c r="J464" i="37"/>
  <c r="J482" i="37" s="1"/>
  <c r="J468" i="37"/>
  <c r="J486" i="37" s="1"/>
  <c r="J466" i="37"/>
  <c r="J484" i="37" s="1"/>
  <c r="J469" i="37"/>
  <c r="J487" i="37" s="1"/>
  <c r="J470" i="37"/>
  <c r="J488" i="37" s="1"/>
  <c r="J471" i="37"/>
  <c r="J489" i="37" s="1"/>
  <c r="J473" i="37"/>
  <c r="J491" i="37" s="1"/>
  <c r="J475" i="37"/>
  <c r="J493" i="37" s="1"/>
  <c r="J472" i="37"/>
  <c r="J490" i="37" s="1"/>
  <c r="J225" i="57"/>
  <c r="J243" i="57" s="1"/>
  <c r="J229" i="57"/>
  <c r="J247" i="57" s="1"/>
  <c r="J236" i="57"/>
  <c r="J254" i="57" s="1"/>
  <c r="J226" i="57"/>
  <c r="J244" i="57" s="1"/>
  <c r="J230" i="57"/>
  <c r="J248" i="57" s="1"/>
  <c r="J233" i="57"/>
  <c r="J251" i="57" s="1"/>
  <c r="J227" i="57"/>
  <c r="J245" i="57" s="1"/>
  <c r="J234" i="57"/>
  <c r="J252" i="57" s="1"/>
  <c r="J231" i="57"/>
  <c r="J249" i="57" s="1"/>
  <c r="J223" i="57"/>
  <c r="J235" i="57"/>
  <c r="J253" i="57" s="1"/>
  <c r="J228" i="57"/>
  <c r="J246" i="57" s="1"/>
  <c r="J232" i="57"/>
  <c r="J250" i="57" s="1"/>
  <c r="J224" i="57"/>
  <c r="J242" i="57" s="1"/>
  <c r="J721" i="69"/>
  <c r="J739" i="69" s="1"/>
  <c r="J717" i="69"/>
  <c r="J735" i="69" s="1"/>
  <c r="J713" i="69"/>
  <c r="J731" i="69" s="1"/>
  <c r="J712" i="69"/>
  <c r="J730" i="69" s="1"/>
  <c r="J711" i="69"/>
  <c r="J714" i="69"/>
  <c r="J732" i="69" s="1"/>
  <c r="J723" i="69"/>
  <c r="J741" i="69" s="1"/>
  <c r="J724" i="69"/>
  <c r="J742" i="69" s="1"/>
  <c r="J716" i="69"/>
  <c r="J734" i="69" s="1"/>
  <c r="J719" i="69"/>
  <c r="J737" i="69" s="1"/>
  <c r="J722" i="69"/>
  <c r="J740" i="69" s="1"/>
  <c r="J720" i="69"/>
  <c r="J738" i="69" s="1"/>
  <c r="J718" i="69"/>
  <c r="J736" i="69" s="1"/>
  <c r="J715" i="69"/>
  <c r="J733" i="69" s="1"/>
  <c r="J195" i="33"/>
  <c r="J213" i="33" s="1"/>
  <c r="J188" i="33"/>
  <c r="J199" i="33"/>
  <c r="J217" i="33" s="1"/>
  <c r="J192" i="33"/>
  <c r="J210" i="33" s="1"/>
  <c r="J189" i="33"/>
  <c r="J207" i="33" s="1"/>
  <c r="J193" i="33"/>
  <c r="J211" i="33" s="1"/>
  <c r="J196" i="33"/>
  <c r="J214" i="33" s="1"/>
  <c r="J200" i="33"/>
  <c r="J218" i="33" s="1"/>
  <c r="J190" i="33"/>
  <c r="J208" i="33" s="1"/>
  <c r="J197" i="33"/>
  <c r="J215" i="33" s="1"/>
  <c r="J191" i="33"/>
  <c r="J209" i="33" s="1"/>
  <c r="J194" i="33"/>
  <c r="J212" i="33" s="1"/>
  <c r="J201" i="33"/>
  <c r="J219" i="33" s="1"/>
  <c r="J198" i="33"/>
  <c r="J216" i="33" s="1"/>
  <c r="J320" i="75"/>
  <c r="J338" i="75" s="1"/>
  <c r="J324" i="75"/>
  <c r="J342" i="75" s="1"/>
  <c r="J318" i="75"/>
  <c r="J336" i="75" s="1"/>
  <c r="J314" i="75"/>
  <c r="J326" i="75"/>
  <c r="J344" i="75" s="1"/>
  <c r="J321" i="75"/>
  <c r="J339" i="75" s="1"/>
  <c r="J319" i="75"/>
  <c r="J337" i="75" s="1"/>
  <c r="J322" i="75"/>
  <c r="J340" i="75" s="1"/>
  <c r="J316" i="75"/>
  <c r="J334" i="75" s="1"/>
  <c r="J315" i="75"/>
  <c r="J333" i="75" s="1"/>
  <c r="J323" i="75"/>
  <c r="J341" i="75" s="1"/>
  <c r="J327" i="75"/>
  <c r="J345" i="75" s="1"/>
  <c r="J325" i="75"/>
  <c r="J343" i="75" s="1"/>
  <c r="J317" i="75"/>
  <c r="J335" i="75" s="1"/>
  <c r="J209" i="19"/>
  <c r="J212" i="19"/>
  <c r="J230" i="19" s="1"/>
  <c r="J215" i="19"/>
  <c r="J233" i="19" s="1"/>
  <c r="J222" i="19"/>
  <c r="J240" i="19" s="1"/>
  <c r="J219" i="19"/>
  <c r="J237" i="19" s="1"/>
  <c r="J216" i="19"/>
  <c r="J234" i="19" s="1"/>
  <c r="J217" i="19"/>
  <c r="J235" i="19" s="1"/>
  <c r="J220" i="19"/>
  <c r="J238" i="19" s="1"/>
  <c r="J213" i="19"/>
  <c r="J231" i="19" s="1"/>
  <c r="J210" i="19"/>
  <c r="J228" i="19" s="1"/>
  <c r="J214" i="19"/>
  <c r="J232" i="19" s="1"/>
  <c r="J221" i="19"/>
  <c r="J239" i="19" s="1"/>
  <c r="J211" i="19"/>
  <c r="J229" i="19" s="1"/>
  <c r="J218" i="19"/>
  <c r="J236" i="19" s="1"/>
  <c r="J456" i="69"/>
  <c r="J474" i="69" s="1"/>
  <c r="J444" i="69"/>
  <c r="J462" i="69" s="1"/>
  <c r="J454" i="69"/>
  <c r="J472" i="69" s="1"/>
  <c r="J443" i="69"/>
  <c r="J447" i="69"/>
  <c r="J465" i="69" s="1"/>
  <c r="J448" i="69"/>
  <c r="J466" i="69" s="1"/>
  <c r="J445" i="69"/>
  <c r="J463" i="69" s="1"/>
  <c r="J452" i="69"/>
  <c r="J470" i="69" s="1"/>
  <c r="J451" i="69"/>
  <c r="J469" i="69" s="1"/>
  <c r="J453" i="69"/>
  <c r="J471" i="69" s="1"/>
  <c r="J446" i="69"/>
  <c r="J464" i="69" s="1"/>
  <c r="J449" i="69"/>
  <c r="J467" i="69" s="1"/>
  <c r="J450" i="69"/>
  <c r="J468" i="69" s="1"/>
  <c r="J455" i="69"/>
  <c r="J473" i="69" s="1"/>
  <c r="J196" i="69"/>
  <c r="J214" i="69" s="1"/>
  <c r="J190" i="69"/>
  <c r="J208" i="69" s="1"/>
  <c r="J200" i="69"/>
  <c r="J218" i="69" s="1"/>
  <c r="J188" i="69"/>
  <c r="J198" i="69"/>
  <c r="J216" i="69" s="1"/>
  <c r="J193" i="69"/>
  <c r="J211" i="69" s="1"/>
  <c r="J199" i="69"/>
  <c r="J217" i="69" s="1"/>
  <c r="J194" i="69"/>
  <c r="J212" i="69" s="1"/>
  <c r="J197" i="69"/>
  <c r="J215" i="69" s="1"/>
  <c r="J201" i="69"/>
  <c r="J219" i="69" s="1"/>
  <c r="J195" i="69"/>
  <c r="J213" i="69" s="1"/>
  <c r="J192" i="69"/>
  <c r="J210" i="69" s="1"/>
  <c r="J191" i="69"/>
  <c r="J209" i="69" s="1"/>
  <c r="J189" i="69"/>
  <c r="J207" i="69" s="1"/>
  <c r="J452" i="61"/>
  <c r="J470" i="61" s="1"/>
  <c r="J463" i="61"/>
  <c r="J481" i="61" s="1"/>
  <c r="J451" i="61"/>
  <c r="J469" i="61" s="1"/>
  <c r="J462" i="61"/>
  <c r="J480" i="61" s="1"/>
  <c r="J450" i="61"/>
  <c r="J459" i="61"/>
  <c r="J477" i="61" s="1"/>
  <c r="J456" i="61"/>
  <c r="J474" i="61" s="1"/>
  <c r="J457" i="61"/>
  <c r="J475" i="61" s="1"/>
  <c r="J455" i="61"/>
  <c r="J473" i="61" s="1"/>
  <c r="J454" i="61"/>
  <c r="J472" i="61" s="1"/>
  <c r="J460" i="61"/>
  <c r="J478" i="61" s="1"/>
  <c r="J458" i="61"/>
  <c r="J476" i="61" s="1"/>
  <c r="J461" i="61"/>
  <c r="J479" i="61" s="1"/>
  <c r="J453" i="61"/>
  <c r="J471" i="61" s="1"/>
  <c r="J194" i="61"/>
  <c r="J212" i="61" s="1"/>
  <c r="J202" i="61"/>
  <c r="J220" i="61" s="1"/>
  <c r="J204" i="61"/>
  <c r="J222" i="61" s="1"/>
  <c r="J198" i="61"/>
  <c r="J216" i="61" s="1"/>
  <c r="J197" i="61"/>
  <c r="J215" i="61" s="1"/>
  <c r="J195" i="61"/>
  <c r="J213" i="61" s="1"/>
  <c r="J200" i="61"/>
  <c r="J218" i="61" s="1"/>
  <c r="J199" i="61"/>
  <c r="J217" i="61" s="1"/>
  <c r="J206" i="61"/>
  <c r="J224" i="61" s="1"/>
  <c r="J193" i="61"/>
  <c r="J201" i="61"/>
  <c r="J219" i="61" s="1"/>
  <c r="J196" i="61"/>
  <c r="J214" i="61" s="1"/>
  <c r="J205" i="61"/>
  <c r="J223" i="61" s="1"/>
  <c r="J203" i="61"/>
  <c r="J221" i="61" s="1"/>
  <c r="J199" i="77"/>
  <c r="J217" i="77" s="1"/>
  <c r="J200" i="77"/>
  <c r="J218" i="77" s="1"/>
  <c r="J189" i="77"/>
  <c r="J207" i="77" s="1"/>
  <c r="J198" i="77"/>
  <c r="J216" i="77" s="1"/>
  <c r="J192" i="77"/>
  <c r="J210" i="77" s="1"/>
  <c r="J196" i="77"/>
  <c r="J214" i="77" s="1"/>
  <c r="J197" i="77"/>
  <c r="J215" i="77" s="1"/>
  <c r="J190" i="77"/>
  <c r="J208" i="77" s="1"/>
  <c r="J191" i="77"/>
  <c r="J209" i="77" s="1"/>
  <c r="J194" i="77"/>
  <c r="J212" i="77" s="1"/>
  <c r="J201" i="77"/>
  <c r="J219" i="77" s="1"/>
  <c r="J193" i="77"/>
  <c r="J211" i="77" s="1"/>
  <c r="J188" i="77"/>
  <c r="J195" i="77"/>
  <c r="J213" i="77" s="1"/>
  <c r="J489" i="19"/>
  <c r="J507" i="19" s="1"/>
  <c r="J486" i="19"/>
  <c r="J504" i="19" s="1"/>
  <c r="J487" i="19"/>
  <c r="J505" i="19" s="1"/>
  <c r="J490" i="19"/>
  <c r="J508" i="19" s="1"/>
  <c r="J485" i="19"/>
  <c r="J503" i="19" s="1"/>
  <c r="J497" i="19"/>
  <c r="J515" i="19" s="1"/>
  <c r="J494" i="19"/>
  <c r="J512" i="19" s="1"/>
  <c r="J495" i="19"/>
  <c r="J513" i="19" s="1"/>
  <c r="J484" i="19"/>
  <c r="J488" i="19"/>
  <c r="J506" i="19" s="1"/>
  <c r="J492" i="19"/>
  <c r="J510" i="19" s="1"/>
  <c r="J493" i="19"/>
  <c r="J511" i="19" s="1"/>
  <c r="J491" i="19"/>
  <c r="J509" i="19" s="1"/>
  <c r="J496" i="19"/>
  <c r="J514" i="19" s="1"/>
  <c r="J763" i="19"/>
  <c r="J781" i="19" s="1"/>
  <c r="J771" i="19"/>
  <c r="J789" i="19" s="1"/>
  <c r="J760" i="19"/>
  <c r="J778" i="19" s="1"/>
  <c r="J772" i="19"/>
  <c r="J790" i="19" s="1"/>
  <c r="J759" i="19"/>
  <c r="J767" i="19"/>
  <c r="J785" i="19" s="1"/>
  <c r="J770" i="19"/>
  <c r="J788" i="19" s="1"/>
  <c r="J764" i="19"/>
  <c r="J782" i="19" s="1"/>
  <c r="J768" i="19"/>
  <c r="J786" i="19" s="1"/>
  <c r="J765" i="19"/>
  <c r="J783" i="19" s="1"/>
  <c r="J766" i="19"/>
  <c r="J784" i="19" s="1"/>
  <c r="J761" i="19"/>
  <c r="J779" i="19" s="1"/>
  <c r="J762" i="19"/>
  <c r="J780" i="19" s="1"/>
  <c r="J769" i="19"/>
  <c r="J787" i="19" s="1"/>
  <c r="J712" i="61"/>
  <c r="J730" i="61" s="1"/>
  <c r="J705" i="61"/>
  <c r="J708" i="61"/>
  <c r="J726" i="61" s="1"/>
  <c r="J711" i="61"/>
  <c r="J729" i="61" s="1"/>
  <c r="J709" i="61"/>
  <c r="J727" i="61" s="1"/>
  <c r="J710" i="61"/>
  <c r="J728" i="61" s="1"/>
  <c r="J713" i="61"/>
  <c r="J731" i="61" s="1"/>
  <c r="J716" i="61"/>
  <c r="J734" i="61" s="1"/>
  <c r="J717" i="61"/>
  <c r="J735" i="61" s="1"/>
  <c r="J707" i="61"/>
  <c r="J725" i="61" s="1"/>
  <c r="J706" i="61"/>
  <c r="J724" i="61" s="1"/>
  <c r="J718" i="61"/>
  <c r="J736" i="61" s="1"/>
  <c r="J715" i="61"/>
  <c r="J733" i="61" s="1"/>
  <c r="J714" i="61"/>
  <c r="J732" i="61" s="1"/>
  <c r="K91" i="69"/>
  <c r="K351" i="69"/>
  <c r="L74" i="69"/>
  <c r="L75" i="69"/>
  <c r="L89" i="69"/>
  <c r="L88" i="69"/>
  <c r="K77" i="69"/>
  <c r="K95" i="69"/>
  <c r="L81" i="69"/>
  <c r="L82" i="69"/>
  <c r="K96" i="69"/>
  <c r="J98" i="69"/>
  <c r="J88" i="27" s="1"/>
  <c r="J248" i="69"/>
  <c r="J259" i="69" s="1"/>
  <c r="J246" i="69"/>
  <c r="J257" i="69" s="1"/>
  <c r="J247" i="69"/>
  <c r="J258" i="69" s="1"/>
  <c r="J245" i="69"/>
  <c r="J251" i="69"/>
  <c r="J262" i="69" s="1"/>
  <c r="J250" i="69"/>
  <c r="J261" i="69" s="1"/>
  <c r="J249" i="69"/>
  <c r="J260" i="69" s="1"/>
  <c r="K84" i="69"/>
  <c r="J353" i="69"/>
  <c r="J89" i="27" s="1"/>
  <c r="J506" i="69"/>
  <c r="J517" i="69" s="1"/>
  <c r="J502" i="69"/>
  <c r="J513" i="69" s="1"/>
  <c r="J504" i="69"/>
  <c r="J515" i="69" s="1"/>
  <c r="J505" i="69"/>
  <c r="J516" i="69" s="1"/>
  <c r="J501" i="69"/>
  <c r="J512" i="69" s="1"/>
  <c r="J503" i="69"/>
  <c r="J514" i="69" s="1"/>
  <c r="J500" i="69"/>
  <c r="K332" i="69"/>
  <c r="K350" i="69"/>
  <c r="L336" i="69"/>
  <c r="L337" i="69"/>
  <c r="K346" i="69"/>
  <c r="L329" i="69"/>
  <c r="L330" i="69"/>
  <c r="L344" i="69"/>
  <c r="L343" i="69"/>
  <c r="K339" i="69"/>
  <c r="K413" i="57"/>
  <c r="J542" i="19"/>
  <c r="J553" i="19" s="1"/>
  <c r="J544" i="19"/>
  <c r="J555" i="19" s="1"/>
  <c r="J541" i="19"/>
  <c r="J545" i="19"/>
  <c r="J556" i="19" s="1"/>
  <c r="J547" i="19"/>
  <c r="J558" i="19" s="1"/>
  <c r="J546" i="19"/>
  <c r="J557" i="19" s="1"/>
  <c r="J543" i="19"/>
  <c r="J554" i="19" s="1"/>
  <c r="J545" i="45"/>
  <c r="J556" i="45" s="1"/>
  <c r="J544" i="45"/>
  <c r="J555" i="45" s="1"/>
  <c r="J543" i="45"/>
  <c r="J554" i="45" s="1"/>
  <c r="J542" i="45"/>
  <c r="J553" i="45" s="1"/>
  <c r="J546" i="45"/>
  <c r="J557" i="45" s="1"/>
  <c r="J547" i="45"/>
  <c r="J558" i="45" s="1"/>
  <c r="J541" i="45"/>
  <c r="J522" i="37"/>
  <c r="J533" i="37" s="1"/>
  <c r="J520" i="37"/>
  <c r="J524" i="37"/>
  <c r="J535" i="37" s="1"/>
  <c r="J526" i="37"/>
  <c r="J537" i="37" s="1"/>
  <c r="J525" i="37"/>
  <c r="J536" i="37" s="1"/>
  <c r="J521" i="37"/>
  <c r="J532" i="37" s="1"/>
  <c r="J523" i="37"/>
  <c r="J534" i="37" s="1"/>
  <c r="J246" i="33"/>
  <c r="J257" i="33" s="1"/>
  <c r="J247" i="33"/>
  <c r="J258" i="33" s="1"/>
  <c r="J250" i="33"/>
  <c r="J261" i="33" s="1"/>
  <c r="J251" i="33"/>
  <c r="J262" i="33" s="1"/>
  <c r="J245" i="33"/>
  <c r="J248" i="33"/>
  <c r="J259" i="33" s="1"/>
  <c r="J249" i="33"/>
  <c r="J260" i="33" s="1"/>
  <c r="J818" i="19"/>
  <c r="J829" i="19" s="1"/>
  <c r="J819" i="19"/>
  <c r="J830" i="19" s="1"/>
  <c r="J821" i="19"/>
  <c r="J832" i="19" s="1"/>
  <c r="J817" i="19"/>
  <c r="J828" i="19" s="1"/>
  <c r="J820" i="19"/>
  <c r="J831" i="19" s="1"/>
  <c r="J822" i="19"/>
  <c r="J833" i="19" s="1"/>
  <c r="J816" i="19"/>
  <c r="J283" i="57"/>
  <c r="J294" i="57" s="1"/>
  <c r="J286" i="57"/>
  <c r="J297" i="57" s="1"/>
  <c r="J284" i="57"/>
  <c r="J295" i="57" s="1"/>
  <c r="J285" i="57"/>
  <c r="J296" i="57" s="1"/>
  <c r="J281" i="57"/>
  <c r="J292" i="57" s="1"/>
  <c r="J282" i="57"/>
  <c r="J293" i="57" s="1"/>
  <c r="J280" i="57"/>
  <c r="J246" i="77"/>
  <c r="J257" i="77" s="1"/>
  <c r="J250" i="77"/>
  <c r="J261" i="77" s="1"/>
  <c r="J248" i="77"/>
  <c r="J259" i="77" s="1"/>
  <c r="J251" i="77"/>
  <c r="J262" i="77" s="1"/>
  <c r="J249" i="77"/>
  <c r="J260" i="77" s="1"/>
  <c r="J247" i="77"/>
  <c r="J258" i="77" s="1"/>
  <c r="J245" i="77"/>
  <c r="J508" i="61"/>
  <c r="J519" i="61" s="1"/>
  <c r="J510" i="61"/>
  <c r="J521" i="61" s="1"/>
  <c r="J507" i="61"/>
  <c r="J512" i="61"/>
  <c r="J523" i="61" s="1"/>
  <c r="J513" i="61"/>
  <c r="J524" i="61" s="1"/>
  <c r="J511" i="61"/>
  <c r="J522" i="61" s="1"/>
  <c r="J509" i="61"/>
  <c r="J520" i="61" s="1"/>
  <c r="J292" i="45"/>
  <c r="J303" i="45" s="1"/>
  <c r="J288" i="45"/>
  <c r="J299" i="45" s="1"/>
  <c r="J290" i="45"/>
  <c r="J301" i="45" s="1"/>
  <c r="J291" i="45"/>
  <c r="J302" i="45" s="1"/>
  <c r="J289" i="45"/>
  <c r="J300" i="45" s="1"/>
  <c r="J287" i="45"/>
  <c r="J293" i="45"/>
  <c r="J304" i="45" s="1"/>
  <c r="J250" i="61"/>
  <c r="J255" i="61"/>
  <c r="J266" i="61" s="1"/>
  <c r="J254" i="61"/>
  <c r="J265" i="61" s="1"/>
  <c r="J252" i="61"/>
  <c r="J263" i="61" s="1"/>
  <c r="J256" i="61"/>
  <c r="J267" i="61" s="1"/>
  <c r="J253" i="61"/>
  <c r="J264" i="61" s="1"/>
  <c r="J251" i="61"/>
  <c r="J262" i="61" s="1"/>
  <c r="J767" i="61"/>
  <c r="J778" i="61" s="1"/>
  <c r="J763" i="61"/>
  <c r="J774" i="61" s="1"/>
  <c r="J766" i="61"/>
  <c r="J777" i="61" s="1"/>
  <c r="J764" i="61"/>
  <c r="J775" i="61" s="1"/>
  <c r="J762" i="61"/>
  <c r="J765" i="61"/>
  <c r="J776" i="61" s="1"/>
  <c r="J768" i="61"/>
  <c r="J779" i="61" s="1"/>
  <c r="J769" i="69"/>
  <c r="J780" i="69" s="1"/>
  <c r="J768" i="69"/>
  <c r="J773" i="69"/>
  <c r="J784" i="69" s="1"/>
  <c r="J774" i="69"/>
  <c r="J785" i="69" s="1"/>
  <c r="J772" i="69"/>
  <c r="J783" i="69" s="1"/>
  <c r="J770" i="69"/>
  <c r="J781" i="69" s="1"/>
  <c r="J771" i="69"/>
  <c r="J782" i="69" s="1"/>
  <c r="J272" i="37"/>
  <c r="J283" i="37" s="1"/>
  <c r="J268" i="37"/>
  <c r="J279" i="37" s="1"/>
  <c r="J270" i="37"/>
  <c r="J281" i="37" s="1"/>
  <c r="J269" i="37"/>
  <c r="J280" i="37" s="1"/>
  <c r="J267" i="37"/>
  <c r="J278" i="37" s="1"/>
  <c r="J266" i="37"/>
  <c r="J271" i="37"/>
  <c r="J282" i="37" s="1"/>
  <c r="J270" i="19"/>
  <c r="J281" i="19" s="1"/>
  <c r="J267" i="19"/>
  <c r="J278" i="19" s="1"/>
  <c r="J271" i="19"/>
  <c r="J282" i="19" s="1"/>
  <c r="J268" i="19"/>
  <c r="J279" i="19" s="1"/>
  <c r="J272" i="19"/>
  <c r="J283" i="19" s="1"/>
  <c r="J266" i="19"/>
  <c r="J269" i="19"/>
  <c r="J280" i="19" s="1"/>
  <c r="J1022" i="61"/>
  <c r="J1033" i="61" s="1"/>
  <c r="J1017" i="61"/>
  <c r="J1023" i="61"/>
  <c r="J1034" i="61" s="1"/>
  <c r="J1020" i="61"/>
  <c r="J1031" i="61" s="1"/>
  <c r="J1021" i="61"/>
  <c r="J1032" i="61" s="1"/>
  <c r="J1019" i="61"/>
  <c r="J1030" i="61" s="1"/>
  <c r="J1018" i="61"/>
  <c r="J1029" i="61" s="1"/>
  <c r="J565" i="57"/>
  <c r="J576" i="57" s="1"/>
  <c r="J566" i="57"/>
  <c r="J577" i="57" s="1"/>
  <c r="J562" i="57"/>
  <c r="J568" i="57"/>
  <c r="J579" i="57" s="1"/>
  <c r="J564" i="57"/>
  <c r="J575" i="57" s="1"/>
  <c r="J563" i="57"/>
  <c r="J574" i="57" s="1"/>
  <c r="J567" i="57"/>
  <c r="J578" i="57" s="1"/>
  <c r="J374" i="75"/>
  <c r="J385" i="75" s="1"/>
  <c r="J372" i="75"/>
  <c r="J383" i="75" s="1"/>
  <c r="J373" i="75"/>
  <c r="J384" i="75" s="1"/>
  <c r="J371" i="75"/>
  <c r="J377" i="75"/>
  <c r="J388" i="75" s="1"/>
  <c r="J376" i="75"/>
  <c r="J387" i="75" s="1"/>
  <c r="J375" i="75"/>
  <c r="J386" i="75" s="1"/>
  <c r="K868" i="61"/>
  <c r="K359" i="37"/>
  <c r="K84" i="77"/>
  <c r="K346" i="61"/>
  <c r="K856" i="61"/>
  <c r="K204" i="75"/>
  <c r="K222" i="75"/>
  <c r="K371" i="37"/>
  <c r="K612" i="69"/>
  <c r="K96" i="61"/>
  <c r="K411" i="57"/>
  <c r="K84" i="33"/>
  <c r="K392" i="45"/>
  <c r="K409" i="57"/>
  <c r="K608" i="61"/>
  <c r="K91" i="33"/>
  <c r="K863" i="61"/>
  <c r="K217" i="75"/>
  <c r="K210" i="75"/>
  <c r="K666" i="19"/>
  <c r="K133" i="45"/>
  <c r="K601" i="61"/>
  <c r="K649" i="19"/>
  <c r="K390" i="19"/>
  <c r="L655" i="19"/>
  <c r="L657" i="19"/>
  <c r="L653" i="19"/>
  <c r="L654" i="19"/>
  <c r="L656" i="19"/>
  <c r="K215" i="75"/>
  <c r="K220" i="75"/>
  <c r="K206" i="75"/>
  <c r="K366" i="37"/>
  <c r="L83" i="19"/>
  <c r="L86" i="19"/>
  <c r="L87" i="19"/>
  <c r="L84" i="19"/>
  <c r="L85" i="19"/>
  <c r="L589" i="69"/>
  <c r="L590" i="69"/>
  <c r="L591" i="69"/>
  <c r="L592" i="69"/>
  <c r="K639" i="19"/>
  <c r="K663" i="19"/>
  <c r="K131" i="45"/>
  <c r="K101" i="45"/>
  <c r="K97" i="57"/>
  <c r="K125" i="57"/>
  <c r="K374" i="19"/>
  <c r="K116" i="37"/>
  <c r="K114" i="45"/>
  <c r="J140" i="45"/>
  <c r="J76" i="27" s="1"/>
  <c r="K412" i="57"/>
  <c r="L599" i="69"/>
  <c r="L601" i="69"/>
  <c r="L598" i="69"/>
  <c r="L600" i="69"/>
  <c r="L378" i="45"/>
  <c r="L377" i="45"/>
  <c r="K364" i="19"/>
  <c r="K388" i="19"/>
  <c r="K89" i="19"/>
  <c r="K113" i="19"/>
  <c r="L94" i="61"/>
  <c r="L93" i="61"/>
  <c r="M540" i="69"/>
  <c r="M327" i="45"/>
  <c r="M547" i="61"/>
  <c r="M306" i="41"/>
  <c r="M290" i="61"/>
  <c r="M306" i="37"/>
  <c r="M581" i="19"/>
  <c r="M306" i="49"/>
  <c r="M334" i="53"/>
  <c r="M306" i="19"/>
  <c r="M802" i="61"/>
  <c r="M285" i="69"/>
  <c r="M320" i="57"/>
  <c r="M31" i="53"/>
  <c r="M31" i="61"/>
  <c r="M31" i="41"/>
  <c r="M31" i="49"/>
  <c r="M31" i="75"/>
  <c r="M31" i="57"/>
  <c r="M31" i="45"/>
  <c r="M31" i="69"/>
  <c r="M31" i="37"/>
  <c r="M31" i="29"/>
  <c r="M31" i="77"/>
  <c r="M31" i="33"/>
  <c r="M31" i="18"/>
  <c r="M31" i="19"/>
  <c r="K199" i="75"/>
  <c r="J103" i="61"/>
  <c r="J84" i="27" s="1"/>
  <c r="J615" i="61"/>
  <c r="J86" i="27" s="1"/>
  <c r="L356" i="37"/>
  <c r="L89" i="33"/>
  <c r="L88" i="33"/>
  <c r="K149" i="75"/>
  <c r="K203" i="75"/>
  <c r="K205" i="75"/>
  <c r="K127" i="45"/>
  <c r="J621" i="69"/>
  <c r="J90" i="27" s="1"/>
  <c r="L129" i="75"/>
  <c r="L140" i="75"/>
  <c r="L130" i="75"/>
  <c r="L141" i="75"/>
  <c r="L135" i="75"/>
  <c r="L132" i="75"/>
  <c r="L142" i="75"/>
  <c r="L143" i="75"/>
  <c r="L133" i="75"/>
  <c r="L144" i="75"/>
  <c r="L131" i="75"/>
  <c r="L134" i="75"/>
  <c r="L145" i="75"/>
  <c r="L139" i="75"/>
  <c r="L136" i="75"/>
  <c r="L146" i="75"/>
  <c r="L128" i="75"/>
  <c r="L138" i="75"/>
  <c r="L147" i="75"/>
  <c r="L137" i="75"/>
  <c r="L94" i="45"/>
  <c r="L97" i="45"/>
  <c r="L95" i="45"/>
  <c r="L96" i="45"/>
  <c r="L99" i="45"/>
  <c r="L92" i="45"/>
  <c r="L93" i="45"/>
  <c r="L98" i="45"/>
  <c r="L633" i="19"/>
  <c r="L635" i="19"/>
  <c r="L636" i="19"/>
  <c r="L634" i="19"/>
  <c r="L637" i="19"/>
  <c r="L846" i="61"/>
  <c r="L847" i="61"/>
  <c r="K137" i="45"/>
  <c r="K127" i="57"/>
  <c r="K99" i="19"/>
  <c r="K617" i="69"/>
  <c r="L86" i="61"/>
  <c r="L87" i="61"/>
  <c r="L643" i="19"/>
  <c r="L644" i="19"/>
  <c r="L647" i="19"/>
  <c r="L646" i="19"/>
  <c r="L645" i="19"/>
  <c r="L854" i="61"/>
  <c r="L853" i="61"/>
  <c r="J119" i="37"/>
  <c r="J72" i="27" s="1"/>
  <c r="K391" i="19"/>
  <c r="L860" i="61"/>
  <c r="L861" i="61"/>
  <c r="L363" i="37"/>
  <c r="K91" i="77"/>
  <c r="K101" i="61"/>
  <c r="K594" i="61"/>
  <c r="K613" i="61"/>
  <c r="K353" i="61"/>
  <c r="K121" i="57"/>
  <c r="L95" i="19"/>
  <c r="L96" i="19"/>
  <c r="L97" i="19"/>
  <c r="L94" i="19"/>
  <c r="L93" i="19"/>
  <c r="K352" i="37"/>
  <c r="K370" i="37"/>
  <c r="K212" i="75"/>
  <c r="K219" i="75"/>
  <c r="K603" i="69"/>
  <c r="L83" i="37"/>
  <c r="L86" i="37"/>
  <c r="L84" i="37"/>
  <c r="L87" i="37"/>
  <c r="L85" i="37"/>
  <c r="L349" i="37"/>
  <c r="K134" i="45"/>
  <c r="K130" i="57"/>
  <c r="K594" i="69"/>
  <c r="K616" i="69"/>
  <c r="J224" i="75"/>
  <c r="J91" i="27" s="1"/>
  <c r="J119" i="19"/>
  <c r="J67" i="27" s="1"/>
  <c r="K410" i="57"/>
  <c r="L81" i="77"/>
  <c r="L82" i="77"/>
  <c r="L368" i="19"/>
  <c r="L370" i="19"/>
  <c r="L369" i="19"/>
  <c r="L371" i="19"/>
  <c r="L372" i="19"/>
  <c r="L389" i="57"/>
  <c r="L390" i="57"/>
  <c r="L387" i="57"/>
  <c r="L386" i="57"/>
  <c r="L391" i="57"/>
  <c r="L388" i="57"/>
  <c r="K77" i="33"/>
  <c r="K95" i="33"/>
  <c r="L351" i="61"/>
  <c r="L350" i="61"/>
  <c r="K89" i="61"/>
  <c r="K612" i="61"/>
  <c r="J870" i="61"/>
  <c r="J87" i="27" s="1"/>
  <c r="J415" i="57"/>
  <c r="J83" i="27" s="1"/>
  <c r="K82" i="61"/>
  <c r="K100" i="61"/>
  <c r="K221" i="75"/>
  <c r="K208" i="75"/>
  <c r="K109" i="57"/>
  <c r="L74" i="33"/>
  <c r="L75" i="33"/>
  <c r="L94" i="57"/>
  <c r="L89" i="57"/>
  <c r="L91" i="57"/>
  <c r="L92" i="57"/>
  <c r="L93" i="57"/>
  <c r="L90" i="57"/>
  <c r="L95" i="57"/>
  <c r="L336" i="61"/>
  <c r="L337" i="61"/>
  <c r="M800" i="61"/>
  <c r="M283" i="69"/>
  <c r="M538" i="69"/>
  <c r="M325" i="45"/>
  <c r="M545" i="61"/>
  <c r="M304" i="41"/>
  <c r="M304" i="49"/>
  <c r="M332" i="53"/>
  <c r="M304" i="19"/>
  <c r="M288" i="61"/>
  <c r="M318" i="57"/>
  <c r="M304" i="37"/>
  <c r="M579" i="19"/>
  <c r="M29" i="61"/>
  <c r="M29" i="41"/>
  <c r="M29" i="75"/>
  <c r="M29" i="57"/>
  <c r="M29" i="37"/>
  <c r="M29" i="45"/>
  <c r="M29" i="69"/>
  <c r="M29" i="53"/>
  <c r="M29" i="33"/>
  <c r="M29" i="77"/>
  <c r="M29" i="29"/>
  <c r="M29" i="49"/>
  <c r="M29" i="19"/>
  <c r="M29" i="18"/>
  <c r="K138" i="45"/>
  <c r="K129" i="57"/>
  <c r="J394" i="19"/>
  <c r="J69" i="27" s="1"/>
  <c r="K115" i="37"/>
  <c r="K619" i="69"/>
  <c r="K384" i="19"/>
  <c r="L82" i="33"/>
  <c r="L81" i="33"/>
  <c r="K391" i="45"/>
  <c r="K373" i="45"/>
  <c r="K96" i="33"/>
  <c r="L105" i="19"/>
  <c r="L106" i="19"/>
  <c r="L107" i="19"/>
  <c r="L103" i="19"/>
  <c r="L104" i="19"/>
  <c r="L125" i="45"/>
  <c r="L121" i="45"/>
  <c r="L118" i="45"/>
  <c r="L119" i="45"/>
  <c r="L122" i="45"/>
  <c r="L124" i="45"/>
  <c r="L123" i="45"/>
  <c r="L120" i="45"/>
  <c r="L609" i="69"/>
  <c r="L607" i="69"/>
  <c r="L608" i="69"/>
  <c r="L610" i="69"/>
  <c r="J394" i="45"/>
  <c r="J77" i="27" s="1"/>
  <c r="J373" i="37"/>
  <c r="J73" i="27" s="1"/>
  <c r="K339" i="61"/>
  <c r="K357" i="61"/>
  <c r="L380" i="57"/>
  <c r="L379" i="57"/>
  <c r="L376" i="57"/>
  <c r="L375" i="57"/>
  <c r="L378" i="57"/>
  <c r="L377" i="57"/>
  <c r="L89" i="77"/>
  <c r="L88" i="77"/>
  <c r="K174" i="75"/>
  <c r="K218" i="75"/>
  <c r="K667" i="19"/>
  <c r="K135" i="45"/>
  <c r="K131" i="57"/>
  <c r="K99" i="37"/>
  <c r="K89" i="37"/>
  <c r="K113" i="37"/>
  <c r="J98" i="33"/>
  <c r="J70" i="27" s="1"/>
  <c r="K618" i="69"/>
  <c r="L97" i="37"/>
  <c r="L95" i="37"/>
  <c r="L93" i="37"/>
  <c r="L96" i="37"/>
  <c r="L94" i="37"/>
  <c r="M305" i="49"/>
  <c r="M333" i="53"/>
  <c r="M305" i="19"/>
  <c r="M319" i="57"/>
  <c r="M801" i="61"/>
  <c r="M539" i="69"/>
  <c r="M289" i="61"/>
  <c r="M305" i="37"/>
  <c r="M580" i="19"/>
  <c r="M305" i="41"/>
  <c r="M326" i="45"/>
  <c r="M284" i="69"/>
  <c r="M546" i="61"/>
  <c r="M30" i="57"/>
  <c r="M30" i="37"/>
  <c r="M30" i="69"/>
  <c r="M30" i="53"/>
  <c r="M30" i="77"/>
  <c r="M30" i="61"/>
  <c r="M30" i="49"/>
  <c r="M30" i="75"/>
  <c r="M30" i="45"/>
  <c r="M30" i="29"/>
  <c r="M30" i="41"/>
  <c r="M30" i="33"/>
  <c r="M30" i="18"/>
  <c r="M30" i="19"/>
  <c r="K117" i="19"/>
  <c r="L105" i="37"/>
  <c r="L104" i="37"/>
  <c r="L103" i="37"/>
  <c r="L107" i="37"/>
  <c r="L106" i="37"/>
  <c r="L401" i="57"/>
  <c r="L398" i="57"/>
  <c r="L400" i="57"/>
  <c r="L402" i="57"/>
  <c r="L399" i="57"/>
  <c r="L397" i="57"/>
  <c r="L606" i="61"/>
  <c r="L605" i="61"/>
  <c r="K867" i="61"/>
  <c r="K849" i="61"/>
  <c r="K358" i="61"/>
  <c r="K214" i="75"/>
  <c r="K211" i="75"/>
  <c r="K207" i="75"/>
  <c r="K109" i="19"/>
  <c r="L79" i="61"/>
  <c r="L80" i="61"/>
  <c r="L358" i="19"/>
  <c r="L360" i="19"/>
  <c r="L362" i="19"/>
  <c r="L361" i="19"/>
  <c r="L359" i="19"/>
  <c r="L591" i="61"/>
  <c r="L592" i="61"/>
  <c r="K665" i="19"/>
  <c r="K132" i="45"/>
  <c r="K128" i="57"/>
  <c r="K109" i="37"/>
  <c r="K117" i="37"/>
  <c r="J669" i="19"/>
  <c r="J71" i="27" s="1"/>
  <c r="L103" i="57"/>
  <c r="L106" i="57"/>
  <c r="L104" i="57"/>
  <c r="L101" i="57"/>
  <c r="L107" i="57"/>
  <c r="L105" i="57"/>
  <c r="L102" i="57"/>
  <c r="L108" i="45"/>
  <c r="L109" i="45"/>
  <c r="L112" i="45"/>
  <c r="L106" i="45"/>
  <c r="L105" i="45"/>
  <c r="L111" i="45"/>
  <c r="L107" i="45"/>
  <c r="L110" i="45"/>
  <c r="K389" i="19"/>
  <c r="K116" i="19"/>
  <c r="L119" i="57"/>
  <c r="L118" i="57"/>
  <c r="L117" i="57"/>
  <c r="L114" i="57"/>
  <c r="L113" i="57"/>
  <c r="L116" i="57"/>
  <c r="L115" i="57"/>
  <c r="L380" i="19"/>
  <c r="L382" i="19"/>
  <c r="L379" i="19"/>
  <c r="L381" i="19"/>
  <c r="L378" i="19"/>
  <c r="L384" i="45"/>
  <c r="L385" i="45"/>
  <c r="K404" i="57"/>
  <c r="K393" i="57"/>
  <c r="K77" i="77"/>
  <c r="K95" i="77"/>
  <c r="J133" i="57"/>
  <c r="J82" i="27" s="1"/>
  <c r="J98" i="77"/>
  <c r="J92" i="27" s="1"/>
  <c r="K115" i="19"/>
  <c r="K209" i="75"/>
  <c r="K213" i="75"/>
  <c r="K216" i="75"/>
  <c r="K659" i="19"/>
  <c r="L74" i="77"/>
  <c r="L75" i="77"/>
  <c r="L370" i="45"/>
  <c r="L371" i="45"/>
  <c r="K664" i="19"/>
  <c r="K136" i="45"/>
  <c r="K126" i="57"/>
  <c r="K114" i="37"/>
  <c r="J360" i="61"/>
  <c r="J85" i="27" s="1"/>
  <c r="K382" i="57"/>
  <c r="K408" i="57"/>
  <c r="L153" i="75"/>
  <c r="L168" i="75"/>
  <c r="L161" i="75"/>
  <c r="L163" i="75"/>
  <c r="L166" i="75"/>
  <c r="L170" i="75"/>
  <c r="L157" i="75"/>
  <c r="L171" i="75"/>
  <c r="L169" i="75"/>
  <c r="L155" i="75"/>
  <c r="L164" i="75"/>
  <c r="L162" i="75"/>
  <c r="L172" i="75"/>
  <c r="L154" i="75"/>
  <c r="L159" i="75"/>
  <c r="L156" i="75"/>
  <c r="L160" i="75"/>
  <c r="L158" i="75"/>
  <c r="L167" i="75"/>
  <c r="L165" i="75"/>
  <c r="L344" i="61"/>
  <c r="L343" i="61"/>
  <c r="L599" i="61"/>
  <c r="L598" i="61"/>
  <c r="K392" i="19"/>
  <c r="K114" i="19"/>
  <c r="L189" i="75"/>
  <c r="L191" i="75"/>
  <c r="L184" i="75"/>
  <c r="L190" i="75"/>
  <c r="L194" i="75"/>
  <c r="L186" i="75"/>
  <c r="L179" i="75"/>
  <c r="L193" i="75"/>
  <c r="L187" i="75"/>
  <c r="L178" i="75"/>
  <c r="L185" i="75"/>
  <c r="L192" i="75"/>
  <c r="L181" i="75"/>
  <c r="L188" i="75"/>
  <c r="L195" i="75"/>
  <c r="L180" i="75"/>
  <c r="L197" i="75"/>
  <c r="L183" i="75"/>
  <c r="L182" i="75"/>
  <c r="L196" i="75"/>
  <c r="K96" i="77"/>
  <c r="K387" i="45"/>
  <c r="K380" i="45"/>
  <c r="S177" i="79" l="1"/>
  <c r="K110" i="61"/>
  <c r="K116" i="61"/>
  <c r="K117" i="61"/>
  <c r="K120" i="61"/>
  <c r="K119" i="61"/>
  <c r="K121" i="61"/>
  <c r="K114" i="61"/>
  <c r="K123" i="61"/>
  <c r="K124" i="61"/>
  <c r="K125" i="61"/>
  <c r="K118" i="61"/>
  <c r="K122" i="61"/>
  <c r="K112" i="61"/>
  <c r="K113" i="61"/>
  <c r="K111" i="61"/>
  <c r="K115" i="61"/>
  <c r="K118" i="33"/>
  <c r="K105" i="33"/>
  <c r="K108" i="33"/>
  <c r="K111" i="33"/>
  <c r="K114" i="33"/>
  <c r="K117" i="33"/>
  <c r="K120" i="33"/>
  <c r="K107" i="33"/>
  <c r="K110" i="33"/>
  <c r="K113" i="33"/>
  <c r="K116" i="33"/>
  <c r="K119" i="33"/>
  <c r="K115" i="33"/>
  <c r="K106" i="33"/>
  <c r="K109" i="33"/>
  <c r="K112" i="33"/>
  <c r="K147" i="57"/>
  <c r="K140" i="57"/>
  <c r="K146" i="57"/>
  <c r="K148" i="57"/>
  <c r="K141" i="57"/>
  <c r="K144" i="57"/>
  <c r="K153" i="57"/>
  <c r="K143" i="57"/>
  <c r="K151" i="57"/>
  <c r="K149" i="57"/>
  <c r="K154" i="57"/>
  <c r="K152" i="57"/>
  <c r="K142" i="57"/>
  <c r="K145" i="57"/>
  <c r="K155" i="57"/>
  <c r="K150" i="57"/>
  <c r="K361" i="69"/>
  <c r="K370" i="69"/>
  <c r="K367" i="69"/>
  <c r="K373" i="69"/>
  <c r="K374" i="69"/>
  <c r="K369" i="69"/>
  <c r="K375" i="69"/>
  <c r="K363" i="69"/>
  <c r="K364" i="69"/>
  <c r="K368" i="69"/>
  <c r="K360" i="69"/>
  <c r="K362" i="69"/>
  <c r="K365" i="69"/>
  <c r="K371" i="69"/>
  <c r="K366" i="69"/>
  <c r="K372" i="69"/>
  <c r="K470" i="53"/>
  <c r="K460" i="53"/>
  <c r="K463" i="53"/>
  <c r="K466" i="53"/>
  <c r="K469" i="53"/>
  <c r="K472" i="53"/>
  <c r="K457" i="53"/>
  <c r="K459" i="53"/>
  <c r="K468" i="53"/>
  <c r="K471" i="53"/>
  <c r="K462" i="53"/>
  <c r="K465" i="53"/>
  <c r="K458" i="53"/>
  <c r="K461" i="53"/>
  <c r="K464" i="53"/>
  <c r="K467" i="53"/>
  <c r="J180" i="49"/>
  <c r="J160" i="49"/>
  <c r="J166" i="49"/>
  <c r="J146" i="49"/>
  <c r="J142" i="49"/>
  <c r="J289" i="49" s="1"/>
  <c r="J662" i="61"/>
  <c r="J638" i="61"/>
  <c r="J785" i="61" s="1"/>
  <c r="J642" i="61"/>
  <c r="J663" i="61"/>
  <c r="J643" i="61"/>
  <c r="J157" i="61"/>
  <c r="J137" i="61"/>
  <c r="J154" i="61"/>
  <c r="J134" i="61"/>
  <c r="J179" i="19"/>
  <c r="J159" i="19"/>
  <c r="J171" i="19"/>
  <c r="J151" i="19"/>
  <c r="J160" i="33"/>
  <c r="J140" i="33"/>
  <c r="J149" i="33"/>
  <c r="J129" i="33"/>
  <c r="J497" i="53"/>
  <c r="J477" i="53"/>
  <c r="J473" i="53"/>
  <c r="J620" i="53" s="1"/>
  <c r="J501" i="53"/>
  <c r="J481" i="53"/>
  <c r="J466" i="41"/>
  <c r="J446" i="41"/>
  <c r="J460" i="41"/>
  <c r="J440" i="41"/>
  <c r="J129" i="77"/>
  <c r="J149" i="77"/>
  <c r="J153" i="77"/>
  <c r="J133" i="77"/>
  <c r="J424" i="37"/>
  <c r="J404" i="37"/>
  <c r="J425" i="37"/>
  <c r="J405" i="37"/>
  <c r="J929" i="61"/>
  <c r="J909" i="61"/>
  <c r="J919" i="61"/>
  <c r="J899" i="61"/>
  <c r="J194" i="57"/>
  <c r="J174" i="57"/>
  <c r="J188" i="57"/>
  <c r="J168" i="57"/>
  <c r="J726" i="19"/>
  <c r="J706" i="19"/>
  <c r="J725" i="19"/>
  <c r="J705" i="19"/>
  <c r="J202" i="45"/>
  <c r="J182" i="45"/>
  <c r="J194" i="45"/>
  <c r="J174" i="45"/>
  <c r="J199" i="53"/>
  <c r="J179" i="53"/>
  <c r="J196" i="53"/>
  <c r="J176" i="53"/>
  <c r="J453" i="49"/>
  <c r="J433" i="49"/>
  <c r="J447" i="49"/>
  <c r="J427" i="49"/>
  <c r="J451" i="45"/>
  <c r="J431" i="45"/>
  <c r="J445" i="45"/>
  <c r="J425" i="45"/>
  <c r="J672" i="69"/>
  <c r="J652" i="69"/>
  <c r="J674" i="69"/>
  <c r="J654" i="69"/>
  <c r="J229" i="29"/>
  <c r="J209" i="29"/>
  <c r="J222" i="29"/>
  <c r="J202" i="29"/>
  <c r="J155" i="69"/>
  <c r="J135" i="69"/>
  <c r="J160" i="69"/>
  <c r="J140" i="69"/>
  <c r="J412" i="69"/>
  <c r="J392" i="69"/>
  <c r="J394" i="69"/>
  <c r="J414" i="69"/>
  <c r="J153" i="37"/>
  <c r="J173" i="37"/>
  <c r="J172" i="37"/>
  <c r="J152" i="37"/>
  <c r="J276" i="75"/>
  <c r="J256" i="75"/>
  <c r="J272" i="75"/>
  <c r="J252" i="75"/>
  <c r="J412" i="61"/>
  <c r="J392" i="61"/>
  <c r="J413" i="61"/>
  <c r="J393" i="61"/>
  <c r="J174" i="41"/>
  <c r="J154" i="41"/>
  <c r="J175" i="41"/>
  <c r="J155" i="41"/>
  <c r="J442" i="57"/>
  <c r="J462" i="57"/>
  <c r="J438" i="57"/>
  <c r="J585" i="57" s="1"/>
  <c r="J469" i="57"/>
  <c r="J449" i="57"/>
  <c r="J442" i="19"/>
  <c r="J422" i="19"/>
  <c r="J450" i="19"/>
  <c r="J430" i="19"/>
  <c r="K128" i="19"/>
  <c r="K131" i="19"/>
  <c r="K134" i="19"/>
  <c r="K137" i="19"/>
  <c r="K140" i="19"/>
  <c r="K127" i="19"/>
  <c r="K130" i="19"/>
  <c r="K133" i="19"/>
  <c r="K136" i="19"/>
  <c r="K139" i="19"/>
  <c r="K126" i="19"/>
  <c r="K129" i="19"/>
  <c r="K132" i="19"/>
  <c r="K135" i="19"/>
  <c r="K138" i="19"/>
  <c r="K141" i="19"/>
  <c r="K128" i="49"/>
  <c r="K131" i="49"/>
  <c r="K134" i="49"/>
  <c r="K137" i="49"/>
  <c r="K127" i="49"/>
  <c r="K130" i="49"/>
  <c r="K133" i="49"/>
  <c r="K136" i="49"/>
  <c r="K140" i="49"/>
  <c r="K139" i="49"/>
  <c r="K135" i="49"/>
  <c r="K138" i="49"/>
  <c r="K141" i="49"/>
  <c r="K126" i="49"/>
  <c r="K129" i="49"/>
  <c r="K132" i="49"/>
  <c r="J177" i="49"/>
  <c r="J157" i="49"/>
  <c r="J181" i="49"/>
  <c r="J161" i="49"/>
  <c r="J669" i="61"/>
  <c r="J649" i="61"/>
  <c r="J664" i="61"/>
  <c r="J644" i="61"/>
  <c r="J150" i="61"/>
  <c r="J130" i="61"/>
  <c r="J126" i="61"/>
  <c r="J273" i="61" s="1"/>
  <c r="J155" i="61"/>
  <c r="J135" i="61"/>
  <c r="J176" i="19"/>
  <c r="J156" i="19"/>
  <c r="J168" i="19"/>
  <c r="J148" i="19"/>
  <c r="J157" i="33"/>
  <c r="J137" i="33"/>
  <c r="J146" i="33"/>
  <c r="J126" i="33"/>
  <c r="J512" i="53"/>
  <c r="J492" i="53"/>
  <c r="J498" i="53"/>
  <c r="J478" i="53"/>
  <c r="J468" i="41"/>
  <c r="J448" i="41"/>
  <c r="J467" i="41"/>
  <c r="J447" i="41"/>
  <c r="J151" i="77"/>
  <c r="J131" i="77"/>
  <c r="J121" i="77"/>
  <c r="J268" i="77" s="1"/>
  <c r="J125" i="77"/>
  <c r="J145" i="77"/>
  <c r="J421" i="37"/>
  <c r="J401" i="37"/>
  <c r="J422" i="37"/>
  <c r="J402" i="37"/>
  <c r="J925" i="61"/>
  <c r="J905" i="61"/>
  <c r="J920" i="61"/>
  <c r="J900" i="61"/>
  <c r="J180" i="57"/>
  <c r="J160" i="57"/>
  <c r="J156" i="57"/>
  <c r="J303" i="57" s="1"/>
  <c r="J193" i="57"/>
  <c r="J173" i="57"/>
  <c r="J719" i="19"/>
  <c r="J699" i="19"/>
  <c r="J722" i="19"/>
  <c r="J702" i="19"/>
  <c r="J188" i="45"/>
  <c r="J168" i="45"/>
  <c r="J191" i="45"/>
  <c r="J171" i="45"/>
  <c r="J204" i="53"/>
  <c r="J184" i="53"/>
  <c r="J194" i="53"/>
  <c r="J174" i="53"/>
  <c r="J170" i="53"/>
  <c r="J317" i="53" s="1"/>
  <c r="J429" i="49"/>
  <c r="J449" i="49"/>
  <c r="J434" i="49"/>
  <c r="J454" i="49"/>
  <c r="J427" i="45"/>
  <c r="J447" i="45"/>
  <c r="J452" i="45"/>
  <c r="J432" i="45"/>
  <c r="J669" i="69"/>
  <c r="J649" i="69"/>
  <c r="J681" i="69"/>
  <c r="J661" i="69"/>
  <c r="J218" i="29"/>
  <c r="J198" i="29"/>
  <c r="J201" i="29"/>
  <c r="J221" i="29"/>
  <c r="J156" i="69"/>
  <c r="J136" i="69"/>
  <c r="J148" i="69"/>
  <c r="J128" i="69"/>
  <c r="J405" i="69"/>
  <c r="J385" i="69"/>
  <c r="J408" i="69"/>
  <c r="J388" i="69"/>
  <c r="J178" i="37"/>
  <c r="J158" i="37"/>
  <c r="J174" i="37"/>
  <c r="J154" i="37"/>
  <c r="J280" i="75"/>
  <c r="J260" i="75"/>
  <c r="J253" i="75"/>
  <c r="J273" i="75"/>
  <c r="J409" i="61"/>
  <c r="J389" i="61"/>
  <c r="J414" i="61"/>
  <c r="J394" i="61"/>
  <c r="J180" i="41"/>
  <c r="J160" i="41"/>
  <c r="J172" i="41"/>
  <c r="J152" i="41"/>
  <c r="J477" i="57"/>
  <c r="J457" i="57"/>
  <c r="J466" i="57"/>
  <c r="J446" i="57"/>
  <c r="J447" i="19"/>
  <c r="J427" i="19"/>
  <c r="J445" i="19"/>
  <c r="J425" i="19"/>
  <c r="K639" i="69"/>
  <c r="K633" i="69"/>
  <c r="K635" i="69"/>
  <c r="K634" i="69"/>
  <c r="K628" i="69"/>
  <c r="K629" i="69"/>
  <c r="K641" i="69"/>
  <c r="K643" i="69"/>
  <c r="K630" i="69"/>
  <c r="K636" i="69"/>
  <c r="K642" i="69"/>
  <c r="K632" i="69"/>
  <c r="K638" i="69"/>
  <c r="K631" i="69"/>
  <c r="K640" i="69"/>
  <c r="K637" i="69"/>
  <c r="J174" i="49"/>
  <c r="J154" i="49"/>
  <c r="J178" i="49"/>
  <c r="J158" i="49"/>
  <c r="J666" i="61"/>
  <c r="J646" i="61"/>
  <c r="J650" i="61"/>
  <c r="J670" i="61"/>
  <c r="J156" i="61"/>
  <c r="J136" i="61"/>
  <c r="J152" i="61"/>
  <c r="J132" i="61"/>
  <c r="J173" i="19"/>
  <c r="J153" i="19"/>
  <c r="J181" i="19"/>
  <c r="J161" i="19"/>
  <c r="J154" i="33"/>
  <c r="J134" i="33"/>
  <c r="J158" i="33"/>
  <c r="J138" i="33"/>
  <c r="J489" i="53"/>
  <c r="J509" i="53"/>
  <c r="J500" i="53"/>
  <c r="J480" i="53"/>
  <c r="J456" i="41"/>
  <c r="J436" i="41"/>
  <c r="J462" i="41"/>
  <c r="J442" i="41"/>
  <c r="J155" i="77"/>
  <c r="J135" i="77"/>
  <c r="J130" i="77"/>
  <c r="J150" i="77"/>
  <c r="J433" i="37"/>
  <c r="J413" i="37"/>
  <c r="J432" i="37"/>
  <c r="J412" i="37"/>
  <c r="J927" i="61"/>
  <c r="J907" i="61"/>
  <c r="J930" i="61"/>
  <c r="J910" i="61"/>
  <c r="J186" i="57"/>
  <c r="J166" i="57"/>
  <c r="J181" i="57"/>
  <c r="J161" i="57"/>
  <c r="J730" i="19"/>
  <c r="J710" i="19"/>
  <c r="J716" i="19"/>
  <c r="J696" i="19"/>
  <c r="J692" i="19"/>
  <c r="J839" i="19" s="1"/>
  <c r="J192" i="45"/>
  <c r="J172" i="45"/>
  <c r="J196" i="45"/>
  <c r="J176" i="45"/>
  <c r="J198" i="53"/>
  <c r="J178" i="53"/>
  <c r="J201" i="53"/>
  <c r="J181" i="53"/>
  <c r="J442" i="49"/>
  <c r="J422" i="49"/>
  <c r="J452" i="49"/>
  <c r="J432" i="49"/>
  <c r="J454" i="45"/>
  <c r="J434" i="45"/>
  <c r="J443" i="45"/>
  <c r="J423" i="45"/>
  <c r="J677" i="69"/>
  <c r="J657" i="69"/>
  <c r="J682" i="69"/>
  <c r="J662" i="69"/>
  <c r="J230" i="29"/>
  <c r="J210" i="29"/>
  <c r="J215" i="29"/>
  <c r="J195" i="29"/>
  <c r="J191" i="29"/>
  <c r="J338" i="29" s="1"/>
  <c r="J154" i="69"/>
  <c r="J134" i="69"/>
  <c r="J137" i="69"/>
  <c r="J157" i="69"/>
  <c r="J383" i="69"/>
  <c r="J403" i="69"/>
  <c r="J402" i="69"/>
  <c r="J382" i="69"/>
  <c r="J175" i="37"/>
  <c r="J155" i="37"/>
  <c r="J171" i="37"/>
  <c r="J151" i="37"/>
  <c r="J278" i="75"/>
  <c r="J258" i="75"/>
  <c r="J284" i="75"/>
  <c r="J264" i="75"/>
  <c r="J387" i="61"/>
  <c r="J383" i="61"/>
  <c r="J530" i="61" s="1"/>
  <c r="J407" i="61"/>
  <c r="J422" i="61"/>
  <c r="J402" i="61"/>
  <c r="J177" i="41"/>
  <c r="J157" i="41"/>
  <c r="J169" i="41"/>
  <c r="J149" i="41"/>
  <c r="J474" i="57"/>
  <c r="J454" i="57"/>
  <c r="J443" i="57"/>
  <c r="J463" i="57"/>
  <c r="J444" i="19"/>
  <c r="J424" i="19"/>
  <c r="J455" i="19"/>
  <c r="J435" i="19"/>
  <c r="K413" i="19"/>
  <c r="K416" i="19"/>
  <c r="K402" i="19"/>
  <c r="K415" i="19"/>
  <c r="K406" i="19"/>
  <c r="K403" i="19"/>
  <c r="K401" i="19"/>
  <c r="K404" i="19"/>
  <c r="K414" i="19"/>
  <c r="K405" i="19"/>
  <c r="K408" i="19"/>
  <c r="K411" i="19"/>
  <c r="K409" i="19"/>
  <c r="K412" i="19"/>
  <c r="K407" i="19"/>
  <c r="K410" i="19"/>
  <c r="K148" i="45"/>
  <c r="K151" i="45"/>
  <c r="K162" i="45"/>
  <c r="K147" i="45"/>
  <c r="K158" i="45"/>
  <c r="K161" i="45"/>
  <c r="K149" i="45"/>
  <c r="K156" i="45"/>
  <c r="K152" i="45"/>
  <c r="K155" i="45"/>
  <c r="K154" i="45"/>
  <c r="K157" i="45"/>
  <c r="K150" i="45"/>
  <c r="K153" i="45"/>
  <c r="K159" i="45"/>
  <c r="K160" i="45"/>
  <c r="J171" i="49"/>
  <c r="J151" i="49"/>
  <c r="J167" i="49"/>
  <c r="J147" i="49"/>
  <c r="J671" i="61"/>
  <c r="J651" i="61"/>
  <c r="J667" i="61"/>
  <c r="J647" i="61"/>
  <c r="J158" i="61"/>
  <c r="J138" i="61"/>
  <c r="J131" i="61"/>
  <c r="J151" i="61"/>
  <c r="J170" i="19"/>
  <c r="J150" i="19"/>
  <c r="J178" i="19"/>
  <c r="J158" i="19"/>
  <c r="J151" i="33"/>
  <c r="J131" i="33"/>
  <c r="J159" i="33"/>
  <c r="J139" i="33"/>
  <c r="J506" i="53"/>
  <c r="J486" i="53"/>
  <c r="J505" i="53"/>
  <c r="J485" i="53"/>
  <c r="J461" i="41"/>
  <c r="J441" i="41"/>
  <c r="J463" i="41"/>
  <c r="J443" i="41"/>
  <c r="J148" i="77"/>
  <c r="J128" i="77"/>
  <c r="J134" i="77"/>
  <c r="J154" i="77"/>
  <c r="J430" i="37"/>
  <c r="J410" i="37"/>
  <c r="J429" i="37"/>
  <c r="J409" i="37"/>
  <c r="J928" i="61"/>
  <c r="J908" i="61"/>
  <c r="J932" i="61"/>
  <c r="J912" i="61"/>
  <c r="J189" i="57"/>
  <c r="J169" i="57"/>
  <c r="J187" i="57"/>
  <c r="J167" i="57"/>
  <c r="J724" i="19"/>
  <c r="J704" i="19"/>
  <c r="J723" i="19"/>
  <c r="J703" i="19"/>
  <c r="J189" i="45"/>
  <c r="J169" i="45"/>
  <c r="J193" i="45"/>
  <c r="J173" i="45"/>
  <c r="J197" i="53"/>
  <c r="J177" i="53"/>
  <c r="J195" i="53"/>
  <c r="J175" i="53"/>
  <c r="J451" i="49"/>
  <c r="J431" i="49"/>
  <c r="J450" i="49"/>
  <c r="J430" i="49"/>
  <c r="J430" i="45"/>
  <c r="J450" i="45"/>
  <c r="J442" i="45"/>
  <c r="J422" i="45"/>
  <c r="J671" i="69"/>
  <c r="J651" i="69"/>
  <c r="J668" i="69"/>
  <c r="J648" i="69"/>
  <c r="J644" i="69"/>
  <c r="J791" i="69" s="1"/>
  <c r="J219" i="29"/>
  <c r="J199" i="29"/>
  <c r="J226" i="29"/>
  <c r="J206" i="29"/>
  <c r="J149" i="69"/>
  <c r="J129" i="69"/>
  <c r="J146" i="69"/>
  <c r="J126" i="69"/>
  <c r="J411" i="69"/>
  <c r="J391" i="69"/>
  <c r="J413" i="69"/>
  <c r="J393" i="69"/>
  <c r="J180" i="37"/>
  <c r="J160" i="37"/>
  <c r="J169" i="37"/>
  <c r="J149" i="37"/>
  <c r="J277" i="75"/>
  <c r="J257" i="75"/>
  <c r="J282" i="75"/>
  <c r="J262" i="75"/>
  <c r="J410" i="61"/>
  <c r="J390" i="61"/>
  <c r="J420" i="61"/>
  <c r="J400" i="61"/>
  <c r="J171" i="41"/>
  <c r="J151" i="41"/>
  <c r="J179" i="41"/>
  <c r="J159" i="41"/>
  <c r="J451" i="57"/>
  <c r="J471" i="57"/>
  <c r="J470" i="57"/>
  <c r="J450" i="57"/>
  <c r="J446" i="19"/>
  <c r="J426" i="19"/>
  <c r="J452" i="19"/>
  <c r="J432" i="19"/>
  <c r="K632" i="61"/>
  <c r="K635" i="61"/>
  <c r="K629" i="61"/>
  <c r="K622" i="61"/>
  <c r="K625" i="61"/>
  <c r="K628" i="61"/>
  <c r="K623" i="61"/>
  <c r="K626" i="61"/>
  <c r="K637" i="61"/>
  <c r="K630" i="61"/>
  <c r="K633" i="61"/>
  <c r="K636" i="61"/>
  <c r="K631" i="61"/>
  <c r="K634" i="61"/>
  <c r="K624" i="61"/>
  <c r="K627" i="61"/>
  <c r="K231" i="75"/>
  <c r="K232" i="75"/>
  <c r="K234" i="75"/>
  <c r="K235" i="75"/>
  <c r="K244" i="75"/>
  <c r="K237" i="75"/>
  <c r="K233" i="75"/>
  <c r="K246" i="75"/>
  <c r="K240" i="75"/>
  <c r="K242" i="75"/>
  <c r="K243" i="75"/>
  <c r="K236" i="75"/>
  <c r="K245" i="75"/>
  <c r="K241" i="75"/>
  <c r="K238" i="75"/>
  <c r="K239" i="75"/>
  <c r="K677" i="19"/>
  <c r="K688" i="19"/>
  <c r="K681" i="19"/>
  <c r="K687" i="19"/>
  <c r="K690" i="19"/>
  <c r="K676" i="19"/>
  <c r="K683" i="19"/>
  <c r="K685" i="19"/>
  <c r="K678" i="19"/>
  <c r="K689" i="19"/>
  <c r="K684" i="19"/>
  <c r="K680" i="19"/>
  <c r="K691" i="19"/>
  <c r="K679" i="19"/>
  <c r="K682" i="19"/>
  <c r="K686" i="19"/>
  <c r="K128" i="41"/>
  <c r="K134" i="41"/>
  <c r="K137" i="41"/>
  <c r="K140" i="41"/>
  <c r="K131" i="41"/>
  <c r="K127" i="41"/>
  <c r="K130" i="41"/>
  <c r="K133" i="41"/>
  <c r="K136" i="41"/>
  <c r="K139" i="41"/>
  <c r="K126" i="41"/>
  <c r="K129" i="41"/>
  <c r="K132" i="41"/>
  <c r="K135" i="41"/>
  <c r="K138" i="41"/>
  <c r="K141" i="41"/>
  <c r="K428" i="41"/>
  <c r="K427" i="41"/>
  <c r="K419" i="41"/>
  <c r="K418" i="41"/>
  <c r="K425" i="41"/>
  <c r="K423" i="41"/>
  <c r="K422" i="41"/>
  <c r="K429" i="41"/>
  <c r="K421" i="41"/>
  <c r="K416" i="41"/>
  <c r="K424" i="41"/>
  <c r="K417" i="41"/>
  <c r="K415" i="41"/>
  <c r="K430" i="41"/>
  <c r="K420" i="41"/>
  <c r="K426" i="41"/>
  <c r="J168" i="49"/>
  <c r="J148" i="49"/>
  <c r="J179" i="49"/>
  <c r="J159" i="49"/>
  <c r="J668" i="61"/>
  <c r="J648" i="61"/>
  <c r="J677" i="61"/>
  <c r="J657" i="61"/>
  <c r="J163" i="61"/>
  <c r="J143" i="61"/>
  <c r="J164" i="61"/>
  <c r="J144" i="61"/>
  <c r="J167" i="19"/>
  <c r="J147" i="19"/>
  <c r="J175" i="19"/>
  <c r="J155" i="19"/>
  <c r="J148" i="33"/>
  <c r="J128" i="33"/>
  <c r="J156" i="33"/>
  <c r="J136" i="33"/>
  <c r="J503" i="53"/>
  <c r="J483" i="53"/>
  <c r="J511" i="53"/>
  <c r="J491" i="53"/>
  <c r="J464" i="41"/>
  <c r="J444" i="41"/>
  <c r="J458" i="41"/>
  <c r="J438" i="41"/>
  <c r="J139" i="77"/>
  <c r="J159" i="77"/>
  <c r="J147" i="77"/>
  <c r="J127" i="77"/>
  <c r="J427" i="37"/>
  <c r="J407" i="37"/>
  <c r="J426" i="37"/>
  <c r="J406" i="37"/>
  <c r="J918" i="61"/>
  <c r="J898" i="61"/>
  <c r="J923" i="61"/>
  <c r="J903" i="61"/>
  <c r="J191" i="57"/>
  <c r="J171" i="57"/>
  <c r="J182" i="57"/>
  <c r="J162" i="57"/>
  <c r="J731" i="19"/>
  <c r="J711" i="19"/>
  <c r="J727" i="19"/>
  <c r="J707" i="19"/>
  <c r="J198" i="45"/>
  <c r="J178" i="45"/>
  <c r="J200" i="45"/>
  <c r="J180" i="45"/>
  <c r="J202" i="53"/>
  <c r="J182" i="53"/>
  <c r="J207" i="53"/>
  <c r="J187" i="53"/>
  <c r="J448" i="49"/>
  <c r="J428" i="49"/>
  <c r="J445" i="49"/>
  <c r="J425" i="49"/>
  <c r="J449" i="45"/>
  <c r="J429" i="45"/>
  <c r="J444" i="45"/>
  <c r="J424" i="45"/>
  <c r="J678" i="69"/>
  <c r="J658" i="69"/>
  <c r="J680" i="69"/>
  <c r="J660" i="69"/>
  <c r="J223" i="29"/>
  <c r="J203" i="29"/>
  <c r="J227" i="29"/>
  <c r="J207" i="29"/>
  <c r="J151" i="69"/>
  <c r="J131" i="69"/>
  <c r="J158" i="69"/>
  <c r="J138" i="69"/>
  <c r="J410" i="69"/>
  <c r="J390" i="69"/>
  <c r="J407" i="69"/>
  <c r="J387" i="69"/>
  <c r="J181" i="37"/>
  <c r="J161" i="37"/>
  <c r="J177" i="37"/>
  <c r="J157" i="37"/>
  <c r="J261" i="75"/>
  <c r="J281" i="75"/>
  <c r="J286" i="75"/>
  <c r="J266" i="75"/>
  <c r="J391" i="61"/>
  <c r="J411" i="61"/>
  <c r="J417" i="61"/>
  <c r="J397" i="61"/>
  <c r="J168" i="41"/>
  <c r="J148" i="41"/>
  <c r="J176" i="41"/>
  <c r="J156" i="41"/>
  <c r="J468" i="57"/>
  <c r="J448" i="57"/>
  <c r="J467" i="57"/>
  <c r="J447" i="57"/>
  <c r="J443" i="19"/>
  <c r="J423" i="19"/>
  <c r="J454" i="19"/>
  <c r="J434" i="19"/>
  <c r="K432" i="57"/>
  <c r="K435" i="57"/>
  <c r="K422" i="57"/>
  <c r="K425" i="57"/>
  <c r="K428" i="57"/>
  <c r="K431" i="57"/>
  <c r="K434" i="57"/>
  <c r="K437" i="57"/>
  <c r="K430" i="57"/>
  <c r="K433" i="57"/>
  <c r="K436" i="57"/>
  <c r="K424" i="57"/>
  <c r="K427" i="57"/>
  <c r="K423" i="57"/>
  <c r="K426" i="57"/>
  <c r="K429" i="57"/>
  <c r="K160" i="53"/>
  <c r="K166" i="53"/>
  <c r="K159" i="53"/>
  <c r="K154" i="53"/>
  <c r="K155" i="53"/>
  <c r="K161" i="53"/>
  <c r="K156" i="53"/>
  <c r="K168" i="53"/>
  <c r="K167" i="53"/>
  <c r="K162" i="53"/>
  <c r="K157" i="53"/>
  <c r="K163" i="53"/>
  <c r="K169" i="53"/>
  <c r="K164" i="53"/>
  <c r="K158" i="53"/>
  <c r="K165" i="53"/>
  <c r="J175" i="49"/>
  <c r="J155" i="49"/>
  <c r="J176" i="49"/>
  <c r="J156" i="49"/>
  <c r="J665" i="61"/>
  <c r="J645" i="61"/>
  <c r="J674" i="61"/>
  <c r="J654" i="61"/>
  <c r="J160" i="61"/>
  <c r="J140" i="61"/>
  <c r="J162" i="61"/>
  <c r="J142" i="61"/>
  <c r="J180" i="19"/>
  <c r="J160" i="19"/>
  <c r="J172" i="19"/>
  <c r="J152" i="19"/>
  <c r="J145" i="33"/>
  <c r="J125" i="33"/>
  <c r="J121" i="33"/>
  <c r="J268" i="33" s="1"/>
  <c r="J153" i="33"/>
  <c r="J133" i="33"/>
  <c r="J510" i="53"/>
  <c r="J490" i="53"/>
  <c r="J508" i="53"/>
  <c r="J488" i="53"/>
  <c r="J470" i="41"/>
  <c r="J450" i="41"/>
  <c r="J459" i="41"/>
  <c r="J439" i="41"/>
  <c r="J160" i="77"/>
  <c r="J140" i="77"/>
  <c r="J157" i="77"/>
  <c r="J137" i="77"/>
  <c r="J434" i="37"/>
  <c r="J414" i="37"/>
  <c r="J423" i="37"/>
  <c r="J403" i="37"/>
  <c r="J931" i="61"/>
  <c r="J911" i="61"/>
  <c r="J926" i="61"/>
  <c r="J906" i="61"/>
  <c r="J183" i="57"/>
  <c r="J163" i="57"/>
  <c r="J192" i="57"/>
  <c r="J172" i="57"/>
  <c r="J720" i="19"/>
  <c r="J700" i="19"/>
  <c r="J721" i="19"/>
  <c r="J701" i="19"/>
  <c r="J201" i="45"/>
  <c r="J181" i="45"/>
  <c r="J197" i="45"/>
  <c r="J177" i="45"/>
  <c r="J209" i="53"/>
  <c r="J189" i="53"/>
  <c r="J206" i="53"/>
  <c r="J186" i="53"/>
  <c r="J441" i="49"/>
  <c r="J417" i="49"/>
  <c r="J564" i="49" s="1"/>
  <c r="J421" i="49"/>
  <c r="J444" i="49"/>
  <c r="J424" i="49"/>
  <c r="J456" i="45"/>
  <c r="J436" i="45"/>
  <c r="J441" i="45"/>
  <c r="J417" i="45"/>
  <c r="J564" i="45" s="1"/>
  <c r="J421" i="45"/>
  <c r="J676" i="69"/>
  <c r="J656" i="69"/>
  <c r="J679" i="69"/>
  <c r="J659" i="69"/>
  <c r="J216" i="29"/>
  <c r="J196" i="29"/>
  <c r="J200" i="29"/>
  <c r="J220" i="29"/>
  <c r="J153" i="69"/>
  <c r="J133" i="69"/>
  <c r="J125" i="69"/>
  <c r="J145" i="69"/>
  <c r="J121" i="69"/>
  <c r="J268" i="69" s="1"/>
  <c r="J404" i="69"/>
  <c r="J384" i="69"/>
  <c r="J401" i="69"/>
  <c r="J381" i="69"/>
  <c r="J179" i="37"/>
  <c r="J159" i="37"/>
  <c r="J168" i="37"/>
  <c r="J148" i="37"/>
  <c r="J255" i="75"/>
  <c r="J275" i="75"/>
  <c r="J285" i="75"/>
  <c r="J265" i="75"/>
  <c r="J408" i="61"/>
  <c r="J388" i="61"/>
  <c r="J415" i="61"/>
  <c r="J395" i="61"/>
  <c r="J166" i="41"/>
  <c r="J146" i="41"/>
  <c r="J142" i="41"/>
  <c r="J289" i="41" s="1"/>
  <c r="J173" i="41"/>
  <c r="J153" i="41"/>
  <c r="J465" i="57"/>
  <c r="J445" i="57"/>
  <c r="J476" i="57"/>
  <c r="J456" i="57"/>
  <c r="J456" i="19"/>
  <c r="J436" i="19"/>
  <c r="J451" i="19"/>
  <c r="J431" i="19"/>
  <c r="K120" i="77"/>
  <c r="K115" i="77"/>
  <c r="K114" i="77"/>
  <c r="K116" i="77"/>
  <c r="K110" i="77"/>
  <c r="K117" i="77"/>
  <c r="K119" i="77"/>
  <c r="K113" i="77"/>
  <c r="K107" i="77"/>
  <c r="K105" i="77"/>
  <c r="K118" i="77"/>
  <c r="K112" i="77"/>
  <c r="K108" i="77"/>
  <c r="K109" i="77"/>
  <c r="K106" i="77"/>
  <c r="K111" i="77"/>
  <c r="K401" i="45"/>
  <c r="K409" i="45"/>
  <c r="K407" i="45"/>
  <c r="K412" i="45"/>
  <c r="K410" i="45"/>
  <c r="K414" i="45"/>
  <c r="K415" i="45"/>
  <c r="K411" i="45"/>
  <c r="K406" i="45"/>
  <c r="K408" i="45"/>
  <c r="K404" i="45"/>
  <c r="K416" i="45"/>
  <c r="K405" i="45"/>
  <c r="K403" i="45"/>
  <c r="K402" i="45"/>
  <c r="K413" i="45"/>
  <c r="K116" i="69"/>
  <c r="K114" i="69"/>
  <c r="K106" i="69"/>
  <c r="K111" i="69"/>
  <c r="K107" i="69"/>
  <c r="K113" i="69"/>
  <c r="K112" i="69"/>
  <c r="K110" i="69"/>
  <c r="K105" i="69"/>
  <c r="K118" i="69"/>
  <c r="K109" i="69"/>
  <c r="K108" i="69"/>
  <c r="K119" i="69"/>
  <c r="K120" i="69"/>
  <c r="K115" i="69"/>
  <c r="K117" i="69"/>
  <c r="K404" i="49"/>
  <c r="K409" i="49"/>
  <c r="K413" i="49"/>
  <c r="K402" i="49"/>
  <c r="K403" i="49"/>
  <c r="K415" i="49"/>
  <c r="K405" i="49"/>
  <c r="K410" i="49"/>
  <c r="K412" i="49"/>
  <c r="K406" i="49"/>
  <c r="K401" i="49"/>
  <c r="K414" i="49"/>
  <c r="K416" i="49"/>
  <c r="K407" i="49"/>
  <c r="K408" i="49"/>
  <c r="K411" i="49"/>
  <c r="J172" i="49"/>
  <c r="J152" i="49"/>
  <c r="J173" i="49"/>
  <c r="J153" i="49"/>
  <c r="J672" i="61"/>
  <c r="J652" i="61"/>
  <c r="J676" i="61"/>
  <c r="J656" i="61"/>
  <c r="J139" i="61"/>
  <c r="J159" i="61"/>
  <c r="J161" i="61"/>
  <c r="J141" i="61"/>
  <c r="J177" i="19"/>
  <c r="J157" i="19"/>
  <c r="J169" i="19"/>
  <c r="J149" i="19"/>
  <c r="J155" i="33"/>
  <c r="J135" i="33"/>
  <c r="J147" i="33"/>
  <c r="J127" i="33"/>
  <c r="J507" i="53"/>
  <c r="J487" i="53"/>
  <c r="J502" i="53"/>
  <c r="J482" i="53"/>
  <c r="J455" i="41"/>
  <c r="J435" i="41"/>
  <c r="J431" i="41"/>
  <c r="J578" i="41" s="1"/>
  <c r="J465" i="41"/>
  <c r="J445" i="41"/>
  <c r="J158" i="77"/>
  <c r="J138" i="77"/>
  <c r="J152" i="77"/>
  <c r="J132" i="77"/>
  <c r="J431" i="37"/>
  <c r="J411" i="37"/>
  <c r="J420" i="37"/>
  <c r="J400" i="37"/>
  <c r="J396" i="37"/>
  <c r="J543" i="37" s="1"/>
  <c r="J921" i="61"/>
  <c r="J901" i="61"/>
  <c r="J922" i="61"/>
  <c r="J902" i="61"/>
  <c r="J195" i="57"/>
  <c r="J175" i="57"/>
  <c r="J185" i="57"/>
  <c r="J165" i="57"/>
  <c r="J718" i="19"/>
  <c r="J698" i="19"/>
  <c r="J728" i="19"/>
  <c r="J708" i="19"/>
  <c r="J190" i="45"/>
  <c r="J170" i="45"/>
  <c r="J195" i="45"/>
  <c r="J175" i="45"/>
  <c r="J203" i="53"/>
  <c r="J183" i="53"/>
  <c r="J200" i="53"/>
  <c r="J180" i="53"/>
  <c r="J426" i="49"/>
  <c r="J446" i="49"/>
  <c r="J455" i="49"/>
  <c r="J435" i="49"/>
  <c r="J446" i="45"/>
  <c r="J426" i="45"/>
  <c r="J453" i="45"/>
  <c r="J433" i="45"/>
  <c r="J670" i="69"/>
  <c r="J650" i="69"/>
  <c r="J653" i="69"/>
  <c r="J673" i="69"/>
  <c r="J217" i="29"/>
  <c r="J197" i="29"/>
  <c r="J204" i="29"/>
  <c r="J224" i="29"/>
  <c r="J147" i="69"/>
  <c r="J127" i="69"/>
  <c r="J152" i="69"/>
  <c r="J132" i="69"/>
  <c r="J415" i="69"/>
  <c r="J395" i="69"/>
  <c r="J406" i="69"/>
  <c r="J386" i="69"/>
  <c r="J170" i="37"/>
  <c r="J150" i="37"/>
  <c r="J176" i="37"/>
  <c r="J156" i="37"/>
  <c r="J274" i="75"/>
  <c r="J254" i="75"/>
  <c r="J271" i="75"/>
  <c r="J251" i="75"/>
  <c r="J247" i="75"/>
  <c r="J394" i="75" s="1"/>
  <c r="J418" i="61"/>
  <c r="J398" i="61"/>
  <c r="J419" i="61"/>
  <c r="J399" i="61"/>
  <c r="J181" i="41"/>
  <c r="J161" i="41"/>
  <c r="J170" i="41"/>
  <c r="J150" i="41"/>
  <c r="J455" i="57"/>
  <c r="J475" i="57"/>
  <c r="J473" i="57"/>
  <c r="J453" i="57"/>
  <c r="J441" i="19"/>
  <c r="J421" i="19"/>
  <c r="J417" i="19"/>
  <c r="J564" i="19" s="1"/>
  <c r="J448" i="19"/>
  <c r="J428" i="19"/>
  <c r="K878" i="61"/>
  <c r="K888" i="61"/>
  <c r="K885" i="61"/>
  <c r="K884" i="61"/>
  <c r="K882" i="61"/>
  <c r="K886" i="61"/>
  <c r="K881" i="61"/>
  <c r="K879" i="61"/>
  <c r="K883" i="61"/>
  <c r="K892" i="61"/>
  <c r="K890" i="61"/>
  <c r="K880" i="61"/>
  <c r="K889" i="61"/>
  <c r="K887" i="61"/>
  <c r="K877" i="61"/>
  <c r="K891" i="61"/>
  <c r="K127" i="37"/>
  <c r="K130" i="37"/>
  <c r="K136" i="37"/>
  <c r="K141" i="37"/>
  <c r="K139" i="37"/>
  <c r="K129" i="37"/>
  <c r="K132" i="37"/>
  <c r="K135" i="37"/>
  <c r="K133" i="37"/>
  <c r="K138" i="37"/>
  <c r="K137" i="37"/>
  <c r="K126" i="37"/>
  <c r="K140" i="37"/>
  <c r="K128" i="37"/>
  <c r="K131" i="37"/>
  <c r="K134" i="37"/>
  <c r="K380" i="61"/>
  <c r="K382" i="61"/>
  <c r="K370" i="61"/>
  <c r="K368" i="61"/>
  <c r="K369" i="61"/>
  <c r="K371" i="61"/>
  <c r="K379" i="61"/>
  <c r="K373" i="61"/>
  <c r="K376" i="61"/>
  <c r="K372" i="61"/>
  <c r="K374" i="61"/>
  <c r="K377" i="61"/>
  <c r="K375" i="61"/>
  <c r="K381" i="61"/>
  <c r="K378" i="61"/>
  <c r="K367" i="61"/>
  <c r="K382" i="37"/>
  <c r="K385" i="37"/>
  <c r="K388" i="37"/>
  <c r="K391" i="37"/>
  <c r="K394" i="37"/>
  <c r="K384" i="37"/>
  <c r="K387" i="37"/>
  <c r="K390" i="37"/>
  <c r="K381" i="37"/>
  <c r="K393" i="37"/>
  <c r="K392" i="37"/>
  <c r="K395" i="37"/>
  <c r="K380" i="37"/>
  <c r="K383" i="37"/>
  <c r="K386" i="37"/>
  <c r="K389" i="37"/>
  <c r="K179" i="29"/>
  <c r="K185" i="29"/>
  <c r="K180" i="29"/>
  <c r="K186" i="29"/>
  <c r="K176" i="29"/>
  <c r="K187" i="29"/>
  <c r="K175" i="29"/>
  <c r="K182" i="29"/>
  <c r="K181" i="29"/>
  <c r="K177" i="29"/>
  <c r="K188" i="29"/>
  <c r="K184" i="29"/>
  <c r="K183" i="29"/>
  <c r="K190" i="29"/>
  <c r="K178" i="29"/>
  <c r="K189" i="29"/>
  <c r="J169" i="49"/>
  <c r="J149" i="49"/>
  <c r="J170" i="49"/>
  <c r="J150" i="49"/>
  <c r="J675" i="61"/>
  <c r="J655" i="61"/>
  <c r="J653" i="61"/>
  <c r="J673" i="61"/>
  <c r="J165" i="61"/>
  <c r="J145" i="61"/>
  <c r="J153" i="61"/>
  <c r="J133" i="61"/>
  <c r="J174" i="19"/>
  <c r="J154" i="19"/>
  <c r="J166" i="19"/>
  <c r="J146" i="19"/>
  <c r="J142" i="19"/>
  <c r="J289" i="19" s="1"/>
  <c r="J152" i="33"/>
  <c r="J132" i="33"/>
  <c r="J150" i="33"/>
  <c r="J130" i="33"/>
  <c r="J504" i="53"/>
  <c r="J484" i="53"/>
  <c r="J499" i="53"/>
  <c r="J479" i="53"/>
  <c r="J469" i="41"/>
  <c r="J449" i="41"/>
  <c r="J457" i="41"/>
  <c r="J437" i="41"/>
  <c r="J156" i="77"/>
  <c r="J136" i="77"/>
  <c r="J146" i="77"/>
  <c r="J126" i="77"/>
  <c r="J428" i="37"/>
  <c r="J408" i="37"/>
  <c r="J435" i="37"/>
  <c r="J415" i="37"/>
  <c r="J917" i="61"/>
  <c r="J897" i="61"/>
  <c r="J893" i="61"/>
  <c r="J1040" i="61" s="1"/>
  <c r="J924" i="61"/>
  <c r="J904" i="61"/>
  <c r="J184" i="57"/>
  <c r="J164" i="57"/>
  <c r="J190" i="57"/>
  <c r="J170" i="57"/>
  <c r="J729" i="19"/>
  <c r="J709" i="19"/>
  <c r="J717" i="19"/>
  <c r="J697" i="19"/>
  <c r="J187" i="45"/>
  <c r="J167" i="45"/>
  <c r="J163" i="45"/>
  <c r="J310" i="45" s="1"/>
  <c r="J199" i="45"/>
  <c r="J179" i="45"/>
  <c r="J208" i="53"/>
  <c r="J188" i="53"/>
  <c r="J205" i="53"/>
  <c r="J185" i="53"/>
  <c r="J456" i="49"/>
  <c r="J436" i="49"/>
  <c r="J443" i="49"/>
  <c r="J423" i="49"/>
  <c r="J448" i="45"/>
  <c r="J428" i="45"/>
  <c r="J455" i="45"/>
  <c r="J435" i="45"/>
  <c r="J675" i="69"/>
  <c r="J655" i="69"/>
  <c r="J683" i="69"/>
  <c r="J663" i="69"/>
  <c r="J228" i="29"/>
  <c r="J208" i="29"/>
  <c r="J225" i="29"/>
  <c r="J205" i="29"/>
  <c r="J159" i="69"/>
  <c r="J139" i="69"/>
  <c r="J150" i="69"/>
  <c r="J130" i="69"/>
  <c r="J409" i="69"/>
  <c r="J389" i="69"/>
  <c r="J400" i="69"/>
  <c r="J380" i="69"/>
  <c r="J376" i="69"/>
  <c r="J523" i="69" s="1"/>
  <c r="J167" i="37"/>
  <c r="J147" i="37"/>
  <c r="J166" i="37"/>
  <c r="J146" i="37"/>
  <c r="J142" i="37"/>
  <c r="J289" i="37" s="1"/>
  <c r="J259" i="75"/>
  <c r="J279" i="75"/>
  <c r="J283" i="75"/>
  <c r="J263" i="75"/>
  <c r="J421" i="61"/>
  <c r="J401" i="61"/>
  <c r="J416" i="61"/>
  <c r="J396" i="61"/>
  <c r="J178" i="41"/>
  <c r="J158" i="41"/>
  <c r="J167" i="41"/>
  <c r="J147" i="41"/>
  <c r="J472" i="57"/>
  <c r="J452" i="57"/>
  <c r="J464" i="57"/>
  <c r="J444" i="57"/>
  <c r="J449" i="19"/>
  <c r="J429" i="19"/>
  <c r="J453" i="19"/>
  <c r="J433" i="19"/>
  <c r="J67" i="79"/>
  <c r="J67" i="78"/>
  <c r="J72" i="78"/>
  <c r="J72" i="79"/>
  <c r="J80" i="79"/>
  <c r="J80" i="78"/>
  <c r="J90" i="79"/>
  <c r="J90" i="78"/>
  <c r="J71" i="79"/>
  <c r="J71" i="78"/>
  <c r="J86" i="79"/>
  <c r="J86" i="78"/>
  <c r="J77" i="78"/>
  <c r="J77" i="79"/>
  <c r="J83" i="79"/>
  <c r="J83" i="78"/>
  <c r="J84" i="79"/>
  <c r="J84" i="78"/>
  <c r="J89" i="79"/>
  <c r="J89" i="78"/>
  <c r="J68" i="78"/>
  <c r="J68" i="79"/>
  <c r="J87" i="79"/>
  <c r="J87" i="78"/>
  <c r="J88" i="79"/>
  <c r="J88" i="78"/>
  <c r="J75" i="79"/>
  <c r="J75" i="78"/>
  <c r="J78" i="78"/>
  <c r="J78" i="79"/>
  <c r="J92" i="78"/>
  <c r="J92" i="79"/>
  <c r="J69" i="78"/>
  <c r="J69" i="79"/>
  <c r="J76" i="79"/>
  <c r="J76" i="78"/>
  <c r="J74" i="78"/>
  <c r="J74" i="79"/>
  <c r="J73" i="79"/>
  <c r="J73" i="78"/>
  <c r="J82" i="78"/>
  <c r="J82" i="79"/>
  <c r="J79" i="78"/>
  <c r="J79" i="79"/>
  <c r="J91" i="79"/>
  <c r="J91" i="78"/>
  <c r="J85" i="79"/>
  <c r="J85" i="78"/>
  <c r="J70" i="79"/>
  <c r="J70" i="78"/>
  <c r="J81" i="79"/>
  <c r="J81" i="78"/>
  <c r="M417" i="53"/>
  <c r="M414" i="53"/>
  <c r="M418" i="53"/>
  <c r="M419" i="53"/>
  <c r="M412" i="53"/>
  <c r="M413" i="53"/>
  <c r="M420" i="53"/>
  <c r="M415" i="53"/>
  <c r="M416" i="53"/>
  <c r="M428" i="53"/>
  <c r="M434" i="53"/>
  <c r="M433" i="53"/>
  <c r="M431" i="53"/>
  <c r="M430" i="53"/>
  <c r="M429" i="53"/>
  <c r="M432" i="53"/>
  <c r="M426" i="53"/>
  <c r="M427" i="53"/>
  <c r="L442" i="53"/>
  <c r="M400" i="53"/>
  <c r="M403" i="53"/>
  <c r="M398" i="53"/>
  <c r="M406" i="53"/>
  <c r="M404" i="53"/>
  <c r="M399" i="53"/>
  <c r="M405" i="53"/>
  <c r="M401" i="53"/>
  <c r="M402" i="53"/>
  <c r="L448" i="53"/>
  <c r="L422" i="53"/>
  <c r="L446" i="53"/>
  <c r="L444" i="53"/>
  <c r="L441" i="53"/>
  <c r="L145" i="53"/>
  <c r="L436" i="53"/>
  <c r="L443" i="53"/>
  <c r="K450" i="53"/>
  <c r="K81" i="27" s="1"/>
  <c r="K603" i="53"/>
  <c r="K614" i="53" s="1"/>
  <c r="K540" i="53"/>
  <c r="K543" i="53"/>
  <c r="K561" i="53" s="1"/>
  <c r="K546" i="53"/>
  <c r="K564" i="53" s="1"/>
  <c r="K544" i="53"/>
  <c r="K562" i="53" s="1"/>
  <c r="K550" i="53"/>
  <c r="K568" i="53" s="1"/>
  <c r="K547" i="53"/>
  <c r="K565" i="53" s="1"/>
  <c r="K551" i="53"/>
  <c r="K569" i="53" s="1"/>
  <c r="K600" i="53"/>
  <c r="K611" i="53" s="1"/>
  <c r="K545" i="53"/>
  <c r="K563" i="53" s="1"/>
  <c r="K548" i="53"/>
  <c r="K566" i="53" s="1"/>
  <c r="K552" i="53"/>
  <c r="K570" i="53" s="1"/>
  <c r="K541" i="53"/>
  <c r="K559" i="53" s="1"/>
  <c r="K602" i="53"/>
  <c r="K613" i="53" s="1"/>
  <c r="K597" i="53"/>
  <c r="K598" i="53"/>
  <c r="K609" i="53" s="1"/>
  <c r="K549" i="53"/>
  <c r="K567" i="53" s="1"/>
  <c r="K599" i="53"/>
  <c r="K610" i="53" s="1"/>
  <c r="K553" i="53"/>
  <c r="K571" i="53" s="1"/>
  <c r="K542" i="53"/>
  <c r="K560" i="53" s="1"/>
  <c r="K601" i="53"/>
  <c r="K612" i="53" s="1"/>
  <c r="L440" i="53"/>
  <c r="L408" i="53"/>
  <c r="L447" i="53"/>
  <c r="L445" i="53"/>
  <c r="L139" i="53"/>
  <c r="L133" i="53"/>
  <c r="L138" i="53"/>
  <c r="L137" i="53"/>
  <c r="L105" i="53"/>
  <c r="L141" i="53"/>
  <c r="L142" i="53"/>
  <c r="M97" i="53"/>
  <c r="M101" i="53"/>
  <c r="M96" i="53"/>
  <c r="M98" i="53"/>
  <c r="M99" i="53"/>
  <c r="M100" i="53"/>
  <c r="M102" i="53"/>
  <c r="M103" i="53"/>
  <c r="M95" i="53"/>
  <c r="M114" i="53"/>
  <c r="M112" i="53"/>
  <c r="M109" i="53"/>
  <c r="M111" i="53"/>
  <c r="M113" i="53"/>
  <c r="M115" i="53"/>
  <c r="M116" i="53"/>
  <c r="M110" i="53"/>
  <c r="M117" i="53"/>
  <c r="K147" i="53"/>
  <c r="K80" i="27" s="1"/>
  <c r="K296" i="53"/>
  <c r="K307" i="53" s="1"/>
  <c r="K239" i="53"/>
  <c r="K257" i="53" s="1"/>
  <c r="K248" i="53"/>
  <c r="K266" i="53" s="1"/>
  <c r="K294" i="53"/>
  <c r="K243" i="53"/>
  <c r="K261" i="53" s="1"/>
  <c r="K241" i="53"/>
  <c r="K259" i="53" s="1"/>
  <c r="K244" i="53"/>
  <c r="K262" i="53" s="1"/>
  <c r="K250" i="53"/>
  <c r="K268" i="53" s="1"/>
  <c r="K300" i="53"/>
  <c r="K311" i="53" s="1"/>
  <c r="K245" i="53"/>
  <c r="K263" i="53" s="1"/>
  <c r="K246" i="53"/>
  <c r="K264" i="53" s="1"/>
  <c r="K298" i="53"/>
  <c r="K309" i="53" s="1"/>
  <c r="K240" i="53"/>
  <c r="K258" i="53" s="1"/>
  <c r="K249" i="53"/>
  <c r="K267" i="53" s="1"/>
  <c r="K247" i="53"/>
  <c r="K265" i="53" s="1"/>
  <c r="K238" i="53"/>
  <c r="K256" i="53" s="1"/>
  <c r="K237" i="53"/>
  <c r="K295" i="53"/>
  <c r="K306" i="53" s="1"/>
  <c r="K299" i="53"/>
  <c r="K310" i="53" s="1"/>
  <c r="K297" i="53"/>
  <c r="K308" i="53" s="1"/>
  <c r="K242" i="53"/>
  <c r="K260" i="53" s="1"/>
  <c r="L140" i="53"/>
  <c r="L144" i="53"/>
  <c r="L119" i="53"/>
  <c r="M125" i="53"/>
  <c r="M131" i="53"/>
  <c r="M130" i="53"/>
  <c r="M128" i="53"/>
  <c r="M129" i="53"/>
  <c r="M127" i="53"/>
  <c r="M126" i="53"/>
  <c r="M124" i="53"/>
  <c r="M123" i="53"/>
  <c r="L143" i="53"/>
  <c r="L374" i="49"/>
  <c r="L391" i="49"/>
  <c r="M358" i="49"/>
  <c r="M361" i="49"/>
  <c r="M359" i="49"/>
  <c r="M362" i="49"/>
  <c r="M360" i="49"/>
  <c r="M381" i="49"/>
  <c r="M379" i="49"/>
  <c r="M378" i="49"/>
  <c r="M380" i="49"/>
  <c r="M382" i="49"/>
  <c r="L390" i="49"/>
  <c r="M370" i="49"/>
  <c r="M368" i="49"/>
  <c r="M369" i="49"/>
  <c r="M372" i="49"/>
  <c r="M371" i="49"/>
  <c r="L392" i="49"/>
  <c r="L389" i="49"/>
  <c r="L364" i="49"/>
  <c r="L388" i="49"/>
  <c r="L384" i="49"/>
  <c r="K394" i="49"/>
  <c r="K79" i="27" s="1"/>
  <c r="K494" i="49"/>
  <c r="K512" i="49" s="1"/>
  <c r="K497" i="49"/>
  <c r="K515" i="49" s="1"/>
  <c r="K493" i="49"/>
  <c r="K511" i="49" s="1"/>
  <c r="K546" i="49"/>
  <c r="K557" i="49" s="1"/>
  <c r="K491" i="49"/>
  <c r="K509" i="49" s="1"/>
  <c r="K490" i="49"/>
  <c r="K508" i="49" s="1"/>
  <c r="K544" i="49"/>
  <c r="K555" i="49" s="1"/>
  <c r="K484" i="49"/>
  <c r="K487" i="49"/>
  <c r="K505" i="49" s="1"/>
  <c r="K547" i="49"/>
  <c r="K558" i="49" s="1"/>
  <c r="K543" i="49"/>
  <c r="K554" i="49" s="1"/>
  <c r="K545" i="49"/>
  <c r="K556" i="49" s="1"/>
  <c r="K541" i="49"/>
  <c r="K488" i="49"/>
  <c r="K506" i="49" s="1"/>
  <c r="K486" i="49"/>
  <c r="K504" i="49" s="1"/>
  <c r="K489" i="49"/>
  <c r="K507" i="49" s="1"/>
  <c r="K492" i="49"/>
  <c r="K510" i="49" s="1"/>
  <c r="K495" i="49"/>
  <c r="K513" i="49" s="1"/>
  <c r="K485" i="49"/>
  <c r="K503" i="49" s="1"/>
  <c r="K542" i="49"/>
  <c r="K553" i="49" s="1"/>
  <c r="K496" i="49"/>
  <c r="K514" i="49" s="1"/>
  <c r="L114" i="49"/>
  <c r="L89" i="49"/>
  <c r="L113" i="49"/>
  <c r="L384" i="41"/>
  <c r="M95" i="49"/>
  <c r="M97" i="49"/>
  <c r="M93" i="49"/>
  <c r="M94" i="49"/>
  <c r="M96" i="49"/>
  <c r="M84" i="49"/>
  <c r="M85" i="49"/>
  <c r="M87" i="49"/>
  <c r="M83" i="49"/>
  <c r="M86" i="49"/>
  <c r="L116" i="49"/>
  <c r="L109" i="49"/>
  <c r="K119" i="49"/>
  <c r="K78" i="27" s="1"/>
  <c r="K219" i="49"/>
  <c r="K237" i="49" s="1"/>
  <c r="K222" i="49"/>
  <c r="K240" i="49" s="1"/>
  <c r="K218" i="49"/>
  <c r="K236" i="49" s="1"/>
  <c r="K271" i="49"/>
  <c r="K282" i="49" s="1"/>
  <c r="K216" i="49"/>
  <c r="K234" i="49" s="1"/>
  <c r="K215" i="49"/>
  <c r="K233" i="49" s="1"/>
  <c r="K269" i="49"/>
  <c r="K280" i="49" s="1"/>
  <c r="K209" i="49"/>
  <c r="K212" i="49"/>
  <c r="K230" i="49" s="1"/>
  <c r="K272" i="49"/>
  <c r="K283" i="49" s="1"/>
  <c r="K268" i="49"/>
  <c r="K279" i="49" s="1"/>
  <c r="K270" i="49"/>
  <c r="K281" i="49" s="1"/>
  <c r="K266" i="49"/>
  <c r="K213" i="49"/>
  <c r="K231" i="49" s="1"/>
  <c r="K211" i="49"/>
  <c r="K229" i="49" s="1"/>
  <c r="K214" i="49"/>
  <c r="K232" i="49" s="1"/>
  <c r="K217" i="49"/>
  <c r="K235" i="49" s="1"/>
  <c r="K220" i="49"/>
  <c r="K238" i="49" s="1"/>
  <c r="K210" i="49"/>
  <c r="K228" i="49" s="1"/>
  <c r="K267" i="49"/>
  <c r="K278" i="49" s="1"/>
  <c r="K221" i="49"/>
  <c r="K239" i="49" s="1"/>
  <c r="L115" i="49"/>
  <c r="L99" i="49"/>
  <c r="M105" i="49"/>
  <c r="M104" i="49"/>
  <c r="M106" i="49"/>
  <c r="M103" i="49"/>
  <c r="M107" i="49"/>
  <c r="L117" i="49"/>
  <c r="L115" i="41"/>
  <c r="L114" i="41"/>
  <c r="L401" i="41"/>
  <c r="L406" i="41"/>
  <c r="L403" i="41"/>
  <c r="M394" i="41"/>
  <c r="M391" i="41"/>
  <c r="M389" i="41"/>
  <c r="M393" i="41"/>
  <c r="M390" i="41"/>
  <c r="M388" i="41"/>
  <c r="M392" i="41"/>
  <c r="L99" i="41"/>
  <c r="L405" i="41"/>
  <c r="L166" i="29"/>
  <c r="L396" i="41"/>
  <c r="L372" i="41"/>
  <c r="L400" i="41"/>
  <c r="L404" i="41"/>
  <c r="M378" i="41"/>
  <c r="M376" i="41"/>
  <c r="M377" i="41"/>
  <c r="M381" i="41"/>
  <c r="M380" i="41"/>
  <c r="M379" i="41"/>
  <c r="M382" i="41"/>
  <c r="M365" i="41"/>
  <c r="M366" i="41"/>
  <c r="M368" i="41"/>
  <c r="M364" i="41"/>
  <c r="M369" i="41"/>
  <c r="M367" i="41"/>
  <c r="M370" i="41"/>
  <c r="K408" i="41"/>
  <c r="K75" i="27" s="1"/>
  <c r="K499" i="41"/>
  <c r="K517" i="41" s="1"/>
  <c r="K556" i="41"/>
  <c r="K567" i="41" s="1"/>
  <c r="K504" i="41"/>
  <c r="K522" i="41" s="1"/>
  <c r="K508" i="41"/>
  <c r="K526" i="41" s="1"/>
  <c r="K503" i="41"/>
  <c r="K521" i="41" s="1"/>
  <c r="K506" i="41"/>
  <c r="K524" i="41" s="1"/>
  <c r="K507" i="41"/>
  <c r="K525" i="41" s="1"/>
  <c r="K505" i="41"/>
  <c r="K523" i="41" s="1"/>
  <c r="K555" i="41"/>
  <c r="K560" i="41"/>
  <c r="K571" i="41" s="1"/>
  <c r="K501" i="41"/>
  <c r="K519" i="41" s="1"/>
  <c r="K557" i="41"/>
  <c r="K568" i="41" s="1"/>
  <c r="K558" i="41"/>
  <c r="K569" i="41" s="1"/>
  <c r="K511" i="41"/>
  <c r="K529" i="41" s="1"/>
  <c r="K509" i="41"/>
  <c r="K527" i="41" s="1"/>
  <c r="K502" i="41"/>
  <c r="K520" i="41" s="1"/>
  <c r="K561" i="41"/>
  <c r="K572" i="41" s="1"/>
  <c r="K559" i="41"/>
  <c r="K570" i="41" s="1"/>
  <c r="K500" i="41"/>
  <c r="K518" i="41" s="1"/>
  <c r="K498" i="41"/>
  <c r="K510" i="41"/>
  <c r="K528" i="41" s="1"/>
  <c r="L402" i="41"/>
  <c r="L116" i="41"/>
  <c r="K119" i="41"/>
  <c r="K74" i="27" s="1"/>
  <c r="K219" i="41"/>
  <c r="K237" i="41" s="1"/>
  <c r="K222" i="41"/>
  <c r="K240" i="41" s="1"/>
  <c r="K218" i="41"/>
  <c r="K236" i="41" s="1"/>
  <c r="K271" i="41"/>
  <c r="K282" i="41" s="1"/>
  <c r="K216" i="41"/>
  <c r="K234" i="41" s="1"/>
  <c r="K215" i="41"/>
  <c r="K233" i="41" s="1"/>
  <c r="K269" i="41"/>
  <c r="K280" i="41" s="1"/>
  <c r="K209" i="41"/>
  <c r="K212" i="41"/>
  <c r="K230" i="41" s="1"/>
  <c r="K272" i="41"/>
  <c r="K283" i="41" s="1"/>
  <c r="K268" i="41"/>
  <c r="K279" i="41" s="1"/>
  <c r="K270" i="41"/>
  <c r="K281" i="41" s="1"/>
  <c r="K266" i="41"/>
  <c r="K213" i="41"/>
  <c r="K231" i="41" s="1"/>
  <c r="K211" i="41"/>
  <c r="K229" i="41" s="1"/>
  <c r="K214" i="41"/>
  <c r="K232" i="41" s="1"/>
  <c r="K217" i="41"/>
  <c r="K235" i="41" s="1"/>
  <c r="K220" i="41"/>
  <c r="K238" i="41" s="1"/>
  <c r="K210" i="41"/>
  <c r="K228" i="41" s="1"/>
  <c r="K267" i="41"/>
  <c r="K278" i="41" s="1"/>
  <c r="K221" i="41"/>
  <c r="K239" i="41" s="1"/>
  <c r="M105" i="41"/>
  <c r="M103" i="41"/>
  <c r="M107" i="41"/>
  <c r="M106" i="41"/>
  <c r="M104" i="41"/>
  <c r="L117" i="41"/>
  <c r="L89" i="41"/>
  <c r="L113" i="41"/>
  <c r="M95" i="41"/>
  <c r="M94" i="41"/>
  <c r="M93" i="41"/>
  <c r="M96" i="41"/>
  <c r="M97" i="41"/>
  <c r="M84" i="41"/>
  <c r="M87" i="41"/>
  <c r="M85" i="41"/>
  <c r="M83" i="41"/>
  <c r="M86" i="41"/>
  <c r="L109" i="41"/>
  <c r="L163" i="29"/>
  <c r="L165" i="29"/>
  <c r="L157" i="29"/>
  <c r="M112" i="29"/>
  <c r="M107" i="29"/>
  <c r="M115" i="29"/>
  <c r="M105" i="29"/>
  <c r="M113" i="29"/>
  <c r="M108" i="29"/>
  <c r="M114" i="29"/>
  <c r="M110" i="29"/>
  <c r="M106" i="29"/>
  <c r="M109" i="29"/>
  <c r="M111" i="29"/>
  <c r="M104" i="29"/>
  <c r="L161" i="29"/>
  <c r="L171" i="18"/>
  <c r="K168" i="29"/>
  <c r="K68" i="27" s="1"/>
  <c r="K319" i="29"/>
  <c r="K330" i="29" s="1"/>
  <c r="K260" i="29"/>
  <c r="K278" i="29" s="1"/>
  <c r="K263" i="29"/>
  <c r="K281" i="29" s="1"/>
  <c r="K264" i="29"/>
  <c r="K282" i="29" s="1"/>
  <c r="K261" i="29"/>
  <c r="K279" i="29" s="1"/>
  <c r="K266" i="29"/>
  <c r="K284" i="29" s="1"/>
  <c r="K316" i="29"/>
  <c r="K327" i="29" s="1"/>
  <c r="K265" i="29"/>
  <c r="K283" i="29" s="1"/>
  <c r="K267" i="29"/>
  <c r="K285" i="29" s="1"/>
  <c r="K268" i="29"/>
  <c r="K286" i="29" s="1"/>
  <c r="K271" i="29"/>
  <c r="K289" i="29" s="1"/>
  <c r="K262" i="29"/>
  <c r="K280" i="29" s="1"/>
  <c r="K269" i="29"/>
  <c r="K287" i="29" s="1"/>
  <c r="K270" i="29"/>
  <c r="K288" i="29" s="1"/>
  <c r="K320" i="29"/>
  <c r="K331" i="29" s="1"/>
  <c r="K315" i="29"/>
  <c r="K258" i="29"/>
  <c r="K318" i="29"/>
  <c r="K329" i="29" s="1"/>
  <c r="K321" i="29"/>
  <c r="K332" i="29" s="1"/>
  <c r="K259" i="29"/>
  <c r="K277" i="29" s="1"/>
  <c r="K317" i="29"/>
  <c r="K328" i="29" s="1"/>
  <c r="L160" i="29"/>
  <c r="L158" i="29"/>
  <c r="L134" i="29"/>
  <c r="L164" i="29"/>
  <c r="L151" i="29"/>
  <c r="M129" i="29"/>
  <c r="M125" i="29"/>
  <c r="M128" i="29"/>
  <c r="M126" i="29"/>
  <c r="M124" i="29"/>
  <c r="M127" i="29"/>
  <c r="M130" i="29"/>
  <c r="M123" i="29"/>
  <c r="M132" i="29"/>
  <c r="M122" i="29"/>
  <c r="M131" i="29"/>
  <c r="M121" i="29"/>
  <c r="M139" i="29"/>
  <c r="M141" i="29"/>
  <c r="M149" i="29"/>
  <c r="M142" i="29"/>
  <c r="M144" i="29"/>
  <c r="M148" i="29"/>
  <c r="M146" i="29"/>
  <c r="M145" i="29"/>
  <c r="M140" i="29"/>
  <c r="M143" i="29"/>
  <c r="M147" i="29"/>
  <c r="M138" i="29"/>
  <c r="L155" i="29"/>
  <c r="L117" i="29"/>
  <c r="L162" i="29"/>
  <c r="L156" i="29"/>
  <c r="L159" i="29"/>
  <c r="L162" i="18"/>
  <c r="L164" i="18"/>
  <c r="M147" i="18"/>
  <c r="M155" i="18"/>
  <c r="M145" i="18"/>
  <c r="M152" i="18"/>
  <c r="M144" i="18"/>
  <c r="M149" i="18"/>
  <c r="M150" i="18"/>
  <c r="M154" i="18"/>
  <c r="M143" i="18"/>
  <c r="M146" i="18"/>
  <c r="M148" i="18"/>
  <c r="M153" i="18"/>
  <c r="M151" i="18"/>
  <c r="L166" i="18"/>
  <c r="L163" i="18"/>
  <c r="M125" i="18"/>
  <c r="M126" i="18"/>
  <c r="M127" i="18"/>
  <c r="M128" i="18"/>
  <c r="M130" i="18"/>
  <c r="M131" i="18"/>
  <c r="M132" i="18"/>
  <c r="M134" i="18"/>
  <c r="M135" i="18"/>
  <c r="M136" i="18"/>
  <c r="M133" i="18"/>
  <c r="M137" i="18"/>
  <c r="M129" i="18"/>
  <c r="L161" i="18"/>
  <c r="L165" i="18"/>
  <c r="M109" i="18"/>
  <c r="M118" i="18"/>
  <c r="M113" i="18"/>
  <c r="M110" i="18"/>
  <c r="M116" i="18"/>
  <c r="M119" i="18"/>
  <c r="M111" i="18"/>
  <c r="M114" i="18"/>
  <c r="M107" i="18"/>
  <c r="M117" i="18"/>
  <c r="M112" i="18"/>
  <c r="M108" i="18"/>
  <c r="M115" i="18"/>
  <c r="L172" i="18"/>
  <c r="L173" i="18"/>
  <c r="L170" i="18"/>
  <c r="J332" i="75"/>
  <c r="J346" i="75" s="1"/>
  <c r="J328" i="75"/>
  <c r="J395" i="75" s="1"/>
  <c r="J241" i="57"/>
  <c r="J255" i="57" s="1"/>
  <c r="J237" i="57"/>
  <c r="J304" i="57" s="1"/>
  <c r="J978" i="61"/>
  <c r="J992" i="61" s="1"/>
  <c r="J974" i="61"/>
  <c r="J1041" i="61" s="1"/>
  <c r="K494" i="19"/>
  <c r="K512" i="19" s="1"/>
  <c r="K491" i="19"/>
  <c r="K509" i="19" s="1"/>
  <c r="K492" i="19"/>
  <c r="K510" i="19" s="1"/>
  <c r="K495" i="19"/>
  <c r="K513" i="19" s="1"/>
  <c r="K490" i="19"/>
  <c r="K508" i="19" s="1"/>
  <c r="K488" i="19"/>
  <c r="K506" i="19" s="1"/>
  <c r="K485" i="19"/>
  <c r="K503" i="19" s="1"/>
  <c r="K489" i="19"/>
  <c r="K507" i="19" s="1"/>
  <c r="K496" i="19"/>
  <c r="K514" i="19" s="1"/>
  <c r="K486" i="19"/>
  <c r="K504" i="19" s="1"/>
  <c r="K493" i="19"/>
  <c r="K511" i="19" s="1"/>
  <c r="K497" i="19"/>
  <c r="K515" i="19" s="1"/>
  <c r="K484" i="19"/>
  <c r="K487" i="19"/>
  <c r="K505" i="19" s="1"/>
  <c r="K456" i="69"/>
  <c r="K474" i="69" s="1"/>
  <c r="K444" i="69"/>
  <c r="K462" i="69" s="1"/>
  <c r="K450" i="69"/>
  <c r="K468" i="69" s="1"/>
  <c r="K443" i="69"/>
  <c r="K446" i="69"/>
  <c r="K464" i="69" s="1"/>
  <c r="K447" i="69"/>
  <c r="K465" i="69" s="1"/>
  <c r="K449" i="69"/>
  <c r="K467" i="69" s="1"/>
  <c r="K448" i="69"/>
  <c r="K466" i="69" s="1"/>
  <c r="K451" i="69"/>
  <c r="K469" i="69" s="1"/>
  <c r="K454" i="69"/>
  <c r="K472" i="69" s="1"/>
  <c r="K452" i="69"/>
  <c r="K470" i="69" s="1"/>
  <c r="K455" i="69"/>
  <c r="K473" i="69" s="1"/>
  <c r="K445" i="69"/>
  <c r="K463" i="69" s="1"/>
  <c r="K453" i="69"/>
  <c r="K471" i="69" s="1"/>
  <c r="K196" i="69"/>
  <c r="K214" i="69" s="1"/>
  <c r="K191" i="69"/>
  <c r="K209" i="69" s="1"/>
  <c r="K198" i="69"/>
  <c r="K216" i="69" s="1"/>
  <c r="K192" i="69"/>
  <c r="K210" i="69" s="1"/>
  <c r="K193" i="69"/>
  <c r="K211" i="69" s="1"/>
  <c r="K199" i="69"/>
  <c r="K217" i="69" s="1"/>
  <c r="K188" i="69"/>
  <c r="K200" i="69"/>
  <c r="K218" i="69" s="1"/>
  <c r="K194" i="69"/>
  <c r="K212" i="69" s="1"/>
  <c r="K201" i="69"/>
  <c r="K219" i="69" s="1"/>
  <c r="K189" i="69"/>
  <c r="K207" i="69" s="1"/>
  <c r="K190" i="69"/>
  <c r="K208" i="69" s="1"/>
  <c r="K195" i="69"/>
  <c r="K213" i="69" s="1"/>
  <c r="K197" i="69"/>
  <c r="K215" i="69" s="1"/>
  <c r="J468" i="61"/>
  <c r="J482" i="61" s="1"/>
  <c r="J464" i="61"/>
  <c r="J531" i="61" s="1"/>
  <c r="J276" i="29"/>
  <c r="J290" i="29" s="1"/>
  <c r="J272" i="29"/>
  <c r="J339" i="29" s="1"/>
  <c r="J227" i="37"/>
  <c r="J241" i="37" s="1"/>
  <c r="J223" i="37"/>
  <c r="J290" i="37" s="1"/>
  <c r="J558" i="53"/>
  <c r="J572" i="53" s="1"/>
  <c r="J554" i="53"/>
  <c r="J621" i="53" s="1"/>
  <c r="J523" i="57"/>
  <c r="J537" i="57" s="1"/>
  <c r="J519" i="57"/>
  <c r="J586" i="57" s="1"/>
  <c r="K714" i="61"/>
  <c r="K732" i="61" s="1"/>
  <c r="K715" i="61"/>
  <c r="K733" i="61" s="1"/>
  <c r="K718" i="61"/>
  <c r="K736" i="61" s="1"/>
  <c r="K712" i="61"/>
  <c r="K730" i="61" s="1"/>
  <c r="K711" i="61"/>
  <c r="K729" i="61" s="1"/>
  <c r="K709" i="61"/>
  <c r="K727" i="61" s="1"/>
  <c r="K705" i="61"/>
  <c r="K708" i="61"/>
  <c r="K726" i="61" s="1"/>
  <c r="K706" i="61"/>
  <c r="K724" i="61" s="1"/>
  <c r="K717" i="61"/>
  <c r="K735" i="61" s="1"/>
  <c r="K707" i="61"/>
  <c r="K725" i="61" s="1"/>
  <c r="K710" i="61"/>
  <c r="K728" i="61" s="1"/>
  <c r="K713" i="61"/>
  <c r="K731" i="61" s="1"/>
  <c r="K716" i="61"/>
  <c r="K734" i="61" s="1"/>
  <c r="J251" i="53"/>
  <c r="J318" i="53" s="1"/>
  <c r="J255" i="53"/>
  <c r="J269" i="53" s="1"/>
  <c r="J223" i="41"/>
  <c r="J290" i="41" s="1"/>
  <c r="J227" i="41"/>
  <c r="J241" i="41" s="1"/>
  <c r="K716" i="69"/>
  <c r="K734" i="69" s="1"/>
  <c r="K719" i="69"/>
  <c r="K737" i="69" s="1"/>
  <c r="K721" i="69"/>
  <c r="K739" i="69" s="1"/>
  <c r="K715" i="69"/>
  <c r="K733" i="69" s="1"/>
  <c r="K713" i="69"/>
  <c r="K731" i="69" s="1"/>
  <c r="K712" i="69"/>
  <c r="K730" i="69" s="1"/>
  <c r="K717" i="69"/>
  <c r="K735" i="69" s="1"/>
  <c r="K724" i="69"/>
  <c r="K742" i="69" s="1"/>
  <c r="K723" i="69"/>
  <c r="K741" i="69" s="1"/>
  <c r="K711" i="69"/>
  <c r="K720" i="69"/>
  <c r="K738" i="69" s="1"/>
  <c r="K718" i="69"/>
  <c r="K736" i="69" s="1"/>
  <c r="K714" i="69"/>
  <c r="K732" i="69" s="1"/>
  <c r="K722" i="69"/>
  <c r="K740" i="69" s="1"/>
  <c r="K316" i="75"/>
  <c r="K334" i="75" s="1"/>
  <c r="K319" i="75"/>
  <c r="K337" i="75" s="1"/>
  <c r="K323" i="75"/>
  <c r="K341" i="75" s="1"/>
  <c r="K318" i="75"/>
  <c r="K336" i="75" s="1"/>
  <c r="K324" i="75"/>
  <c r="K342" i="75" s="1"/>
  <c r="K327" i="75"/>
  <c r="K345" i="75" s="1"/>
  <c r="K317" i="75"/>
  <c r="K335" i="75" s="1"/>
  <c r="K321" i="75"/>
  <c r="K339" i="75" s="1"/>
  <c r="K320" i="75"/>
  <c r="K338" i="75" s="1"/>
  <c r="K315" i="75"/>
  <c r="K333" i="75" s="1"/>
  <c r="K325" i="75"/>
  <c r="K343" i="75" s="1"/>
  <c r="K314" i="75"/>
  <c r="K322" i="75"/>
  <c r="K340" i="75" s="1"/>
  <c r="K326" i="75"/>
  <c r="K344" i="75" s="1"/>
  <c r="K234" i="57"/>
  <c r="K252" i="57" s="1"/>
  <c r="K231" i="57"/>
  <c r="K249" i="57" s="1"/>
  <c r="K223" i="57"/>
  <c r="K235" i="57"/>
  <c r="K253" i="57" s="1"/>
  <c r="K228" i="57"/>
  <c r="K246" i="57" s="1"/>
  <c r="K232" i="57"/>
  <c r="K250" i="57" s="1"/>
  <c r="K224" i="57"/>
  <c r="K242" i="57" s="1"/>
  <c r="K225" i="57"/>
  <c r="K243" i="57" s="1"/>
  <c r="K229" i="57"/>
  <c r="K247" i="57" s="1"/>
  <c r="K236" i="57"/>
  <c r="K254" i="57" s="1"/>
  <c r="K226" i="57"/>
  <c r="K244" i="57" s="1"/>
  <c r="K233" i="57"/>
  <c r="K251" i="57" s="1"/>
  <c r="K227" i="57"/>
  <c r="K245" i="57" s="1"/>
  <c r="K230" i="57"/>
  <c r="K248" i="57" s="1"/>
  <c r="J502" i="19"/>
  <c r="J516" i="19" s="1"/>
  <c r="J498" i="19"/>
  <c r="J565" i="19" s="1"/>
  <c r="K495" i="45"/>
  <c r="K513" i="45" s="1"/>
  <c r="K491" i="45"/>
  <c r="K509" i="45" s="1"/>
  <c r="K492" i="45"/>
  <c r="K510" i="45" s="1"/>
  <c r="K484" i="45"/>
  <c r="K493" i="45"/>
  <c r="K511" i="45" s="1"/>
  <c r="K494" i="45"/>
  <c r="K512" i="45" s="1"/>
  <c r="K490" i="45"/>
  <c r="K508" i="45" s="1"/>
  <c r="K486" i="45"/>
  <c r="K504" i="45" s="1"/>
  <c r="K496" i="45"/>
  <c r="K514" i="45" s="1"/>
  <c r="K497" i="45"/>
  <c r="K515" i="45" s="1"/>
  <c r="K487" i="45"/>
  <c r="K505" i="45" s="1"/>
  <c r="K485" i="45"/>
  <c r="K503" i="45" s="1"/>
  <c r="K488" i="45"/>
  <c r="K506" i="45" s="1"/>
  <c r="K489" i="45"/>
  <c r="K507" i="45" s="1"/>
  <c r="J723" i="61"/>
  <c r="J737" i="61" s="1"/>
  <c r="J719" i="61"/>
  <c r="J786" i="61" s="1"/>
  <c r="J461" i="69"/>
  <c r="J475" i="69" s="1"/>
  <c r="J457" i="69"/>
  <c r="J524" i="69" s="1"/>
  <c r="J502" i="45"/>
  <c r="J516" i="45" s="1"/>
  <c r="J498" i="45"/>
  <c r="J565" i="45" s="1"/>
  <c r="K194" i="77"/>
  <c r="K212" i="77" s="1"/>
  <c r="K188" i="77"/>
  <c r="K191" i="77"/>
  <c r="K209" i="77" s="1"/>
  <c r="K195" i="77"/>
  <c r="K213" i="77" s="1"/>
  <c r="K189" i="77"/>
  <c r="K207" i="77" s="1"/>
  <c r="K193" i="77"/>
  <c r="K211" i="77" s="1"/>
  <c r="K192" i="77"/>
  <c r="K210" i="77" s="1"/>
  <c r="K198" i="77"/>
  <c r="K216" i="77" s="1"/>
  <c r="K196" i="77"/>
  <c r="K214" i="77" s="1"/>
  <c r="K199" i="77"/>
  <c r="K217" i="77" s="1"/>
  <c r="K190" i="77"/>
  <c r="K208" i="77" s="1"/>
  <c r="K200" i="77"/>
  <c r="K218" i="77" s="1"/>
  <c r="K197" i="77"/>
  <c r="K215" i="77" s="1"/>
  <c r="K201" i="77"/>
  <c r="K219" i="77" s="1"/>
  <c r="K961" i="61"/>
  <c r="K979" i="61" s="1"/>
  <c r="K968" i="61"/>
  <c r="K986" i="61" s="1"/>
  <c r="K971" i="61"/>
  <c r="K989" i="61" s="1"/>
  <c r="K972" i="61"/>
  <c r="K990" i="61" s="1"/>
  <c r="K964" i="61"/>
  <c r="K982" i="61" s="1"/>
  <c r="K966" i="61"/>
  <c r="K984" i="61" s="1"/>
  <c r="K969" i="61"/>
  <c r="K987" i="61" s="1"/>
  <c r="K962" i="61"/>
  <c r="K980" i="61" s="1"/>
  <c r="K967" i="61"/>
  <c r="K985" i="61" s="1"/>
  <c r="K960" i="61"/>
  <c r="K963" i="61"/>
  <c r="K981" i="61" s="1"/>
  <c r="K973" i="61"/>
  <c r="K991" i="61" s="1"/>
  <c r="K970" i="61"/>
  <c r="K988" i="61" s="1"/>
  <c r="K965" i="61"/>
  <c r="K983" i="61" s="1"/>
  <c r="K465" i="37"/>
  <c r="K483" i="37" s="1"/>
  <c r="K468" i="37"/>
  <c r="K486" i="37" s="1"/>
  <c r="K469" i="37"/>
  <c r="K487" i="37" s="1"/>
  <c r="K467" i="37"/>
  <c r="K485" i="37" s="1"/>
  <c r="K463" i="37"/>
  <c r="K466" i="37"/>
  <c r="K484" i="37" s="1"/>
  <c r="K473" i="37"/>
  <c r="K491" i="37" s="1"/>
  <c r="K474" i="37"/>
  <c r="K492" i="37" s="1"/>
  <c r="K470" i="37"/>
  <c r="K488" i="37" s="1"/>
  <c r="K464" i="37"/>
  <c r="K482" i="37" s="1"/>
  <c r="K472" i="37"/>
  <c r="K490" i="37" s="1"/>
  <c r="K475" i="37"/>
  <c r="K493" i="37" s="1"/>
  <c r="K471" i="37"/>
  <c r="K489" i="37" s="1"/>
  <c r="K476" i="37"/>
  <c r="K494" i="37" s="1"/>
  <c r="J773" i="19"/>
  <c r="J840" i="19" s="1"/>
  <c r="J777" i="19"/>
  <c r="J791" i="19" s="1"/>
  <c r="J202" i="77"/>
  <c r="J269" i="77" s="1"/>
  <c r="J206" i="77"/>
  <c r="J220" i="77" s="1"/>
  <c r="J227" i="19"/>
  <c r="J241" i="19" s="1"/>
  <c r="J223" i="19"/>
  <c r="J290" i="19" s="1"/>
  <c r="J502" i="49"/>
  <c r="J516" i="49" s="1"/>
  <c r="J498" i="49"/>
  <c r="J565" i="49" s="1"/>
  <c r="K453" i="61"/>
  <c r="K471" i="61" s="1"/>
  <c r="K454" i="61"/>
  <c r="K472" i="61" s="1"/>
  <c r="K452" i="61"/>
  <c r="K470" i="61" s="1"/>
  <c r="K455" i="61"/>
  <c r="K473" i="61" s="1"/>
  <c r="K451" i="61"/>
  <c r="K469" i="61" s="1"/>
  <c r="K450" i="61"/>
  <c r="K461" i="61"/>
  <c r="K479" i="61" s="1"/>
  <c r="K462" i="61"/>
  <c r="K480" i="61" s="1"/>
  <c r="K457" i="61"/>
  <c r="K475" i="61" s="1"/>
  <c r="K458" i="61"/>
  <c r="K476" i="61" s="1"/>
  <c r="K460" i="61"/>
  <c r="K478" i="61" s="1"/>
  <c r="K459" i="61"/>
  <c r="K477" i="61" s="1"/>
  <c r="K463" i="61"/>
  <c r="K481" i="61" s="1"/>
  <c r="K456" i="61"/>
  <c r="K474" i="61" s="1"/>
  <c r="K215" i="37"/>
  <c r="K233" i="37" s="1"/>
  <c r="K211" i="37"/>
  <c r="K229" i="37" s="1"/>
  <c r="K214" i="37"/>
  <c r="K232" i="37" s="1"/>
  <c r="K212" i="37"/>
  <c r="K230" i="37" s="1"/>
  <c r="K221" i="37"/>
  <c r="K239" i="37" s="1"/>
  <c r="K217" i="37"/>
  <c r="K235" i="37" s="1"/>
  <c r="K213" i="37"/>
  <c r="K231" i="37" s="1"/>
  <c r="K219" i="37"/>
  <c r="K237" i="37" s="1"/>
  <c r="K222" i="37"/>
  <c r="K240" i="37" s="1"/>
  <c r="K210" i="37"/>
  <c r="K228" i="37" s="1"/>
  <c r="K209" i="37"/>
  <c r="K216" i="37"/>
  <c r="K234" i="37" s="1"/>
  <c r="K218" i="37"/>
  <c r="K236" i="37" s="1"/>
  <c r="K220" i="37"/>
  <c r="K238" i="37" s="1"/>
  <c r="K194" i="61"/>
  <c r="K212" i="61" s="1"/>
  <c r="K203" i="61"/>
  <c r="K221" i="61" s="1"/>
  <c r="K193" i="61"/>
  <c r="K202" i="61"/>
  <c r="K220" i="61" s="1"/>
  <c r="K200" i="61"/>
  <c r="K218" i="61" s="1"/>
  <c r="K197" i="61"/>
  <c r="K215" i="61" s="1"/>
  <c r="K205" i="61"/>
  <c r="K223" i="61" s="1"/>
  <c r="K196" i="61"/>
  <c r="K214" i="61" s="1"/>
  <c r="K204" i="61"/>
  <c r="K222" i="61" s="1"/>
  <c r="K198" i="61"/>
  <c r="K216" i="61" s="1"/>
  <c r="K201" i="61"/>
  <c r="K219" i="61" s="1"/>
  <c r="K199" i="61"/>
  <c r="K217" i="61" s="1"/>
  <c r="K206" i="61"/>
  <c r="K224" i="61" s="1"/>
  <c r="K195" i="61"/>
  <c r="K213" i="61" s="1"/>
  <c r="K239" i="45"/>
  <c r="K257" i="45" s="1"/>
  <c r="K237" i="45"/>
  <c r="K255" i="45" s="1"/>
  <c r="K236" i="45"/>
  <c r="K254" i="45" s="1"/>
  <c r="K234" i="45"/>
  <c r="K252" i="45" s="1"/>
  <c r="K235" i="45"/>
  <c r="K253" i="45" s="1"/>
  <c r="K233" i="45"/>
  <c r="K251" i="45" s="1"/>
  <c r="K232" i="45"/>
  <c r="K250" i="45" s="1"/>
  <c r="K230" i="45"/>
  <c r="K242" i="45"/>
  <c r="K260" i="45" s="1"/>
  <c r="K231" i="45"/>
  <c r="K249" i="45" s="1"/>
  <c r="K241" i="45"/>
  <c r="K259" i="45" s="1"/>
  <c r="K243" i="45"/>
  <c r="K261" i="45" s="1"/>
  <c r="K240" i="45"/>
  <c r="K258" i="45" s="1"/>
  <c r="K238" i="45"/>
  <c r="K256" i="45" s="1"/>
  <c r="J211" i="61"/>
  <c r="J225" i="61" s="1"/>
  <c r="J207" i="61"/>
  <c r="J274" i="61" s="1"/>
  <c r="J206" i="69"/>
  <c r="J220" i="69" s="1"/>
  <c r="J202" i="69"/>
  <c r="J269" i="69" s="1"/>
  <c r="J206" i="33"/>
  <c r="J220" i="33" s="1"/>
  <c r="J202" i="33"/>
  <c r="J269" i="33" s="1"/>
  <c r="J481" i="37"/>
  <c r="J495" i="37" s="1"/>
  <c r="J477" i="37"/>
  <c r="J544" i="37" s="1"/>
  <c r="J227" i="49"/>
  <c r="J241" i="49" s="1"/>
  <c r="J223" i="49"/>
  <c r="J290" i="49" s="1"/>
  <c r="K514" i="57"/>
  <c r="K532" i="57" s="1"/>
  <c r="K511" i="57"/>
  <c r="K529" i="57" s="1"/>
  <c r="K512" i="57"/>
  <c r="K530" i="57" s="1"/>
  <c r="K510" i="57"/>
  <c r="K528" i="57" s="1"/>
  <c r="K513" i="57"/>
  <c r="K531" i="57" s="1"/>
  <c r="K507" i="57"/>
  <c r="K525" i="57" s="1"/>
  <c r="K516" i="57"/>
  <c r="K534" i="57" s="1"/>
  <c r="K515" i="57"/>
  <c r="K533" i="57" s="1"/>
  <c r="K509" i="57"/>
  <c r="K527" i="57" s="1"/>
  <c r="K518" i="57"/>
  <c r="K536" i="57" s="1"/>
  <c r="K508" i="57"/>
  <c r="K526" i="57" s="1"/>
  <c r="K506" i="57"/>
  <c r="K524" i="57" s="1"/>
  <c r="K505" i="57"/>
  <c r="K517" i="57"/>
  <c r="K535" i="57" s="1"/>
  <c r="K197" i="33"/>
  <c r="K215" i="33" s="1"/>
  <c r="K194" i="33"/>
  <c r="K212" i="33" s="1"/>
  <c r="K188" i="33"/>
  <c r="K191" i="33"/>
  <c r="K209" i="33" s="1"/>
  <c r="K198" i="33"/>
  <c r="K216" i="33" s="1"/>
  <c r="K201" i="33"/>
  <c r="K219" i="33" s="1"/>
  <c r="K195" i="33"/>
  <c r="K213" i="33" s="1"/>
  <c r="K192" i="33"/>
  <c r="K210" i="33" s="1"/>
  <c r="K196" i="33"/>
  <c r="K214" i="33" s="1"/>
  <c r="K199" i="33"/>
  <c r="K217" i="33" s="1"/>
  <c r="K189" i="33"/>
  <c r="K207" i="33" s="1"/>
  <c r="K200" i="33"/>
  <c r="K218" i="33" s="1"/>
  <c r="K190" i="33"/>
  <c r="K208" i="33" s="1"/>
  <c r="K193" i="33"/>
  <c r="K211" i="33" s="1"/>
  <c r="K221" i="19"/>
  <c r="K239" i="19" s="1"/>
  <c r="K211" i="19"/>
  <c r="K229" i="19" s="1"/>
  <c r="K222" i="19"/>
  <c r="K240" i="19" s="1"/>
  <c r="K218" i="19"/>
  <c r="K236" i="19" s="1"/>
  <c r="K215" i="19"/>
  <c r="K233" i="19" s="1"/>
  <c r="K209" i="19"/>
  <c r="K212" i="19"/>
  <c r="K230" i="19" s="1"/>
  <c r="K219" i="19"/>
  <c r="K237" i="19" s="1"/>
  <c r="K216" i="19"/>
  <c r="K234" i="19" s="1"/>
  <c r="K213" i="19"/>
  <c r="K231" i="19" s="1"/>
  <c r="K214" i="19"/>
  <c r="K232" i="19" s="1"/>
  <c r="K217" i="19"/>
  <c r="K235" i="19" s="1"/>
  <c r="K220" i="19"/>
  <c r="K238" i="19" s="1"/>
  <c r="K210" i="19"/>
  <c r="K228" i="19" s="1"/>
  <c r="K772" i="19"/>
  <c r="K790" i="19" s="1"/>
  <c r="K764" i="19"/>
  <c r="K782" i="19" s="1"/>
  <c r="K763" i="19"/>
  <c r="K781" i="19" s="1"/>
  <c r="K759" i="19"/>
  <c r="K765" i="19"/>
  <c r="K783" i="19" s="1"/>
  <c r="K766" i="19"/>
  <c r="K784" i="19" s="1"/>
  <c r="K768" i="19"/>
  <c r="K786" i="19" s="1"/>
  <c r="K770" i="19"/>
  <c r="K788" i="19" s="1"/>
  <c r="K762" i="19"/>
  <c r="K780" i="19" s="1"/>
  <c r="K769" i="19"/>
  <c r="K787" i="19" s="1"/>
  <c r="K767" i="19"/>
  <c r="K785" i="19" s="1"/>
  <c r="K760" i="19"/>
  <c r="K778" i="19" s="1"/>
  <c r="K761" i="19"/>
  <c r="K779" i="19" s="1"/>
  <c r="K771" i="19"/>
  <c r="K789" i="19" s="1"/>
  <c r="J512" i="41"/>
  <c r="J579" i="41" s="1"/>
  <c r="J516" i="41"/>
  <c r="J530" i="41" s="1"/>
  <c r="J729" i="69"/>
  <c r="J743" i="69" s="1"/>
  <c r="J725" i="69"/>
  <c r="J792" i="69" s="1"/>
  <c r="J244" i="45"/>
  <c r="J311" i="45" s="1"/>
  <c r="J248" i="45"/>
  <c r="J262" i="45" s="1"/>
  <c r="L91" i="69"/>
  <c r="M89" i="69"/>
  <c r="M88" i="69"/>
  <c r="L84" i="69"/>
  <c r="K98" i="69"/>
  <c r="K88" i="27" s="1"/>
  <c r="K251" i="69"/>
  <c r="K262" i="69" s="1"/>
  <c r="K250" i="69"/>
  <c r="K261" i="69" s="1"/>
  <c r="K248" i="69"/>
  <c r="K259" i="69" s="1"/>
  <c r="K247" i="69"/>
  <c r="K258" i="69" s="1"/>
  <c r="K246" i="69"/>
  <c r="K257" i="69" s="1"/>
  <c r="K249" i="69"/>
  <c r="K260" i="69" s="1"/>
  <c r="K245" i="69"/>
  <c r="M75" i="69"/>
  <c r="M74" i="69"/>
  <c r="M82" i="69"/>
  <c r="M81" i="69"/>
  <c r="L96" i="69"/>
  <c r="L77" i="69"/>
  <c r="L95" i="69"/>
  <c r="M330" i="69"/>
  <c r="M329" i="69"/>
  <c r="L350" i="69"/>
  <c r="L332" i="69"/>
  <c r="M336" i="69"/>
  <c r="M337" i="69"/>
  <c r="M344" i="69"/>
  <c r="M343" i="69"/>
  <c r="L339" i="69"/>
  <c r="K353" i="69"/>
  <c r="K89" i="27" s="1"/>
  <c r="K500" i="69"/>
  <c r="K506" i="69"/>
  <c r="K517" i="69" s="1"/>
  <c r="K505" i="69"/>
  <c r="K516" i="69" s="1"/>
  <c r="K501" i="69"/>
  <c r="K512" i="69" s="1"/>
  <c r="K503" i="69"/>
  <c r="K514" i="69" s="1"/>
  <c r="K504" i="69"/>
  <c r="K515" i="69" s="1"/>
  <c r="K502" i="69"/>
  <c r="K513" i="69" s="1"/>
  <c r="L346" i="69"/>
  <c r="L351" i="69"/>
  <c r="L100" i="61"/>
  <c r="L96" i="77"/>
  <c r="L392" i="45"/>
  <c r="L380" i="45"/>
  <c r="K270" i="37"/>
  <c r="K281" i="37" s="1"/>
  <c r="K271" i="37"/>
  <c r="K282" i="37" s="1"/>
  <c r="K268" i="37"/>
  <c r="K279" i="37" s="1"/>
  <c r="K269" i="37"/>
  <c r="K280" i="37" s="1"/>
  <c r="K267" i="37"/>
  <c r="K278" i="37" s="1"/>
  <c r="K266" i="37"/>
  <c r="K272" i="37"/>
  <c r="K283" i="37" s="1"/>
  <c r="K248" i="33"/>
  <c r="K259" i="33" s="1"/>
  <c r="K245" i="33"/>
  <c r="K249" i="33"/>
  <c r="K260" i="33" s="1"/>
  <c r="K246" i="33"/>
  <c r="K257" i="33" s="1"/>
  <c r="K250" i="33"/>
  <c r="K261" i="33" s="1"/>
  <c r="K247" i="33"/>
  <c r="K258" i="33" s="1"/>
  <c r="K251" i="33"/>
  <c r="K262" i="33" s="1"/>
  <c r="K772" i="69"/>
  <c r="K783" i="69" s="1"/>
  <c r="K771" i="69"/>
  <c r="K782" i="69" s="1"/>
  <c r="K773" i="69"/>
  <c r="K784" i="69" s="1"/>
  <c r="K769" i="69"/>
  <c r="K780" i="69" s="1"/>
  <c r="K768" i="69"/>
  <c r="K774" i="69"/>
  <c r="K785" i="69" s="1"/>
  <c r="K770" i="69"/>
  <c r="K781" i="69" s="1"/>
  <c r="K820" i="19"/>
  <c r="K831" i="19" s="1"/>
  <c r="K817" i="19"/>
  <c r="K828" i="19" s="1"/>
  <c r="K821" i="19"/>
  <c r="K832" i="19" s="1"/>
  <c r="K822" i="19"/>
  <c r="K833" i="19" s="1"/>
  <c r="K816" i="19"/>
  <c r="K819" i="19"/>
  <c r="K830" i="19" s="1"/>
  <c r="K818" i="19"/>
  <c r="K829" i="19" s="1"/>
  <c r="K543" i="45"/>
  <c r="K554" i="45" s="1"/>
  <c r="K547" i="45"/>
  <c r="K558" i="45" s="1"/>
  <c r="K545" i="45"/>
  <c r="K556" i="45" s="1"/>
  <c r="K544" i="45"/>
  <c r="K555" i="45" s="1"/>
  <c r="K542" i="45"/>
  <c r="K553" i="45" s="1"/>
  <c r="K541" i="45"/>
  <c r="K546" i="45"/>
  <c r="K557" i="45" s="1"/>
  <c r="K251" i="61"/>
  <c r="K262" i="61" s="1"/>
  <c r="K253" i="61"/>
  <c r="K264" i="61" s="1"/>
  <c r="K250" i="61"/>
  <c r="K252" i="61"/>
  <c r="K263" i="61" s="1"/>
  <c r="K256" i="61"/>
  <c r="K267" i="61" s="1"/>
  <c r="K254" i="61"/>
  <c r="K265" i="61" s="1"/>
  <c r="K255" i="61"/>
  <c r="K266" i="61" s="1"/>
  <c r="K765" i="61"/>
  <c r="K776" i="61" s="1"/>
  <c r="K763" i="61"/>
  <c r="K774" i="61" s="1"/>
  <c r="K767" i="61"/>
  <c r="K778" i="61" s="1"/>
  <c r="K762" i="61"/>
  <c r="K764" i="61"/>
  <c r="K775" i="61" s="1"/>
  <c r="K766" i="61"/>
  <c r="K777" i="61" s="1"/>
  <c r="K768" i="61"/>
  <c r="K779" i="61" s="1"/>
  <c r="K525" i="37"/>
  <c r="K536" i="37" s="1"/>
  <c r="K521" i="37"/>
  <c r="K532" i="37" s="1"/>
  <c r="K522" i="37"/>
  <c r="K533" i="37" s="1"/>
  <c r="K523" i="37"/>
  <c r="K534" i="37" s="1"/>
  <c r="K524" i="37"/>
  <c r="K535" i="37" s="1"/>
  <c r="K520" i="37"/>
  <c r="K526" i="37"/>
  <c r="K537" i="37" s="1"/>
  <c r="K251" i="77"/>
  <c r="K262" i="77" s="1"/>
  <c r="K247" i="77"/>
  <c r="K258" i="77" s="1"/>
  <c r="K249" i="77"/>
  <c r="K260" i="77" s="1"/>
  <c r="K245" i="77"/>
  <c r="K248" i="77"/>
  <c r="K259" i="77" s="1"/>
  <c r="K246" i="77"/>
  <c r="K257" i="77" s="1"/>
  <c r="K250" i="77"/>
  <c r="K261" i="77" s="1"/>
  <c r="K1020" i="61"/>
  <c r="K1031" i="61" s="1"/>
  <c r="K1018" i="61"/>
  <c r="K1029" i="61" s="1"/>
  <c r="K1022" i="61"/>
  <c r="K1033" i="61" s="1"/>
  <c r="K1019" i="61"/>
  <c r="K1030" i="61" s="1"/>
  <c r="K1023" i="61"/>
  <c r="K1034" i="61" s="1"/>
  <c r="K1017" i="61"/>
  <c r="K1021" i="61"/>
  <c r="K1032" i="61" s="1"/>
  <c r="K272" i="19"/>
  <c r="K283" i="19" s="1"/>
  <c r="K269" i="19"/>
  <c r="K280" i="19" s="1"/>
  <c r="K266" i="19"/>
  <c r="K267" i="19"/>
  <c r="K278" i="19" s="1"/>
  <c r="K270" i="19"/>
  <c r="K281" i="19" s="1"/>
  <c r="K271" i="19"/>
  <c r="K282" i="19" s="1"/>
  <c r="K268" i="19"/>
  <c r="K279" i="19" s="1"/>
  <c r="K282" i="57"/>
  <c r="K293" i="57" s="1"/>
  <c r="K280" i="57"/>
  <c r="K286" i="57"/>
  <c r="K297" i="57" s="1"/>
  <c r="K284" i="57"/>
  <c r="K295" i="57" s="1"/>
  <c r="K283" i="57"/>
  <c r="K294" i="57" s="1"/>
  <c r="K285" i="57"/>
  <c r="K296" i="57" s="1"/>
  <c r="K281" i="57"/>
  <c r="K292" i="57" s="1"/>
  <c r="K563" i="57"/>
  <c r="K574" i="57" s="1"/>
  <c r="K567" i="57"/>
  <c r="K578" i="57" s="1"/>
  <c r="K562" i="57"/>
  <c r="K566" i="57"/>
  <c r="K577" i="57" s="1"/>
  <c r="K568" i="57"/>
  <c r="K579" i="57" s="1"/>
  <c r="K564" i="57"/>
  <c r="K575" i="57" s="1"/>
  <c r="K565" i="57"/>
  <c r="K576" i="57" s="1"/>
  <c r="K512" i="61"/>
  <c r="K523" i="61" s="1"/>
  <c r="K511" i="61"/>
  <c r="K522" i="61" s="1"/>
  <c r="K513" i="61"/>
  <c r="K524" i="61" s="1"/>
  <c r="K508" i="61"/>
  <c r="K519" i="61" s="1"/>
  <c r="K509" i="61"/>
  <c r="K520" i="61" s="1"/>
  <c r="K510" i="61"/>
  <c r="K521" i="61" s="1"/>
  <c r="K507" i="61"/>
  <c r="K547" i="19"/>
  <c r="K558" i="19" s="1"/>
  <c r="K543" i="19"/>
  <c r="K554" i="19" s="1"/>
  <c r="K546" i="19"/>
  <c r="K557" i="19" s="1"/>
  <c r="K544" i="19"/>
  <c r="K555" i="19" s="1"/>
  <c r="K541" i="19"/>
  <c r="K545" i="19"/>
  <c r="K556" i="19" s="1"/>
  <c r="K542" i="19"/>
  <c r="K553" i="19" s="1"/>
  <c r="K290" i="45"/>
  <c r="K301" i="45" s="1"/>
  <c r="K292" i="45"/>
  <c r="K303" i="45" s="1"/>
  <c r="K289" i="45"/>
  <c r="K300" i="45" s="1"/>
  <c r="K291" i="45"/>
  <c r="K302" i="45" s="1"/>
  <c r="K288" i="45"/>
  <c r="K299" i="45" s="1"/>
  <c r="K293" i="45"/>
  <c r="K304" i="45" s="1"/>
  <c r="K287" i="45"/>
  <c r="K377" i="75"/>
  <c r="K388" i="75" s="1"/>
  <c r="K376" i="75"/>
  <c r="K387" i="75" s="1"/>
  <c r="K374" i="75"/>
  <c r="K385" i="75" s="1"/>
  <c r="K373" i="75"/>
  <c r="K384" i="75" s="1"/>
  <c r="K372" i="75"/>
  <c r="K383" i="75" s="1"/>
  <c r="K371" i="75"/>
  <c r="K375" i="75"/>
  <c r="K386" i="75" s="1"/>
  <c r="L601" i="61"/>
  <c r="L387" i="45"/>
  <c r="L608" i="61"/>
  <c r="L664" i="19"/>
  <c r="L856" i="61"/>
  <c r="L667" i="19"/>
  <c r="L353" i="61"/>
  <c r="L389" i="19"/>
  <c r="L410" i="57"/>
  <c r="L128" i="57"/>
  <c r="L393" i="57"/>
  <c r="L374" i="19"/>
  <c r="L649" i="19"/>
  <c r="L84" i="77"/>
  <c r="L666" i="19"/>
  <c r="L91" i="77"/>
  <c r="L199" i="75"/>
  <c r="L346" i="61"/>
  <c r="J608" i="53"/>
  <c r="J615" i="53" s="1"/>
  <c r="J604" i="53"/>
  <c r="J622" i="53" s="1"/>
  <c r="L391" i="45"/>
  <c r="L373" i="45"/>
  <c r="K98" i="77"/>
  <c r="K92" i="27" s="1"/>
  <c r="L612" i="61"/>
  <c r="M111" i="45"/>
  <c r="M112" i="45"/>
  <c r="M105" i="45"/>
  <c r="M109" i="45"/>
  <c r="M108" i="45"/>
  <c r="M107" i="45"/>
  <c r="M106" i="45"/>
  <c r="M110" i="45"/>
  <c r="M102" i="57"/>
  <c r="M103" i="57"/>
  <c r="M101" i="57"/>
  <c r="M105" i="57"/>
  <c r="M106" i="57"/>
  <c r="M107" i="57"/>
  <c r="M104" i="57"/>
  <c r="M599" i="69"/>
  <c r="M598" i="69"/>
  <c r="M600" i="69"/>
  <c r="M601" i="69"/>
  <c r="M83" i="19"/>
  <c r="M85" i="19"/>
  <c r="M86" i="19"/>
  <c r="M84" i="19"/>
  <c r="M87" i="19"/>
  <c r="M83" i="37"/>
  <c r="M86" i="37"/>
  <c r="M84" i="37"/>
  <c r="M87" i="37"/>
  <c r="M85" i="37"/>
  <c r="M337" i="61"/>
  <c r="M336" i="61"/>
  <c r="L129" i="57"/>
  <c r="K615" i="61"/>
  <c r="K86" i="27" s="1"/>
  <c r="L115" i="37"/>
  <c r="L867" i="61"/>
  <c r="L101" i="45"/>
  <c r="L131" i="45"/>
  <c r="L213" i="75"/>
  <c r="L219" i="75"/>
  <c r="L215" i="75"/>
  <c r="L91" i="33"/>
  <c r="J257" i="61"/>
  <c r="J275" i="61" s="1"/>
  <c r="J261" i="61"/>
  <c r="J268" i="61" s="1"/>
  <c r="M125" i="45"/>
  <c r="M119" i="45"/>
  <c r="M124" i="45"/>
  <c r="M122" i="45"/>
  <c r="M120" i="45"/>
  <c r="M123" i="45"/>
  <c r="M121" i="45"/>
  <c r="M118" i="45"/>
  <c r="K394" i="19"/>
  <c r="K69" i="27" s="1"/>
  <c r="J294" i="45"/>
  <c r="J312" i="45" s="1"/>
  <c r="J298" i="45"/>
  <c r="J305" i="45" s="1"/>
  <c r="M154" i="75"/>
  <c r="M155" i="75"/>
  <c r="M160" i="75"/>
  <c r="M165" i="75"/>
  <c r="M153" i="75"/>
  <c r="M168" i="75"/>
  <c r="M163" i="75"/>
  <c r="M170" i="75"/>
  <c r="M161" i="75"/>
  <c r="M166" i="75"/>
  <c r="M169" i="75"/>
  <c r="M159" i="75"/>
  <c r="M164" i="75"/>
  <c r="M162" i="75"/>
  <c r="M172" i="75"/>
  <c r="M171" i="75"/>
  <c r="M157" i="75"/>
  <c r="M167" i="75"/>
  <c r="M156" i="75"/>
  <c r="M158" i="75"/>
  <c r="M599" i="61"/>
  <c r="M598" i="61"/>
  <c r="M854" i="61"/>
  <c r="M853" i="61"/>
  <c r="J531" i="37"/>
  <c r="J538" i="37" s="1"/>
  <c r="J527" i="37"/>
  <c r="J545" i="37" s="1"/>
  <c r="J552" i="45"/>
  <c r="J559" i="45" s="1"/>
  <c r="J548" i="45"/>
  <c r="J566" i="45" s="1"/>
  <c r="J548" i="19"/>
  <c r="J566" i="19" s="1"/>
  <c r="J552" i="19"/>
  <c r="J559" i="19" s="1"/>
  <c r="M89" i="57"/>
  <c r="M90" i="57"/>
  <c r="M94" i="57"/>
  <c r="M95" i="57"/>
  <c r="M93" i="57"/>
  <c r="M91" i="57"/>
  <c r="M92" i="57"/>
  <c r="M358" i="19"/>
  <c r="M360" i="19"/>
  <c r="M361" i="19"/>
  <c r="M359" i="19"/>
  <c r="M362" i="19"/>
  <c r="M846" i="61"/>
  <c r="M847" i="61"/>
  <c r="J273" i="19"/>
  <c r="J291" i="19" s="1"/>
  <c r="J277" i="19"/>
  <c r="J284" i="19" s="1"/>
  <c r="L117" i="37"/>
  <c r="L138" i="45"/>
  <c r="L203" i="75"/>
  <c r="L149" i="75"/>
  <c r="L208" i="75"/>
  <c r="L204" i="75"/>
  <c r="J775" i="69"/>
  <c r="J793" i="69" s="1"/>
  <c r="J779" i="69"/>
  <c r="J786" i="69" s="1"/>
  <c r="J773" i="61"/>
  <c r="J780" i="61" s="1"/>
  <c r="J769" i="61"/>
  <c r="J787" i="61" s="1"/>
  <c r="M106" i="19"/>
  <c r="M107" i="19"/>
  <c r="M105" i="19"/>
  <c r="M103" i="19"/>
  <c r="M104" i="19"/>
  <c r="M116" i="57"/>
  <c r="M113" i="57"/>
  <c r="M114" i="57"/>
  <c r="M115" i="57"/>
  <c r="M118" i="57"/>
  <c r="M119" i="57"/>
  <c r="M117" i="57"/>
  <c r="M860" i="61"/>
  <c r="M861" i="61"/>
  <c r="M606" i="61"/>
  <c r="M605" i="61"/>
  <c r="L619" i="69"/>
  <c r="L115" i="19"/>
  <c r="J566" i="41"/>
  <c r="J573" i="41" s="1"/>
  <c r="J562" i="41"/>
  <c r="J580" i="41" s="1"/>
  <c r="J277" i="41"/>
  <c r="J284" i="41" s="1"/>
  <c r="J273" i="41"/>
  <c r="J291" i="41" s="1"/>
  <c r="J256" i="77"/>
  <c r="J263" i="77" s="1"/>
  <c r="J252" i="77"/>
  <c r="J270" i="77" s="1"/>
  <c r="L391" i="19"/>
  <c r="K870" i="61"/>
  <c r="K87" i="27" s="1"/>
  <c r="M387" i="57"/>
  <c r="M388" i="57"/>
  <c r="M391" i="57"/>
  <c r="M389" i="57"/>
  <c r="M386" i="57"/>
  <c r="M390" i="57"/>
  <c r="L411" i="57"/>
  <c r="L84" i="33"/>
  <c r="M130" i="75"/>
  <c r="M141" i="75"/>
  <c r="M131" i="75"/>
  <c r="M142" i="75"/>
  <c r="M132" i="75"/>
  <c r="M133" i="75"/>
  <c r="M143" i="75"/>
  <c r="M140" i="75"/>
  <c r="M134" i="75"/>
  <c r="M145" i="75"/>
  <c r="M135" i="75"/>
  <c r="M137" i="75"/>
  <c r="M138" i="75"/>
  <c r="M139" i="75"/>
  <c r="M128" i="75"/>
  <c r="M146" i="75"/>
  <c r="M136" i="75"/>
  <c r="M147" i="75"/>
  <c r="M129" i="75"/>
  <c r="M144" i="75"/>
  <c r="L127" i="57"/>
  <c r="J573" i="57"/>
  <c r="J580" i="57" s="1"/>
  <c r="J569" i="57"/>
  <c r="J587" i="57" s="1"/>
  <c r="J382" i="75"/>
  <c r="J389" i="75" s="1"/>
  <c r="J378" i="75"/>
  <c r="J396" i="75" s="1"/>
  <c r="L114" i="37"/>
  <c r="K373" i="37"/>
  <c r="K73" i="27" s="1"/>
  <c r="J277" i="37"/>
  <c r="J284" i="37" s="1"/>
  <c r="J273" i="37"/>
  <c r="J291" i="37" s="1"/>
  <c r="L135" i="45"/>
  <c r="L221" i="75"/>
  <c r="L218" i="75"/>
  <c r="J256" i="69"/>
  <c r="J263" i="69" s="1"/>
  <c r="J252" i="69"/>
  <c r="J270" i="69" s="1"/>
  <c r="M181" i="75"/>
  <c r="M185" i="75"/>
  <c r="M187" i="75"/>
  <c r="M192" i="75"/>
  <c r="M189" i="75"/>
  <c r="M180" i="75"/>
  <c r="M184" i="75"/>
  <c r="M193" i="75"/>
  <c r="M183" i="75"/>
  <c r="M197" i="75"/>
  <c r="M194" i="75"/>
  <c r="M191" i="75"/>
  <c r="M179" i="75"/>
  <c r="M182" i="75"/>
  <c r="M178" i="75"/>
  <c r="M196" i="75"/>
  <c r="M186" i="75"/>
  <c r="M195" i="75"/>
  <c r="M190" i="75"/>
  <c r="M188" i="75"/>
  <c r="M380" i="19"/>
  <c r="M382" i="19"/>
  <c r="M378" i="19"/>
  <c r="M379" i="19"/>
  <c r="M381" i="19"/>
  <c r="M385" i="45"/>
  <c r="M384" i="45"/>
  <c r="L618" i="69"/>
  <c r="L114" i="19"/>
  <c r="J552" i="49"/>
  <c r="J559" i="49" s="1"/>
  <c r="J548" i="49"/>
  <c r="J566" i="49" s="1"/>
  <c r="L114" i="45"/>
  <c r="L109" i="57"/>
  <c r="L392" i="19"/>
  <c r="M96" i="19"/>
  <c r="M97" i="19"/>
  <c r="M95" i="19"/>
  <c r="M94" i="19"/>
  <c r="M93" i="19"/>
  <c r="M86" i="61"/>
  <c r="M87" i="61"/>
  <c r="M378" i="45"/>
  <c r="M377" i="45"/>
  <c r="M370" i="19"/>
  <c r="M369" i="19"/>
  <c r="M372" i="19"/>
  <c r="M371" i="19"/>
  <c r="M368" i="19"/>
  <c r="K119" i="37"/>
  <c r="K72" i="27" s="1"/>
  <c r="L382" i="57"/>
  <c r="L408" i="57"/>
  <c r="L127" i="45"/>
  <c r="M74" i="77"/>
  <c r="M75" i="77"/>
  <c r="N800" i="61"/>
  <c r="N283" i="69"/>
  <c r="N538" i="69"/>
  <c r="N325" i="45"/>
  <c r="N288" i="61"/>
  <c r="N304" i="37"/>
  <c r="N579" i="19"/>
  <c r="N318" i="57"/>
  <c r="N545" i="61"/>
  <c r="N332" i="53"/>
  <c r="N304" i="49"/>
  <c r="N304" i="41"/>
  <c r="N304" i="19"/>
  <c r="N29" i="77"/>
  <c r="N29" i="49"/>
  <c r="N29" i="75"/>
  <c r="N29" i="57"/>
  <c r="N29" i="37"/>
  <c r="N29" i="45"/>
  <c r="N29" i="69"/>
  <c r="N29" i="53"/>
  <c r="N29" i="33"/>
  <c r="N29" i="41"/>
  <c r="N29" i="61"/>
  <c r="N29" i="29"/>
  <c r="N29" i="19"/>
  <c r="N29" i="18"/>
  <c r="L97" i="57"/>
  <c r="L125" i="57"/>
  <c r="L116" i="37"/>
  <c r="L89" i="61"/>
  <c r="L134" i="45"/>
  <c r="L211" i="75"/>
  <c r="L217" i="75"/>
  <c r="M89" i="33"/>
  <c r="M88" i="33"/>
  <c r="M607" i="69"/>
  <c r="M609" i="69"/>
  <c r="M608" i="69"/>
  <c r="M610" i="69"/>
  <c r="K133" i="57"/>
  <c r="K82" i="27" s="1"/>
  <c r="L617" i="69"/>
  <c r="L117" i="19"/>
  <c r="J277" i="49"/>
  <c r="J284" i="49" s="1"/>
  <c r="J273" i="49"/>
  <c r="J291" i="49" s="1"/>
  <c r="J827" i="19"/>
  <c r="J834" i="19" s="1"/>
  <c r="J823" i="19"/>
  <c r="J841" i="19" s="1"/>
  <c r="L390" i="19"/>
  <c r="M81" i="77"/>
  <c r="M82" i="77"/>
  <c r="J256" i="33"/>
  <c r="J263" i="33" s="1"/>
  <c r="J252" i="33"/>
  <c r="J270" i="33" s="1"/>
  <c r="L409" i="57"/>
  <c r="L612" i="69"/>
  <c r="M75" i="33"/>
  <c r="M74" i="33"/>
  <c r="M79" i="61"/>
  <c r="M80" i="61"/>
  <c r="L358" i="61"/>
  <c r="L130" i="57"/>
  <c r="L89" i="37"/>
  <c r="L113" i="37"/>
  <c r="L99" i="19"/>
  <c r="L665" i="19"/>
  <c r="L136" i="45"/>
  <c r="L214" i="75"/>
  <c r="L207" i="75"/>
  <c r="K224" i="75"/>
  <c r="K91" i="27" s="1"/>
  <c r="M88" i="77"/>
  <c r="M89" i="77"/>
  <c r="L96" i="61"/>
  <c r="L616" i="69"/>
  <c r="L594" i="69"/>
  <c r="L116" i="19"/>
  <c r="L659" i="19"/>
  <c r="L174" i="75"/>
  <c r="J518" i="61"/>
  <c r="J525" i="61" s="1"/>
  <c r="J514" i="61"/>
  <c r="J532" i="61" s="1"/>
  <c r="L95" i="77"/>
  <c r="L77" i="77"/>
  <c r="L121" i="57"/>
  <c r="L364" i="19"/>
  <c r="L404" i="57"/>
  <c r="L109" i="37"/>
  <c r="M82" i="33"/>
  <c r="M81" i="33"/>
  <c r="M645" i="19"/>
  <c r="M647" i="19"/>
  <c r="M643" i="19"/>
  <c r="M644" i="19"/>
  <c r="M646" i="19"/>
  <c r="L412" i="57"/>
  <c r="K394" i="45"/>
  <c r="K77" i="27" s="1"/>
  <c r="M633" i="19"/>
  <c r="M635" i="19"/>
  <c r="M636" i="19"/>
  <c r="M634" i="19"/>
  <c r="M637" i="19"/>
  <c r="M591" i="61"/>
  <c r="M592" i="61"/>
  <c r="L357" i="61"/>
  <c r="L339" i="61"/>
  <c r="L96" i="33"/>
  <c r="K98" i="33"/>
  <c r="K70" i="27" s="1"/>
  <c r="L639" i="19"/>
  <c r="L663" i="19"/>
  <c r="L133" i="45"/>
  <c r="L220" i="75"/>
  <c r="L210" i="75"/>
  <c r="M93" i="61"/>
  <c r="M94" i="61"/>
  <c r="M655" i="19"/>
  <c r="M654" i="19"/>
  <c r="M656" i="19"/>
  <c r="M653" i="19"/>
  <c r="M657" i="19"/>
  <c r="N802" i="61"/>
  <c r="N285" i="69"/>
  <c r="N540" i="69"/>
  <c r="N327" i="45"/>
  <c r="N547" i="61"/>
  <c r="N306" i="41"/>
  <c r="N290" i="61"/>
  <c r="N306" i="37"/>
  <c r="N581" i="19"/>
  <c r="N320" i="57"/>
  <c r="N334" i="53"/>
  <c r="N306" i="49"/>
  <c r="N306" i="19"/>
  <c r="N31" i="69"/>
  <c r="N31" i="77"/>
  <c r="N31" i="61"/>
  <c r="N31" i="41"/>
  <c r="N31" i="49"/>
  <c r="N31" i="75"/>
  <c r="N31" i="57"/>
  <c r="N31" i="37"/>
  <c r="N31" i="45"/>
  <c r="N31" i="33"/>
  <c r="N31" i="53"/>
  <c r="N31" i="29"/>
  <c r="N31" i="19"/>
  <c r="N31" i="18"/>
  <c r="L603" i="69"/>
  <c r="L113" i="19"/>
  <c r="L89" i="19"/>
  <c r="K415" i="57"/>
  <c r="K83" i="27" s="1"/>
  <c r="J291" i="57"/>
  <c r="J298" i="57" s="1"/>
  <c r="J287" i="57"/>
  <c r="J305" i="57" s="1"/>
  <c r="L388" i="19"/>
  <c r="L384" i="19"/>
  <c r="L82" i="61"/>
  <c r="L101" i="61"/>
  <c r="M356" i="37"/>
  <c r="L413" i="57"/>
  <c r="M349" i="37"/>
  <c r="M371" i="45"/>
  <c r="M370" i="45"/>
  <c r="L131" i="57"/>
  <c r="L77" i="33"/>
  <c r="L95" i="33"/>
  <c r="K103" i="61"/>
  <c r="K84" i="27" s="1"/>
  <c r="J1028" i="61"/>
  <c r="J1035" i="61" s="1"/>
  <c r="J1024" i="61"/>
  <c r="J1042" i="61" s="1"/>
  <c r="L137" i="45"/>
  <c r="L212" i="75"/>
  <c r="L209" i="75"/>
  <c r="L216" i="75"/>
  <c r="M105" i="37"/>
  <c r="M106" i="37"/>
  <c r="M103" i="37"/>
  <c r="M107" i="37"/>
  <c r="M104" i="37"/>
  <c r="M363" i="37"/>
  <c r="K119" i="19"/>
  <c r="K67" i="27" s="1"/>
  <c r="K140" i="45"/>
  <c r="K76" i="27" s="1"/>
  <c r="L594" i="61"/>
  <c r="L613" i="61"/>
  <c r="M94" i="37"/>
  <c r="M97" i="37"/>
  <c r="M96" i="37"/>
  <c r="M93" i="37"/>
  <c r="M95" i="37"/>
  <c r="M344" i="61"/>
  <c r="M343" i="61"/>
  <c r="N289" i="61"/>
  <c r="N305" i="37"/>
  <c r="N580" i="19"/>
  <c r="N305" i="49"/>
  <c r="N333" i="53"/>
  <c r="N305" i="19"/>
  <c r="N319" i="57"/>
  <c r="N801" i="61"/>
  <c r="N284" i="69"/>
  <c r="N326" i="45"/>
  <c r="N546" i="61"/>
  <c r="N305" i="41"/>
  <c r="N539" i="69"/>
  <c r="N30" i="75"/>
  <c r="N30" i="45"/>
  <c r="N30" i="69"/>
  <c r="N30" i="53"/>
  <c r="N30" i="33"/>
  <c r="N30" i="77"/>
  <c r="N30" i="61"/>
  <c r="N30" i="41"/>
  <c r="N30" i="49"/>
  <c r="N30" i="57"/>
  <c r="N30" i="29"/>
  <c r="N30" i="37"/>
  <c r="N30" i="18"/>
  <c r="N30" i="19"/>
  <c r="L99" i="37"/>
  <c r="K360" i="61"/>
  <c r="K85" i="27" s="1"/>
  <c r="L109" i="19"/>
  <c r="J511" i="69"/>
  <c r="J518" i="69" s="1"/>
  <c r="J507" i="69"/>
  <c r="J525" i="69" s="1"/>
  <c r="M93" i="45"/>
  <c r="M97" i="45"/>
  <c r="M98" i="45"/>
  <c r="M99" i="45"/>
  <c r="M92" i="45"/>
  <c r="M96" i="45"/>
  <c r="M95" i="45"/>
  <c r="M94" i="45"/>
  <c r="M380" i="57"/>
  <c r="M375" i="57"/>
  <c r="M377" i="57"/>
  <c r="M376" i="57"/>
  <c r="M378" i="57"/>
  <c r="M379" i="57"/>
  <c r="M591" i="69"/>
  <c r="M589" i="69"/>
  <c r="M590" i="69"/>
  <c r="M592" i="69"/>
  <c r="L126" i="57"/>
  <c r="K621" i="69"/>
  <c r="K90" i="27" s="1"/>
  <c r="L370" i="37"/>
  <c r="L863" i="61"/>
  <c r="L849" i="61"/>
  <c r="L868" i="61"/>
  <c r="L132" i="45"/>
  <c r="L222" i="75"/>
  <c r="L206" i="75"/>
  <c r="L205" i="75"/>
  <c r="J326" i="29"/>
  <c r="J333" i="29" s="1"/>
  <c r="J322" i="29"/>
  <c r="J340" i="29" s="1"/>
  <c r="J301" i="53"/>
  <c r="J319" i="53" s="1"/>
  <c r="J305" i="53"/>
  <c r="J312" i="53" s="1"/>
  <c r="M402" i="57"/>
  <c r="M397" i="57"/>
  <c r="M398" i="57"/>
  <c r="M400" i="57"/>
  <c r="M401" i="57"/>
  <c r="M399" i="57"/>
  <c r="M350" i="61"/>
  <c r="M351" i="61"/>
  <c r="K669" i="19"/>
  <c r="K71" i="27" s="1"/>
  <c r="J416" i="69" l="1"/>
  <c r="J529" i="69" s="1"/>
  <c r="J203" i="45"/>
  <c r="J315" i="45" s="1"/>
  <c r="J162" i="19"/>
  <c r="J182" i="37"/>
  <c r="J294" i="37" s="1"/>
  <c r="J183" i="45"/>
  <c r="J416" i="37"/>
  <c r="J396" i="69"/>
  <c r="L409" i="45"/>
  <c r="L407" i="45"/>
  <c r="L415" i="45"/>
  <c r="L416" i="45"/>
  <c r="L401" i="45"/>
  <c r="L413" i="45"/>
  <c r="L402" i="45"/>
  <c r="L414" i="45"/>
  <c r="L406" i="45"/>
  <c r="L410" i="45"/>
  <c r="L408" i="45"/>
  <c r="L411" i="45"/>
  <c r="L412" i="45"/>
  <c r="L403" i="45"/>
  <c r="L404" i="45"/>
  <c r="L405" i="45"/>
  <c r="L403" i="19"/>
  <c r="L402" i="19"/>
  <c r="L405" i="19"/>
  <c r="L408" i="19"/>
  <c r="L406" i="19"/>
  <c r="L409" i="19"/>
  <c r="L411" i="19"/>
  <c r="L415" i="19"/>
  <c r="L404" i="19"/>
  <c r="L410" i="19"/>
  <c r="L413" i="19"/>
  <c r="L416" i="19"/>
  <c r="L414" i="19"/>
  <c r="L412" i="19"/>
  <c r="L401" i="19"/>
  <c r="L407" i="19"/>
  <c r="L141" i="37"/>
  <c r="L126" i="37"/>
  <c r="L137" i="37"/>
  <c r="L140" i="37"/>
  <c r="L130" i="37"/>
  <c r="L135" i="37"/>
  <c r="L134" i="37"/>
  <c r="L128" i="37"/>
  <c r="L127" i="37"/>
  <c r="L131" i="37"/>
  <c r="L133" i="37"/>
  <c r="L136" i="37"/>
  <c r="L129" i="37"/>
  <c r="L132" i="37"/>
  <c r="L139" i="37"/>
  <c r="L138" i="37"/>
  <c r="K229" i="29"/>
  <c r="K209" i="29"/>
  <c r="K222" i="29"/>
  <c r="K202" i="29"/>
  <c r="K429" i="37"/>
  <c r="K409" i="37"/>
  <c r="K430" i="37"/>
  <c r="K410" i="37"/>
  <c r="K407" i="61"/>
  <c r="K387" i="61"/>
  <c r="K383" i="61"/>
  <c r="K530" i="61" s="1"/>
  <c r="K413" i="61"/>
  <c r="K393" i="61"/>
  <c r="K174" i="37"/>
  <c r="K154" i="37"/>
  <c r="K175" i="37"/>
  <c r="K155" i="37"/>
  <c r="K931" i="61"/>
  <c r="K911" i="61"/>
  <c r="K919" i="61"/>
  <c r="K899" i="61"/>
  <c r="K441" i="49"/>
  <c r="K421" i="49"/>
  <c r="K417" i="49"/>
  <c r="K564" i="49" s="1"/>
  <c r="K453" i="49"/>
  <c r="K433" i="49"/>
  <c r="K149" i="69"/>
  <c r="K129" i="69"/>
  <c r="K146" i="69"/>
  <c r="K126" i="69"/>
  <c r="K424" i="45"/>
  <c r="K444" i="45"/>
  <c r="K427" i="45"/>
  <c r="K447" i="45"/>
  <c r="K158" i="77"/>
  <c r="K138" i="77"/>
  <c r="K154" i="77"/>
  <c r="K134" i="77"/>
  <c r="K204" i="53"/>
  <c r="K184" i="53"/>
  <c r="K201" i="53"/>
  <c r="K181" i="53"/>
  <c r="K443" i="57"/>
  <c r="K463" i="57"/>
  <c r="K451" i="57"/>
  <c r="K471" i="57"/>
  <c r="K457" i="41"/>
  <c r="K437" i="41"/>
  <c r="K458" i="41"/>
  <c r="K438" i="41"/>
  <c r="K169" i="41"/>
  <c r="K149" i="41"/>
  <c r="K180" i="41"/>
  <c r="K160" i="41"/>
  <c r="K720" i="19"/>
  <c r="K700" i="19"/>
  <c r="K727" i="19"/>
  <c r="K707" i="19"/>
  <c r="K256" i="75"/>
  <c r="K276" i="75"/>
  <c r="K275" i="75"/>
  <c r="K255" i="75"/>
  <c r="K676" i="61"/>
  <c r="K656" i="61"/>
  <c r="K642" i="61"/>
  <c r="K638" i="61"/>
  <c r="K785" i="61" s="1"/>
  <c r="K662" i="61"/>
  <c r="K194" i="45"/>
  <c r="K174" i="45"/>
  <c r="K202" i="45"/>
  <c r="K182" i="45"/>
  <c r="K448" i="19"/>
  <c r="K428" i="19"/>
  <c r="K442" i="19"/>
  <c r="K422" i="19"/>
  <c r="K672" i="69"/>
  <c r="K652" i="69"/>
  <c r="K674" i="69"/>
  <c r="K654" i="69"/>
  <c r="K166" i="49"/>
  <c r="K146" i="49"/>
  <c r="K142" i="49"/>
  <c r="K289" i="49" s="1"/>
  <c r="K170" i="49"/>
  <c r="K150" i="49"/>
  <c r="K175" i="19"/>
  <c r="K155" i="19"/>
  <c r="K167" i="19"/>
  <c r="K147" i="19"/>
  <c r="J493" i="53"/>
  <c r="J658" i="61"/>
  <c r="K507" i="53"/>
  <c r="K487" i="53"/>
  <c r="K499" i="53"/>
  <c r="K479" i="53"/>
  <c r="K412" i="69"/>
  <c r="K392" i="69"/>
  <c r="K403" i="69"/>
  <c r="K383" i="69"/>
  <c r="K190" i="57"/>
  <c r="K170" i="57"/>
  <c r="K183" i="57"/>
  <c r="K163" i="57"/>
  <c r="K152" i="33"/>
  <c r="K132" i="33"/>
  <c r="K147" i="33"/>
  <c r="K127" i="33"/>
  <c r="K155" i="61"/>
  <c r="K135" i="61"/>
  <c r="K163" i="61"/>
  <c r="K143" i="61"/>
  <c r="L407" i="49"/>
  <c r="L403" i="49"/>
  <c r="L411" i="49"/>
  <c r="L413" i="49"/>
  <c r="L402" i="49"/>
  <c r="L404" i="49"/>
  <c r="L415" i="49"/>
  <c r="L405" i="49"/>
  <c r="L406" i="49"/>
  <c r="L401" i="49"/>
  <c r="L410" i="49"/>
  <c r="L412" i="49"/>
  <c r="L414" i="49"/>
  <c r="L416" i="49"/>
  <c r="L409" i="49"/>
  <c r="L408" i="49"/>
  <c r="J913" i="61"/>
  <c r="J182" i="19"/>
  <c r="J294" i="19" s="1"/>
  <c r="K198" i="29"/>
  <c r="K218" i="29"/>
  <c r="K215" i="29"/>
  <c r="K195" i="29"/>
  <c r="K191" i="29"/>
  <c r="K338" i="29" s="1"/>
  <c r="K426" i="37"/>
  <c r="K406" i="37"/>
  <c r="K427" i="37"/>
  <c r="K407" i="37"/>
  <c r="K418" i="61"/>
  <c r="K398" i="61"/>
  <c r="K419" i="61"/>
  <c r="K399" i="61"/>
  <c r="K171" i="37"/>
  <c r="K151" i="37"/>
  <c r="K172" i="37"/>
  <c r="K152" i="37"/>
  <c r="K917" i="61"/>
  <c r="K897" i="61"/>
  <c r="K893" i="61"/>
  <c r="K1040" i="61" s="1"/>
  <c r="K921" i="61"/>
  <c r="K901" i="61"/>
  <c r="J451" i="41"/>
  <c r="K426" i="49"/>
  <c r="K446" i="49"/>
  <c r="K449" i="49"/>
  <c r="K429" i="49"/>
  <c r="K158" i="69"/>
  <c r="K138" i="69"/>
  <c r="K134" i="69"/>
  <c r="K154" i="69"/>
  <c r="K448" i="45"/>
  <c r="K428" i="45"/>
  <c r="K449" i="45"/>
  <c r="K429" i="45"/>
  <c r="K145" i="77"/>
  <c r="K125" i="77"/>
  <c r="K121" i="77"/>
  <c r="K268" i="77" s="1"/>
  <c r="K155" i="77"/>
  <c r="K135" i="77"/>
  <c r="J161" i="69"/>
  <c r="J273" i="69" s="1"/>
  <c r="K209" i="53"/>
  <c r="K189" i="53"/>
  <c r="K195" i="53"/>
  <c r="K175" i="53"/>
  <c r="K467" i="57"/>
  <c r="K447" i="57"/>
  <c r="K468" i="57"/>
  <c r="K448" i="57"/>
  <c r="K464" i="41"/>
  <c r="K444" i="41"/>
  <c r="K459" i="41"/>
  <c r="K439" i="41"/>
  <c r="K166" i="41"/>
  <c r="K146" i="41"/>
  <c r="K142" i="41"/>
  <c r="K289" i="41" s="1"/>
  <c r="K177" i="41"/>
  <c r="K157" i="41"/>
  <c r="K724" i="19"/>
  <c r="K704" i="19"/>
  <c r="K721" i="19"/>
  <c r="K701" i="19"/>
  <c r="K283" i="75"/>
  <c r="K263" i="75"/>
  <c r="K274" i="75"/>
  <c r="K254" i="75"/>
  <c r="K673" i="61"/>
  <c r="K653" i="61"/>
  <c r="K669" i="61"/>
  <c r="K649" i="61"/>
  <c r="J664" i="69"/>
  <c r="K195" i="45"/>
  <c r="K175" i="45"/>
  <c r="K191" i="45"/>
  <c r="K171" i="45"/>
  <c r="K445" i="19"/>
  <c r="K425" i="19"/>
  <c r="K456" i="19"/>
  <c r="K436" i="19"/>
  <c r="J423" i="61"/>
  <c r="J536" i="61" s="1"/>
  <c r="K682" i="69"/>
  <c r="K662" i="69"/>
  <c r="K675" i="69"/>
  <c r="K655" i="69"/>
  <c r="K181" i="49"/>
  <c r="K161" i="49"/>
  <c r="K167" i="49"/>
  <c r="K147" i="49"/>
  <c r="K172" i="19"/>
  <c r="K152" i="19"/>
  <c r="K180" i="19"/>
  <c r="K160" i="19"/>
  <c r="J513" i="53"/>
  <c r="J626" i="53" s="1"/>
  <c r="K504" i="53"/>
  <c r="K484" i="53"/>
  <c r="K497" i="53"/>
  <c r="K477" i="53"/>
  <c r="K473" i="53"/>
  <c r="K620" i="53" s="1"/>
  <c r="K406" i="69"/>
  <c r="K386" i="69"/>
  <c r="K415" i="69"/>
  <c r="K395" i="69"/>
  <c r="K195" i="57"/>
  <c r="K175" i="57"/>
  <c r="K193" i="57"/>
  <c r="K173" i="57"/>
  <c r="K149" i="33"/>
  <c r="K129" i="33"/>
  <c r="K160" i="33"/>
  <c r="K140" i="33"/>
  <c r="K151" i="61"/>
  <c r="K131" i="61"/>
  <c r="K154" i="61"/>
  <c r="K134" i="61"/>
  <c r="L370" i="61"/>
  <c r="L373" i="61"/>
  <c r="L380" i="61"/>
  <c r="L369" i="61"/>
  <c r="L371" i="61"/>
  <c r="L374" i="61"/>
  <c r="L367" i="61"/>
  <c r="L375" i="61"/>
  <c r="L372" i="61"/>
  <c r="L378" i="61"/>
  <c r="L381" i="61"/>
  <c r="L377" i="61"/>
  <c r="L379" i="61"/>
  <c r="L382" i="61"/>
  <c r="L376" i="61"/>
  <c r="L368" i="61"/>
  <c r="L145" i="57"/>
  <c r="L147" i="57"/>
  <c r="L153" i="57"/>
  <c r="L151" i="57"/>
  <c r="L152" i="57"/>
  <c r="L154" i="57"/>
  <c r="L149" i="57"/>
  <c r="L144" i="57"/>
  <c r="L142" i="57"/>
  <c r="L143" i="57"/>
  <c r="L155" i="57"/>
  <c r="L150" i="57"/>
  <c r="L140" i="57"/>
  <c r="L146" i="57"/>
  <c r="L148" i="57"/>
  <c r="L141" i="57"/>
  <c r="L437" i="57"/>
  <c r="L427" i="57"/>
  <c r="L430" i="57"/>
  <c r="L433" i="57"/>
  <c r="L436" i="57"/>
  <c r="L424" i="57"/>
  <c r="L423" i="57"/>
  <c r="L426" i="57"/>
  <c r="L435" i="57"/>
  <c r="L429" i="57"/>
  <c r="L432" i="57"/>
  <c r="L422" i="57"/>
  <c r="L425" i="57"/>
  <c r="L428" i="57"/>
  <c r="L431" i="57"/>
  <c r="L434" i="57"/>
  <c r="L237" i="75"/>
  <c r="L239" i="75"/>
  <c r="L240" i="75"/>
  <c r="L233" i="75"/>
  <c r="L242" i="75"/>
  <c r="L238" i="75"/>
  <c r="L235" i="75"/>
  <c r="L245" i="75"/>
  <c r="L244" i="75"/>
  <c r="L243" i="75"/>
  <c r="L241" i="75"/>
  <c r="L246" i="75"/>
  <c r="L231" i="75"/>
  <c r="L232" i="75"/>
  <c r="L236" i="75"/>
  <c r="L234" i="75"/>
  <c r="L106" i="69"/>
  <c r="L117" i="69"/>
  <c r="L110" i="69"/>
  <c r="L115" i="69"/>
  <c r="L118" i="69"/>
  <c r="L113" i="69"/>
  <c r="L112" i="69"/>
  <c r="L107" i="69"/>
  <c r="L120" i="69"/>
  <c r="L108" i="69"/>
  <c r="L111" i="69"/>
  <c r="L114" i="69"/>
  <c r="L105" i="69"/>
  <c r="L116" i="69"/>
  <c r="L109" i="69"/>
  <c r="L119" i="69"/>
  <c r="L420" i="41"/>
  <c r="L426" i="41"/>
  <c r="L418" i="41"/>
  <c r="L430" i="41"/>
  <c r="L428" i="41"/>
  <c r="L419" i="41"/>
  <c r="L427" i="41"/>
  <c r="L423" i="41"/>
  <c r="L425" i="41"/>
  <c r="L424" i="41"/>
  <c r="L421" i="41"/>
  <c r="L417" i="41"/>
  <c r="L429" i="41"/>
  <c r="L415" i="41"/>
  <c r="L422" i="41"/>
  <c r="L416" i="41"/>
  <c r="J162" i="37"/>
  <c r="J933" i="61"/>
  <c r="J1046" i="61" s="1"/>
  <c r="K230" i="29"/>
  <c r="K210" i="29"/>
  <c r="K227" i="29"/>
  <c r="K207" i="29"/>
  <c r="K423" i="37"/>
  <c r="K403" i="37"/>
  <c r="K424" i="37"/>
  <c r="K404" i="37"/>
  <c r="K421" i="61"/>
  <c r="K401" i="61"/>
  <c r="K411" i="61"/>
  <c r="K391" i="61"/>
  <c r="K168" i="37"/>
  <c r="K148" i="37"/>
  <c r="K169" i="37"/>
  <c r="K149" i="37"/>
  <c r="K927" i="61"/>
  <c r="K907" i="61"/>
  <c r="K926" i="61"/>
  <c r="K906" i="61"/>
  <c r="J267" i="75"/>
  <c r="J471" i="41"/>
  <c r="J583" i="41" s="1"/>
  <c r="K452" i="49"/>
  <c r="K432" i="49"/>
  <c r="K444" i="49"/>
  <c r="K424" i="49"/>
  <c r="K145" i="69"/>
  <c r="K125" i="69"/>
  <c r="K121" i="69"/>
  <c r="K268" i="69" s="1"/>
  <c r="K156" i="69"/>
  <c r="K136" i="69"/>
  <c r="K446" i="45"/>
  <c r="K426" i="45"/>
  <c r="K441" i="45"/>
  <c r="K421" i="45"/>
  <c r="K417" i="45"/>
  <c r="K564" i="45" s="1"/>
  <c r="K147" i="77"/>
  <c r="K127" i="77"/>
  <c r="K160" i="77"/>
  <c r="K140" i="77"/>
  <c r="J141" i="69"/>
  <c r="K203" i="53"/>
  <c r="K183" i="53"/>
  <c r="K194" i="53"/>
  <c r="K174" i="53"/>
  <c r="K170" i="53"/>
  <c r="K317" i="53" s="1"/>
  <c r="K464" i="57"/>
  <c r="K444" i="57"/>
  <c r="K465" i="57"/>
  <c r="K445" i="57"/>
  <c r="K456" i="41"/>
  <c r="K436" i="41"/>
  <c r="K467" i="41"/>
  <c r="K447" i="41"/>
  <c r="K179" i="41"/>
  <c r="K159" i="41"/>
  <c r="K174" i="41"/>
  <c r="K154" i="41"/>
  <c r="K729" i="19"/>
  <c r="K709" i="19"/>
  <c r="K728" i="19"/>
  <c r="K708" i="19"/>
  <c r="K282" i="75"/>
  <c r="K262" i="75"/>
  <c r="K252" i="75"/>
  <c r="K272" i="75"/>
  <c r="K650" i="61"/>
  <c r="K670" i="61"/>
  <c r="K655" i="61"/>
  <c r="K675" i="61"/>
  <c r="J684" i="69"/>
  <c r="J797" i="69" s="1"/>
  <c r="K192" i="45"/>
  <c r="K172" i="45"/>
  <c r="K188" i="45"/>
  <c r="K168" i="45"/>
  <c r="K454" i="19"/>
  <c r="K434" i="19"/>
  <c r="K453" i="19"/>
  <c r="K433" i="19"/>
  <c r="K676" i="69"/>
  <c r="K656" i="69"/>
  <c r="K673" i="69"/>
  <c r="K653" i="69"/>
  <c r="K178" i="49"/>
  <c r="K158" i="49"/>
  <c r="K177" i="49"/>
  <c r="K157" i="49"/>
  <c r="K169" i="19"/>
  <c r="K149" i="19"/>
  <c r="K177" i="19"/>
  <c r="K157" i="19"/>
  <c r="J678" i="61"/>
  <c r="J791" i="61" s="1"/>
  <c r="K501" i="53"/>
  <c r="K481" i="53"/>
  <c r="K512" i="53"/>
  <c r="K492" i="53"/>
  <c r="K411" i="69"/>
  <c r="K391" i="69"/>
  <c r="K409" i="69"/>
  <c r="K389" i="69"/>
  <c r="K185" i="57"/>
  <c r="K165" i="57"/>
  <c r="K184" i="57"/>
  <c r="K164" i="57"/>
  <c r="K146" i="33"/>
  <c r="K126" i="33"/>
  <c r="K157" i="33"/>
  <c r="K137" i="33"/>
  <c r="K153" i="61"/>
  <c r="K133" i="61"/>
  <c r="K161" i="61"/>
  <c r="K141" i="61"/>
  <c r="K223" i="29"/>
  <c r="K203" i="29"/>
  <c r="K216" i="29"/>
  <c r="K196" i="29"/>
  <c r="K420" i="37"/>
  <c r="K400" i="37"/>
  <c r="K396" i="37"/>
  <c r="K543" i="37" s="1"/>
  <c r="K434" i="37"/>
  <c r="K414" i="37"/>
  <c r="K415" i="61"/>
  <c r="K395" i="61"/>
  <c r="K409" i="61"/>
  <c r="K389" i="61"/>
  <c r="K180" i="37"/>
  <c r="K160" i="37"/>
  <c r="K179" i="37"/>
  <c r="K159" i="37"/>
  <c r="K929" i="61"/>
  <c r="K909" i="61"/>
  <c r="K922" i="61"/>
  <c r="K902" i="61"/>
  <c r="J437" i="19"/>
  <c r="J287" i="75"/>
  <c r="J400" i="75" s="1"/>
  <c r="K431" i="49"/>
  <c r="K451" i="49"/>
  <c r="K450" i="49"/>
  <c r="K430" i="49"/>
  <c r="K157" i="69"/>
  <c r="K137" i="69"/>
  <c r="K150" i="69"/>
  <c r="K130" i="69"/>
  <c r="K453" i="45"/>
  <c r="K433" i="45"/>
  <c r="K451" i="45"/>
  <c r="K431" i="45"/>
  <c r="K151" i="77"/>
  <c r="K131" i="77"/>
  <c r="K153" i="77"/>
  <c r="K133" i="77"/>
  <c r="K197" i="53"/>
  <c r="K177" i="53"/>
  <c r="K199" i="53"/>
  <c r="K179" i="53"/>
  <c r="K456" i="57"/>
  <c r="K476" i="57"/>
  <c r="K442" i="57"/>
  <c r="K462" i="57"/>
  <c r="K438" i="57"/>
  <c r="K585" i="57" s="1"/>
  <c r="K461" i="41"/>
  <c r="K441" i="41"/>
  <c r="K468" i="41"/>
  <c r="K448" i="41"/>
  <c r="K176" i="41"/>
  <c r="K156" i="41"/>
  <c r="K168" i="41"/>
  <c r="K148" i="41"/>
  <c r="K718" i="19"/>
  <c r="K698" i="19"/>
  <c r="K717" i="19"/>
  <c r="K697" i="19"/>
  <c r="K280" i="75"/>
  <c r="K260" i="75"/>
  <c r="K271" i="75"/>
  <c r="K251" i="75"/>
  <c r="K247" i="75"/>
  <c r="K394" i="75" s="1"/>
  <c r="K677" i="61"/>
  <c r="K657" i="61"/>
  <c r="K672" i="61"/>
  <c r="K652" i="61"/>
  <c r="K200" i="45"/>
  <c r="K180" i="45"/>
  <c r="K196" i="45"/>
  <c r="K176" i="45"/>
  <c r="K450" i="19"/>
  <c r="K430" i="19"/>
  <c r="K444" i="19"/>
  <c r="K424" i="19"/>
  <c r="J403" i="61"/>
  <c r="K670" i="69"/>
  <c r="K650" i="69"/>
  <c r="K679" i="69"/>
  <c r="K659" i="69"/>
  <c r="K175" i="49"/>
  <c r="K155" i="49"/>
  <c r="K174" i="49"/>
  <c r="K154" i="49"/>
  <c r="K166" i="19"/>
  <c r="K146" i="19"/>
  <c r="K142" i="19"/>
  <c r="K289" i="19" s="1"/>
  <c r="K174" i="19"/>
  <c r="K154" i="19"/>
  <c r="K478" i="53"/>
  <c r="K498" i="53"/>
  <c r="K509" i="53"/>
  <c r="K489" i="53"/>
  <c r="K405" i="69"/>
  <c r="K385" i="69"/>
  <c r="K414" i="69"/>
  <c r="K394" i="69"/>
  <c r="K182" i="57"/>
  <c r="K162" i="57"/>
  <c r="K181" i="57"/>
  <c r="K161" i="57"/>
  <c r="K155" i="33"/>
  <c r="K135" i="33"/>
  <c r="K154" i="33"/>
  <c r="K134" i="33"/>
  <c r="K152" i="61"/>
  <c r="K132" i="61"/>
  <c r="K159" i="61"/>
  <c r="K139" i="61"/>
  <c r="L107" i="33"/>
  <c r="L110" i="33"/>
  <c r="L113" i="33"/>
  <c r="L116" i="33"/>
  <c r="L119" i="33"/>
  <c r="L112" i="33"/>
  <c r="L106" i="33"/>
  <c r="L109" i="33"/>
  <c r="L115" i="33"/>
  <c r="L118" i="33"/>
  <c r="L120" i="33"/>
  <c r="L105" i="33"/>
  <c r="L108" i="33"/>
  <c r="L111" i="33"/>
  <c r="L114" i="33"/>
  <c r="L117" i="33"/>
  <c r="L682" i="19"/>
  <c r="L686" i="19"/>
  <c r="L681" i="19"/>
  <c r="L677" i="19"/>
  <c r="L688" i="19"/>
  <c r="L676" i="19"/>
  <c r="L679" i="19"/>
  <c r="L690" i="19"/>
  <c r="L683" i="19"/>
  <c r="L689" i="19"/>
  <c r="L685" i="19"/>
  <c r="L678" i="19"/>
  <c r="L684" i="19"/>
  <c r="L687" i="19"/>
  <c r="L691" i="19"/>
  <c r="L680" i="19"/>
  <c r="L153" i="45"/>
  <c r="L149" i="45"/>
  <c r="L152" i="45"/>
  <c r="L151" i="45"/>
  <c r="L154" i="45"/>
  <c r="L147" i="45"/>
  <c r="L150" i="45"/>
  <c r="L161" i="45"/>
  <c r="L157" i="45"/>
  <c r="L148" i="45"/>
  <c r="L159" i="45"/>
  <c r="L162" i="45"/>
  <c r="L155" i="45"/>
  <c r="L158" i="45"/>
  <c r="L156" i="45"/>
  <c r="L160" i="45"/>
  <c r="L637" i="61"/>
  <c r="L634" i="61"/>
  <c r="L627" i="61"/>
  <c r="L630" i="61"/>
  <c r="L633" i="61"/>
  <c r="L628" i="61"/>
  <c r="L631" i="61"/>
  <c r="L624" i="61"/>
  <c r="L635" i="61"/>
  <c r="L636" i="61"/>
  <c r="L629" i="61"/>
  <c r="L632" i="61"/>
  <c r="L626" i="61"/>
  <c r="L622" i="61"/>
  <c r="L625" i="61"/>
  <c r="L623" i="61"/>
  <c r="M171" i="18"/>
  <c r="K224" i="29"/>
  <c r="K204" i="29"/>
  <c r="K226" i="29"/>
  <c r="K206" i="29"/>
  <c r="K435" i="37"/>
  <c r="K415" i="37"/>
  <c r="K431" i="37"/>
  <c r="K411" i="37"/>
  <c r="K417" i="61"/>
  <c r="K397" i="61"/>
  <c r="K408" i="61"/>
  <c r="K388" i="61"/>
  <c r="K166" i="37"/>
  <c r="K142" i="37"/>
  <c r="K289" i="37" s="1"/>
  <c r="K146" i="37"/>
  <c r="K181" i="37"/>
  <c r="K161" i="37"/>
  <c r="K920" i="61"/>
  <c r="K900" i="61"/>
  <c r="K924" i="61"/>
  <c r="K904" i="61"/>
  <c r="J457" i="19"/>
  <c r="J570" i="19" s="1"/>
  <c r="K448" i="49"/>
  <c r="K428" i="49"/>
  <c r="K445" i="49"/>
  <c r="K425" i="49"/>
  <c r="K155" i="69"/>
  <c r="K135" i="69"/>
  <c r="K152" i="69"/>
  <c r="K132" i="69"/>
  <c r="K442" i="45"/>
  <c r="K422" i="45"/>
  <c r="K435" i="45"/>
  <c r="K455" i="45"/>
  <c r="K146" i="77"/>
  <c r="K126" i="77"/>
  <c r="K159" i="77"/>
  <c r="K139" i="77"/>
  <c r="J437" i="49"/>
  <c r="J141" i="33"/>
  <c r="K202" i="53"/>
  <c r="K182" i="53"/>
  <c r="K206" i="53"/>
  <c r="K186" i="53"/>
  <c r="K473" i="57"/>
  <c r="K453" i="57"/>
  <c r="K475" i="57"/>
  <c r="K455" i="57"/>
  <c r="K466" i="41"/>
  <c r="K446" i="41"/>
  <c r="K469" i="41"/>
  <c r="K449" i="41"/>
  <c r="K181" i="41"/>
  <c r="K161" i="41"/>
  <c r="K173" i="41"/>
  <c r="K153" i="41"/>
  <c r="K726" i="19"/>
  <c r="K706" i="19"/>
  <c r="K725" i="19"/>
  <c r="K705" i="19"/>
  <c r="K259" i="75"/>
  <c r="K279" i="75"/>
  <c r="K266" i="75"/>
  <c r="K286" i="75"/>
  <c r="K667" i="61"/>
  <c r="K647" i="61"/>
  <c r="K646" i="61"/>
  <c r="K666" i="61"/>
  <c r="K199" i="45"/>
  <c r="K179" i="45"/>
  <c r="K189" i="45"/>
  <c r="K169" i="45"/>
  <c r="K447" i="19"/>
  <c r="K427" i="19"/>
  <c r="K441" i="19"/>
  <c r="K421" i="19"/>
  <c r="K417" i="19"/>
  <c r="K564" i="19" s="1"/>
  <c r="K677" i="69"/>
  <c r="K657" i="69"/>
  <c r="K683" i="69"/>
  <c r="K663" i="69"/>
  <c r="J176" i="57"/>
  <c r="J161" i="77"/>
  <c r="J274" i="77" s="1"/>
  <c r="J146" i="61"/>
  <c r="K179" i="49"/>
  <c r="K159" i="49"/>
  <c r="K171" i="49"/>
  <c r="K151" i="49"/>
  <c r="K179" i="19"/>
  <c r="K159" i="19"/>
  <c r="K171" i="19"/>
  <c r="K151" i="19"/>
  <c r="J162" i="49"/>
  <c r="K505" i="53"/>
  <c r="K485" i="53"/>
  <c r="K506" i="53"/>
  <c r="K486" i="53"/>
  <c r="K402" i="69"/>
  <c r="K382" i="69"/>
  <c r="K413" i="69"/>
  <c r="K393" i="69"/>
  <c r="K192" i="57"/>
  <c r="K172" i="57"/>
  <c r="K188" i="57"/>
  <c r="K168" i="57"/>
  <c r="K159" i="33"/>
  <c r="K139" i="33"/>
  <c r="K151" i="33"/>
  <c r="K131" i="33"/>
  <c r="K162" i="61"/>
  <c r="K142" i="61"/>
  <c r="K160" i="61"/>
  <c r="K140" i="61"/>
  <c r="L632" i="69"/>
  <c r="L638" i="69"/>
  <c r="L642" i="69"/>
  <c r="L640" i="69"/>
  <c r="L639" i="69"/>
  <c r="L631" i="69"/>
  <c r="L633" i="69"/>
  <c r="L629" i="69"/>
  <c r="L635" i="69"/>
  <c r="L628" i="69"/>
  <c r="L641" i="69"/>
  <c r="L637" i="69"/>
  <c r="L643" i="69"/>
  <c r="L630" i="69"/>
  <c r="L636" i="69"/>
  <c r="L634" i="69"/>
  <c r="L372" i="69"/>
  <c r="L360" i="69"/>
  <c r="L361" i="69"/>
  <c r="L374" i="69"/>
  <c r="L362" i="69"/>
  <c r="L368" i="69"/>
  <c r="L363" i="69"/>
  <c r="L369" i="69"/>
  <c r="L365" i="69"/>
  <c r="L364" i="69"/>
  <c r="L370" i="69"/>
  <c r="L371" i="69"/>
  <c r="L366" i="69"/>
  <c r="L375" i="69"/>
  <c r="L367" i="69"/>
  <c r="L373" i="69"/>
  <c r="L136" i="19"/>
  <c r="L139" i="19"/>
  <c r="L126" i="19"/>
  <c r="L129" i="19"/>
  <c r="L132" i="19"/>
  <c r="L135" i="19"/>
  <c r="L138" i="19"/>
  <c r="L141" i="19"/>
  <c r="L128" i="19"/>
  <c r="L131" i="19"/>
  <c r="L134" i="19"/>
  <c r="L137" i="19"/>
  <c r="L140" i="19"/>
  <c r="L127" i="19"/>
  <c r="L130" i="19"/>
  <c r="L133" i="19"/>
  <c r="L179" i="29"/>
  <c r="L178" i="29"/>
  <c r="L185" i="29"/>
  <c r="L181" i="29"/>
  <c r="L180" i="29"/>
  <c r="L187" i="29"/>
  <c r="L175" i="29"/>
  <c r="L186" i="29"/>
  <c r="L176" i="29"/>
  <c r="L182" i="29"/>
  <c r="L189" i="29"/>
  <c r="L188" i="29"/>
  <c r="L177" i="29"/>
  <c r="L184" i="29"/>
  <c r="L190" i="29"/>
  <c r="L183" i="29"/>
  <c r="L127" i="41"/>
  <c r="L130" i="41"/>
  <c r="L133" i="41"/>
  <c r="L139" i="41"/>
  <c r="L136" i="41"/>
  <c r="L126" i="41"/>
  <c r="L129" i="41"/>
  <c r="L132" i="41"/>
  <c r="L135" i="41"/>
  <c r="L138" i="41"/>
  <c r="L141" i="41"/>
  <c r="L131" i="41"/>
  <c r="L134" i="41"/>
  <c r="L137" i="41"/>
  <c r="L140" i="41"/>
  <c r="L128" i="41"/>
  <c r="K228" i="29"/>
  <c r="K208" i="29"/>
  <c r="K220" i="29"/>
  <c r="K200" i="29"/>
  <c r="K432" i="37"/>
  <c r="K412" i="37"/>
  <c r="K428" i="37"/>
  <c r="K408" i="37"/>
  <c r="K414" i="61"/>
  <c r="K394" i="61"/>
  <c r="K410" i="61"/>
  <c r="K390" i="61"/>
  <c r="K177" i="37"/>
  <c r="K157" i="37"/>
  <c r="K176" i="37"/>
  <c r="K156" i="37"/>
  <c r="K930" i="61"/>
  <c r="K910" i="61"/>
  <c r="K925" i="61"/>
  <c r="K905" i="61"/>
  <c r="K447" i="49"/>
  <c r="K427" i="49"/>
  <c r="K455" i="49"/>
  <c r="K435" i="49"/>
  <c r="K160" i="69"/>
  <c r="K140" i="69"/>
  <c r="K153" i="69"/>
  <c r="K133" i="69"/>
  <c r="K443" i="45"/>
  <c r="K423" i="45"/>
  <c r="K454" i="45"/>
  <c r="K434" i="45"/>
  <c r="K129" i="77"/>
  <c r="K149" i="77"/>
  <c r="K157" i="77"/>
  <c r="K137" i="77"/>
  <c r="J437" i="45"/>
  <c r="J161" i="33"/>
  <c r="J274" i="33" s="1"/>
  <c r="K207" i="53"/>
  <c r="K187" i="53"/>
  <c r="K180" i="53"/>
  <c r="K200" i="53"/>
  <c r="K470" i="57"/>
  <c r="K450" i="57"/>
  <c r="K472" i="57"/>
  <c r="K452" i="57"/>
  <c r="K460" i="41"/>
  <c r="K440" i="41"/>
  <c r="K462" i="41"/>
  <c r="K442" i="41"/>
  <c r="K178" i="41"/>
  <c r="K158" i="41"/>
  <c r="K170" i="41"/>
  <c r="K150" i="41"/>
  <c r="K722" i="19"/>
  <c r="K702" i="19"/>
  <c r="K723" i="19"/>
  <c r="K703" i="19"/>
  <c r="K258" i="75"/>
  <c r="K278" i="75"/>
  <c r="K273" i="75"/>
  <c r="K253" i="75"/>
  <c r="K664" i="61"/>
  <c r="K644" i="61"/>
  <c r="K663" i="61"/>
  <c r="K643" i="61"/>
  <c r="K193" i="45"/>
  <c r="K173" i="45"/>
  <c r="K201" i="45"/>
  <c r="K181" i="45"/>
  <c r="K452" i="19"/>
  <c r="K432" i="19"/>
  <c r="K443" i="19"/>
  <c r="K423" i="19"/>
  <c r="J211" i="29"/>
  <c r="K680" i="69"/>
  <c r="K660" i="69"/>
  <c r="K681" i="69"/>
  <c r="K661" i="69"/>
  <c r="J190" i="53"/>
  <c r="J196" i="57"/>
  <c r="J309" i="57" s="1"/>
  <c r="J141" i="77"/>
  <c r="J166" i="61"/>
  <c r="J279" i="61" s="1"/>
  <c r="K180" i="49"/>
  <c r="K160" i="49"/>
  <c r="K168" i="49"/>
  <c r="K148" i="49"/>
  <c r="K176" i="19"/>
  <c r="K156" i="19"/>
  <c r="K168" i="19"/>
  <c r="K148" i="19"/>
  <c r="J478" i="57"/>
  <c r="J590" i="57" s="1"/>
  <c r="J182" i="49"/>
  <c r="J294" i="49" s="1"/>
  <c r="K502" i="53"/>
  <c r="K482" i="53"/>
  <c r="K503" i="53"/>
  <c r="K483" i="53"/>
  <c r="K380" i="69"/>
  <c r="K376" i="69"/>
  <c r="K523" i="69" s="1"/>
  <c r="K400" i="69"/>
  <c r="K407" i="69"/>
  <c r="K387" i="69"/>
  <c r="K194" i="57"/>
  <c r="K174" i="57"/>
  <c r="K186" i="57"/>
  <c r="K166" i="57"/>
  <c r="K156" i="33"/>
  <c r="K136" i="33"/>
  <c r="K148" i="33"/>
  <c r="K128" i="33"/>
  <c r="K158" i="61"/>
  <c r="K138" i="61"/>
  <c r="K157" i="61"/>
  <c r="K137" i="61"/>
  <c r="L878" i="61"/>
  <c r="L880" i="61"/>
  <c r="L890" i="61"/>
  <c r="L889" i="61"/>
  <c r="L887" i="61"/>
  <c r="L877" i="61"/>
  <c r="L891" i="61"/>
  <c r="L886" i="61"/>
  <c r="L884" i="61"/>
  <c r="L888" i="61"/>
  <c r="L885" i="61"/>
  <c r="L892" i="61"/>
  <c r="L882" i="61"/>
  <c r="L881" i="61"/>
  <c r="L879" i="61"/>
  <c r="L883" i="61"/>
  <c r="L470" i="53"/>
  <c r="L465" i="53"/>
  <c r="L468" i="53"/>
  <c r="L471" i="53"/>
  <c r="L459" i="53"/>
  <c r="L458" i="53"/>
  <c r="L461" i="53"/>
  <c r="L464" i="53"/>
  <c r="L467" i="53"/>
  <c r="L457" i="53"/>
  <c r="L460" i="53"/>
  <c r="L463" i="53"/>
  <c r="L466" i="53"/>
  <c r="L469" i="53"/>
  <c r="L472" i="53"/>
  <c r="L462" i="53"/>
  <c r="K197" i="29"/>
  <c r="K217" i="29"/>
  <c r="K205" i="29"/>
  <c r="K225" i="29"/>
  <c r="K433" i="37"/>
  <c r="K413" i="37"/>
  <c r="K425" i="37"/>
  <c r="K405" i="37"/>
  <c r="K412" i="61"/>
  <c r="K392" i="61"/>
  <c r="K422" i="61"/>
  <c r="K402" i="61"/>
  <c r="K178" i="37"/>
  <c r="K158" i="37"/>
  <c r="K150" i="37"/>
  <c r="K170" i="37"/>
  <c r="K932" i="61"/>
  <c r="K912" i="61"/>
  <c r="K928" i="61"/>
  <c r="K908" i="61"/>
  <c r="K456" i="49"/>
  <c r="K436" i="49"/>
  <c r="K423" i="49"/>
  <c r="K443" i="49"/>
  <c r="K159" i="69"/>
  <c r="K139" i="69"/>
  <c r="K147" i="69"/>
  <c r="K127" i="69"/>
  <c r="K445" i="45"/>
  <c r="K425" i="45"/>
  <c r="K450" i="45"/>
  <c r="K430" i="45"/>
  <c r="K148" i="77"/>
  <c r="K128" i="77"/>
  <c r="K150" i="77"/>
  <c r="K130" i="77"/>
  <c r="J162" i="41"/>
  <c r="J457" i="49"/>
  <c r="J569" i="49" s="1"/>
  <c r="K205" i="53"/>
  <c r="K185" i="53"/>
  <c r="K208" i="53"/>
  <c r="K188" i="53"/>
  <c r="K469" i="57"/>
  <c r="K449" i="57"/>
  <c r="K477" i="57"/>
  <c r="K457" i="57"/>
  <c r="K470" i="41"/>
  <c r="K450" i="41"/>
  <c r="K463" i="41"/>
  <c r="K443" i="41"/>
  <c r="K175" i="41"/>
  <c r="K155" i="41"/>
  <c r="K167" i="41"/>
  <c r="K147" i="41"/>
  <c r="K719" i="19"/>
  <c r="K699" i="19"/>
  <c r="K716" i="19"/>
  <c r="K696" i="19"/>
  <c r="K692" i="19"/>
  <c r="K839" i="19" s="1"/>
  <c r="K281" i="75"/>
  <c r="K261" i="75"/>
  <c r="K277" i="75"/>
  <c r="K257" i="75"/>
  <c r="K654" i="61"/>
  <c r="K674" i="61"/>
  <c r="K668" i="61"/>
  <c r="K648" i="61"/>
  <c r="K190" i="45"/>
  <c r="K170" i="45"/>
  <c r="K198" i="45"/>
  <c r="K178" i="45"/>
  <c r="K449" i="19"/>
  <c r="K429" i="19"/>
  <c r="K446" i="19"/>
  <c r="K426" i="19"/>
  <c r="J231" i="29"/>
  <c r="J343" i="29" s="1"/>
  <c r="J712" i="19"/>
  <c r="K671" i="69"/>
  <c r="K651" i="69"/>
  <c r="K669" i="69"/>
  <c r="K649" i="69"/>
  <c r="J210" i="53"/>
  <c r="J323" i="53" s="1"/>
  <c r="K172" i="49"/>
  <c r="K152" i="49"/>
  <c r="K176" i="49"/>
  <c r="K156" i="49"/>
  <c r="K181" i="19"/>
  <c r="K161" i="19"/>
  <c r="K173" i="19"/>
  <c r="K153" i="19"/>
  <c r="J458" i="57"/>
  <c r="K511" i="53"/>
  <c r="K491" i="53"/>
  <c r="K500" i="53"/>
  <c r="K480" i="53"/>
  <c r="K408" i="69"/>
  <c r="K388" i="69"/>
  <c r="K410" i="69"/>
  <c r="K390" i="69"/>
  <c r="K189" i="57"/>
  <c r="K169" i="57"/>
  <c r="K180" i="57"/>
  <c r="K160" i="57"/>
  <c r="K156" i="57"/>
  <c r="K303" i="57" s="1"/>
  <c r="K153" i="33"/>
  <c r="K133" i="33"/>
  <c r="K145" i="33"/>
  <c r="K125" i="33"/>
  <c r="K121" i="33"/>
  <c r="K268" i="33" s="1"/>
  <c r="K165" i="61"/>
  <c r="K145" i="61"/>
  <c r="K136" i="61"/>
  <c r="K156" i="61"/>
  <c r="L110" i="61"/>
  <c r="L121" i="61"/>
  <c r="L122" i="61"/>
  <c r="L125" i="61"/>
  <c r="L115" i="61"/>
  <c r="L123" i="61"/>
  <c r="L119" i="61"/>
  <c r="L124" i="61"/>
  <c r="L113" i="61"/>
  <c r="L114" i="61"/>
  <c r="L117" i="61"/>
  <c r="L112" i="61"/>
  <c r="L116" i="61"/>
  <c r="L118" i="61"/>
  <c r="L111" i="61"/>
  <c r="L120" i="61"/>
  <c r="L118" i="77"/>
  <c r="L116" i="77"/>
  <c r="L120" i="77"/>
  <c r="L113" i="77"/>
  <c r="L110" i="77"/>
  <c r="L106" i="77"/>
  <c r="L109" i="77"/>
  <c r="L108" i="77"/>
  <c r="L112" i="77"/>
  <c r="L115" i="77"/>
  <c r="L119" i="77"/>
  <c r="L114" i="77"/>
  <c r="L105" i="77"/>
  <c r="L107" i="77"/>
  <c r="L117" i="77"/>
  <c r="L111" i="77"/>
  <c r="L127" i="49"/>
  <c r="L130" i="49"/>
  <c r="L133" i="49"/>
  <c r="L137" i="49"/>
  <c r="L136" i="49"/>
  <c r="L139" i="49"/>
  <c r="L132" i="49"/>
  <c r="L135" i="49"/>
  <c r="L138" i="49"/>
  <c r="L141" i="49"/>
  <c r="L126" i="49"/>
  <c r="L129" i="49"/>
  <c r="L140" i="49"/>
  <c r="L128" i="49"/>
  <c r="L131" i="49"/>
  <c r="L134" i="49"/>
  <c r="L164" i="53"/>
  <c r="L159" i="53"/>
  <c r="L154" i="53"/>
  <c r="L160" i="53"/>
  <c r="L166" i="53"/>
  <c r="L161" i="53"/>
  <c r="L155" i="53"/>
  <c r="L167" i="53"/>
  <c r="L162" i="53"/>
  <c r="L168" i="53"/>
  <c r="L169" i="53"/>
  <c r="L157" i="53"/>
  <c r="L163" i="53"/>
  <c r="L156" i="53"/>
  <c r="L158" i="53"/>
  <c r="L165" i="53"/>
  <c r="K201" i="29"/>
  <c r="K221" i="29"/>
  <c r="K219" i="29"/>
  <c r="K199" i="29"/>
  <c r="K421" i="37"/>
  <c r="K401" i="37"/>
  <c r="K422" i="37"/>
  <c r="K402" i="37"/>
  <c r="K416" i="61"/>
  <c r="K396" i="61"/>
  <c r="K420" i="61"/>
  <c r="K400" i="61"/>
  <c r="K173" i="37"/>
  <c r="K153" i="37"/>
  <c r="K167" i="37"/>
  <c r="K147" i="37"/>
  <c r="K923" i="61"/>
  <c r="K903" i="61"/>
  <c r="K918" i="61"/>
  <c r="K898" i="61"/>
  <c r="J436" i="37"/>
  <c r="J548" i="37" s="1"/>
  <c r="K434" i="49"/>
  <c r="K454" i="49"/>
  <c r="K442" i="49"/>
  <c r="K422" i="49"/>
  <c r="K148" i="69"/>
  <c r="K128" i="69"/>
  <c r="K151" i="69"/>
  <c r="K131" i="69"/>
  <c r="K456" i="45"/>
  <c r="K436" i="45"/>
  <c r="K452" i="45"/>
  <c r="K432" i="45"/>
  <c r="K152" i="77"/>
  <c r="K132" i="77"/>
  <c r="K156" i="77"/>
  <c r="K136" i="77"/>
  <c r="J182" i="41"/>
  <c r="J295" i="41" s="1"/>
  <c r="J457" i="45"/>
  <c r="J570" i="45" s="1"/>
  <c r="K198" i="53"/>
  <c r="K178" i="53"/>
  <c r="K196" i="53"/>
  <c r="K176" i="53"/>
  <c r="K466" i="57"/>
  <c r="K446" i="57"/>
  <c r="K474" i="57"/>
  <c r="K454" i="57"/>
  <c r="K455" i="41"/>
  <c r="K435" i="41"/>
  <c r="K431" i="41"/>
  <c r="K578" i="41" s="1"/>
  <c r="K465" i="41"/>
  <c r="K445" i="41"/>
  <c r="K172" i="41"/>
  <c r="K152" i="41"/>
  <c r="K171" i="41"/>
  <c r="K151" i="41"/>
  <c r="K731" i="19"/>
  <c r="K711" i="19"/>
  <c r="K730" i="19"/>
  <c r="K710" i="19"/>
  <c r="K285" i="75"/>
  <c r="K265" i="75"/>
  <c r="K284" i="75"/>
  <c r="K264" i="75"/>
  <c r="K671" i="61"/>
  <c r="K651" i="61"/>
  <c r="K665" i="61"/>
  <c r="K645" i="61"/>
  <c r="K197" i="45"/>
  <c r="K177" i="45"/>
  <c r="K187" i="45"/>
  <c r="K167" i="45"/>
  <c r="K163" i="45"/>
  <c r="K310" i="45" s="1"/>
  <c r="K451" i="19"/>
  <c r="K431" i="19"/>
  <c r="K455" i="19"/>
  <c r="K435" i="19"/>
  <c r="J732" i="19"/>
  <c r="J844" i="19" s="1"/>
  <c r="K678" i="69"/>
  <c r="K658" i="69"/>
  <c r="K668" i="69"/>
  <c r="K644" i="69"/>
  <c r="K791" i="69" s="1"/>
  <c r="K648" i="69"/>
  <c r="K169" i="49"/>
  <c r="K149" i="49"/>
  <c r="K173" i="49"/>
  <c r="K153" i="49"/>
  <c r="K178" i="19"/>
  <c r="K158" i="19"/>
  <c r="K170" i="19"/>
  <c r="K150" i="19"/>
  <c r="K508" i="53"/>
  <c r="K488" i="53"/>
  <c r="K510" i="53"/>
  <c r="K490" i="53"/>
  <c r="K404" i="69"/>
  <c r="K384" i="69"/>
  <c r="K401" i="69"/>
  <c r="K381" i="69"/>
  <c r="K191" i="57"/>
  <c r="K171" i="57"/>
  <c r="K187" i="57"/>
  <c r="K167" i="57"/>
  <c r="K150" i="33"/>
  <c r="K130" i="33"/>
  <c r="K158" i="33"/>
  <c r="K138" i="33"/>
  <c r="K144" i="61"/>
  <c r="K164" i="61"/>
  <c r="K150" i="61"/>
  <c r="K130" i="61"/>
  <c r="K126" i="61"/>
  <c r="K273" i="61" s="1"/>
  <c r="M165" i="18"/>
  <c r="M173" i="18"/>
  <c r="M169" i="18"/>
  <c r="M162" i="18"/>
  <c r="M172" i="18"/>
  <c r="M445" i="53"/>
  <c r="K73" i="78"/>
  <c r="K73" i="79"/>
  <c r="K81" i="79"/>
  <c r="K81" i="78"/>
  <c r="K77" i="79"/>
  <c r="K77" i="78"/>
  <c r="K84" i="78"/>
  <c r="K84" i="79"/>
  <c r="K91" i="78"/>
  <c r="K91" i="79"/>
  <c r="K92" i="79"/>
  <c r="K92" i="78"/>
  <c r="K86" i="79"/>
  <c r="K86" i="78"/>
  <c r="K83" i="78"/>
  <c r="K83" i="79"/>
  <c r="K85" i="79"/>
  <c r="K85" i="78"/>
  <c r="K76" i="78"/>
  <c r="K76" i="79"/>
  <c r="K87" i="79"/>
  <c r="K87" i="78"/>
  <c r="K79" i="79"/>
  <c r="K79" i="78"/>
  <c r="K67" i="78"/>
  <c r="K67" i="79"/>
  <c r="K68" i="78"/>
  <c r="K68" i="79"/>
  <c r="K70" i="78"/>
  <c r="K70" i="79"/>
  <c r="K78" i="79"/>
  <c r="K78" i="78"/>
  <c r="K80" i="78"/>
  <c r="K80" i="79"/>
  <c r="M446" i="53"/>
  <c r="K72" i="78"/>
  <c r="K72" i="79"/>
  <c r="K82" i="79"/>
  <c r="K82" i="78"/>
  <c r="K74" i="79"/>
  <c r="K74" i="78"/>
  <c r="K75" i="78"/>
  <c r="K75" i="79"/>
  <c r="M448" i="53"/>
  <c r="K90" i="78"/>
  <c r="K90" i="79"/>
  <c r="K71" i="79"/>
  <c r="K71" i="78"/>
  <c r="K69" i="79"/>
  <c r="K69" i="78"/>
  <c r="K89" i="79"/>
  <c r="K89" i="78"/>
  <c r="K88" i="78"/>
  <c r="K88" i="79"/>
  <c r="M442" i="53"/>
  <c r="M444" i="53"/>
  <c r="N416" i="53"/>
  <c r="N414" i="53"/>
  <c r="N419" i="53"/>
  <c r="N415" i="53"/>
  <c r="N420" i="53"/>
  <c r="N417" i="53"/>
  <c r="N418" i="53"/>
  <c r="N413" i="53"/>
  <c r="N412" i="53"/>
  <c r="M392" i="49"/>
  <c r="L450" i="53"/>
  <c r="L81" i="27" s="1"/>
  <c r="L601" i="53"/>
  <c r="L612" i="53" s="1"/>
  <c r="L599" i="53"/>
  <c r="L610" i="53" s="1"/>
  <c r="L602" i="53"/>
  <c r="L613" i="53" s="1"/>
  <c r="L603" i="53"/>
  <c r="L614" i="53" s="1"/>
  <c r="L550" i="53"/>
  <c r="L568" i="53" s="1"/>
  <c r="L553" i="53"/>
  <c r="L571" i="53" s="1"/>
  <c r="L547" i="53"/>
  <c r="L565" i="53" s="1"/>
  <c r="L546" i="53"/>
  <c r="L564" i="53" s="1"/>
  <c r="L598" i="53"/>
  <c r="L609" i="53" s="1"/>
  <c r="L600" i="53"/>
  <c r="L611" i="53" s="1"/>
  <c r="L540" i="53"/>
  <c r="L543" i="53"/>
  <c r="L561" i="53" s="1"/>
  <c r="L541" i="53"/>
  <c r="L559" i="53" s="1"/>
  <c r="L552" i="53"/>
  <c r="L570" i="53" s="1"/>
  <c r="L544" i="53"/>
  <c r="L562" i="53" s="1"/>
  <c r="L597" i="53"/>
  <c r="L542" i="53"/>
  <c r="L560" i="53" s="1"/>
  <c r="L545" i="53"/>
  <c r="L563" i="53" s="1"/>
  <c r="L548" i="53"/>
  <c r="L566" i="53" s="1"/>
  <c r="L551" i="53"/>
  <c r="L569" i="53" s="1"/>
  <c r="L549" i="53"/>
  <c r="L567" i="53" s="1"/>
  <c r="M440" i="53"/>
  <c r="M408" i="53"/>
  <c r="M422" i="53"/>
  <c r="N404" i="53"/>
  <c r="N405" i="53"/>
  <c r="N400" i="53"/>
  <c r="N403" i="53"/>
  <c r="N401" i="53"/>
  <c r="N398" i="53"/>
  <c r="N402" i="53"/>
  <c r="N406" i="53"/>
  <c r="N399" i="53"/>
  <c r="N432" i="53"/>
  <c r="N433" i="53"/>
  <c r="N429" i="53"/>
  <c r="N426" i="53"/>
  <c r="N430" i="53"/>
  <c r="N428" i="53"/>
  <c r="N431" i="53"/>
  <c r="N427" i="53"/>
  <c r="N434" i="53"/>
  <c r="M443" i="53"/>
  <c r="M447" i="53"/>
  <c r="M441" i="53"/>
  <c r="M436" i="53"/>
  <c r="M133" i="53"/>
  <c r="M119" i="53"/>
  <c r="M140" i="53"/>
  <c r="N111" i="53"/>
  <c r="N109" i="53"/>
  <c r="N110" i="53"/>
  <c r="N112" i="53"/>
  <c r="N117" i="53"/>
  <c r="N116" i="53"/>
  <c r="N113" i="53"/>
  <c r="N114" i="53"/>
  <c r="N115" i="53"/>
  <c r="M115" i="41"/>
  <c r="M138" i="53"/>
  <c r="M143" i="53"/>
  <c r="N102" i="53"/>
  <c r="N97" i="53"/>
  <c r="N98" i="53"/>
  <c r="N99" i="53"/>
  <c r="N100" i="53"/>
  <c r="N101" i="53"/>
  <c r="N103" i="53"/>
  <c r="N96" i="53"/>
  <c r="N95" i="53"/>
  <c r="M137" i="53"/>
  <c r="M105" i="53"/>
  <c r="M139" i="53"/>
  <c r="M145" i="53"/>
  <c r="M144" i="53"/>
  <c r="N129" i="53"/>
  <c r="N123" i="53"/>
  <c r="N128" i="53"/>
  <c r="N127" i="53"/>
  <c r="N125" i="53"/>
  <c r="N124" i="53"/>
  <c r="N131" i="53"/>
  <c r="N130" i="53"/>
  <c r="N126" i="53"/>
  <c r="M142" i="53"/>
  <c r="M141" i="53"/>
  <c r="L147" i="53"/>
  <c r="L80" i="27" s="1"/>
  <c r="L297" i="53"/>
  <c r="L308" i="53" s="1"/>
  <c r="L247" i="53"/>
  <c r="L265" i="53" s="1"/>
  <c r="L250" i="53"/>
  <c r="L268" i="53" s="1"/>
  <c r="L295" i="53"/>
  <c r="L306" i="53" s="1"/>
  <c r="L299" i="53"/>
  <c r="L310" i="53" s="1"/>
  <c r="L237" i="53"/>
  <c r="L248" i="53"/>
  <c r="L266" i="53" s="1"/>
  <c r="L246" i="53"/>
  <c r="L264" i="53" s="1"/>
  <c r="L249" i="53"/>
  <c r="L267" i="53" s="1"/>
  <c r="L296" i="53"/>
  <c r="L307" i="53" s="1"/>
  <c r="L294" i="53"/>
  <c r="L243" i="53"/>
  <c r="L261" i="53" s="1"/>
  <c r="L244" i="53"/>
  <c r="L262" i="53" s="1"/>
  <c r="L239" i="53"/>
  <c r="L257" i="53" s="1"/>
  <c r="L298" i="53"/>
  <c r="L309" i="53" s="1"/>
  <c r="L300" i="53"/>
  <c r="L311" i="53" s="1"/>
  <c r="L241" i="53"/>
  <c r="L259" i="53" s="1"/>
  <c r="L240" i="53"/>
  <c r="L258" i="53" s="1"/>
  <c r="L238" i="53"/>
  <c r="L256" i="53" s="1"/>
  <c r="L245" i="53"/>
  <c r="L263" i="53" s="1"/>
  <c r="L242" i="53"/>
  <c r="L260" i="53" s="1"/>
  <c r="M389" i="49"/>
  <c r="M384" i="49"/>
  <c r="N360" i="49"/>
  <c r="N358" i="49"/>
  <c r="N361" i="49"/>
  <c r="N359" i="49"/>
  <c r="N362" i="49"/>
  <c r="M402" i="41"/>
  <c r="M374" i="49"/>
  <c r="M390" i="49"/>
  <c r="N382" i="49"/>
  <c r="N380" i="49"/>
  <c r="N378" i="49"/>
  <c r="N379" i="49"/>
  <c r="N381" i="49"/>
  <c r="L394" i="49"/>
  <c r="L79" i="27" s="1"/>
  <c r="L496" i="49"/>
  <c r="L514" i="49" s="1"/>
  <c r="L495" i="49"/>
  <c r="L513" i="49" s="1"/>
  <c r="L485" i="49"/>
  <c r="L503" i="49" s="1"/>
  <c r="L486" i="49"/>
  <c r="L504" i="49" s="1"/>
  <c r="L489" i="49"/>
  <c r="L507" i="49" s="1"/>
  <c r="L492" i="49"/>
  <c r="L510" i="49" s="1"/>
  <c r="L546" i="49"/>
  <c r="L557" i="49" s="1"/>
  <c r="L493" i="49"/>
  <c r="L511" i="49" s="1"/>
  <c r="L491" i="49"/>
  <c r="L509" i="49" s="1"/>
  <c r="L494" i="49"/>
  <c r="L512" i="49" s="1"/>
  <c r="L497" i="49"/>
  <c r="L515" i="49" s="1"/>
  <c r="L490" i="49"/>
  <c r="L508" i="49" s="1"/>
  <c r="L547" i="49"/>
  <c r="L558" i="49" s="1"/>
  <c r="L545" i="49"/>
  <c r="L556" i="49" s="1"/>
  <c r="L543" i="49"/>
  <c r="L554" i="49" s="1"/>
  <c r="L488" i="49"/>
  <c r="L506" i="49" s="1"/>
  <c r="L487" i="49"/>
  <c r="L505" i="49" s="1"/>
  <c r="L541" i="49"/>
  <c r="L484" i="49"/>
  <c r="L544" i="49"/>
  <c r="L555" i="49" s="1"/>
  <c r="L542" i="49"/>
  <c r="L553" i="49" s="1"/>
  <c r="N370" i="49"/>
  <c r="N371" i="49"/>
  <c r="N369" i="49"/>
  <c r="N372" i="49"/>
  <c r="N368" i="49"/>
  <c r="M391" i="49"/>
  <c r="M364" i="49"/>
  <c r="M388" i="49"/>
  <c r="M109" i="49"/>
  <c r="M99" i="49"/>
  <c r="N85" i="49"/>
  <c r="N86" i="49"/>
  <c r="N84" i="49"/>
  <c r="N87" i="49"/>
  <c r="N83" i="49"/>
  <c r="M116" i="49"/>
  <c r="M89" i="49"/>
  <c r="M113" i="49"/>
  <c r="N106" i="49"/>
  <c r="N105" i="49"/>
  <c r="N107" i="49"/>
  <c r="N103" i="49"/>
  <c r="N104" i="49"/>
  <c r="M117" i="49"/>
  <c r="N96" i="49"/>
  <c r="N95" i="49"/>
  <c r="N94" i="49"/>
  <c r="N97" i="49"/>
  <c r="N93" i="49"/>
  <c r="M167" i="18"/>
  <c r="M406" i="41"/>
  <c r="M115" i="49"/>
  <c r="L119" i="49"/>
  <c r="L78" i="27" s="1"/>
  <c r="L221" i="49"/>
  <c r="L239" i="49" s="1"/>
  <c r="L220" i="49"/>
  <c r="L238" i="49" s="1"/>
  <c r="L210" i="49"/>
  <c r="L228" i="49" s="1"/>
  <c r="L211" i="49"/>
  <c r="L229" i="49" s="1"/>
  <c r="L214" i="49"/>
  <c r="L232" i="49" s="1"/>
  <c r="L217" i="49"/>
  <c r="L235" i="49" s="1"/>
  <c r="L271" i="49"/>
  <c r="L282" i="49" s="1"/>
  <c r="L218" i="49"/>
  <c r="L236" i="49" s="1"/>
  <c r="L216" i="49"/>
  <c r="L234" i="49" s="1"/>
  <c r="L219" i="49"/>
  <c r="L237" i="49" s="1"/>
  <c r="L222" i="49"/>
  <c r="L240" i="49" s="1"/>
  <c r="L215" i="49"/>
  <c r="L233" i="49" s="1"/>
  <c r="L272" i="49"/>
  <c r="L283" i="49" s="1"/>
  <c r="L270" i="49"/>
  <c r="L281" i="49" s="1"/>
  <c r="L268" i="49"/>
  <c r="L279" i="49" s="1"/>
  <c r="L213" i="49"/>
  <c r="L231" i="49" s="1"/>
  <c r="L212" i="49"/>
  <c r="L230" i="49" s="1"/>
  <c r="L266" i="49"/>
  <c r="L209" i="49"/>
  <c r="L269" i="49"/>
  <c r="L280" i="49" s="1"/>
  <c r="L267" i="49"/>
  <c r="L278" i="49" s="1"/>
  <c r="M114" i="49"/>
  <c r="M116" i="41"/>
  <c r="N364" i="41"/>
  <c r="N365" i="41"/>
  <c r="N368" i="41"/>
  <c r="N370" i="41"/>
  <c r="N369" i="41"/>
  <c r="N366" i="41"/>
  <c r="N367" i="41"/>
  <c r="M403" i="41"/>
  <c r="M405" i="41"/>
  <c r="M372" i="41"/>
  <c r="M400" i="41"/>
  <c r="M404" i="41"/>
  <c r="M384" i="41"/>
  <c r="N391" i="41"/>
  <c r="N394" i="41"/>
  <c r="N389" i="41"/>
  <c r="N393" i="41"/>
  <c r="N390" i="41"/>
  <c r="N392" i="41"/>
  <c r="N388" i="41"/>
  <c r="N381" i="41"/>
  <c r="N382" i="41"/>
  <c r="N378" i="41"/>
  <c r="N377" i="41"/>
  <c r="N380" i="41"/>
  <c r="N376" i="41"/>
  <c r="N379" i="41"/>
  <c r="M401" i="41"/>
  <c r="M396" i="41"/>
  <c r="L408" i="41"/>
  <c r="L75" i="27" s="1"/>
  <c r="L498" i="41"/>
  <c r="L501" i="41"/>
  <c r="L519" i="41" s="1"/>
  <c r="L508" i="41"/>
  <c r="L526" i="41" s="1"/>
  <c r="L511" i="41"/>
  <c r="L529" i="41" s="1"/>
  <c r="L507" i="41"/>
  <c r="L525" i="41" s="1"/>
  <c r="L558" i="41"/>
  <c r="L569" i="41" s="1"/>
  <c r="L510" i="41"/>
  <c r="L528" i="41" s="1"/>
  <c r="L560" i="41"/>
  <c r="L571" i="41" s="1"/>
  <c r="L556" i="41"/>
  <c r="L567" i="41" s="1"/>
  <c r="L557" i="41"/>
  <c r="L568" i="41" s="1"/>
  <c r="L506" i="41"/>
  <c r="L524" i="41" s="1"/>
  <c r="L509" i="41"/>
  <c r="L527" i="41" s="1"/>
  <c r="L555" i="41"/>
  <c r="L499" i="41"/>
  <c r="L517" i="41" s="1"/>
  <c r="L505" i="41"/>
  <c r="L523" i="41" s="1"/>
  <c r="L500" i="41"/>
  <c r="L518" i="41" s="1"/>
  <c r="L503" i="41"/>
  <c r="L521" i="41" s="1"/>
  <c r="L504" i="41"/>
  <c r="L522" i="41" s="1"/>
  <c r="L502" i="41"/>
  <c r="L520" i="41" s="1"/>
  <c r="L561" i="41"/>
  <c r="L572" i="41" s="1"/>
  <c r="L559" i="41"/>
  <c r="L570" i="41" s="1"/>
  <c r="M164" i="18"/>
  <c r="M99" i="41"/>
  <c r="M166" i="18"/>
  <c r="M109" i="41"/>
  <c r="M89" i="41"/>
  <c r="M113" i="41"/>
  <c r="M163" i="18"/>
  <c r="L119" i="41"/>
  <c r="L74" i="27" s="1"/>
  <c r="L221" i="41"/>
  <c r="L239" i="41" s="1"/>
  <c r="L220" i="41"/>
  <c r="L238" i="41" s="1"/>
  <c r="L210" i="41"/>
  <c r="L228" i="41" s="1"/>
  <c r="L211" i="41"/>
  <c r="L229" i="41" s="1"/>
  <c r="L214" i="41"/>
  <c r="L232" i="41" s="1"/>
  <c r="L217" i="41"/>
  <c r="L235" i="41" s="1"/>
  <c r="L271" i="41"/>
  <c r="L282" i="41" s="1"/>
  <c r="L218" i="41"/>
  <c r="L236" i="41" s="1"/>
  <c r="L216" i="41"/>
  <c r="L234" i="41" s="1"/>
  <c r="L219" i="41"/>
  <c r="L237" i="41" s="1"/>
  <c r="L222" i="41"/>
  <c r="L240" i="41" s="1"/>
  <c r="L215" i="41"/>
  <c r="L233" i="41" s="1"/>
  <c r="L272" i="41"/>
  <c r="L283" i="41" s="1"/>
  <c r="L270" i="41"/>
  <c r="L281" i="41" s="1"/>
  <c r="L268" i="41"/>
  <c r="L279" i="41" s="1"/>
  <c r="L213" i="41"/>
  <c r="L231" i="41" s="1"/>
  <c r="L212" i="41"/>
  <c r="L230" i="41" s="1"/>
  <c r="L266" i="41"/>
  <c r="L209" i="41"/>
  <c r="L269" i="41"/>
  <c r="L280" i="41" s="1"/>
  <c r="L267" i="41"/>
  <c r="L278" i="41" s="1"/>
  <c r="M117" i="41"/>
  <c r="N93" i="41"/>
  <c r="N95" i="41"/>
  <c r="N94" i="41"/>
  <c r="N97" i="41"/>
  <c r="N96" i="41"/>
  <c r="N105" i="41"/>
  <c r="N103" i="41"/>
  <c r="N104" i="41"/>
  <c r="N107" i="41"/>
  <c r="N106" i="41"/>
  <c r="N85" i="41"/>
  <c r="N84" i="41"/>
  <c r="N87" i="41"/>
  <c r="N83" i="41"/>
  <c r="N86" i="41"/>
  <c r="M114" i="41"/>
  <c r="M161" i="29"/>
  <c r="M165" i="29"/>
  <c r="L168" i="29"/>
  <c r="L68" i="27" s="1"/>
  <c r="L265" i="29"/>
  <c r="L283" i="29" s="1"/>
  <c r="L268" i="29"/>
  <c r="L286" i="29" s="1"/>
  <c r="L269" i="29"/>
  <c r="L287" i="29" s="1"/>
  <c r="L262" i="29"/>
  <c r="L280" i="29" s="1"/>
  <c r="L318" i="29"/>
  <c r="L329" i="29" s="1"/>
  <c r="L320" i="29"/>
  <c r="L331" i="29" s="1"/>
  <c r="L259" i="29"/>
  <c r="L277" i="29" s="1"/>
  <c r="L266" i="29"/>
  <c r="L284" i="29" s="1"/>
  <c r="L264" i="29"/>
  <c r="L282" i="29" s="1"/>
  <c r="L321" i="29"/>
  <c r="L332" i="29" s="1"/>
  <c r="L319" i="29"/>
  <c r="L330" i="29" s="1"/>
  <c r="L317" i="29"/>
  <c r="L328" i="29" s="1"/>
  <c r="L315" i="29"/>
  <c r="L267" i="29"/>
  <c r="L285" i="29" s="1"/>
  <c r="L316" i="29"/>
  <c r="L327" i="29" s="1"/>
  <c r="L260" i="29"/>
  <c r="L278" i="29" s="1"/>
  <c r="L263" i="29"/>
  <c r="L281" i="29" s="1"/>
  <c r="L261" i="29"/>
  <c r="L279" i="29" s="1"/>
  <c r="L258" i="29"/>
  <c r="L270" i="29"/>
  <c r="L288" i="29" s="1"/>
  <c r="L271" i="29"/>
  <c r="L289" i="29" s="1"/>
  <c r="M159" i="29"/>
  <c r="N109" i="29"/>
  <c r="N104" i="29"/>
  <c r="N112" i="29"/>
  <c r="N110" i="29"/>
  <c r="N105" i="29"/>
  <c r="N113" i="29"/>
  <c r="N111" i="29"/>
  <c r="N114" i="29"/>
  <c r="N107" i="29"/>
  <c r="N108" i="29"/>
  <c r="N106" i="29"/>
  <c r="N115" i="29"/>
  <c r="M151" i="29"/>
  <c r="M164" i="29"/>
  <c r="N140" i="29"/>
  <c r="N147" i="29"/>
  <c r="N149" i="29"/>
  <c r="N148" i="29"/>
  <c r="N138" i="29"/>
  <c r="N145" i="29"/>
  <c r="N142" i="29"/>
  <c r="N144" i="29"/>
  <c r="N139" i="29"/>
  <c r="N141" i="29"/>
  <c r="N146" i="29"/>
  <c r="N143" i="29"/>
  <c r="M155" i="29"/>
  <c r="M117" i="29"/>
  <c r="M156" i="29"/>
  <c r="M162" i="29"/>
  <c r="M166" i="29"/>
  <c r="N126" i="29"/>
  <c r="N122" i="29"/>
  <c r="N130" i="29"/>
  <c r="N125" i="29"/>
  <c r="N123" i="29"/>
  <c r="N131" i="29"/>
  <c r="N121" i="29"/>
  <c r="N124" i="29"/>
  <c r="N127" i="29"/>
  <c r="N129" i="29"/>
  <c r="N132" i="29"/>
  <c r="N128" i="29"/>
  <c r="M160" i="29"/>
  <c r="M158" i="29"/>
  <c r="M134" i="29"/>
  <c r="M157" i="29"/>
  <c r="M163" i="29"/>
  <c r="M121" i="18"/>
  <c r="M161" i="18"/>
  <c r="M168" i="18"/>
  <c r="N111" i="18"/>
  <c r="N115" i="18"/>
  <c r="N109" i="18"/>
  <c r="N118" i="18"/>
  <c r="N113" i="18"/>
  <c r="N110" i="18"/>
  <c r="N116" i="18"/>
  <c r="N119" i="18"/>
  <c r="N114" i="18"/>
  <c r="N107" i="18"/>
  <c r="N117" i="18"/>
  <c r="N112" i="18"/>
  <c r="N108" i="18"/>
  <c r="M170" i="18"/>
  <c r="N125" i="18"/>
  <c r="N127" i="18"/>
  <c r="N128" i="18"/>
  <c r="N129" i="18"/>
  <c r="N131" i="18"/>
  <c r="N132" i="18"/>
  <c r="N133" i="18"/>
  <c r="N135" i="18"/>
  <c r="N136" i="18"/>
  <c r="N137" i="18"/>
  <c r="N134" i="18"/>
  <c r="N126" i="18"/>
  <c r="N130" i="18"/>
  <c r="N155" i="18"/>
  <c r="N147" i="18"/>
  <c r="N143" i="18"/>
  <c r="N146" i="18"/>
  <c r="N151" i="18"/>
  <c r="N148" i="18"/>
  <c r="N153" i="18"/>
  <c r="N154" i="18"/>
  <c r="N149" i="18"/>
  <c r="N152" i="18"/>
  <c r="N150" i="18"/>
  <c r="N145" i="18"/>
  <c r="N144" i="18"/>
  <c r="M157" i="18"/>
  <c r="M139" i="18"/>
  <c r="L772" i="19"/>
  <c r="L790" i="19" s="1"/>
  <c r="L759" i="19"/>
  <c r="L765" i="19"/>
  <c r="L783" i="19" s="1"/>
  <c r="L768" i="19"/>
  <c r="L786" i="19" s="1"/>
  <c r="L763" i="19"/>
  <c r="L781" i="19" s="1"/>
  <c r="L764" i="19"/>
  <c r="L782" i="19" s="1"/>
  <c r="L766" i="19"/>
  <c r="L784" i="19" s="1"/>
  <c r="L770" i="19"/>
  <c r="L788" i="19" s="1"/>
  <c r="L767" i="19"/>
  <c r="L785" i="19" s="1"/>
  <c r="L769" i="19"/>
  <c r="L787" i="19" s="1"/>
  <c r="L762" i="19"/>
  <c r="L780" i="19" s="1"/>
  <c r="L761" i="19"/>
  <c r="L779" i="19" s="1"/>
  <c r="L771" i="19"/>
  <c r="L789" i="19" s="1"/>
  <c r="L760" i="19"/>
  <c r="L778" i="19" s="1"/>
  <c r="L193" i="77"/>
  <c r="L211" i="77" s="1"/>
  <c r="L196" i="77"/>
  <c r="L214" i="77" s="1"/>
  <c r="L192" i="77"/>
  <c r="L210" i="77" s="1"/>
  <c r="L195" i="77"/>
  <c r="L213" i="77" s="1"/>
  <c r="L190" i="77"/>
  <c r="L208" i="77" s="1"/>
  <c r="L197" i="77"/>
  <c r="L215" i="77" s="1"/>
  <c r="L200" i="77"/>
  <c r="L218" i="77" s="1"/>
  <c r="L201" i="77"/>
  <c r="L219" i="77" s="1"/>
  <c r="L191" i="77"/>
  <c r="L209" i="77" s="1"/>
  <c r="L194" i="77"/>
  <c r="L212" i="77" s="1"/>
  <c r="L188" i="77"/>
  <c r="L198" i="77"/>
  <c r="L216" i="77" s="1"/>
  <c r="L189" i="77"/>
  <c r="L207" i="77" s="1"/>
  <c r="L199" i="77"/>
  <c r="L217" i="77" s="1"/>
  <c r="K223" i="41"/>
  <c r="K290" i="41" s="1"/>
  <c r="K227" i="41"/>
  <c r="K241" i="41" s="1"/>
  <c r="K464" i="61"/>
  <c r="K531" i="61" s="1"/>
  <c r="K468" i="61"/>
  <c r="K482" i="61" s="1"/>
  <c r="K206" i="77"/>
  <c r="K220" i="77" s="1"/>
  <c r="K202" i="77"/>
  <c r="K269" i="77" s="1"/>
  <c r="K457" i="69"/>
  <c r="K524" i="69" s="1"/>
  <c r="K461" i="69"/>
  <c r="K475" i="69" s="1"/>
  <c r="L209" i="19"/>
  <c r="L216" i="19"/>
  <c r="L234" i="19" s="1"/>
  <c r="L213" i="19"/>
  <c r="L231" i="19" s="1"/>
  <c r="L220" i="19"/>
  <c r="L238" i="19" s="1"/>
  <c r="L210" i="19"/>
  <c r="L228" i="19" s="1"/>
  <c r="L211" i="19"/>
  <c r="L229" i="19" s="1"/>
  <c r="L214" i="19"/>
  <c r="L232" i="19" s="1"/>
  <c r="L217" i="19"/>
  <c r="L235" i="19" s="1"/>
  <c r="L221" i="19"/>
  <c r="L239" i="19" s="1"/>
  <c r="L218" i="19"/>
  <c r="L236" i="19" s="1"/>
  <c r="L219" i="19"/>
  <c r="L237" i="19" s="1"/>
  <c r="L222" i="19"/>
  <c r="L240" i="19" s="1"/>
  <c r="L215" i="19"/>
  <c r="L233" i="19" s="1"/>
  <c r="L212" i="19"/>
  <c r="L230" i="19" s="1"/>
  <c r="L490" i="45"/>
  <c r="L508" i="45" s="1"/>
  <c r="L491" i="45"/>
  <c r="L509" i="45" s="1"/>
  <c r="L487" i="45"/>
  <c r="L505" i="45" s="1"/>
  <c r="L484" i="45"/>
  <c r="L493" i="45"/>
  <c r="L511" i="45" s="1"/>
  <c r="L494" i="45"/>
  <c r="L512" i="45" s="1"/>
  <c r="L497" i="45"/>
  <c r="L515" i="45" s="1"/>
  <c r="L495" i="45"/>
  <c r="L513" i="45" s="1"/>
  <c r="L485" i="45"/>
  <c r="L503" i="45" s="1"/>
  <c r="L486" i="45"/>
  <c r="L504" i="45" s="1"/>
  <c r="L496" i="45"/>
  <c r="L514" i="45" s="1"/>
  <c r="L492" i="45"/>
  <c r="L510" i="45" s="1"/>
  <c r="L488" i="45"/>
  <c r="L506" i="45" s="1"/>
  <c r="L489" i="45"/>
  <c r="L507" i="45" s="1"/>
  <c r="K523" i="57"/>
  <c r="K537" i="57" s="1"/>
  <c r="K519" i="57"/>
  <c r="K586" i="57" s="1"/>
  <c r="K481" i="37"/>
  <c r="K495" i="37" s="1"/>
  <c r="K477" i="37"/>
  <c r="K544" i="37" s="1"/>
  <c r="K227" i="49"/>
  <c r="K241" i="49" s="1"/>
  <c r="K223" i="49"/>
  <c r="K290" i="49" s="1"/>
  <c r="L506" i="57"/>
  <c r="L524" i="57" s="1"/>
  <c r="L515" i="57"/>
  <c r="L533" i="57" s="1"/>
  <c r="L518" i="57"/>
  <c r="L536" i="57" s="1"/>
  <c r="L512" i="57"/>
  <c r="L530" i="57" s="1"/>
  <c r="L505" i="57"/>
  <c r="L516" i="57"/>
  <c r="L534" i="57" s="1"/>
  <c r="L514" i="57"/>
  <c r="L532" i="57" s="1"/>
  <c r="L511" i="57"/>
  <c r="L529" i="57" s="1"/>
  <c r="L507" i="57"/>
  <c r="L525" i="57" s="1"/>
  <c r="L510" i="57"/>
  <c r="L528" i="57" s="1"/>
  <c r="L508" i="57"/>
  <c r="L526" i="57" s="1"/>
  <c r="L517" i="57"/>
  <c r="L535" i="57" s="1"/>
  <c r="L509" i="57"/>
  <c r="L527" i="57" s="1"/>
  <c r="L513" i="57"/>
  <c r="L531" i="57" s="1"/>
  <c r="K773" i="19"/>
  <c r="K840" i="19" s="1"/>
  <c r="K777" i="19"/>
  <c r="K791" i="19" s="1"/>
  <c r="K255" i="53"/>
  <c r="K269" i="53" s="1"/>
  <c r="K251" i="53"/>
  <c r="K318" i="53" s="1"/>
  <c r="K978" i="61"/>
  <c r="K992" i="61" s="1"/>
  <c r="K974" i="61"/>
  <c r="K1041" i="61" s="1"/>
  <c r="L496" i="19"/>
  <c r="L514" i="19" s="1"/>
  <c r="L497" i="19"/>
  <c r="L515" i="19" s="1"/>
  <c r="L495" i="19"/>
  <c r="L513" i="19" s="1"/>
  <c r="L493" i="19"/>
  <c r="L511" i="19" s="1"/>
  <c r="L484" i="19"/>
  <c r="L486" i="19"/>
  <c r="L504" i="19" s="1"/>
  <c r="L491" i="19"/>
  <c r="L509" i="19" s="1"/>
  <c r="L490" i="19"/>
  <c r="L508" i="19" s="1"/>
  <c r="L494" i="19"/>
  <c r="L512" i="19" s="1"/>
  <c r="L488" i="19"/>
  <c r="L506" i="19" s="1"/>
  <c r="L489" i="19"/>
  <c r="L507" i="19" s="1"/>
  <c r="L492" i="19"/>
  <c r="L510" i="19" s="1"/>
  <c r="L487" i="19"/>
  <c r="L505" i="19" s="1"/>
  <c r="L485" i="19"/>
  <c r="L503" i="19" s="1"/>
  <c r="L721" i="69"/>
  <c r="L739" i="69" s="1"/>
  <c r="L724" i="69"/>
  <c r="L742" i="69" s="1"/>
  <c r="L720" i="69"/>
  <c r="L738" i="69" s="1"/>
  <c r="L717" i="69"/>
  <c r="L735" i="69" s="1"/>
  <c r="L722" i="69"/>
  <c r="L740" i="69" s="1"/>
  <c r="L715" i="69"/>
  <c r="L733" i="69" s="1"/>
  <c r="L711" i="69"/>
  <c r="L714" i="69"/>
  <c r="L732" i="69" s="1"/>
  <c r="L713" i="69"/>
  <c r="L731" i="69" s="1"/>
  <c r="L716" i="69"/>
  <c r="L734" i="69" s="1"/>
  <c r="L719" i="69"/>
  <c r="L737" i="69" s="1"/>
  <c r="L712" i="69"/>
  <c r="L730" i="69" s="1"/>
  <c r="L718" i="69"/>
  <c r="L736" i="69" s="1"/>
  <c r="L723" i="69"/>
  <c r="L741" i="69" s="1"/>
  <c r="L706" i="61"/>
  <c r="L724" i="61" s="1"/>
  <c r="L705" i="61"/>
  <c r="L717" i="61"/>
  <c r="L735" i="61" s="1"/>
  <c r="L716" i="61"/>
  <c r="L734" i="61" s="1"/>
  <c r="L714" i="61"/>
  <c r="L732" i="61" s="1"/>
  <c r="L707" i="61"/>
  <c r="L725" i="61" s="1"/>
  <c r="L710" i="61"/>
  <c r="L728" i="61" s="1"/>
  <c r="L713" i="61"/>
  <c r="L731" i="61" s="1"/>
  <c r="L711" i="61"/>
  <c r="L729" i="61" s="1"/>
  <c r="L712" i="61"/>
  <c r="L730" i="61" s="1"/>
  <c r="L715" i="61"/>
  <c r="L733" i="61" s="1"/>
  <c r="L718" i="61"/>
  <c r="L736" i="61" s="1"/>
  <c r="L709" i="61"/>
  <c r="L727" i="61" s="1"/>
  <c r="L708" i="61"/>
  <c r="L726" i="61" s="1"/>
  <c r="L455" i="69"/>
  <c r="L473" i="69" s="1"/>
  <c r="L448" i="69"/>
  <c r="L466" i="69" s="1"/>
  <c r="L451" i="69"/>
  <c r="L469" i="69" s="1"/>
  <c r="L445" i="69"/>
  <c r="L463" i="69" s="1"/>
  <c r="L452" i="69"/>
  <c r="L470" i="69" s="1"/>
  <c r="L449" i="69"/>
  <c r="L467" i="69" s="1"/>
  <c r="L446" i="69"/>
  <c r="L464" i="69" s="1"/>
  <c r="L456" i="69"/>
  <c r="L474" i="69" s="1"/>
  <c r="L450" i="69"/>
  <c r="L468" i="69" s="1"/>
  <c r="L447" i="69"/>
  <c r="L465" i="69" s="1"/>
  <c r="L443" i="69"/>
  <c r="L453" i="69"/>
  <c r="L471" i="69" s="1"/>
  <c r="L444" i="69"/>
  <c r="L462" i="69" s="1"/>
  <c r="L454" i="69"/>
  <c r="L472" i="69" s="1"/>
  <c r="L199" i="33"/>
  <c r="L217" i="33" s="1"/>
  <c r="L189" i="33"/>
  <c r="L207" i="33" s="1"/>
  <c r="L193" i="33"/>
  <c r="L211" i="33" s="1"/>
  <c r="L196" i="33"/>
  <c r="L214" i="33" s="1"/>
  <c r="L200" i="33"/>
  <c r="L218" i="33" s="1"/>
  <c r="L197" i="33"/>
  <c r="L215" i="33" s="1"/>
  <c r="L190" i="33"/>
  <c r="L208" i="33" s="1"/>
  <c r="L201" i="33"/>
  <c r="L219" i="33" s="1"/>
  <c r="L194" i="33"/>
  <c r="L212" i="33" s="1"/>
  <c r="L191" i="33"/>
  <c r="L209" i="33" s="1"/>
  <c r="L188" i="33"/>
  <c r="L195" i="33"/>
  <c r="L213" i="33" s="1"/>
  <c r="L198" i="33"/>
  <c r="L216" i="33" s="1"/>
  <c r="L192" i="33"/>
  <c r="L210" i="33" s="1"/>
  <c r="L214" i="37"/>
  <c r="L232" i="37" s="1"/>
  <c r="L210" i="37"/>
  <c r="L228" i="37" s="1"/>
  <c r="L215" i="37"/>
  <c r="L233" i="37" s="1"/>
  <c r="L221" i="37"/>
  <c r="L239" i="37" s="1"/>
  <c r="L213" i="37"/>
  <c r="L231" i="37" s="1"/>
  <c r="L212" i="37"/>
  <c r="L230" i="37" s="1"/>
  <c r="L211" i="37"/>
  <c r="L229" i="37" s="1"/>
  <c r="L217" i="37"/>
  <c r="L235" i="37" s="1"/>
  <c r="L220" i="37"/>
  <c r="L238" i="37" s="1"/>
  <c r="L216" i="37"/>
  <c r="L234" i="37" s="1"/>
  <c r="L219" i="37"/>
  <c r="L237" i="37" s="1"/>
  <c r="L209" i="37"/>
  <c r="L218" i="37"/>
  <c r="L236" i="37" s="1"/>
  <c r="L222" i="37"/>
  <c r="L240" i="37" s="1"/>
  <c r="L236" i="57"/>
  <c r="L254" i="57" s="1"/>
  <c r="L233" i="57"/>
  <c r="L251" i="57" s="1"/>
  <c r="L230" i="57"/>
  <c r="L248" i="57" s="1"/>
  <c r="L234" i="57"/>
  <c r="L252" i="57" s="1"/>
  <c r="L227" i="57"/>
  <c r="L245" i="57" s="1"/>
  <c r="L223" i="57"/>
  <c r="L231" i="57"/>
  <c r="L249" i="57" s="1"/>
  <c r="L228" i="57"/>
  <c r="L246" i="57" s="1"/>
  <c r="L232" i="57"/>
  <c r="L250" i="57" s="1"/>
  <c r="L235" i="57"/>
  <c r="L253" i="57" s="1"/>
  <c r="L225" i="57"/>
  <c r="L243" i="57" s="1"/>
  <c r="L229" i="57"/>
  <c r="L247" i="57" s="1"/>
  <c r="L224" i="57"/>
  <c r="L242" i="57" s="1"/>
  <c r="L226" i="57"/>
  <c r="L244" i="57" s="1"/>
  <c r="K332" i="75"/>
  <c r="K346" i="75" s="1"/>
  <c r="K328" i="75"/>
  <c r="K395" i="75" s="1"/>
  <c r="K729" i="69"/>
  <c r="K743" i="69" s="1"/>
  <c r="K725" i="69"/>
  <c r="K792" i="69" s="1"/>
  <c r="L241" i="45"/>
  <c r="L259" i="45" s="1"/>
  <c r="L239" i="45"/>
  <c r="L257" i="45" s="1"/>
  <c r="L231" i="45"/>
  <c r="L249" i="45" s="1"/>
  <c r="L240" i="45"/>
  <c r="L258" i="45" s="1"/>
  <c r="L238" i="45"/>
  <c r="L256" i="45" s="1"/>
  <c r="L237" i="45"/>
  <c r="L255" i="45" s="1"/>
  <c r="L235" i="45"/>
  <c r="L253" i="45" s="1"/>
  <c r="L236" i="45"/>
  <c r="L254" i="45" s="1"/>
  <c r="L230" i="45"/>
  <c r="L234" i="45"/>
  <c r="L252" i="45" s="1"/>
  <c r="L233" i="45"/>
  <c r="L251" i="45" s="1"/>
  <c r="L243" i="45"/>
  <c r="L261" i="45" s="1"/>
  <c r="L232" i="45"/>
  <c r="L250" i="45" s="1"/>
  <c r="L242" i="45"/>
  <c r="L260" i="45" s="1"/>
  <c r="L194" i="61"/>
  <c r="L212" i="61" s="1"/>
  <c r="L198" i="61"/>
  <c r="L216" i="61" s="1"/>
  <c r="L205" i="61"/>
  <c r="L223" i="61" s="1"/>
  <c r="L202" i="61"/>
  <c r="L220" i="61" s="1"/>
  <c r="L193" i="61"/>
  <c r="L201" i="61"/>
  <c r="L219" i="61" s="1"/>
  <c r="L196" i="61"/>
  <c r="L214" i="61" s="1"/>
  <c r="L195" i="61"/>
  <c r="L213" i="61" s="1"/>
  <c r="L206" i="61"/>
  <c r="L224" i="61" s="1"/>
  <c r="L203" i="61"/>
  <c r="L221" i="61" s="1"/>
  <c r="L200" i="61"/>
  <c r="L218" i="61" s="1"/>
  <c r="L199" i="61"/>
  <c r="L217" i="61" s="1"/>
  <c r="L197" i="61"/>
  <c r="L215" i="61" s="1"/>
  <c r="L204" i="61"/>
  <c r="L222" i="61" s="1"/>
  <c r="K276" i="29"/>
  <c r="K290" i="29" s="1"/>
  <c r="K272" i="29"/>
  <c r="K339" i="29" s="1"/>
  <c r="K227" i="37"/>
  <c r="K241" i="37" s="1"/>
  <c r="K223" i="37"/>
  <c r="K290" i="37" s="1"/>
  <c r="K502" i="49"/>
  <c r="K516" i="49" s="1"/>
  <c r="K498" i="49"/>
  <c r="K565" i="49" s="1"/>
  <c r="K723" i="61"/>
  <c r="K737" i="61" s="1"/>
  <c r="K719" i="61"/>
  <c r="K786" i="61" s="1"/>
  <c r="K502" i="19"/>
  <c r="K516" i="19" s="1"/>
  <c r="K498" i="19"/>
  <c r="K565" i="19" s="1"/>
  <c r="L197" i="69"/>
  <c r="L215" i="69" s="1"/>
  <c r="L189" i="69"/>
  <c r="L207" i="69" s="1"/>
  <c r="L198" i="69"/>
  <c r="L216" i="69" s="1"/>
  <c r="L191" i="69"/>
  <c r="L209" i="69" s="1"/>
  <c r="L192" i="69"/>
  <c r="L210" i="69" s="1"/>
  <c r="L193" i="69"/>
  <c r="L211" i="69" s="1"/>
  <c r="L190" i="69"/>
  <c r="L208" i="69" s="1"/>
  <c r="L200" i="69"/>
  <c r="L218" i="69" s="1"/>
  <c r="L194" i="69"/>
  <c r="L212" i="69" s="1"/>
  <c r="L195" i="69"/>
  <c r="L213" i="69" s="1"/>
  <c r="L196" i="69"/>
  <c r="L214" i="69" s="1"/>
  <c r="L201" i="69"/>
  <c r="L219" i="69" s="1"/>
  <c r="L188" i="69"/>
  <c r="L199" i="69"/>
  <c r="L217" i="69" s="1"/>
  <c r="K227" i="19"/>
  <c r="K241" i="19" s="1"/>
  <c r="K223" i="19"/>
  <c r="K290" i="19" s="1"/>
  <c r="K248" i="45"/>
  <c r="K262" i="45" s="1"/>
  <c r="K244" i="45"/>
  <c r="K311" i="45" s="1"/>
  <c r="K502" i="45"/>
  <c r="K516" i="45" s="1"/>
  <c r="K498" i="45"/>
  <c r="K565" i="45" s="1"/>
  <c r="L457" i="61"/>
  <c r="L475" i="61" s="1"/>
  <c r="L456" i="61"/>
  <c r="L474" i="61" s="1"/>
  <c r="L461" i="61"/>
  <c r="L479" i="61" s="1"/>
  <c r="L463" i="61"/>
  <c r="L481" i="61" s="1"/>
  <c r="L455" i="61"/>
  <c r="L473" i="61" s="1"/>
  <c r="L460" i="61"/>
  <c r="L478" i="61" s="1"/>
  <c r="L462" i="61"/>
  <c r="L480" i="61" s="1"/>
  <c r="L454" i="61"/>
  <c r="L472" i="61" s="1"/>
  <c r="L453" i="61"/>
  <c r="L471" i="61" s="1"/>
  <c r="L450" i="61"/>
  <c r="L451" i="61"/>
  <c r="L469" i="61" s="1"/>
  <c r="L452" i="61"/>
  <c r="L470" i="61" s="1"/>
  <c r="L458" i="61"/>
  <c r="L476" i="61" s="1"/>
  <c r="L459" i="61"/>
  <c r="L477" i="61" s="1"/>
  <c r="L314" i="75"/>
  <c r="L318" i="75"/>
  <c r="L336" i="75" s="1"/>
  <c r="L317" i="75"/>
  <c r="L335" i="75" s="1"/>
  <c r="L323" i="75"/>
  <c r="L341" i="75" s="1"/>
  <c r="L322" i="75"/>
  <c r="L340" i="75" s="1"/>
  <c r="L326" i="75"/>
  <c r="L344" i="75" s="1"/>
  <c r="L316" i="75"/>
  <c r="L334" i="75" s="1"/>
  <c r="L325" i="75"/>
  <c r="L343" i="75" s="1"/>
  <c r="L321" i="75"/>
  <c r="L339" i="75" s="1"/>
  <c r="L324" i="75"/>
  <c r="L342" i="75" s="1"/>
  <c r="L315" i="75"/>
  <c r="L333" i="75" s="1"/>
  <c r="L320" i="75"/>
  <c r="L338" i="75" s="1"/>
  <c r="L327" i="75"/>
  <c r="L345" i="75" s="1"/>
  <c r="L319" i="75"/>
  <c r="L337" i="75" s="1"/>
  <c r="L963" i="61"/>
  <c r="L981" i="61" s="1"/>
  <c r="L960" i="61"/>
  <c r="L972" i="61"/>
  <c r="L990" i="61" s="1"/>
  <c r="L964" i="61"/>
  <c r="L982" i="61" s="1"/>
  <c r="L967" i="61"/>
  <c r="L985" i="61" s="1"/>
  <c r="L970" i="61"/>
  <c r="L988" i="61" s="1"/>
  <c r="L965" i="61"/>
  <c r="L983" i="61" s="1"/>
  <c r="L968" i="61"/>
  <c r="L986" i="61" s="1"/>
  <c r="L962" i="61"/>
  <c r="L980" i="61" s="1"/>
  <c r="L971" i="61"/>
  <c r="L989" i="61" s="1"/>
  <c r="L969" i="61"/>
  <c r="L987" i="61" s="1"/>
  <c r="L966" i="61"/>
  <c r="L984" i="61" s="1"/>
  <c r="L973" i="61"/>
  <c r="L991" i="61" s="1"/>
  <c r="L961" i="61"/>
  <c r="L979" i="61" s="1"/>
  <c r="K206" i="33"/>
  <c r="K220" i="33" s="1"/>
  <c r="K202" i="33"/>
  <c r="K269" i="33" s="1"/>
  <c r="K211" i="61"/>
  <c r="K225" i="61" s="1"/>
  <c r="K207" i="61"/>
  <c r="K274" i="61" s="1"/>
  <c r="K558" i="53"/>
  <c r="K572" i="53" s="1"/>
  <c r="K554" i="53"/>
  <c r="K621" i="53" s="1"/>
  <c r="K237" i="57"/>
  <c r="K304" i="57" s="1"/>
  <c r="K241" i="57"/>
  <c r="K255" i="57" s="1"/>
  <c r="K512" i="41"/>
  <c r="K579" i="41" s="1"/>
  <c r="K516" i="41"/>
  <c r="K530" i="41" s="1"/>
  <c r="K206" i="69"/>
  <c r="K220" i="69" s="1"/>
  <c r="K202" i="69"/>
  <c r="K269" i="69" s="1"/>
  <c r="M91" i="69"/>
  <c r="M346" i="69"/>
  <c r="N81" i="69"/>
  <c r="N82" i="69"/>
  <c r="M77" i="69"/>
  <c r="M95" i="69"/>
  <c r="M96" i="69"/>
  <c r="L98" i="69"/>
  <c r="L88" i="27" s="1"/>
  <c r="L246" i="69"/>
  <c r="L257" i="69" s="1"/>
  <c r="L251" i="69"/>
  <c r="L262" i="69" s="1"/>
  <c r="L248" i="69"/>
  <c r="L259" i="69" s="1"/>
  <c r="L250" i="69"/>
  <c r="L261" i="69" s="1"/>
  <c r="L249" i="69"/>
  <c r="L260" i="69" s="1"/>
  <c r="L247" i="69"/>
  <c r="L258" i="69" s="1"/>
  <c r="L245" i="69"/>
  <c r="N89" i="69"/>
  <c r="N88" i="69"/>
  <c r="N74" i="69"/>
  <c r="N75" i="69"/>
  <c r="M339" i="69"/>
  <c r="M84" i="69"/>
  <c r="N344" i="69"/>
  <c r="N343" i="69"/>
  <c r="N329" i="69"/>
  <c r="N330" i="69"/>
  <c r="N337" i="69"/>
  <c r="N336" i="69"/>
  <c r="L353" i="69"/>
  <c r="L89" i="27" s="1"/>
  <c r="L505" i="69"/>
  <c r="L516" i="69" s="1"/>
  <c r="L502" i="69"/>
  <c r="L513" i="69" s="1"/>
  <c r="L504" i="69"/>
  <c r="L515" i="69" s="1"/>
  <c r="L500" i="69"/>
  <c r="L501" i="69"/>
  <c r="L512" i="69" s="1"/>
  <c r="L506" i="69"/>
  <c r="L517" i="69" s="1"/>
  <c r="L503" i="69"/>
  <c r="L514" i="69" s="1"/>
  <c r="M350" i="69"/>
  <c r="M332" i="69"/>
  <c r="M351" i="69"/>
  <c r="M137" i="45"/>
  <c r="M135" i="45"/>
  <c r="M617" i="69"/>
  <c r="M138" i="45"/>
  <c r="M358" i="61"/>
  <c r="M132" i="45"/>
  <c r="M619" i="69"/>
  <c r="L103" i="61"/>
  <c r="L84" i="27" s="1"/>
  <c r="L281" i="57"/>
  <c r="L292" i="57" s="1"/>
  <c r="L280" i="57"/>
  <c r="L284" i="57"/>
  <c r="L295" i="57" s="1"/>
  <c r="L282" i="57"/>
  <c r="L293" i="57" s="1"/>
  <c r="L286" i="57"/>
  <c r="L297" i="57" s="1"/>
  <c r="L283" i="57"/>
  <c r="L294" i="57" s="1"/>
  <c r="L285" i="57"/>
  <c r="L296" i="57" s="1"/>
  <c r="L254" i="61"/>
  <c r="L265" i="61" s="1"/>
  <c r="L1023" i="61"/>
  <c r="L1034" i="61" s="1"/>
  <c r="L1021" i="61"/>
  <c r="L1032" i="61" s="1"/>
  <c r="L1020" i="61"/>
  <c r="L1031" i="61" s="1"/>
  <c r="L1018" i="61"/>
  <c r="L1029" i="61" s="1"/>
  <c r="L1017" i="61"/>
  <c r="L1022" i="61"/>
  <c r="L1033" i="61" s="1"/>
  <c r="L1019" i="61"/>
  <c r="L1030" i="61" s="1"/>
  <c r="L763" i="61"/>
  <c r="L774" i="61" s="1"/>
  <c r="L765" i="61"/>
  <c r="L776" i="61" s="1"/>
  <c r="L762" i="61"/>
  <c r="L766" i="61"/>
  <c r="L777" i="61" s="1"/>
  <c r="L764" i="61"/>
  <c r="L775" i="61" s="1"/>
  <c r="L767" i="61"/>
  <c r="L778" i="61" s="1"/>
  <c r="L768" i="61"/>
  <c r="L779" i="61" s="1"/>
  <c r="L256" i="61"/>
  <c r="L267" i="61" s="1"/>
  <c r="L774" i="69"/>
  <c r="L785" i="69" s="1"/>
  <c r="L772" i="69"/>
  <c r="L783" i="69" s="1"/>
  <c r="L773" i="69"/>
  <c r="L784" i="69" s="1"/>
  <c r="L771" i="69"/>
  <c r="L782" i="69" s="1"/>
  <c r="L769" i="69"/>
  <c r="L780" i="69" s="1"/>
  <c r="L768" i="69"/>
  <c r="L770" i="69"/>
  <c r="L781" i="69" s="1"/>
  <c r="L543" i="45"/>
  <c r="L554" i="45" s="1"/>
  <c r="L545" i="45"/>
  <c r="L556" i="45" s="1"/>
  <c r="L547" i="45"/>
  <c r="L558" i="45" s="1"/>
  <c r="L546" i="45"/>
  <c r="L557" i="45" s="1"/>
  <c r="L544" i="45"/>
  <c r="L555" i="45" s="1"/>
  <c r="L542" i="45"/>
  <c r="L553" i="45" s="1"/>
  <c r="L541" i="45"/>
  <c r="L252" i="61"/>
  <c r="L263" i="61" s="1"/>
  <c r="L544" i="19"/>
  <c r="L555" i="19" s="1"/>
  <c r="L545" i="19"/>
  <c r="L556" i="19" s="1"/>
  <c r="L542" i="19"/>
  <c r="L553" i="19" s="1"/>
  <c r="L541" i="19"/>
  <c r="L546" i="19"/>
  <c r="L557" i="19" s="1"/>
  <c r="L543" i="19"/>
  <c r="L554" i="19" s="1"/>
  <c r="L547" i="19"/>
  <c r="L558" i="19" s="1"/>
  <c r="L266" i="37"/>
  <c r="L270" i="37"/>
  <c r="L281" i="37" s="1"/>
  <c r="L272" i="37"/>
  <c r="L283" i="37" s="1"/>
  <c r="L271" i="37"/>
  <c r="L282" i="37" s="1"/>
  <c r="L267" i="37"/>
  <c r="L278" i="37" s="1"/>
  <c r="L268" i="37"/>
  <c r="L279" i="37" s="1"/>
  <c r="L269" i="37"/>
  <c r="L280" i="37" s="1"/>
  <c r="L250" i="61"/>
  <c r="L261" i="61" s="1"/>
  <c r="L508" i="61"/>
  <c r="L519" i="61" s="1"/>
  <c r="L511" i="61"/>
  <c r="L522" i="61" s="1"/>
  <c r="L513" i="61"/>
  <c r="L524" i="61" s="1"/>
  <c r="L512" i="61"/>
  <c r="L523" i="61" s="1"/>
  <c r="L507" i="61"/>
  <c r="L510" i="61"/>
  <c r="L521" i="61" s="1"/>
  <c r="L509" i="61"/>
  <c r="L520" i="61" s="1"/>
  <c r="L253" i="61"/>
  <c r="L264" i="61" s="1"/>
  <c r="L250" i="77"/>
  <c r="L261" i="77" s="1"/>
  <c r="L251" i="77"/>
  <c r="L262" i="77" s="1"/>
  <c r="L249" i="77"/>
  <c r="L260" i="77" s="1"/>
  <c r="L247" i="77"/>
  <c r="L258" i="77" s="1"/>
  <c r="L248" i="77"/>
  <c r="L259" i="77" s="1"/>
  <c r="L245" i="77"/>
  <c r="L246" i="77"/>
  <c r="L257" i="77" s="1"/>
  <c r="L251" i="61"/>
  <c r="L262" i="61" s="1"/>
  <c r="L267" i="19"/>
  <c r="L278" i="19" s="1"/>
  <c r="L271" i="19"/>
  <c r="L282" i="19" s="1"/>
  <c r="L268" i="19"/>
  <c r="L279" i="19" s="1"/>
  <c r="L272" i="19"/>
  <c r="L283" i="19" s="1"/>
  <c r="L269" i="19"/>
  <c r="L280" i="19" s="1"/>
  <c r="L266" i="19"/>
  <c r="L270" i="19"/>
  <c r="L281" i="19" s="1"/>
  <c r="L821" i="19"/>
  <c r="L832" i="19" s="1"/>
  <c r="L820" i="19"/>
  <c r="L831" i="19" s="1"/>
  <c r="L822" i="19"/>
  <c r="L833" i="19" s="1"/>
  <c r="L819" i="19"/>
  <c r="L830" i="19" s="1"/>
  <c r="L817" i="19"/>
  <c r="L828" i="19" s="1"/>
  <c r="L816" i="19"/>
  <c r="L818" i="19"/>
  <c r="L829" i="19" s="1"/>
  <c r="L255" i="61"/>
  <c r="L266" i="61" s="1"/>
  <c r="L247" i="33"/>
  <c r="L258" i="33" s="1"/>
  <c r="L250" i="33"/>
  <c r="L261" i="33" s="1"/>
  <c r="L251" i="33"/>
  <c r="L262" i="33" s="1"/>
  <c r="L248" i="33"/>
  <c r="L259" i="33" s="1"/>
  <c r="L245" i="33"/>
  <c r="L249" i="33"/>
  <c r="L260" i="33" s="1"/>
  <c r="L246" i="33"/>
  <c r="L257" i="33" s="1"/>
  <c r="L563" i="57"/>
  <c r="L574" i="57" s="1"/>
  <c r="L565" i="57"/>
  <c r="L576" i="57" s="1"/>
  <c r="L562" i="57"/>
  <c r="L564" i="57"/>
  <c r="L575" i="57" s="1"/>
  <c r="L566" i="57"/>
  <c r="L577" i="57" s="1"/>
  <c r="L567" i="57"/>
  <c r="L578" i="57" s="1"/>
  <c r="L568" i="57"/>
  <c r="L579" i="57" s="1"/>
  <c r="L288" i="45"/>
  <c r="L299" i="45" s="1"/>
  <c r="L290" i="45"/>
  <c r="L301" i="45" s="1"/>
  <c r="L287" i="45"/>
  <c r="L293" i="45"/>
  <c r="L304" i="45" s="1"/>
  <c r="L291" i="45"/>
  <c r="L302" i="45" s="1"/>
  <c r="L289" i="45"/>
  <c r="L300" i="45" s="1"/>
  <c r="L292" i="45"/>
  <c r="L303" i="45" s="1"/>
  <c r="L372" i="75"/>
  <c r="L383" i="75" s="1"/>
  <c r="L377" i="75"/>
  <c r="L388" i="75" s="1"/>
  <c r="L376" i="75"/>
  <c r="L387" i="75" s="1"/>
  <c r="L374" i="75"/>
  <c r="L385" i="75" s="1"/>
  <c r="L375" i="75"/>
  <c r="L386" i="75" s="1"/>
  <c r="L373" i="75"/>
  <c r="L384" i="75" s="1"/>
  <c r="L371" i="75"/>
  <c r="M136" i="45"/>
  <c r="M608" i="61"/>
  <c r="M134" i="45"/>
  <c r="M133" i="45"/>
  <c r="M856" i="61"/>
  <c r="M601" i="61"/>
  <c r="M89" i="61"/>
  <c r="M127" i="45"/>
  <c r="M380" i="45"/>
  <c r="M413" i="57"/>
  <c r="M664" i="19"/>
  <c r="M384" i="19"/>
  <c r="M867" i="61"/>
  <c r="M353" i="61"/>
  <c r="M91" i="77"/>
  <c r="M374" i="19"/>
  <c r="M126" i="57"/>
  <c r="M99" i="37"/>
  <c r="N93" i="19"/>
  <c r="N96" i="19"/>
  <c r="N97" i="19"/>
  <c r="N94" i="19"/>
  <c r="N95" i="19"/>
  <c r="N598" i="61"/>
  <c r="N599" i="61"/>
  <c r="N123" i="45"/>
  <c r="N120" i="45"/>
  <c r="N118" i="45"/>
  <c r="N121" i="45"/>
  <c r="N125" i="45"/>
  <c r="N122" i="45"/>
  <c r="N119" i="45"/>
  <c r="N124" i="45"/>
  <c r="M409" i="57"/>
  <c r="N157" i="75"/>
  <c r="N162" i="75"/>
  <c r="N164" i="75"/>
  <c r="N165" i="75"/>
  <c r="N170" i="75"/>
  <c r="N167" i="75"/>
  <c r="N158" i="75"/>
  <c r="N160" i="75"/>
  <c r="N155" i="75"/>
  <c r="N166" i="75"/>
  <c r="N163" i="75"/>
  <c r="N161" i="75"/>
  <c r="N172" i="75"/>
  <c r="N169" i="75"/>
  <c r="N159" i="75"/>
  <c r="N156" i="75"/>
  <c r="N154" i="75"/>
  <c r="N171" i="75"/>
  <c r="N153" i="75"/>
  <c r="N168" i="75"/>
  <c r="N370" i="19"/>
  <c r="N372" i="19"/>
  <c r="N371" i="19"/>
  <c r="N368" i="19"/>
  <c r="N369" i="19"/>
  <c r="M346" i="61"/>
  <c r="N655" i="19"/>
  <c r="N656" i="19"/>
  <c r="N653" i="19"/>
  <c r="N657" i="19"/>
  <c r="N654" i="19"/>
  <c r="N860" i="61"/>
  <c r="N861" i="61"/>
  <c r="M96" i="61"/>
  <c r="K252" i="33"/>
  <c r="K270" i="33" s="1"/>
  <c r="K256" i="33"/>
  <c r="K263" i="33" s="1"/>
  <c r="L360" i="61"/>
  <c r="L85" i="27" s="1"/>
  <c r="K277" i="49"/>
  <c r="K284" i="49" s="1"/>
  <c r="K273" i="49"/>
  <c r="K291" i="49" s="1"/>
  <c r="L621" i="69"/>
  <c r="L90" i="27" s="1"/>
  <c r="M101" i="61"/>
  <c r="N99" i="45"/>
  <c r="N92" i="45"/>
  <c r="N95" i="45"/>
  <c r="N98" i="45"/>
  <c r="N93" i="45"/>
  <c r="N94" i="45"/>
  <c r="N97" i="45"/>
  <c r="N96" i="45"/>
  <c r="N591" i="69"/>
  <c r="N589" i="69"/>
  <c r="N592" i="69"/>
  <c r="N590" i="69"/>
  <c r="M387" i="45"/>
  <c r="K527" i="37"/>
  <c r="K545" i="37" s="1"/>
  <c r="K531" i="37"/>
  <c r="K538" i="37" s="1"/>
  <c r="M219" i="75"/>
  <c r="M212" i="75"/>
  <c r="M217" i="75"/>
  <c r="M389" i="19"/>
  <c r="M130" i="57"/>
  <c r="L140" i="45"/>
  <c r="L76" i="27" s="1"/>
  <c r="M115" i="37"/>
  <c r="M115" i="19"/>
  <c r="L669" i="19"/>
  <c r="L71" i="27" s="1"/>
  <c r="K827" i="19"/>
  <c r="K834" i="19" s="1"/>
  <c r="K823" i="19"/>
  <c r="K841" i="19" s="1"/>
  <c r="M410" i="57"/>
  <c r="K514" i="61"/>
  <c r="K532" i="61" s="1"/>
  <c r="K518" i="61"/>
  <c r="K525" i="61" s="1"/>
  <c r="N599" i="69"/>
  <c r="N598" i="69"/>
  <c r="N601" i="69"/>
  <c r="N600" i="69"/>
  <c r="K298" i="45"/>
  <c r="K305" i="45" s="1"/>
  <c r="K294" i="45"/>
  <c r="K312" i="45" s="1"/>
  <c r="M109" i="37"/>
  <c r="K257" i="61"/>
  <c r="K275" i="61" s="1"/>
  <c r="K261" i="61"/>
  <c r="K268" i="61" s="1"/>
  <c r="L98" i="33"/>
  <c r="L70" i="27" s="1"/>
  <c r="L394" i="19"/>
  <c r="L69" i="27" s="1"/>
  <c r="K573" i="57"/>
  <c r="K580" i="57" s="1"/>
  <c r="K569" i="57"/>
  <c r="K587" i="57" s="1"/>
  <c r="N93" i="61"/>
  <c r="N94" i="61"/>
  <c r="N364" i="37"/>
  <c r="N363" i="37"/>
  <c r="M649" i="19"/>
  <c r="K378" i="75"/>
  <c r="K396" i="75" s="1"/>
  <c r="K382" i="75"/>
  <c r="K389" i="75" s="1"/>
  <c r="M82" i="61"/>
  <c r="M100" i="61"/>
  <c r="N87" i="19"/>
  <c r="N85" i="19"/>
  <c r="N83" i="19"/>
  <c r="N86" i="19"/>
  <c r="N84" i="19"/>
  <c r="N83" i="37"/>
  <c r="N86" i="37"/>
  <c r="N84" i="37"/>
  <c r="N87" i="37"/>
  <c r="N85" i="37"/>
  <c r="M392" i="45"/>
  <c r="M204" i="75"/>
  <c r="M210" i="75"/>
  <c r="M206" i="75"/>
  <c r="K252" i="69"/>
  <c r="K270" i="69" s="1"/>
  <c r="K256" i="69"/>
  <c r="K263" i="69" s="1"/>
  <c r="L224" i="75"/>
  <c r="L91" i="27" s="1"/>
  <c r="M391" i="19"/>
  <c r="M117" i="37"/>
  <c r="M89" i="19"/>
  <c r="M113" i="19"/>
  <c r="L615" i="61"/>
  <c r="L86" i="27" s="1"/>
  <c r="M408" i="57"/>
  <c r="M382" i="57"/>
  <c r="N87" i="61"/>
  <c r="N86" i="61"/>
  <c r="N89" i="33"/>
  <c r="N88" i="33"/>
  <c r="N89" i="77"/>
  <c r="N88" i="77"/>
  <c r="N350" i="61"/>
  <c r="N351" i="61"/>
  <c r="O802" i="61"/>
  <c r="O285" i="69"/>
  <c r="O540" i="69"/>
  <c r="O327" i="45"/>
  <c r="O547" i="61"/>
  <c r="O306" i="41"/>
  <c r="O306" i="49"/>
  <c r="O334" i="53"/>
  <c r="O306" i="19"/>
  <c r="O290" i="61"/>
  <c r="O320" i="57"/>
  <c r="O581" i="19"/>
  <c r="O306" i="37"/>
  <c r="O31" i="45"/>
  <c r="O31" i="53"/>
  <c r="O31" i="33"/>
  <c r="O31" i="77"/>
  <c r="O31" i="61"/>
  <c r="O31" i="41"/>
  <c r="O31" i="49"/>
  <c r="O31" i="75"/>
  <c r="O31" i="57"/>
  <c r="O31" i="37"/>
  <c r="O31" i="69"/>
  <c r="O31" i="29"/>
  <c r="O31" i="18"/>
  <c r="O31" i="19"/>
  <c r="M594" i="61"/>
  <c r="M612" i="61"/>
  <c r="M77" i="33"/>
  <c r="M95" i="33"/>
  <c r="M84" i="77"/>
  <c r="N90" i="57"/>
  <c r="N89" i="57"/>
  <c r="N91" i="57"/>
  <c r="N92" i="57"/>
  <c r="N93" i="57"/>
  <c r="N94" i="57"/>
  <c r="N95" i="57"/>
  <c r="N592" i="61"/>
  <c r="N591" i="61"/>
  <c r="N847" i="61"/>
  <c r="N846" i="61"/>
  <c r="M96" i="77"/>
  <c r="K277" i="37"/>
  <c r="K284" i="37" s="1"/>
  <c r="K273" i="37"/>
  <c r="K291" i="37" s="1"/>
  <c r="M99" i="19"/>
  <c r="M222" i="75"/>
  <c r="M220" i="75"/>
  <c r="M216" i="75"/>
  <c r="M393" i="57"/>
  <c r="K1028" i="61"/>
  <c r="K1035" i="61" s="1"/>
  <c r="K1024" i="61"/>
  <c r="K1042" i="61" s="1"/>
  <c r="M390" i="19"/>
  <c r="M97" i="57"/>
  <c r="M125" i="57"/>
  <c r="L870" i="61"/>
  <c r="L87" i="27" s="1"/>
  <c r="M114" i="37"/>
  <c r="M667" i="19"/>
  <c r="K552" i="45"/>
  <c r="K559" i="45" s="1"/>
  <c r="K548" i="45"/>
  <c r="K566" i="45" s="1"/>
  <c r="K552" i="49"/>
  <c r="K559" i="49" s="1"/>
  <c r="K548" i="49"/>
  <c r="K566" i="49" s="1"/>
  <c r="L98" i="77"/>
  <c r="L92" i="27" s="1"/>
  <c r="K305" i="53"/>
  <c r="K312" i="53" s="1"/>
  <c r="K301" i="53"/>
  <c r="K319" i="53" s="1"/>
  <c r="M96" i="33"/>
  <c r="M91" i="33"/>
  <c r="N79" i="61"/>
  <c r="N80" i="61"/>
  <c r="N133" i="75"/>
  <c r="N141" i="75"/>
  <c r="N128" i="75"/>
  <c r="N130" i="75"/>
  <c r="N136" i="75"/>
  <c r="N147" i="75"/>
  <c r="N129" i="75"/>
  <c r="N138" i="75"/>
  <c r="N137" i="75"/>
  <c r="N139" i="75"/>
  <c r="N145" i="75"/>
  <c r="N140" i="75"/>
  <c r="N131" i="75"/>
  <c r="N142" i="75"/>
  <c r="N132" i="75"/>
  <c r="N143" i="75"/>
  <c r="N135" i="75"/>
  <c r="N146" i="75"/>
  <c r="N134" i="75"/>
  <c r="N144" i="75"/>
  <c r="N380" i="57"/>
  <c r="N378" i="57"/>
  <c r="N375" i="57"/>
  <c r="N379" i="57"/>
  <c r="N376" i="57"/>
  <c r="N377" i="57"/>
  <c r="M77" i="77"/>
  <c r="M95" i="77"/>
  <c r="M211" i="75"/>
  <c r="M209" i="75"/>
  <c r="M205" i="75"/>
  <c r="M613" i="61"/>
  <c r="M121" i="57"/>
  <c r="M388" i="19"/>
  <c r="M364" i="19"/>
  <c r="M174" i="75"/>
  <c r="K773" i="61"/>
  <c r="K780" i="61" s="1"/>
  <c r="K769" i="61"/>
  <c r="K787" i="61" s="1"/>
  <c r="M116" i="37"/>
  <c r="M404" i="57"/>
  <c r="M616" i="69"/>
  <c r="M594" i="69"/>
  <c r="N81" i="33"/>
  <c r="N82" i="33"/>
  <c r="N378" i="45"/>
  <c r="N377" i="45"/>
  <c r="N357" i="37"/>
  <c r="N356" i="37"/>
  <c r="M391" i="45"/>
  <c r="M373" i="45"/>
  <c r="N103" i="37"/>
  <c r="N104" i="37"/>
  <c r="N105" i="37"/>
  <c r="N106" i="37"/>
  <c r="N107" i="37"/>
  <c r="N382" i="19"/>
  <c r="N381" i="19"/>
  <c r="N378" i="19"/>
  <c r="N379" i="19"/>
  <c r="N380" i="19"/>
  <c r="N605" i="61"/>
  <c r="N606" i="61"/>
  <c r="M659" i="19"/>
  <c r="K511" i="69"/>
  <c r="K518" i="69" s="1"/>
  <c r="K507" i="69"/>
  <c r="K525" i="69" s="1"/>
  <c r="N635" i="19"/>
  <c r="N636" i="19"/>
  <c r="N637" i="19"/>
  <c r="N634" i="19"/>
  <c r="N633" i="19"/>
  <c r="O318" i="57"/>
  <c r="O800" i="61"/>
  <c r="O283" i="69"/>
  <c r="O325" i="45"/>
  <c r="O545" i="61"/>
  <c r="O304" i="41"/>
  <c r="O304" i="49"/>
  <c r="O332" i="53"/>
  <c r="O304" i="19"/>
  <c r="O304" i="37"/>
  <c r="O538" i="69"/>
  <c r="O288" i="61"/>
  <c r="O579" i="19"/>
  <c r="O29" i="53"/>
  <c r="O29" i="61"/>
  <c r="O29" i="41"/>
  <c r="O29" i="49"/>
  <c r="O29" i="75"/>
  <c r="O29" i="57"/>
  <c r="O29" i="45"/>
  <c r="O29" i="69"/>
  <c r="O29" i="77"/>
  <c r="O29" i="37"/>
  <c r="O29" i="33"/>
  <c r="O29" i="29"/>
  <c r="O29" i="18"/>
  <c r="O29" i="19"/>
  <c r="M199" i="75"/>
  <c r="M221" i="75"/>
  <c r="M215" i="75"/>
  <c r="M128" i="57"/>
  <c r="M89" i="37"/>
  <c r="M113" i="37"/>
  <c r="N645" i="19"/>
  <c r="N647" i="19"/>
  <c r="N644" i="19"/>
  <c r="N646" i="19"/>
  <c r="N643" i="19"/>
  <c r="L119" i="19"/>
  <c r="L67" i="27" s="1"/>
  <c r="K326" i="29"/>
  <c r="K333" i="29" s="1"/>
  <c r="K322" i="29"/>
  <c r="K340" i="29" s="1"/>
  <c r="N93" i="37"/>
  <c r="N95" i="37"/>
  <c r="N96" i="37"/>
  <c r="N94" i="37"/>
  <c r="N97" i="37"/>
  <c r="N344" i="61"/>
  <c r="N343" i="61"/>
  <c r="N113" i="57"/>
  <c r="N117" i="57"/>
  <c r="N115" i="57"/>
  <c r="N114" i="57"/>
  <c r="N118" i="57"/>
  <c r="N119" i="57"/>
  <c r="N116" i="57"/>
  <c r="N385" i="45"/>
  <c r="N384" i="45"/>
  <c r="M666" i="19"/>
  <c r="M612" i="69"/>
  <c r="N75" i="33"/>
  <c r="N74" i="33"/>
  <c r="N75" i="77"/>
  <c r="N74" i="77"/>
  <c r="N350" i="37"/>
  <c r="N349" i="37"/>
  <c r="L415" i="57"/>
  <c r="L83" i="27" s="1"/>
  <c r="M203" i="75"/>
  <c r="M149" i="75"/>
  <c r="M218" i="75"/>
  <c r="M863" i="61"/>
  <c r="M849" i="61"/>
  <c r="M868" i="61"/>
  <c r="M127" i="57"/>
  <c r="K552" i="19"/>
  <c r="K559" i="19" s="1"/>
  <c r="K548" i="19"/>
  <c r="K566" i="19" s="1"/>
  <c r="M117" i="19"/>
  <c r="M109" i="57"/>
  <c r="M114" i="45"/>
  <c r="K604" i="53"/>
  <c r="K622" i="53" s="1"/>
  <c r="K608" i="53"/>
  <c r="K615" i="53" s="1"/>
  <c r="N81" i="77"/>
  <c r="N82" i="77"/>
  <c r="K566" i="41"/>
  <c r="K573" i="41" s="1"/>
  <c r="K562" i="41"/>
  <c r="K580" i="41" s="1"/>
  <c r="K779" i="69"/>
  <c r="K786" i="69" s="1"/>
  <c r="K775" i="69"/>
  <c r="K793" i="69" s="1"/>
  <c r="M412" i="57"/>
  <c r="N854" i="61"/>
  <c r="N853" i="61"/>
  <c r="M370" i="37"/>
  <c r="N197" i="75"/>
  <c r="N182" i="75"/>
  <c r="N179" i="75"/>
  <c r="N183" i="75"/>
  <c r="N194" i="75"/>
  <c r="N184" i="75"/>
  <c r="N188" i="75"/>
  <c r="N192" i="75"/>
  <c r="N195" i="75"/>
  <c r="N178" i="75"/>
  <c r="N187" i="75"/>
  <c r="N180" i="75"/>
  <c r="N185" i="75"/>
  <c r="N191" i="75"/>
  <c r="N189" i="75"/>
  <c r="N181" i="75"/>
  <c r="N196" i="75"/>
  <c r="N190" i="75"/>
  <c r="N186" i="75"/>
  <c r="N193" i="75"/>
  <c r="N609" i="69"/>
  <c r="N610" i="69"/>
  <c r="N607" i="69"/>
  <c r="N608" i="69"/>
  <c r="M665" i="19"/>
  <c r="M84" i="33"/>
  <c r="K287" i="57"/>
  <c r="K305" i="57" s="1"/>
  <c r="K291" i="57"/>
  <c r="K298" i="57" s="1"/>
  <c r="L133" i="57"/>
  <c r="L82" i="27" s="1"/>
  <c r="N360" i="19"/>
  <c r="N358" i="19"/>
  <c r="N359" i="19"/>
  <c r="N362" i="19"/>
  <c r="N361" i="19"/>
  <c r="N337" i="61"/>
  <c r="N336" i="61"/>
  <c r="M214" i="75"/>
  <c r="M208" i="75"/>
  <c r="M109" i="19"/>
  <c r="M129" i="57"/>
  <c r="K277" i="41"/>
  <c r="K284" i="41" s="1"/>
  <c r="K273" i="41"/>
  <c r="K291" i="41" s="1"/>
  <c r="M357" i="61"/>
  <c r="M339" i="61"/>
  <c r="M114" i="19"/>
  <c r="M618" i="69"/>
  <c r="M411" i="57"/>
  <c r="M131" i="45"/>
  <c r="M101" i="45"/>
  <c r="N107" i="57"/>
  <c r="N105" i="57"/>
  <c r="N106" i="57"/>
  <c r="N102" i="57"/>
  <c r="N103" i="57"/>
  <c r="N104" i="57"/>
  <c r="N101" i="57"/>
  <c r="N112" i="45"/>
  <c r="N105" i="45"/>
  <c r="N108" i="45"/>
  <c r="N111" i="45"/>
  <c r="N106" i="45"/>
  <c r="N107" i="45"/>
  <c r="N110" i="45"/>
  <c r="N109" i="45"/>
  <c r="N386" i="57"/>
  <c r="N387" i="57"/>
  <c r="N390" i="57"/>
  <c r="N391" i="57"/>
  <c r="N388" i="57"/>
  <c r="N389" i="57"/>
  <c r="O326" i="45"/>
  <c r="O546" i="61"/>
  <c r="O305" i="41"/>
  <c r="O289" i="61"/>
  <c r="O305" i="37"/>
  <c r="O580" i="19"/>
  <c r="O305" i="49"/>
  <c r="O333" i="53"/>
  <c r="O305" i="19"/>
  <c r="O319" i="57"/>
  <c r="O539" i="69"/>
  <c r="O284" i="69"/>
  <c r="O801" i="61"/>
  <c r="O30" i="49"/>
  <c r="O30" i="57"/>
  <c r="O30" i="37"/>
  <c r="O30" i="45"/>
  <c r="O30" i="69"/>
  <c r="O30" i="53"/>
  <c r="O30" i="77"/>
  <c r="O30" i="61"/>
  <c r="O30" i="41"/>
  <c r="O30" i="29"/>
  <c r="O30" i="75"/>
  <c r="O30" i="33"/>
  <c r="O30" i="18"/>
  <c r="O30" i="19"/>
  <c r="K277" i="19"/>
  <c r="K284" i="19" s="1"/>
  <c r="K273" i="19"/>
  <c r="K291" i="19" s="1"/>
  <c r="N103" i="19"/>
  <c r="N104" i="19"/>
  <c r="N105" i="19"/>
  <c r="N106" i="19"/>
  <c r="N107" i="19"/>
  <c r="N400" i="57"/>
  <c r="N399" i="57"/>
  <c r="N401" i="57"/>
  <c r="N397" i="57"/>
  <c r="N398" i="57"/>
  <c r="N402" i="57"/>
  <c r="M663" i="19"/>
  <c r="M639" i="19"/>
  <c r="L119" i="37"/>
  <c r="L72" i="27" s="1"/>
  <c r="N371" i="45"/>
  <c r="N370" i="45"/>
  <c r="M213" i="75"/>
  <c r="M207" i="75"/>
  <c r="M392" i="19"/>
  <c r="M131" i="57"/>
  <c r="M116" i="19"/>
  <c r="M603" i="69"/>
  <c r="K252" i="77"/>
  <c r="K270" i="77" s="1"/>
  <c r="K256" i="77"/>
  <c r="K263" i="77" s="1"/>
  <c r="L394" i="45"/>
  <c r="L77" i="27" s="1"/>
  <c r="K183" i="45" l="1"/>
  <c r="K146" i="61"/>
  <c r="K451" i="41"/>
  <c r="K203" i="45"/>
  <c r="K315" i="45" s="1"/>
  <c r="M374" i="61"/>
  <c r="M376" i="61"/>
  <c r="M379" i="61"/>
  <c r="M373" i="61"/>
  <c r="M381" i="61"/>
  <c r="M369" i="61"/>
  <c r="M377" i="61"/>
  <c r="M382" i="61"/>
  <c r="M380" i="61"/>
  <c r="M367" i="61"/>
  <c r="M370" i="61"/>
  <c r="M372" i="61"/>
  <c r="M368" i="61"/>
  <c r="M371" i="61"/>
  <c r="M375" i="61"/>
  <c r="M378" i="61"/>
  <c r="M116" i="77"/>
  <c r="M114" i="77"/>
  <c r="M118" i="77"/>
  <c r="M113" i="77"/>
  <c r="M109" i="77"/>
  <c r="M106" i="77"/>
  <c r="M112" i="77"/>
  <c r="M115" i="77"/>
  <c r="M117" i="77"/>
  <c r="M119" i="77"/>
  <c r="M120" i="77"/>
  <c r="M107" i="77"/>
  <c r="M108" i="77"/>
  <c r="M110" i="77"/>
  <c r="M111" i="77"/>
  <c r="M105" i="77"/>
  <c r="M112" i="33"/>
  <c r="M115" i="33"/>
  <c r="M118" i="33"/>
  <c r="M117" i="33"/>
  <c r="M105" i="33"/>
  <c r="M108" i="33"/>
  <c r="M111" i="33"/>
  <c r="M114" i="33"/>
  <c r="M120" i="33"/>
  <c r="M107" i="33"/>
  <c r="M110" i="33"/>
  <c r="M113" i="33"/>
  <c r="M116" i="33"/>
  <c r="M119" i="33"/>
  <c r="M109" i="33"/>
  <c r="M106" i="33"/>
  <c r="M361" i="69"/>
  <c r="M367" i="69"/>
  <c r="M373" i="69"/>
  <c r="M368" i="69"/>
  <c r="M374" i="69"/>
  <c r="M362" i="69"/>
  <c r="M363" i="69"/>
  <c r="M369" i="69"/>
  <c r="M375" i="69"/>
  <c r="M371" i="69"/>
  <c r="M372" i="69"/>
  <c r="M364" i="69"/>
  <c r="M370" i="69"/>
  <c r="M365" i="69"/>
  <c r="M360" i="69"/>
  <c r="M366" i="69"/>
  <c r="M184" i="18"/>
  <c r="M187" i="18"/>
  <c r="M190" i="18"/>
  <c r="M193" i="18"/>
  <c r="M196" i="18"/>
  <c r="M183" i="18"/>
  <c r="M186" i="18"/>
  <c r="M188" i="18"/>
  <c r="M189" i="18"/>
  <c r="M195" i="18"/>
  <c r="M191" i="18"/>
  <c r="M194" i="18"/>
  <c r="M182" i="18"/>
  <c r="M185" i="18"/>
  <c r="M197" i="18"/>
  <c r="M192" i="18"/>
  <c r="L203" i="53"/>
  <c r="L183" i="53"/>
  <c r="L206" i="53"/>
  <c r="L186" i="53"/>
  <c r="L180" i="49"/>
  <c r="L160" i="49"/>
  <c r="L176" i="49"/>
  <c r="L156" i="49"/>
  <c r="L145" i="77"/>
  <c r="L125" i="77"/>
  <c r="L121" i="77"/>
  <c r="L268" i="77" s="1"/>
  <c r="L150" i="77"/>
  <c r="L130" i="77"/>
  <c r="L156" i="61"/>
  <c r="L136" i="61"/>
  <c r="L155" i="61"/>
  <c r="L135" i="61"/>
  <c r="K196" i="57"/>
  <c r="K308" i="57" s="1"/>
  <c r="L506" i="53"/>
  <c r="L486" i="53"/>
  <c r="L499" i="53"/>
  <c r="L479" i="53"/>
  <c r="L922" i="61"/>
  <c r="L902" i="61"/>
  <c r="L927" i="61"/>
  <c r="L907" i="61"/>
  <c r="L175" i="41"/>
  <c r="L155" i="41"/>
  <c r="L167" i="41"/>
  <c r="L147" i="41"/>
  <c r="L216" i="29"/>
  <c r="L196" i="29"/>
  <c r="L219" i="29"/>
  <c r="L199" i="29"/>
  <c r="L168" i="19"/>
  <c r="L148" i="19"/>
  <c r="L176" i="19"/>
  <c r="L156" i="19"/>
  <c r="L385" i="69"/>
  <c r="L405" i="69"/>
  <c r="L412" i="69"/>
  <c r="L392" i="69"/>
  <c r="L675" i="69"/>
  <c r="L655" i="69"/>
  <c r="L672" i="69"/>
  <c r="L652" i="69"/>
  <c r="K457" i="19"/>
  <c r="K570" i="19" s="1"/>
  <c r="L652" i="61"/>
  <c r="L672" i="61"/>
  <c r="L670" i="61"/>
  <c r="L650" i="61"/>
  <c r="L202" i="45"/>
  <c r="L182" i="45"/>
  <c r="L191" i="45"/>
  <c r="L171" i="45"/>
  <c r="L718" i="19"/>
  <c r="L698" i="19"/>
  <c r="L717" i="19"/>
  <c r="L697" i="19"/>
  <c r="L145" i="33"/>
  <c r="L125" i="33"/>
  <c r="L121" i="33"/>
  <c r="L268" i="33" s="1"/>
  <c r="L156" i="33"/>
  <c r="L136" i="33"/>
  <c r="K478" i="57"/>
  <c r="K591" i="57" s="1"/>
  <c r="K190" i="53"/>
  <c r="L456" i="41"/>
  <c r="L436" i="41"/>
  <c r="L463" i="41"/>
  <c r="L443" i="41"/>
  <c r="L139" i="69"/>
  <c r="L159" i="69"/>
  <c r="L147" i="69"/>
  <c r="L127" i="69"/>
  <c r="L274" i="75"/>
  <c r="L254" i="75"/>
  <c r="L285" i="75"/>
  <c r="L265" i="75"/>
  <c r="L474" i="57"/>
  <c r="L454" i="57"/>
  <c r="L466" i="57"/>
  <c r="L446" i="57"/>
  <c r="L181" i="57"/>
  <c r="L161" i="57"/>
  <c r="L184" i="57"/>
  <c r="L164" i="57"/>
  <c r="L408" i="61"/>
  <c r="L388" i="61"/>
  <c r="L415" i="61"/>
  <c r="L395" i="61"/>
  <c r="K141" i="77"/>
  <c r="K913" i="61"/>
  <c r="K231" i="29"/>
  <c r="K344" i="29" s="1"/>
  <c r="L454" i="49"/>
  <c r="L434" i="49"/>
  <c r="L442" i="49"/>
  <c r="L422" i="49"/>
  <c r="K457" i="49"/>
  <c r="K569" i="49" s="1"/>
  <c r="L178" i="37"/>
  <c r="L158" i="37"/>
  <c r="L168" i="37"/>
  <c r="L148" i="37"/>
  <c r="L447" i="19"/>
  <c r="L427" i="19"/>
  <c r="L455" i="19"/>
  <c r="L435" i="19"/>
  <c r="L445" i="45"/>
  <c r="L425" i="45"/>
  <c r="L454" i="45"/>
  <c r="L434" i="45"/>
  <c r="M416" i="45"/>
  <c r="M403" i="45"/>
  <c r="M401" i="45"/>
  <c r="M406" i="45"/>
  <c r="M404" i="45"/>
  <c r="M411" i="45"/>
  <c r="M412" i="45"/>
  <c r="M407" i="45"/>
  <c r="M405" i="45"/>
  <c r="M415" i="45"/>
  <c r="M408" i="45"/>
  <c r="M409" i="45"/>
  <c r="M402" i="45"/>
  <c r="M413" i="45"/>
  <c r="M414" i="45"/>
  <c r="M410" i="45"/>
  <c r="M632" i="69"/>
  <c r="M638" i="69"/>
  <c r="M633" i="69"/>
  <c r="M640" i="69"/>
  <c r="M635" i="69"/>
  <c r="M634" i="69"/>
  <c r="M637" i="69"/>
  <c r="M629" i="69"/>
  <c r="M636" i="69"/>
  <c r="M628" i="69"/>
  <c r="M630" i="69"/>
  <c r="M642" i="69"/>
  <c r="M639" i="69"/>
  <c r="M643" i="69"/>
  <c r="M631" i="69"/>
  <c r="M641" i="69"/>
  <c r="M892" i="61"/>
  <c r="M882" i="61"/>
  <c r="M891" i="61"/>
  <c r="M889" i="61"/>
  <c r="M879" i="61"/>
  <c r="M878" i="61"/>
  <c r="M880" i="61"/>
  <c r="M890" i="61"/>
  <c r="M877" i="61"/>
  <c r="M887" i="61"/>
  <c r="M886" i="61"/>
  <c r="M884" i="61"/>
  <c r="M888" i="61"/>
  <c r="M883" i="61"/>
  <c r="M881" i="61"/>
  <c r="M885" i="61"/>
  <c r="M422" i="41"/>
  <c r="M426" i="41"/>
  <c r="M419" i="41"/>
  <c r="M428" i="41"/>
  <c r="M418" i="41"/>
  <c r="M430" i="41"/>
  <c r="M429" i="41"/>
  <c r="M423" i="41"/>
  <c r="M420" i="41"/>
  <c r="M415" i="41"/>
  <c r="M427" i="41"/>
  <c r="M425" i="41"/>
  <c r="M417" i="41"/>
  <c r="M416" i="41"/>
  <c r="M424" i="41"/>
  <c r="M421" i="41"/>
  <c r="K664" i="69"/>
  <c r="L197" i="53"/>
  <c r="L177" i="53"/>
  <c r="L200" i="53"/>
  <c r="L180" i="53"/>
  <c r="L169" i="49"/>
  <c r="L149" i="49"/>
  <c r="L177" i="49"/>
  <c r="L157" i="49"/>
  <c r="L154" i="77"/>
  <c r="L134" i="77"/>
  <c r="L133" i="77"/>
  <c r="L153" i="77"/>
  <c r="L152" i="61"/>
  <c r="L132" i="61"/>
  <c r="L165" i="61"/>
  <c r="L145" i="61"/>
  <c r="L483" i="53"/>
  <c r="L503" i="53"/>
  <c r="L491" i="53"/>
  <c r="L511" i="53"/>
  <c r="L932" i="61"/>
  <c r="L912" i="61"/>
  <c r="L929" i="61"/>
  <c r="L909" i="61"/>
  <c r="L168" i="41"/>
  <c r="L148" i="41"/>
  <c r="L172" i="41"/>
  <c r="L152" i="41"/>
  <c r="L223" i="29"/>
  <c r="L203" i="29"/>
  <c r="L226" i="29"/>
  <c r="L206" i="29"/>
  <c r="L173" i="19"/>
  <c r="L153" i="19"/>
  <c r="L181" i="19"/>
  <c r="L161" i="19"/>
  <c r="L413" i="69"/>
  <c r="L393" i="69"/>
  <c r="L409" i="69"/>
  <c r="L389" i="69"/>
  <c r="L674" i="69"/>
  <c r="L654" i="69"/>
  <c r="L669" i="69"/>
  <c r="L649" i="69"/>
  <c r="L669" i="61"/>
  <c r="L649" i="61"/>
  <c r="L667" i="61"/>
  <c r="L647" i="61"/>
  <c r="L199" i="45"/>
  <c r="L179" i="45"/>
  <c r="L192" i="45"/>
  <c r="L172" i="45"/>
  <c r="L725" i="19"/>
  <c r="L705" i="19"/>
  <c r="L721" i="19"/>
  <c r="L701" i="19"/>
  <c r="L160" i="33"/>
  <c r="L140" i="33"/>
  <c r="L153" i="33"/>
  <c r="L133" i="33"/>
  <c r="K458" i="57"/>
  <c r="K210" i="53"/>
  <c r="K323" i="53" s="1"/>
  <c r="K141" i="69"/>
  <c r="L462" i="41"/>
  <c r="L442" i="41"/>
  <c r="L467" i="41"/>
  <c r="L447" i="41"/>
  <c r="L149" i="69"/>
  <c r="L129" i="69"/>
  <c r="L152" i="69"/>
  <c r="L132" i="69"/>
  <c r="L256" i="75"/>
  <c r="L276" i="75"/>
  <c r="L255" i="75"/>
  <c r="L275" i="75"/>
  <c r="L471" i="57"/>
  <c r="L451" i="57"/>
  <c r="L463" i="57"/>
  <c r="L443" i="57"/>
  <c r="L188" i="57"/>
  <c r="L168" i="57"/>
  <c r="L189" i="57"/>
  <c r="L169" i="57"/>
  <c r="L416" i="61"/>
  <c r="L396" i="61"/>
  <c r="L407" i="61"/>
  <c r="L387" i="61"/>
  <c r="L383" i="61"/>
  <c r="L530" i="61" s="1"/>
  <c r="K493" i="53"/>
  <c r="K161" i="77"/>
  <c r="K273" i="77" s="1"/>
  <c r="K933" i="61"/>
  <c r="K1046" i="61" s="1"/>
  <c r="L452" i="49"/>
  <c r="L432" i="49"/>
  <c r="L453" i="49"/>
  <c r="L433" i="49"/>
  <c r="L159" i="37"/>
  <c r="L179" i="37"/>
  <c r="L174" i="37"/>
  <c r="L154" i="37"/>
  <c r="L441" i="19"/>
  <c r="L421" i="19"/>
  <c r="L417" i="19"/>
  <c r="L564" i="19" s="1"/>
  <c r="L451" i="19"/>
  <c r="L431" i="19"/>
  <c r="L424" i="45"/>
  <c r="L444" i="45"/>
  <c r="L442" i="45"/>
  <c r="L422" i="45"/>
  <c r="M244" i="75"/>
  <c r="M245" i="75"/>
  <c r="M240" i="75"/>
  <c r="M243" i="75"/>
  <c r="M231" i="75"/>
  <c r="M233" i="75"/>
  <c r="M241" i="75"/>
  <c r="M232" i="75"/>
  <c r="M234" i="75"/>
  <c r="M246" i="75"/>
  <c r="M236" i="75"/>
  <c r="M237" i="75"/>
  <c r="M239" i="75"/>
  <c r="M235" i="75"/>
  <c r="M242" i="75"/>
  <c r="M238" i="75"/>
  <c r="M141" i="57"/>
  <c r="M143" i="57"/>
  <c r="M140" i="57"/>
  <c r="M152" i="57"/>
  <c r="M154" i="57"/>
  <c r="M142" i="57"/>
  <c r="M150" i="57"/>
  <c r="M155" i="57"/>
  <c r="M146" i="57"/>
  <c r="M148" i="57"/>
  <c r="M145" i="57"/>
  <c r="M147" i="57"/>
  <c r="M153" i="57"/>
  <c r="M149" i="57"/>
  <c r="M144" i="57"/>
  <c r="M151" i="57"/>
  <c r="M110" i="69"/>
  <c r="M112" i="69"/>
  <c r="M115" i="69"/>
  <c r="M117" i="69"/>
  <c r="M105" i="69"/>
  <c r="M120" i="69"/>
  <c r="M106" i="69"/>
  <c r="M118" i="69"/>
  <c r="M108" i="69"/>
  <c r="M113" i="69"/>
  <c r="M111" i="69"/>
  <c r="M116" i="69"/>
  <c r="M107" i="69"/>
  <c r="M114" i="69"/>
  <c r="M119" i="69"/>
  <c r="M109" i="69"/>
  <c r="M686" i="19"/>
  <c r="M682" i="19"/>
  <c r="M681" i="19"/>
  <c r="M684" i="19"/>
  <c r="M688" i="19"/>
  <c r="M677" i="19"/>
  <c r="M679" i="19"/>
  <c r="M690" i="19"/>
  <c r="M683" i="19"/>
  <c r="M689" i="19"/>
  <c r="M678" i="19"/>
  <c r="M685" i="19"/>
  <c r="M676" i="19"/>
  <c r="M687" i="19"/>
  <c r="M680" i="19"/>
  <c r="M691" i="19"/>
  <c r="M156" i="45"/>
  <c r="M159" i="45"/>
  <c r="M152" i="45"/>
  <c r="M155" i="45"/>
  <c r="M161" i="45"/>
  <c r="M162" i="45"/>
  <c r="M150" i="45"/>
  <c r="M153" i="45"/>
  <c r="M149" i="45"/>
  <c r="M160" i="45"/>
  <c r="M148" i="45"/>
  <c r="M151" i="45"/>
  <c r="M147" i="45"/>
  <c r="M157" i="45"/>
  <c r="M158" i="45"/>
  <c r="M154" i="45"/>
  <c r="M407" i="19"/>
  <c r="M410" i="19"/>
  <c r="M413" i="19"/>
  <c r="M411" i="19"/>
  <c r="M414" i="19"/>
  <c r="M408" i="19"/>
  <c r="M412" i="19"/>
  <c r="M409" i="19"/>
  <c r="M415" i="19"/>
  <c r="M402" i="19"/>
  <c r="M405" i="19"/>
  <c r="M403" i="19"/>
  <c r="M406" i="19"/>
  <c r="M404" i="19"/>
  <c r="M401" i="19"/>
  <c r="M416" i="19"/>
  <c r="M632" i="61"/>
  <c r="M635" i="61"/>
  <c r="M633" i="61"/>
  <c r="M636" i="61"/>
  <c r="M626" i="61"/>
  <c r="M629" i="61"/>
  <c r="M623" i="61"/>
  <c r="M622" i="61"/>
  <c r="M634" i="61"/>
  <c r="M637" i="61"/>
  <c r="M631" i="61"/>
  <c r="M624" i="61"/>
  <c r="M627" i="61"/>
  <c r="M630" i="61"/>
  <c r="M625" i="61"/>
  <c r="M628" i="61"/>
  <c r="M432" i="57"/>
  <c r="M435" i="57"/>
  <c r="M426" i="57"/>
  <c r="M429" i="57"/>
  <c r="M422" i="57"/>
  <c r="M425" i="57"/>
  <c r="M428" i="57"/>
  <c r="M431" i="57"/>
  <c r="M434" i="57"/>
  <c r="M437" i="57"/>
  <c r="M424" i="57"/>
  <c r="M427" i="57"/>
  <c r="M430" i="57"/>
  <c r="M433" i="57"/>
  <c r="M436" i="57"/>
  <c r="M423" i="57"/>
  <c r="M141" i="49"/>
  <c r="M137" i="49"/>
  <c r="M140" i="49"/>
  <c r="M128" i="49"/>
  <c r="M131" i="49"/>
  <c r="M134" i="49"/>
  <c r="M127" i="49"/>
  <c r="M130" i="49"/>
  <c r="M133" i="49"/>
  <c r="M136" i="49"/>
  <c r="M139" i="49"/>
  <c r="M129" i="49"/>
  <c r="M132" i="49"/>
  <c r="M135" i="49"/>
  <c r="M138" i="49"/>
  <c r="M126" i="49"/>
  <c r="L209" i="53"/>
  <c r="L189" i="53"/>
  <c r="L194" i="53"/>
  <c r="L174" i="53"/>
  <c r="L170" i="53"/>
  <c r="L317" i="53" s="1"/>
  <c r="L166" i="49"/>
  <c r="L146" i="49"/>
  <c r="L142" i="49"/>
  <c r="L289" i="49" s="1"/>
  <c r="L173" i="49"/>
  <c r="L153" i="49"/>
  <c r="L159" i="77"/>
  <c r="L139" i="77"/>
  <c r="L140" i="77"/>
  <c r="L160" i="77"/>
  <c r="L157" i="61"/>
  <c r="L137" i="61"/>
  <c r="L162" i="61"/>
  <c r="L142" i="61"/>
  <c r="K141" i="33"/>
  <c r="L500" i="53"/>
  <c r="L480" i="53"/>
  <c r="L508" i="53"/>
  <c r="L488" i="53"/>
  <c r="L925" i="61"/>
  <c r="L905" i="61"/>
  <c r="L930" i="61"/>
  <c r="L910" i="61"/>
  <c r="L180" i="41"/>
  <c r="L160" i="41"/>
  <c r="L169" i="41"/>
  <c r="L149" i="41"/>
  <c r="L230" i="29"/>
  <c r="L210" i="29"/>
  <c r="L195" i="29"/>
  <c r="L191" i="29"/>
  <c r="L338" i="29" s="1"/>
  <c r="L215" i="29"/>
  <c r="L170" i="19"/>
  <c r="L150" i="19"/>
  <c r="L178" i="19"/>
  <c r="L158" i="19"/>
  <c r="L407" i="69"/>
  <c r="L387" i="69"/>
  <c r="L383" i="69"/>
  <c r="L403" i="69"/>
  <c r="L676" i="69"/>
  <c r="L656" i="69"/>
  <c r="L653" i="69"/>
  <c r="L673" i="69"/>
  <c r="L676" i="61"/>
  <c r="L656" i="61"/>
  <c r="L674" i="61"/>
  <c r="L654" i="61"/>
  <c r="L188" i="45"/>
  <c r="L168" i="45"/>
  <c r="L189" i="45"/>
  <c r="L169" i="45"/>
  <c r="L729" i="19"/>
  <c r="L709" i="19"/>
  <c r="L726" i="19"/>
  <c r="L706" i="19"/>
  <c r="L158" i="33"/>
  <c r="L138" i="33"/>
  <c r="L150" i="33"/>
  <c r="L130" i="33"/>
  <c r="K437" i="45"/>
  <c r="K161" i="69"/>
  <c r="K274" i="69" s="1"/>
  <c r="L455" i="41"/>
  <c r="L435" i="41"/>
  <c r="L431" i="41"/>
  <c r="L578" i="41" s="1"/>
  <c r="L459" i="41"/>
  <c r="L439" i="41"/>
  <c r="L156" i="69"/>
  <c r="L136" i="69"/>
  <c r="L153" i="69"/>
  <c r="L133" i="69"/>
  <c r="L272" i="75"/>
  <c r="L252" i="75"/>
  <c r="L278" i="75"/>
  <c r="L258" i="75"/>
  <c r="L468" i="57"/>
  <c r="L448" i="57"/>
  <c r="L464" i="57"/>
  <c r="L444" i="57"/>
  <c r="L186" i="57"/>
  <c r="L166" i="57"/>
  <c r="L194" i="57"/>
  <c r="L174" i="57"/>
  <c r="L422" i="61"/>
  <c r="L402" i="61"/>
  <c r="L414" i="61"/>
  <c r="L394" i="61"/>
  <c r="K513" i="53"/>
  <c r="K626" i="53" s="1"/>
  <c r="L450" i="49"/>
  <c r="L430" i="49"/>
  <c r="L431" i="49"/>
  <c r="L451" i="49"/>
  <c r="L172" i="37"/>
  <c r="L152" i="37"/>
  <c r="L175" i="37"/>
  <c r="L155" i="37"/>
  <c r="L452" i="19"/>
  <c r="L432" i="19"/>
  <c r="L449" i="19"/>
  <c r="L429" i="19"/>
  <c r="L423" i="45"/>
  <c r="L443" i="45"/>
  <c r="L453" i="45"/>
  <c r="L433" i="45"/>
  <c r="M140" i="37"/>
  <c r="M128" i="37"/>
  <c r="M130" i="37"/>
  <c r="M127" i="37"/>
  <c r="M133" i="37"/>
  <c r="M139" i="37"/>
  <c r="M126" i="37"/>
  <c r="M129" i="37"/>
  <c r="M138" i="37"/>
  <c r="M141" i="37"/>
  <c r="M136" i="37"/>
  <c r="M131" i="37"/>
  <c r="M135" i="37"/>
  <c r="M134" i="37"/>
  <c r="M137" i="37"/>
  <c r="M132" i="37"/>
  <c r="M141" i="41"/>
  <c r="M128" i="41"/>
  <c r="M131" i="41"/>
  <c r="M134" i="41"/>
  <c r="M137" i="41"/>
  <c r="M140" i="41"/>
  <c r="M127" i="41"/>
  <c r="M130" i="41"/>
  <c r="M136" i="41"/>
  <c r="M139" i="41"/>
  <c r="M133" i="41"/>
  <c r="M126" i="41"/>
  <c r="M129" i="41"/>
  <c r="M132" i="41"/>
  <c r="M135" i="41"/>
  <c r="M138" i="41"/>
  <c r="K684" i="69"/>
  <c r="K797" i="69" s="1"/>
  <c r="L208" i="53"/>
  <c r="L188" i="53"/>
  <c r="L199" i="53"/>
  <c r="L179" i="53"/>
  <c r="L181" i="49"/>
  <c r="L161" i="49"/>
  <c r="L170" i="49"/>
  <c r="L150" i="49"/>
  <c r="L155" i="77"/>
  <c r="L135" i="77"/>
  <c r="L156" i="77"/>
  <c r="L136" i="77"/>
  <c r="L154" i="61"/>
  <c r="L134" i="61"/>
  <c r="L161" i="61"/>
  <c r="L141" i="61"/>
  <c r="K161" i="33"/>
  <c r="K274" i="33" s="1"/>
  <c r="L497" i="53"/>
  <c r="L477" i="53"/>
  <c r="L473" i="53"/>
  <c r="L620" i="53" s="1"/>
  <c r="L505" i="53"/>
  <c r="L485" i="53"/>
  <c r="L928" i="61"/>
  <c r="L908" i="61"/>
  <c r="L920" i="61"/>
  <c r="L900" i="61"/>
  <c r="K416" i="69"/>
  <c r="K529" i="69" s="1"/>
  <c r="L177" i="41"/>
  <c r="L157" i="41"/>
  <c r="L166" i="41"/>
  <c r="L146" i="41"/>
  <c r="L142" i="41"/>
  <c r="L289" i="41" s="1"/>
  <c r="L224" i="29"/>
  <c r="L204" i="29"/>
  <c r="L227" i="29"/>
  <c r="L207" i="29"/>
  <c r="L167" i="19"/>
  <c r="L147" i="19"/>
  <c r="L175" i="19"/>
  <c r="L155" i="19"/>
  <c r="L415" i="69"/>
  <c r="L395" i="69"/>
  <c r="L388" i="69"/>
  <c r="L408" i="69"/>
  <c r="L670" i="69"/>
  <c r="L650" i="69"/>
  <c r="L671" i="69"/>
  <c r="L651" i="69"/>
  <c r="K162" i="37"/>
  <c r="L655" i="61"/>
  <c r="L675" i="61"/>
  <c r="L677" i="61"/>
  <c r="L657" i="61"/>
  <c r="L197" i="45"/>
  <c r="L177" i="45"/>
  <c r="L193" i="45"/>
  <c r="L173" i="45"/>
  <c r="L723" i="19"/>
  <c r="L703" i="19"/>
  <c r="L722" i="19"/>
  <c r="L702" i="19"/>
  <c r="L155" i="33"/>
  <c r="L135" i="33"/>
  <c r="L147" i="33"/>
  <c r="L127" i="33"/>
  <c r="K416" i="37"/>
  <c r="K457" i="45"/>
  <c r="K570" i="45" s="1"/>
  <c r="L469" i="41"/>
  <c r="L449" i="41"/>
  <c r="L468" i="41"/>
  <c r="L448" i="41"/>
  <c r="L145" i="69"/>
  <c r="L125" i="69"/>
  <c r="L121" i="69"/>
  <c r="L268" i="69" s="1"/>
  <c r="L158" i="69"/>
  <c r="L138" i="69"/>
  <c r="L271" i="75"/>
  <c r="L251" i="75"/>
  <c r="L247" i="75"/>
  <c r="L394" i="75" s="1"/>
  <c r="L282" i="75"/>
  <c r="L262" i="75"/>
  <c r="L465" i="57"/>
  <c r="L445" i="57"/>
  <c r="L476" i="57"/>
  <c r="L456" i="57"/>
  <c r="L180" i="57"/>
  <c r="L160" i="57"/>
  <c r="L156" i="57"/>
  <c r="L303" i="57" s="1"/>
  <c r="L192" i="57"/>
  <c r="L172" i="57"/>
  <c r="L419" i="61"/>
  <c r="L399" i="61"/>
  <c r="L411" i="61"/>
  <c r="L391" i="61"/>
  <c r="L441" i="49"/>
  <c r="L421" i="49"/>
  <c r="L417" i="49"/>
  <c r="L564" i="49" s="1"/>
  <c r="L423" i="49"/>
  <c r="L443" i="49"/>
  <c r="K162" i="49"/>
  <c r="K678" i="61"/>
  <c r="K790" i="61" s="1"/>
  <c r="L169" i="37"/>
  <c r="L149" i="37"/>
  <c r="L170" i="37"/>
  <c r="L150" i="37"/>
  <c r="L454" i="19"/>
  <c r="L434" i="19"/>
  <c r="L446" i="19"/>
  <c r="L426" i="19"/>
  <c r="L432" i="45"/>
  <c r="L452" i="45"/>
  <c r="L421" i="45"/>
  <c r="L441" i="45"/>
  <c r="L417" i="45"/>
  <c r="L564" i="45" s="1"/>
  <c r="M403" i="49"/>
  <c r="M416" i="49"/>
  <c r="M408" i="49"/>
  <c r="M409" i="49"/>
  <c r="M407" i="49"/>
  <c r="M411" i="49"/>
  <c r="M413" i="49"/>
  <c r="M406" i="49"/>
  <c r="M415" i="49"/>
  <c r="M405" i="49"/>
  <c r="M410" i="49"/>
  <c r="M401" i="49"/>
  <c r="M412" i="49"/>
  <c r="M402" i="49"/>
  <c r="M414" i="49"/>
  <c r="M404" i="49"/>
  <c r="L202" i="53"/>
  <c r="L182" i="53"/>
  <c r="L204" i="53"/>
  <c r="L184" i="53"/>
  <c r="L178" i="49"/>
  <c r="L158" i="49"/>
  <c r="L167" i="49"/>
  <c r="L147" i="49"/>
  <c r="L152" i="77"/>
  <c r="L132" i="77"/>
  <c r="L138" i="77"/>
  <c r="L158" i="77"/>
  <c r="L133" i="61"/>
  <c r="L153" i="61"/>
  <c r="L150" i="61"/>
  <c r="L130" i="61"/>
  <c r="L126" i="61"/>
  <c r="L273" i="61" s="1"/>
  <c r="L507" i="53"/>
  <c r="L487" i="53"/>
  <c r="L510" i="53"/>
  <c r="L490" i="53"/>
  <c r="L924" i="61"/>
  <c r="L904" i="61"/>
  <c r="L918" i="61"/>
  <c r="L898" i="61"/>
  <c r="L174" i="41"/>
  <c r="L154" i="41"/>
  <c r="L176" i="41"/>
  <c r="L156" i="41"/>
  <c r="L217" i="29"/>
  <c r="L197" i="29"/>
  <c r="L220" i="29"/>
  <c r="L200" i="29"/>
  <c r="L180" i="19"/>
  <c r="L160" i="19"/>
  <c r="L172" i="19"/>
  <c r="L152" i="19"/>
  <c r="L406" i="69"/>
  <c r="L386" i="69"/>
  <c r="L402" i="69"/>
  <c r="L382" i="69"/>
  <c r="L683" i="69"/>
  <c r="L663" i="69"/>
  <c r="L679" i="69"/>
  <c r="L659" i="69"/>
  <c r="L663" i="61"/>
  <c r="L643" i="61"/>
  <c r="L644" i="61"/>
  <c r="L664" i="61"/>
  <c r="L200" i="45"/>
  <c r="L180" i="45"/>
  <c r="L201" i="45"/>
  <c r="L181" i="45"/>
  <c r="L720" i="19"/>
  <c r="L700" i="19"/>
  <c r="L730" i="19"/>
  <c r="L710" i="19"/>
  <c r="L157" i="33"/>
  <c r="L137" i="33"/>
  <c r="L149" i="33"/>
  <c r="L129" i="33"/>
  <c r="K162" i="19"/>
  <c r="K436" i="37"/>
  <c r="K549" i="37" s="1"/>
  <c r="L457" i="41"/>
  <c r="L437" i="41"/>
  <c r="L470" i="41"/>
  <c r="L450" i="41"/>
  <c r="L154" i="69"/>
  <c r="L134" i="69"/>
  <c r="L155" i="69"/>
  <c r="L135" i="69"/>
  <c r="L286" i="75"/>
  <c r="L266" i="75"/>
  <c r="L253" i="75"/>
  <c r="L273" i="75"/>
  <c r="L462" i="57"/>
  <c r="L442" i="57"/>
  <c r="L438" i="57"/>
  <c r="L585" i="57" s="1"/>
  <c r="L453" i="57"/>
  <c r="L473" i="57"/>
  <c r="L190" i="57"/>
  <c r="L170" i="57"/>
  <c r="L171" i="57"/>
  <c r="L191" i="57"/>
  <c r="L417" i="61"/>
  <c r="L397" i="61"/>
  <c r="L409" i="61"/>
  <c r="L389" i="61"/>
  <c r="L446" i="49"/>
  <c r="L426" i="49"/>
  <c r="L447" i="49"/>
  <c r="L427" i="49"/>
  <c r="K182" i="49"/>
  <c r="K295" i="49" s="1"/>
  <c r="L176" i="37"/>
  <c r="L156" i="37"/>
  <c r="L180" i="37"/>
  <c r="L160" i="37"/>
  <c r="L456" i="19"/>
  <c r="L436" i="19"/>
  <c r="L448" i="19"/>
  <c r="L428" i="19"/>
  <c r="L431" i="45"/>
  <c r="L451" i="45"/>
  <c r="L456" i="45"/>
  <c r="L436" i="45"/>
  <c r="K166" i="61"/>
  <c r="K278" i="61" s="1"/>
  <c r="K471" i="41"/>
  <c r="K584" i="41" s="1"/>
  <c r="L205" i="53"/>
  <c r="L185" i="53"/>
  <c r="L207" i="53"/>
  <c r="L187" i="53"/>
  <c r="L174" i="49"/>
  <c r="L154" i="49"/>
  <c r="L175" i="49"/>
  <c r="L155" i="49"/>
  <c r="L151" i="77"/>
  <c r="L131" i="77"/>
  <c r="L128" i="77"/>
  <c r="L148" i="77"/>
  <c r="L160" i="61"/>
  <c r="L140" i="61"/>
  <c r="L164" i="61"/>
  <c r="L144" i="61"/>
  <c r="K712" i="19"/>
  <c r="L502" i="53"/>
  <c r="L482" i="53"/>
  <c r="L504" i="53"/>
  <c r="L484" i="53"/>
  <c r="L923" i="61"/>
  <c r="L903" i="61"/>
  <c r="L926" i="61"/>
  <c r="L906" i="61"/>
  <c r="K396" i="69"/>
  <c r="L171" i="41"/>
  <c r="L151" i="41"/>
  <c r="L179" i="41"/>
  <c r="L159" i="41"/>
  <c r="L228" i="29"/>
  <c r="L208" i="29"/>
  <c r="L221" i="29"/>
  <c r="L201" i="29"/>
  <c r="L177" i="19"/>
  <c r="L157" i="19"/>
  <c r="L169" i="19"/>
  <c r="L149" i="19"/>
  <c r="L411" i="69"/>
  <c r="L391" i="69"/>
  <c r="L394" i="69"/>
  <c r="L414" i="69"/>
  <c r="L677" i="69"/>
  <c r="L657" i="69"/>
  <c r="L680" i="69"/>
  <c r="L660" i="69"/>
  <c r="K182" i="37"/>
  <c r="K294" i="37" s="1"/>
  <c r="L665" i="61"/>
  <c r="L645" i="61"/>
  <c r="L671" i="61"/>
  <c r="L651" i="61"/>
  <c r="L196" i="45"/>
  <c r="L176" i="45"/>
  <c r="L190" i="45"/>
  <c r="L170" i="45"/>
  <c r="L731" i="19"/>
  <c r="L711" i="19"/>
  <c r="L719" i="19"/>
  <c r="L699" i="19"/>
  <c r="L154" i="33"/>
  <c r="L134" i="33"/>
  <c r="L146" i="33"/>
  <c r="L126" i="33"/>
  <c r="K182" i="19"/>
  <c r="K295" i="19" s="1"/>
  <c r="L461" i="41"/>
  <c r="L441" i="41"/>
  <c r="L458" i="41"/>
  <c r="L438" i="41"/>
  <c r="L131" i="69"/>
  <c r="L151" i="69"/>
  <c r="L150" i="69"/>
  <c r="L130" i="69"/>
  <c r="L281" i="75"/>
  <c r="L261" i="75"/>
  <c r="L280" i="75"/>
  <c r="L260" i="75"/>
  <c r="L472" i="57"/>
  <c r="L452" i="57"/>
  <c r="L470" i="57"/>
  <c r="L450" i="57"/>
  <c r="L175" i="57"/>
  <c r="L195" i="57"/>
  <c r="L193" i="57"/>
  <c r="L173" i="57"/>
  <c r="L421" i="61"/>
  <c r="L401" i="61"/>
  <c r="L420" i="61"/>
  <c r="L400" i="61"/>
  <c r="K162" i="41"/>
  <c r="L428" i="49"/>
  <c r="L448" i="49"/>
  <c r="L445" i="49"/>
  <c r="L425" i="49"/>
  <c r="K658" i="61"/>
  <c r="K403" i="61"/>
  <c r="L173" i="37"/>
  <c r="L153" i="37"/>
  <c r="L177" i="37"/>
  <c r="L157" i="37"/>
  <c r="L453" i="19"/>
  <c r="L433" i="19"/>
  <c r="L445" i="19"/>
  <c r="L425" i="19"/>
  <c r="L448" i="45"/>
  <c r="L428" i="45"/>
  <c r="L455" i="45"/>
  <c r="L435" i="45"/>
  <c r="M128" i="19"/>
  <c r="M131" i="19"/>
  <c r="M134" i="19"/>
  <c r="M137" i="19"/>
  <c r="M140" i="19"/>
  <c r="M127" i="19"/>
  <c r="M130" i="19"/>
  <c r="M133" i="19"/>
  <c r="M136" i="19"/>
  <c r="M139" i="19"/>
  <c r="M126" i="19"/>
  <c r="M129" i="19"/>
  <c r="M132" i="19"/>
  <c r="M135" i="19"/>
  <c r="M138" i="19"/>
  <c r="M141" i="19"/>
  <c r="M154" i="53"/>
  <c r="M160" i="53"/>
  <c r="M155" i="53"/>
  <c r="M167" i="53"/>
  <c r="M162" i="53"/>
  <c r="M168" i="53"/>
  <c r="M161" i="53"/>
  <c r="M156" i="53"/>
  <c r="M157" i="53"/>
  <c r="M163" i="53"/>
  <c r="M158" i="53"/>
  <c r="M169" i="53"/>
  <c r="M164" i="53"/>
  <c r="M159" i="53"/>
  <c r="M165" i="53"/>
  <c r="M166" i="53"/>
  <c r="L178" i="53"/>
  <c r="L198" i="53"/>
  <c r="L195" i="53"/>
  <c r="L175" i="53"/>
  <c r="L171" i="49"/>
  <c r="L151" i="49"/>
  <c r="L172" i="49"/>
  <c r="L152" i="49"/>
  <c r="L157" i="77"/>
  <c r="L137" i="77"/>
  <c r="L149" i="77"/>
  <c r="L129" i="77"/>
  <c r="L151" i="61"/>
  <c r="L131" i="61"/>
  <c r="L159" i="61"/>
  <c r="L139" i="61"/>
  <c r="K732" i="19"/>
  <c r="K845" i="19" s="1"/>
  <c r="L512" i="53"/>
  <c r="L492" i="53"/>
  <c r="L501" i="53"/>
  <c r="L481" i="53"/>
  <c r="L919" i="61"/>
  <c r="L899" i="61"/>
  <c r="L931" i="61"/>
  <c r="L911" i="61"/>
  <c r="L181" i="41"/>
  <c r="L161" i="41"/>
  <c r="L173" i="41"/>
  <c r="L153" i="41"/>
  <c r="L229" i="29"/>
  <c r="L209" i="29"/>
  <c r="L225" i="29"/>
  <c r="L205" i="29"/>
  <c r="L174" i="19"/>
  <c r="L154" i="19"/>
  <c r="L166" i="19"/>
  <c r="L146" i="19"/>
  <c r="L142" i="19"/>
  <c r="L289" i="19" s="1"/>
  <c r="L410" i="69"/>
  <c r="L390" i="69"/>
  <c r="L401" i="69"/>
  <c r="L381" i="69"/>
  <c r="L681" i="69"/>
  <c r="L661" i="69"/>
  <c r="L682" i="69"/>
  <c r="L662" i="69"/>
  <c r="L662" i="61"/>
  <c r="L642" i="61"/>
  <c r="L638" i="61"/>
  <c r="L785" i="61" s="1"/>
  <c r="L668" i="61"/>
  <c r="L648" i="61"/>
  <c r="L198" i="45"/>
  <c r="L178" i="45"/>
  <c r="L187" i="45"/>
  <c r="L167" i="45"/>
  <c r="L163" i="45"/>
  <c r="L310" i="45" s="1"/>
  <c r="L727" i="19"/>
  <c r="L707" i="19"/>
  <c r="L716" i="19"/>
  <c r="L696" i="19"/>
  <c r="L692" i="19"/>
  <c r="L839" i="19" s="1"/>
  <c r="L151" i="33"/>
  <c r="L131" i="33"/>
  <c r="L152" i="33"/>
  <c r="L132" i="33"/>
  <c r="K267" i="75"/>
  <c r="L464" i="41"/>
  <c r="L444" i="41"/>
  <c r="L466" i="41"/>
  <c r="L446" i="41"/>
  <c r="L148" i="69"/>
  <c r="L128" i="69"/>
  <c r="L157" i="69"/>
  <c r="L137" i="69"/>
  <c r="L263" i="75"/>
  <c r="L283" i="75"/>
  <c r="L279" i="75"/>
  <c r="L259" i="75"/>
  <c r="L449" i="57"/>
  <c r="L469" i="57"/>
  <c r="L467" i="57"/>
  <c r="L447" i="57"/>
  <c r="L183" i="57"/>
  <c r="L163" i="57"/>
  <c r="L187" i="57"/>
  <c r="L167" i="57"/>
  <c r="L418" i="61"/>
  <c r="L398" i="61"/>
  <c r="L413" i="61"/>
  <c r="L393" i="61"/>
  <c r="K182" i="41"/>
  <c r="K294" i="41" s="1"/>
  <c r="L449" i="49"/>
  <c r="L429" i="49"/>
  <c r="L455" i="49"/>
  <c r="L435" i="49"/>
  <c r="K423" i="61"/>
  <c r="K536" i="61" s="1"/>
  <c r="L171" i="37"/>
  <c r="L151" i="37"/>
  <c r="L166" i="37"/>
  <c r="L146" i="37"/>
  <c r="L142" i="37"/>
  <c r="L289" i="37" s="1"/>
  <c r="L450" i="19"/>
  <c r="L430" i="19"/>
  <c r="L442" i="19"/>
  <c r="L422" i="19"/>
  <c r="L450" i="45"/>
  <c r="L430" i="45"/>
  <c r="L447" i="45"/>
  <c r="L427" i="45"/>
  <c r="M117" i="61"/>
  <c r="M110" i="61"/>
  <c r="M111" i="61"/>
  <c r="M114" i="61"/>
  <c r="M125" i="61"/>
  <c r="M113" i="61"/>
  <c r="M121" i="61"/>
  <c r="M124" i="61"/>
  <c r="M123" i="61"/>
  <c r="M118" i="61"/>
  <c r="M119" i="61"/>
  <c r="M122" i="61"/>
  <c r="M116" i="61"/>
  <c r="M112" i="61"/>
  <c r="M120" i="61"/>
  <c r="M115" i="61"/>
  <c r="M179" i="29"/>
  <c r="M190" i="29"/>
  <c r="M186" i="29"/>
  <c r="M185" i="29"/>
  <c r="M180" i="29"/>
  <c r="M181" i="29"/>
  <c r="M187" i="29"/>
  <c r="M176" i="29"/>
  <c r="M175" i="29"/>
  <c r="M182" i="29"/>
  <c r="M188" i="29"/>
  <c r="M178" i="29"/>
  <c r="M189" i="29"/>
  <c r="M177" i="29"/>
  <c r="M184" i="29"/>
  <c r="M183" i="29"/>
  <c r="M470" i="53"/>
  <c r="M464" i="53"/>
  <c r="M457" i="53"/>
  <c r="M460" i="53"/>
  <c r="M463" i="53"/>
  <c r="M466" i="53"/>
  <c r="M469" i="53"/>
  <c r="M472" i="53"/>
  <c r="M459" i="53"/>
  <c r="M462" i="53"/>
  <c r="M465" i="53"/>
  <c r="M468" i="53"/>
  <c r="M471" i="53"/>
  <c r="M458" i="53"/>
  <c r="M461" i="53"/>
  <c r="M467" i="53"/>
  <c r="L196" i="53"/>
  <c r="L176" i="53"/>
  <c r="L201" i="53"/>
  <c r="L181" i="53"/>
  <c r="L168" i="49"/>
  <c r="L148" i="49"/>
  <c r="L179" i="49"/>
  <c r="L159" i="49"/>
  <c r="L147" i="77"/>
  <c r="L127" i="77"/>
  <c r="L146" i="77"/>
  <c r="L126" i="77"/>
  <c r="L158" i="61"/>
  <c r="L138" i="61"/>
  <c r="L163" i="61"/>
  <c r="L143" i="61"/>
  <c r="K176" i="57"/>
  <c r="L509" i="53"/>
  <c r="L489" i="53"/>
  <c r="L498" i="53"/>
  <c r="L478" i="53"/>
  <c r="L921" i="61"/>
  <c r="L901" i="61"/>
  <c r="L917" i="61"/>
  <c r="L897" i="61"/>
  <c r="L893" i="61"/>
  <c r="L1040" i="61" s="1"/>
  <c r="L178" i="41"/>
  <c r="L158" i="41"/>
  <c r="L170" i="41"/>
  <c r="L150" i="41"/>
  <c r="L202" i="29"/>
  <c r="L222" i="29"/>
  <c r="L198" i="29"/>
  <c r="L218" i="29"/>
  <c r="L171" i="19"/>
  <c r="L151" i="19"/>
  <c r="L179" i="19"/>
  <c r="L159" i="19"/>
  <c r="L404" i="69"/>
  <c r="L384" i="69"/>
  <c r="L400" i="69"/>
  <c r="L376" i="69"/>
  <c r="L523" i="69" s="1"/>
  <c r="L380" i="69"/>
  <c r="L668" i="69"/>
  <c r="L648" i="69"/>
  <c r="L644" i="69"/>
  <c r="L791" i="69" s="1"/>
  <c r="L678" i="69"/>
  <c r="L658" i="69"/>
  <c r="K437" i="19"/>
  <c r="L666" i="61"/>
  <c r="L646" i="61"/>
  <c r="L673" i="61"/>
  <c r="L653" i="61"/>
  <c r="L195" i="45"/>
  <c r="L175" i="45"/>
  <c r="L194" i="45"/>
  <c r="L174" i="45"/>
  <c r="L724" i="19"/>
  <c r="L704" i="19"/>
  <c r="L728" i="19"/>
  <c r="L708" i="19"/>
  <c r="L148" i="33"/>
  <c r="L128" i="33"/>
  <c r="L159" i="33"/>
  <c r="L139" i="33"/>
  <c r="K287" i="75"/>
  <c r="K400" i="75" s="1"/>
  <c r="L465" i="41"/>
  <c r="L445" i="41"/>
  <c r="L460" i="41"/>
  <c r="L440" i="41"/>
  <c r="L160" i="69"/>
  <c r="L140" i="69"/>
  <c r="L146" i="69"/>
  <c r="L126" i="69"/>
  <c r="L284" i="75"/>
  <c r="L264" i="75"/>
  <c r="L277" i="75"/>
  <c r="L257" i="75"/>
  <c r="L475" i="57"/>
  <c r="L455" i="57"/>
  <c r="L457" i="57"/>
  <c r="L477" i="57"/>
  <c r="L182" i="57"/>
  <c r="L162" i="57"/>
  <c r="L185" i="57"/>
  <c r="L165" i="57"/>
  <c r="L412" i="61"/>
  <c r="L392" i="61"/>
  <c r="L410" i="61"/>
  <c r="L390" i="61"/>
  <c r="K211" i="29"/>
  <c r="L456" i="49"/>
  <c r="L436" i="49"/>
  <c r="L444" i="49"/>
  <c r="L424" i="49"/>
  <c r="K437" i="49"/>
  <c r="L147" i="37"/>
  <c r="L167" i="37"/>
  <c r="L181" i="37"/>
  <c r="L161" i="37"/>
  <c r="L444" i="19"/>
  <c r="L424" i="19"/>
  <c r="L443" i="19"/>
  <c r="L423" i="19"/>
  <c r="L446" i="45"/>
  <c r="L426" i="45"/>
  <c r="L449" i="45"/>
  <c r="L429" i="45"/>
  <c r="L92" i="79"/>
  <c r="L92" i="78"/>
  <c r="L91" i="78"/>
  <c r="L91" i="79"/>
  <c r="L71" i="79"/>
  <c r="L71" i="78"/>
  <c r="L74" i="78"/>
  <c r="L74" i="79"/>
  <c r="L79" i="78"/>
  <c r="L79" i="79"/>
  <c r="L72" i="78"/>
  <c r="L72" i="79"/>
  <c r="L87" i="78"/>
  <c r="L87" i="79"/>
  <c r="L88" i="79"/>
  <c r="L88" i="78"/>
  <c r="L78" i="78"/>
  <c r="L78" i="79"/>
  <c r="L90" i="79"/>
  <c r="L90" i="78"/>
  <c r="L82" i="79"/>
  <c r="L82" i="78"/>
  <c r="L83" i="79"/>
  <c r="L83" i="78"/>
  <c r="L84" i="78"/>
  <c r="L84" i="79"/>
  <c r="L81" i="78"/>
  <c r="L81" i="79"/>
  <c r="L67" i="78"/>
  <c r="L67" i="79"/>
  <c r="L76" i="79"/>
  <c r="L76" i="78"/>
  <c r="L75" i="79"/>
  <c r="L75" i="78"/>
  <c r="L80" i="78"/>
  <c r="L80" i="79"/>
  <c r="L77" i="78"/>
  <c r="L77" i="79"/>
  <c r="L69" i="78"/>
  <c r="L69" i="79"/>
  <c r="L85" i="78"/>
  <c r="L85" i="79"/>
  <c r="L89" i="79"/>
  <c r="L89" i="78"/>
  <c r="L86" i="79"/>
  <c r="L86" i="78"/>
  <c r="L70" i="78"/>
  <c r="L70" i="79"/>
  <c r="L68" i="78"/>
  <c r="L68" i="79"/>
  <c r="N448" i="53"/>
  <c r="N444" i="53"/>
  <c r="N442" i="53"/>
  <c r="N422" i="53"/>
  <c r="O430" i="53"/>
  <c r="O427" i="53"/>
  <c r="O431" i="53"/>
  <c r="O434" i="53"/>
  <c r="O433" i="53"/>
  <c r="O428" i="53"/>
  <c r="O429" i="53"/>
  <c r="O432" i="53"/>
  <c r="O426" i="53"/>
  <c r="N441" i="53"/>
  <c r="N446" i="53"/>
  <c r="N408" i="53"/>
  <c r="N440" i="53"/>
  <c r="M450" i="53"/>
  <c r="M81" i="27" s="1"/>
  <c r="M597" i="53"/>
  <c r="M600" i="53"/>
  <c r="M611" i="53" s="1"/>
  <c r="M540" i="53"/>
  <c r="M601" i="53"/>
  <c r="M612" i="53" s="1"/>
  <c r="M544" i="53"/>
  <c r="M562" i="53" s="1"/>
  <c r="M551" i="53"/>
  <c r="M569" i="53" s="1"/>
  <c r="M543" i="53"/>
  <c r="M561" i="53" s="1"/>
  <c r="M603" i="53"/>
  <c r="M614" i="53" s="1"/>
  <c r="M541" i="53"/>
  <c r="M559" i="53" s="1"/>
  <c r="M553" i="53"/>
  <c r="M571" i="53" s="1"/>
  <c r="M542" i="53"/>
  <c r="M560" i="53" s="1"/>
  <c r="M545" i="53"/>
  <c r="M563" i="53" s="1"/>
  <c r="M548" i="53"/>
  <c r="M566" i="53" s="1"/>
  <c r="M546" i="53"/>
  <c r="M564" i="53" s="1"/>
  <c r="M549" i="53"/>
  <c r="M567" i="53" s="1"/>
  <c r="M598" i="53"/>
  <c r="M609" i="53" s="1"/>
  <c r="M599" i="53"/>
  <c r="M610" i="53" s="1"/>
  <c r="M552" i="53"/>
  <c r="M570" i="53" s="1"/>
  <c r="M602" i="53"/>
  <c r="M613" i="53" s="1"/>
  <c r="M547" i="53"/>
  <c r="M565" i="53" s="1"/>
  <c r="M550" i="53"/>
  <c r="M568" i="53" s="1"/>
  <c r="O401" i="53"/>
  <c r="O402" i="53"/>
  <c r="O400" i="53"/>
  <c r="O398" i="53"/>
  <c r="O406" i="53"/>
  <c r="O399" i="53"/>
  <c r="O403" i="53"/>
  <c r="O405" i="53"/>
  <c r="O404" i="53"/>
  <c r="O413" i="53"/>
  <c r="O412" i="53"/>
  <c r="O419" i="53"/>
  <c r="O414" i="53"/>
  <c r="O420" i="53"/>
  <c r="O416" i="53"/>
  <c r="O415" i="53"/>
  <c r="O418" i="53"/>
  <c r="O417" i="53"/>
  <c r="N138" i="53"/>
  <c r="N436" i="53"/>
  <c r="N443" i="53"/>
  <c r="N445" i="53"/>
  <c r="N447" i="53"/>
  <c r="N145" i="53"/>
  <c r="N139" i="53"/>
  <c r="M147" i="53"/>
  <c r="M80" i="27" s="1"/>
  <c r="M295" i="53"/>
  <c r="M306" i="53" s="1"/>
  <c r="M242" i="53"/>
  <c r="M260" i="53" s="1"/>
  <c r="M297" i="53"/>
  <c r="M308" i="53" s="1"/>
  <c r="M299" i="53"/>
  <c r="M310" i="53" s="1"/>
  <c r="M238" i="53"/>
  <c r="M256" i="53" s="1"/>
  <c r="M237" i="53"/>
  <c r="M240" i="53"/>
  <c r="M258" i="53" s="1"/>
  <c r="M247" i="53"/>
  <c r="M265" i="53" s="1"/>
  <c r="M294" i="53"/>
  <c r="M298" i="53"/>
  <c r="M309" i="53" s="1"/>
  <c r="M248" i="53"/>
  <c r="M266" i="53" s="1"/>
  <c r="M296" i="53"/>
  <c r="M307" i="53" s="1"/>
  <c r="M300" i="53"/>
  <c r="M311" i="53" s="1"/>
  <c r="M245" i="53"/>
  <c r="M263" i="53" s="1"/>
  <c r="M243" i="53"/>
  <c r="M261" i="53" s="1"/>
  <c r="M244" i="53"/>
  <c r="M262" i="53" s="1"/>
  <c r="M239" i="53"/>
  <c r="M257" i="53" s="1"/>
  <c r="M241" i="53"/>
  <c r="M259" i="53" s="1"/>
  <c r="M249" i="53"/>
  <c r="M267" i="53" s="1"/>
  <c r="M246" i="53"/>
  <c r="M264" i="53" s="1"/>
  <c r="M250" i="53"/>
  <c r="M268" i="53" s="1"/>
  <c r="N105" i="53"/>
  <c r="N137" i="53"/>
  <c r="N144" i="53"/>
  <c r="N133" i="53"/>
  <c r="O113" i="53"/>
  <c r="O114" i="53"/>
  <c r="O117" i="53"/>
  <c r="O110" i="53"/>
  <c r="O111" i="53"/>
  <c r="O116" i="53"/>
  <c r="O112" i="53"/>
  <c r="O115" i="53"/>
  <c r="O109" i="53"/>
  <c r="O99" i="53"/>
  <c r="O103" i="53"/>
  <c r="O98" i="53"/>
  <c r="O97" i="53"/>
  <c r="O100" i="53"/>
  <c r="O101" i="53"/>
  <c r="O102" i="53"/>
  <c r="O96" i="53"/>
  <c r="O95" i="53"/>
  <c r="N143" i="53"/>
  <c r="N119" i="53"/>
  <c r="N142" i="53"/>
  <c r="N141" i="53"/>
  <c r="O125" i="53"/>
  <c r="O131" i="53"/>
  <c r="O127" i="53"/>
  <c r="O126" i="53"/>
  <c r="O130" i="53"/>
  <c r="O128" i="53"/>
  <c r="O124" i="53"/>
  <c r="O129" i="53"/>
  <c r="O123" i="53"/>
  <c r="N140" i="53"/>
  <c r="O378" i="49"/>
  <c r="O380" i="49"/>
  <c r="O382" i="49"/>
  <c r="O381" i="49"/>
  <c r="O379" i="49"/>
  <c r="M394" i="49"/>
  <c r="M79" i="27" s="1"/>
  <c r="M488" i="49"/>
  <c r="M506" i="49" s="1"/>
  <c r="M491" i="49"/>
  <c r="M509" i="49" s="1"/>
  <c r="M494" i="49"/>
  <c r="M512" i="49" s="1"/>
  <c r="M497" i="49"/>
  <c r="M515" i="49" s="1"/>
  <c r="M487" i="49"/>
  <c r="M505" i="49" s="1"/>
  <c r="M544" i="49"/>
  <c r="M555" i="49" s="1"/>
  <c r="M542" i="49"/>
  <c r="M553" i="49" s="1"/>
  <c r="M485" i="49"/>
  <c r="M503" i="49" s="1"/>
  <c r="M484" i="49"/>
  <c r="M541" i="49"/>
  <c r="M496" i="49"/>
  <c r="M514" i="49" s="1"/>
  <c r="M495" i="49"/>
  <c r="M513" i="49" s="1"/>
  <c r="M493" i="49"/>
  <c r="M511" i="49" s="1"/>
  <c r="M492" i="49"/>
  <c r="M510" i="49" s="1"/>
  <c r="M546" i="49"/>
  <c r="M557" i="49" s="1"/>
  <c r="M486" i="49"/>
  <c r="M504" i="49" s="1"/>
  <c r="M489" i="49"/>
  <c r="M507" i="49" s="1"/>
  <c r="M545" i="49"/>
  <c r="M556" i="49" s="1"/>
  <c r="M547" i="49"/>
  <c r="M558" i="49" s="1"/>
  <c r="M543" i="49"/>
  <c r="M554" i="49" s="1"/>
  <c r="M490" i="49"/>
  <c r="M508" i="49" s="1"/>
  <c r="N392" i="49"/>
  <c r="O360" i="49"/>
  <c r="O358" i="49"/>
  <c r="O361" i="49"/>
  <c r="O362" i="49"/>
  <c r="O359" i="49"/>
  <c r="N99" i="49"/>
  <c r="N374" i="49"/>
  <c r="N389" i="49"/>
  <c r="O372" i="49"/>
  <c r="O370" i="49"/>
  <c r="O368" i="49"/>
  <c r="O371" i="49"/>
  <c r="O369" i="49"/>
  <c r="N384" i="49"/>
  <c r="N391" i="49"/>
  <c r="N364" i="49"/>
  <c r="N388" i="49"/>
  <c r="N390" i="49"/>
  <c r="O97" i="49"/>
  <c r="O93" i="49"/>
  <c r="O96" i="49"/>
  <c r="O95" i="49"/>
  <c r="O94" i="49"/>
  <c r="N89" i="49"/>
  <c r="N113" i="49"/>
  <c r="O83" i="49"/>
  <c r="O86" i="49"/>
  <c r="O87" i="49"/>
  <c r="O85" i="49"/>
  <c r="O84" i="49"/>
  <c r="N401" i="41"/>
  <c r="N109" i="49"/>
  <c r="N117" i="49"/>
  <c r="N114" i="49"/>
  <c r="N116" i="49"/>
  <c r="N115" i="49"/>
  <c r="O106" i="49"/>
  <c r="O103" i="49"/>
  <c r="O107" i="49"/>
  <c r="O104" i="49"/>
  <c r="O105" i="49"/>
  <c r="M119" i="49"/>
  <c r="M78" i="27" s="1"/>
  <c r="M213" i="49"/>
  <c r="M231" i="49" s="1"/>
  <c r="M216" i="49"/>
  <c r="M234" i="49" s="1"/>
  <c r="M219" i="49"/>
  <c r="M237" i="49" s="1"/>
  <c r="M222" i="49"/>
  <c r="M240" i="49" s="1"/>
  <c r="M212" i="49"/>
  <c r="M230" i="49" s="1"/>
  <c r="M269" i="49"/>
  <c r="M280" i="49" s="1"/>
  <c r="M267" i="49"/>
  <c r="M278" i="49" s="1"/>
  <c r="M210" i="49"/>
  <c r="M228" i="49" s="1"/>
  <c r="M209" i="49"/>
  <c r="M266" i="49"/>
  <c r="M221" i="49"/>
  <c r="M239" i="49" s="1"/>
  <c r="M220" i="49"/>
  <c r="M238" i="49" s="1"/>
  <c r="M218" i="49"/>
  <c r="M236" i="49" s="1"/>
  <c r="M217" i="49"/>
  <c r="M235" i="49" s="1"/>
  <c r="M271" i="49"/>
  <c r="M282" i="49" s="1"/>
  <c r="M211" i="49"/>
  <c r="M229" i="49" s="1"/>
  <c r="M214" i="49"/>
  <c r="M232" i="49" s="1"/>
  <c r="M270" i="49"/>
  <c r="M281" i="49" s="1"/>
  <c r="M272" i="49"/>
  <c r="M283" i="49" s="1"/>
  <c r="M268" i="49"/>
  <c r="M279" i="49" s="1"/>
  <c r="M215" i="49"/>
  <c r="M233" i="49" s="1"/>
  <c r="N384" i="41"/>
  <c r="N99" i="41"/>
  <c r="O393" i="41"/>
  <c r="O388" i="41"/>
  <c r="O392" i="41"/>
  <c r="O389" i="41"/>
  <c r="O390" i="41"/>
  <c r="O391" i="41"/>
  <c r="O394" i="41"/>
  <c r="N403" i="41"/>
  <c r="N402" i="41"/>
  <c r="N405" i="41"/>
  <c r="N396" i="41"/>
  <c r="N406" i="41"/>
  <c r="O365" i="41"/>
  <c r="O370" i="41"/>
  <c r="O366" i="41"/>
  <c r="O368" i="41"/>
  <c r="O367" i="41"/>
  <c r="O369" i="41"/>
  <c r="O364" i="41"/>
  <c r="M408" i="41"/>
  <c r="M75" i="27" s="1"/>
  <c r="M504" i="41"/>
  <c r="M522" i="41" s="1"/>
  <c r="M511" i="41"/>
  <c r="M529" i="41" s="1"/>
  <c r="M561" i="41"/>
  <c r="M572" i="41" s="1"/>
  <c r="M502" i="41"/>
  <c r="M520" i="41" s="1"/>
  <c r="M500" i="41"/>
  <c r="M518" i="41" s="1"/>
  <c r="M501" i="41"/>
  <c r="M519" i="41" s="1"/>
  <c r="M499" i="41"/>
  <c r="M517" i="41" s="1"/>
  <c r="M558" i="41"/>
  <c r="M569" i="41" s="1"/>
  <c r="M556" i="41"/>
  <c r="M567" i="41" s="1"/>
  <c r="M506" i="41"/>
  <c r="M524" i="41" s="1"/>
  <c r="M505" i="41"/>
  <c r="M523" i="41" s="1"/>
  <c r="M508" i="41"/>
  <c r="M526" i="41" s="1"/>
  <c r="M555" i="41"/>
  <c r="M509" i="41"/>
  <c r="M527" i="41" s="1"/>
  <c r="M507" i="41"/>
  <c r="M525" i="41" s="1"/>
  <c r="M510" i="41"/>
  <c r="M528" i="41" s="1"/>
  <c r="M557" i="41"/>
  <c r="M568" i="41" s="1"/>
  <c r="M560" i="41"/>
  <c r="M571" i="41" s="1"/>
  <c r="M503" i="41"/>
  <c r="M521" i="41" s="1"/>
  <c r="M498" i="41"/>
  <c r="M559" i="41"/>
  <c r="M570" i="41" s="1"/>
  <c r="N404" i="41"/>
  <c r="N372" i="41"/>
  <c r="N400" i="41"/>
  <c r="O380" i="41"/>
  <c r="O378" i="41"/>
  <c r="O379" i="41"/>
  <c r="O381" i="41"/>
  <c r="O377" i="41"/>
  <c r="O382" i="41"/>
  <c r="O376" i="41"/>
  <c r="N116" i="41"/>
  <c r="N109" i="41"/>
  <c r="N89" i="41"/>
  <c r="N113" i="41"/>
  <c r="N117" i="41"/>
  <c r="N114" i="41"/>
  <c r="M119" i="41"/>
  <c r="M74" i="27" s="1"/>
  <c r="M213" i="41"/>
  <c r="M231" i="41" s="1"/>
  <c r="M216" i="41"/>
  <c r="M234" i="41" s="1"/>
  <c r="M219" i="41"/>
  <c r="M237" i="41" s="1"/>
  <c r="M222" i="41"/>
  <c r="M240" i="41" s="1"/>
  <c r="M212" i="41"/>
  <c r="M230" i="41" s="1"/>
  <c r="M269" i="41"/>
  <c r="M280" i="41" s="1"/>
  <c r="M267" i="41"/>
  <c r="M278" i="41" s="1"/>
  <c r="M210" i="41"/>
  <c r="M228" i="41" s="1"/>
  <c r="M209" i="41"/>
  <c r="M266" i="41"/>
  <c r="M221" i="41"/>
  <c r="M239" i="41" s="1"/>
  <c r="M220" i="41"/>
  <c r="M238" i="41" s="1"/>
  <c r="M218" i="41"/>
  <c r="M236" i="41" s="1"/>
  <c r="M217" i="41"/>
  <c r="M235" i="41" s="1"/>
  <c r="M271" i="41"/>
  <c r="M282" i="41" s="1"/>
  <c r="M211" i="41"/>
  <c r="M229" i="41" s="1"/>
  <c r="M214" i="41"/>
  <c r="M232" i="41" s="1"/>
  <c r="M270" i="41"/>
  <c r="M281" i="41" s="1"/>
  <c r="M272" i="41"/>
  <c r="M283" i="41" s="1"/>
  <c r="M268" i="41"/>
  <c r="M279" i="41" s="1"/>
  <c r="M215" i="41"/>
  <c r="M233" i="41" s="1"/>
  <c r="O97" i="41"/>
  <c r="O96" i="41"/>
  <c r="O95" i="41"/>
  <c r="O93" i="41"/>
  <c r="O94" i="41"/>
  <c r="N115" i="41"/>
  <c r="O86" i="41"/>
  <c r="O87" i="41"/>
  <c r="O84" i="41"/>
  <c r="O83" i="41"/>
  <c r="O85" i="41"/>
  <c r="O106" i="41"/>
  <c r="O107" i="41"/>
  <c r="O105" i="41"/>
  <c r="O103" i="41"/>
  <c r="O104" i="41"/>
  <c r="N162" i="29"/>
  <c r="O110" i="29"/>
  <c r="O106" i="29"/>
  <c r="O114" i="29"/>
  <c r="O109" i="29"/>
  <c r="O107" i="29"/>
  <c r="O115" i="29"/>
  <c r="O108" i="29"/>
  <c r="O111" i="29"/>
  <c r="O104" i="29"/>
  <c r="O113" i="29"/>
  <c r="O112" i="29"/>
  <c r="O105" i="29"/>
  <c r="M168" i="29"/>
  <c r="M68" i="27" s="1"/>
  <c r="M271" i="29"/>
  <c r="M289" i="29" s="1"/>
  <c r="M260" i="29"/>
  <c r="M278" i="29" s="1"/>
  <c r="M258" i="29"/>
  <c r="M269" i="29"/>
  <c r="M287" i="29" s="1"/>
  <c r="M261" i="29"/>
  <c r="M279" i="29" s="1"/>
  <c r="M264" i="29"/>
  <c r="M282" i="29" s="1"/>
  <c r="M268" i="29"/>
  <c r="M286" i="29" s="1"/>
  <c r="M320" i="29"/>
  <c r="M331" i="29" s="1"/>
  <c r="M267" i="29"/>
  <c r="M285" i="29" s="1"/>
  <c r="M319" i="29"/>
  <c r="M330" i="29" s="1"/>
  <c r="M321" i="29"/>
  <c r="M332" i="29" s="1"/>
  <c r="M317" i="29"/>
  <c r="M328" i="29" s="1"/>
  <c r="M262" i="29"/>
  <c r="M280" i="29" s="1"/>
  <c r="M265" i="29"/>
  <c r="M283" i="29" s="1"/>
  <c r="M266" i="29"/>
  <c r="M284" i="29" s="1"/>
  <c r="M315" i="29"/>
  <c r="M263" i="29"/>
  <c r="M281" i="29" s="1"/>
  <c r="M318" i="29"/>
  <c r="M329" i="29" s="1"/>
  <c r="M316" i="29"/>
  <c r="M327" i="29" s="1"/>
  <c r="M270" i="29"/>
  <c r="M288" i="29" s="1"/>
  <c r="M259" i="29"/>
  <c r="M277" i="29" s="1"/>
  <c r="N151" i="29"/>
  <c r="N157" i="29"/>
  <c r="N163" i="29"/>
  <c r="N159" i="29"/>
  <c r="N117" i="29"/>
  <c r="N155" i="29"/>
  <c r="N158" i="29"/>
  <c r="N160" i="29"/>
  <c r="N165" i="29"/>
  <c r="O138" i="29"/>
  <c r="O145" i="29"/>
  <c r="O146" i="29"/>
  <c r="O147" i="29"/>
  <c r="O148" i="29"/>
  <c r="O143" i="29"/>
  <c r="O141" i="29"/>
  <c r="O144" i="29"/>
  <c r="O139" i="29"/>
  <c r="O140" i="29"/>
  <c r="O142" i="29"/>
  <c r="O149" i="29"/>
  <c r="O123" i="29"/>
  <c r="O131" i="29"/>
  <c r="O127" i="29"/>
  <c r="O122" i="29"/>
  <c r="O130" i="29"/>
  <c r="O128" i="29"/>
  <c r="O121" i="29"/>
  <c r="O124" i="29"/>
  <c r="O126" i="29"/>
  <c r="O129" i="29"/>
  <c r="O132" i="29"/>
  <c r="O125" i="29"/>
  <c r="N134" i="29"/>
  <c r="N164" i="29"/>
  <c r="N156" i="29"/>
  <c r="N170" i="18"/>
  <c r="N166" i="29"/>
  <c r="N161" i="29"/>
  <c r="N171" i="18"/>
  <c r="N163" i="18"/>
  <c r="N121" i="18"/>
  <c r="N161" i="18"/>
  <c r="N169" i="18"/>
  <c r="N168" i="18"/>
  <c r="N165" i="18"/>
  <c r="N173" i="18"/>
  <c r="N139" i="18"/>
  <c r="N157" i="18"/>
  <c r="N164" i="18"/>
  <c r="O126" i="18"/>
  <c r="O128" i="18"/>
  <c r="O129" i="18"/>
  <c r="O130" i="18"/>
  <c r="O133" i="18"/>
  <c r="O132" i="18"/>
  <c r="O134" i="18"/>
  <c r="O136" i="18"/>
  <c r="O137" i="18"/>
  <c r="O127" i="18"/>
  <c r="O135" i="18"/>
  <c r="O131" i="18"/>
  <c r="O125" i="18"/>
  <c r="O108" i="18"/>
  <c r="O112" i="18"/>
  <c r="O115" i="18"/>
  <c r="O109" i="18"/>
  <c r="O118" i="18"/>
  <c r="O113" i="18"/>
  <c r="O110" i="18"/>
  <c r="O116" i="18"/>
  <c r="O111" i="18"/>
  <c r="O119" i="18"/>
  <c r="O114" i="18"/>
  <c r="O117" i="18"/>
  <c r="O107" i="18"/>
  <c r="N162" i="18"/>
  <c r="N167" i="18"/>
  <c r="M175" i="18"/>
  <c r="M66" i="27" s="1"/>
  <c r="M267" i="18"/>
  <c r="M277" i="18"/>
  <c r="M323" i="18"/>
  <c r="M326" i="18"/>
  <c r="M265" i="18"/>
  <c r="M324" i="18"/>
  <c r="M272" i="18"/>
  <c r="M268" i="18"/>
  <c r="M266" i="18"/>
  <c r="M273" i="18"/>
  <c r="M271" i="18"/>
  <c r="M275" i="18"/>
  <c r="M269" i="18"/>
  <c r="M278" i="18"/>
  <c r="M276" i="18"/>
  <c r="M274" i="18"/>
  <c r="M327" i="18"/>
  <c r="M322" i="18"/>
  <c r="M328" i="18"/>
  <c r="M325" i="18"/>
  <c r="M270" i="18"/>
  <c r="O151" i="18"/>
  <c r="O155" i="18"/>
  <c r="O147" i="18"/>
  <c r="O154" i="18"/>
  <c r="O148" i="18"/>
  <c r="O144" i="18"/>
  <c r="O145" i="18"/>
  <c r="O152" i="18"/>
  <c r="O146" i="18"/>
  <c r="O153" i="18"/>
  <c r="O149" i="18"/>
  <c r="O150" i="18"/>
  <c r="O143" i="18"/>
  <c r="N166" i="18"/>
  <c r="N172" i="18"/>
  <c r="M488" i="19"/>
  <c r="M506" i="19" s="1"/>
  <c r="M485" i="19"/>
  <c r="M503" i="19" s="1"/>
  <c r="M486" i="19"/>
  <c r="M504" i="19" s="1"/>
  <c r="M489" i="19"/>
  <c r="M507" i="19" s="1"/>
  <c r="M484" i="19"/>
  <c r="M496" i="19"/>
  <c r="M514" i="19" s="1"/>
  <c r="M487" i="19"/>
  <c r="M505" i="19" s="1"/>
  <c r="M491" i="19"/>
  <c r="M509" i="19" s="1"/>
  <c r="M495" i="19"/>
  <c r="M513" i="19" s="1"/>
  <c r="M493" i="19"/>
  <c r="M511" i="19" s="1"/>
  <c r="M494" i="19"/>
  <c r="M512" i="19" s="1"/>
  <c r="M497" i="19"/>
  <c r="M515" i="19" s="1"/>
  <c r="M492" i="19"/>
  <c r="M510" i="19" s="1"/>
  <c r="M490" i="19"/>
  <c r="M508" i="19" s="1"/>
  <c r="M198" i="33"/>
  <c r="M216" i="33" s="1"/>
  <c r="M201" i="33"/>
  <c r="M219" i="33" s="1"/>
  <c r="M191" i="33"/>
  <c r="M209" i="33" s="1"/>
  <c r="M188" i="33"/>
  <c r="M192" i="33"/>
  <c r="M210" i="33" s="1"/>
  <c r="M195" i="33"/>
  <c r="M213" i="33" s="1"/>
  <c r="M199" i="33"/>
  <c r="M217" i="33" s="1"/>
  <c r="M189" i="33"/>
  <c r="M207" i="33" s="1"/>
  <c r="M196" i="33"/>
  <c r="M214" i="33" s="1"/>
  <c r="M190" i="33"/>
  <c r="M208" i="33" s="1"/>
  <c r="M193" i="33"/>
  <c r="M211" i="33" s="1"/>
  <c r="M200" i="33"/>
  <c r="M218" i="33" s="1"/>
  <c r="M197" i="33"/>
  <c r="M215" i="33" s="1"/>
  <c r="M194" i="33"/>
  <c r="M212" i="33" s="1"/>
  <c r="M508" i="57"/>
  <c r="M526" i="57" s="1"/>
  <c r="M517" i="57"/>
  <c r="M535" i="57" s="1"/>
  <c r="M513" i="57"/>
  <c r="M531" i="57" s="1"/>
  <c r="M507" i="57"/>
  <c r="M525" i="57" s="1"/>
  <c r="M516" i="57"/>
  <c r="M534" i="57" s="1"/>
  <c r="M518" i="57"/>
  <c r="M536" i="57" s="1"/>
  <c r="M512" i="57"/>
  <c r="M530" i="57" s="1"/>
  <c r="M515" i="57"/>
  <c r="M533" i="57" s="1"/>
  <c r="M505" i="57"/>
  <c r="M514" i="57"/>
  <c r="M532" i="57" s="1"/>
  <c r="M506" i="57"/>
  <c r="M524" i="57" s="1"/>
  <c r="M510" i="57"/>
  <c r="M528" i="57" s="1"/>
  <c r="M511" i="57"/>
  <c r="M529" i="57" s="1"/>
  <c r="M509" i="57"/>
  <c r="M527" i="57" s="1"/>
  <c r="L248" i="45"/>
  <c r="L262" i="45" s="1"/>
  <c r="L244" i="45"/>
  <c r="L311" i="45" s="1"/>
  <c r="L719" i="61"/>
  <c r="L786" i="61" s="1"/>
  <c r="L723" i="61"/>
  <c r="L737" i="61" s="1"/>
  <c r="L255" i="53"/>
  <c r="L269" i="53" s="1"/>
  <c r="L251" i="53"/>
  <c r="L318" i="53" s="1"/>
  <c r="L272" i="29"/>
  <c r="L339" i="29" s="1"/>
  <c r="L276" i="29"/>
  <c r="L290" i="29" s="1"/>
  <c r="M713" i="69"/>
  <c r="M731" i="69" s="1"/>
  <c r="M722" i="69"/>
  <c r="M740" i="69" s="1"/>
  <c r="M723" i="69"/>
  <c r="M741" i="69" s="1"/>
  <c r="M712" i="69"/>
  <c r="M730" i="69" s="1"/>
  <c r="M716" i="69"/>
  <c r="M734" i="69" s="1"/>
  <c r="M719" i="69"/>
  <c r="M737" i="69" s="1"/>
  <c r="M718" i="69"/>
  <c r="M736" i="69" s="1"/>
  <c r="M721" i="69"/>
  <c r="M739" i="69" s="1"/>
  <c r="M717" i="69"/>
  <c r="M735" i="69" s="1"/>
  <c r="M715" i="69"/>
  <c r="M733" i="69" s="1"/>
  <c r="M724" i="69"/>
  <c r="M742" i="69" s="1"/>
  <c r="M720" i="69"/>
  <c r="M738" i="69" s="1"/>
  <c r="M714" i="69"/>
  <c r="M732" i="69" s="1"/>
  <c r="M711" i="69"/>
  <c r="L502" i="49"/>
  <c r="L516" i="49" s="1"/>
  <c r="L498" i="49"/>
  <c r="L565" i="49" s="1"/>
  <c r="L461" i="69"/>
  <c r="L475" i="69" s="1"/>
  <c r="L457" i="69"/>
  <c r="L524" i="69" s="1"/>
  <c r="L729" i="69"/>
  <c r="L743" i="69" s="1"/>
  <c r="L725" i="69"/>
  <c r="L792" i="69" s="1"/>
  <c r="L502" i="19"/>
  <c r="L516" i="19" s="1"/>
  <c r="L498" i="19"/>
  <c r="L565" i="19" s="1"/>
  <c r="M188" i="77"/>
  <c r="M199" i="77"/>
  <c r="M217" i="77" s="1"/>
  <c r="M197" i="77"/>
  <c r="M215" i="77" s="1"/>
  <c r="M191" i="77"/>
  <c r="M209" i="77" s="1"/>
  <c r="M196" i="77"/>
  <c r="M214" i="77" s="1"/>
  <c r="M200" i="77"/>
  <c r="M218" i="77" s="1"/>
  <c r="M195" i="77"/>
  <c r="M213" i="77" s="1"/>
  <c r="M190" i="77"/>
  <c r="M208" i="77" s="1"/>
  <c r="M193" i="77"/>
  <c r="M211" i="77" s="1"/>
  <c r="M194" i="77"/>
  <c r="M212" i="77" s="1"/>
  <c r="M198" i="77"/>
  <c r="M216" i="77" s="1"/>
  <c r="M201" i="77"/>
  <c r="M219" i="77" s="1"/>
  <c r="M192" i="77"/>
  <c r="M210" i="77" s="1"/>
  <c r="M189" i="77"/>
  <c r="M207" i="77" s="1"/>
  <c r="L328" i="75"/>
  <c r="L395" i="75" s="1"/>
  <c r="L332" i="75"/>
  <c r="L346" i="75" s="1"/>
  <c r="M457" i="61"/>
  <c r="M475" i="61" s="1"/>
  <c r="M459" i="61"/>
  <c r="M477" i="61" s="1"/>
  <c r="M455" i="61"/>
  <c r="M473" i="61" s="1"/>
  <c r="M456" i="61"/>
  <c r="M474" i="61" s="1"/>
  <c r="M454" i="61"/>
  <c r="M472" i="61" s="1"/>
  <c r="M453" i="61"/>
  <c r="M471" i="61" s="1"/>
  <c r="M452" i="61"/>
  <c r="M470" i="61" s="1"/>
  <c r="M463" i="61"/>
  <c r="M481" i="61" s="1"/>
  <c r="M451" i="61"/>
  <c r="M469" i="61" s="1"/>
  <c r="M462" i="61"/>
  <c r="M480" i="61" s="1"/>
  <c r="M450" i="61"/>
  <c r="M461" i="61"/>
  <c r="M479" i="61" s="1"/>
  <c r="M458" i="61"/>
  <c r="M476" i="61" s="1"/>
  <c r="M460" i="61"/>
  <c r="M478" i="61" s="1"/>
  <c r="M209" i="37"/>
  <c r="M222" i="37"/>
  <c r="M240" i="37" s="1"/>
  <c r="M218" i="37"/>
  <c r="M236" i="37" s="1"/>
  <c r="M210" i="37"/>
  <c r="M228" i="37" s="1"/>
  <c r="M220" i="37"/>
  <c r="M238" i="37" s="1"/>
  <c r="M214" i="37"/>
  <c r="M232" i="37" s="1"/>
  <c r="M217" i="37"/>
  <c r="M235" i="37" s="1"/>
  <c r="M213" i="37"/>
  <c r="M231" i="37" s="1"/>
  <c r="M216" i="37"/>
  <c r="M234" i="37" s="1"/>
  <c r="M219" i="37"/>
  <c r="M237" i="37" s="1"/>
  <c r="M215" i="37"/>
  <c r="M233" i="37" s="1"/>
  <c r="M212" i="37"/>
  <c r="M230" i="37" s="1"/>
  <c r="M221" i="37"/>
  <c r="M239" i="37" s="1"/>
  <c r="M211" i="37"/>
  <c r="M229" i="37" s="1"/>
  <c r="M443" i="69"/>
  <c r="M453" i="69"/>
  <c r="M471" i="69" s="1"/>
  <c r="M456" i="69"/>
  <c r="M474" i="69" s="1"/>
  <c r="M447" i="69"/>
  <c r="M465" i="69" s="1"/>
  <c r="M444" i="69"/>
  <c r="M462" i="69" s="1"/>
  <c r="M446" i="69"/>
  <c r="M464" i="69" s="1"/>
  <c r="M450" i="69"/>
  <c r="M468" i="69" s="1"/>
  <c r="M452" i="69"/>
  <c r="M470" i="69" s="1"/>
  <c r="M445" i="69"/>
  <c r="M463" i="69" s="1"/>
  <c r="M448" i="69"/>
  <c r="M466" i="69" s="1"/>
  <c r="M451" i="69"/>
  <c r="M469" i="69" s="1"/>
  <c r="M449" i="69"/>
  <c r="M467" i="69" s="1"/>
  <c r="M454" i="69"/>
  <c r="M472" i="69" s="1"/>
  <c r="M455" i="69"/>
  <c r="M473" i="69" s="1"/>
  <c r="M189" i="69"/>
  <c r="M207" i="69" s="1"/>
  <c r="M197" i="69"/>
  <c r="M215" i="69" s="1"/>
  <c r="M190" i="69"/>
  <c r="M208" i="69" s="1"/>
  <c r="M191" i="69"/>
  <c r="M209" i="69" s="1"/>
  <c r="M196" i="69"/>
  <c r="M214" i="69" s="1"/>
  <c r="M192" i="69"/>
  <c r="M210" i="69" s="1"/>
  <c r="M199" i="69"/>
  <c r="M217" i="69" s="1"/>
  <c r="M198" i="69"/>
  <c r="M216" i="69" s="1"/>
  <c r="M193" i="69"/>
  <c r="M211" i="69" s="1"/>
  <c r="M200" i="69"/>
  <c r="M218" i="69" s="1"/>
  <c r="M188" i="69"/>
  <c r="M194" i="69"/>
  <c r="M212" i="69" s="1"/>
  <c r="M195" i="69"/>
  <c r="M213" i="69" s="1"/>
  <c r="M201" i="69"/>
  <c r="M219" i="69" s="1"/>
  <c r="L974" i="61"/>
  <c r="L1041" i="61" s="1"/>
  <c r="L978" i="61"/>
  <c r="L992" i="61" s="1"/>
  <c r="L227" i="41"/>
  <c r="L241" i="41" s="1"/>
  <c r="L223" i="41"/>
  <c r="L290" i="41" s="1"/>
  <c r="L206" i="33"/>
  <c r="L220" i="33" s="1"/>
  <c r="L202" i="33"/>
  <c r="L269" i="33" s="1"/>
  <c r="M492" i="45"/>
  <c r="M510" i="45" s="1"/>
  <c r="M494" i="45"/>
  <c r="M512" i="45" s="1"/>
  <c r="M489" i="45"/>
  <c r="M507" i="45" s="1"/>
  <c r="M493" i="45"/>
  <c r="M511" i="45" s="1"/>
  <c r="M496" i="45"/>
  <c r="M514" i="45" s="1"/>
  <c r="M485" i="45"/>
  <c r="M503" i="45" s="1"/>
  <c r="M486" i="45"/>
  <c r="M504" i="45" s="1"/>
  <c r="M495" i="45"/>
  <c r="M513" i="45" s="1"/>
  <c r="M497" i="45"/>
  <c r="M515" i="45" s="1"/>
  <c r="M484" i="45"/>
  <c r="M487" i="45"/>
  <c r="M505" i="45" s="1"/>
  <c r="M488" i="45"/>
  <c r="M506" i="45" s="1"/>
  <c r="M490" i="45"/>
  <c r="M508" i="45" s="1"/>
  <c r="M491" i="45"/>
  <c r="M509" i="45" s="1"/>
  <c r="M708" i="61"/>
  <c r="M726" i="61" s="1"/>
  <c r="M709" i="61"/>
  <c r="M727" i="61" s="1"/>
  <c r="M712" i="61"/>
  <c r="M730" i="61" s="1"/>
  <c r="M715" i="61"/>
  <c r="M733" i="61" s="1"/>
  <c r="M718" i="61"/>
  <c r="M736" i="61" s="1"/>
  <c r="M716" i="61"/>
  <c r="M734" i="61" s="1"/>
  <c r="M706" i="61"/>
  <c r="M724" i="61" s="1"/>
  <c r="M705" i="61"/>
  <c r="M717" i="61"/>
  <c r="M735" i="61" s="1"/>
  <c r="M714" i="61"/>
  <c r="M732" i="61" s="1"/>
  <c r="M713" i="61"/>
  <c r="M731" i="61" s="1"/>
  <c r="M711" i="61"/>
  <c r="M729" i="61" s="1"/>
  <c r="M707" i="61"/>
  <c r="M725" i="61" s="1"/>
  <c r="M710" i="61"/>
  <c r="M728" i="61" s="1"/>
  <c r="L202" i="69"/>
  <c r="L269" i="69" s="1"/>
  <c r="L206" i="69"/>
  <c r="L220" i="69" s="1"/>
  <c r="L241" i="57"/>
  <c r="L255" i="57" s="1"/>
  <c r="L237" i="57"/>
  <c r="L304" i="57" s="1"/>
  <c r="L227" i="37"/>
  <c r="L241" i="37" s="1"/>
  <c r="L223" i="37"/>
  <c r="L290" i="37" s="1"/>
  <c r="L516" i="41"/>
  <c r="L530" i="41" s="1"/>
  <c r="L512" i="41"/>
  <c r="L579" i="41" s="1"/>
  <c r="M764" i="19"/>
  <c r="M782" i="19" s="1"/>
  <c r="M770" i="19"/>
  <c r="M788" i="19" s="1"/>
  <c r="M766" i="19"/>
  <c r="M784" i="19" s="1"/>
  <c r="M771" i="19"/>
  <c r="M789" i="19" s="1"/>
  <c r="M767" i="19"/>
  <c r="M785" i="19" s="1"/>
  <c r="M759" i="19"/>
  <c r="M762" i="19"/>
  <c r="M780" i="19" s="1"/>
  <c r="M768" i="19"/>
  <c r="M786" i="19" s="1"/>
  <c r="M769" i="19"/>
  <c r="M787" i="19" s="1"/>
  <c r="M765" i="19"/>
  <c r="M783" i="19" s="1"/>
  <c r="M760" i="19"/>
  <c r="M778" i="19" s="1"/>
  <c r="M761" i="19"/>
  <c r="M779" i="19" s="1"/>
  <c r="M763" i="19"/>
  <c r="M781" i="19" s="1"/>
  <c r="M772" i="19"/>
  <c r="M790" i="19" s="1"/>
  <c r="M233" i="45"/>
  <c r="M251" i="45" s="1"/>
  <c r="M231" i="45"/>
  <c r="M249" i="45" s="1"/>
  <c r="M242" i="45"/>
  <c r="M260" i="45" s="1"/>
  <c r="M240" i="45"/>
  <c r="M258" i="45" s="1"/>
  <c r="M241" i="45"/>
  <c r="M259" i="45" s="1"/>
  <c r="M239" i="45"/>
  <c r="M257" i="45" s="1"/>
  <c r="M238" i="45"/>
  <c r="M256" i="45" s="1"/>
  <c r="M236" i="45"/>
  <c r="M254" i="45" s="1"/>
  <c r="M237" i="45"/>
  <c r="M255" i="45" s="1"/>
  <c r="M235" i="45"/>
  <c r="M253" i="45" s="1"/>
  <c r="M234" i="45"/>
  <c r="M252" i="45" s="1"/>
  <c r="M232" i="45"/>
  <c r="M250" i="45" s="1"/>
  <c r="M230" i="45"/>
  <c r="M243" i="45"/>
  <c r="M261" i="45" s="1"/>
  <c r="M199" i="61"/>
  <c r="M217" i="61" s="1"/>
  <c r="M203" i="61"/>
  <c r="M221" i="61" s="1"/>
  <c r="M197" i="61"/>
  <c r="M215" i="61" s="1"/>
  <c r="M193" i="61"/>
  <c r="M198" i="61"/>
  <c r="M216" i="61" s="1"/>
  <c r="M196" i="61"/>
  <c r="M214" i="61" s="1"/>
  <c r="M194" i="61"/>
  <c r="M212" i="61" s="1"/>
  <c r="M206" i="61"/>
  <c r="M224" i="61" s="1"/>
  <c r="M200" i="61"/>
  <c r="M218" i="61" s="1"/>
  <c r="M205" i="61"/>
  <c r="M223" i="61" s="1"/>
  <c r="M201" i="61"/>
  <c r="M219" i="61" s="1"/>
  <c r="M195" i="61"/>
  <c r="M213" i="61" s="1"/>
  <c r="M204" i="61"/>
  <c r="M222" i="61" s="1"/>
  <c r="M202" i="61"/>
  <c r="M220" i="61" s="1"/>
  <c r="M962" i="61"/>
  <c r="M980" i="61" s="1"/>
  <c r="M965" i="61"/>
  <c r="M983" i="61" s="1"/>
  <c r="M969" i="61"/>
  <c r="M987" i="61" s="1"/>
  <c r="M961" i="61"/>
  <c r="M979" i="61" s="1"/>
  <c r="M967" i="61"/>
  <c r="M985" i="61" s="1"/>
  <c r="M972" i="61"/>
  <c r="M990" i="61" s="1"/>
  <c r="M963" i="61"/>
  <c r="M981" i="61" s="1"/>
  <c r="M970" i="61"/>
  <c r="M988" i="61" s="1"/>
  <c r="M973" i="61"/>
  <c r="M991" i="61" s="1"/>
  <c r="M968" i="61"/>
  <c r="M986" i="61" s="1"/>
  <c r="M966" i="61"/>
  <c r="M984" i="61" s="1"/>
  <c r="M971" i="61"/>
  <c r="M989" i="61" s="1"/>
  <c r="M960" i="61"/>
  <c r="M964" i="61"/>
  <c r="M982" i="61" s="1"/>
  <c r="L519" i="57"/>
  <c r="L586" i="57" s="1"/>
  <c r="L523" i="57"/>
  <c r="L537" i="57" s="1"/>
  <c r="L206" i="77"/>
  <c r="L220" i="77" s="1"/>
  <c r="L202" i="77"/>
  <c r="L269" i="77" s="1"/>
  <c r="L227" i="49"/>
  <c r="L241" i="49" s="1"/>
  <c r="L223" i="49"/>
  <c r="L290" i="49" s="1"/>
  <c r="L558" i="53"/>
  <c r="L572" i="53" s="1"/>
  <c r="L554" i="53"/>
  <c r="L621" i="53" s="1"/>
  <c r="M314" i="75"/>
  <c r="M320" i="75"/>
  <c r="M338" i="75" s="1"/>
  <c r="M327" i="75"/>
  <c r="M345" i="75" s="1"/>
  <c r="M322" i="75"/>
  <c r="M340" i="75" s="1"/>
  <c r="M318" i="75"/>
  <c r="M336" i="75" s="1"/>
  <c r="M321" i="75"/>
  <c r="M339" i="75" s="1"/>
  <c r="M315" i="75"/>
  <c r="M333" i="75" s="1"/>
  <c r="M317" i="75"/>
  <c r="M335" i="75" s="1"/>
  <c r="M325" i="75"/>
  <c r="M343" i="75" s="1"/>
  <c r="M326" i="75"/>
  <c r="M344" i="75" s="1"/>
  <c r="M319" i="75"/>
  <c r="M337" i="75" s="1"/>
  <c r="M323" i="75"/>
  <c r="M341" i="75" s="1"/>
  <c r="M316" i="75"/>
  <c r="M334" i="75" s="1"/>
  <c r="M324" i="75"/>
  <c r="M342" i="75" s="1"/>
  <c r="M228" i="57"/>
  <c r="M246" i="57" s="1"/>
  <c r="M235" i="57"/>
  <c r="M253" i="57" s="1"/>
  <c r="M225" i="57"/>
  <c r="M243" i="57" s="1"/>
  <c r="M229" i="57"/>
  <c r="M247" i="57" s="1"/>
  <c r="M232" i="57"/>
  <c r="M250" i="57" s="1"/>
  <c r="M226" i="57"/>
  <c r="M244" i="57" s="1"/>
  <c r="M224" i="57"/>
  <c r="M242" i="57" s="1"/>
  <c r="M236" i="57"/>
  <c r="M254" i="57" s="1"/>
  <c r="M233" i="57"/>
  <c r="M251" i="57" s="1"/>
  <c r="M230" i="57"/>
  <c r="M248" i="57" s="1"/>
  <c r="M234" i="57"/>
  <c r="M252" i="57" s="1"/>
  <c r="M223" i="57"/>
  <c r="M227" i="57"/>
  <c r="M245" i="57" s="1"/>
  <c r="M231" i="57"/>
  <c r="M249" i="57" s="1"/>
  <c r="M218" i="19"/>
  <c r="M236" i="19" s="1"/>
  <c r="M215" i="19"/>
  <c r="M233" i="19" s="1"/>
  <c r="M216" i="19"/>
  <c r="M234" i="19" s="1"/>
  <c r="M219" i="19"/>
  <c r="M237" i="19" s="1"/>
  <c r="M222" i="19"/>
  <c r="M240" i="19" s="1"/>
  <c r="M212" i="19"/>
  <c r="M230" i="19" s="1"/>
  <c r="M209" i="19"/>
  <c r="M213" i="19"/>
  <c r="M231" i="19" s="1"/>
  <c r="M220" i="19"/>
  <c r="M238" i="19" s="1"/>
  <c r="M210" i="19"/>
  <c r="M228" i="19" s="1"/>
  <c r="M217" i="19"/>
  <c r="M235" i="19" s="1"/>
  <c r="M211" i="19"/>
  <c r="M229" i="19" s="1"/>
  <c r="M214" i="19"/>
  <c r="M232" i="19" s="1"/>
  <c r="M221" i="19"/>
  <c r="M239" i="19" s="1"/>
  <c r="L207" i="61"/>
  <c r="L274" i="61" s="1"/>
  <c r="L211" i="61"/>
  <c r="L225" i="61" s="1"/>
  <c r="L502" i="45"/>
  <c r="L516" i="45" s="1"/>
  <c r="L498" i="45"/>
  <c r="L565" i="45" s="1"/>
  <c r="L777" i="19"/>
  <c r="L791" i="19" s="1"/>
  <c r="L773" i="19"/>
  <c r="L840" i="19" s="1"/>
  <c r="L464" i="61"/>
  <c r="L531" i="61" s="1"/>
  <c r="L468" i="61"/>
  <c r="L482" i="61" s="1"/>
  <c r="L227" i="19"/>
  <c r="L241" i="19" s="1"/>
  <c r="L223" i="19"/>
  <c r="L290" i="19" s="1"/>
  <c r="N346" i="69"/>
  <c r="N339" i="69"/>
  <c r="O82" i="69"/>
  <c r="O81" i="69"/>
  <c r="O74" i="69"/>
  <c r="O75" i="69"/>
  <c r="M98" i="69"/>
  <c r="M88" i="27" s="1"/>
  <c r="M245" i="69"/>
  <c r="M246" i="69"/>
  <c r="M257" i="69" s="1"/>
  <c r="M250" i="69"/>
  <c r="M261" i="69" s="1"/>
  <c r="M249" i="69"/>
  <c r="M260" i="69" s="1"/>
  <c r="M248" i="69"/>
  <c r="M259" i="69" s="1"/>
  <c r="M251" i="69"/>
  <c r="M262" i="69" s="1"/>
  <c r="M247" i="69"/>
  <c r="M258" i="69" s="1"/>
  <c r="N96" i="69"/>
  <c r="N77" i="69"/>
  <c r="N95" i="69"/>
  <c r="O89" i="69"/>
  <c r="O88" i="69"/>
  <c r="N351" i="69"/>
  <c r="N91" i="69"/>
  <c r="N84" i="69"/>
  <c r="O337" i="69"/>
  <c r="O336" i="69"/>
  <c r="O329" i="69"/>
  <c r="O330" i="69"/>
  <c r="O344" i="69"/>
  <c r="O343" i="69"/>
  <c r="N332" i="69"/>
  <c r="N350" i="69"/>
  <c r="M353" i="69"/>
  <c r="M89" i="27" s="1"/>
  <c r="M501" i="69"/>
  <c r="M512" i="69" s="1"/>
  <c r="M503" i="69"/>
  <c r="M514" i="69" s="1"/>
  <c r="M504" i="69"/>
  <c r="M515" i="69" s="1"/>
  <c r="M505" i="69"/>
  <c r="M516" i="69" s="1"/>
  <c r="M500" i="69"/>
  <c r="M502" i="69"/>
  <c r="M513" i="69" s="1"/>
  <c r="M506" i="69"/>
  <c r="M517" i="69" s="1"/>
  <c r="N96" i="33"/>
  <c r="N392" i="19"/>
  <c r="N391" i="19"/>
  <c r="M512" i="61"/>
  <c r="M523" i="61" s="1"/>
  <c r="M513" i="61"/>
  <c r="M524" i="61" s="1"/>
  <c r="M509" i="61"/>
  <c r="M520" i="61" s="1"/>
  <c r="M508" i="61"/>
  <c r="M519" i="61" s="1"/>
  <c r="M507" i="61"/>
  <c r="M510" i="61"/>
  <c r="M521" i="61" s="1"/>
  <c r="M511" i="61"/>
  <c r="M522" i="61" s="1"/>
  <c r="M541" i="19"/>
  <c r="M543" i="19"/>
  <c r="M554" i="19" s="1"/>
  <c r="M547" i="19"/>
  <c r="M558" i="19" s="1"/>
  <c r="M544" i="19"/>
  <c r="M555" i="19" s="1"/>
  <c r="M545" i="19"/>
  <c r="M556" i="19" s="1"/>
  <c r="M546" i="19"/>
  <c r="M557" i="19" s="1"/>
  <c r="M542" i="19"/>
  <c r="M553" i="19" s="1"/>
  <c r="M246" i="33"/>
  <c r="M257" i="33" s="1"/>
  <c r="M249" i="33"/>
  <c r="M260" i="33" s="1"/>
  <c r="M250" i="33"/>
  <c r="M261" i="33" s="1"/>
  <c r="M247" i="33"/>
  <c r="M258" i="33" s="1"/>
  <c r="M251" i="33"/>
  <c r="M262" i="33" s="1"/>
  <c r="M248" i="33"/>
  <c r="M259" i="33" s="1"/>
  <c r="M245" i="33"/>
  <c r="M266" i="19"/>
  <c r="M270" i="19"/>
  <c r="M281" i="19" s="1"/>
  <c r="M267" i="19"/>
  <c r="M278" i="19" s="1"/>
  <c r="M271" i="19"/>
  <c r="M282" i="19" s="1"/>
  <c r="M268" i="19"/>
  <c r="M279" i="19" s="1"/>
  <c r="M269" i="19"/>
  <c r="M280" i="19" s="1"/>
  <c r="M272" i="19"/>
  <c r="M283" i="19" s="1"/>
  <c r="M772" i="69"/>
  <c r="M783" i="69" s="1"/>
  <c r="M774" i="69"/>
  <c r="M785" i="69" s="1"/>
  <c r="M773" i="69"/>
  <c r="M784" i="69" s="1"/>
  <c r="M771" i="69"/>
  <c r="M782" i="69" s="1"/>
  <c r="M769" i="69"/>
  <c r="M780" i="69" s="1"/>
  <c r="M770" i="69"/>
  <c r="M781" i="69" s="1"/>
  <c r="M768" i="69"/>
  <c r="M817" i="19"/>
  <c r="M828" i="19" s="1"/>
  <c r="M820" i="19"/>
  <c r="M831" i="19" s="1"/>
  <c r="M816" i="19"/>
  <c r="M821" i="19"/>
  <c r="M832" i="19" s="1"/>
  <c r="M822" i="19"/>
  <c r="M833" i="19" s="1"/>
  <c r="M818" i="19"/>
  <c r="M829" i="19" s="1"/>
  <c r="M819" i="19"/>
  <c r="M830" i="19" s="1"/>
  <c r="M254" i="61"/>
  <c r="M265" i="61" s="1"/>
  <c r="M256" i="61"/>
  <c r="M267" i="61" s="1"/>
  <c r="M253" i="61"/>
  <c r="M264" i="61" s="1"/>
  <c r="M251" i="61"/>
  <c r="M262" i="61" s="1"/>
  <c r="M250" i="61"/>
  <c r="M255" i="61"/>
  <c r="M266" i="61" s="1"/>
  <c r="M252" i="61"/>
  <c r="M263" i="61" s="1"/>
  <c r="M1023" i="61"/>
  <c r="M1034" i="61" s="1"/>
  <c r="M1019" i="61"/>
  <c r="M1030" i="61" s="1"/>
  <c r="M1022" i="61"/>
  <c r="M1033" i="61" s="1"/>
  <c r="M1020" i="61"/>
  <c r="M1031" i="61" s="1"/>
  <c r="M1018" i="61"/>
  <c r="M1029" i="61" s="1"/>
  <c r="M1017" i="61"/>
  <c r="M1021" i="61"/>
  <c r="M1032" i="61" s="1"/>
  <c r="M293" i="45"/>
  <c r="M304" i="45" s="1"/>
  <c r="M289" i="45"/>
  <c r="M300" i="45" s="1"/>
  <c r="M290" i="45"/>
  <c r="M301" i="45" s="1"/>
  <c r="M288" i="45"/>
  <c r="M299" i="45" s="1"/>
  <c r="M292" i="45"/>
  <c r="M303" i="45" s="1"/>
  <c r="M291" i="45"/>
  <c r="M302" i="45" s="1"/>
  <c r="M287" i="45"/>
  <c r="M543" i="45"/>
  <c r="M554" i="45" s="1"/>
  <c r="M542" i="45"/>
  <c r="M553" i="45" s="1"/>
  <c r="M541" i="45"/>
  <c r="M545" i="45"/>
  <c r="M556" i="45" s="1"/>
  <c r="M547" i="45"/>
  <c r="M558" i="45" s="1"/>
  <c r="M546" i="45"/>
  <c r="M557" i="45" s="1"/>
  <c r="M544" i="45"/>
  <c r="M555" i="45" s="1"/>
  <c r="M245" i="77"/>
  <c r="M249" i="77"/>
  <c r="M260" i="77" s="1"/>
  <c r="M250" i="77"/>
  <c r="M261" i="77" s="1"/>
  <c r="M251" i="77"/>
  <c r="M262" i="77" s="1"/>
  <c r="M247" i="77"/>
  <c r="M258" i="77" s="1"/>
  <c r="M248" i="77"/>
  <c r="M259" i="77" s="1"/>
  <c r="M246" i="77"/>
  <c r="M257" i="77" s="1"/>
  <c r="M269" i="37"/>
  <c r="M280" i="37" s="1"/>
  <c r="M268" i="37"/>
  <c r="M279" i="37" s="1"/>
  <c r="M272" i="37"/>
  <c r="M283" i="37" s="1"/>
  <c r="M271" i="37"/>
  <c r="M282" i="37" s="1"/>
  <c r="M267" i="37"/>
  <c r="M278" i="37" s="1"/>
  <c r="M266" i="37"/>
  <c r="M270" i="37"/>
  <c r="M281" i="37" s="1"/>
  <c r="M285" i="57"/>
  <c r="M296" i="57" s="1"/>
  <c r="M281" i="57"/>
  <c r="M292" i="57" s="1"/>
  <c r="M283" i="57"/>
  <c r="M294" i="57" s="1"/>
  <c r="M284" i="57"/>
  <c r="M295" i="57" s="1"/>
  <c r="M280" i="57"/>
  <c r="M282" i="57"/>
  <c r="M293" i="57" s="1"/>
  <c r="M286" i="57"/>
  <c r="M297" i="57" s="1"/>
  <c r="M768" i="61"/>
  <c r="M779" i="61" s="1"/>
  <c r="M763" i="61"/>
  <c r="M774" i="61" s="1"/>
  <c r="M767" i="61"/>
  <c r="M778" i="61" s="1"/>
  <c r="M764" i="61"/>
  <c r="M775" i="61" s="1"/>
  <c r="M765" i="61"/>
  <c r="M776" i="61" s="1"/>
  <c r="M766" i="61"/>
  <c r="M777" i="61" s="1"/>
  <c r="M762" i="61"/>
  <c r="M568" i="57"/>
  <c r="M579" i="57" s="1"/>
  <c r="M565" i="57"/>
  <c r="M576" i="57" s="1"/>
  <c r="M567" i="57"/>
  <c r="M578" i="57" s="1"/>
  <c r="M564" i="57"/>
  <c r="M575" i="57" s="1"/>
  <c r="M563" i="57"/>
  <c r="M574" i="57" s="1"/>
  <c r="M566" i="57"/>
  <c r="M577" i="57" s="1"/>
  <c r="M562" i="57"/>
  <c r="M371" i="75"/>
  <c r="M377" i="75"/>
  <c r="M388" i="75" s="1"/>
  <c r="M372" i="75"/>
  <c r="M383" i="75" s="1"/>
  <c r="M376" i="75"/>
  <c r="M387" i="75" s="1"/>
  <c r="M375" i="75"/>
  <c r="M386" i="75" s="1"/>
  <c r="M374" i="75"/>
  <c r="M385" i="75" s="1"/>
  <c r="M373" i="75"/>
  <c r="M384" i="75" s="1"/>
  <c r="N101" i="61"/>
  <c r="L257" i="61"/>
  <c r="L275" i="61" s="1"/>
  <c r="L268" i="61"/>
  <c r="J295" i="37"/>
  <c r="J295" i="19"/>
  <c r="J570" i="49"/>
  <c r="J569" i="45"/>
  <c r="J528" i="69"/>
  <c r="J316" i="45"/>
  <c r="J273" i="33"/>
  <c r="J790" i="61"/>
  <c r="J845" i="19"/>
  <c r="J278" i="61"/>
  <c r="J294" i="41"/>
  <c r="J295" i="49"/>
  <c r="J399" i="75"/>
  <c r="J591" i="57"/>
  <c r="J273" i="77"/>
  <c r="J569" i="19"/>
  <c r="J274" i="69"/>
  <c r="J308" i="57"/>
  <c r="J796" i="69"/>
  <c r="J535" i="61"/>
  <c r="J1045" i="61"/>
  <c r="J584" i="41"/>
  <c r="J625" i="53"/>
  <c r="J549" i="37"/>
  <c r="J322" i="53"/>
  <c r="N665" i="19"/>
  <c r="J344" i="29"/>
  <c r="N856" i="61"/>
  <c r="N608" i="61"/>
  <c r="N863" i="61"/>
  <c r="N84" i="77"/>
  <c r="N366" i="37"/>
  <c r="N109" i="37"/>
  <c r="N380" i="45"/>
  <c r="N117" i="37"/>
  <c r="N207" i="75"/>
  <c r="N204" i="75"/>
  <c r="N130" i="57"/>
  <c r="N114" i="37"/>
  <c r="N217" i="75"/>
  <c r="N222" i="75"/>
  <c r="N129" i="57"/>
  <c r="N138" i="45"/>
  <c r="N664" i="19"/>
  <c r="N667" i="19"/>
  <c r="N221" i="75"/>
  <c r="O609" i="69"/>
  <c r="O607" i="69"/>
  <c r="O610" i="69"/>
  <c r="O608" i="69"/>
  <c r="N404" i="57"/>
  <c r="O86" i="61"/>
  <c r="O87" i="61"/>
  <c r="O853" i="61"/>
  <c r="O854" i="61"/>
  <c r="O356" i="37"/>
  <c r="O357" i="37"/>
  <c r="N357" i="61"/>
  <c r="N339" i="61"/>
  <c r="L291" i="57"/>
  <c r="L298" i="57" s="1"/>
  <c r="L287" i="57"/>
  <c r="L305" i="57" s="1"/>
  <c r="N99" i="37"/>
  <c r="O146" i="75"/>
  <c r="O137" i="75"/>
  <c r="O128" i="75"/>
  <c r="O139" i="75"/>
  <c r="O129" i="75"/>
  <c r="O140" i="75"/>
  <c r="O131" i="75"/>
  <c r="O141" i="75"/>
  <c r="O142" i="75"/>
  <c r="O133" i="75"/>
  <c r="O144" i="75"/>
  <c r="O145" i="75"/>
  <c r="O134" i="75"/>
  <c r="O147" i="75"/>
  <c r="O130" i="75"/>
  <c r="O138" i="75"/>
  <c r="O132" i="75"/>
  <c r="O135" i="75"/>
  <c r="O143" i="75"/>
  <c r="O136" i="75"/>
  <c r="O350" i="37"/>
  <c r="O349" i="37"/>
  <c r="O847" i="61"/>
  <c r="O846" i="61"/>
  <c r="N384" i="19"/>
  <c r="N413" i="57"/>
  <c r="N206" i="75"/>
  <c r="N211" i="75"/>
  <c r="L326" i="29"/>
  <c r="L333" i="29" s="1"/>
  <c r="L322" i="29"/>
  <c r="L340" i="29" s="1"/>
  <c r="M133" i="57"/>
  <c r="M82" i="27" s="1"/>
  <c r="N128" i="57"/>
  <c r="O94" i="61"/>
  <c r="O93" i="61"/>
  <c r="O351" i="61"/>
  <c r="O350" i="61"/>
  <c r="N91" i="33"/>
  <c r="N116" i="37"/>
  <c r="N135" i="45"/>
  <c r="L548" i="49"/>
  <c r="L566" i="49" s="1"/>
  <c r="L552" i="49"/>
  <c r="L559" i="49" s="1"/>
  <c r="N374" i="19"/>
  <c r="L608" i="53"/>
  <c r="L615" i="53" s="1"/>
  <c r="L604" i="53"/>
  <c r="L622" i="53" s="1"/>
  <c r="O647" i="19"/>
  <c r="O644" i="19"/>
  <c r="O643" i="19"/>
  <c r="O646" i="19"/>
  <c r="O645" i="19"/>
  <c r="M98" i="77"/>
  <c r="M92" i="27" s="1"/>
  <c r="L256" i="77"/>
  <c r="L263" i="77" s="1"/>
  <c r="L252" i="77"/>
  <c r="L270" i="77" s="1"/>
  <c r="N373" i="45"/>
  <c r="N391" i="45"/>
  <c r="L277" i="37"/>
  <c r="L284" i="37" s="1"/>
  <c r="L273" i="37"/>
  <c r="L291" i="37" s="1"/>
  <c r="M669" i="19"/>
  <c r="M71" i="27" s="1"/>
  <c r="O82" i="77"/>
  <c r="O81" i="77"/>
  <c r="O343" i="61"/>
  <c r="O344" i="61"/>
  <c r="M870" i="61"/>
  <c r="M87" i="27" s="1"/>
  <c r="N358" i="61"/>
  <c r="N96" i="77"/>
  <c r="N352" i="37"/>
  <c r="N370" i="37"/>
  <c r="N121" i="57"/>
  <c r="O360" i="19"/>
  <c r="O362" i="19"/>
  <c r="O359" i="19"/>
  <c r="O361" i="19"/>
  <c r="O358" i="19"/>
  <c r="O377" i="57"/>
  <c r="O380" i="57"/>
  <c r="O375" i="57"/>
  <c r="O378" i="57"/>
  <c r="O376" i="57"/>
  <c r="O379" i="57"/>
  <c r="N219" i="75"/>
  <c r="N215" i="75"/>
  <c r="N205" i="75"/>
  <c r="N867" i="61"/>
  <c r="N849" i="61"/>
  <c r="N127" i="57"/>
  <c r="O89" i="77"/>
  <c r="O88" i="77"/>
  <c r="O381" i="19"/>
  <c r="O379" i="19"/>
  <c r="O382" i="19"/>
  <c r="O378" i="19"/>
  <c r="O380" i="19"/>
  <c r="O860" i="61"/>
  <c r="O861" i="61"/>
  <c r="N89" i="61"/>
  <c r="N89" i="37"/>
  <c r="N113" i="37"/>
  <c r="N371" i="37"/>
  <c r="N617" i="69"/>
  <c r="N136" i="45"/>
  <c r="L514" i="61"/>
  <c r="L532" i="61" s="1"/>
  <c r="L518" i="61"/>
  <c r="L525" i="61" s="1"/>
  <c r="O105" i="57"/>
  <c r="O106" i="57"/>
  <c r="O104" i="57"/>
  <c r="O102" i="57"/>
  <c r="O107" i="57"/>
  <c r="O101" i="57"/>
  <c r="O103" i="57"/>
  <c r="P539" i="69"/>
  <c r="P326" i="45"/>
  <c r="P546" i="61"/>
  <c r="P305" i="41"/>
  <c r="P289" i="61"/>
  <c r="P305" i="37"/>
  <c r="P580" i="19"/>
  <c r="P305" i="49"/>
  <c r="P333" i="53"/>
  <c r="P305" i="19"/>
  <c r="P801" i="61"/>
  <c r="P284" i="69"/>
  <c r="P319" i="57"/>
  <c r="P30" i="61"/>
  <c r="P30" i="41"/>
  <c r="P30" i="75"/>
  <c r="P30" i="57"/>
  <c r="P30" i="37"/>
  <c r="P30" i="45"/>
  <c r="P30" i="69"/>
  <c r="P30" i="53"/>
  <c r="P30" i="33"/>
  <c r="P30" i="77"/>
  <c r="P30" i="29"/>
  <c r="P30" i="49"/>
  <c r="P30" i="18"/>
  <c r="P30" i="19"/>
  <c r="L277" i="41"/>
  <c r="L284" i="41" s="1"/>
  <c r="L273" i="41"/>
  <c r="L291" i="41" s="1"/>
  <c r="O89" i="57"/>
  <c r="O90" i="57"/>
  <c r="O93" i="57"/>
  <c r="O94" i="57"/>
  <c r="O95" i="57"/>
  <c r="O91" i="57"/>
  <c r="O92" i="57"/>
  <c r="O591" i="69"/>
  <c r="O592" i="69"/>
  <c r="O590" i="69"/>
  <c r="O589" i="69"/>
  <c r="N666" i="19"/>
  <c r="N392" i="45"/>
  <c r="O95" i="19"/>
  <c r="O93" i="19"/>
  <c r="O94" i="19"/>
  <c r="O97" i="19"/>
  <c r="O96" i="19"/>
  <c r="O600" i="69"/>
  <c r="O599" i="69"/>
  <c r="O601" i="69"/>
  <c r="O598" i="69"/>
  <c r="M224" i="75"/>
  <c r="M91" i="27" s="1"/>
  <c r="M119" i="37"/>
  <c r="M72" i="27" s="1"/>
  <c r="O74" i="33"/>
  <c r="O75" i="33"/>
  <c r="N84" i="33"/>
  <c r="N209" i="75"/>
  <c r="N220" i="75"/>
  <c r="N203" i="75"/>
  <c r="N149" i="75"/>
  <c r="N868" i="61"/>
  <c r="N97" i="57"/>
  <c r="N125" i="57"/>
  <c r="O88" i="33"/>
  <c r="O89" i="33"/>
  <c r="N114" i="19"/>
  <c r="M103" i="61"/>
  <c r="M84" i="27" s="1"/>
  <c r="N96" i="61"/>
  <c r="N618" i="69"/>
  <c r="L298" i="45"/>
  <c r="L305" i="45" s="1"/>
  <c r="L294" i="45"/>
  <c r="L312" i="45" s="1"/>
  <c r="N619" i="69"/>
  <c r="N133" i="45"/>
  <c r="N127" i="45"/>
  <c r="M360" i="61"/>
  <c r="M85" i="27" s="1"/>
  <c r="M140" i="45"/>
  <c r="M76" i="27" s="1"/>
  <c r="O85" i="19"/>
  <c r="O83" i="19"/>
  <c r="O86" i="19"/>
  <c r="O87" i="19"/>
  <c r="O84" i="19"/>
  <c r="O107" i="19"/>
  <c r="O103" i="19"/>
  <c r="O104" i="19"/>
  <c r="O105" i="19"/>
  <c r="O106" i="19"/>
  <c r="O388" i="57"/>
  <c r="O390" i="57"/>
  <c r="O386" i="57"/>
  <c r="O389" i="57"/>
  <c r="O387" i="57"/>
  <c r="O391" i="57"/>
  <c r="O598" i="61"/>
  <c r="O599" i="61"/>
  <c r="N114" i="45"/>
  <c r="N199" i="75"/>
  <c r="N77" i="77"/>
  <c r="N95" i="77"/>
  <c r="L273" i="19"/>
  <c r="L291" i="19" s="1"/>
  <c r="L277" i="19"/>
  <c r="L284" i="19" s="1"/>
  <c r="O87" i="37"/>
  <c r="O85" i="37"/>
  <c r="O83" i="37"/>
  <c r="O86" i="37"/>
  <c r="O84" i="37"/>
  <c r="O80" i="61"/>
  <c r="O79" i="61"/>
  <c r="P304" i="49"/>
  <c r="P332" i="53"/>
  <c r="P304" i="19"/>
  <c r="P800" i="61"/>
  <c r="P318" i="57"/>
  <c r="P538" i="69"/>
  <c r="P288" i="61"/>
  <c r="P304" i="37"/>
  <c r="P579" i="19"/>
  <c r="P304" i="41"/>
  <c r="P283" i="69"/>
  <c r="P325" i="45"/>
  <c r="P545" i="61"/>
  <c r="P29" i="69"/>
  <c r="P29" i="77"/>
  <c r="P29" i="61"/>
  <c r="P29" i="41"/>
  <c r="P29" i="49"/>
  <c r="P29" i="75"/>
  <c r="P29" i="57"/>
  <c r="P29" i="37"/>
  <c r="P29" i="45"/>
  <c r="P29" i="53"/>
  <c r="P29" i="33"/>
  <c r="P29" i="29"/>
  <c r="P29" i="18"/>
  <c r="P29" i="19"/>
  <c r="N410" i="57"/>
  <c r="N214" i="75"/>
  <c r="N216" i="75"/>
  <c r="N612" i="61"/>
  <c r="N594" i="61"/>
  <c r="N126" i="57"/>
  <c r="M98" i="33"/>
  <c r="M70" i="27" s="1"/>
  <c r="O106" i="37"/>
  <c r="O103" i="37"/>
  <c r="O105" i="37"/>
  <c r="O107" i="37"/>
  <c r="O104" i="37"/>
  <c r="P802" i="61"/>
  <c r="P285" i="69"/>
  <c r="P540" i="69"/>
  <c r="P327" i="45"/>
  <c r="P290" i="61"/>
  <c r="P306" i="37"/>
  <c r="P581" i="19"/>
  <c r="P320" i="57"/>
  <c r="P547" i="61"/>
  <c r="P334" i="53"/>
  <c r="P306" i="49"/>
  <c r="P306" i="41"/>
  <c r="P306" i="19"/>
  <c r="P31" i="57"/>
  <c r="P31" i="37"/>
  <c r="P31" i="69"/>
  <c r="P31" i="53"/>
  <c r="P31" i="77"/>
  <c r="P31" i="61"/>
  <c r="P31" i="49"/>
  <c r="P31" i="75"/>
  <c r="P31" i="45"/>
  <c r="P31" i="33"/>
  <c r="P31" i="41"/>
  <c r="P31" i="29"/>
  <c r="P31" i="19"/>
  <c r="P31" i="18"/>
  <c r="N116" i="19"/>
  <c r="L301" i="53"/>
  <c r="L319" i="53" s="1"/>
  <c r="L305" i="53"/>
  <c r="L312" i="53" s="1"/>
  <c r="N616" i="69"/>
  <c r="N594" i="69"/>
  <c r="N132" i="45"/>
  <c r="L552" i="45"/>
  <c r="L559" i="45" s="1"/>
  <c r="L548" i="45"/>
  <c r="L566" i="45" s="1"/>
  <c r="L511" i="69"/>
  <c r="L518" i="69" s="1"/>
  <c r="L507" i="69"/>
  <c r="L525" i="69" s="1"/>
  <c r="N109" i="19"/>
  <c r="O82" i="33"/>
  <c r="O81" i="33"/>
  <c r="O112" i="45"/>
  <c r="O108" i="45"/>
  <c r="O111" i="45"/>
  <c r="O110" i="45"/>
  <c r="O109" i="45"/>
  <c r="O107" i="45"/>
  <c r="O106" i="45"/>
  <c r="O105" i="45"/>
  <c r="O372" i="19"/>
  <c r="O368" i="19"/>
  <c r="O370" i="19"/>
  <c r="O371" i="19"/>
  <c r="O369" i="19"/>
  <c r="O377" i="45"/>
  <c r="O378" i="45"/>
  <c r="N393" i="57"/>
  <c r="N389" i="19"/>
  <c r="N612" i="69"/>
  <c r="L573" i="57"/>
  <c r="L580" i="57" s="1"/>
  <c r="L569" i="57"/>
  <c r="L587" i="57" s="1"/>
  <c r="L252" i="69"/>
  <c r="L270" i="69" s="1"/>
  <c r="L256" i="69"/>
  <c r="L263" i="69" s="1"/>
  <c r="N346" i="61"/>
  <c r="O74" i="77"/>
  <c r="O75" i="77"/>
  <c r="N663" i="19"/>
  <c r="N639" i="19"/>
  <c r="N409" i="57"/>
  <c r="N210" i="75"/>
  <c r="N212" i="75"/>
  <c r="N208" i="75"/>
  <c r="N613" i="61"/>
  <c r="M615" i="61"/>
  <c r="M86" i="27" s="1"/>
  <c r="O114" i="57"/>
  <c r="O119" i="57"/>
  <c r="O118" i="57"/>
  <c r="O113" i="57"/>
  <c r="O116" i="57"/>
  <c r="O115" i="57"/>
  <c r="O117" i="57"/>
  <c r="O122" i="45"/>
  <c r="O119" i="45"/>
  <c r="O124" i="45"/>
  <c r="O123" i="45"/>
  <c r="O125" i="45"/>
  <c r="O121" i="45"/>
  <c r="O120" i="45"/>
  <c r="O118" i="45"/>
  <c r="N353" i="61"/>
  <c r="M119" i="19"/>
  <c r="M67" i="27" s="1"/>
  <c r="L382" i="75"/>
  <c r="L389" i="75" s="1"/>
  <c r="L378" i="75"/>
  <c r="L396" i="75" s="1"/>
  <c r="N89" i="19"/>
  <c r="N113" i="19"/>
  <c r="L548" i="19"/>
  <c r="L566" i="19" s="1"/>
  <c r="L552" i="19"/>
  <c r="L559" i="19" s="1"/>
  <c r="L277" i="49"/>
  <c r="L284" i="49" s="1"/>
  <c r="L273" i="49"/>
  <c r="L291" i="49" s="1"/>
  <c r="N603" i="69"/>
  <c r="N137" i="45"/>
  <c r="N659" i="19"/>
  <c r="N99" i="19"/>
  <c r="N411" i="57"/>
  <c r="O400" i="57"/>
  <c r="O398" i="57"/>
  <c r="O397" i="57"/>
  <c r="O399" i="57"/>
  <c r="O402" i="57"/>
  <c r="O401" i="57"/>
  <c r="O156" i="75"/>
  <c r="O155" i="75"/>
  <c r="O167" i="75"/>
  <c r="O164" i="75"/>
  <c r="O162" i="75"/>
  <c r="O157" i="75"/>
  <c r="O170" i="75"/>
  <c r="O160" i="75"/>
  <c r="O163" i="75"/>
  <c r="O169" i="75"/>
  <c r="O171" i="75"/>
  <c r="O172" i="75"/>
  <c r="O158" i="75"/>
  <c r="O165" i="75"/>
  <c r="O154" i="75"/>
  <c r="O159" i="75"/>
  <c r="O161" i="75"/>
  <c r="O166" i="75"/>
  <c r="O168" i="75"/>
  <c r="O153" i="75"/>
  <c r="O97" i="37"/>
  <c r="O95" i="37"/>
  <c r="O93" i="37"/>
  <c r="O96" i="37"/>
  <c r="O94" i="37"/>
  <c r="N109" i="57"/>
  <c r="N364" i="19"/>
  <c r="N388" i="19"/>
  <c r="N77" i="33"/>
  <c r="N95" i="33"/>
  <c r="O635" i="19"/>
  <c r="O636" i="19"/>
  <c r="O637" i="19"/>
  <c r="O633" i="19"/>
  <c r="O634" i="19"/>
  <c r="O592" i="61"/>
  <c r="O591" i="61"/>
  <c r="M621" i="69"/>
  <c r="M90" i="27" s="1"/>
  <c r="M394" i="19"/>
  <c r="M69" i="27" s="1"/>
  <c r="N412" i="57"/>
  <c r="N218" i="75"/>
  <c r="N213" i="75"/>
  <c r="L566" i="41"/>
  <c r="L573" i="41" s="1"/>
  <c r="L562" i="41"/>
  <c r="L580" i="41" s="1"/>
  <c r="N131" i="57"/>
  <c r="O186" i="75"/>
  <c r="O179" i="75"/>
  <c r="O192" i="75"/>
  <c r="O194" i="75"/>
  <c r="O195" i="75"/>
  <c r="O183" i="75"/>
  <c r="O197" i="75"/>
  <c r="O193" i="75"/>
  <c r="O190" i="75"/>
  <c r="O191" i="75"/>
  <c r="O184" i="75"/>
  <c r="O188" i="75"/>
  <c r="O181" i="75"/>
  <c r="O180" i="75"/>
  <c r="O182" i="75"/>
  <c r="O196" i="75"/>
  <c r="O189" i="75"/>
  <c r="O178" i="75"/>
  <c r="O185" i="75"/>
  <c r="O187" i="75"/>
  <c r="O364" i="37"/>
  <c r="O363" i="37"/>
  <c r="O605" i="61"/>
  <c r="O606" i="61"/>
  <c r="L769" i="61"/>
  <c r="L787" i="61" s="1"/>
  <c r="L773" i="61"/>
  <c r="L780" i="61" s="1"/>
  <c r="N115" i="37"/>
  <c r="N115" i="19"/>
  <c r="L256" i="33"/>
  <c r="L263" i="33" s="1"/>
  <c r="L252" i="33"/>
  <c r="L270" i="33" s="1"/>
  <c r="L827" i="19"/>
  <c r="L834" i="19" s="1"/>
  <c r="L823" i="19"/>
  <c r="L841" i="19" s="1"/>
  <c r="N134" i="45"/>
  <c r="N174" i="75"/>
  <c r="N387" i="45"/>
  <c r="N649" i="19"/>
  <c r="O95" i="45"/>
  <c r="O98" i="45"/>
  <c r="O96" i="45"/>
  <c r="O97" i="45"/>
  <c r="O94" i="45"/>
  <c r="O93" i="45"/>
  <c r="O92" i="45"/>
  <c r="O99" i="45"/>
  <c r="O336" i="61"/>
  <c r="O337" i="61"/>
  <c r="O370" i="45"/>
  <c r="O371" i="45"/>
  <c r="N390" i="19"/>
  <c r="M394" i="45"/>
  <c r="M77" i="27" s="1"/>
  <c r="N359" i="37"/>
  <c r="N408" i="57"/>
  <c r="N382" i="57"/>
  <c r="N82" i="61"/>
  <c r="N100" i="61"/>
  <c r="L1028" i="61"/>
  <c r="L1035" i="61" s="1"/>
  <c r="L1024" i="61"/>
  <c r="L1042" i="61" s="1"/>
  <c r="O654" i="19"/>
  <c r="O653" i="19"/>
  <c r="O656" i="19"/>
  <c r="O657" i="19"/>
  <c r="O655" i="19"/>
  <c r="O385" i="45"/>
  <c r="O384" i="45"/>
  <c r="N91" i="77"/>
  <c r="M415" i="57"/>
  <c r="M83" i="27" s="1"/>
  <c r="N117" i="19"/>
  <c r="N131" i="45"/>
  <c r="N101" i="45"/>
  <c r="L779" i="69"/>
  <c r="L786" i="69" s="1"/>
  <c r="L775" i="69"/>
  <c r="L793" i="69" s="1"/>
  <c r="N601" i="61"/>
  <c r="L162" i="37" l="1"/>
  <c r="L182" i="49"/>
  <c r="L295" i="49" s="1"/>
  <c r="N107" i="33"/>
  <c r="N110" i="33"/>
  <c r="N113" i="33"/>
  <c r="N116" i="33"/>
  <c r="N119" i="33"/>
  <c r="N106" i="33"/>
  <c r="N109" i="33"/>
  <c r="N112" i="33"/>
  <c r="N115" i="33"/>
  <c r="N118" i="33"/>
  <c r="N114" i="33"/>
  <c r="N105" i="33"/>
  <c r="N108" i="33"/>
  <c r="N111" i="33"/>
  <c r="N117" i="33"/>
  <c r="N120" i="33"/>
  <c r="N231" i="75"/>
  <c r="N238" i="75"/>
  <c r="N233" i="75"/>
  <c r="N234" i="75"/>
  <c r="N236" i="75"/>
  <c r="N232" i="75"/>
  <c r="N239" i="75"/>
  <c r="N241" i="75"/>
  <c r="N242" i="75"/>
  <c r="N235" i="75"/>
  <c r="N243" i="75"/>
  <c r="N244" i="75"/>
  <c r="N240" i="75"/>
  <c r="N237" i="75"/>
  <c r="N245" i="75"/>
  <c r="N246" i="75"/>
  <c r="N403" i="45"/>
  <c r="N401" i="45"/>
  <c r="N411" i="45"/>
  <c r="N409" i="45"/>
  <c r="N413" i="45"/>
  <c r="N412" i="45"/>
  <c r="N410" i="45"/>
  <c r="N405" i="45"/>
  <c r="N406" i="45"/>
  <c r="N407" i="45"/>
  <c r="N415" i="45"/>
  <c r="N416" i="45"/>
  <c r="N404" i="45"/>
  <c r="N402" i="45"/>
  <c r="N408" i="45"/>
  <c r="N414" i="45"/>
  <c r="N117" i="69"/>
  <c r="N105" i="69"/>
  <c r="N111" i="69"/>
  <c r="N108" i="69"/>
  <c r="N113" i="69"/>
  <c r="N106" i="69"/>
  <c r="N107" i="69"/>
  <c r="N115" i="69"/>
  <c r="N118" i="69"/>
  <c r="N116" i="69"/>
  <c r="N119" i="69"/>
  <c r="N109" i="69"/>
  <c r="N112" i="69"/>
  <c r="N114" i="69"/>
  <c r="N110" i="69"/>
  <c r="N120" i="69"/>
  <c r="N158" i="53"/>
  <c r="N154" i="53"/>
  <c r="N160" i="53"/>
  <c r="N155" i="53"/>
  <c r="N167" i="53"/>
  <c r="N166" i="53"/>
  <c r="N161" i="53"/>
  <c r="N156" i="53"/>
  <c r="N162" i="53"/>
  <c r="N168" i="53"/>
  <c r="N163" i="53"/>
  <c r="N157" i="53"/>
  <c r="N169" i="53"/>
  <c r="N164" i="53"/>
  <c r="N159" i="53"/>
  <c r="N165" i="53"/>
  <c r="L664" i="69"/>
  <c r="M498" i="53"/>
  <c r="M478" i="53"/>
  <c r="M506" i="53"/>
  <c r="M486" i="53"/>
  <c r="M217" i="29"/>
  <c r="M197" i="29"/>
  <c r="M221" i="29"/>
  <c r="M201" i="29"/>
  <c r="M152" i="61"/>
  <c r="M132" i="61"/>
  <c r="M153" i="61"/>
  <c r="M133" i="61"/>
  <c r="L182" i="37"/>
  <c r="L294" i="37" s="1"/>
  <c r="L712" i="19"/>
  <c r="L162" i="19"/>
  <c r="M204" i="53"/>
  <c r="M184" i="53"/>
  <c r="M202" i="53"/>
  <c r="M182" i="53"/>
  <c r="M172" i="19"/>
  <c r="M152" i="19"/>
  <c r="M180" i="19"/>
  <c r="M160" i="19"/>
  <c r="L458" i="57"/>
  <c r="M455" i="49"/>
  <c r="M435" i="49"/>
  <c r="M443" i="49"/>
  <c r="M423" i="49"/>
  <c r="M172" i="41"/>
  <c r="M152" i="41"/>
  <c r="M180" i="41"/>
  <c r="M160" i="41"/>
  <c r="M174" i="37"/>
  <c r="M154" i="37"/>
  <c r="M179" i="37"/>
  <c r="M159" i="37"/>
  <c r="L211" i="29"/>
  <c r="M175" i="49"/>
  <c r="M155" i="49"/>
  <c r="M174" i="49"/>
  <c r="M154" i="49"/>
  <c r="M453" i="57"/>
  <c r="M473" i="57"/>
  <c r="M465" i="57"/>
  <c r="M445" i="57"/>
  <c r="M670" i="61"/>
  <c r="M650" i="61"/>
  <c r="M669" i="61"/>
  <c r="M649" i="61"/>
  <c r="M444" i="19"/>
  <c r="M424" i="19"/>
  <c r="M448" i="19"/>
  <c r="M428" i="19"/>
  <c r="M197" i="45"/>
  <c r="M177" i="45"/>
  <c r="M202" i="45"/>
  <c r="M182" i="45"/>
  <c r="M727" i="19"/>
  <c r="M707" i="19"/>
  <c r="M717" i="19"/>
  <c r="M697" i="19"/>
  <c r="M154" i="69"/>
  <c r="M134" i="69"/>
  <c r="M140" i="69"/>
  <c r="M160" i="69"/>
  <c r="M189" i="57"/>
  <c r="M169" i="57"/>
  <c r="M182" i="57"/>
  <c r="M162" i="57"/>
  <c r="M275" i="75"/>
  <c r="M255" i="75"/>
  <c r="M253" i="75"/>
  <c r="M273" i="75"/>
  <c r="M457" i="41"/>
  <c r="M437" i="41"/>
  <c r="M458" i="41"/>
  <c r="M438" i="41"/>
  <c r="M928" i="61"/>
  <c r="M908" i="61"/>
  <c r="M919" i="61"/>
  <c r="M899" i="61"/>
  <c r="M679" i="69"/>
  <c r="M659" i="69"/>
  <c r="M675" i="69"/>
  <c r="M655" i="69"/>
  <c r="M442" i="45"/>
  <c r="M422" i="45"/>
  <c r="M444" i="45"/>
  <c r="M424" i="45"/>
  <c r="M232" i="18"/>
  <c r="M212" i="18"/>
  <c r="M228" i="18"/>
  <c r="M208" i="18"/>
  <c r="M406" i="69"/>
  <c r="M386" i="69"/>
  <c r="M409" i="69"/>
  <c r="M389" i="69"/>
  <c r="M146" i="33"/>
  <c r="M126" i="33"/>
  <c r="M154" i="33"/>
  <c r="M134" i="33"/>
  <c r="M145" i="77"/>
  <c r="M125" i="77"/>
  <c r="M121" i="77"/>
  <c r="M268" i="77" s="1"/>
  <c r="M155" i="77"/>
  <c r="M135" i="77"/>
  <c r="M418" i="61"/>
  <c r="M398" i="61"/>
  <c r="M402" i="61"/>
  <c r="M422" i="61"/>
  <c r="N125" i="61"/>
  <c r="N115" i="61"/>
  <c r="N116" i="61"/>
  <c r="N119" i="61"/>
  <c r="N120" i="61"/>
  <c r="N122" i="61"/>
  <c r="N113" i="61"/>
  <c r="N123" i="61"/>
  <c r="N124" i="61"/>
  <c r="N117" i="61"/>
  <c r="N121" i="61"/>
  <c r="N111" i="61"/>
  <c r="N112" i="61"/>
  <c r="N110" i="61"/>
  <c r="N118" i="61"/>
  <c r="N114" i="61"/>
  <c r="N190" i="29"/>
  <c r="N179" i="29"/>
  <c r="N185" i="29"/>
  <c r="N175" i="29"/>
  <c r="N186" i="29"/>
  <c r="N181" i="29"/>
  <c r="N180" i="29"/>
  <c r="N176" i="29"/>
  <c r="N187" i="29"/>
  <c r="N183" i="29"/>
  <c r="N182" i="29"/>
  <c r="N189" i="29"/>
  <c r="N177" i="29"/>
  <c r="N178" i="29"/>
  <c r="N184" i="29"/>
  <c r="N188" i="29"/>
  <c r="N127" i="49"/>
  <c r="N130" i="49"/>
  <c r="N133" i="49"/>
  <c r="N136" i="49"/>
  <c r="N126" i="49"/>
  <c r="N129" i="49"/>
  <c r="N132" i="49"/>
  <c r="N135" i="49"/>
  <c r="N139" i="49"/>
  <c r="N138" i="49"/>
  <c r="N141" i="49"/>
  <c r="N134" i="49"/>
  <c r="N137" i="49"/>
  <c r="N140" i="49"/>
  <c r="N128" i="49"/>
  <c r="N131" i="49"/>
  <c r="N402" i="49"/>
  <c r="N414" i="49"/>
  <c r="N404" i="49"/>
  <c r="N416" i="49"/>
  <c r="N408" i="49"/>
  <c r="N409" i="49"/>
  <c r="N411" i="49"/>
  <c r="N405" i="49"/>
  <c r="N413" i="49"/>
  <c r="N415" i="49"/>
  <c r="N406" i="49"/>
  <c r="N407" i="49"/>
  <c r="N401" i="49"/>
  <c r="N410" i="49"/>
  <c r="N403" i="49"/>
  <c r="N412" i="49"/>
  <c r="L684" i="69"/>
  <c r="L796" i="69" s="1"/>
  <c r="M511" i="53"/>
  <c r="M491" i="53"/>
  <c r="M503" i="53"/>
  <c r="M483" i="53"/>
  <c r="M229" i="29"/>
  <c r="M209" i="29"/>
  <c r="M220" i="29"/>
  <c r="M200" i="29"/>
  <c r="M156" i="61"/>
  <c r="M136" i="61"/>
  <c r="M165" i="61"/>
  <c r="M145" i="61"/>
  <c r="L732" i="19"/>
  <c r="L845" i="19" s="1"/>
  <c r="L182" i="19"/>
  <c r="L294" i="19" s="1"/>
  <c r="M209" i="53"/>
  <c r="M189" i="53"/>
  <c r="M207" i="53"/>
  <c r="M187" i="53"/>
  <c r="M169" i="19"/>
  <c r="M149" i="19"/>
  <c r="M177" i="19"/>
  <c r="M157" i="19"/>
  <c r="L478" i="57"/>
  <c r="L591" i="57" s="1"/>
  <c r="L146" i="61"/>
  <c r="M444" i="49"/>
  <c r="M424" i="49"/>
  <c r="M446" i="49"/>
  <c r="M426" i="49"/>
  <c r="L493" i="53"/>
  <c r="M169" i="41"/>
  <c r="M149" i="41"/>
  <c r="M177" i="41"/>
  <c r="M157" i="41"/>
  <c r="M175" i="37"/>
  <c r="M155" i="37"/>
  <c r="M173" i="37"/>
  <c r="M153" i="37"/>
  <c r="L190" i="53"/>
  <c r="M172" i="49"/>
  <c r="M152" i="49"/>
  <c r="M171" i="49"/>
  <c r="M151" i="49"/>
  <c r="M450" i="57"/>
  <c r="M470" i="57"/>
  <c r="M462" i="57"/>
  <c r="M438" i="57"/>
  <c r="M585" i="57" s="1"/>
  <c r="M442" i="57"/>
  <c r="M667" i="61"/>
  <c r="M647" i="61"/>
  <c r="M666" i="61"/>
  <c r="M646" i="61"/>
  <c r="M446" i="19"/>
  <c r="M426" i="19"/>
  <c r="M454" i="19"/>
  <c r="M434" i="19"/>
  <c r="M187" i="45"/>
  <c r="M167" i="45"/>
  <c r="M163" i="45"/>
  <c r="M310" i="45" s="1"/>
  <c r="M201" i="45"/>
  <c r="M181" i="45"/>
  <c r="M716" i="19"/>
  <c r="M696" i="19"/>
  <c r="M692" i="19"/>
  <c r="M839" i="19" s="1"/>
  <c r="M728" i="19"/>
  <c r="M708" i="19"/>
  <c r="M147" i="69"/>
  <c r="M127" i="69"/>
  <c r="M145" i="69"/>
  <c r="M125" i="69"/>
  <c r="M121" i="69"/>
  <c r="M268" i="69" s="1"/>
  <c r="M173" i="57"/>
  <c r="M193" i="57"/>
  <c r="M194" i="57"/>
  <c r="M174" i="57"/>
  <c r="M279" i="75"/>
  <c r="M259" i="75"/>
  <c r="M271" i="75"/>
  <c r="M251" i="75"/>
  <c r="M247" i="75"/>
  <c r="M394" i="75" s="1"/>
  <c r="L403" i="61"/>
  <c r="M465" i="41"/>
  <c r="M445" i="41"/>
  <c r="M468" i="41"/>
  <c r="M448" i="41"/>
  <c r="M924" i="61"/>
  <c r="M904" i="61"/>
  <c r="M929" i="61"/>
  <c r="M909" i="61"/>
  <c r="M682" i="69"/>
  <c r="M662" i="69"/>
  <c r="M680" i="69"/>
  <c r="M660" i="69"/>
  <c r="M429" i="45"/>
  <c r="M449" i="45"/>
  <c r="M446" i="45"/>
  <c r="M426" i="45"/>
  <c r="M217" i="18"/>
  <c r="M237" i="18"/>
  <c r="M226" i="18"/>
  <c r="M206" i="18"/>
  <c r="M380" i="69"/>
  <c r="M376" i="69"/>
  <c r="M523" i="69" s="1"/>
  <c r="M400" i="69"/>
  <c r="M403" i="69"/>
  <c r="M383" i="69"/>
  <c r="M149" i="33"/>
  <c r="M129" i="33"/>
  <c r="M151" i="33"/>
  <c r="M131" i="33"/>
  <c r="M151" i="77"/>
  <c r="M131" i="77"/>
  <c r="M152" i="77"/>
  <c r="M132" i="77"/>
  <c r="M415" i="61"/>
  <c r="M395" i="61"/>
  <c r="M417" i="61"/>
  <c r="M397" i="61"/>
  <c r="N631" i="61"/>
  <c r="N634" i="61"/>
  <c r="N628" i="61"/>
  <c r="N624" i="61"/>
  <c r="N627" i="61"/>
  <c r="N622" i="61"/>
  <c r="N625" i="61"/>
  <c r="N636" i="61"/>
  <c r="N629" i="61"/>
  <c r="N632" i="61"/>
  <c r="N635" i="61"/>
  <c r="N630" i="61"/>
  <c r="N633" i="61"/>
  <c r="N623" i="61"/>
  <c r="N626" i="61"/>
  <c r="N637" i="61"/>
  <c r="N367" i="61"/>
  <c r="N368" i="61"/>
  <c r="N378" i="61"/>
  <c r="N372" i="61"/>
  <c r="N375" i="61"/>
  <c r="N370" i="61"/>
  <c r="N371" i="61"/>
  <c r="N373" i="61"/>
  <c r="N376" i="61"/>
  <c r="N382" i="61"/>
  <c r="N374" i="61"/>
  <c r="N380" i="61"/>
  <c r="N369" i="61"/>
  <c r="N377" i="61"/>
  <c r="N379" i="61"/>
  <c r="N381" i="61"/>
  <c r="N431" i="57"/>
  <c r="N434" i="57"/>
  <c r="N424" i="57"/>
  <c r="N427" i="57"/>
  <c r="N430" i="57"/>
  <c r="N433" i="57"/>
  <c r="N436" i="57"/>
  <c r="N429" i="57"/>
  <c r="N432" i="57"/>
  <c r="N435" i="57"/>
  <c r="N423" i="57"/>
  <c r="N426" i="57"/>
  <c r="N422" i="57"/>
  <c r="N425" i="57"/>
  <c r="N428" i="57"/>
  <c r="N437" i="57"/>
  <c r="N130" i="19"/>
  <c r="N133" i="19"/>
  <c r="N136" i="19"/>
  <c r="N139" i="19"/>
  <c r="N126" i="19"/>
  <c r="N129" i="19"/>
  <c r="N132" i="19"/>
  <c r="N135" i="19"/>
  <c r="N138" i="19"/>
  <c r="N141" i="19"/>
  <c r="N128" i="19"/>
  <c r="N131" i="19"/>
  <c r="N134" i="19"/>
  <c r="N137" i="19"/>
  <c r="N140" i="19"/>
  <c r="N127" i="19"/>
  <c r="N127" i="41"/>
  <c r="N133" i="41"/>
  <c r="N136" i="41"/>
  <c r="N139" i="41"/>
  <c r="N130" i="41"/>
  <c r="N126" i="41"/>
  <c r="N129" i="41"/>
  <c r="N132" i="41"/>
  <c r="N135" i="41"/>
  <c r="N141" i="41"/>
  <c r="N138" i="41"/>
  <c r="N128" i="41"/>
  <c r="N131" i="41"/>
  <c r="N134" i="41"/>
  <c r="N137" i="41"/>
  <c r="N140" i="41"/>
  <c r="L396" i="69"/>
  <c r="M488" i="53"/>
  <c r="M508" i="53"/>
  <c r="M500" i="53"/>
  <c r="M480" i="53"/>
  <c r="M218" i="29"/>
  <c r="M198" i="29"/>
  <c r="M225" i="29"/>
  <c r="M205" i="29"/>
  <c r="M162" i="61"/>
  <c r="M142" i="61"/>
  <c r="M154" i="61"/>
  <c r="M134" i="61"/>
  <c r="M198" i="53"/>
  <c r="M178" i="53"/>
  <c r="M175" i="53"/>
  <c r="M195" i="53"/>
  <c r="M166" i="19"/>
  <c r="M146" i="19"/>
  <c r="M142" i="19"/>
  <c r="M289" i="19" s="1"/>
  <c r="M174" i="19"/>
  <c r="M154" i="19"/>
  <c r="L166" i="61"/>
  <c r="L279" i="61" s="1"/>
  <c r="M454" i="49"/>
  <c r="M434" i="49"/>
  <c r="M453" i="49"/>
  <c r="M433" i="49"/>
  <c r="L457" i="45"/>
  <c r="L570" i="45" s="1"/>
  <c r="L437" i="49"/>
  <c r="L141" i="69"/>
  <c r="L513" i="53"/>
  <c r="L625" i="53" s="1"/>
  <c r="M166" i="41"/>
  <c r="M146" i="41"/>
  <c r="M142" i="41"/>
  <c r="M289" i="41" s="1"/>
  <c r="M174" i="41"/>
  <c r="M154" i="41"/>
  <c r="M171" i="37"/>
  <c r="M151" i="37"/>
  <c r="M167" i="37"/>
  <c r="M147" i="37"/>
  <c r="L210" i="53"/>
  <c r="L323" i="53" s="1"/>
  <c r="M169" i="49"/>
  <c r="M149" i="49"/>
  <c r="M168" i="49"/>
  <c r="M148" i="49"/>
  <c r="M467" i="57"/>
  <c r="M447" i="57"/>
  <c r="M469" i="57"/>
  <c r="M449" i="57"/>
  <c r="M644" i="61"/>
  <c r="M664" i="61"/>
  <c r="M676" i="61"/>
  <c r="M656" i="61"/>
  <c r="M443" i="19"/>
  <c r="M423" i="19"/>
  <c r="M451" i="19"/>
  <c r="M431" i="19"/>
  <c r="M191" i="45"/>
  <c r="M171" i="45"/>
  <c r="M195" i="45"/>
  <c r="M175" i="45"/>
  <c r="M725" i="19"/>
  <c r="M705" i="19"/>
  <c r="M724" i="19"/>
  <c r="M704" i="19"/>
  <c r="M136" i="69"/>
  <c r="M156" i="69"/>
  <c r="M157" i="69"/>
  <c r="M137" i="69"/>
  <c r="M187" i="57"/>
  <c r="M167" i="57"/>
  <c r="M192" i="57"/>
  <c r="M172" i="57"/>
  <c r="M277" i="75"/>
  <c r="M257" i="75"/>
  <c r="M283" i="75"/>
  <c r="M263" i="75"/>
  <c r="L423" i="61"/>
  <c r="L536" i="61" s="1"/>
  <c r="M467" i="41"/>
  <c r="M447" i="41"/>
  <c r="M459" i="41"/>
  <c r="M439" i="41"/>
  <c r="M926" i="61"/>
  <c r="M906" i="61"/>
  <c r="M931" i="61"/>
  <c r="M911" i="61"/>
  <c r="M670" i="69"/>
  <c r="M650" i="69"/>
  <c r="M673" i="69"/>
  <c r="M653" i="69"/>
  <c r="M448" i="45"/>
  <c r="M428" i="45"/>
  <c r="M417" i="45"/>
  <c r="M564" i="45" s="1"/>
  <c r="M421" i="45"/>
  <c r="M441" i="45"/>
  <c r="L141" i="33"/>
  <c r="M225" i="18"/>
  <c r="M205" i="18"/>
  <c r="M223" i="18"/>
  <c r="M203" i="18"/>
  <c r="M405" i="69"/>
  <c r="M385" i="69"/>
  <c r="M382" i="69"/>
  <c r="M402" i="69"/>
  <c r="M159" i="33"/>
  <c r="M139" i="33"/>
  <c r="M148" i="33"/>
  <c r="M128" i="33"/>
  <c r="M150" i="77"/>
  <c r="M130" i="77"/>
  <c r="M146" i="77"/>
  <c r="M126" i="77"/>
  <c r="M411" i="61"/>
  <c r="M391" i="61"/>
  <c r="M409" i="61"/>
  <c r="M389" i="61"/>
  <c r="N366" i="69"/>
  <c r="N375" i="69"/>
  <c r="N372" i="69"/>
  <c r="N373" i="69"/>
  <c r="N368" i="69"/>
  <c r="N374" i="69"/>
  <c r="N362" i="69"/>
  <c r="N363" i="69"/>
  <c r="N369" i="69"/>
  <c r="N361" i="69"/>
  <c r="N367" i="69"/>
  <c r="N364" i="69"/>
  <c r="N370" i="69"/>
  <c r="N365" i="69"/>
  <c r="N371" i="69"/>
  <c r="N360" i="69"/>
  <c r="M505" i="53"/>
  <c r="M485" i="53"/>
  <c r="M497" i="53"/>
  <c r="M477" i="53"/>
  <c r="M473" i="53"/>
  <c r="M620" i="53" s="1"/>
  <c r="M228" i="29"/>
  <c r="M208" i="29"/>
  <c r="M226" i="29"/>
  <c r="M206" i="29"/>
  <c r="M159" i="61"/>
  <c r="M139" i="61"/>
  <c r="M151" i="61"/>
  <c r="M131" i="61"/>
  <c r="M203" i="53"/>
  <c r="M183" i="53"/>
  <c r="M200" i="53"/>
  <c r="M180" i="53"/>
  <c r="M179" i="19"/>
  <c r="M159" i="19"/>
  <c r="M171" i="19"/>
  <c r="M151" i="19"/>
  <c r="M442" i="49"/>
  <c r="M422" i="49"/>
  <c r="M451" i="49"/>
  <c r="M431" i="49"/>
  <c r="L437" i="45"/>
  <c r="L457" i="49"/>
  <c r="L569" i="49" s="1"/>
  <c r="L161" i="69"/>
  <c r="L273" i="69" s="1"/>
  <c r="M173" i="41"/>
  <c r="M153" i="41"/>
  <c r="M171" i="41"/>
  <c r="M151" i="41"/>
  <c r="M156" i="37"/>
  <c r="M176" i="37"/>
  <c r="M170" i="37"/>
  <c r="M150" i="37"/>
  <c r="M179" i="49"/>
  <c r="M159" i="49"/>
  <c r="M180" i="49"/>
  <c r="M160" i="49"/>
  <c r="M464" i="57"/>
  <c r="M444" i="57"/>
  <c r="M466" i="57"/>
  <c r="M446" i="57"/>
  <c r="M671" i="61"/>
  <c r="M651" i="61"/>
  <c r="M673" i="61"/>
  <c r="M653" i="61"/>
  <c r="M445" i="19"/>
  <c r="M425" i="19"/>
  <c r="M453" i="19"/>
  <c r="M433" i="19"/>
  <c r="M188" i="45"/>
  <c r="M168" i="45"/>
  <c r="M192" i="45"/>
  <c r="M172" i="45"/>
  <c r="M718" i="19"/>
  <c r="M698" i="19"/>
  <c r="M721" i="19"/>
  <c r="M701" i="19"/>
  <c r="M151" i="69"/>
  <c r="M131" i="69"/>
  <c r="M155" i="69"/>
  <c r="M135" i="69"/>
  <c r="M185" i="57"/>
  <c r="M165" i="57"/>
  <c r="M180" i="57"/>
  <c r="M160" i="57"/>
  <c r="M156" i="57"/>
  <c r="M303" i="57" s="1"/>
  <c r="M276" i="75"/>
  <c r="M256" i="75"/>
  <c r="M280" i="75"/>
  <c r="M260" i="75"/>
  <c r="M455" i="41"/>
  <c r="M435" i="41"/>
  <c r="M431" i="41"/>
  <c r="M578" i="41" s="1"/>
  <c r="M466" i="41"/>
  <c r="M446" i="41"/>
  <c r="M927" i="61"/>
  <c r="M907" i="61"/>
  <c r="M922" i="61"/>
  <c r="M902" i="61"/>
  <c r="M668" i="69"/>
  <c r="M648" i="69"/>
  <c r="M644" i="69"/>
  <c r="M791" i="69" s="1"/>
  <c r="M658" i="69"/>
  <c r="M678" i="69"/>
  <c r="M455" i="45"/>
  <c r="M435" i="45"/>
  <c r="M443" i="45"/>
  <c r="M423" i="45"/>
  <c r="L161" i="33"/>
  <c r="L274" i="33" s="1"/>
  <c r="M222" i="18"/>
  <c r="M202" i="18"/>
  <c r="M198" i="18"/>
  <c r="M345" i="18" s="1"/>
  <c r="M236" i="18"/>
  <c r="M216" i="18"/>
  <c r="M410" i="69"/>
  <c r="M390" i="69"/>
  <c r="M414" i="69"/>
  <c r="M394" i="69"/>
  <c r="M156" i="33"/>
  <c r="M136" i="33"/>
  <c r="M145" i="33"/>
  <c r="M125" i="33"/>
  <c r="M121" i="33"/>
  <c r="M268" i="33" s="1"/>
  <c r="M148" i="77"/>
  <c r="M128" i="77"/>
  <c r="M149" i="77"/>
  <c r="M129" i="77"/>
  <c r="M408" i="61"/>
  <c r="M388" i="61"/>
  <c r="M421" i="61"/>
  <c r="M401" i="61"/>
  <c r="N186" i="18"/>
  <c r="N192" i="18"/>
  <c r="N195" i="18"/>
  <c r="N193" i="18"/>
  <c r="N188" i="18"/>
  <c r="N191" i="18"/>
  <c r="N185" i="18"/>
  <c r="N182" i="18"/>
  <c r="N194" i="18"/>
  <c r="N197" i="18"/>
  <c r="N196" i="18"/>
  <c r="N184" i="18"/>
  <c r="N187" i="18"/>
  <c r="N190" i="18"/>
  <c r="N189" i="18"/>
  <c r="N183" i="18"/>
  <c r="L416" i="69"/>
  <c r="L529" i="69" s="1"/>
  <c r="L913" i="61"/>
  <c r="M502" i="53"/>
  <c r="M482" i="53"/>
  <c r="M504" i="53"/>
  <c r="M484" i="53"/>
  <c r="M222" i="29"/>
  <c r="M202" i="29"/>
  <c r="M230" i="29"/>
  <c r="M210" i="29"/>
  <c r="M138" i="61"/>
  <c r="M158" i="61"/>
  <c r="M130" i="61"/>
  <c r="M150" i="61"/>
  <c r="M126" i="61"/>
  <c r="M273" i="61" s="1"/>
  <c r="L658" i="61"/>
  <c r="M197" i="53"/>
  <c r="M177" i="53"/>
  <c r="M194" i="53"/>
  <c r="M174" i="53"/>
  <c r="M170" i="53"/>
  <c r="M317" i="53" s="1"/>
  <c r="M176" i="19"/>
  <c r="M156" i="19"/>
  <c r="M168" i="19"/>
  <c r="M148" i="19"/>
  <c r="M452" i="49"/>
  <c r="M432" i="49"/>
  <c r="M447" i="49"/>
  <c r="M427" i="49"/>
  <c r="L176" i="57"/>
  <c r="M179" i="41"/>
  <c r="M159" i="41"/>
  <c r="M168" i="41"/>
  <c r="M148" i="41"/>
  <c r="M181" i="37"/>
  <c r="M161" i="37"/>
  <c r="M168" i="37"/>
  <c r="M148" i="37"/>
  <c r="M176" i="49"/>
  <c r="M156" i="49"/>
  <c r="M177" i="49"/>
  <c r="M157" i="49"/>
  <c r="M457" i="57"/>
  <c r="M477" i="57"/>
  <c r="M475" i="57"/>
  <c r="M455" i="57"/>
  <c r="M657" i="61"/>
  <c r="M677" i="61"/>
  <c r="M675" i="61"/>
  <c r="M655" i="61"/>
  <c r="M442" i="19"/>
  <c r="M422" i="19"/>
  <c r="M450" i="19"/>
  <c r="M430" i="19"/>
  <c r="M200" i="45"/>
  <c r="M180" i="45"/>
  <c r="M199" i="45"/>
  <c r="M179" i="45"/>
  <c r="M729" i="19"/>
  <c r="M709" i="19"/>
  <c r="M722" i="19"/>
  <c r="M702" i="19"/>
  <c r="M153" i="69"/>
  <c r="M133" i="69"/>
  <c r="M152" i="69"/>
  <c r="M132" i="69"/>
  <c r="M188" i="57"/>
  <c r="M168" i="57"/>
  <c r="M183" i="57"/>
  <c r="M163" i="57"/>
  <c r="M286" i="75"/>
  <c r="M266" i="75"/>
  <c r="M285" i="75"/>
  <c r="M265" i="75"/>
  <c r="M460" i="41"/>
  <c r="M440" i="41"/>
  <c r="M462" i="41"/>
  <c r="M442" i="41"/>
  <c r="M917" i="61"/>
  <c r="M897" i="61"/>
  <c r="M893" i="61"/>
  <c r="M1040" i="61" s="1"/>
  <c r="M932" i="61"/>
  <c r="M912" i="61"/>
  <c r="M676" i="69"/>
  <c r="M656" i="69"/>
  <c r="M672" i="69"/>
  <c r="M652" i="69"/>
  <c r="M445" i="45"/>
  <c r="M425" i="45"/>
  <c r="M456" i="45"/>
  <c r="M436" i="45"/>
  <c r="M234" i="18"/>
  <c r="M214" i="18"/>
  <c r="M233" i="18"/>
  <c r="M213" i="18"/>
  <c r="M404" i="69"/>
  <c r="M384" i="69"/>
  <c r="M408" i="69"/>
  <c r="M388" i="69"/>
  <c r="M153" i="33"/>
  <c r="M133" i="33"/>
  <c r="M157" i="33"/>
  <c r="M137" i="33"/>
  <c r="M147" i="77"/>
  <c r="M127" i="77"/>
  <c r="M153" i="77"/>
  <c r="M133" i="77"/>
  <c r="M412" i="61"/>
  <c r="M392" i="61"/>
  <c r="M413" i="61"/>
  <c r="M393" i="61"/>
  <c r="N676" i="19"/>
  <c r="N687" i="19"/>
  <c r="N680" i="19"/>
  <c r="N686" i="19"/>
  <c r="N689" i="19"/>
  <c r="N682" i="19"/>
  <c r="N684" i="19"/>
  <c r="N677" i="19"/>
  <c r="N688" i="19"/>
  <c r="N683" i="19"/>
  <c r="N679" i="19"/>
  <c r="N690" i="19"/>
  <c r="N678" i="19"/>
  <c r="N681" i="19"/>
  <c r="N685" i="19"/>
  <c r="N691" i="19"/>
  <c r="N105" i="77"/>
  <c r="N112" i="77"/>
  <c r="N114" i="77"/>
  <c r="N119" i="77"/>
  <c r="N111" i="77"/>
  <c r="N116" i="77"/>
  <c r="N117" i="77"/>
  <c r="N120" i="77"/>
  <c r="N118" i="77"/>
  <c r="N106" i="77"/>
  <c r="N107" i="77"/>
  <c r="N113" i="77"/>
  <c r="N109" i="77"/>
  <c r="N110" i="77"/>
  <c r="N108" i="77"/>
  <c r="N115" i="77"/>
  <c r="N143" i="57"/>
  <c r="N152" i="57"/>
  <c r="N142" i="57"/>
  <c r="N150" i="57"/>
  <c r="N144" i="57"/>
  <c r="N155" i="57"/>
  <c r="N148" i="57"/>
  <c r="N151" i="57"/>
  <c r="N145" i="57"/>
  <c r="N147" i="57"/>
  <c r="N153" i="57"/>
  <c r="N141" i="57"/>
  <c r="N154" i="57"/>
  <c r="N140" i="57"/>
  <c r="N149" i="57"/>
  <c r="N146" i="57"/>
  <c r="N887" i="61"/>
  <c r="N884" i="61"/>
  <c r="N883" i="61"/>
  <c r="N881" i="61"/>
  <c r="N885" i="61"/>
  <c r="N880" i="61"/>
  <c r="N878" i="61"/>
  <c r="N882" i="61"/>
  <c r="N892" i="61"/>
  <c r="N891" i="61"/>
  <c r="N889" i="61"/>
  <c r="N879" i="61"/>
  <c r="N888" i="61"/>
  <c r="N886" i="61"/>
  <c r="N890" i="61"/>
  <c r="N877" i="61"/>
  <c r="N384" i="37"/>
  <c r="N387" i="37"/>
  <c r="N390" i="37"/>
  <c r="N393" i="37"/>
  <c r="N383" i="37"/>
  <c r="N386" i="37"/>
  <c r="N389" i="37"/>
  <c r="N380" i="37"/>
  <c r="N392" i="37"/>
  <c r="N395" i="37"/>
  <c r="N391" i="37"/>
  <c r="N394" i="37"/>
  <c r="N382" i="37"/>
  <c r="N385" i="37"/>
  <c r="N388" i="37"/>
  <c r="N381" i="37"/>
  <c r="N419" i="41"/>
  <c r="N426" i="41"/>
  <c r="N417" i="41"/>
  <c r="N415" i="41"/>
  <c r="N424" i="41"/>
  <c r="N422" i="41"/>
  <c r="N428" i="41"/>
  <c r="N420" i="41"/>
  <c r="N430" i="41"/>
  <c r="N418" i="41"/>
  <c r="N423" i="41"/>
  <c r="N421" i="41"/>
  <c r="N416" i="41"/>
  <c r="N429" i="41"/>
  <c r="N425" i="41"/>
  <c r="N427" i="41"/>
  <c r="L933" i="61"/>
  <c r="L1046" i="61" s="1"/>
  <c r="M499" i="53"/>
  <c r="M479" i="53"/>
  <c r="M510" i="53"/>
  <c r="M490" i="53"/>
  <c r="M195" i="29"/>
  <c r="M191" i="29"/>
  <c r="M338" i="29" s="1"/>
  <c r="M215" i="29"/>
  <c r="M199" i="29"/>
  <c r="M219" i="29"/>
  <c r="M163" i="61"/>
  <c r="M143" i="61"/>
  <c r="M157" i="61"/>
  <c r="M137" i="61"/>
  <c r="L183" i="45"/>
  <c r="L678" i="61"/>
  <c r="L791" i="61" s="1"/>
  <c r="M206" i="53"/>
  <c r="M186" i="53"/>
  <c r="M196" i="53"/>
  <c r="M176" i="53"/>
  <c r="M181" i="19"/>
  <c r="M161" i="19"/>
  <c r="M173" i="19"/>
  <c r="M153" i="19"/>
  <c r="M441" i="49"/>
  <c r="M421" i="49"/>
  <c r="M417" i="49"/>
  <c r="M564" i="49" s="1"/>
  <c r="M449" i="49"/>
  <c r="M429" i="49"/>
  <c r="L196" i="57"/>
  <c r="L308" i="57" s="1"/>
  <c r="L267" i="75"/>
  <c r="L162" i="41"/>
  <c r="M176" i="41"/>
  <c r="M156" i="41"/>
  <c r="M181" i="41"/>
  <c r="M161" i="41"/>
  <c r="M178" i="37"/>
  <c r="M158" i="37"/>
  <c r="M180" i="37"/>
  <c r="M160" i="37"/>
  <c r="L451" i="41"/>
  <c r="M173" i="49"/>
  <c r="M153" i="49"/>
  <c r="M181" i="49"/>
  <c r="M161" i="49"/>
  <c r="M474" i="57"/>
  <c r="M454" i="57"/>
  <c r="M472" i="57"/>
  <c r="M452" i="57"/>
  <c r="M674" i="61"/>
  <c r="M654" i="61"/>
  <c r="M672" i="61"/>
  <c r="M652" i="61"/>
  <c r="M455" i="19"/>
  <c r="M435" i="19"/>
  <c r="M447" i="19"/>
  <c r="M427" i="19"/>
  <c r="M189" i="45"/>
  <c r="M169" i="45"/>
  <c r="M196" i="45"/>
  <c r="M176" i="45"/>
  <c r="M723" i="19"/>
  <c r="M703" i="19"/>
  <c r="M726" i="19"/>
  <c r="M706" i="19"/>
  <c r="M128" i="69"/>
  <c r="M148" i="69"/>
  <c r="M150" i="69"/>
  <c r="M130" i="69"/>
  <c r="M186" i="57"/>
  <c r="M166" i="57"/>
  <c r="M181" i="57"/>
  <c r="M161" i="57"/>
  <c r="M274" i="75"/>
  <c r="M254" i="75"/>
  <c r="M284" i="75"/>
  <c r="M264" i="75"/>
  <c r="L437" i="19"/>
  <c r="M461" i="41"/>
  <c r="M441" i="41"/>
  <c r="M463" i="41"/>
  <c r="M443" i="41"/>
  <c r="M925" i="61"/>
  <c r="M905" i="61"/>
  <c r="M930" i="61"/>
  <c r="M910" i="61"/>
  <c r="M681" i="69"/>
  <c r="M661" i="69"/>
  <c r="M669" i="69"/>
  <c r="M649" i="69"/>
  <c r="M450" i="45"/>
  <c r="M430" i="45"/>
  <c r="M447" i="45"/>
  <c r="M427" i="45"/>
  <c r="M231" i="18"/>
  <c r="M211" i="18"/>
  <c r="M230" i="18"/>
  <c r="M210" i="18"/>
  <c r="M412" i="69"/>
  <c r="M392" i="69"/>
  <c r="M393" i="69"/>
  <c r="M413" i="69"/>
  <c r="M150" i="33"/>
  <c r="M130" i="33"/>
  <c r="M158" i="33"/>
  <c r="M138" i="33"/>
  <c r="M160" i="77"/>
  <c r="M140" i="77"/>
  <c r="M138" i="77"/>
  <c r="M158" i="77"/>
  <c r="M410" i="61"/>
  <c r="M390" i="61"/>
  <c r="M419" i="61"/>
  <c r="M399" i="61"/>
  <c r="N414" i="19"/>
  <c r="N402" i="19"/>
  <c r="N403" i="19"/>
  <c r="N404" i="19"/>
  <c r="N407" i="19"/>
  <c r="N410" i="19"/>
  <c r="N408" i="19"/>
  <c r="N411" i="19"/>
  <c r="N401" i="19"/>
  <c r="N406" i="19"/>
  <c r="N413" i="19"/>
  <c r="N412" i="19"/>
  <c r="N415" i="19"/>
  <c r="N416" i="19"/>
  <c r="N405" i="19"/>
  <c r="N409" i="19"/>
  <c r="N634" i="69"/>
  <c r="N632" i="69"/>
  <c r="N640" i="69"/>
  <c r="N642" i="69"/>
  <c r="N628" i="69"/>
  <c r="N635" i="69"/>
  <c r="N641" i="69"/>
  <c r="N633" i="69"/>
  <c r="N629" i="69"/>
  <c r="N636" i="69"/>
  <c r="N639" i="69"/>
  <c r="N631" i="69"/>
  <c r="N637" i="69"/>
  <c r="N638" i="69"/>
  <c r="N643" i="69"/>
  <c r="N630" i="69"/>
  <c r="N133" i="37"/>
  <c r="N135" i="37"/>
  <c r="N136" i="37"/>
  <c r="N138" i="37"/>
  <c r="N132" i="37"/>
  <c r="N131" i="37"/>
  <c r="N134" i="37"/>
  <c r="N140" i="37"/>
  <c r="N128" i="37"/>
  <c r="N141" i="37"/>
  <c r="N139" i="37"/>
  <c r="N127" i="37"/>
  <c r="N130" i="37"/>
  <c r="N137" i="37"/>
  <c r="N126" i="37"/>
  <c r="N129" i="37"/>
  <c r="M507" i="53"/>
  <c r="M487" i="53"/>
  <c r="M512" i="53"/>
  <c r="M492" i="53"/>
  <c r="M223" i="29"/>
  <c r="M203" i="29"/>
  <c r="M216" i="29"/>
  <c r="M196" i="29"/>
  <c r="M155" i="61"/>
  <c r="M135" i="61"/>
  <c r="M164" i="61"/>
  <c r="M144" i="61"/>
  <c r="L203" i="45"/>
  <c r="L316" i="45" s="1"/>
  <c r="M205" i="53"/>
  <c r="M185" i="53"/>
  <c r="M201" i="53"/>
  <c r="M181" i="53"/>
  <c r="M178" i="19"/>
  <c r="M158" i="19"/>
  <c r="M170" i="19"/>
  <c r="M150" i="19"/>
  <c r="M450" i="49"/>
  <c r="M430" i="49"/>
  <c r="M428" i="49"/>
  <c r="M448" i="49"/>
  <c r="L287" i="75"/>
  <c r="L399" i="75" s="1"/>
  <c r="L182" i="41"/>
  <c r="L294" i="41" s="1"/>
  <c r="M178" i="41"/>
  <c r="M158" i="41"/>
  <c r="M170" i="41"/>
  <c r="M150" i="41"/>
  <c r="M172" i="37"/>
  <c r="M152" i="37"/>
  <c r="M169" i="37"/>
  <c r="M149" i="37"/>
  <c r="L471" i="41"/>
  <c r="L584" i="41" s="1"/>
  <c r="L231" i="29"/>
  <c r="L343" i="29" s="1"/>
  <c r="L162" i="49"/>
  <c r="M166" i="49"/>
  <c r="M146" i="49"/>
  <c r="M142" i="49"/>
  <c r="M289" i="49" s="1"/>
  <c r="M170" i="49"/>
  <c r="M150" i="49"/>
  <c r="M463" i="57"/>
  <c r="M443" i="57"/>
  <c r="M471" i="57"/>
  <c r="M451" i="57"/>
  <c r="M648" i="61"/>
  <c r="M668" i="61"/>
  <c r="M662" i="61"/>
  <c r="M642" i="61"/>
  <c r="M638" i="61"/>
  <c r="M785" i="61" s="1"/>
  <c r="M456" i="19"/>
  <c r="M436" i="19"/>
  <c r="M449" i="19"/>
  <c r="M429" i="19"/>
  <c r="M194" i="45"/>
  <c r="M174" i="45"/>
  <c r="M193" i="45"/>
  <c r="M173" i="45"/>
  <c r="M731" i="19"/>
  <c r="M711" i="19"/>
  <c r="M730" i="19"/>
  <c r="M710" i="19"/>
  <c r="M149" i="69"/>
  <c r="M129" i="69"/>
  <c r="M158" i="69"/>
  <c r="M138" i="69"/>
  <c r="M191" i="57"/>
  <c r="M171" i="57"/>
  <c r="M195" i="57"/>
  <c r="M175" i="57"/>
  <c r="M278" i="75"/>
  <c r="M258" i="75"/>
  <c r="M252" i="75"/>
  <c r="M272" i="75"/>
  <c r="L457" i="19"/>
  <c r="L569" i="19" s="1"/>
  <c r="M464" i="41"/>
  <c r="M444" i="41"/>
  <c r="M469" i="41"/>
  <c r="M449" i="41"/>
  <c r="M921" i="61"/>
  <c r="M901" i="61"/>
  <c r="M920" i="61"/>
  <c r="M900" i="61"/>
  <c r="M671" i="69"/>
  <c r="M651" i="69"/>
  <c r="M677" i="69"/>
  <c r="M657" i="69"/>
  <c r="M454" i="45"/>
  <c r="M434" i="45"/>
  <c r="M452" i="45"/>
  <c r="M432" i="45"/>
  <c r="L141" i="77"/>
  <c r="M235" i="18"/>
  <c r="M215" i="18"/>
  <c r="M227" i="18"/>
  <c r="M207" i="18"/>
  <c r="M411" i="69"/>
  <c r="M391" i="69"/>
  <c r="M407" i="69"/>
  <c r="M387" i="69"/>
  <c r="M147" i="33"/>
  <c r="M127" i="33"/>
  <c r="M155" i="33"/>
  <c r="M135" i="33"/>
  <c r="M139" i="77"/>
  <c r="M159" i="77"/>
  <c r="M154" i="77"/>
  <c r="M134" i="77"/>
  <c r="M407" i="61"/>
  <c r="M387" i="61"/>
  <c r="M383" i="61"/>
  <c r="M530" i="61" s="1"/>
  <c r="M416" i="61"/>
  <c r="M396" i="61"/>
  <c r="N147" i="45"/>
  <c r="N150" i="45"/>
  <c r="N161" i="45"/>
  <c r="N157" i="45"/>
  <c r="N160" i="45"/>
  <c r="N158" i="45"/>
  <c r="N148" i="45"/>
  <c r="N162" i="45"/>
  <c r="N155" i="45"/>
  <c r="N151" i="45"/>
  <c r="N154" i="45"/>
  <c r="N153" i="45"/>
  <c r="N156" i="45"/>
  <c r="N149" i="45"/>
  <c r="N152" i="45"/>
  <c r="N159" i="45"/>
  <c r="N459" i="53"/>
  <c r="N462" i="53"/>
  <c r="N465" i="53"/>
  <c r="N468" i="53"/>
  <c r="N471" i="53"/>
  <c r="N472" i="53"/>
  <c r="N458" i="53"/>
  <c r="N467" i="53"/>
  <c r="N470" i="53"/>
  <c r="N461" i="53"/>
  <c r="N457" i="53"/>
  <c r="N460" i="53"/>
  <c r="N463" i="53"/>
  <c r="N466" i="53"/>
  <c r="N469" i="53"/>
  <c r="N464" i="53"/>
  <c r="M501" i="53"/>
  <c r="M481" i="53"/>
  <c r="M509" i="53"/>
  <c r="M489" i="53"/>
  <c r="M224" i="29"/>
  <c r="M204" i="29"/>
  <c r="M227" i="29"/>
  <c r="M207" i="29"/>
  <c r="M160" i="61"/>
  <c r="M140" i="61"/>
  <c r="M161" i="61"/>
  <c r="M141" i="61"/>
  <c r="M199" i="53"/>
  <c r="M179" i="53"/>
  <c r="M208" i="53"/>
  <c r="M188" i="53"/>
  <c r="M175" i="19"/>
  <c r="M155" i="19"/>
  <c r="M167" i="19"/>
  <c r="M147" i="19"/>
  <c r="M425" i="49"/>
  <c r="M445" i="49"/>
  <c r="M456" i="49"/>
  <c r="M436" i="49"/>
  <c r="M175" i="41"/>
  <c r="M155" i="41"/>
  <c r="M167" i="41"/>
  <c r="M147" i="41"/>
  <c r="M177" i="37"/>
  <c r="M157" i="37"/>
  <c r="M166" i="37"/>
  <c r="M146" i="37"/>
  <c r="M142" i="37"/>
  <c r="M289" i="37" s="1"/>
  <c r="M178" i="49"/>
  <c r="M158" i="49"/>
  <c r="M167" i="49"/>
  <c r="M147" i="49"/>
  <c r="M476" i="57"/>
  <c r="M456" i="57"/>
  <c r="M468" i="57"/>
  <c r="M448" i="57"/>
  <c r="M665" i="61"/>
  <c r="M645" i="61"/>
  <c r="M663" i="61"/>
  <c r="M643" i="61"/>
  <c r="M441" i="19"/>
  <c r="M421" i="19"/>
  <c r="M417" i="19"/>
  <c r="M564" i="19" s="1"/>
  <c r="M452" i="19"/>
  <c r="M432" i="19"/>
  <c r="M198" i="45"/>
  <c r="M178" i="45"/>
  <c r="M190" i="45"/>
  <c r="M170" i="45"/>
  <c r="M720" i="19"/>
  <c r="M700" i="19"/>
  <c r="M719" i="19"/>
  <c r="M699" i="19"/>
  <c r="M159" i="69"/>
  <c r="M139" i="69"/>
  <c r="M146" i="69"/>
  <c r="M126" i="69"/>
  <c r="M184" i="57"/>
  <c r="M164" i="57"/>
  <c r="M190" i="57"/>
  <c r="M170" i="57"/>
  <c r="M282" i="75"/>
  <c r="M262" i="75"/>
  <c r="M281" i="75"/>
  <c r="M261" i="75"/>
  <c r="M456" i="41"/>
  <c r="M436" i="41"/>
  <c r="M470" i="41"/>
  <c r="M450" i="41"/>
  <c r="M923" i="61"/>
  <c r="M903" i="61"/>
  <c r="M918" i="61"/>
  <c r="M898" i="61"/>
  <c r="M683" i="69"/>
  <c r="M663" i="69"/>
  <c r="M654" i="69"/>
  <c r="M674" i="69"/>
  <c r="M453" i="45"/>
  <c r="M433" i="45"/>
  <c r="M451" i="45"/>
  <c r="M431" i="45"/>
  <c r="L161" i="77"/>
  <c r="L274" i="77" s="1"/>
  <c r="M209" i="18"/>
  <c r="M229" i="18"/>
  <c r="M224" i="18"/>
  <c r="M204" i="18"/>
  <c r="M415" i="69"/>
  <c r="M395" i="69"/>
  <c r="M401" i="69"/>
  <c r="M381" i="69"/>
  <c r="M160" i="33"/>
  <c r="M140" i="33"/>
  <c r="M152" i="33"/>
  <c r="M132" i="33"/>
  <c r="M157" i="77"/>
  <c r="M137" i="77"/>
  <c r="M156" i="77"/>
  <c r="M136" i="77"/>
  <c r="M420" i="61"/>
  <c r="M400" i="61"/>
  <c r="M414" i="61"/>
  <c r="M394" i="61"/>
  <c r="M68" i="78"/>
  <c r="M68" i="79"/>
  <c r="M75" i="78"/>
  <c r="M75" i="79"/>
  <c r="M77" i="78"/>
  <c r="M77" i="79"/>
  <c r="M69" i="79"/>
  <c r="M69" i="78"/>
  <c r="M86" i="78"/>
  <c r="M86" i="79"/>
  <c r="M85" i="79"/>
  <c r="M85" i="78"/>
  <c r="M72" i="79"/>
  <c r="M72" i="78"/>
  <c r="M82" i="79"/>
  <c r="M82" i="78"/>
  <c r="M89" i="78"/>
  <c r="M89" i="79"/>
  <c r="M88" i="78"/>
  <c r="M88" i="79"/>
  <c r="M81" i="79"/>
  <c r="M81" i="78"/>
  <c r="M90" i="78"/>
  <c r="M90" i="79"/>
  <c r="M91" i="78"/>
  <c r="M91" i="79"/>
  <c r="M74" i="79"/>
  <c r="M74" i="78"/>
  <c r="M80" i="79"/>
  <c r="M80" i="78"/>
  <c r="M67" i="79"/>
  <c r="M67" i="78"/>
  <c r="M70" i="79"/>
  <c r="M70" i="78"/>
  <c r="M76" i="79"/>
  <c r="M76" i="78"/>
  <c r="M71" i="79"/>
  <c r="M71" i="78"/>
  <c r="M84" i="79"/>
  <c r="M84" i="78"/>
  <c r="M87" i="79"/>
  <c r="M87" i="78"/>
  <c r="M66" i="78"/>
  <c r="M66" i="79"/>
  <c r="M78" i="79"/>
  <c r="M78" i="78"/>
  <c r="M79" i="78"/>
  <c r="M79" i="79"/>
  <c r="M83" i="79"/>
  <c r="M83" i="78"/>
  <c r="M92" i="79"/>
  <c r="M92" i="78"/>
  <c r="O445" i="53"/>
  <c r="O447" i="53"/>
  <c r="O144" i="53"/>
  <c r="O442" i="53"/>
  <c r="O436" i="53"/>
  <c r="O441" i="53"/>
  <c r="P398" i="53"/>
  <c r="P399" i="53"/>
  <c r="P402" i="53"/>
  <c r="P405" i="53"/>
  <c r="P403" i="53"/>
  <c r="P404" i="53"/>
  <c r="P406" i="53"/>
  <c r="P400" i="53"/>
  <c r="P401" i="53"/>
  <c r="O141" i="53"/>
  <c r="O446" i="53"/>
  <c r="O443" i="53"/>
  <c r="N450" i="53"/>
  <c r="N81" i="27" s="1"/>
  <c r="N541" i="53"/>
  <c r="N559" i="53" s="1"/>
  <c r="N548" i="53"/>
  <c r="N566" i="53" s="1"/>
  <c r="N540" i="53"/>
  <c r="N550" i="53"/>
  <c r="N568" i="53" s="1"/>
  <c r="N546" i="53"/>
  <c r="N564" i="53" s="1"/>
  <c r="N599" i="53"/>
  <c r="N610" i="53" s="1"/>
  <c r="N544" i="53"/>
  <c r="N562" i="53" s="1"/>
  <c r="N547" i="53"/>
  <c r="N565" i="53" s="1"/>
  <c r="N553" i="53"/>
  <c r="N571" i="53" s="1"/>
  <c r="N551" i="53"/>
  <c r="N569" i="53" s="1"/>
  <c r="N549" i="53"/>
  <c r="N567" i="53" s="1"/>
  <c r="N603" i="53"/>
  <c r="N614" i="53" s="1"/>
  <c r="N601" i="53"/>
  <c r="N612" i="53" s="1"/>
  <c r="N598" i="53"/>
  <c r="N609" i="53" s="1"/>
  <c r="N552" i="53"/>
  <c r="N570" i="53" s="1"/>
  <c r="N600" i="53"/>
  <c r="N611" i="53" s="1"/>
  <c r="N602" i="53"/>
  <c r="N613" i="53" s="1"/>
  <c r="N597" i="53"/>
  <c r="N542" i="53"/>
  <c r="N560" i="53" s="1"/>
  <c r="N545" i="53"/>
  <c r="N563" i="53" s="1"/>
  <c r="N543" i="53"/>
  <c r="N561" i="53" s="1"/>
  <c r="P416" i="53"/>
  <c r="P417" i="53"/>
  <c r="P420" i="53"/>
  <c r="P413" i="53"/>
  <c r="P418" i="53"/>
  <c r="P412" i="53"/>
  <c r="P419" i="53"/>
  <c r="P415" i="53"/>
  <c r="P414" i="53"/>
  <c r="O448" i="53"/>
  <c r="P432" i="53"/>
  <c r="P434" i="53"/>
  <c r="P426" i="53"/>
  <c r="P428" i="53"/>
  <c r="P429" i="53"/>
  <c r="P433" i="53"/>
  <c r="P431" i="53"/>
  <c r="P427" i="53"/>
  <c r="P430" i="53"/>
  <c r="O440" i="53"/>
  <c r="O408" i="53"/>
  <c r="O422" i="53"/>
  <c r="O444" i="53"/>
  <c r="O138" i="53"/>
  <c r="O105" i="53"/>
  <c r="O137" i="53"/>
  <c r="P95" i="53"/>
  <c r="P96" i="53"/>
  <c r="P100" i="53"/>
  <c r="P98" i="53"/>
  <c r="P99" i="53"/>
  <c r="P97" i="53"/>
  <c r="P101" i="53"/>
  <c r="P102" i="53"/>
  <c r="P103" i="53"/>
  <c r="P113" i="53"/>
  <c r="P111" i="53"/>
  <c r="P110" i="53"/>
  <c r="P112" i="53"/>
  <c r="P114" i="53"/>
  <c r="P115" i="53"/>
  <c r="P109" i="53"/>
  <c r="P117" i="53"/>
  <c r="P116" i="53"/>
  <c r="O119" i="53"/>
  <c r="P125" i="53"/>
  <c r="P129" i="53"/>
  <c r="P130" i="53"/>
  <c r="P128" i="53"/>
  <c r="P123" i="53"/>
  <c r="P126" i="53"/>
  <c r="P124" i="53"/>
  <c r="P131" i="53"/>
  <c r="P127" i="53"/>
  <c r="O133" i="53"/>
  <c r="O143" i="53"/>
  <c r="O142" i="53"/>
  <c r="N147" i="53"/>
  <c r="N80" i="27" s="1"/>
  <c r="N295" i="53"/>
  <c r="N306" i="53" s="1"/>
  <c r="N237" i="53"/>
  <c r="N246" i="53"/>
  <c r="N264" i="53" s="1"/>
  <c r="N242" i="53"/>
  <c r="N260" i="53" s="1"/>
  <c r="N240" i="53"/>
  <c r="N258" i="53" s="1"/>
  <c r="N244" i="53"/>
  <c r="N262" i="53" s="1"/>
  <c r="N299" i="53"/>
  <c r="N310" i="53" s="1"/>
  <c r="N241" i="53"/>
  <c r="N259" i="53" s="1"/>
  <c r="N297" i="53"/>
  <c r="N308" i="53" s="1"/>
  <c r="N239" i="53"/>
  <c r="N257" i="53" s="1"/>
  <c r="N250" i="53"/>
  <c r="N268" i="53" s="1"/>
  <c r="N248" i="53"/>
  <c r="N266" i="53" s="1"/>
  <c r="N243" i="53"/>
  <c r="N261" i="53" s="1"/>
  <c r="N247" i="53"/>
  <c r="N265" i="53" s="1"/>
  <c r="N238" i="53"/>
  <c r="N256" i="53" s="1"/>
  <c r="N294" i="53"/>
  <c r="N298" i="53"/>
  <c r="N309" i="53" s="1"/>
  <c r="N296" i="53"/>
  <c r="N307" i="53" s="1"/>
  <c r="N300" i="53"/>
  <c r="N311" i="53" s="1"/>
  <c r="N249" i="53"/>
  <c r="N267" i="53" s="1"/>
  <c r="N245" i="53"/>
  <c r="N263" i="53" s="1"/>
  <c r="O139" i="53"/>
  <c r="O140" i="53"/>
  <c r="O391" i="49"/>
  <c r="O145" i="53"/>
  <c r="O390" i="49"/>
  <c r="O384" i="49"/>
  <c r="O389" i="49"/>
  <c r="P362" i="49"/>
  <c r="P360" i="49"/>
  <c r="P358" i="49"/>
  <c r="P361" i="49"/>
  <c r="P359" i="49"/>
  <c r="O392" i="49"/>
  <c r="O374" i="49"/>
  <c r="O364" i="49"/>
  <c r="O388" i="49"/>
  <c r="P382" i="49"/>
  <c r="P380" i="49"/>
  <c r="P378" i="49"/>
  <c r="P381" i="49"/>
  <c r="P379" i="49"/>
  <c r="P369" i="49"/>
  <c r="P372" i="49"/>
  <c r="P368" i="49"/>
  <c r="P371" i="49"/>
  <c r="P370" i="49"/>
  <c r="N394" i="49"/>
  <c r="N79" i="27" s="1"/>
  <c r="N490" i="49"/>
  <c r="N508" i="49" s="1"/>
  <c r="N489" i="49"/>
  <c r="N507" i="49" s="1"/>
  <c r="N543" i="49"/>
  <c r="N554" i="49" s="1"/>
  <c r="N486" i="49"/>
  <c r="N504" i="49" s="1"/>
  <c r="N546" i="49"/>
  <c r="N557" i="49" s="1"/>
  <c r="N542" i="49"/>
  <c r="N553" i="49" s="1"/>
  <c r="N544" i="49"/>
  <c r="N555" i="49" s="1"/>
  <c r="N497" i="49"/>
  <c r="N515" i="49" s="1"/>
  <c r="N487" i="49"/>
  <c r="N505" i="49" s="1"/>
  <c r="N485" i="49"/>
  <c r="N503" i="49" s="1"/>
  <c r="N488" i="49"/>
  <c r="N506" i="49" s="1"/>
  <c r="N491" i="49"/>
  <c r="N509" i="49" s="1"/>
  <c r="N494" i="49"/>
  <c r="N512" i="49" s="1"/>
  <c r="N484" i="49"/>
  <c r="N541" i="49"/>
  <c r="N495" i="49"/>
  <c r="N513" i="49" s="1"/>
  <c r="N493" i="49"/>
  <c r="N511" i="49" s="1"/>
  <c r="N496" i="49"/>
  <c r="N514" i="49" s="1"/>
  <c r="N492" i="49"/>
  <c r="N510" i="49" s="1"/>
  <c r="N547" i="49"/>
  <c r="N558" i="49" s="1"/>
  <c r="N545" i="49"/>
  <c r="N556" i="49" s="1"/>
  <c r="O89" i="49"/>
  <c r="O113" i="49"/>
  <c r="N119" i="49"/>
  <c r="N78" i="27" s="1"/>
  <c r="N215" i="49"/>
  <c r="N233" i="49" s="1"/>
  <c r="N214" i="49"/>
  <c r="N232" i="49" s="1"/>
  <c r="N268" i="49"/>
  <c r="N279" i="49" s="1"/>
  <c r="N211" i="49"/>
  <c r="N229" i="49" s="1"/>
  <c r="N271" i="49"/>
  <c r="N282" i="49" s="1"/>
  <c r="N267" i="49"/>
  <c r="N278" i="49" s="1"/>
  <c r="N269" i="49"/>
  <c r="N280" i="49" s="1"/>
  <c r="N222" i="49"/>
  <c r="N240" i="49" s="1"/>
  <c r="N212" i="49"/>
  <c r="N230" i="49" s="1"/>
  <c r="N210" i="49"/>
  <c r="N228" i="49" s="1"/>
  <c r="N213" i="49"/>
  <c r="N231" i="49" s="1"/>
  <c r="N216" i="49"/>
  <c r="N234" i="49" s="1"/>
  <c r="N219" i="49"/>
  <c r="N237" i="49" s="1"/>
  <c r="N209" i="49"/>
  <c r="N266" i="49"/>
  <c r="N220" i="49"/>
  <c r="N238" i="49" s="1"/>
  <c r="N218" i="49"/>
  <c r="N236" i="49" s="1"/>
  <c r="N221" i="49"/>
  <c r="N239" i="49" s="1"/>
  <c r="N217" i="49"/>
  <c r="N235" i="49" s="1"/>
  <c r="N272" i="49"/>
  <c r="N283" i="49" s="1"/>
  <c r="N270" i="49"/>
  <c r="N281" i="49" s="1"/>
  <c r="P103" i="49"/>
  <c r="P107" i="49"/>
  <c r="P105" i="49"/>
  <c r="P106" i="49"/>
  <c r="P104" i="49"/>
  <c r="O109" i="49"/>
  <c r="O114" i="49"/>
  <c r="P87" i="49"/>
  <c r="P83" i="49"/>
  <c r="P84" i="49"/>
  <c r="P85" i="49"/>
  <c r="P86" i="49"/>
  <c r="P94" i="49"/>
  <c r="P97" i="49"/>
  <c r="P93" i="49"/>
  <c r="P96" i="49"/>
  <c r="P95" i="49"/>
  <c r="O115" i="49"/>
  <c r="O117" i="49"/>
  <c r="O99" i="49"/>
  <c r="O116" i="49"/>
  <c r="O115" i="41"/>
  <c r="O109" i="41"/>
  <c r="O405" i="41"/>
  <c r="O396" i="41"/>
  <c r="O116" i="41"/>
  <c r="P377" i="41"/>
  <c r="P376" i="41"/>
  <c r="P378" i="41"/>
  <c r="P382" i="41"/>
  <c r="P380" i="41"/>
  <c r="P379" i="41"/>
  <c r="P381" i="41"/>
  <c r="N408" i="41"/>
  <c r="N75" i="27" s="1"/>
  <c r="N507" i="41"/>
  <c r="N525" i="41" s="1"/>
  <c r="N502" i="41"/>
  <c r="N520" i="41" s="1"/>
  <c r="N505" i="41"/>
  <c r="N523" i="41" s="1"/>
  <c r="N506" i="41"/>
  <c r="N524" i="41" s="1"/>
  <c r="N504" i="41"/>
  <c r="N522" i="41" s="1"/>
  <c r="N509" i="41"/>
  <c r="N527" i="41" s="1"/>
  <c r="N561" i="41"/>
  <c r="N572" i="41" s="1"/>
  <c r="N500" i="41"/>
  <c r="N518" i="41" s="1"/>
  <c r="N503" i="41"/>
  <c r="N521" i="41" s="1"/>
  <c r="N556" i="41"/>
  <c r="N567" i="41" s="1"/>
  <c r="N510" i="41"/>
  <c r="N528" i="41" s="1"/>
  <c r="N511" i="41"/>
  <c r="N529" i="41" s="1"/>
  <c r="N560" i="41"/>
  <c r="N571" i="41" s="1"/>
  <c r="N558" i="41"/>
  <c r="N569" i="41" s="1"/>
  <c r="N557" i="41"/>
  <c r="N568" i="41" s="1"/>
  <c r="N508" i="41"/>
  <c r="N526" i="41" s="1"/>
  <c r="N499" i="41"/>
  <c r="N517" i="41" s="1"/>
  <c r="N559" i="41"/>
  <c r="N570" i="41" s="1"/>
  <c r="N498" i="41"/>
  <c r="N501" i="41"/>
  <c r="N519" i="41" s="1"/>
  <c r="N555" i="41"/>
  <c r="O404" i="41"/>
  <c r="O384" i="41"/>
  <c r="O402" i="41"/>
  <c r="P364" i="41"/>
  <c r="P365" i="41"/>
  <c r="P366" i="41"/>
  <c r="P367" i="41"/>
  <c r="P370" i="41"/>
  <c r="P368" i="41"/>
  <c r="P369" i="41"/>
  <c r="O406" i="41"/>
  <c r="P391" i="41"/>
  <c r="P389" i="41"/>
  <c r="P394" i="41"/>
  <c r="P390" i="41"/>
  <c r="P393" i="41"/>
  <c r="P392" i="41"/>
  <c r="P388" i="41"/>
  <c r="O401" i="41"/>
  <c r="O372" i="41"/>
  <c r="O400" i="41"/>
  <c r="O403" i="41"/>
  <c r="O89" i="41"/>
  <c r="O113" i="41"/>
  <c r="O114" i="41"/>
  <c r="O173" i="18"/>
  <c r="O117" i="41"/>
  <c r="P103" i="41"/>
  <c r="P106" i="41"/>
  <c r="P105" i="41"/>
  <c r="P107" i="41"/>
  <c r="P104" i="41"/>
  <c r="P94" i="41"/>
  <c r="P93" i="41"/>
  <c r="P96" i="41"/>
  <c r="P95" i="41"/>
  <c r="P97" i="41"/>
  <c r="O99" i="41"/>
  <c r="N119" i="41"/>
  <c r="N74" i="27" s="1"/>
  <c r="N215" i="41"/>
  <c r="N233" i="41" s="1"/>
  <c r="N214" i="41"/>
  <c r="N232" i="41" s="1"/>
  <c r="N268" i="41"/>
  <c r="N279" i="41" s="1"/>
  <c r="N211" i="41"/>
  <c r="N229" i="41" s="1"/>
  <c r="N271" i="41"/>
  <c r="N282" i="41" s="1"/>
  <c r="N267" i="41"/>
  <c r="N278" i="41" s="1"/>
  <c r="N269" i="41"/>
  <c r="N280" i="41" s="1"/>
  <c r="N222" i="41"/>
  <c r="N240" i="41" s="1"/>
  <c r="N212" i="41"/>
  <c r="N230" i="41" s="1"/>
  <c r="N210" i="41"/>
  <c r="N228" i="41" s="1"/>
  <c r="N213" i="41"/>
  <c r="N231" i="41" s="1"/>
  <c r="N216" i="41"/>
  <c r="N234" i="41" s="1"/>
  <c r="N219" i="41"/>
  <c r="N237" i="41" s="1"/>
  <c r="N209" i="41"/>
  <c r="N266" i="41"/>
  <c r="N220" i="41"/>
  <c r="N238" i="41" s="1"/>
  <c r="N218" i="41"/>
  <c r="N236" i="41" s="1"/>
  <c r="N221" i="41"/>
  <c r="N239" i="41" s="1"/>
  <c r="N217" i="41"/>
  <c r="N235" i="41" s="1"/>
  <c r="N272" i="41"/>
  <c r="N283" i="41" s="1"/>
  <c r="N270" i="41"/>
  <c r="N281" i="41" s="1"/>
  <c r="P87" i="41"/>
  <c r="P83" i="41"/>
  <c r="P86" i="41"/>
  <c r="P84" i="41"/>
  <c r="P85" i="41"/>
  <c r="P107" i="29"/>
  <c r="P115" i="29"/>
  <c r="P111" i="29"/>
  <c r="P106" i="29"/>
  <c r="P114" i="29"/>
  <c r="P104" i="29"/>
  <c r="P112" i="29"/>
  <c r="P105" i="29"/>
  <c r="P108" i="29"/>
  <c r="P110" i="29"/>
  <c r="P113" i="29"/>
  <c r="P109" i="29"/>
  <c r="O151" i="29"/>
  <c r="O162" i="29"/>
  <c r="O159" i="29"/>
  <c r="O166" i="29"/>
  <c r="P141" i="29"/>
  <c r="P139" i="29"/>
  <c r="P145" i="29"/>
  <c r="P147" i="29"/>
  <c r="P146" i="29"/>
  <c r="P149" i="29"/>
  <c r="P143" i="29"/>
  <c r="P148" i="29"/>
  <c r="P144" i="29"/>
  <c r="P140" i="29"/>
  <c r="P142" i="29"/>
  <c r="P138" i="29"/>
  <c r="P128" i="29"/>
  <c r="P124" i="29"/>
  <c r="P132" i="29"/>
  <c r="P127" i="29"/>
  <c r="P125" i="29"/>
  <c r="P131" i="29"/>
  <c r="P121" i="29"/>
  <c r="P130" i="29"/>
  <c r="P123" i="29"/>
  <c r="P126" i="29"/>
  <c r="P129" i="29"/>
  <c r="P122" i="29"/>
  <c r="O158" i="29"/>
  <c r="N168" i="29"/>
  <c r="N68" i="27" s="1"/>
  <c r="N259" i="29"/>
  <c r="N277" i="29" s="1"/>
  <c r="N262" i="29"/>
  <c r="N280" i="29" s="1"/>
  <c r="N263" i="29"/>
  <c r="N281" i="29" s="1"/>
  <c r="N258" i="29"/>
  <c r="N264" i="29"/>
  <c r="N282" i="29" s="1"/>
  <c r="N260" i="29"/>
  <c r="N278" i="29" s="1"/>
  <c r="N315" i="29"/>
  <c r="N265" i="29"/>
  <c r="N283" i="29" s="1"/>
  <c r="N320" i="29"/>
  <c r="N331" i="29" s="1"/>
  <c r="N267" i="29"/>
  <c r="N285" i="29" s="1"/>
  <c r="N270" i="29"/>
  <c r="N288" i="29" s="1"/>
  <c r="N271" i="29"/>
  <c r="N289" i="29" s="1"/>
  <c r="N261" i="29"/>
  <c r="N279" i="29" s="1"/>
  <c r="N268" i="29"/>
  <c r="N286" i="29" s="1"/>
  <c r="N321" i="29"/>
  <c r="N332" i="29" s="1"/>
  <c r="N319" i="29"/>
  <c r="N330" i="29" s="1"/>
  <c r="N317" i="29"/>
  <c r="N328" i="29" s="1"/>
  <c r="N316" i="29"/>
  <c r="N327" i="29" s="1"/>
  <c r="N266" i="29"/>
  <c r="N284" i="29" s="1"/>
  <c r="N269" i="29"/>
  <c r="N287" i="29" s="1"/>
  <c r="N318" i="29"/>
  <c r="N329" i="29" s="1"/>
  <c r="O156" i="29"/>
  <c r="O160" i="29"/>
  <c r="O163" i="29"/>
  <c r="O165" i="29"/>
  <c r="O134" i="29"/>
  <c r="O164" i="29"/>
  <c r="O157" i="29"/>
  <c r="O117" i="29"/>
  <c r="O155" i="29"/>
  <c r="O161" i="29"/>
  <c r="O166" i="18"/>
  <c r="O165" i="18"/>
  <c r="O162" i="18"/>
  <c r="O170" i="18"/>
  <c r="O139" i="18"/>
  <c r="P107" i="18"/>
  <c r="P108" i="18"/>
  <c r="P112" i="18"/>
  <c r="P115" i="18"/>
  <c r="P109" i="18"/>
  <c r="P118" i="18"/>
  <c r="P113" i="18"/>
  <c r="P110" i="18"/>
  <c r="P116" i="18"/>
  <c r="P111" i="18"/>
  <c r="P119" i="18"/>
  <c r="P114" i="18"/>
  <c r="P117" i="18"/>
  <c r="P125" i="18"/>
  <c r="P126" i="18"/>
  <c r="P127" i="18"/>
  <c r="P130" i="18"/>
  <c r="P131" i="18"/>
  <c r="P129" i="18"/>
  <c r="P133" i="18"/>
  <c r="P134" i="18"/>
  <c r="P135" i="18"/>
  <c r="P137" i="18"/>
  <c r="P128" i="18"/>
  <c r="P132" i="18"/>
  <c r="P136" i="18"/>
  <c r="O164" i="18"/>
  <c r="O157" i="18"/>
  <c r="O167" i="18"/>
  <c r="O161" i="18"/>
  <c r="O121" i="18"/>
  <c r="O172" i="18"/>
  <c r="O171" i="18"/>
  <c r="O163" i="18"/>
  <c r="N175" i="18"/>
  <c r="N66" i="27" s="1"/>
  <c r="N328" i="18"/>
  <c r="N322" i="18"/>
  <c r="N278" i="18"/>
  <c r="N276" i="18"/>
  <c r="N326" i="18"/>
  <c r="N327" i="18"/>
  <c r="N275" i="18"/>
  <c r="N271" i="18"/>
  <c r="N274" i="18"/>
  <c r="N267" i="18"/>
  <c r="N270" i="18"/>
  <c r="N277" i="18"/>
  <c r="N265" i="18"/>
  <c r="N324" i="18"/>
  <c r="N269" i="18"/>
  <c r="N266" i="18"/>
  <c r="N325" i="18"/>
  <c r="N323" i="18"/>
  <c r="N272" i="18"/>
  <c r="N268" i="18"/>
  <c r="N273" i="18"/>
  <c r="P143" i="18"/>
  <c r="P146" i="18"/>
  <c r="P147" i="18"/>
  <c r="P149" i="18"/>
  <c r="P153" i="18"/>
  <c r="P145" i="18"/>
  <c r="P151" i="18"/>
  <c r="P150" i="18"/>
  <c r="P148" i="18"/>
  <c r="P152" i="18"/>
  <c r="P144" i="18"/>
  <c r="P155" i="18"/>
  <c r="P154" i="18"/>
  <c r="O168" i="18"/>
  <c r="O169" i="18"/>
  <c r="M211" i="61"/>
  <c r="M225" i="61" s="1"/>
  <c r="M207" i="61"/>
  <c r="M274" i="61" s="1"/>
  <c r="M777" i="19"/>
  <c r="M791" i="19" s="1"/>
  <c r="M773" i="19"/>
  <c r="M840" i="19" s="1"/>
  <c r="M283" i="18"/>
  <c r="M279" i="18"/>
  <c r="M346" i="18" s="1"/>
  <c r="N464" i="37"/>
  <c r="N482" i="37" s="1"/>
  <c r="N467" i="37"/>
  <c r="N485" i="37" s="1"/>
  <c r="N465" i="37"/>
  <c r="N483" i="37" s="1"/>
  <c r="N472" i="37"/>
  <c r="N490" i="37" s="1"/>
  <c r="N476" i="37"/>
  <c r="N494" i="37" s="1"/>
  <c r="N474" i="37"/>
  <c r="N492" i="37" s="1"/>
  <c r="N463" i="37"/>
  <c r="N468" i="37"/>
  <c r="N486" i="37" s="1"/>
  <c r="N470" i="37"/>
  <c r="N488" i="37" s="1"/>
  <c r="N471" i="37"/>
  <c r="N489" i="37" s="1"/>
  <c r="N473" i="37"/>
  <c r="N491" i="37" s="1"/>
  <c r="N466" i="37"/>
  <c r="N484" i="37" s="1"/>
  <c r="N469" i="37"/>
  <c r="N487" i="37" s="1"/>
  <c r="N475" i="37"/>
  <c r="N493" i="37" s="1"/>
  <c r="N771" i="19"/>
  <c r="N789" i="19" s="1"/>
  <c r="N765" i="19"/>
  <c r="N783" i="19" s="1"/>
  <c r="N759" i="19"/>
  <c r="N767" i="19"/>
  <c r="N785" i="19" s="1"/>
  <c r="N769" i="19"/>
  <c r="N787" i="19" s="1"/>
  <c r="N762" i="19"/>
  <c r="N780" i="19" s="1"/>
  <c r="N768" i="19"/>
  <c r="N786" i="19" s="1"/>
  <c r="N761" i="19"/>
  <c r="N779" i="19" s="1"/>
  <c r="N766" i="19"/>
  <c r="N784" i="19" s="1"/>
  <c r="N760" i="19"/>
  <c r="N778" i="19" s="1"/>
  <c r="N772" i="19"/>
  <c r="N790" i="19" s="1"/>
  <c r="N763" i="19"/>
  <c r="N781" i="19" s="1"/>
  <c r="N770" i="19"/>
  <c r="N788" i="19" s="1"/>
  <c r="N764" i="19"/>
  <c r="N782" i="19" s="1"/>
  <c r="M255" i="53"/>
  <c r="M269" i="53" s="1"/>
  <c r="M251" i="53"/>
  <c r="M318" i="53" s="1"/>
  <c r="M223" i="19"/>
  <c r="M290" i="19" s="1"/>
  <c r="M227" i="19"/>
  <c r="M241" i="19" s="1"/>
  <c r="M978" i="61"/>
  <c r="M992" i="61" s="1"/>
  <c r="M974" i="61"/>
  <c r="M1041" i="61" s="1"/>
  <c r="M202" i="69"/>
  <c r="M269" i="69" s="1"/>
  <c r="M206" i="69"/>
  <c r="M220" i="69" s="1"/>
  <c r="M461" i="69"/>
  <c r="M475" i="69" s="1"/>
  <c r="M457" i="69"/>
  <c r="M524" i="69" s="1"/>
  <c r="M296" i="18"/>
  <c r="M241" i="57"/>
  <c r="M255" i="57" s="1"/>
  <c r="M237" i="57"/>
  <c r="M304" i="57" s="1"/>
  <c r="M725" i="69"/>
  <c r="M792" i="69" s="1"/>
  <c r="M729" i="69"/>
  <c r="M743" i="69" s="1"/>
  <c r="M206" i="33"/>
  <c r="M220" i="33" s="1"/>
  <c r="M202" i="33"/>
  <c r="M269" i="33" s="1"/>
  <c r="M291" i="18"/>
  <c r="M293" i="18"/>
  <c r="N235" i="45"/>
  <c r="N253" i="45" s="1"/>
  <c r="N233" i="45"/>
  <c r="N251" i="45" s="1"/>
  <c r="N234" i="45"/>
  <c r="N252" i="45" s="1"/>
  <c r="N232" i="45"/>
  <c r="N250" i="45" s="1"/>
  <c r="N231" i="45"/>
  <c r="N249" i="45" s="1"/>
  <c r="N243" i="45"/>
  <c r="N261" i="45" s="1"/>
  <c r="N241" i="45"/>
  <c r="N259" i="45" s="1"/>
  <c r="N242" i="45"/>
  <c r="N260" i="45" s="1"/>
  <c r="N240" i="45"/>
  <c r="N258" i="45" s="1"/>
  <c r="N239" i="45"/>
  <c r="N257" i="45" s="1"/>
  <c r="N237" i="45"/>
  <c r="N255" i="45" s="1"/>
  <c r="N230" i="45"/>
  <c r="N238" i="45"/>
  <c r="N256" i="45" s="1"/>
  <c r="N236" i="45"/>
  <c r="N254" i="45" s="1"/>
  <c r="N493" i="19"/>
  <c r="N511" i="19" s="1"/>
  <c r="N490" i="19"/>
  <c r="N508" i="19" s="1"/>
  <c r="N491" i="19"/>
  <c r="N509" i="19" s="1"/>
  <c r="N494" i="19"/>
  <c r="N512" i="19" s="1"/>
  <c r="N489" i="19"/>
  <c r="N507" i="19" s="1"/>
  <c r="N487" i="19"/>
  <c r="N505" i="19" s="1"/>
  <c r="N484" i="19"/>
  <c r="N488" i="19"/>
  <c r="N506" i="19" s="1"/>
  <c r="N492" i="19"/>
  <c r="N510" i="19" s="1"/>
  <c r="N496" i="19"/>
  <c r="N514" i="19" s="1"/>
  <c r="N497" i="19"/>
  <c r="N515" i="19" s="1"/>
  <c r="N495" i="19"/>
  <c r="N513" i="19" s="1"/>
  <c r="N485" i="19"/>
  <c r="N503" i="19" s="1"/>
  <c r="N486" i="19"/>
  <c r="N504" i="19" s="1"/>
  <c r="N220" i="19"/>
  <c r="N238" i="19" s="1"/>
  <c r="N210" i="19"/>
  <c r="N228" i="19" s="1"/>
  <c r="N221" i="19"/>
  <c r="N239" i="19" s="1"/>
  <c r="N217" i="19"/>
  <c r="N235" i="19" s="1"/>
  <c r="N214" i="19"/>
  <c r="N232" i="19" s="1"/>
  <c r="N211" i="19"/>
  <c r="N229" i="19" s="1"/>
  <c r="N218" i="19"/>
  <c r="N236" i="19" s="1"/>
  <c r="N215" i="19"/>
  <c r="N233" i="19" s="1"/>
  <c r="N222" i="19"/>
  <c r="N240" i="19" s="1"/>
  <c r="N212" i="19"/>
  <c r="N230" i="19" s="1"/>
  <c r="N213" i="19"/>
  <c r="N231" i="19" s="1"/>
  <c r="N216" i="19"/>
  <c r="N234" i="19" s="1"/>
  <c r="N219" i="19"/>
  <c r="N237" i="19" s="1"/>
  <c r="N209" i="19"/>
  <c r="N715" i="69"/>
  <c r="N733" i="69" s="1"/>
  <c r="N718" i="69"/>
  <c r="N736" i="69" s="1"/>
  <c r="N714" i="69"/>
  <c r="N732" i="69" s="1"/>
  <c r="N713" i="69"/>
  <c r="N731" i="69" s="1"/>
  <c r="N724" i="69"/>
  <c r="N742" i="69" s="1"/>
  <c r="N711" i="69"/>
  <c r="N716" i="69"/>
  <c r="N734" i="69" s="1"/>
  <c r="N723" i="69"/>
  <c r="N741" i="69" s="1"/>
  <c r="N712" i="69"/>
  <c r="N730" i="69" s="1"/>
  <c r="N721" i="69"/>
  <c r="N739" i="69" s="1"/>
  <c r="N717" i="69"/>
  <c r="N735" i="69" s="1"/>
  <c r="N722" i="69"/>
  <c r="N740" i="69" s="1"/>
  <c r="N719" i="69"/>
  <c r="N737" i="69" s="1"/>
  <c r="N720" i="69"/>
  <c r="N738" i="69" s="1"/>
  <c r="N190" i="77"/>
  <c r="N208" i="77" s="1"/>
  <c r="N188" i="77"/>
  <c r="N196" i="77"/>
  <c r="N214" i="77" s="1"/>
  <c r="N194" i="77"/>
  <c r="N212" i="77" s="1"/>
  <c r="N197" i="77"/>
  <c r="N215" i="77" s="1"/>
  <c r="N192" i="77"/>
  <c r="N210" i="77" s="1"/>
  <c r="N191" i="77"/>
  <c r="N209" i="77" s="1"/>
  <c r="N201" i="77"/>
  <c r="N219" i="77" s="1"/>
  <c r="N195" i="77"/>
  <c r="N213" i="77" s="1"/>
  <c r="N198" i="77"/>
  <c r="N216" i="77" s="1"/>
  <c r="N199" i="77"/>
  <c r="N217" i="77" s="1"/>
  <c r="N189" i="77"/>
  <c r="N207" i="77" s="1"/>
  <c r="N193" i="77"/>
  <c r="N211" i="77" s="1"/>
  <c r="N200" i="77"/>
  <c r="N218" i="77" s="1"/>
  <c r="N211" i="37"/>
  <c r="N229" i="37" s="1"/>
  <c r="N222" i="37"/>
  <c r="N240" i="37" s="1"/>
  <c r="N218" i="37"/>
  <c r="N236" i="37" s="1"/>
  <c r="N221" i="37"/>
  <c r="N239" i="37" s="1"/>
  <c r="N216" i="37"/>
  <c r="N234" i="37" s="1"/>
  <c r="N209" i="37"/>
  <c r="N212" i="37"/>
  <c r="N230" i="37" s="1"/>
  <c r="N214" i="37"/>
  <c r="N232" i="37" s="1"/>
  <c r="N210" i="37"/>
  <c r="N228" i="37" s="1"/>
  <c r="N213" i="37"/>
  <c r="N231" i="37" s="1"/>
  <c r="N215" i="37"/>
  <c r="N233" i="37" s="1"/>
  <c r="N220" i="37"/>
  <c r="N238" i="37" s="1"/>
  <c r="N217" i="37"/>
  <c r="N235" i="37" s="1"/>
  <c r="N219" i="37"/>
  <c r="N237" i="37" s="1"/>
  <c r="N451" i="61"/>
  <c r="N469" i="61" s="1"/>
  <c r="N454" i="61"/>
  <c r="N472" i="61" s="1"/>
  <c r="N450" i="61"/>
  <c r="N462" i="61"/>
  <c r="N480" i="61" s="1"/>
  <c r="N460" i="61"/>
  <c r="N478" i="61" s="1"/>
  <c r="N461" i="61"/>
  <c r="N479" i="61" s="1"/>
  <c r="N459" i="61"/>
  <c r="N477" i="61" s="1"/>
  <c r="N458" i="61"/>
  <c r="N476" i="61" s="1"/>
  <c r="N457" i="61"/>
  <c r="N475" i="61" s="1"/>
  <c r="N456" i="61"/>
  <c r="N474" i="61" s="1"/>
  <c r="N455" i="61"/>
  <c r="N473" i="61" s="1"/>
  <c r="N463" i="61"/>
  <c r="N481" i="61" s="1"/>
  <c r="N452" i="61"/>
  <c r="N470" i="61" s="1"/>
  <c r="N453" i="61"/>
  <c r="N471" i="61" s="1"/>
  <c r="M332" i="75"/>
  <c r="M346" i="75" s="1"/>
  <c r="M328" i="75"/>
  <c r="M395" i="75" s="1"/>
  <c r="M248" i="45"/>
  <c r="M262" i="45" s="1"/>
  <c r="M244" i="45"/>
  <c r="M311" i="45" s="1"/>
  <c r="M723" i="61"/>
  <c r="M737" i="61" s="1"/>
  <c r="M719" i="61"/>
  <c r="M786" i="61" s="1"/>
  <c r="M227" i="49"/>
  <c r="M241" i="49" s="1"/>
  <c r="M223" i="49"/>
  <c r="M290" i="49" s="1"/>
  <c r="M468" i="61"/>
  <c r="M482" i="61" s="1"/>
  <c r="M464" i="61"/>
  <c r="M531" i="61" s="1"/>
  <c r="M285" i="18"/>
  <c r="M290" i="18"/>
  <c r="N197" i="69"/>
  <c r="N215" i="69" s="1"/>
  <c r="N191" i="69"/>
  <c r="N209" i="69" s="1"/>
  <c r="N201" i="69"/>
  <c r="N219" i="69" s="1"/>
  <c r="N190" i="69"/>
  <c r="N208" i="69" s="1"/>
  <c r="N192" i="69"/>
  <c r="N210" i="69" s="1"/>
  <c r="N198" i="69"/>
  <c r="N216" i="69" s="1"/>
  <c r="N199" i="69"/>
  <c r="N217" i="69" s="1"/>
  <c r="N193" i="69"/>
  <c r="N211" i="69" s="1"/>
  <c r="N200" i="69"/>
  <c r="N218" i="69" s="1"/>
  <c r="N188" i="69"/>
  <c r="N189" i="69"/>
  <c r="N207" i="69" s="1"/>
  <c r="N194" i="69"/>
  <c r="N212" i="69" s="1"/>
  <c r="N196" i="69"/>
  <c r="N214" i="69" s="1"/>
  <c r="N195" i="69"/>
  <c r="N213" i="69" s="1"/>
  <c r="M272" i="29"/>
  <c r="M339" i="29" s="1"/>
  <c r="M276" i="29"/>
  <c r="M290" i="29" s="1"/>
  <c r="M284" i="18"/>
  <c r="M289" i="18"/>
  <c r="N204" i="61"/>
  <c r="N222" i="61" s="1"/>
  <c r="N202" i="61"/>
  <c r="N220" i="61" s="1"/>
  <c r="N195" i="61"/>
  <c r="N213" i="61" s="1"/>
  <c r="N201" i="61"/>
  <c r="N219" i="61" s="1"/>
  <c r="N199" i="61"/>
  <c r="N217" i="61" s="1"/>
  <c r="N203" i="61"/>
  <c r="N221" i="61" s="1"/>
  <c r="N198" i="61"/>
  <c r="N216" i="61" s="1"/>
  <c r="N206" i="61"/>
  <c r="N224" i="61" s="1"/>
  <c r="N197" i="61"/>
  <c r="N215" i="61" s="1"/>
  <c r="N205" i="61"/>
  <c r="N223" i="61" s="1"/>
  <c r="N200" i="61"/>
  <c r="N218" i="61" s="1"/>
  <c r="N194" i="61"/>
  <c r="N212" i="61" s="1"/>
  <c r="N196" i="61"/>
  <c r="N214" i="61" s="1"/>
  <c r="N193" i="61"/>
  <c r="N193" i="33"/>
  <c r="N211" i="33" s="1"/>
  <c r="N190" i="33"/>
  <c r="N208" i="33" s="1"/>
  <c r="N197" i="33"/>
  <c r="N215" i="33" s="1"/>
  <c r="N200" i="33"/>
  <c r="N218" i="33" s="1"/>
  <c r="N194" i="33"/>
  <c r="N212" i="33" s="1"/>
  <c r="N201" i="33"/>
  <c r="N219" i="33" s="1"/>
  <c r="N191" i="33"/>
  <c r="N209" i="33" s="1"/>
  <c r="N195" i="33"/>
  <c r="N213" i="33" s="1"/>
  <c r="N198" i="33"/>
  <c r="N216" i="33" s="1"/>
  <c r="N188" i="33"/>
  <c r="N199" i="33"/>
  <c r="N217" i="33" s="1"/>
  <c r="N189" i="33"/>
  <c r="N207" i="33" s="1"/>
  <c r="N192" i="33"/>
  <c r="N210" i="33" s="1"/>
  <c r="N196" i="33"/>
  <c r="N214" i="33" s="1"/>
  <c r="M227" i="41"/>
  <c r="M241" i="41" s="1"/>
  <c r="M223" i="41"/>
  <c r="M290" i="41" s="1"/>
  <c r="M498" i="49"/>
  <c r="M565" i="49" s="1"/>
  <c r="M502" i="49"/>
  <c r="M516" i="49" s="1"/>
  <c r="M206" i="77"/>
  <c r="M220" i="77" s="1"/>
  <c r="M202" i="77"/>
  <c r="M269" i="77" s="1"/>
  <c r="M294" i="18"/>
  <c r="M292" i="18"/>
  <c r="N965" i="61"/>
  <c r="N983" i="61" s="1"/>
  <c r="N968" i="61"/>
  <c r="N986" i="61" s="1"/>
  <c r="N963" i="61"/>
  <c r="N981" i="61" s="1"/>
  <c r="N961" i="61"/>
  <c r="N979" i="61" s="1"/>
  <c r="N962" i="61"/>
  <c r="N980" i="61" s="1"/>
  <c r="N972" i="61"/>
  <c r="N990" i="61" s="1"/>
  <c r="N969" i="61"/>
  <c r="N987" i="61" s="1"/>
  <c r="N966" i="61"/>
  <c r="N984" i="61" s="1"/>
  <c r="N971" i="61"/>
  <c r="N989" i="61" s="1"/>
  <c r="N960" i="61"/>
  <c r="N967" i="61"/>
  <c r="N985" i="61" s="1"/>
  <c r="N970" i="61"/>
  <c r="N988" i="61" s="1"/>
  <c r="N964" i="61"/>
  <c r="N982" i="61" s="1"/>
  <c r="N973" i="61"/>
  <c r="N991" i="61" s="1"/>
  <c r="N714" i="61"/>
  <c r="N732" i="61" s="1"/>
  <c r="N717" i="61"/>
  <c r="N735" i="61" s="1"/>
  <c r="N711" i="61"/>
  <c r="N729" i="61" s="1"/>
  <c r="N710" i="61"/>
  <c r="N728" i="61" s="1"/>
  <c r="N708" i="61"/>
  <c r="N726" i="61" s="1"/>
  <c r="N707" i="61"/>
  <c r="N725" i="61" s="1"/>
  <c r="N705" i="61"/>
  <c r="N718" i="61"/>
  <c r="N736" i="61" s="1"/>
  <c r="N716" i="61"/>
  <c r="N734" i="61" s="1"/>
  <c r="N706" i="61"/>
  <c r="N724" i="61" s="1"/>
  <c r="N709" i="61"/>
  <c r="N727" i="61" s="1"/>
  <c r="N712" i="61"/>
  <c r="N730" i="61" s="1"/>
  <c r="N715" i="61"/>
  <c r="N733" i="61" s="1"/>
  <c r="N713" i="61"/>
  <c r="N731" i="61" s="1"/>
  <c r="N319" i="75"/>
  <c r="N337" i="75" s="1"/>
  <c r="N327" i="75"/>
  <c r="N345" i="75" s="1"/>
  <c r="N323" i="75"/>
  <c r="N341" i="75" s="1"/>
  <c r="N326" i="75"/>
  <c r="N344" i="75" s="1"/>
  <c r="N314" i="75"/>
  <c r="N316" i="75"/>
  <c r="N334" i="75" s="1"/>
  <c r="N320" i="75"/>
  <c r="N338" i="75" s="1"/>
  <c r="N322" i="75"/>
  <c r="N340" i="75" s="1"/>
  <c r="N324" i="75"/>
  <c r="N342" i="75" s="1"/>
  <c r="N325" i="75"/>
  <c r="N343" i="75" s="1"/>
  <c r="N315" i="75"/>
  <c r="N333" i="75" s="1"/>
  <c r="N318" i="75"/>
  <c r="N336" i="75" s="1"/>
  <c r="N317" i="75"/>
  <c r="N335" i="75" s="1"/>
  <c r="N321" i="75"/>
  <c r="N339" i="75" s="1"/>
  <c r="M295" i="18"/>
  <c r="M286" i="18"/>
  <c r="N509" i="57"/>
  <c r="N527" i="57" s="1"/>
  <c r="N512" i="57"/>
  <c r="N530" i="57" s="1"/>
  <c r="N515" i="57"/>
  <c r="N533" i="57" s="1"/>
  <c r="N511" i="57"/>
  <c r="N529" i="57" s="1"/>
  <c r="N508" i="57"/>
  <c r="N526" i="57" s="1"/>
  <c r="N517" i="57"/>
  <c r="N535" i="57" s="1"/>
  <c r="N507" i="57"/>
  <c r="N525" i="57" s="1"/>
  <c r="N505" i="57"/>
  <c r="N518" i="57"/>
  <c r="N536" i="57" s="1"/>
  <c r="N506" i="57"/>
  <c r="N524" i="57" s="1"/>
  <c r="N516" i="57"/>
  <c r="N534" i="57" s="1"/>
  <c r="N514" i="57"/>
  <c r="N532" i="57" s="1"/>
  <c r="N510" i="57"/>
  <c r="N528" i="57" s="1"/>
  <c r="N513" i="57"/>
  <c r="N531" i="57" s="1"/>
  <c r="N484" i="45"/>
  <c r="N494" i="45"/>
  <c r="N512" i="45" s="1"/>
  <c r="N492" i="45"/>
  <c r="N510" i="45" s="1"/>
  <c r="N496" i="45"/>
  <c r="N514" i="45" s="1"/>
  <c r="N495" i="45"/>
  <c r="N513" i="45" s="1"/>
  <c r="N485" i="45"/>
  <c r="N503" i="45" s="1"/>
  <c r="N489" i="45"/>
  <c r="N507" i="45" s="1"/>
  <c r="N487" i="45"/>
  <c r="N505" i="45" s="1"/>
  <c r="N488" i="45"/>
  <c r="N506" i="45" s="1"/>
  <c r="N486" i="45"/>
  <c r="N504" i="45" s="1"/>
  <c r="N491" i="45"/>
  <c r="N509" i="45" s="1"/>
  <c r="N490" i="45"/>
  <c r="N508" i="45" s="1"/>
  <c r="N497" i="45"/>
  <c r="N515" i="45" s="1"/>
  <c r="N493" i="45"/>
  <c r="N511" i="45" s="1"/>
  <c r="N230" i="57"/>
  <c r="N248" i="57" s="1"/>
  <c r="N234" i="57"/>
  <c r="N252" i="57" s="1"/>
  <c r="N223" i="57"/>
  <c r="N227" i="57"/>
  <c r="N245" i="57" s="1"/>
  <c r="N231" i="57"/>
  <c r="N249" i="57" s="1"/>
  <c r="N224" i="57"/>
  <c r="N242" i="57" s="1"/>
  <c r="N228" i="57"/>
  <c r="N246" i="57" s="1"/>
  <c r="N235" i="57"/>
  <c r="N253" i="57" s="1"/>
  <c r="N225" i="57"/>
  <c r="N243" i="57" s="1"/>
  <c r="N232" i="57"/>
  <c r="N250" i="57" s="1"/>
  <c r="N236" i="57"/>
  <c r="N254" i="57" s="1"/>
  <c r="N226" i="57"/>
  <c r="N244" i="57" s="1"/>
  <c r="N229" i="57"/>
  <c r="N247" i="57" s="1"/>
  <c r="N233" i="57"/>
  <c r="N251" i="57" s="1"/>
  <c r="N456" i="69"/>
  <c r="N474" i="69" s="1"/>
  <c r="N455" i="69"/>
  <c r="N473" i="69" s="1"/>
  <c r="N449" i="69"/>
  <c r="N467" i="69" s="1"/>
  <c r="N445" i="69"/>
  <c r="N463" i="69" s="1"/>
  <c r="N443" i="69"/>
  <c r="N446" i="69"/>
  <c r="N464" i="69" s="1"/>
  <c r="N447" i="69"/>
  <c r="N465" i="69" s="1"/>
  <c r="N448" i="69"/>
  <c r="N466" i="69" s="1"/>
  <c r="N450" i="69"/>
  <c r="N468" i="69" s="1"/>
  <c r="N453" i="69"/>
  <c r="N471" i="69" s="1"/>
  <c r="N454" i="69"/>
  <c r="N472" i="69" s="1"/>
  <c r="N444" i="69"/>
  <c r="N462" i="69" s="1"/>
  <c r="N451" i="69"/>
  <c r="N469" i="69" s="1"/>
  <c r="N452" i="69"/>
  <c r="N470" i="69" s="1"/>
  <c r="M554" i="53"/>
  <c r="M621" i="53" s="1"/>
  <c r="M558" i="53"/>
  <c r="M572" i="53" s="1"/>
  <c r="M498" i="45"/>
  <c r="M565" i="45" s="1"/>
  <c r="M502" i="45"/>
  <c r="M516" i="45" s="1"/>
  <c r="M512" i="41"/>
  <c r="M579" i="41" s="1"/>
  <c r="M516" i="41"/>
  <c r="M530" i="41" s="1"/>
  <c r="M223" i="37"/>
  <c r="M290" i="37" s="1"/>
  <c r="M227" i="37"/>
  <c r="M241" i="37" s="1"/>
  <c r="M523" i="57"/>
  <c r="M537" i="57" s="1"/>
  <c r="M519" i="57"/>
  <c r="M586" i="57" s="1"/>
  <c r="M502" i="19"/>
  <c r="M516" i="19" s="1"/>
  <c r="M498" i="19"/>
  <c r="M565" i="19" s="1"/>
  <c r="M287" i="18"/>
  <c r="M288" i="18"/>
  <c r="O84" i="69"/>
  <c r="O91" i="69"/>
  <c r="P89" i="69"/>
  <c r="P88" i="69"/>
  <c r="O339" i="69"/>
  <c r="P81" i="69"/>
  <c r="P82" i="69"/>
  <c r="P74" i="69"/>
  <c r="P75" i="69"/>
  <c r="O96" i="69"/>
  <c r="O77" i="69"/>
  <c r="O95" i="69"/>
  <c r="N98" i="69"/>
  <c r="N88" i="27" s="1"/>
  <c r="N251" i="69"/>
  <c r="N262" i="69" s="1"/>
  <c r="N249" i="69"/>
  <c r="N260" i="69" s="1"/>
  <c r="N247" i="69"/>
  <c r="N258" i="69" s="1"/>
  <c r="N246" i="69"/>
  <c r="N257" i="69" s="1"/>
  <c r="N245" i="69"/>
  <c r="N248" i="69"/>
  <c r="N259" i="69" s="1"/>
  <c r="N250" i="69"/>
  <c r="N261" i="69" s="1"/>
  <c r="N353" i="69"/>
  <c r="N89" i="27" s="1"/>
  <c r="N502" i="69"/>
  <c r="N513" i="69" s="1"/>
  <c r="N505" i="69"/>
  <c r="N516" i="69" s="1"/>
  <c r="N503" i="69"/>
  <c r="N514" i="69" s="1"/>
  <c r="N506" i="69"/>
  <c r="N517" i="69" s="1"/>
  <c r="N504" i="69"/>
  <c r="N515" i="69" s="1"/>
  <c r="N500" i="69"/>
  <c r="N501" i="69"/>
  <c r="N512" i="69" s="1"/>
  <c r="P344" i="69"/>
  <c r="P343" i="69"/>
  <c r="P329" i="69"/>
  <c r="P330" i="69"/>
  <c r="O346" i="69"/>
  <c r="O351" i="69"/>
  <c r="O332" i="69"/>
  <c r="O350" i="69"/>
  <c r="P337" i="69"/>
  <c r="P336" i="69"/>
  <c r="O96" i="77"/>
  <c r="O135" i="45"/>
  <c r="O134" i="45"/>
  <c r="N816" i="19"/>
  <c r="N820" i="19"/>
  <c r="N831" i="19" s="1"/>
  <c r="N821" i="19"/>
  <c r="N832" i="19" s="1"/>
  <c r="N822" i="19"/>
  <c r="N833" i="19" s="1"/>
  <c r="N817" i="19"/>
  <c r="N828" i="19" s="1"/>
  <c r="N819" i="19"/>
  <c r="N830" i="19" s="1"/>
  <c r="N818" i="19"/>
  <c r="N829" i="19" s="1"/>
  <c r="N764" i="61"/>
  <c r="N775" i="61" s="1"/>
  <c r="N768" i="61"/>
  <c r="N779" i="61" s="1"/>
  <c r="N766" i="61"/>
  <c r="N777" i="61" s="1"/>
  <c r="N763" i="61"/>
  <c r="N774" i="61" s="1"/>
  <c r="N765" i="61"/>
  <c r="N776" i="61" s="1"/>
  <c r="N762" i="61"/>
  <c r="N767" i="61"/>
  <c r="N778" i="61" s="1"/>
  <c r="N252" i="61"/>
  <c r="N263" i="61" s="1"/>
  <c r="N256" i="61"/>
  <c r="N267" i="61" s="1"/>
  <c r="N254" i="61"/>
  <c r="N265" i="61" s="1"/>
  <c r="N251" i="61"/>
  <c r="N262" i="61" s="1"/>
  <c r="N253" i="61"/>
  <c r="N264" i="61" s="1"/>
  <c r="N250" i="61"/>
  <c r="N255" i="61"/>
  <c r="N266" i="61" s="1"/>
  <c r="N268" i="19"/>
  <c r="N279" i="19" s="1"/>
  <c r="N272" i="19"/>
  <c r="N283" i="19" s="1"/>
  <c r="N266" i="19"/>
  <c r="N269" i="19"/>
  <c r="N280" i="19" s="1"/>
  <c r="N270" i="19"/>
  <c r="N281" i="19" s="1"/>
  <c r="N267" i="19"/>
  <c r="N278" i="19" s="1"/>
  <c r="N271" i="19"/>
  <c r="N282" i="19" s="1"/>
  <c r="N248" i="77"/>
  <c r="N259" i="77" s="1"/>
  <c r="N247" i="77"/>
  <c r="N258" i="77" s="1"/>
  <c r="N245" i="77"/>
  <c r="N251" i="77"/>
  <c r="N262" i="77" s="1"/>
  <c r="N249" i="77"/>
  <c r="N260" i="77" s="1"/>
  <c r="N250" i="77"/>
  <c r="N261" i="77" s="1"/>
  <c r="N246" i="77"/>
  <c r="N257" i="77" s="1"/>
  <c r="N285" i="57"/>
  <c r="N296" i="57" s="1"/>
  <c r="N283" i="57"/>
  <c r="N294" i="57" s="1"/>
  <c r="N282" i="57"/>
  <c r="N293" i="57" s="1"/>
  <c r="N286" i="57"/>
  <c r="N297" i="57" s="1"/>
  <c r="N284" i="57"/>
  <c r="N295" i="57" s="1"/>
  <c r="N280" i="57"/>
  <c r="N281" i="57"/>
  <c r="N292" i="57" s="1"/>
  <c r="N271" i="37"/>
  <c r="N282" i="37" s="1"/>
  <c r="N270" i="37"/>
  <c r="N281" i="37" s="1"/>
  <c r="N268" i="37"/>
  <c r="N279" i="37" s="1"/>
  <c r="N266" i="37"/>
  <c r="N272" i="37"/>
  <c r="N283" i="37" s="1"/>
  <c r="N267" i="37"/>
  <c r="N278" i="37" s="1"/>
  <c r="N269" i="37"/>
  <c r="N280" i="37" s="1"/>
  <c r="N521" i="37"/>
  <c r="N532" i="37" s="1"/>
  <c r="N522" i="37"/>
  <c r="N533" i="37" s="1"/>
  <c r="N523" i="37"/>
  <c r="N534" i="37" s="1"/>
  <c r="N525" i="37"/>
  <c r="N536" i="37" s="1"/>
  <c r="N526" i="37"/>
  <c r="N537" i="37" s="1"/>
  <c r="N524" i="37"/>
  <c r="N535" i="37" s="1"/>
  <c r="N520" i="37"/>
  <c r="N248" i="33"/>
  <c r="N259" i="33" s="1"/>
  <c r="N245" i="33"/>
  <c r="N249" i="33"/>
  <c r="N260" i="33" s="1"/>
  <c r="N250" i="33"/>
  <c r="N261" i="33" s="1"/>
  <c r="N246" i="33"/>
  <c r="N257" i="33" s="1"/>
  <c r="N247" i="33"/>
  <c r="N258" i="33" s="1"/>
  <c r="N251" i="33"/>
  <c r="N262" i="33" s="1"/>
  <c r="N542" i="19"/>
  <c r="N553" i="19" s="1"/>
  <c r="N545" i="19"/>
  <c r="N556" i="19" s="1"/>
  <c r="N546" i="19"/>
  <c r="N557" i="19" s="1"/>
  <c r="N547" i="19"/>
  <c r="N558" i="19" s="1"/>
  <c r="N544" i="19"/>
  <c r="N555" i="19" s="1"/>
  <c r="N541" i="19"/>
  <c r="N543" i="19"/>
  <c r="N554" i="19" s="1"/>
  <c r="N546" i="45"/>
  <c r="N557" i="45" s="1"/>
  <c r="N544" i="45"/>
  <c r="N555" i="45" s="1"/>
  <c r="N543" i="45"/>
  <c r="N554" i="45" s="1"/>
  <c r="N541" i="45"/>
  <c r="N545" i="45"/>
  <c r="N556" i="45" s="1"/>
  <c r="N547" i="45"/>
  <c r="N558" i="45" s="1"/>
  <c r="N542" i="45"/>
  <c r="N553" i="45" s="1"/>
  <c r="N770" i="69"/>
  <c r="N781" i="69" s="1"/>
  <c r="N772" i="69"/>
  <c r="N783" i="69" s="1"/>
  <c r="N768" i="69"/>
  <c r="N774" i="69"/>
  <c r="N785" i="69" s="1"/>
  <c r="N773" i="69"/>
  <c r="N784" i="69" s="1"/>
  <c r="N769" i="69"/>
  <c r="N780" i="69" s="1"/>
  <c r="N771" i="69"/>
  <c r="N782" i="69" s="1"/>
  <c r="N1017" i="61"/>
  <c r="N1021" i="61"/>
  <c r="N1032" i="61" s="1"/>
  <c r="N1023" i="61"/>
  <c r="N1034" i="61" s="1"/>
  <c r="N1018" i="61"/>
  <c r="N1029" i="61" s="1"/>
  <c r="N1022" i="61"/>
  <c r="N1033" i="61" s="1"/>
  <c r="N1020" i="61"/>
  <c r="N1031" i="61" s="1"/>
  <c r="N1019" i="61"/>
  <c r="N1030" i="61" s="1"/>
  <c r="N511" i="61"/>
  <c r="N522" i="61" s="1"/>
  <c r="N508" i="61"/>
  <c r="N519" i="61" s="1"/>
  <c r="N507" i="61"/>
  <c r="N509" i="61"/>
  <c r="N520" i="61" s="1"/>
  <c r="N512" i="61"/>
  <c r="N523" i="61" s="1"/>
  <c r="N513" i="61"/>
  <c r="N524" i="61" s="1"/>
  <c r="N510" i="61"/>
  <c r="N521" i="61" s="1"/>
  <c r="N566" i="57"/>
  <c r="N577" i="57" s="1"/>
  <c r="N563" i="57"/>
  <c r="N574" i="57" s="1"/>
  <c r="N565" i="57"/>
  <c r="N576" i="57" s="1"/>
  <c r="N564" i="57"/>
  <c r="N575" i="57" s="1"/>
  <c r="N567" i="57"/>
  <c r="N578" i="57" s="1"/>
  <c r="N568" i="57"/>
  <c r="N579" i="57" s="1"/>
  <c r="N562" i="57"/>
  <c r="N289" i="45"/>
  <c r="N300" i="45" s="1"/>
  <c r="N293" i="45"/>
  <c r="N304" i="45" s="1"/>
  <c r="N291" i="45"/>
  <c r="N302" i="45" s="1"/>
  <c r="N288" i="45"/>
  <c r="N299" i="45" s="1"/>
  <c r="N290" i="45"/>
  <c r="N301" i="45" s="1"/>
  <c r="N287" i="45"/>
  <c r="N292" i="45"/>
  <c r="N303" i="45" s="1"/>
  <c r="N377" i="75"/>
  <c r="N388" i="75" s="1"/>
  <c r="N375" i="75"/>
  <c r="N386" i="75" s="1"/>
  <c r="N373" i="75"/>
  <c r="N384" i="75" s="1"/>
  <c r="N372" i="75"/>
  <c r="N383" i="75" s="1"/>
  <c r="N371" i="75"/>
  <c r="N374" i="75"/>
  <c r="N385" i="75" s="1"/>
  <c r="N376" i="75"/>
  <c r="N387" i="75" s="1"/>
  <c r="O136" i="45"/>
  <c r="O114" i="19"/>
  <c r="K570" i="49"/>
  <c r="K590" i="57"/>
  <c r="K791" i="61"/>
  <c r="K295" i="37"/>
  <c r="K295" i="41"/>
  <c r="K322" i="53"/>
  <c r="K343" i="29"/>
  <c r="K1045" i="61"/>
  <c r="K309" i="57"/>
  <c r="K796" i="69"/>
  <c r="K535" i="61"/>
  <c r="K273" i="33"/>
  <c r="K625" i="53"/>
  <c r="K583" i="41"/>
  <c r="K316" i="45"/>
  <c r="K569" i="19"/>
  <c r="K844" i="19"/>
  <c r="K294" i="19"/>
  <c r="K273" i="69"/>
  <c r="K548" i="37"/>
  <c r="K399" i="75"/>
  <c r="K279" i="61"/>
  <c r="K569" i="45"/>
  <c r="K274" i="77"/>
  <c r="K294" i="49"/>
  <c r="K528" i="69"/>
  <c r="O346" i="61"/>
  <c r="O358" i="61"/>
  <c r="O664" i="19"/>
  <c r="O618" i="69"/>
  <c r="O132" i="45"/>
  <c r="O863" i="61"/>
  <c r="O133" i="45"/>
  <c r="O117" i="19"/>
  <c r="O99" i="19"/>
  <c r="O137" i="45"/>
  <c r="O96" i="33"/>
  <c r="O380" i="45"/>
  <c r="O84" i="77"/>
  <c r="O96" i="61"/>
  <c r="O127" i="45"/>
  <c r="O131" i="57"/>
  <c r="O387" i="45"/>
  <c r="O359" i="37"/>
  <c r="O612" i="69"/>
  <c r="M273" i="19"/>
  <c r="M291" i="19" s="1"/>
  <c r="M277" i="19"/>
  <c r="M284" i="19" s="1"/>
  <c r="O114" i="45"/>
  <c r="O95" i="33"/>
  <c r="O84" i="33"/>
  <c r="M338" i="18"/>
  <c r="P87" i="19"/>
  <c r="P85" i="19"/>
  <c r="P83" i="19"/>
  <c r="P86" i="19"/>
  <c r="P84" i="19"/>
  <c r="P128" i="75"/>
  <c r="P138" i="75"/>
  <c r="P129" i="75"/>
  <c r="P140" i="75"/>
  <c r="P130" i="75"/>
  <c r="P141" i="75"/>
  <c r="P131" i="75"/>
  <c r="P132" i="75"/>
  <c r="P142" i="75"/>
  <c r="P139" i="75"/>
  <c r="P133" i="75"/>
  <c r="P144" i="75"/>
  <c r="P147" i="75"/>
  <c r="P134" i="75"/>
  <c r="P145" i="75"/>
  <c r="P143" i="75"/>
  <c r="P137" i="75"/>
  <c r="P146" i="75"/>
  <c r="P135" i="75"/>
  <c r="P136" i="75"/>
  <c r="P362" i="19"/>
  <c r="P359" i="19"/>
  <c r="P360" i="19"/>
  <c r="P361" i="19"/>
  <c r="P358" i="19"/>
  <c r="O82" i="61"/>
  <c r="O100" i="61"/>
  <c r="M298" i="45"/>
  <c r="M305" i="45" s="1"/>
  <c r="M294" i="45"/>
  <c r="M312" i="45" s="1"/>
  <c r="N133" i="57"/>
  <c r="N82" i="27" s="1"/>
  <c r="O77" i="33"/>
  <c r="P160" i="75"/>
  <c r="P157" i="75"/>
  <c r="P161" i="75"/>
  <c r="P168" i="75"/>
  <c r="P166" i="75"/>
  <c r="P163" i="75"/>
  <c r="P169" i="75"/>
  <c r="P171" i="75"/>
  <c r="P154" i="75"/>
  <c r="P164" i="75"/>
  <c r="P172" i="75"/>
  <c r="P155" i="75"/>
  <c r="P170" i="75"/>
  <c r="P156" i="75"/>
  <c r="P162" i="75"/>
  <c r="P167" i="75"/>
  <c r="P158" i="75"/>
  <c r="P159" i="75"/>
  <c r="P165" i="75"/>
  <c r="P153" i="75"/>
  <c r="O413" i="57"/>
  <c r="N373" i="37"/>
  <c r="N73" i="27" s="1"/>
  <c r="M291" i="57"/>
  <c r="M298" i="57" s="1"/>
  <c r="M287" i="57"/>
  <c r="M305" i="57" s="1"/>
  <c r="O352" i="37"/>
  <c r="O370" i="37"/>
  <c r="O222" i="75"/>
  <c r="O215" i="75"/>
  <c r="P847" i="61"/>
  <c r="P846" i="61"/>
  <c r="M779" i="69"/>
  <c r="M786" i="69" s="1"/>
  <c r="M775" i="69"/>
  <c r="M793" i="69" s="1"/>
  <c r="M773" i="61"/>
  <c r="M780" i="61" s="1"/>
  <c r="M769" i="61"/>
  <c r="M787" i="61" s="1"/>
  <c r="P385" i="45"/>
  <c r="P384" i="45"/>
  <c r="N103" i="61"/>
  <c r="N84" i="27" s="1"/>
  <c r="O392" i="45"/>
  <c r="O366" i="37"/>
  <c r="O639" i="19"/>
  <c r="O663" i="19"/>
  <c r="N98" i="33"/>
  <c r="N70" i="27" s="1"/>
  <c r="M566" i="41"/>
  <c r="M573" i="41" s="1"/>
  <c r="M562" i="41"/>
  <c r="M580" i="41" s="1"/>
  <c r="N669" i="19"/>
  <c r="N71" i="27" s="1"/>
  <c r="M301" i="53"/>
  <c r="M319" i="53" s="1"/>
  <c r="M305" i="53"/>
  <c r="M312" i="53" s="1"/>
  <c r="N621" i="69"/>
  <c r="N90" i="27" s="1"/>
  <c r="P93" i="61"/>
  <c r="P94" i="61"/>
  <c r="P607" i="69"/>
  <c r="P609" i="69"/>
  <c r="P608" i="69"/>
  <c r="P610" i="69"/>
  <c r="O601" i="61"/>
  <c r="O116" i="19"/>
  <c r="O130" i="57"/>
  <c r="M273" i="49"/>
  <c r="M291" i="49" s="1"/>
  <c r="M277" i="49"/>
  <c r="M284" i="49" s="1"/>
  <c r="P82" i="77"/>
  <c r="P81" i="77"/>
  <c r="P644" i="19"/>
  <c r="P646" i="19"/>
  <c r="P645" i="19"/>
  <c r="P647" i="19"/>
  <c r="P643" i="19"/>
  <c r="Q801" i="61"/>
  <c r="Q284" i="69"/>
  <c r="Q539" i="69"/>
  <c r="Q326" i="45"/>
  <c r="Q546" i="61"/>
  <c r="Q305" i="41"/>
  <c r="Q289" i="61"/>
  <c r="Q305" i="37"/>
  <c r="Q580" i="19"/>
  <c r="Q319" i="57"/>
  <c r="Q305" i="49"/>
  <c r="Q305" i="19"/>
  <c r="Q333" i="53"/>
  <c r="Q30" i="77"/>
  <c r="Q30" i="49"/>
  <c r="Q30" i="75"/>
  <c r="Q30" i="57"/>
  <c r="Q30" i="37"/>
  <c r="Q30" i="45"/>
  <c r="Q30" i="69"/>
  <c r="Q30" i="53"/>
  <c r="Q30" i="33"/>
  <c r="Q30" i="61"/>
  <c r="Q30" i="29"/>
  <c r="Q30" i="41"/>
  <c r="Q30" i="18"/>
  <c r="Q30" i="19"/>
  <c r="O91" i="77"/>
  <c r="O371" i="37"/>
  <c r="O209" i="75"/>
  <c r="O204" i="75"/>
  <c r="N140" i="45"/>
  <c r="N76" i="27" s="1"/>
  <c r="P380" i="19"/>
  <c r="P381" i="19"/>
  <c r="P382" i="19"/>
  <c r="P379" i="19"/>
  <c r="P378" i="19"/>
  <c r="P351" i="61"/>
  <c r="P350" i="61"/>
  <c r="O373" i="45"/>
  <c r="O391" i="45"/>
  <c r="M322" i="29"/>
  <c r="M340" i="29" s="1"/>
  <c r="M326" i="29"/>
  <c r="M333" i="29" s="1"/>
  <c r="M277" i="41"/>
  <c r="M284" i="41" s="1"/>
  <c r="M273" i="41"/>
  <c r="M291" i="41" s="1"/>
  <c r="O667" i="19"/>
  <c r="O99" i="37"/>
  <c r="O121" i="57"/>
  <c r="P106" i="19"/>
  <c r="P103" i="19"/>
  <c r="P105" i="19"/>
  <c r="P104" i="19"/>
  <c r="P107" i="19"/>
  <c r="P89" i="77"/>
  <c r="P88" i="77"/>
  <c r="N615" i="61"/>
  <c r="N86" i="27" s="1"/>
  <c r="M334" i="18"/>
  <c r="P637" i="19"/>
  <c r="P633" i="19"/>
  <c r="P636" i="19"/>
  <c r="P634" i="19"/>
  <c r="P635" i="19"/>
  <c r="O114" i="37"/>
  <c r="O89" i="19"/>
  <c r="O113" i="19"/>
  <c r="O91" i="33"/>
  <c r="M511" i="69"/>
  <c r="M518" i="69" s="1"/>
  <c r="M507" i="69"/>
  <c r="M525" i="69" s="1"/>
  <c r="O616" i="69"/>
  <c r="O594" i="69"/>
  <c r="O129" i="57"/>
  <c r="P81" i="33"/>
  <c r="P82" i="33"/>
  <c r="P86" i="61"/>
  <c r="P87" i="61"/>
  <c r="P356" i="37"/>
  <c r="P357" i="37"/>
  <c r="N119" i="37"/>
  <c r="N72" i="27" s="1"/>
  <c r="O364" i="19"/>
  <c r="O388" i="19"/>
  <c r="O211" i="75"/>
  <c r="O220" i="75"/>
  <c r="O214" i="75"/>
  <c r="O856" i="61"/>
  <c r="O613" i="61"/>
  <c r="M252" i="69"/>
  <c r="M270" i="69" s="1"/>
  <c r="M256" i="69"/>
  <c r="M263" i="69" s="1"/>
  <c r="O666" i="19"/>
  <c r="N119" i="19"/>
  <c r="N67" i="27" s="1"/>
  <c r="P605" i="61"/>
  <c r="P606" i="61"/>
  <c r="P860" i="61"/>
  <c r="P861" i="61"/>
  <c r="M335" i="18"/>
  <c r="P74" i="33"/>
  <c r="P75" i="33"/>
  <c r="P79" i="61"/>
  <c r="P80" i="61"/>
  <c r="P349" i="37"/>
  <c r="P350" i="37"/>
  <c r="O116" i="37"/>
  <c r="O115" i="19"/>
  <c r="N224" i="75"/>
  <c r="N91" i="27" s="1"/>
  <c r="M277" i="37"/>
  <c r="M284" i="37" s="1"/>
  <c r="M273" i="37"/>
  <c r="M291" i="37" s="1"/>
  <c r="O617" i="69"/>
  <c r="O126" i="57"/>
  <c r="P389" i="57"/>
  <c r="P390" i="57"/>
  <c r="P388" i="57"/>
  <c r="P387" i="57"/>
  <c r="P391" i="57"/>
  <c r="P386" i="57"/>
  <c r="P344" i="61"/>
  <c r="P343" i="61"/>
  <c r="O109" i="57"/>
  <c r="O391" i="19"/>
  <c r="M823" i="19"/>
  <c r="M841" i="19" s="1"/>
  <c r="M827" i="19"/>
  <c r="M834" i="19" s="1"/>
  <c r="O218" i="75"/>
  <c r="O219" i="75"/>
  <c r="O149" i="75"/>
  <c r="O203" i="75"/>
  <c r="O95" i="77"/>
  <c r="O77" i="77"/>
  <c r="N98" i="77"/>
  <c r="N92" i="27" s="1"/>
  <c r="O659" i="19"/>
  <c r="N415" i="57"/>
  <c r="N83" i="27" s="1"/>
  <c r="O339" i="61"/>
  <c r="O357" i="61"/>
  <c r="O665" i="19"/>
  <c r="N394" i="19"/>
  <c r="N69" i="27" s="1"/>
  <c r="O410" i="57"/>
  <c r="P402" i="57"/>
  <c r="P399" i="57"/>
  <c r="P401" i="57"/>
  <c r="P397" i="57"/>
  <c r="P398" i="57"/>
  <c r="P400" i="57"/>
  <c r="M256" i="33"/>
  <c r="M263" i="33" s="1"/>
  <c r="M252" i="33"/>
  <c r="M270" i="33" s="1"/>
  <c r="M336" i="18"/>
  <c r="P74" i="77"/>
  <c r="P75" i="77"/>
  <c r="P336" i="61"/>
  <c r="P337" i="61"/>
  <c r="Q288" i="61"/>
  <c r="Q304" i="37"/>
  <c r="Q579" i="19"/>
  <c r="Q304" i="49"/>
  <c r="Q332" i="53"/>
  <c r="Q304" i="19"/>
  <c r="Q318" i="57"/>
  <c r="Q800" i="61"/>
  <c r="Q283" i="69"/>
  <c r="Q325" i="45"/>
  <c r="Q545" i="61"/>
  <c r="Q304" i="41"/>
  <c r="Q538" i="69"/>
  <c r="Q29" i="45"/>
  <c r="Q29" i="53"/>
  <c r="Q29" i="77"/>
  <c r="Q29" i="61"/>
  <c r="Q29" i="41"/>
  <c r="Q29" i="49"/>
  <c r="Q29" i="75"/>
  <c r="Q29" i="57"/>
  <c r="Q29" i="37"/>
  <c r="Q29" i="33"/>
  <c r="Q29" i="69"/>
  <c r="Q29" i="29"/>
  <c r="Q29" i="18"/>
  <c r="Q29" i="19"/>
  <c r="O89" i="37"/>
  <c r="O113" i="37"/>
  <c r="M514" i="61"/>
  <c r="M532" i="61" s="1"/>
  <c r="M518" i="61"/>
  <c r="M525" i="61" s="1"/>
  <c r="O619" i="69"/>
  <c r="O125" i="57"/>
  <c r="O97" i="57"/>
  <c r="O412" i="57"/>
  <c r="O389" i="19"/>
  <c r="O210" i="75"/>
  <c r="O208" i="75"/>
  <c r="O212" i="75"/>
  <c r="O101" i="61"/>
  <c r="M573" i="57"/>
  <c r="M580" i="57" s="1"/>
  <c r="M569" i="57"/>
  <c r="M587" i="57" s="1"/>
  <c r="P93" i="57"/>
  <c r="P89" i="57"/>
  <c r="P95" i="57"/>
  <c r="P90" i="57"/>
  <c r="P91" i="57"/>
  <c r="P92" i="57"/>
  <c r="P94" i="57"/>
  <c r="O138" i="45"/>
  <c r="O199" i="75"/>
  <c r="M552" i="19"/>
  <c r="M559" i="19" s="1"/>
  <c r="M548" i="19"/>
  <c r="M566" i="19" s="1"/>
  <c r="O174" i="75"/>
  <c r="O404" i="57"/>
  <c r="M552" i="49"/>
  <c r="M559" i="49" s="1"/>
  <c r="M548" i="49"/>
  <c r="M566" i="49" s="1"/>
  <c r="P89" i="33"/>
  <c r="P88" i="33"/>
  <c r="P103" i="37"/>
  <c r="P104" i="37"/>
  <c r="P107" i="37"/>
  <c r="P106" i="37"/>
  <c r="P105" i="37"/>
  <c r="P654" i="19"/>
  <c r="P653" i="19"/>
  <c r="P657" i="19"/>
  <c r="P656" i="19"/>
  <c r="P655" i="19"/>
  <c r="Q320" i="57"/>
  <c r="Q802" i="61"/>
  <c r="Q285" i="69"/>
  <c r="Q327" i="45"/>
  <c r="Q547" i="61"/>
  <c r="Q306" i="41"/>
  <c r="Q306" i="49"/>
  <c r="Q334" i="53"/>
  <c r="Q306" i="19"/>
  <c r="Q540" i="69"/>
  <c r="Q290" i="61"/>
  <c r="Q581" i="19"/>
  <c r="Q306" i="37"/>
  <c r="Q31" i="75"/>
  <c r="Q31" i="45"/>
  <c r="Q31" i="69"/>
  <c r="Q31" i="53"/>
  <c r="Q31" i="33"/>
  <c r="Q31" i="77"/>
  <c r="Q31" i="61"/>
  <c r="Q31" i="41"/>
  <c r="Q31" i="49"/>
  <c r="Q31" i="29"/>
  <c r="Q31" i="37"/>
  <c r="Q31" i="57"/>
  <c r="Q31" i="19"/>
  <c r="Q31" i="18"/>
  <c r="M329" i="18"/>
  <c r="M347" i="18" s="1"/>
  <c r="M333" i="18"/>
  <c r="P98" i="45"/>
  <c r="P95" i="45"/>
  <c r="P94" i="45"/>
  <c r="P93" i="45"/>
  <c r="P99" i="45"/>
  <c r="P92" i="45"/>
  <c r="P96" i="45"/>
  <c r="P97" i="45"/>
  <c r="P589" i="69"/>
  <c r="P590" i="69"/>
  <c r="P592" i="69"/>
  <c r="P591" i="69"/>
  <c r="O115" i="37"/>
  <c r="O393" i="57"/>
  <c r="O109" i="19"/>
  <c r="M378" i="75"/>
  <c r="M396" i="75" s="1"/>
  <c r="M382" i="75"/>
  <c r="M389" i="75" s="1"/>
  <c r="P96" i="19"/>
  <c r="P93" i="19"/>
  <c r="P97" i="19"/>
  <c r="P94" i="19"/>
  <c r="P95" i="19"/>
  <c r="P111" i="45"/>
  <c r="P107" i="45"/>
  <c r="P112" i="45"/>
  <c r="P110" i="45"/>
  <c r="P106" i="45"/>
  <c r="P105" i="45"/>
  <c r="P108" i="45"/>
  <c r="P109" i="45"/>
  <c r="P853" i="61"/>
  <c r="P854" i="61"/>
  <c r="P598" i="61"/>
  <c r="P599" i="61"/>
  <c r="O384" i="19"/>
  <c r="O409" i="57"/>
  <c r="O392" i="19"/>
  <c r="M608" i="53"/>
  <c r="M615" i="53" s="1"/>
  <c r="M604" i="53"/>
  <c r="M622" i="53" s="1"/>
  <c r="M256" i="77"/>
  <c r="M263" i="77" s="1"/>
  <c r="M252" i="77"/>
  <c r="M270" i="77" s="1"/>
  <c r="O207" i="75"/>
  <c r="O217" i="75"/>
  <c r="O221" i="75"/>
  <c r="O89" i="61"/>
  <c r="P196" i="75"/>
  <c r="P190" i="75"/>
  <c r="P194" i="75"/>
  <c r="P186" i="75"/>
  <c r="P191" i="75"/>
  <c r="P178" i="75"/>
  <c r="P187" i="75"/>
  <c r="P180" i="75"/>
  <c r="P184" i="75"/>
  <c r="P193" i="75"/>
  <c r="P179" i="75"/>
  <c r="P183" i="75"/>
  <c r="P195" i="75"/>
  <c r="P197" i="75"/>
  <c r="P185" i="75"/>
  <c r="P189" i="75"/>
  <c r="P192" i="75"/>
  <c r="P182" i="75"/>
  <c r="P188" i="75"/>
  <c r="P181" i="75"/>
  <c r="O608" i="61"/>
  <c r="M552" i="45"/>
  <c r="M559" i="45" s="1"/>
  <c r="M548" i="45"/>
  <c r="M566" i="45" s="1"/>
  <c r="O101" i="45"/>
  <c r="O131" i="45"/>
  <c r="O594" i="61"/>
  <c r="O612" i="61"/>
  <c r="M1028" i="61"/>
  <c r="M1035" i="61" s="1"/>
  <c r="M1024" i="61"/>
  <c r="M1042" i="61" s="1"/>
  <c r="O374" i="19"/>
  <c r="P120" i="45"/>
  <c r="P124" i="45"/>
  <c r="P123" i="45"/>
  <c r="P121" i="45"/>
  <c r="P119" i="45"/>
  <c r="P118" i="45"/>
  <c r="P125" i="45"/>
  <c r="P122" i="45"/>
  <c r="P113" i="57"/>
  <c r="P116" i="57"/>
  <c r="P115" i="57"/>
  <c r="P117" i="57"/>
  <c r="P119" i="57"/>
  <c r="P114" i="57"/>
  <c r="P118" i="57"/>
  <c r="P364" i="37"/>
  <c r="P363" i="37"/>
  <c r="O109" i="37"/>
  <c r="M337" i="18"/>
  <c r="M339" i="18"/>
  <c r="P85" i="37"/>
  <c r="P83" i="37"/>
  <c r="P86" i="37"/>
  <c r="P84" i="37"/>
  <c r="P87" i="37"/>
  <c r="P591" i="61"/>
  <c r="P592" i="61"/>
  <c r="P379" i="57"/>
  <c r="P377" i="57"/>
  <c r="P380" i="57"/>
  <c r="P375" i="57"/>
  <c r="P376" i="57"/>
  <c r="P378" i="57"/>
  <c r="O117" i="37"/>
  <c r="O603" i="69"/>
  <c r="O128" i="57"/>
  <c r="P94" i="37"/>
  <c r="P97" i="37"/>
  <c r="P93" i="37"/>
  <c r="P96" i="37"/>
  <c r="P95" i="37"/>
  <c r="P369" i="19"/>
  <c r="P372" i="19"/>
  <c r="P371" i="19"/>
  <c r="P370" i="19"/>
  <c r="P368" i="19"/>
  <c r="P378" i="45"/>
  <c r="P377" i="45"/>
  <c r="O411" i="57"/>
  <c r="O390" i="19"/>
  <c r="N394" i="45"/>
  <c r="N77" i="27" s="1"/>
  <c r="O649" i="19"/>
  <c r="O353" i="61"/>
  <c r="O867" i="61"/>
  <c r="O849" i="61"/>
  <c r="O213" i="75"/>
  <c r="O216" i="75"/>
  <c r="P371" i="45"/>
  <c r="P370" i="45"/>
  <c r="M257" i="61"/>
  <c r="M275" i="61" s="1"/>
  <c r="M261" i="61"/>
  <c r="M268" i="61" s="1"/>
  <c r="O127" i="57"/>
  <c r="P105" i="57"/>
  <c r="P101" i="57"/>
  <c r="P107" i="57"/>
  <c r="P102" i="57"/>
  <c r="P106" i="57"/>
  <c r="P103" i="57"/>
  <c r="P104" i="57"/>
  <c r="P598" i="69"/>
  <c r="P600" i="69"/>
  <c r="P601" i="69"/>
  <c r="P599" i="69"/>
  <c r="N870" i="61"/>
  <c r="N87" i="27" s="1"/>
  <c r="O408" i="57"/>
  <c r="O382" i="57"/>
  <c r="O868" i="61"/>
  <c r="O205" i="75"/>
  <c r="O206" i="75"/>
  <c r="N360" i="61"/>
  <c r="N85" i="27" s="1"/>
  <c r="M678" i="61" l="1"/>
  <c r="M791" i="61" s="1"/>
  <c r="M162" i="37"/>
  <c r="O128" i="19"/>
  <c r="O131" i="19"/>
  <c r="O134" i="19"/>
  <c r="O137" i="19"/>
  <c r="O140" i="19"/>
  <c r="O127" i="19"/>
  <c r="O130" i="19"/>
  <c r="O133" i="19"/>
  <c r="O136" i="19"/>
  <c r="O139" i="19"/>
  <c r="O126" i="19"/>
  <c r="O129" i="19"/>
  <c r="O132" i="19"/>
  <c r="O135" i="19"/>
  <c r="O138" i="19"/>
  <c r="O141" i="19"/>
  <c r="O184" i="29"/>
  <c r="O190" i="29"/>
  <c r="O180" i="29"/>
  <c r="O179" i="29"/>
  <c r="O186" i="29"/>
  <c r="O175" i="29"/>
  <c r="O181" i="29"/>
  <c r="O188" i="29"/>
  <c r="O187" i="29"/>
  <c r="O176" i="29"/>
  <c r="O182" i="29"/>
  <c r="O183" i="29"/>
  <c r="O189" i="29"/>
  <c r="O178" i="29"/>
  <c r="O177" i="29"/>
  <c r="O185" i="29"/>
  <c r="O402" i="49"/>
  <c r="O410" i="49"/>
  <c r="O412" i="49"/>
  <c r="O403" i="49"/>
  <c r="O414" i="49"/>
  <c r="O404" i="49"/>
  <c r="O416" i="49"/>
  <c r="O405" i="49"/>
  <c r="O409" i="49"/>
  <c r="O411" i="49"/>
  <c r="O413" i="49"/>
  <c r="O415" i="49"/>
  <c r="O408" i="49"/>
  <c r="O406" i="49"/>
  <c r="O407" i="49"/>
  <c r="O401" i="49"/>
  <c r="N510" i="53"/>
  <c r="N490" i="53"/>
  <c r="N499" i="53"/>
  <c r="N479" i="53"/>
  <c r="N195" i="45"/>
  <c r="N175" i="45"/>
  <c r="N187" i="45"/>
  <c r="N167" i="45"/>
  <c r="N163" i="45"/>
  <c r="N310" i="45" s="1"/>
  <c r="N179" i="37"/>
  <c r="N159" i="37"/>
  <c r="N176" i="37"/>
  <c r="N156" i="37"/>
  <c r="N679" i="69"/>
  <c r="N659" i="69"/>
  <c r="N680" i="69"/>
  <c r="N660" i="69"/>
  <c r="N453" i="19"/>
  <c r="N433" i="19"/>
  <c r="N443" i="19"/>
  <c r="N423" i="19"/>
  <c r="N469" i="41"/>
  <c r="N449" i="41"/>
  <c r="N462" i="41"/>
  <c r="N442" i="41"/>
  <c r="N425" i="37"/>
  <c r="N405" i="37"/>
  <c r="N426" i="37"/>
  <c r="N406" i="37"/>
  <c r="N926" i="61"/>
  <c r="N906" i="61"/>
  <c r="N920" i="61"/>
  <c r="N900" i="61"/>
  <c r="N180" i="57"/>
  <c r="N160" i="57"/>
  <c r="N156" i="57"/>
  <c r="N303" i="57" s="1"/>
  <c r="N195" i="57"/>
  <c r="N175" i="57"/>
  <c r="N150" i="77"/>
  <c r="N130" i="77"/>
  <c r="N156" i="77"/>
  <c r="N136" i="77"/>
  <c r="N721" i="19"/>
  <c r="N701" i="19"/>
  <c r="N722" i="19"/>
  <c r="N702" i="19"/>
  <c r="M166" i="61"/>
  <c r="M278" i="61" s="1"/>
  <c r="N230" i="18"/>
  <c r="N109" i="27"/>
  <c r="N109" i="78" s="1"/>
  <c r="N210" i="18"/>
  <c r="N231" i="18"/>
  <c r="N211" i="18"/>
  <c r="N110" i="27"/>
  <c r="N110" i="78" s="1"/>
  <c r="N110" i="79" s="1"/>
  <c r="M161" i="33"/>
  <c r="M274" i="33" s="1"/>
  <c r="M471" i="41"/>
  <c r="M583" i="41" s="1"/>
  <c r="M493" i="53"/>
  <c r="N404" i="69"/>
  <c r="N384" i="69"/>
  <c r="N413" i="69"/>
  <c r="N393" i="69"/>
  <c r="N168" i="41"/>
  <c r="N148" i="41"/>
  <c r="N179" i="41"/>
  <c r="N159" i="41"/>
  <c r="N171" i="19"/>
  <c r="N151" i="19"/>
  <c r="N179" i="19"/>
  <c r="N159" i="19"/>
  <c r="N446" i="57"/>
  <c r="N466" i="57"/>
  <c r="N447" i="57"/>
  <c r="N467" i="57"/>
  <c r="N420" i="61"/>
  <c r="N400" i="61"/>
  <c r="N412" i="61"/>
  <c r="N392" i="61"/>
  <c r="N670" i="61"/>
  <c r="N650" i="61"/>
  <c r="N664" i="61"/>
  <c r="N644" i="61"/>
  <c r="N450" i="49"/>
  <c r="N430" i="49"/>
  <c r="N449" i="49"/>
  <c r="N429" i="49"/>
  <c r="N180" i="49"/>
  <c r="N160" i="49"/>
  <c r="N169" i="49"/>
  <c r="N149" i="49"/>
  <c r="N218" i="29"/>
  <c r="N198" i="29"/>
  <c r="N221" i="29"/>
  <c r="N201" i="29"/>
  <c r="N150" i="61"/>
  <c r="N130" i="61"/>
  <c r="N126" i="61"/>
  <c r="N273" i="61" s="1"/>
  <c r="N162" i="61"/>
  <c r="N142" i="61"/>
  <c r="N205" i="53"/>
  <c r="N185" i="53"/>
  <c r="N196" i="53"/>
  <c r="N176" i="53"/>
  <c r="N160" i="69"/>
  <c r="N140" i="69"/>
  <c r="N155" i="69"/>
  <c r="N135" i="69"/>
  <c r="N434" i="45"/>
  <c r="N454" i="45"/>
  <c r="N445" i="45"/>
  <c r="N425" i="45"/>
  <c r="N286" i="75"/>
  <c r="N266" i="75"/>
  <c r="N281" i="75"/>
  <c r="N261" i="75"/>
  <c r="N160" i="33"/>
  <c r="N140" i="33"/>
  <c r="N152" i="33"/>
  <c r="N132" i="33"/>
  <c r="N504" i="53"/>
  <c r="N484" i="53"/>
  <c r="N507" i="53"/>
  <c r="N487" i="53"/>
  <c r="N199" i="45"/>
  <c r="N179" i="45"/>
  <c r="N202" i="45"/>
  <c r="N182" i="45"/>
  <c r="N161" i="37"/>
  <c r="N181" i="37"/>
  <c r="N175" i="37"/>
  <c r="N155" i="37"/>
  <c r="N676" i="69"/>
  <c r="N656" i="69"/>
  <c r="N672" i="69"/>
  <c r="N652" i="69"/>
  <c r="N446" i="19"/>
  <c r="N426" i="19"/>
  <c r="N442" i="19"/>
  <c r="N422" i="19"/>
  <c r="M437" i="49"/>
  <c r="N456" i="41"/>
  <c r="N436" i="41"/>
  <c r="N464" i="41"/>
  <c r="N444" i="41"/>
  <c r="N422" i="37"/>
  <c r="N402" i="37"/>
  <c r="N423" i="37"/>
  <c r="N403" i="37"/>
  <c r="N928" i="61"/>
  <c r="N908" i="61"/>
  <c r="N925" i="61"/>
  <c r="N905" i="61"/>
  <c r="N194" i="57"/>
  <c r="N174" i="57"/>
  <c r="N184" i="57"/>
  <c r="N164" i="57"/>
  <c r="N149" i="77"/>
  <c r="N129" i="77"/>
  <c r="N151" i="77"/>
  <c r="N131" i="77"/>
  <c r="N718" i="19"/>
  <c r="N698" i="19"/>
  <c r="N729" i="19"/>
  <c r="N709" i="19"/>
  <c r="M146" i="61"/>
  <c r="N227" i="18"/>
  <c r="N207" i="18"/>
  <c r="N106" i="27"/>
  <c r="N106" i="78" s="1"/>
  <c r="N106" i="79" s="1"/>
  <c r="N228" i="18"/>
  <c r="N208" i="18"/>
  <c r="N107" i="27"/>
  <c r="N107" i="78" s="1"/>
  <c r="N107" i="79" s="1"/>
  <c r="M513" i="53"/>
  <c r="M625" i="53" s="1"/>
  <c r="N407" i="69"/>
  <c r="N387" i="69"/>
  <c r="N412" i="69"/>
  <c r="N392" i="69"/>
  <c r="M162" i="41"/>
  <c r="M162" i="19"/>
  <c r="N178" i="41"/>
  <c r="N158" i="41"/>
  <c r="N176" i="41"/>
  <c r="N156" i="41"/>
  <c r="N168" i="19"/>
  <c r="N148" i="19"/>
  <c r="N176" i="19"/>
  <c r="N156" i="19"/>
  <c r="N463" i="57"/>
  <c r="N443" i="57"/>
  <c r="N464" i="57"/>
  <c r="N444" i="57"/>
  <c r="N414" i="61"/>
  <c r="N394" i="61"/>
  <c r="N398" i="61"/>
  <c r="N418" i="61"/>
  <c r="N675" i="61"/>
  <c r="N655" i="61"/>
  <c r="N668" i="61"/>
  <c r="N648" i="61"/>
  <c r="N441" i="49"/>
  <c r="N421" i="49"/>
  <c r="N417" i="49"/>
  <c r="N564" i="49" s="1"/>
  <c r="N448" i="49"/>
  <c r="N428" i="49"/>
  <c r="N177" i="49"/>
  <c r="N157" i="49"/>
  <c r="N166" i="49"/>
  <c r="N146" i="49"/>
  <c r="N142" i="49"/>
  <c r="N289" i="49" s="1"/>
  <c r="N217" i="29"/>
  <c r="N197" i="29"/>
  <c r="N226" i="29"/>
  <c r="N206" i="29"/>
  <c r="N152" i="61"/>
  <c r="N132" i="61"/>
  <c r="N160" i="61"/>
  <c r="N140" i="61"/>
  <c r="N179" i="53"/>
  <c r="N199" i="53"/>
  <c r="N201" i="53"/>
  <c r="N181" i="53"/>
  <c r="N150" i="69"/>
  <c r="N130" i="69"/>
  <c r="N147" i="69"/>
  <c r="N127" i="69"/>
  <c r="N448" i="45"/>
  <c r="N428" i="45"/>
  <c r="N450" i="45"/>
  <c r="N430" i="45"/>
  <c r="N265" i="75"/>
  <c r="N285" i="75"/>
  <c r="N279" i="75"/>
  <c r="N259" i="75"/>
  <c r="N157" i="33"/>
  <c r="N137" i="33"/>
  <c r="N149" i="33"/>
  <c r="N129" i="33"/>
  <c r="O138" i="41"/>
  <c r="O141" i="41"/>
  <c r="O135" i="41"/>
  <c r="O128" i="41"/>
  <c r="O131" i="41"/>
  <c r="O134" i="41"/>
  <c r="O137" i="41"/>
  <c r="O140" i="41"/>
  <c r="O130" i="41"/>
  <c r="O133" i="41"/>
  <c r="O136" i="41"/>
  <c r="O139" i="41"/>
  <c r="O127" i="41"/>
  <c r="O126" i="41"/>
  <c r="O129" i="41"/>
  <c r="O132" i="41"/>
  <c r="O150" i="45"/>
  <c r="O153" i="45"/>
  <c r="O149" i="45"/>
  <c r="O159" i="45"/>
  <c r="O160" i="45"/>
  <c r="O156" i="45"/>
  <c r="O147" i="45"/>
  <c r="O158" i="45"/>
  <c r="O161" i="45"/>
  <c r="O154" i="45"/>
  <c r="O157" i="45"/>
  <c r="O152" i="45"/>
  <c r="O148" i="45"/>
  <c r="O151" i="45"/>
  <c r="O162" i="45"/>
  <c r="O155" i="45"/>
  <c r="O140" i="57"/>
  <c r="O150" i="57"/>
  <c r="O147" i="57"/>
  <c r="O155" i="57"/>
  <c r="O151" i="57"/>
  <c r="O145" i="57"/>
  <c r="O153" i="57"/>
  <c r="O148" i="57"/>
  <c r="O143" i="57"/>
  <c r="O146" i="57"/>
  <c r="O142" i="57"/>
  <c r="O154" i="57"/>
  <c r="O149" i="57"/>
  <c r="O141" i="57"/>
  <c r="O144" i="57"/>
  <c r="O152" i="57"/>
  <c r="O238" i="75"/>
  <c r="O239" i="75"/>
  <c r="O235" i="75"/>
  <c r="O241" i="75"/>
  <c r="O237" i="75"/>
  <c r="O240" i="75"/>
  <c r="O244" i="75"/>
  <c r="O242" i="75"/>
  <c r="O246" i="75"/>
  <c r="O245" i="75"/>
  <c r="O232" i="75"/>
  <c r="O231" i="75"/>
  <c r="O234" i="75"/>
  <c r="O243" i="75"/>
  <c r="O233" i="75"/>
  <c r="O236" i="75"/>
  <c r="O410" i="45"/>
  <c r="O408" i="45"/>
  <c r="O412" i="45"/>
  <c r="O401" i="45"/>
  <c r="O413" i="45"/>
  <c r="O414" i="45"/>
  <c r="O405" i="45"/>
  <c r="O406" i="45"/>
  <c r="O409" i="45"/>
  <c r="O407" i="45"/>
  <c r="O411" i="45"/>
  <c r="O402" i="45"/>
  <c r="O403" i="45"/>
  <c r="O404" i="45"/>
  <c r="O416" i="45"/>
  <c r="O415" i="45"/>
  <c r="O117" i="61"/>
  <c r="O114" i="61"/>
  <c r="O122" i="61"/>
  <c r="O118" i="61"/>
  <c r="O119" i="61"/>
  <c r="O125" i="61"/>
  <c r="O123" i="61"/>
  <c r="O112" i="61"/>
  <c r="O113" i="61"/>
  <c r="O116" i="61"/>
  <c r="O111" i="61"/>
  <c r="O115" i="61"/>
  <c r="O110" i="61"/>
  <c r="O120" i="61"/>
  <c r="O121" i="61"/>
  <c r="O124" i="61"/>
  <c r="M437" i="19"/>
  <c r="N509" i="53"/>
  <c r="N489" i="53"/>
  <c r="N498" i="53"/>
  <c r="N478" i="53"/>
  <c r="N192" i="45"/>
  <c r="N172" i="45"/>
  <c r="N188" i="45"/>
  <c r="N168" i="45"/>
  <c r="N168" i="37"/>
  <c r="N148" i="37"/>
  <c r="N153" i="37"/>
  <c r="N173" i="37"/>
  <c r="N669" i="69"/>
  <c r="N649" i="69"/>
  <c r="N674" i="69"/>
  <c r="N654" i="69"/>
  <c r="N441" i="19"/>
  <c r="N421" i="19"/>
  <c r="N417" i="19"/>
  <c r="N564" i="19" s="1"/>
  <c r="N454" i="19"/>
  <c r="N434" i="19"/>
  <c r="M457" i="49"/>
  <c r="M570" i="49" s="1"/>
  <c r="N461" i="41"/>
  <c r="N441" i="41"/>
  <c r="N455" i="41"/>
  <c r="N435" i="41"/>
  <c r="N431" i="41"/>
  <c r="N578" i="41" s="1"/>
  <c r="N434" i="37"/>
  <c r="N414" i="37"/>
  <c r="N433" i="37"/>
  <c r="N413" i="37"/>
  <c r="N919" i="61"/>
  <c r="N899" i="61"/>
  <c r="N921" i="61"/>
  <c r="N901" i="61"/>
  <c r="N181" i="57"/>
  <c r="N161" i="57"/>
  <c r="N190" i="57"/>
  <c r="N170" i="57"/>
  <c r="N153" i="77"/>
  <c r="N133" i="77"/>
  <c r="N159" i="77"/>
  <c r="N139" i="77"/>
  <c r="N730" i="19"/>
  <c r="N710" i="19"/>
  <c r="N726" i="19"/>
  <c r="N706" i="19"/>
  <c r="M913" i="61"/>
  <c r="M190" i="53"/>
  <c r="N224" i="18"/>
  <c r="N204" i="18"/>
  <c r="N103" i="27"/>
  <c r="N103" i="78" s="1"/>
  <c r="N103" i="79" s="1"/>
  <c r="N233" i="18"/>
  <c r="N213" i="18"/>
  <c r="N112" i="27"/>
  <c r="N112" i="78" s="1"/>
  <c r="N112" i="79" s="1"/>
  <c r="N401" i="69"/>
  <c r="N381" i="69"/>
  <c r="N415" i="69"/>
  <c r="N395" i="69"/>
  <c r="M182" i="41"/>
  <c r="M294" i="41" s="1"/>
  <c r="M182" i="19"/>
  <c r="M294" i="19" s="1"/>
  <c r="N181" i="41"/>
  <c r="N161" i="41"/>
  <c r="N173" i="41"/>
  <c r="N153" i="41"/>
  <c r="N181" i="19"/>
  <c r="N161" i="19"/>
  <c r="N173" i="19"/>
  <c r="N153" i="19"/>
  <c r="N455" i="57"/>
  <c r="N475" i="57"/>
  <c r="N474" i="57"/>
  <c r="N454" i="57"/>
  <c r="N422" i="61"/>
  <c r="N402" i="61"/>
  <c r="N408" i="61"/>
  <c r="N388" i="61"/>
  <c r="N672" i="61"/>
  <c r="N652" i="61"/>
  <c r="N674" i="61"/>
  <c r="N654" i="61"/>
  <c r="M416" i="69"/>
  <c r="M529" i="69" s="1"/>
  <c r="M183" i="45"/>
  <c r="N447" i="49"/>
  <c r="N427" i="49"/>
  <c r="N456" i="49"/>
  <c r="N436" i="49"/>
  <c r="N174" i="49"/>
  <c r="N154" i="49"/>
  <c r="N176" i="49"/>
  <c r="N156" i="49"/>
  <c r="N229" i="29"/>
  <c r="N209" i="29"/>
  <c r="N215" i="29"/>
  <c r="N195" i="29"/>
  <c r="N191" i="29"/>
  <c r="N338" i="29" s="1"/>
  <c r="N151" i="61"/>
  <c r="N131" i="61"/>
  <c r="N159" i="61"/>
  <c r="N139" i="61"/>
  <c r="N204" i="53"/>
  <c r="N184" i="53"/>
  <c r="N206" i="53"/>
  <c r="N186" i="53"/>
  <c r="N154" i="69"/>
  <c r="N134" i="69"/>
  <c r="N146" i="69"/>
  <c r="N126" i="69"/>
  <c r="N442" i="45"/>
  <c r="N422" i="45"/>
  <c r="N452" i="45"/>
  <c r="N432" i="45"/>
  <c r="N277" i="75"/>
  <c r="N257" i="75"/>
  <c r="N272" i="75"/>
  <c r="N252" i="75"/>
  <c r="N151" i="33"/>
  <c r="N131" i="33"/>
  <c r="N146" i="33"/>
  <c r="N126" i="33"/>
  <c r="O108" i="77"/>
  <c r="O107" i="77"/>
  <c r="O111" i="77"/>
  <c r="O114" i="77"/>
  <c r="O118" i="77"/>
  <c r="O112" i="77"/>
  <c r="O106" i="77"/>
  <c r="O105" i="77"/>
  <c r="O110" i="77"/>
  <c r="O109" i="77"/>
  <c r="O117" i="77"/>
  <c r="O115" i="77"/>
  <c r="O113" i="77"/>
  <c r="O119" i="77"/>
  <c r="O116" i="77"/>
  <c r="O120" i="77"/>
  <c r="O368" i="61"/>
  <c r="O370" i="61"/>
  <c r="O373" i="61"/>
  <c r="O374" i="61"/>
  <c r="O377" i="61"/>
  <c r="O380" i="61"/>
  <c r="O376" i="61"/>
  <c r="O378" i="61"/>
  <c r="O381" i="61"/>
  <c r="O367" i="61"/>
  <c r="O375" i="61"/>
  <c r="O369" i="61"/>
  <c r="O372" i="61"/>
  <c r="O371" i="61"/>
  <c r="O379" i="61"/>
  <c r="O382" i="61"/>
  <c r="O373" i="69"/>
  <c r="O361" i="69"/>
  <c r="O367" i="69"/>
  <c r="O362" i="69"/>
  <c r="O368" i="69"/>
  <c r="O374" i="69"/>
  <c r="O363" i="69"/>
  <c r="O366" i="69"/>
  <c r="O372" i="69"/>
  <c r="O364" i="69"/>
  <c r="O369" i="69"/>
  <c r="O375" i="69"/>
  <c r="O370" i="69"/>
  <c r="O365" i="69"/>
  <c r="O371" i="69"/>
  <c r="O360" i="69"/>
  <c r="O115" i="69"/>
  <c r="O116" i="69"/>
  <c r="O111" i="69"/>
  <c r="O105" i="69"/>
  <c r="O113" i="69"/>
  <c r="O106" i="69"/>
  <c r="O118" i="69"/>
  <c r="O112" i="69"/>
  <c r="O109" i="69"/>
  <c r="O117" i="69"/>
  <c r="O119" i="69"/>
  <c r="O107" i="69"/>
  <c r="O120" i="69"/>
  <c r="O108" i="69"/>
  <c r="O114" i="69"/>
  <c r="O110" i="69"/>
  <c r="O464" i="53"/>
  <c r="O467" i="53"/>
  <c r="O470" i="53"/>
  <c r="O458" i="53"/>
  <c r="O457" i="53"/>
  <c r="O460" i="53"/>
  <c r="O463" i="53"/>
  <c r="O469" i="53"/>
  <c r="O472" i="53"/>
  <c r="O466" i="53"/>
  <c r="O459" i="53"/>
  <c r="O462" i="53"/>
  <c r="O465" i="53"/>
  <c r="O468" i="53"/>
  <c r="O471" i="53"/>
  <c r="O461" i="53"/>
  <c r="M457" i="19"/>
  <c r="M570" i="19" s="1"/>
  <c r="N506" i="53"/>
  <c r="N486" i="53"/>
  <c r="N512" i="53"/>
  <c r="N492" i="53"/>
  <c r="N189" i="45"/>
  <c r="N169" i="45"/>
  <c r="N198" i="45"/>
  <c r="N178" i="45"/>
  <c r="M658" i="61"/>
  <c r="N169" i="37"/>
  <c r="N149" i="37"/>
  <c r="N180" i="37"/>
  <c r="N160" i="37"/>
  <c r="N670" i="69"/>
  <c r="N650" i="69"/>
  <c r="N673" i="69"/>
  <c r="N653" i="69"/>
  <c r="N449" i="19"/>
  <c r="N429" i="19"/>
  <c r="N451" i="19"/>
  <c r="N431" i="19"/>
  <c r="N463" i="41"/>
  <c r="N443" i="41"/>
  <c r="N457" i="41"/>
  <c r="N437" i="41"/>
  <c r="N431" i="37"/>
  <c r="N411" i="37"/>
  <c r="N430" i="37"/>
  <c r="N410" i="37"/>
  <c r="N929" i="61"/>
  <c r="N909" i="61"/>
  <c r="N923" i="61"/>
  <c r="N903" i="61"/>
  <c r="N173" i="57"/>
  <c r="N193" i="57"/>
  <c r="N182" i="57"/>
  <c r="N162" i="57"/>
  <c r="N127" i="77"/>
  <c r="N147" i="77"/>
  <c r="N154" i="77"/>
  <c r="N134" i="77"/>
  <c r="N719" i="19"/>
  <c r="N699" i="19"/>
  <c r="N720" i="19"/>
  <c r="N700" i="19"/>
  <c r="M933" i="61"/>
  <c r="M1046" i="61" s="1"/>
  <c r="M210" i="53"/>
  <c r="M323" i="53" s="1"/>
  <c r="N236" i="18"/>
  <c r="N216" i="18"/>
  <c r="N115" i="27"/>
  <c r="N115" i="78" s="1"/>
  <c r="N115" i="79" s="1"/>
  <c r="N235" i="18"/>
  <c r="N215" i="18"/>
  <c r="N114" i="27"/>
  <c r="N114" i="78" s="1"/>
  <c r="N114" i="79" s="1"/>
  <c r="N409" i="69"/>
  <c r="N389" i="69"/>
  <c r="N406" i="69"/>
  <c r="N386" i="69"/>
  <c r="M457" i="45"/>
  <c r="M569" i="45" s="1"/>
  <c r="N175" i="41"/>
  <c r="N155" i="41"/>
  <c r="N167" i="41"/>
  <c r="N147" i="41"/>
  <c r="N178" i="19"/>
  <c r="N158" i="19"/>
  <c r="N170" i="19"/>
  <c r="N150" i="19"/>
  <c r="N472" i="57"/>
  <c r="N452" i="57"/>
  <c r="N451" i="57"/>
  <c r="N471" i="57"/>
  <c r="N416" i="61"/>
  <c r="N396" i="61"/>
  <c r="N407" i="61"/>
  <c r="N387" i="61"/>
  <c r="N383" i="61"/>
  <c r="N530" i="61" s="1"/>
  <c r="N669" i="61"/>
  <c r="N649" i="61"/>
  <c r="N671" i="61"/>
  <c r="N651" i="61"/>
  <c r="M203" i="45"/>
  <c r="M316" i="45" s="1"/>
  <c r="N446" i="49"/>
  <c r="N426" i="49"/>
  <c r="N444" i="49"/>
  <c r="N424" i="49"/>
  <c r="N181" i="49"/>
  <c r="N161" i="49"/>
  <c r="N173" i="49"/>
  <c r="N153" i="49"/>
  <c r="N222" i="29"/>
  <c r="N202" i="29"/>
  <c r="N205" i="29"/>
  <c r="N225" i="29"/>
  <c r="N161" i="61"/>
  <c r="N141" i="61"/>
  <c r="N156" i="61"/>
  <c r="N136" i="61"/>
  <c r="N209" i="53"/>
  <c r="N189" i="53"/>
  <c r="N207" i="53"/>
  <c r="N187" i="53"/>
  <c r="N152" i="69"/>
  <c r="N132" i="69"/>
  <c r="N133" i="69"/>
  <c r="N153" i="69"/>
  <c r="N444" i="45"/>
  <c r="N424" i="45"/>
  <c r="N433" i="45"/>
  <c r="N453" i="45"/>
  <c r="N280" i="75"/>
  <c r="N260" i="75"/>
  <c r="N276" i="75"/>
  <c r="N256" i="75"/>
  <c r="N148" i="33"/>
  <c r="N128" i="33"/>
  <c r="N159" i="33"/>
  <c r="N139" i="33"/>
  <c r="O633" i="61"/>
  <c r="O626" i="61"/>
  <c r="O629" i="61"/>
  <c r="O632" i="61"/>
  <c r="O627" i="61"/>
  <c r="O630" i="61"/>
  <c r="O623" i="61"/>
  <c r="O634" i="61"/>
  <c r="O637" i="61"/>
  <c r="O635" i="61"/>
  <c r="O628" i="61"/>
  <c r="O631" i="61"/>
  <c r="O625" i="61"/>
  <c r="O624" i="61"/>
  <c r="O622" i="61"/>
  <c r="O636" i="61"/>
  <c r="O388" i="37"/>
  <c r="O391" i="37"/>
  <c r="O394" i="37"/>
  <c r="O382" i="37"/>
  <c r="O385" i="37"/>
  <c r="O381" i="37"/>
  <c r="O384" i="37"/>
  <c r="O387" i="37"/>
  <c r="O390" i="37"/>
  <c r="O393" i="37"/>
  <c r="O380" i="37"/>
  <c r="O383" i="37"/>
  <c r="O386" i="37"/>
  <c r="O389" i="37"/>
  <c r="O392" i="37"/>
  <c r="O395" i="37"/>
  <c r="N196" i="45"/>
  <c r="N176" i="45"/>
  <c r="N200" i="45"/>
  <c r="N180" i="45"/>
  <c r="M403" i="61"/>
  <c r="N166" i="37"/>
  <c r="N146" i="37"/>
  <c r="N142" i="37"/>
  <c r="N289" i="37" s="1"/>
  <c r="N174" i="37"/>
  <c r="N154" i="37"/>
  <c r="N683" i="69"/>
  <c r="N663" i="69"/>
  <c r="N681" i="69"/>
  <c r="N661" i="69"/>
  <c r="N445" i="19"/>
  <c r="N425" i="19"/>
  <c r="N448" i="19"/>
  <c r="N428" i="19"/>
  <c r="M231" i="29"/>
  <c r="M344" i="29" s="1"/>
  <c r="N458" i="41"/>
  <c r="N438" i="41"/>
  <c r="N466" i="41"/>
  <c r="N446" i="41"/>
  <c r="N435" i="37"/>
  <c r="N415" i="37"/>
  <c r="N427" i="37"/>
  <c r="N407" i="37"/>
  <c r="N931" i="61"/>
  <c r="N911" i="61"/>
  <c r="N924" i="61"/>
  <c r="N904" i="61"/>
  <c r="N187" i="57"/>
  <c r="N167" i="57"/>
  <c r="N192" i="57"/>
  <c r="N172" i="57"/>
  <c r="N146" i="77"/>
  <c r="N126" i="77"/>
  <c r="N132" i="77"/>
  <c r="N152" i="77"/>
  <c r="N723" i="19"/>
  <c r="N703" i="19"/>
  <c r="N727" i="19"/>
  <c r="N707" i="19"/>
  <c r="N237" i="18"/>
  <c r="N217" i="18"/>
  <c r="N116" i="27"/>
  <c r="N116" i="78" s="1"/>
  <c r="N116" i="79" s="1"/>
  <c r="N232" i="18"/>
  <c r="N212" i="18"/>
  <c r="N111" i="27"/>
  <c r="N111" i="78" s="1"/>
  <c r="N111" i="79" s="1"/>
  <c r="M218" i="18"/>
  <c r="N400" i="69"/>
  <c r="N376" i="69"/>
  <c r="N523" i="69" s="1"/>
  <c r="N380" i="69"/>
  <c r="N403" i="69"/>
  <c r="N383" i="69"/>
  <c r="M437" i="45"/>
  <c r="N180" i="41"/>
  <c r="N160" i="41"/>
  <c r="N172" i="41"/>
  <c r="N152" i="41"/>
  <c r="N167" i="19"/>
  <c r="N147" i="19"/>
  <c r="N175" i="19"/>
  <c r="N155" i="19"/>
  <c r="N477" i="57"/>
  <c r="N457" i="57"/>
  <c r="N469" i="57"/>
  <c r="N449" i="57"/>
  <c r="N421" i="61"/>
  <c r="N401" i="61"/>
  <c r="N413" i="61"/>
  <c r="N393" i="61"/>
  <c r="N657" i="61"/>
  <c r="N677" i="61"/>
  <c r="N676" i="61"/>
  <c r="N656" i="61"/>
  <c r="M396" i="69"/>
  <c r="M458" i="57"/>
  <c r="N455" i="49"/>
  <c r="N435" i="49"/>
  <c r="N454" i="49"/>
  <c r="N434" i="49"/>
  <c r="N178" i="49"/>
  <c r="N158" i="49"/>
  <c r="N170" i="49"/>
  <c r="N150" i="49"/>
  <c r="N223" i="29"/>
  <c r="N203" i="29"/>
  <c r="N219" i="29"/>
  <c r="N199" i="29"/>
  <c r="N157" i="61"/>
  <c r="N137" i="61"/>
  <c r="N155" i="61"/>
  <c r="N135" i="61"/>
  <c r="N197" i="53"/>
  <c r="N177" i="53"/>
  <c r="N195" i="53"/>
  <c r="N175" i="53"/>
  <c r="N149" i="69"/>
  <c r="N129" i="69"/>
  <c r="N148" i="69"/>
  <c r="N128" i="69"/>
  <c r="N456" i="45"/>
  <c r="N436" i="45"/>
  <c r="N449" i="45"/>
  <c r="N429" i="45"/>
  <c r="N284" i="75"/>
  <c r="N264" i="75"/>
  <c r="N274" i="75"/>
  <c r="N254" i="75"/>
  <c r="N145" i="33"/>
  <c r="N125" i="33"/>
  <c r="N121" i="33"/>
  <c r="N268" i="33" s="1"/>
  <c r="N156" i="33"/>
  <c r="N136" i="33"/>
  <c r="N503" i="53"/>
  <c r="N483" i="53"/>
  <c r="O426" i="57"/>
  <c r="O429" i="57"/>
  <c r="O432" i="57"/>
  <c r="O435" i="57"/>
  <c r="O423" i="57"/>
  <c r="O422" i="57"/>
  <c r="O425" i="57"/>
  <c r="O434" i="57"/>
  <c r="O437" i="57"/>
  <c r="O428" i="57"/>
  <c r="O431" i="57"/>
  <c r="O424" i="57"/>
  <c r="O427" i="57"/>
  <c r="O430" i="57"/>
  <c r="O433" i="57"/>
  <c r="O436" i="57"/>
  <c r="O680" i="19"/>
  <c r="O676" i="19"/>
  <c r="O687" i="19"/>
  <c r="O678" i="19"/>
  <c r="O689" i="19"/>
  <c r="O682" i="19"/>
  <c r="O688" i="19"/>
  <c r="O684" i="19"/>
  <c r="O677" i="19"/>
  <c r="O683" i="19"/>
  <c r="O686" i="19"/>
  <c r="O690" i="19"/>
  <c r="O679" i="19"/>
  <c r="O681" i="19"/>
  <c r="O685" i="19"/>
  <c r="O691" i="19"/>
  <c r="O154" i="53"/>
  <c r="O166" i="53"/>
  <c r="O161" i="53"/>
  <c r="O167" i="53"/>
  <c r="O168" i="53"/>
  <c r="O156" i="53"/>
  <c r="O162" i="53"/>
  <c r="O155" i="53"/>
  <c r="O157" i="53"/>
  <c r="O169" i="53"/>
  <c r="O164" i="53"/>
  <c r="O163" i="53"/>
  <c r="O158" i="53"/>
  <c r="O159" i="53"/>
  <c r="O165" i="53"/>
  <c r="O160" i="53"/>
  <c r="M182" i="37"/>
  <c r="M295" i="37" s="1"/>
  <c r="N500" i="53"/>
  <c r="N480" i="53"/>
  <c r="N508" i="53"/>
  <c r="N488" i="53"/>
  <c r="N193" i="45"/>
  <c r="N173" i="45"/>
  <c r="N197" i="45"/>
  <c r="N177" i="45"/>
  <c r="M423" i="61"/>
  <c r="M535" i="61" s="1"/>
  <c r="N177" i="37"/>
  <c r="N157" i="37"/>
  <c r="N171" i="37"/>
  <c r="N151" i="37"/>
  <c r="N678" i="69"/>
  <c r="N658" i="69"/>
  <c r="N675" i="69"/>
  <c r="N655" i="69"/>
  <c r="N456" i="19"/>
  <c r="N436" i="19"/>
  <c r="N450" i="19"/>
  <c r="N430" i="19"/>
  <c r="N470" i="41"/>
  <c r="N450" i="41"/>
  <c r="N459" i="41"/>
  <c r="N439" i="41"/>
  <c r="N432" i="37"/>
  <c r="N412" i="37"/>
  <c r="N424" i="37"/>
  <c r="N404" i="37"/>
  <c r="N932" i="61"/>
  <c r="N912" i="61"/>
  <c r="N927" i="61"/>
  <c r="N907" i="61"/>
  <c r="N165" i="57"/>
  <c r="N185" i="57"/>
  <c r="N183" i="57"/>
  <c r="N163" i="57"/>
  <c r="N158" i="77"/>
  <c r="N138" i="77"/>
  <c r="N145" i="77"/>
  <c r="N125" i="77"/>
  <c r="N121" i="77"/>
  <c r="N268" i="77" s="1"/>
  <c r="N728" i="19"/>
  <c r="N708" i="19"/>
  <c r="N716" i="19"/>
  <c r="N696" i="19"/>
  <c r="N692" i="19"/>
  <c r="N839" i="19" s="1"/>
  <c r="N214" i="18"/>
  <c r="N234" i="18"/>
  <c r="N113" i="27"/>
  <c r="N113" i="78" s="1"/>
  <c r="N206" i="18"/>
  <c r="N105" i="27"/>
  <c r="N105" i="78" s="1"/>
  <c r="N105" i="79" s="1"/>
  <c r="N226" i="18"/>
  <c r="M238" i="18"/>
  <c r="N411" i="69"/>
  <c r="N391" i="69"/>
  <c r="N402" i="69"/>
  <c r="N382" i="69"/>
  <c r="N177" i="41"/>
  <c r="N157" i="41"/>
  <c r="N169" i="41"/>
  <c r="N149" i="41"/>
  <c r="N180" i="19"/>
  <c r="N160" i="19"/>
  <c r="N172" i="19"/>
  <c r="N152" i="19"/>
  <c r="N468" i="57"/>
  <c r="N448" i="57"/>
  <c r="N476" i="57"/>
  <c r="N456" i="57"/>
  <c r="N419" i="61"/>
  <c r="N399" i="61"/>
  <c r="N411" i="61"/>
  <c r="N391" i="61"/>
  <c r="N646" i="61"/>
  <c r="N666" i="61"/>
  <c r="N665" i="61"/>
  <c r="N645" i="61"/>
  <c r="M267" i="75"/>
  <c r="M712" i="19"/>
  <c r="N453" i="49"/>
  <c r="N433" i="49"/>
  <c r="N422" i="49"/>
  <c r="N442" i="49"/>
  <c r="N179" i="49"/>
  <c r="N159" i="49"/>
  <c r="N167" i="49"/>
  <c r="N147" i="49"/>
  <c r="N227" i="29"/>
  <c r="N207" i="29"/>
  <c r="N230" i="29"/>
  <c r="N210" i="29"/>
  <c r="N164" i="61"/>
  <c r="N144" i="61"/>
  <c r="N165" i="61"/>
  <c r="N145" i="61"/>
  <c r="M141" i="77"/>
  <c r="N203" i="53"/>
  <c r="N183" i="53"/>
  <c r="N180" i="53"/>
  <c r="N200" i="53"/>
  <c r="N159" i="69"/>
  <c r="N139" i="69"/>
  <c r="N151" i="69"/>
  <c r="N131" i="69"/>
  <c r="N455" i="45"/>
  <c r="N435" i="45"/>
  <c r="N451" i="45"/>
  <c r="N431" i="45"/>
  <c r="N283" i="75"/>
  <c r="N263" i="75"/>
  <c r="N273" i="75"/>
  <c r="N253" i="75"/>
  <c r="N154" i="33"/>
  <c r="N134" i="33"/>
  <c r="N153" i="33"/>
  <c r="N133" i="33"/>
  <c r="O401" i="19"/>
  <c r="O404" i="19"/>
  <c r="O407" i="19"/>
  <c r="O405" i="19"/>
  <c r="O408" i="19"/>
  <c r="O403" i="19"/>
  <c r="O409" i="19"/>
  <c r="O412" i="19"/>
  <c r="O415" i="19"/>
  <c r="O413" i="19"/>
  <c r="O416" i="19"/>
  <c r="O411" i="19"/>
  <c r="O410" i="19"/>
  <c r="O402" i="19"/>
  <c r="O406" i="19"/>
  <c r="O414" i="19"/>
  <c r="O889" i="61"/>
  <c r="O888" i="61"/>
  <c r="O886" i="61"/>
  <c r="O890" i="61"/>
  <c r="O885" i="61"/>
  <c r="O883" i="61"/>
  <c r="O887" i="61"/>
  <c r="O884" i="61"/>
  <c r="O891" i="61"/>
  <c r="O881" i="61"/>
  <c r="O880" i="61"/>
  <c r="O878" i="61"/>
  <c r="O882" i="61"/>
  <c r="O892" i="61"/>
  <c r="O877" i="61"/>
  <c r="O879" i="61"/>
  <c r="O639" i="69"/>
  <c r="O631" i="69"/>
  <c r="O632" i="69"/>
  <c r="O638" i="69"/>
  <c r="O633" i="69"/>
  <c r="O630" i="69"/>
  <c r="O628" i="69"/>
  <c r="O634" i="69"/>
  <c r="O640" i="69"/>
  <c r="O636" i="69"/>
  <c r="O642" i="69"/>
  <c r="O635" i="69"/>
  <c r="O629" i="69"/>
  <c r="O641" i="69"/>
  <c r="O637" i="69"/>
  <c r="O643" i="69"/>
  <c r="O106" i="33"/>
  <c r="O109" i="33"/>
  <c r="O112" i="33"/>
  <c r="O115" i="33"/>
  <c r="O118" i="33"/>
  <c r="O111" i="33"/>
  <c r="O105" i="33"/>
  <c r="O108" i="33"/>
  <c r="O114" i="33"/>
  <c r="O117" i="33"/>
  <c r="O120" i="33"/>
  <c r="O119" i="33"/>
  <c r="O107" i="33"/>
  <c r="O110" i="33"/>
  <c r="O113" i="33"/>
  <c r="O116" i="33"/>
  <c r="O190" i="18"/>
  <c r="O193" i="18"/>
  <c r="O196" i="18"/>
  <c r="O184" i="18"/>
  <c r="O182" i="18"/>
  <c r="O187" i="18"/>
  <c r="O194" i="18"/>
  <c r="O183" i="18"/>
  <c r="O189" i="18"/>
  <c r="O192" i="18"/>
  <c r="O195" i="18"/>
  <c r="O186" i="18"/>
  <c r="O185" i="18"/>
  <c r="O188" i="18"/>
  <c r="O191" i="18"/>
  <c r="O197" i="18"/>
  <c r="O417" i="41"/>
  <c r="O429" i="41"/>
  <c r="O427" i="41"/>
  <c r="O420" i="41"/>
  <c r="O418" i="41"/>
  <c r="O419" i="41"/>
  <c r="O426" i="41"/>
  <c r="O422" i="41"/>
  <c r="O415" i="41"/>
  <c r="O424" i="41"/>
  <c r="O423" i="41"/>
  <c r="O428" i="41"/>
  <c r="O421" i="41"/>
  <c r="O430" i="41"/>
  <c r="O416" i="41"/>
  <c r="O425" i="41"/>
  <c r="N511" i="53"/>
  <c r="N491" i="53"/>
  <c r="O136" i="37"/>
  <c r="O139" i="37"/>
  <c r="O127" i="37"/>
  <c r="O137" i="37"/>
  <c r="O138" i="37"/>
  <c r="O126" i="37"/>
  <c r="O130" i="37"/>
  <c r="O132" i="37"/>
  <c r="O134" i="37"/>
  <c r="O135" i="37"/>
  <c r="O129" i="37"/>
  <c r="O128" i="37"/>
  <c r="O131" i="37"/>
  <c r="O133" i="37"/>
  <c r="O140" i="37"/>
  <c r="O141" i="37"/>
  <c r="O135" i="49"/>
  <c r="O138" i="49"/>
  <c r="O141" i="49"/>
  <c r="O131" i="49"/>
  <c r="O134" i="49"/>
  <c r="O137" i="49"/>
  <c r="O140" i="49"/>
  <c r="O128" i="49"/>
  <c r="O139" i="49"/>
  <c r="O127" i="49"/>
  <c r="O130" i="49"/>
  <c r="O133" i="49"/>
  <c r="O126" i="49"/>
  <c r="O129" i="49"/>
  <c r="O132" i="49"/>
  <c r="O136" i="49"/>
  <c r="N473" i="53"/>
  <c r="N620" i="53" s="1"/>
  <c r="N477" i="53"/>
  <c r="N497" i="53"/>
  <c r="N485" i="53"/>
  <c r="N505" i="53"/>
  <c r="N194" i="45"/>
  <c r="N174" i="45"/>
  <c r="N201" i="45"/>
  <c r="N181" i="45"/>
  <c r="M162" i="49"/>
  <c r="N170" i="37"/>
  <c r="N150" i="37"/>
  <c r="N172" i="37"/>
  <c r="N152" i="37"/>
  <c r="N677" i="69"/>
  <c r="N657" i="69"/>
  <c r="N668" i="69"/>
  <c r="N648" i="69"/>
  <c r="N644" i="69"/>
  <c r="N791" i="69" s="1"/>
  <c r="N455" i="19"/>
  <c r="N435" i="19"/>
  <c r="N447" i="19"/>
  <c r="N427" i="19"/>
  <c r="M211" i="29"/>
  <c r="N467" i="41"/>
  <c r="N447" i="41"/>
  <c r="N460" i="41"/>
  <c r="N440" i="41"/>
  <c r="N421" i="37"/>
  <c r="N401" i="37"/>
  <c r="N420" i="37"/>
  <c r="N400" i="37"/>
  <c r="N396" i="37"/>
  <c r="N543" i="37" s="1"/>
  <c r="N917" i="61"/>
  <c r="N897" i="61"/>
  <c r="N893" i="61"/>
  <c r="N1040" i="61" s="1"/>
  <c r="N922" i="61"/>
  <c r="N902" i="61"/>
  <c r="N186" i="57"/>
  <c r="N166" i="57"/>
  <c r="N191" i="57"/>
  <c r="N171" i="57"/>
  <c r="N155" i="77"/>
  <c r="N135" i="77"/>
  <c r="N160" i="77"/>
  <c r="N140" i="77"/>
  <c r="N731" i="19"/>
  <c r="N711" i="19"/>
  <c r="N717" i="19"/>
  <c r="N697" i="19"/>
  <c r="N223" i="18"/>
  <c r="N203" i="18"/>
  <c r="N102" i="27"/>
  <c r="N102" i="78" s="1"/>
  <c r="N102" i="79" s="1"/>
  <c r="N101" i="27"/>
  <c r="N222" i="18"/>
  <c r="N198" i="18"/>
  <c r="N345" i="18" s="1"/>
  <c r="N202" i="18"/>
  <c r="M664" i="69"/>
  <c r="M176" i="57"/>
  <c r="N405" i="69"/>
  <c r="N385" i="69"/>
  <c r="N414" i="69"/>
  <c r="N394" i="69"/>
  <c r="N174" i="41"/>
  <c r="N154" i="41"/>
  <c r="N166" i="41"/>
  <c r="N146" i="41"/>
  <c r="N142" i="41"/>
  <c r="N289" i="41" s="1"/>
  <c r="N177" i="19"/>
  <c r="N157" i="19"/>
  <c r="N169" i="19"/>
  <c r="N149" i="19"/>
  <c r="N465" i="57"/>
  <c r="N445" i="57"/>
  <c r="N473" i="57"/>
  <c r="N453" i="57"/>
  <c r="N417" i="61"/>
  <c r="N397" i="61"/>
  <c r="N410" i="61"/>
  <c r="N390" i="61"/>
  <c r="N663" i="61"/>
  <c r="N643" i="61"/>
  <c r="N662" i="61"/>
  <c r="N642" i="61"/>
  <c r="N638" i="61"/>
  <c r="N785" i="61" s="1"/>
  <c r="M287" i="75"/>
  <c r="M400" i="75" s="1"/>
  <c r="M141" i="69"/>
  <c r="M732" i="19"/>
  <c r="M844" i="19" s="1"/>
  <c r="M478" i="57"/>
  <c r="M590" i="57" s="1"/>
  <c r="N452" i="49"/>
  <c r="N432" i="49"/>
  <c r="N425" i="49"/>
  <c r="N445" i="49"/>
  <c r="N171" i="49"/>
  <c r="N151" i="49"/>
  <c r="N175" i="49"/>
  <c r="N155" i="49"/>
  <c r="N228" i="29"/>
  <c r="N208" i="29"/>
  <c r="N196" i="29"/>
  <c r="N216" i="29"/>
  <c r="N154" i="61"/>
  <c r="N134" i="61"/>
  <c r="N143" i="61"/>
  <c r="N163" i="61"/>
  <c r="M161" i="77"/>
  <c r="M273" i="77" s="1"/>
  <c r="N208" i="53"/>
  <c r="N188" i="53"/>
  <c r="N194" i="53"/>
  <c r="N174" i="53"/>
  <c r="N170" i="53"/>
  <c r="N317" i="53" s="1"/>
  <c r="N156" i="69"/>
  <c r="N136" i="69"/>
  <c r="N125" i="69"/>
  <c r="N145" i="69"/>
  <c r="N121" i="69"/>
  <c r="N268" i="69" s="1"/>
  <c r="N447" i="45"/>
  <c r="N427" i="45"/>
  <c r="N441" i="45"/>
  <c r="N421" i="45"/>
  <c r="N417" i="45"/>
  <c r="N564" i="45" s="1"/>
  <c r="N275" i="75"/>
  <c r="N255" i="75"/>
  <c r="N278" i="75"/>
  <c r="N258" i="75"/>
  <c r="N158" i="33"/>
  <c r="N138" i="33"/>
  <c r="N150" i="33"/>
  <c r="N130" i="33"/>
  <c r="N501" i="53"/>
  <c r="N481" i="53"/>
  <c r="N502" i="53"/>
  <c r="N482" i="53"/>
  <c r="N191" i="45"/>
  <c r="N171" i="45"/>
  <c r="N190" i="45"/>
  <c r="N170" i="45"/>
  <c r="M182" i="49"/>
  <c r="M294" i="49" s="1"/>
  <c r="N167" i="37"/>
  <c r="N147" i="37"/>
  <c r="N178" i="37"/>
  <c r="N158" i="37"/>
  <c r="N651" i="69"/>
  <c r="N671" i="69"/>
  <c r="N682" i="69"/>
  <c r="N662" i="69"/>
  <c r="N452" i="19"/>
  <c r="N432" i="19"/>
  <c r="N444" i="19"/>
  <c r="N424" i="19"/>
  <c r="N465" i="41"/>
  <c r="N445" i="41"/>
  <c r="N468" i="41"/>
  <c r="N448" i="41"/>
  <c r="N428" i="37"/>
  <c r="N408" i="37"/>
  <c r="N429" i="37"/>
  <c r="N409" i="37"/>
  <c r="N930" i="61"/>
  <c r="N910" i="61"/>
  <c r="N918" i="61"/>
  <c r="N898" i="61"/>
  <c r="N169" i="57"/>
  <c r="N189" i="57"/>
  <c r="N188" i="57"/>
  <c r="N168" i="57"/>
  <c r="N148" i="77"/>
  <c r="N128" i="77"/>
  <c r="N137" i="77"/>
  <c r="N157" i="77"/>
  <c r="N725" i="19"/>
  <c r="N705" i="19"/>
  <c r="N724" i="19"/>
  <c r="N704" i="19"/>
  <c r="N229" i="18"/>
  <c r="N209" i="18"/>
  <c r="N108" i="27"/>
  <c r="N108" i="78" s="1"/>
  <c r="N108" i="79" s="1"/>
  <c r="N225" i="18"/>
  <c r="N205" i="18"/>
  <c r="N104" i="27"/>
  <c r="N104" i="78" s="1"/>
  <c r="N104" i="79" s="1"/>
  <c r="M141" i="33"/>
  <c r="M684" i="69"/>
  <c r="M797" i="69" s="1"/>
  <c r="M451" i="41"/>
  <c r="M196" i="57"/>
  <c r="M309" i="57" s="1"/>
  <c r="N410" i="69"/>
  <c r="N390" i="69"/>
  <c r="N408" i="69"/>
  <c r="N388" i="69"/>
  <c r="N171" i="41"/>
  <c r="N151" i="41"/>
  <c r="N170" i="41"/>
  <c r="N150" i="41"/>
  <c r="N174" i="19"/>
  <c r="N154" i="19"/>
  <c r="N166" i="19"/>
  <c r="N146" i="19"/>
  <c r="N142" i="19"/>
  <c r="N289" i="19" s="1"/>
  <c r="N462" i="57"/>
  <c r="N438" i="57"/>
  <c r="N585" i="57" s="1"/>
  <c r="N442" i="57"/>
  <c r="N470" i="57"/>
  <c r="N450" i="57"/>
  <c r="N409" i="61"/>
  <c r="N389" i="61"/>
  <c r="N415" i="61"/>
  <c r="N395" i="61"/>
  <c r="N673" i="61"/>
  <c r="N653" i="61"/>
  <c r="N667" i="61"/>
  <c r="N647" i="61"/>
  <c r="M161" i="69"/>
  <c r="M273" i="69" s="1"/>
  <c r="N443" i="49"/>
  <c r="N423" i="49"/>
  <c r="N451" i="49"/>
  <c r="N431" i="49"/>
  <c r="N168" i="49"/>
  <c r="N148" i="49"/>
  <c r="N172" i="49"/>
  <c r="N152" i="49"/>
  <c r="N204" i="29"/>
  <c r="N224" i="29"/>
  <c r="N220" i="29"/>
  <c r="N200" i="29"/>
  <c r="N158" i="61"/>
  <c r="N138" i="61"/>
  <c r="N153" i="61"/>
  <c r="N133" i="61"/>
  <c r="N202" i="53"/>
  <c r="N182" i="53"/>
  <c r="N198" i="53"/>
  <c r="N178" i="53"/>
  <c r="N158" i="69"/>
  <c r="N138" i="69"/>
  <c r="N137" i="69"/>
  <c r="N157" i="69"/>
  <c r="N446" i="45"/>
  <c r="N426" i="45"/>
  <c r="N423" i="45"/>
  <c r="N443" i="45"/>
  <c r="N282" i="75"/>
  <c r="N262" i="75"/>
  <c r="N271" i="75"/>
  <c r="N251" i="75"/>
  <c r="N247" i="75"/>
  <c r="N394" i="75" s="1"/>
  <c r="N155" i="33"/>
  <c r="N135" i="33"/>
  <c r="N147" i="33"/>
  <c r="N127" i="33"/>
  <c r="N244" i="27"/>
  <c r="N247" i="27"/>
  <c r="N243" i="27"/>
  <c r="N246" i="27"/>
  <c r="N245" i="27"/>
  <c r="N242" i="27"/>
  <c r="N241" i="27"/>
  <c r="N186" i="27"/>
  <c r="N186" i="78" s="1"/>
  <c r="N193" i="27"/>
  <c r="N193" i="78" s="1"/>
  <c r="N185" i="27"/>
  <c r="N185" i="78" s="1"/>
  <c r="N190" i="27"/>
  <c r="N190" i="78" s="1"/>
  <c r="N188" i="27"/>
  <c r="N188" i="78" s="1"/>
  <c r="N194" i="27"/>
  <c r="N194" i="78" s="1"/>
  <c r="N192" i="27"/>
  <c r="N192" i="78" s="1"/>
  <c r="N184" i="27"/>
  <c r="N184" i="78" s="1"/>
  <c r="N187" i="27"/>
  <c r="N187" i="78" s="1"/>
  <c r="N196" i="27"/>
  <c r="N196" i="78" s="1"/>
  <c r="N195" i="27"/>
  <c r="N195" i="78" s="1"/>
  <c r="N191" i="27"/>
  <c r="N191" i="78" s="1"/>
  <c r="N189" i="27"/>
  <c r="N189" i="78" s="1"/>
  <c r="N197" i="27"/>
  <c r="N197" i="78" s="1"/>
  <c r="N74" i="79"/>
  <c r="N74" i="78"/>
  <c r="N83" i="78"/>
  <c r="N83" i="79"/>
  <c r="N92" i="78"/>
  <c r="N92" i="79"/>
  <c r="N67" i="79"/>
  <c r="N67" i="78"/>
  <c r="N82" i="79"/>
  <c r="N82" i="78"/>
  <c r="N81" i="79"/>
  <c r="N81" i="78"/>
  <c r="N90" i="78"/>
  <c r="N90" i="79"/>
  <c r="N87" i="79"/>
  <c r="N87" i="78"/>
  <c r="N91" i="78"/>
  <c r="N91" i="79"/>
  <c r="N85" i="78"/>
  <c r="N85" i="79"/>
  <c r="N71" i="79"/>
  <c r="N71" i="78"/>
  <c r="N73" i="78"/>
  <c r="N73" i="79"/>
  <c r="N78" i="79"/>
  <c r="N78" i="78"/>
  <c r="N79" i="79"/>
  <c r="N79" i="78"/>
  <c r="N80" i="79"/>
  <c r="N80" i="78"/>
  <c r="N77" i="78"/>
  <c r="N77" i="79"/>
  <c r="N69" i="78"/>
  <c r="N69" i="79"/>
  <c r="N86" i="79"/>
  <c r="N86" i="78"/>
  <c r="N84" i="79"/>
  <c r="N84" i="78"/>
  <c r="N68" i="79"/>
  <c r="N68" i="78"/>
  <c r="N75" i="78"/>
  <c r="N75" i="79"/>
  <c r="N89" i="79"/>
  <c r="N89" i="78"/>
  <c r="N88" i="78"/>
  <c r="N88" i="79"/>
  <c r="N94" i="27"/>
  <c r="N66" i="78"/>
  <c r="N66" i="79"/>
  <c r="N72" i="79"/>
  <c r="N72" i="78"/>
  <c r="N76" i="79"/>
  <c r="N76" i="78"/>
  <c r="N70" i="78"/>
  <c r="N70" i="79"/>
  <c r="P115" i="41"/>
  <c r="P114" i="41"/>
  <c r="P442" i="53"/>
  <c r="P448" i="53"/>
  <c r="Q404" i="53"/>
  <c r="Q399" i="53"/>
  <c r="Q402" i="53"/>
  <c r="Q400" i="53"/>
  <c r="Q403" i="53"/>
  <c r="Q405" i="53"/>
  <c r="Q401" i="53"/>
  <c r="Q398" i="53"/>
  <c r="Q406" i="53"/>
  <c r="Q415" i="53"/>
  <c r="Q413" i="53"/>
  <c r="Q416" i="53"/>
  <c r="Q419" i="53"/>
  <c r="Q414" i="53"/>
  <c r="Q418" i="53"/>
  <c r="Q417" i="53"/>
  <c r="Q420" i="53"/>
  <c r="Q412" i="53"/>
  <c r="P446" i="53"/>
  <c r="P445" i="53"/>
  <c r="P140" i="53"/>
  <c r="P422" i="53"/>
  <c r="P447" i="53"/>
  <c r="P436" i="53"/>
  <c r="P444" i="53"/>
  <c r="O450" i="53"/>
  <c r="O81" i="27" s="1"/>
  <c r="O601" i="53"/>
  <c r="O612" i="53" s="1"/>
  <c r="O549" i="53"/>
  <c r="O567" i="53" s="1"/>
  <c r="O552" i="53"/>
  <c r="O570" i="53" s="1"/>
  <c r="O597" i="53"/>
  <c r="O599" i="53"/>
  <c r="O610" i="53" s="1"/>
  <c r="O602" i="53"/>
  <c r="O613" i="53" s="1"/>
  <c r="O542" i="53"/>
  <c r="O560" i="53" s="1"/>
  <c r="O540" i="53"/>
  <c r="O603" i="53"/>
  <c r="O614" i="53" s="1"/>
  <c r="O543" i="53"/>
  <c r="O561" i="53" s="1"/>
  <c r="O545" i="53"/>
  <c r="O563" i="53" s="1"/>
  <c r="O541" i="53"/>
  <c r="O559" i="53" s="1"/>
  <c r="O544" i="53"/>
  <c r="O562" i="53" s="1"/>
  <c r="O547" i="53"/>
  <c r="O565" i="53" s="1"/>
  <c r="O550" i="53"/>
  <c r="O568" i="53" s="1"/>
  <c r="O548" i="53"/>
  <c r="O566" i="53" s="1"/>
  <c r="O551" i="53"/>
  <c r="O569" i="53" s="1"/>
  <c r="O546" i="53"/>
  <c r="O564" i="53" s="1"/>
  <c r="O600" i="53"/>
  <c r="O611" i="53" s="1"/>
  <c r="O598" i="53"/>
  <c r="O609" i="53" s="1"/>
  <c r="O553" i="53"/>
  <c r="O571" i="53" s="1"/>
  <c r="P441" i="53"/>
  <c r="Q432" i="53"/>
  <c r="Q427" i="53"/>
  <c r="Q426" i="53"/>
  <c r="Q430" i="53"/>
  <c r="Q431" i="53"/>
  <c r="Q433" i="53"/>
  <c r="Q429" i="53"/>
  <c r="Q434" i="53"/>
  <c r="Q428" i="53"/>
  <c r="P443" i="53"/>
  <c r="P408" i="53"/>
  <c r="P440" i="53"/>
  <c r="P139" i="53"/>
  <c r="P141" i="53"/>
  <c r="Q128" i="53"/>
  <c r="Q129" i="53"/>
  <c r="Q127" i="53"/>
  <c r="Q131" i="53"/>
  <c r="Q130" i="53"/>
  <c r="Q123" i="53"/>
  <c r="Q126" i="53"/>
  <c r="Q125" i="53"/>
  <c r="Q124" i="53"/>
  <c r="Q110" i="53"/>
  <c r="Q115" i="53"/>
  <c r="Q109" i="53"/>
  <c r="Q111" i="53"/>
  <c r="Q116" i="53"/>
  <c r="Q112" i="53"/>
  <c r="Q113" i="53"/>
  <c r="Q114" i="53"/>
  <c r="Q117" i="53"/>
  <c r="P142" i="53"/>
  <c r="Q101" i="53"/>
  <c r="Q96" i="53"/>
  <c r="Q97" i="53"/>
  <c r="Q95" i="53"/>
  <c r="Q103" i="53"/>
  <c r="Q98" i="53"/>
  <c r="Q99" i="53"/>
  <c r="Q100" i="53"/>
  <c r="Q102" i="53"/>
  <c r="P138" i="53"/>
  <c r="P145" i="53"/>
  <c r="P105" i="53"/>
  <c r="P137" i="53"/>
  <c r="P133" i="53"/>
  <c r="P119" i="53"/>
  <c r="P144" i="53"/>
  <c r="O147" i="53"/>
  <c r="O80" i="27" s="1"/>
  <c r="O294" i="53"/>
  <c r="O298" i="53"/>
  <c r="O309" i="53" s="1"/>
  <c r="O247" i="53"/>
  <c r="O265" i="53" s="1"/>
  <c r="O245" i="53"/>
  <c r="O263" i="53" s="1"/>
  <c r="O241" i="53"/>
  <c r="O259" i="53" s="1"/>
  <c r="O244" i="53"/>
  <c r="O262" i="53" s="1"/>
  <c r="O238" i="53"/>
  <c r="O256" i="53" s="1"/>
  <c r="O243" i="53"/>
  <c r="O261" i="53" s="1"/>
  <c r="O295" i="53"/>
  <c r="O306" i="53" s="1"/>
  <c r="O297" i="53"/>
  <c r="O308" i="53" s="1"/>
  <c r="O246" i="53"/>
  <c r="O264" i="53" s="1"/>
  <c r="O249" i="53"/>
  <c r="O267" i="53" s="1"/>
  <c r="O250" i="53"/>
  <c r="O268" i="53" s="1"/>
  <c r="O299" i="53"/>
  <c r="O310" i="53" s="1"/>
  <c r="O240" i="53"/>
  <c r="O258" i="53" s="1"/>
  <c r="O239" i="53"/>
  <c r="O257" i="53" s="1"/>
  <c r="O237" i="53"/>
  <c r="O248" i="53"/>
  <c r="O266" i="53" s="1"/>
  <c r="O296" i="53"/>
  <c r="O307" i="53" s="1"/>
  <c r="O300" i="53"/>
  <c r="O311" i="53" s="1"/>
  <c r="O242" i="53"/>
  <c r="O260" i="53" s="1"/>
  <c r="P143" i="53"/>
  <c r="P390" i="49"/>
  <c r="P374" i="49"/>
  <c r="Q369" i="49"/>
  <c r="Q372" i="49"/>
  <c r="Q370" i="49"/>
  <c r="Q368" i="49"/>
  <c r="Q371" i="49"/>
  <c r="P389" i="49"/>
  <c r="P384" i="49"/>
  <c r="P391" i="49"/>
  <c r="Q359" i="49"/>
  <c r="Q362" i="49"/>
  <c r="Q360" i="49"/>
  <c r="Q358" i="49"/>
  <c r="Q361" i="49"/>
  <c r="P114" i="49"/>
  <c r="P364" i="49"/>
  <c r="P388" i="49"/>
  <c r="Q382" i="49"/>
  <c r="Q379" i="49"/>
  <c r="Q378" i="49"/>
  <c r="Q381" i="49"/>
  <c r="Q380" i="49"/>
  <c r="O394" i="49"/>
  <c r="O79" i="27" s="1"/>
  <c r="O485" i="49"/>
  <c r="O503" i="49" s="1"/>
  <c r="O488" i="49"/>
  <c r="O506" i="49" s="1"/>
  <c r="O491" i="49"/>
  <c r="O509" i="49" s="1"/>
  <c r="O547" i="49"/>
  <c r="O558" i="49" s="1"/>
  <c r="O545" i="49"/>
  <c r="O556" i="49" s="1"/>
  <c r="O492" i="49"/>
  <c r="O510" i="49" s="1"/>
  <c r="O490" i="49"/>
  <c r="O508" i="49" s="1"/>
  <c r="O493" i="49"/>
  <c r="O511" i="49" s="1"/>
  <c r="O496" i="49"/>
  <c r="O514" i="49" s="1"/>
  <c r="O489" i="49"/>
  <c r="O507" i="49" s="1"/>
  <c r="O546" i="49"/>
  <c r="O557" i="49" s="1"/>
  <c r="O544" i="49"/>
  <c r="O555" i="49" s="1"/>
  <c r="O542" i="49"/>
  <c r="O553" i="49" s="1"/>
  <c r="O487" i="49"/>
  <c r="O505" i="49" s="1"/>
  <c r="O486" i="49"/>
  <c r="O504" i="49" s="1"/>
  <c r="O543" i="49"/>
  <c r="O554" i="49" s="1"/>
  <c r="O497" i="49"/>
  <c r="O515" i="49" s="1"/>
  <c r="O541" i="49"/>
  <c r="O495" i="49"/>
  <c r="O513" i="49" s="1"/>
  <c r="O494" i="49"/>
  <c r="O512" i="49" s="1"/>
  <c r="O484" i="49"/>
  <c r="P392" i="49"/>
  <c r="Q84" i="49"/>
  <c r="Q85" i="49"/>
  <c r="Q87" i="49"/>
  <c r="Q83" i="49"/>
  <c r="Q86" i="49"/>
  <c r="P116" i="49"/>
  <c r="P115" i="49"/>
  <c r="Q105" i="49"/>
  <c r="Q106" i="49"/>
  <c r="Q103" i="49"/>
  <c r="Q107" i="49"/>
  <c r="Q104" i="49"/>
  <c r="P89" i="49"/>
  <c r="P113" i="49"/>
  <c r="P109" i="49"/>
  <c r="Q95" i="49"/>
  <c r="Q94" i="49"/>
  <c r="Q97" i="49"/>
  <c r="Q93" i="49"/>
  <c r="Q96" i="49"/>
  <c r="P117" i="49"/>
  <c r="P99" i="49"/>
  <c r="O119" i="49"/>
  <c r="O78" i="27" s="1"/>
  <c r="O210" i="49"/>
  <c r="O228" i="49" s="1"/>
  <c r="O213" i="49"/>
  <c r="O231" i="49" s="1"/>
  <c r="O216" i="49"/>
  <c r="O234" i="49" s="1"/>
  <c r="O272" i="49"/>
  <c r="O283" i="49" s="1"/>
  <c r="O270" i="49"/>
  <c r="O281" i="49" s="1"/>
  <c r="O217" i="49"/>
  <c r="O235" i="49" s="1"/>
  <c r="O215" i="49"/>
  <c r="O233" i="49" s="1"/>
  <c r="O218" i="49"/>
  <c r="O236" i="49" s="1"/>
  <c r="O221" i="49"/>
  <c r="O239" i="49" s="1"/>
  <c r="O214" i="49"/>
  <c r="O232" i="49" s="1"/>
  <c r="O271" i="49"/>
  <c r="O282" i="49" s="1"/>
  <c r="O269" i="49"/>
  <c r="O280" i="49" s="1"/>
  <c r="O267" i="49"/>
  <c r="O278" i="49" s="1"/>
  <c r="O212" i="49"/>
  <c r="O230" i="49" s="1"/>
  <c r="O211" i="49"/>
  <c r="O229" i="49" s="1"/>
  <c r="O268" i="49"/>
  <c r="O279" i="49" s="1"/>
  <c r="O222" i="49"/>
  <c r="O240" i="49" s="1"/>
  <c r="O266" i="49"/>
  <c r="O220" i="49"/>
  <c r="O238" i="49" s="1"/>
  <c r="O219" i="49"/>
  <c r="O237" i="49" s="1"/>
  <c r="O209" i="49"/>
  <c r="P403" i="41"/>
  <c r="P116" i="41"/>
  <c r="Q367" i="41"/>
  <c r="Q365" i="41"/>
  <c r="Q370" i="41"/>
  <c r="Q369" i="41"/>
  <c r="Q368" i="41"/>
  <c r="Q364" i="41"/>
  <c r="Q366" i="41"/>
  <c r="Q382" i="41"/>
  <c r="Q380" i="41"/>
  <c r="Q381" i="41"/>
  <c r="Q377" i="41"/>
  <c r="Q379" i="41"/>
  <c r="Q376" i="41"/>
  <c r="Q378" i="41"/>
  <c r="P402" i="41"/>
  <c r="O408" i="41"/>
  <c r="O75" i="27" s="1"/>
  <c r="O507" i="41"/>
  <c r="O525" i="41" s="1"/>
  <c r="O510" i="41"/>
  <c r="O528" i="41" s="1"/>
  <c r="O557" i="41"/>
  <c r="O568" i="41" s="1"/>
  <c r="O511" i="41"/>
  <c r="O529" i="41" s="1"/>
  <c r="O509" i="41"/>
  <c r="O527" i="41" s="1"/>
  <c r="O508" i="41"/>
  <c r="O526" i="41" s="1"/>
  <c r="O559" i="41"/>
  <c r="O570" i="41" s="1"/>
  <c r="O555" i="41"/>
  <c r="O505" i="41"/>
  <c r="O523" i="41" s="1"/>
  <c r="O500" i="41"/>
  <c r="O518" i="41" s="1"/>
  <c r="O561" i="41"/>
  <c r="O572" i="41" s="1"/>
  <c r="O506" i="41"/>
  <c r="O524" i="41" s="1"/>
  <c r="O504" i="41"/>
  <c r="O522" i="41" s="1"/>
  <c r="O499" i="41"/>
  <c r="O517" i="41" s="1"/>
  <c r="O502" i="41"/>
  <c r="O520" i="41" s="1"/>
  <c r="O556" i="41"/>
  <c r="O567" i="41" s="1"/>
  <c r="O503" i="41"/>
  <c r="O521" i="41" s="1"/>
  <c r="O501" i="41"/>
  <c r="O519" i="41" s="1"/>
  <c r="O498" i="41"/>
  <c r="O560" i="41"/>
  <c r="O571" i="41" s="1"/>
  <c r="O558" i="41"/>
  <c r="O569" i="41" s="1"/>
  <c r="P401" i="41"/>
  <c r="P372" i="41"/>
  <c r="P400" i="41"/>
  <c r="Q389" i="41"/>
  <c r="Q390" i="41"/>
  <c r="Q393" i="41"/>
  <c r="Q388" i="41"/>
  <c r="Q394" i="41"/>
  <c r="Q392" i="41"/>
  <c r="Q391" i="41"/>
  <c r="P396" i="41"/>
  <c r="P405" i="41"/>
  <c r="P404" i="41"/>
  <c r="P384" i="41"/>
  <c r="P406" i="41"/>
  <c r="Q97" i="41"/>
  <c r="Q93" i="41"/>
  <c r="Q94" i="41"/>
  <c r="Q96" i="41"/>
  <c r="Q95" i="41"/>
  <c r="P109" i="41"/>
  <c r="P89" i="41"/>
  <c r="P113" i="41"/>
  <c r="P99" i="41"/>
  <c r="Q107" i="41"/>
  <c r="Q106" i="41"/>
  <c r="Q105" i="41"/>
  <c r="Q104" i="41"/>
  <c r="Q103" i="41"/>
  <c r="P117" i="41"/>
  <c r="Q84" i="41"/>
  <c r="Q83" i="41"/>
  <c r="Q85" i="41"/>
  <c r="Q87" i="41"/>
  <c r="Q86" i="41"/>
  <c r="O119" i="41"/>
  <c r="O74" i="27" s="1"/>
  <c r="O210" i="41"/>
  <c r="O228" i="41" s="1"/>
  <c r="O213" i="41"/>
  <c r="O231" i="41" s="1"/>
  <c r="O216" i="41"/>
  <c r="O234" i="41" s="1"/>
  <c r="O272" i="41"/>
  <c r="O283" i="41" s="1"/>
  <c r="O270" i="41"/>
  <c r="O281" i="41" s="1"/>
  <c r="O217" i="41"/>
  <c r="O235" i="41" s="1"/>
  <c r="O215" i="41"/>
  <c r="O233" i="41" s="1"/>
  <c r="O218" i="41"/>
  <c r="O236" i="41" s="1"/>
  <c r="O221" i="41"/>
  <c r="O239" i="41" s="1"/>
  <c r="O214" i="41"/>
  <c r="O232" i="41" s="1"/>
  <c r="O271" i="41"/>
  <c r="O282" i="41" s="1"/>
  <c r="O269" i="41"/>
  <c r="O280" i="41" s="1"/>
  <c r="O267" i="41"/>
  <c r="O278" i="41" s="1"/>
  <c r="O212" i="41"/>
  <c r="O230" i="41" s="1"/>
  <c r="O211" i="41"/>
  <c r="O229" i="41" s="1"/>
  <c r="O268" i="41"/>
  <c r="O279" i="41" s="1"/>
  <c r="O222" i="41"/>
  <c r="O240" i="41" s="1"/>
  <c r="O266" i="41"/>
  <c r="O220" i="41"/>
  <c r="O238" i="41" s="1"/>
  <c r="O219" i="41"/>
  <c r="O237" i="41" s="1"/>
  <c r="O209" i="41"/>
  <c r="P134" i="29"/>
  <c r="P164" i="29"/>
  <c r="Q125" i="29"/>
  <c r="Q121" i="29"/>
  <c r="Q129" i="29"/>
  <c r="Q124" i="29"/>
  <c r="Q132" i="29"/>
  <c r="Q122" i="29"/>
  <c r="Q130" i="29"/>
  <c r="Q128" i="29"/>
  <c r="Q131" i="29"/>
  <c r="Q127" i="29"/>
  <c r="Q123" i="29"/>
  <c r="Q126" i="29"/>
  <c r="P156" i="29"/>
  <c r="P163" i="29"/>
  <c r="P117" i="29"/>
  <c r="P155" i="29"/>
  <c r="P165" i="29"/>
  <c r="Q146" i="29"/>
  <c r="Q148" i="29"/>
  <c r="Q139" i="29"/>
  <c r="Q149" i="29"/>
  <c r="Q138" i="29"/>
  <c r="Q140" i="29"/>
  <c r="Q143" i="29"/>
  <c r="Q141" i="29"/>
  <c r="Q145" i="29"/>
  <c r="Q142" i="29"/>
  <c r="Q147" i="29"/>
  <c r="Q144" i="29"/>
  <c r="O168" i="29"/>
  <c r="O68" i="27" s="1"/>
  <c r="O258" i="29"/>
  <c r="O265" i="29"/>
  <c r="O283" i="29" s="1"/>
  <c r="O269" i="29"/>
  <c r="O287" i="29" s="1"/>
  <c r="O320" i="29"/>
  <c r="O331" i="29" s="1"/>
  <c r="O318" i="29"/>
  <c r="O329" i="29" s="1"/>
  <c r="O316" i="29"/>
  <c r="O327" i="29" s="1"/>
  <c r="O315" i="29"/>
  <c r="O259" i="29"/>
  <c r="O277" i="29" s="1"/>
  <c r="O262" i="29"/>
  <c r="O280" i="29" s="1"/>
  <c r="O260" i="29"/>
  <c r="O278" i="29" s="1"/>
  <c r="O319" i="29"/>
  <c r="O330" i="29" s="1"/>
  <c r="O263" i="29"/>
  <c r="O281" i="29" s="1"/>
  <c r="O261" i="29"/>
  <c r="O279" i="29" s="1"/>
  <c r="O270" i="29"/>
  <c r="O288" i="29" s="1"/>
  <c r="O321" i="29"/>
  <c r="O332" i="29" s="1"/>
  <c r="O266" i="29"/>
  <c r="O284" i="29" s="1"/>
  <c r="O271" i="29"/>
  <c r="O289" i="29" s="1"/>
  <c r="O264" i="29"/>
  <c r="O282" i="29" s="1"/>
  <c r="O267" i="29"/>
  <c r="O285" i="29" s="1"/>
  <c r="O268" i="29"/>
  <c r="O286" i="29" s="1"/>
  <c r="O317" i="29"/>
  <c r="O328" i="29" s="1"/>
  <c r="P151" i="29"/>
  <c r="P160" i="29"/>
  <c r="P157" i="29"/>
  <c r="P162" i="29"/>
  <c r="P161" i="29"/>
  <c r="P166" i="29"/>
  <c r="Q104" i="29"/>
  <c r="Q108" i="29"/>
  <c r="Q111" i="29"/>
  <c r="Q109" i="29"/>
  <c r="Q112" i="29"/>
  <c r="Q105" i="29"/>
  <c r="Q114" i="29"/>
  <c r="Q107" i="29"/>
  <c r="Q110" i="29"/>
  <c r="Q113" i="29"/>
  <c r="Q106" i="29"/>
  <c r="Q115" i="29"/>
  <c r="P159" i="29"/>
  <c r="P158" i="29"/>
  <c r="P165" i="18"/>
  <c r="P162" i="18"/>
  <c r="P168" i="18"/>
  <c r="P169" i="18"/>
  <c r="P173" i="18"/>
  <c r="P166" i="18"/>
  <c r="Q110" i="18"/>
  <c r="Q107" i="18"/>
  <c r="Q117" i="18"/>
  <c r="Q108" i="18"/>
  <c r="Q112" i="18"/>
  <c r="Q115" i="18"/>
  <c r="Q109" i="18"/>
  <c r="Q118" i="18"/>
  <c r="Q113" i="18"/>
  <c r="Q116" i="18"/>
  <c r="Q111" i="18"/>
  <c r="Q119" i="18"/>
  <c r="Q114" i="18"/>
  <c r="P170" i="18"/>
  <c r="P161" i="18"/>
  <c r="P121" i="18"/>
  <c r="P164" i="18"/>
  <c r="Q143" i="18"/>
  <c r="Q151" i="18"/>
  <c r="Q147" i="18"/>
  <c r="Q155" i="18"/>
  <c r="Q146" i="18"/>
  <c r="Q153" i="18"/>
  <c r="Q149" i="18"/>
  <c r="Q150" i="18"/>
  <c r="Q152" i="18"/>
  <c r="Q148" i="18"/>
  <c r="Q145" i="18"/>
  <c r="Q144" i="18"/>
  <c r="Q154" i="18"/>
  <c r="P167" i="18"/>
  <c r="Q126" i="18"/>
  <c r="Q128" i="18"/>
  <c r="Q127" i="18"/>
  <c r="Q130" i="18"/>
  <c r="Q131" i="18"/>
  <c r="Q132" i="18"/>
  <c r="Q134" i="18"/>
  <c r="Q135" i="18"/>
  <c r="Q136" i="18"/>
  <c r="Q137" i="18"/>
  <c r="Q133" i="18"/>
  <c r="Q129" i="18"/>
  <c r="Q125" i="18"/>
  <c r="O175" i="18"/>
  <c r="O66" i="27" s="1"/>
  <c r="O327" i="18"/>
  <c r="O274" i="18"/>
  <c r="O271" i="18"/>
  <c r="O324" i="18"/>
  <c r="O269" i="18"/>
  <c r="O266" i="18"/>
  <c r="O267" i="18"/>
  <c r="O265" i="18"/>
  <c r="O272" i="18"/>
  <c r="O325" i="18"/>
  <c r="O270" i="18"/>
  <c r="O268" i="18"/>
  <c r="O275" i="18"/>
  <c r="O273" i="18"/>
  <c r="O328" i="18"/>
  <c r="O323" i="18"/>
  <c r="O278" i="18"/>
  <c r="O322" i="18"/>
  <c r="O277" i="18"/>
  <c r="O326" i="18"/>
  <c r="O276" i="18"/>
  <c r="P139" i="18"/>
  <c r="P172" i="18"/>
  <c r="P157" i="18"/>
  <c r="P171" i="18"/>
  <c r="P163" i="18"/>
  <c r="O232" i="57"/>
  <c r="O250" i="57" s="1"/>
  <c r="O236" i="57"/>
  <c r="O254" i="57" s="1"/>
  <c r="O229" i="57"/>
  <c r="O247" i="57" s="1"/>
  <c r="O233" i="57"/>
  <c r="O251" i="57" s="1"/>
  <c r="O226" i="57"/>
  <c r="O244" i="57" s="1"/>
  <c r="O230" i="57"/>
  <c r="O248" i="57" s="1"/>
  <c r="O223" i="57"/>
  <c r="O227" i="57"/>
  <c r="O245" i="57" s="1"/>
  <c r="O231" i="57"/>
  <c r="O249" i="57" s="1"/>
  <c r="O234" i="57"/>
  <c r="O252" i="57" s="1"/>
  <c r="O224" i="57"/>
  <c r="O242" i="57" s="1"/>
  <c r="O228" i="57"/>
  <c r="O246" i="57" s="1"/>
  <c r="O225" i="57"/>
  <c r="O243" i="57" s="1"/>
  <c r="O235" i="57"/>
  <c r="O253" i="57" s="1"/>
  <c r="O197" i="69"/>
  <c r="O215" i="69" s="1"/>
  <c r="O198" i="69"/>
  <c r="O216" i="69" s="1"/>
  <c r="O190" i="69"/>
  <c r="O208" i="69" s="1"/>
  <c r="O191" i="69"/>
  <c r="O209" i="69" s="1"/>
  <c r="O192" i="69"/>
  <c r="O210" i="69" s="1"/>
  <c r="O195" i="69"/>
  <c r="O213" i="69" s="1"/>
  <c r="O189" i="69"/>
  <c r="O207" i="69" s="1"/>
  <c r="O199" i="69"/>
  <c r="O217" i="69" s="1"/>
  <c r="O201" i="69"/>
  <c r="O219" i="69" s="1"/>
  <c r="O194" i="69"/>
  <c r="O212" i="69" s="1"/>
  <c r="O193" i="69"/>
  <c r="O211" i="69" s="1"/>
  <c r="O200" i="69"/>
  <c r="O218" i="69" s="1"/>
  <c r="O188" i="69"/>
  <c r="O196" i="69"/>
  <c r="O214" i="69" s="1"/>
  <c r="N296" i="18"/>
  <c r="N215" i="27" s="1"/>
  <c r="N292" i="18"/>
  <c r="N211" i="27" s="1"/>
  <c r="N502" i="19"/>
  <c r="N516" i="19" s="1"/>
  <c r="N498" i="19"/>
  <c r="N565" i="19" s="1"/>
  <c r="O766" i="19"/>
  <c r="O784" i="19" s="1"/>
  <c r="O768" i="19"/>
  <c r="O786" i="19" s="1"/>
  <c r="O767" i="19"/>
  <c r="O785" i="19" s="1"/>
  <c r="O762" i="19"/>
  <c r="O780" i="19" s="1"/>
  <c r="O763" i="19"/>
  <c r="O781" i="19" s="1"/>
  <c r="O772" i="19"/>
  <c r="O790" i="19" s="1"/>
  <c r="O761" i="19"/>
  <c r="O779" i="19" s="1"/>
  <c r="O760" i="19"/>
  <c r="O778" i="19" s="1"/>
  <c r="O770" i="19"/>
  <c r="O788" i="19" s="1"/>
  <c r="O759" i="19"/>
  <c r="O764" i="19"/>
  <c r="O782" i="19" s="1"/>
  <c r="O771" i="19"/>
  <c r="O789" i="19" s="1"/>
  <c r="O765" i="19"/>
  <c r="O783" i="19" s="1"/>
  <c r="O769" i="19"/>
  <c r="O787" i="19" s="1"/>
  <c r="N293" i="18"/>
  <c r="N212" i="27" s="1"/>
  <c r="N288" i="18"/>
  <c r="N207" i="27" s="1"/>
  <c r="N227" i="49"/>
  <c r="N241" i="49" s="1"/>
  <c r="N223" i="49"/>
  <c r="N290" i="49" s="1"/>
  <c r="N512" i="41"/>
  <c r="N579" i="41" s="1"/>
  <c r="N516" i="41"/>
  <c r="N530" i="41" s="1"/>
  <c r="N227" i="37"/>
  <c r="N241" i="37" s="1"/>
  <c r="N223" i="37"/>
  <c r="N290" i="37" s="1"/>
  <c r="N248" i="45"/>
  <c r="N262" i="45" s="1"/>
  <c r="N244" i="45"/>
  <c r="N311" i="45" s="1"/>
  <c r="O960" i="61"/>
  <c r="O973" i="61"/>
  <c r="O991" i="61" s="1"/>
  <c r="O966" i="61"/>
  <c r="O984" i="61" s="1"/>
  <c r="O969" i="61"/>
  <c r="O987" i="61" s="1"/>
  <c r="O964" i="61"/>
  <c r="O982" i="61" s="1"/>
  <c r="O967" i="61"/>
  <c r="O985" i="61" s="1"/>
  <c r="O963" i="61"/>
  <c r="O981" i="61" s="1"/>
  <c r="O968" i="61"/>
  <c r="O986" i="61" s="1"/>
  <c r="O961" i="61"/>
  <c r="O979" i="61" s="1"/>
  <c r="O970" i="61"/>
  <c r="O988" i="61" s="1"/>
  <c r="O965" i="61"/>
  <c r="O983" i="61" s="1"/>
  <c r="O972" i="61"/>
  <c r="O990" i="61" s="1"/>
  <c r="O962" i="61"/>
  <c r="O980" i="61" s="1"/>
  <c r="O971" i="61"/>
  <c r="O989" i="61" s="1"/>
  <c r="O719" i="69"/>
  <c r="O737" i="69" s="1"/>
  <c r="O716" i="69"/>
  <c r="O734" i="69" s="1"/>
  <c r="O722" i="69"/>
  <c r="O740" i="69" s="1"/>
  <c r="O718" i="69"/>
  <c r="O736" i="69" s="1"/>
  <c r="O714" i="69"/>
  <c r="O732" i="69" s="1"/>
  <c r="O721" i="69"/>
  <c r="O739" i="69" s="1"/>
  <c r="O713" i="69"/>
  <c r="O731" i="69" s="1"/>
  <c r="O712" i="69"/>
  <c r="O730" i="69" s="1"/>
  <c r="O715" i="69"/>
  <c r="O733" i="69" s="1"/>
  <c r="O724" i="69"/>
  <c r="O742" i="69" s="1"/>
  <c r="O711" i="69"/>
  <c r="O717" i="69"/>
  <c r="O735" i="69" s="1"/>
  <c r="O720" i="69"/>
  <c r="O738" i="69" s="1"/>
  <c r="O723" i="69"/>
  <c r="O741" i="69" s="1"/>
  <c r="O197" i="61"/>
  <c r="O215" i="61" s="1"/>
  <c r="O206" i="61"/>
  <c r="O224" i="61" s="1"/>
  <c r="O204" i="61"/>
  <c r="O222" i="61" s="1"/>
  <c r="O195" i="61"/>
  <c r="O213" i="61" s="1"/>
  <c r="O203" i="61"/>
  <c r="O221" i="61" s="1"/>
  <c r="O200" i="61"/>
  <c r="O218" i="61" s="1"/>
  <c r="O194" i="61"/>
  <c r="O212" i="61" s="1"/>
  <c r="O202" i="61"/>
  <c r="O220" i="61" s="1"/>
  <c r="O205" i="61"/>
  <c r="O223" i="61" s="1"/>
  <c r="O193" i="61"/>
  <c r="O199" i="61"/>
  <c r="O217" i="61" s="1"/>
  <c r="O198" i="61"/>
  <c r="O216" i="61" s="1"/>
  <c r="O196" i="61"/>
  <c r="O214" i="61" s="1"/>
  <c r="O201" i="61"/>
  <c r="O219" i="61" s="1"/>
  <c r="O192" i="33"/>
  <c r="O210" i="33" s="1"/>
  <c r="O195" i="33"/>
  <c r="O213" i="33" s="1"/>
  <c r="O199" i="33"/>
  <c r="O217" i="33" s="1"/>
  <c r="O196" i="33"/>
  <c r="O214" i="33" s="1"/>
  <c r="O189" i="33"/>
  <c r="O207" i="33" s="1"/>
  <c r="O200" i="33"/>
  <c r="O218" i="33" s="1"/>
  <c r="O193" i="33"/>
  <c r="O211" i="33" s="1"/>
  <c r="O190" i="33"/>
  <c r="O208" i="33" s="1"/>
  <c r="O194" i="33"/>
  <c r="O212" i="33" s="1"/>
  <c r="O197" i="33"/>
  <c r="O215" i="33" s="1"/>
  <c r="O201" i="33"/>
  <c r="O219" i="33" s="1"/>
  <c r="O191" i="33"/>
  <c r="O209" i="33" s="1"/>
  <c r="O198" i="33"/>
  <c r="O216" i="33" s="1"/>
  <c r="O188" i="33"/>
  <c r="N290" i="18"/>
  <c r="N209" i="27" s="1"/>
  <c r="N294" i="18"/>
  <c r="N213" i="27" s="1"/>
  <c r="N978" i="61"/>
  <c r="N992" i="61" s="1"/>
  <c r="N974" i="61"/>
  <c r="N1041" i="61" s="1"/>
  <c r="O508" i="57"/>
  <c r="O526" i="57" s="1"/>
  <c r="O513" i="57"/>
  <c r="O531" i="57" s="1"/>
  <c r="O510" i="57"/>
  <c r="O528" i="57" s="1"/>
  <c r="O515" i="57"/>
  <c r="O533" i="57" s="1"/>
  <c r="O516" i="57"/>
  <c r="O534" i="57" s="1"/>
  <c r="O506" i="57"/>
  <c r="O524" i="57" s="1"/>
  <c r="O509" i="57"/>
  <c r="O527" i="57" s="1"/>
  <c r="O511" i="57"/>
  <c r="O529" i="57" s="1"/>
  <c r="O507" i="57"/>
  <c r="O525" i="57" s="1"/>
  <c r="O518" i="57"/>
  <c r="O536" i="57" s="1"/>
  <c r="O505" i="57"/>
  <c r="O514" i="57"/>
  <c r="O532" i="57" s="1"/>
  <c r="O517" i="57"/>
  <c r="O535" i="57" s="1"/>
  <c r="O512" i="57"/>
  <c r="O530" i="57" s="1"/>
  <c r="O196" i="77"/>
  <c r="O214" i="77" s="1"/>
  <c r="O201" i="77"/>
  <c r="O219" i="77" s="1"/>
  <c r="O200" i="77"/>
  <c r="O218" i="77" s="1"/>
  <c r="O190" i="77"/>
  <c r="O208" i="77" s="1"/>
  <c r="O199" i="77"/>
  <c r="O217" i="77" s="1"/>
  <c r="O188" i="77"/>
  <c r="O198" i="77"/>
  <c r="O216" i="77" s="1"/>
  <c r="O192" i="77"/>
  <c r="O210" i="77" s="1"/>
  <c r="O195" i="77"/>
  <c r="O213" i="77" s="1"/>
  <c r="O194" i="77"/>
  <c r="O212" i="77" s="1"/>
  <c r="O189" i="77"/>
  <c r="O207" i="77" s="1"/>
  <c r="O193" i="77"/>
  <c r="O211" i="77" s="1"/>
  <c r="O191" i="77"/>
  <c r="O209" i="77" s="1"/>
  <c r="O197" i="77"/>
  <c r="O215" i="77" s="1"/>
  <c r="N461" i="69"/>
  <c r="N475" i="69" s="1"/>
  <c r="N457" i="69"/>
  <c r="N524" i="69" s="1"/>
  <c r="N287" i="18"/>
  <c r="N206" i="27" s="1"/>
  <c r="N295" i="18"/>
  <c r="N214" i="27" s="1"/>
  <c r="N223" i="41"/>
  <c r="N290" i="41" s="1"/>
  <c r="N227" i="41"/>
  <c r="N241" i="41" s="1"/>
  <c r="N332" i="75"/>
  <c r="N346" i="75" s="1"/>
  <c r="N328" i="75"/>
  <c r="N395" i="75" s="1"/>
  <c r="N202" i="77"/>
  <c r="N269" i="77" s="1"/>
  <c r="N206" i="77"/>
  <c r="N220" i="77" s="1"/>
  <c r="N223" i="19"/>
  <c r="N290" i="19" s="1"/>
  <c r="N227" i="19"/>
  <c r="N241" i="19" s="1"/>
  <c r="O230" i="45"/>
  <c r="O243" i="45"/>
  <c r="O261" i="45" s="1"/>
  <c r="O239" i="45"/>
  <c r="O257" i="45" s="1"/>
  <c r="O237" i="45"/>
  <c r="O255" i="45" s="1"/>
  <c r="O236" i="45"/>
  <c r="O254" i="45" s="1"/>
  <c r="O234" i="45"/>
  <c r="O252" i="45" s="1"/>
  <c r="O235" i="45"/>
  <c r="O253" i="45" s="1"/>
  <c r="O233" i="45"/>
  <c r="O251" i="45" s="1"/>
  <c r="O232" i="45"/>
  <c r="O250" i="45" s="1"/>
  <c r="O242" i="45"/>
  <c r="O260" i="45" s="1"/>
  <c r="O231" i="45"/>
  <c r="O249" i="45" s="1"/>
  <c r="O241" i="45"/>
  <c r="O259" i="45" s="1"/>
  <c r="O240" i="45"/>
  <c r="O258" i="45" s="1"/>
  <c r="O238" i="45"/>
  <c r="O256" i="45" s="1"/>
  <c r="O319" i="75"/>
  <c r="O337" i="75" s="1"/>
  <c r="O321" i="75"/>
  <c r="O339" i="75" s="1"/>
  <c r="O325" i="75"/>
  <c r="O343" i="75" s="1"/>
  <c r="O315" i="75"/>
  <c r="O333" i="75" s="1"/>
  <c r="O327" i="75"/>
  <c r="O345" i="75" s="1"/>
  <c r="O322" i="75"/>
  <c r="O340" i="75" s="1"/>
  <c r="O314" i="75"/>
  <c r="O320" i="75"/>
  <c r="O338" i="75" s="1"/>
  <c r="O323" i="75"/>
  <c r="O341" i="75" s="1"/>
  <c r="O316" i="75"/>
  <c r="O334" i="75" s="1"/>
  <c r="O317" i="75"/>
  <c r="O335" i="75" s="1"/>
  <c r="O324" i="75"/>
  <c r="O342" i="75" s="1"/>
  <c r="O318" i="75"/>
  <c r="O336" i="75" s="1"/>
  <c r="O326" i="75"/>
  <c r="O344" i="75" s="1"/>
  <c r="N286" i="18"/>
  <c r="N205" i="27" s="1"/>
  <c r="N284" i="18"/>
  <c r="N203" i="27" s="1"/>
  <c r="N519" i="57"/>
  <c r="N586" i="57" s="1"/>
  <c r="N523" i="57"/>
  <c r="N537" i="57" s="1"/>
  <c r="N202" i="33"/>
  <c r="N269" i="33" s="1"/>
  <c r="N206" i="33"/>
  <c r="N220" i="33" s="1"/>
  <c r="N207" i="61"/>
  <c r="N274" i="61" s="1"/>
  <c r="N211" i="61"/>
  <c r="N225" i="61" s="1"/>
  <c r="N206" i="69"/>
  <c r="N220" i="69" s="1"/>
  <c r="N202" i="69"/>
  <c r="N269" i="69" s="1"/>
  <c r="N773" i="19"/>
  <c r="N840" i="19" s="1"/>
  <c r="N777" i="19"/>
  <c r="N791" i="19" s="1"/>
  <c r="O716" i="61"/>
  <c r="O734" i="61" s="1"/>
  <c r="O715" i="61"/>
  <c r="O733" i="61" s="1"/>
  <c r="O713" i="61"/>
  <c r="O731" i="61" s="1"/>
  <c r="O706" i="61"/>
  <c r="O724" i="61" s="1"/>
  <c r="O709" i="61"/>
  <c r="O727" i="61" s="1"/>
  <c r="O712" i="61"/>
  <c r="O730" i="61" s="1"/>
  <c r="O710" i="61"/>
  <c r="O728" i="61" s="1"/>
  <c r="O711" i="61"/>
  <c r="O729" i="61" s="1"/>
  <c r="O714" i="61"/>
  <c r="O732" i="61" s="1"/>
  <c r="O717" i="61"/>
  <c r="O735" i="61" s="1"/>
  <c r="O718" i="61"/>
  <c r="O736" i="61" s="1"/>
  <c r="O708" i="61"/>
  <c r="O726" i="61" s="1"/>
  <c r="O707" i="61"/>
  <c r="O725" i="61" s="1"/>
  <c r="O705" i="61"/>
  <c r="O495" i="19"/>
  <c r="O513" i="19" s="1"/>
  <c r="O496" i="19"/>
  <c r="O514" i="19" s="1"/>
  <c r="O494" i="19"/>
  <c r="O512" i="19" s="1"/>
  <c r="O492" i="19"/>
  <c r="O510" i="19" s="1"/>
  <c r="O485" i="19"/>
  <c r="O503" i="19" s="1"/>
  <c r="O489" i="19"/>
  <c r="O507" i="19" s="1"/>
  <c r="O493" i="19"/>
  <c r="O511" i="19" s="1"/>
  <c r="O497" i="19"/>
  <c r="O515" i="19" s="1"/>
  <c r="O490" i="19"/>
  <c r="O508" i="19" s="1"/>
  <c r="O487" i="19"/>
  <c r="O505" i="19" s="1"/>
  <c r="O488" i="19"/>
  <c r="O506" i="19" s="1"/>
  <c r="O491" i="19"/>
  <c r="O509" i="19" s="1"/>
  <c r="O486" i="19"/>
  <c r="O504" i="19" s="1"/>
  <c r="O484" i="19"/>
  <c r="O486" i="45"/>
  <c r="O504" i="45" s="1"/>
  <c r="O484" i="45"/>
  <c r="O485" i="45"/>
  <c r="O503" i="45" s="1"/>
  <c r="O497" i="45"/>
  <c r="O515" i="45" s="1"/>
  <c r="O488" i="45"/>
  <c r="O506" i="45" s="1"/>
  <c r="O494" i="45"/>
  <c r="O512" i="45" s="1"/>
  <c r="O487" i="45"/>
  <c r="O505" i="45" s="1"/>
  <c r="O491" i="45"/>
  <c r="O509" i="45" s="1"/>
  <c r="O496" i="45"/>
  <c r="O514" i="45" s="1"/>
  <c r="O490" i="45"/>
  <c r="O508" i="45" s="1"/>
  <c r="O489" i="45"/>
  <c r="O507" i="45" s="1"/>
  <c r="O493" i="45"/>
  <c r="O511" i="45" s="1"/>
  <c r="O492" i="45"/>
  <c r="O510" i="45" s="1"/>
  <c r="O495" i="45"/>
  <c r="O513" i="45" s="1"/>
  <c r="N289" i="18"/>
  <c r="N208" i="27" s="1"/>
  <c r="N291" i="18"/>
  <c r="N210" i="27" s="1"/>
  <c r="N725" i="69"/>
  <c r="N792" i="69" s="1"/>
  <c r="N729" i="69"/>
  <c r="N743" i="69" s="1"/>
  <c r="O454" i="61"/>
  <c r="O472" i="61" s="1"/>
  <c r="O453" i="61"/>
  <c r="O471" i="61" s="1"/>
  <c r="O452" i="61"/>
  <c r="O470" i="61" s="1"/>
  <c r="O463" i="61"/>
  <c r="O481" i="61" s="1"/>
  <c r="O450" i="61"/>
  <c r="O451" i="61"/>
  <c r="O469" i="61" s="1"/>
  <c r="O460" i="61"/>
  <c r="O478" i="61" s="1"/>
  <c r="O457" i="61"/>
  <c r="O475" i="61" s="1"/>
  <c r="O458" i="61"/>
  <c r="O476" i="61" s="1"/>
  <c r="O461" i="61"/>
  <c r="O479" i="61" s="1"/>
  <c r="O459" i="61"/>
  <c r="O477" i="61" s="1"/>
  <c r="O462" i="61"/>
  <c r="O480" i="61" s="1"/>
  <c r="O456" i="61"/>
  <c r="O474" i="61" s="1"/>
  <c r="O455" i="61"/>
  <c r="O473" i="61" s="1"/>
  <c r="O473" i="37"/>
  <c r="O491" i="37" s="1"/>
  <c r="O471" i="37"/>
  <c r="O489" i="37" s="1"/>
  <c r="O464" i="37"/>
  <c r="O482" i="37" s="1"/>
  <c r="O475" i="37"/>
  <c r="O493" i="37" s="1"/>
  <c r="O468" i="37"/>
  <c r="O486" i="37" s="1"/>
  <c r="O466" i="37"/>
  <c r="O484" i="37" s="1"/>
  <c r="O469" i="37"/>
  <c r="O487" i="37" s="1"/>
  <c r="O465" i="37"/>
  <c r="O483" i="37" s="1"/>
  <c r="O476" i="37"/>
  <c r="O494" i="37" s="1"/>
  <c r="O463" i="37"/>
  <c r="O467" i="37"/>
  <c r="O485" i="37" s="1"/>
  <c r="O470" i="37"/>
  <c r="O488" i="37" s="1"/>
  <c r="O474" i="37"/>
  <c r="O492" i="37" s="1"/>
  <c r="O472" i="37"/>
  <c r="O490" i="37" s="1"/>
  <c r="O454" i="69"/>
  <c r="O472" i="69" s="1"/>
  <c r="O447" i="69"/>
  <c r="O465" i="69" s="1"/>
  <c r="O450" i="69"/>
  <c r="O468" i="69" s="1"/>
  <c r="O456" i="69"/>
  <c r="O474" i="69" s="1"/>
  <c r="O451" i="69"/>
  <c r="O469" i="69" s="1"/>
  <c r="O444" i="69"/>
  <c r="O462" i="69" s="1"/>
  <c r="O445" i="69"/>
  <c r="O463" i="69" s="1"/>
  <c r="O455" i="69"/>
  <c r="O473" i="69" s="1"/>
  <c r="O448" i="69"/>
  <c r="O466" i="69" s="1"/>
  <c r="O449" i="69"/>
  <c r="O467" i="69" s="1"/>
  <c r="O446" i="69"/>
  <c r="O464" i="69" s="1"/>
  <c r="O443" i="69"/>
  <c r="O453" i="69"/>
  <c r="O471" i="69" s="1"/>
  <c r="O452" i="69"/>
  <c r="O470" i="69" s="1"/>
  <c r="N283" i="18"/>
  <c r="N279" i="18"/>
  <c r="N346" i="18" s="1"/>
  <c r="N468" i="61"/>
  <c r="N482" i="61" s="1"/>
  <c r="N464" i="61"/>
  <c r="N531" i="61" s="1"/>
  <c r="N477" i="37"/>
  <c r="N544" i="37" s="1"/>
  <c r="N481" i="37"/>
  <c r="N495" i="37" s="1"/>
  <c r="O213" i="37"/>
  <c r="O231" i="37" s="1"/>
  <c r="O220" i="37"/>
  <c r="O238" i="37" s="1"/>
  <c r="O209" i="37"/>
  <c r="O214" i="37"/>
  <c r="O232" i="37" s="1"/>
  <c r="O211" i="37"/>
  <c r="O229" i="37" s="1"/>
  <c r="O210" i="37"/>
  <c r="O228" i="37" s="1"/>
  <c r="O216" i="37"/>
  <c r="O234" i="37" s="1"/>
  <c r="O222" i="37"/>
  <c r="O240" i="37" s="1"/>
  <c r="O212" i="37"/>
  <c r="O230" i="37" s="1"/>
  <c r="O221" i="37"/>
  <c r="O239" i="37" s="1"/>
  <c r="O217" i="37"/>
  <c r="O235" i="37" s="1"/>
  <c r="O218" i="37"/>
  <c r="O236" i="37" s="1"/>
  <c r="O219" i="37"/>
  <c r="O237" i="37" s="1"/>
  <c r="O215" i="37"/>
  <c r="O233" i="37" s="1"/>
  <c r="O222" i="19"/>
  <c r="O240" i="19" s="1"/>
  <c r="O212" i="19"/>
  <c r="O230" i="19" s="1"/>
  <c r="O219" i="19"/>
  <c r="O237" i="19" s="1"/>
  <c r="O209" i="19"/>
  <c r="O210" i="19"/>
  <c r="O228" i="19" s="1"/>
  <c r="O213" i="19"/>
  <c r="O231" i="19" s="1"/>
  <c r="O216" i="19"/>
  <c r="O234" i="19" s="1"/>
  <c r="O220" i="19"/>
  <c r="O238" i="19" s="1"/>
  <c r="O217" i="19"/>
  <c r="O235" i="19" s="1"/>
  <c r="O218" i="19"/>
  <c r="O236" i="19" s="1"/>
  <c r="O221" i="19"/>
  <c r="O239" i="19" s="1"/>
  <c r="O214" i="19"/>
  <c r="O232" i="19" s="1"/>
  <c r="O211" i="19"/>
  <c r="O229" i="19" s="1"/>
  <c r="O215" i="19"/>
  <c r="O233" i="19" s="1"/>
  <c r="N285" i="18"/>
  <c r="N204" i="27" s="1"/>
  <c r="N241" i="57"/>
  <c r="N255" i="57" s="1"/>
  <c r="N237" i="57"/>
  <c r="N304" i="57" s="1"/>
  <c r="N502" i="45"/>
  <c r="N516" i="45" s="1"/>
  <c r="N498" i="45"/>
  <c r="N565" i="45" s="1"/>
  <c r="N719" i="61"/>
  <c r="N786" i="61" s="1"/>
  <c r="N723" i="61"/>
  <c r="N737" i="61" s="1"/>
  <c r="N251" i="53"/>
  <c r="N318" i="53" s="1"/>
  <c r="N255" i="53"/>
  <c r="N269" i="53" s="1"/>
  <c r="N276" i="29"/>
  <c r="N290" i="29" s="1"/>
  <c r="N272" i="29"/>
  <c r="N339" i="29" s="1"/>
  <c r="N498" i="49"/>
  <c r="N565" i="49" s="1"/>
  <c r="N502" i="49"/>
  <c r="N516" i="49" s="1"/>
  <c r="N554" i="53"/>
  <c r="N621" i="53" s="1"/>
  <c r="N558" i="53"/>
  <c r="N572" i="53" s="1"/>
  <c r="M297" i="18"/>
  <c r="P91" i="69"/>
  <c r="P96" i="69"/>
  <c r="P84" i="69"/>
  <c r="P339" i="69"/>
  <c r="P346" i="69"/>
  <c r="P77" i="69"/>
  <c r="P95" i="69"/>
  <c r="Q89" i="69"/>
  <c r="Q88" i="69"/>
  <c r="Q74" i="69"/>
  <c r="Q75" i="69"/>
  <c r="Q81" i="69"/>
  <c r="Q82" i="69"/>
  <c r="P351" i="69"/>
  <c r="O98" i="69"/>
  <c r="O88" i="27" s="1"/>
  <c r="O248" i="69"/>
  <c r="O259" i="69" s="1"/>
  <c r="O246" i="69"/>
  <c r="O257" i="69" s="1"/>
  <c r="O251" i="69"/>
  <c r="O262" i="69" s="1"/>
  <c r="O250" i="69"/>
  <c r="O261" i="69" s="1"/>
  <c r="O249" i="69"/>
  <c r="O260" i="69" s="1"/>
  <c r="O247" i="69"/>
  <c r="O258" i="69" s="1"/>
  <c r="O245" i="69"/>
  <c r="Q330" i="69"/>
  <c r="Q329" i="69"/>
  <c r="P350" i="69"/>
  <c r="P332" i="69"/>
  <c r="Q343" i="69"/>
  <c r="Q344" i="69"/>
  <c r="O353" i="69"/>
  <c r="O89" i="27" s="1"/>
  <c r="O501" i="69"/>
  <c r="O512" i="69" s="1"/>
  <c r="O500" i="69"/>
  <c r="O503" i="69"/>
  <c r="O514" i="69" s="1"/>
  <c r="O505" i="69"/>
  <c r="O516" i="69" s="1"/>
  <c r="O502" i="69"/>
  <c r="O513" i="69" s="1"/>
  <c r="O506" i="69"/>
  <c r="O517" i="69" s="1"/>
  <c r="O504" i="69"/>
  <c r="O515" i="69" s="1"/>
  <c r="Q337" i="69"/>
  <c r="Q336" i="69"/>
  <c r="P96" i="77"/>
  <c r="O544" i="19"/>
  <c r="O555" i="19" s="1"/>
  <c r="O541" i="19"/>
  <c r="O545" i="19"/>
  <c r="O556" i="19" s="1"/>
  <c r="O542" i="19"/>
  <c r="O553" i="19" s="1"/>
  <c r="O546" i="19"/>
  <c r="O557" i="19" s="1"/>
  <c r="O543" i="19"/>
  <c r="O554" i="19" s="1"/>
  <c r="O547" i="19"/>
  <c r="O558" i="19" s="1"/>
  <c r="O250" i="33"/>
  <c r="O261" i="33" s="1"/>
  <c r="O247" i="33"/>
  <c r="O258" i="33" s="1"/>
  <c r="O248" i="33"/>
  <c r="O259" i="33" s="1"/>
  <c r="O245" i="33"/>
  <c r="O251" i="33"/>
  <c r="O262" i="33" s="1"/>
  <c r="O246" i="33"/>
  <c r="O257" i="33" s="1"/>
  <c r="O249" i="33"/>
  <c r="O260" i="33" s="1"/>
  <c r="O562" i="57"/>
  <c r="O568" i="57"/>
  <c r="O579" i="57" s="1"/>
  <c r="O567" i="57"/>
  <c r="O578" i="57" s="1"/>
  <c r="O563" i="57"/>
  <c r="O574" i="57" s="1"/>
  <c r="O564" i="57"/>
  <c r="O575" i="57" s="1"/>
  <c r="O565" i="57"/>
  <c r="O576" i="57" s="1"/>
  <c r="O566" i="57"/>
  <c r="O577" i="57" s="1"/>
  <c r="O817" i="19"/>
  <c r="O828" i="19" s="1"/>
  <c r="O820" i="19"/>
  <c r="O831" i="19" s="1"/>
  <c r="O819" i="19"/>
  <c r="O830" i="19" s="1"/>
  <c r="O822" i="19"/>
  <c r="O833" i="19" s="1"/>
  <c r="O818" i="19"/>
  <c r="O829" i="19" s="1"/>
  <c r="O816" i="19"/>
  <c r="O821" i="19"/>
  <c r="O832" i="19" s="1"/>
  <c r="O509" i="61"/>
  <c r="O520" i="61" s="1"/>
  <c r="O508" i="61"/>
  <c r="O519" i="61" s="1"/>
  <c r="O513" i="61"/>
  <c r="O524" i="61" s="1"/>
  <c r="O510" i="61"/>
  <c r="O521" i="61" s="1"/>
  <c r="O511" i="61"/>
  <c r="O522" i="61" s="1"/>
  <c r="O507" i="61"/>
  <c r="O512" i="61"/>
  <c r="O523" i="61" s="1"/>
  <c r="O526" i="37"/>
  <c r="O537" i="37" s="1"/>
  <c r="O522" i="37"/>
  <c r="O533" i="37" s="1"/>
  <c r="O524" i="37"/>
  <c r="O535" i="37" s="1"/>
  <c r="O523" i="37"/>
  <c r="O534" i="37" s="1"/>
  <c r="O521" i="37"/>
  <c r="O532" i="37" s="1"/>
  <c r="O520" i="37"/>
  <c r="O525" i="37"/>
  <c r="O536" i="37" s="1"/>
  <c r="O281" i="57"/>
  <c r="O292" i="57" s="1"/>
  <c r="O284" i="57"/>
  <c r="O295" i="57" s="1"/>
  <c r="O283" i="57"/>
  <c r="O294" i="57" s="1"/>
  <c r="O285" i="57"/>
  <c r="O296" i="57" s="1"/>
  <c r="O286" i="57"/>
  <c r="O297" i="57" s="1"/>
  <c r="O282" i="57"/>
  <c r="O293" i="57" s="1"/>
  <c r="O280" i="57"/>
  <c r="O1019" i="61"/>
  <c r="O1030" i="61" s="1"/>
  <c r="O1017" i="61"/>
  <c r="O1023" i="61"/>
  <c r="O1034" i="61" s="1"/>
  <c r="O1018" i="61"/>
  <c r="O1029" i="61" s="1"/>
  <c r="O1022" i="61"/>
  <c r="O1033" i="61" s="1"/>
  <c r="O1020" i="61"/>
  <c r="O1031" i="61" s="1"/>
  <c r="O1021" i="61"/>
  <c r="O1032" i="61" s="1"/>
  <c r="O287" i="45"/>
  <c r="O293" i="45"/>
  <c r="O304" i="45" s="1"/>
  <c r="O289" i="45"/>
  <c r="O300" i="45" s="1"/>
  <c r="O292" i="45"/>
  <c r="O303" i="45" s="1"/>
  <c r="O290" i="45"/>
  <c r="O301" i="45" s="1"/>
  <c r="O288" i="45"/>
  <c r="O299" i="45" s="1"/>
  <c r="O291" i="45"/>
  <c r="O302" i="45" s="1"/>
  <c r="O250" i="77"/>
  <c r="O261" i="77" s="1"/>
  <c r="O248" i="77"/>
  <c r="O259" i="77" s="1"/>
  <c r="O246" i="77"/>
  <c r="O257" i="77" s="1"/>
  <c r="O247" i="77"/>
  <c r="O258" i="77" s="1"/>
  <c r="O245" i="77"/>
  <c r="O251" i="77"/>
  <c r="O262" i="77" s="1"/>
  <c r="O249" i="77"/>
  <c r="O260" i="77" s="1"/>
  <c r="O542" i="45"/>
  <c r="O553" i="45" s="1"/>
  <c r="O544" i="45"/>
  <c r="O555" i="45" s="1"/>
  <c r="O546" i="45"/>
  <c r="O557" i="45" s="1"/>
  <c r="O545" i="45"/>
  <c r="O556" i="45" s="1"/>
  <c r="O543" i="45"/>
  <c r="O554" i="45" s="1"/>
  <c r="O541" i="45"/>
  <c r="O547" i="45"/>
  <c r="O558" i="45" s="1"/>
  <c r="O254" i="61"/>
  <c r="O265" i="61" s="1"/>
  <c r="O250" i="61"/>
  <c r="O251" i="61"/>
  <c r="O262" i="61" s="1"/>
  <c r="O256" i="61"/>
  <c r="O267" i="61" s="1"/>
  <c r="O255" i="61"/>
  <c r="O266" i="61" s="1"/>
  <c r="O253" i="61"/>
  <c r="O264" i="61" s="1"/>
  <c r="O252" i="61"/>
  <c r="O263" i="61" s="1"/>
  <c r="O270" i="19"/>
  <c r="O281" i="19" s="1"/>
  <c r="O271" i="19"/>
  <c r="O282" i="19" s="1"/>
  <c r="O268" i="19"/>
  <c r="O279" i="19" s="1"/>
  <c r="O272" i="19"/>
  <c r="O283" i="19" s="1"/>
  <c r="O269" i="19"/>
  <c r="O280" i="19" s="1"/>
  <c r="O266" i="19"/>
  <c r="O267" i="19"/>
  <c r="O278" i="19" s="1"/>
  <c r="O762" i="61"/>
  <c r="O767" i="61"/>
  <c r="O778" i="61" s="1"/>
  <c r="O768" i="61"/>
  <c r="O779" i="61" s="1"/>
  <c r="O764" i="61"/>
  <c r="O775" i="61" s="1"/>
  <c r="O765" i="61"/>
  <c r="O776" i="61" s="1"/>
  <c r="O763" i="61"/>
  <c r="O774" i="61" s="1"/>
  <c r="O766" i="61"/>
  <c r="O777" i="61" s="1"/>
  <c r="O272" i="37"/>
  <c r="O283" i="37" s="1"/>
  <c r="O271" i="37"/>
  <c r="O282" i="37" s="1"/>
  <c r="O270" i="37"/>
  <c r="O281" i="37" s="1"/>
  <c r="O268" i="37"/>
  <c r="O279" i="37" s="1"/>
  <c r="O267" i="37"/>
  <c r="O278" i="37" s="1"/>
  <c r="O269" i="37"/>
  <c r="O280" i="37" s="1"/>
  <c r="O266" i="37"/>
  <c r="O773" i="69"/>
  <c r="O784" i="69" s="1"/>
  <c r="O771" i="69"/>
  <c r="O782" i="69" s="1"/>
  <c r="O772" i="69"/>
  <c r="O783" i="69" s="1"/>
  <c r="O770" i="69"/>
  <c r="O781" i="69" s="1"/>
  <c r="O768" i="69"/>
  <c r="O774" i="69"/>
  <c r="O785" i="69" s="1"/>
  <c r="O769" i="69"/>
  <c r="O780" i="69" s="1"/>
  <c r="O377" i="75"/>
  <c r="O388" i="75" s="1"/>
  <c r="O376" i="75"/>
  <c r="O387" i="75" s="1"/>
  <c r="O375" i="75"/>
  <c r="O386" i="75" s="1"/>
  <c r="O373" i="75"/>
  <c r="O384" i="75" s="1"/>
  <c r="O374" i="75"/>
  <c r="O385" i="75" s="1"/>
  <c r="O372" i="75"/>
  <c r="O383" i="75" s="1"/>
  <c r="O371" i="75"/>
  <c r="L273" i="33"/>
  <c r="L278" i="61"/>
  <c r="P410" i="57"/>
  <c r="P91" i="33"/>
  <c r="P411" i="57"/>
  <c r="L295" i="41"/>
  <c r="L295" i="19"/>
  <c r="L583" i="41"/>
  <c r="L790" i="61"/>
  <c r="L344" i="29"/>
  <c r="L844" i="19"/>
  <c r="L322" i="53"/>
  <c r="L797" i="69"/>
  <c r="L309" i="57"/>
  <c r="L315" i="45"/>
  <c r="L274" i="69"/>
  <c r="L273" i="77"/>
  <c r="L570" i="49"/>
  <c r="L535" i="61"/>
  <c r="L626" i="53"/>
  <c r="L400" i="75"/>
  <c r="L528" i="69"/>
  <c r="L570" i="19"/>
  <c r="L294" i="49"/>
  <c r="L590" i="57"/>
  <c r="L569" i="45"/>
  <c r="L295" i="37"/>
  <c r="L1045" i="61"/>
  <c r="P613" i="61"/>
  <c r="P392" i="45"/>
  <c r="P413" i="57"/>
  <c r="P384" i="19"/>
  <c r="P856" i="61"/>
  <c r="P346" i="61"/>
  <c r="P353" i="61"/>
  <c r="P366" i="37"/>
  <c r="P84" i="77"/>
  <c r="P358" i="61"/>
  <c r="P393" i="57"/>
  <c r="P132" i="45"/>
  <c r="P117" i="37"/>
  <c r="P121" i="57"/>
  <c r="P128" i="57"/>
  <c r="P89" i="61"/>
  <c r="P222" i="75"/>
  <c r="P205" i="75"/>
  <c r="P115" i="19"/>
  <c r="P380" i="45"/>
  <c r="P134" i="45"/>
  <c r="P91" i="77"/>
  <c r="P603" i="69"/>
  <c r="P109" i="57"/>
  <c r="O394" i="19"/>
  <c r="O69" i="27" s="1"/>
  <c r="Q95" i="19"/>
  <c r="Q93" i="19"/>
  <c r="Q94" i="19"/>
  <c r="Q96" i="19"/>
  <c r="Q97" i="19"/>
  <c r="N1028" i="61"/>
  <c r="N1035" i="61" s="1"/>
  <c r="N1024" i="61"/>
  <c r="N1042" i="61" s="1"/>
  <c r="P99" i="37"/>
  <c r="P409" i="57"/>
  <c r="P114" i="37"/>
  <c r="P137" i="45"/>
  <c r="Q363" i="37"/>
  <c r="Q364" i="37"/>
  <c r="Q605" i="61"/>
  <c r="Q606" i="61"/>
  <c r="P109" i="37"/>
  <c r="P127" i="57"/>
  <c r="Q75" i="77"/>
  <c r="Q74" i="77"/>
  <c r="Q847" i="61"/>
  <c r="Q846" i="61"/>
  <c r="O224" i="75"/>
  <c r="O91" i="27" s="1"/>
  <c r="P371" i="37"/>
  <c r="P863" i="61"/>
  <c r="N566" i="41"/>
  <c r="N573" i="41" s="1"/>
  <c r="N562" i="41"/>
  <c r="N580" i="41" s="1"/>
  <c r="O621" i="69"/>
  <c r="O90" i="27" s="1"/>
  <c r="P664" i="19"/>
  <c r="Q96" i="37"/>
  <c r="Q94" i="37"/>
  <c r="Q97" i="37"/>
  <c r="Q95" i="37"/>
  <c r="Q93" i="37"/>
  <c r="Q387" i="57"/>
  <c r="Q390" i="57"/>
  <c r="Q386" i="57"/>
  <c r="Q389" i="57"/>
  <c r="Q388" i="57"/>
  <c r="Q391" i="57"/>
  <c r="P612" i="69"/>
  <c r="N531" i="37"/>
  <c r="N538" i="37" s="1"/>
  <c r="N527" i="37"/>
  <c r="N545" i="37" s="1"/>
  <c r="P391" i="19"/>
  <c r="P211" i="75"/>
  <c r="P219" i="75"/>
  <c r="P215" i="75"/>
  <c r="P117" i="19"/>
  <c r="N552" i="45"/>
  <c r="N559" i="45" s="1"/>
  <c r="N548" i="45"/>
  <c r="N566" i="45" s="1"/>
  <c r="Q110" i="45"/>
  <c r="Q109" i="45"/>
  <c r="Q106" i="45"/>
  <c r="Q112" i="45"/>
  <c r="Q107" i="45"/>
  <c r="Q108" i="45"/>
  <c r="Q111" i="45"/>
  <c r="Q105" i="45"/>
  <c r="N827" i="19"/>
  <c r="N834" i="19" s="1"/>
  <c r="N823" i="19"/>
  <c r="N841" i="19" s="1"/>
  <c r="P364" i="19"/>
  <c r="P388" i="19"/>
  <c r="O415" i="57"/>
  <c r="O83" i="27" s="1"/>
  <c r="O870" i="61"/>
  <c r="O87" i="27" s="1"/>
  <c r="N336" i="18"/>
  <c r="N255" i="27" s="1"/>
  <c r="P374" i="19"/>
  <c r="P382" i="57"/>
  <c r="P408" i="57"/>
  <c r="P116" i="37"/>
  <c r="P618" i="69"/>
  <c r="P136" i="45"/>
  <c r="M340" i="18"/>
  <c r="Q93" i="61"/>
  <c r="Q94" i="61"/>
  <c r="Q654" i="19"/>
  <c r="Q657" i="19"/>
  <c r="Q656" i="19"/>
  <c r="Q655" i="19"/>
  <c r="Q653" i="19"/>
  <c r="Q385" i="45"/>
  <c r="Q384" i="45"/>
  <c r="P126" i="57"/>
  <c r="O133" i="57"/>
  <c r="O82" i="27" s="1"/>
  <c r="Q74" i="33"/>
  <c r="Q75" i="33"/>
  <c r="Q379" i="57"/>
  <c r="Q377" i="57"/>
  <c r="Q375" i="57"/>
  <c r="Q376" i="57"/>
  <c r="Q380" i="57"/>
  <c r="Q378" i="57"/>
  <c r="R325" i="45"/>
  <c r="R545" i="61"/>
  <c r="R304" i="41"/>
  <c r="R288" i="61"/>
  <c r="R304" i="37"/>
  <c r="R579" i="19"/>
  <c r="R304" i="49"/>
  <c r="R332" i="53"/>
  <c r="R304" i="19"/>
  <c r="R318" i="57"/>
  <c r="R538" i="69"/>
  <c r="R283" i="69"/>
  <c r="R800" i="61"/>
  <c r="R29" i="57"/>
  <c r="R29" i="37"/>
  <c r="R29" i="69"/>
  <c r="R29" i="53"/>
  <c r="R29" i="77"/>
  <c r="R29" i="61"/>
  <c r="R29" i="49"/>
  <c r="R29" i="75"/>
  <c r="R29" i="29"/>
  <c r="R29" i="41"/>
  <c r="R29" i="45"/>
  <c r="R29" i="33"/>
  <c r="R29" i="19"/>
  <c r="R29" i="18"/>
  <c r="N305" i="53"/>
  <c r="N312" i="53" s="1"/>
  <c r="N301" i="53"/>
  <c r="N319" i="53" s="1"/>
  <c r="N552" i="19"/>
  <c r="N559" i="19" s="1"/>
  <c r="N548" i="19"/>
  <c r="N566" i="19" s="1"/>
  <c r="P370" i="37"/>
  <c r="P352" i="37"/>
  <c r="N511" i="69"/>
  <c r="N518" i="69" s="1"/>
  <c r="N507" i="69"/>
  <c r="N525" i="69" s="1"/>
  <c r="P84" i="33"/>
  <c r="P666" i="19"/>
  <c r="O394" i="45"/>
  <c r="O77" i="27" s="1"/>
  <c r="Q103" i="57"/>
  <c r="Q106" i="57"/>
  <c r="Q104" i="57"/>
  <c r="Q101" i="57"/>
  <c r="Q102" i="57"/>
  <c r="Q107" i="57"/>
  <c r="Q105" i="57"/>
  <c r="Q644" i="19"/>
  <c r="Q646" i="19"/>
  <c r="Q645" i="19"/>
  <c r="Q647" i="19"/>
  <c r="Q643" i="19"/>
  <c r="Q853" i="61"/>
  <c r="Q854" i="61"/>
  <c r="P174" i="75"/>
  <c r="P390" i="19"/>
  <c r="P210" i="75"/>
  <c r="P208" i="75"/>
  <c r="P204" i="75"/>
  <c r="N338" i="18"/>
  <c r="N257" i="27" s="1"/>
  <c r="P89" i="37"/>
  <c r="P113" i="37"/>
  <c r="P127" i="45"/>
  <c r="P199" i="75"/>
  <c r="P114" i="45"/>
  <c r="P619" i="69"/>
  <c r="P135" i="45"/>
  <c r="Q88" i="77"/>
  <c r="Q89" i="77"/>
  <c r="Q350" i="61"/>
  <c r="Q351" i="61"/>
  <c r="P659" i="19"/>
  <c r="P131" i="57"/>
  <c r="Q86" i="37"/>
  <c r="Q84" i="37"/>
  <c r="Q87" i="37"/>
  <c r="Q85" i="37"/>
  <c r="Q83" i="37"/>
  <c r="Q93" i="45"/>
  <c r="Q97" i="45"/>
  <c r="Q96" i="45"/>
  <c r="Q98" i="45"/>
  <c r="Q99" i="45"/>
  <c r="Q94" i="45"/>
  <c r="Q95" i="45"/>
  <c r="Q92" i="45"/>
  <c r="Q359" i="19"/>
  <c r="Q360" i="19"/>
  <c r="Q361" i="19"/>
  <c r="Q362" i="19"/>
  <c r="Q358" i="19"/>
  <c r="O98" i="77"/>
  <c r="O92" i="27" s="1"/>
  <c r="P82" i="61"/>
  <c r="P101" i="61"/>
  <c r="P608" i="61"/>
  <c r="P639" i="19"/>
  <c r="P663" i="19"/>
  <c r="Q172" i="75"/>
  <c r="Q167" i="75"/>
  <c r="Q171" i="75"/>
  <c r="Q157" i="75"/>
  <c r="Q155" i="75"/>
  <c r="Q158" i="75"/>
  <c r="Q165" i="75"/>
  <c r="Q170" i="75"/>
  <c r="Q160" i="75"/>
  <c r="Q163" i="75"/>
  <c r="Q166" i="75"/>
  <c r="Q159" i="75"/>
  <c r="Q156" i="75"/>
  <c r="Q164" i="75"/>
  <c r="Q162" i="75"/>
  <c r="Q154" i="75"/>
  <c r="Q168" i="75"/>
  <c r="Q161" i="75"/>
  <c r="Q153" i="75"/>
  <c r="Q169" i="75"/>
  <c r="Q356" i="37"/>
  <c r="Q357" i="37"/>
  <c r="P387" i="45"/>
  <c r="P389" i="19"/>
  <c r="P221" i="75"/>
  <c r="P214" i="75"/>
  <c r="P213" i="75"/>
  <c r="N335" i="18"/>
  <c r="N254" i="27" s="1"/>
  <c r="Q80" i="61"/>
  <c r="Q79" i="61"/>
  <c r="N337" i="18"/>
  <c r="N256" i="27" s="1"/>
  <c r="P115" i="37"/>
  <c r="O140" i="45"/>
  <c r="O76" i="27" s="1"/>
  <c r="N256" i="69"/>
  <c r="N263" i="69" s="1"/>
  <c r="N252" i="69"/>
  <c r="N270" i="69" s="1"/>
  <c r="P99" i="19"/>
  <c r="P617" i="69"/>
  <c r="P101" i="45"/>
  <c r="P131" i="45"/>
  <c r="Q104" i="19"/>
  <c r="Q105" i="19"/>
  <c r="Q106" i="19"/>
  <c r="Q107" i="19"/>
  <c r="Q103" i="19"/>
  <c r="Q89" i="33"/>
  <c r="Q88" i="33"/>
  <c r="Q608" i="69"/>
  <c r="Q607" i="69"/>
  <c r="Q610" i="69"/>
  <c r="Q609" i="69"/>
  <c r="Q860" i="61"/>
  <c r="Q861" i="61"/>
  <c r="P97" i="57"/>
  <c r="P125" i="57"/>
  <c r="O119" i="37"/>
  <c r="O72" i="27" s="1"/>
  <c r="Q90" i="57"/>
  <c r="Q94" i="57"/>
  <c r="Q92" i="57"/>
  <c r="Q95" i="57"/>
  <c r="Q93" i="57"/>
  <c r="Q89" i="57"/>
  <c r="Q91" i="57"/>
  <c r="Q590" i="69"/>
  <c r="Q589" i="69"/>
  <c r="Q592" i="69"/>
  <c r="Q591" i="69"/>
  <c r="P339" i="61"/>
  <c r="P357" i="61"/>
  <c r="P100" i="61"/>
  <c r="N608" i="53"/>
  <c r="N615" i="53" s="1"/>
  <c r="N604" i="53"/>
  <c r="N622" i="53" s="1"/>
  <c r="P667" i="19"/>
  <c r="N298" i="45"/>
  <c r="N305" i="45" s="1"/>
  <c r="N294" i="45"/>
  <c r="N312" i="45" s="1"/>
  <c r="Q86" i="61"/>
  <c r="Q87" i="61"/>
  <c r="Q343" i="61"/>
  <c r="Q344" i="61"/>
  <c r="R801" i="61"/>
  <c r="R284" i="69"/>
  <c r="R539" i="69"/>
  <c r="R326" i="45"/>
  <c r="R546" i="61"/>
  <c r="R305" i="41"/>
  <c r="R305" i="49"/>
  <c r="R333" i="53"/>
  <c r="R305" i="19"/>
  <c r="R289" i="61"/>
  <c r="R319" i="57"/>
  <c r="R580" i="19"/>
  <c r="R305" i="37"/>
  <c r="R30" i="53"/>
  <c r="R30" i="61"/>
  <c r="R30" i="41"/>
  <c r="R30" i="49"/>
  <c r="R30" i="75"/>
  <c r="R30" i="57"/>
  <c r="R30" i="45"/>
  <c r="R30" i="69"/>
  <c r="R30" i="77"/>
  <c r="R30" i="37"/>
  <c r="R30" i="29"/>
  <c r="R30" i="33"/>
  <c r="R30" i="19"/>
  <c r="R30" i="18"/>
  <c r="N779" i="69"/>
  <c r="N786" i="69" s="1"/>
  <c r="N775" i="69"/>
  <c r="N793" i="69" s="1"/>
  <c r="N256" i="33"/>
  <c r="N263" i="33" s="1"/>
  <c r="N252" i="33"/>
  <c r="N270" i="33" s="1"/>
  <c r="N261" i="61"/>
  <c r="N268" i="61" s="1"/>
  <c r="N257" i="61"/>
  <c r="N275" i="61" s="1"/>
  <c r="O373" i="37"/>
  <c r="O73" i="27" s="1"/>
  <c r="P392" i="19"/>
  <c r="P212" i="75"/>
  <c r="P217" i="75"/>
  <c r="P149" i="75"/>
  <c r="P203" i="75"/>
  <c r="O98" i="33"/>
  <c r="O70" i="27" s="1"/>
  <c r="N277" i="49"/>
  <c r="N284" i="49" s="1"/>
  <c r="N273" i="49"/>
  <c r="N291" i="49" s="1"/>
  <c r="N334" i="18"/>
  <c r="N253" i="27" s="1"/>
  <c r="P665" i="19"/>
  <c r="Q599" i="69"/>
  <c r="Q601" i="69"/>
  <c r="Q598" i="69"/>
  <c r="Q600" i="69"/>
  <c r="N518" i="61"/>
  <c r="N525" i="61" s="1"/>
  <c r="N514" i="61"/>
  <c r="N532" i="61" s="1"/>
  <c r="P412" i="57"/>
  <c r="P129" i="57"/>
  <c r="P601" i="61"/>
  <c r="P616" i="69"/>
  <c r="P594" i="69"/>
  <c r="P138" i="45"/>
  <c r="Q113" i="57"/>
  <c r="Q118" i="57"/>
  <c r="Q116" i="57"/>
  <c r="Q119" i="57"/>
  <c r="Q117" i="57"/>
  <c r="Q115" i="57"/>
  <c r="Q114" i="57"/>
  <c r="Q380" i="19"/>
  <c r="Q382" i="19"/>
  <c r="Q381" i="19"/>
  <c r="Q379" i="19"/>
  <c r="Q378" i="19"/>
  <c r="Q399" i="57"/>
  <c r="Q401" i="57"/>
  <c r="Q402" i="57"/>
  <c r="Q397" i="57"/>
  <c r="Q400" i="57"/>
  <c r="Q398" i="57"/>
  <c r="Q146" i="75"/>
  <c r="Q137" i="75"/>
  <c r="Q147" i="75"/>
  <c r="Q138" i="75"/>
  <c r="Q128" i="75"/>
  <c r="Q129" i="75"/>
  <c r="Q139" i="75"/>
  <c r="Q136" i="75"/>
  <c r="Q130" i="75"/>
  <c r="Q141" i="75"/>
  <c r="Q132" i="75"/>
  <c r="Q133" i="75"/>
  <c r="Q143" i="75"/>
  <c r="Q145" i="75"/>
  <c r="Q135" i="75"/>
  <c r="Q140" i="75"/>
  <c r="Q131" i="75"/>
  <c r="Q134" i="75"/>
  <c r="Q142" i="75"/>
  <c r="Q144" i="75"/>
  <c r="O360" i="61"/>
  <c r="O85" i="27" s="1"/>
  <c r="N382" i="75"/>
  <c r="N389" i="75" s="1"/>
  <c r="N378" i="75"/>
  <c r="N396" i="75" s="1"/>
  <c r="P96" i="33"/>
  <c r="N273" i="19"/>
  <c r="N291" i="19" s="1"/>
  <c r="N277" i="19"/>
  <c r="N284" i="19" s="1"/>
  <c r="N326" i="29"/>
  <c r="N333" i="29" s="1"/>
  <c r="N322" i="29"/>
  <c r="N340" i="29" s="1"/>
  <c r="P359" i="37"/>
  <c r="N552" i="49"/>
  <c r="N559" i="49" s="1"/>
  <c r="N548" i="49"/>
  <c r="N566" i="49" s="1"/>
  <c r="N773" i="61"/>
  <c r="N780" i="61" s="1"/>
  <c r="N769" i="61"/>
  <c r="N787" i="61" s="1"/>
  <c r="P109" i="19"/>
  <c r="Q82" i="33"/>
  <c r="Q81" i="33"/>
  <c r="Q81" i="77"/>
  <c r="Q82" i="77"/>
  <c r="P649" i="19"/>
  <c r="P96" i="61"/>
  <c r="O669" i="19"/>
  <c r="O71" i="27" s="1"/>
  <c r="P849" i="61"/>
  <c r="P867" i="61"/>
  <c r="N291" i="57"/>
  <c r="N298" i="57" s="1"/>
  <c r="N287" i="57"/>
  <c r="N305" i="57" s="1"/>
  <c r="P218" i="75"/>
  <c r="P207" i="75"/>
  <c r="P114" i="19"/>
  <c r="Q105" i="37"/>
  <c r="Q107" i="37"/>
  <c r="Q106" i="37"/>
  <c r="Q103" i="37"/>
  <c r="Q104" i="37"/>
  <c r="Q84" i="19"/>
  <c r="Q87" i="19"/>
  <c r="Q85" i="19"/>
  <c r="Q86" i="19"/>
  <c r="Q83" i="19"/>
  <c r="Q591" i="61"/>
  <c r="Q592" i="61"/>
  <c r="Q634" i="19"/>
  <c r="Q636" i="19"/>
  <c r="Q635" i="19"/>
  <c r="Q637" i="19"/>
  <c r="Q633" i="19"/>
  <c r="P77" i="77"/>
  <c r="P95" i="77"/>
  <c r="N573" i="57"/>
  <c r="N580" i="57" s="1"/>
  <c r="N569" i="57"/>
  <c r="N587" i="57" s="1"/>
  <c r="P95" i="33"/>
  <c r="P77" i="33"/>
  <c r="Q598" i="61"/>
  <c r="Q599" i="61"/>
  <c r="P868" i="61"/>
  <c r="O103" i="61"/>
  <c r="O84" i="27" s="1"/>
  <c r="P220" i="75"/>
  <c r="P206" i="75"/>
  <c r="P116" i="19"/>
  <c r="Q190" i="75"/>
  <c r="Q180" i="75"/>
  <c r="Q186" i="75"/>
  <c r="Q192" i="75"/>
  <c r="Q183" i="75"/>
  <c r="Q196" i="75"/>
  <c r="Q181" i="75"/>
  <c r="Q189" i="75"/>
  <c r="Q191" i="75"/>
  <c r="Q179" i="75"/>
  <c r="Q193" i="75"/>
  <c r="Q195" i="75"/>
  <c r="Q184" i="75"/>
  <c r="Q178" i="75"/>
  <c r="Q188" i="75"/>
  <c r="Q185" i="75"/>
  <c r="Q197" i="75"/>
  <c r="Q187" i="75"/>
  <c r="Q194" i="75"/>
  <c r="Q182" i="75"/>
  <c r="Q336" i="61"/>
  <c r="Q337" i="61"/>
  <c r="P373" i="45"/>
  <c r="P391" i="45"/>
  <c r="N339" i="18"/>
  <c r="N258" i="27" s="1"/>
  <c r="N333" i="18"/>
  <c r="N329" i="18"/>
  <c r="N347" i="18" s="1"/>
  <c r="P612" i="61"/>
  <c r="P594" i="61"/>
  <c r="O615" i="61"/>
  <c r="O86" i="27" s="1"/>
  <c r="P133" i="45"/>
  <c r="Q123" i="45"/>
  <c r="Q122" i="45"/>
  <c r="Q119" i="45"/>
  <c r="Q125" i="45"/>
  <c r="Q120" i="45"/>
  <c r="Q124" i="45"/>
  <c r="Q121" i="45"/>
  <c r="Q118" i="45"/>
  <c r="R306" i="49"/>
  <c r="R334" i="53"/>
  <c r="R306" i="19"/>
  <c r="R320" i="57"/>
  <c r="R540" i="69"/>
  <c r="R290" i="61"/>
  <c r="R306" i="37"/>
  <c r="R581" i="19"/>
  <c r="R285" i="69"/>
  <c r="R802" i="61"/>
  <c r="R547" i="61"/>
  <c r="R306" i="41"/>
  <c r="R327" i="45"/>
  <c r="R31" i="49"/>
  <c r="R31" i="57"/>
  <c r="R31" i="37"/>
  <c r="R31" i="45"/>
  <c r="R31" i="69"/>
  <c r="R31" i="53"/>
  <c r="R31" i="77"/>
  <c r="R31" i="61"/>
  <c r="R31" i="41"/>
  <c r="R31" i="33"/>
  <c r="R31" i="29"/>
  <c r="R31" i="75"/>
  <c r="R31" i="19"/>
  <c r="R31" i="18"/>
  <c r="P130" i="57"/>
  <c r="Q370" i="45"/>
  <c r="Q371" i="45"/>
  <c r="Q349" i="37"/>
  <c r="Q350" i="37"/>
  <c r="P404" i="57"/>
  <c r="N256" i="77"/>
  <c r="N263" i="77" s="1"/>
  <c r="N252" i="77"/>
  <c r="N270" i="77" s="1"/>
  <c r="N277" i="41"/>
  <c r="N284" i="41" s="1"/>
  <c r="N273" i="41"/>
  <c r="N291" i="41" s="1"/>
  <c r="N277" i="37"/>
  <c r="N284" i="37" s="1"/>
  <c r="N273" i="37"/>
  <c r="N291" i="37" s="1"/>
  <c r="O119" i="19"/>
  <c r="O67" i="27" s="1"/>
  <c r="Q369" i="19"/>
  <c r="Q372" i="19"/>
  <c r="Q370" i="19"/>
  <c r="Q371" i="19"/>
  <c r="Q368" i="19"/>
  <c r="Q378" i="45"/>
  <c r="Q377" i="45"/>
  <c r="P209" i="75"/>
  <c r="P216" i="75"/>
  <c r="P89" i="19"/>
  <c r="P113" i="19"/>
  <c r="J132" i="18" l="1"/>
  <c r="J114" i="18"/>
  <c r="J150" i="18"/>
  <c r="J133" i="18"/>
  <c r="J151" i="18"/>
  <c r="J115" i="18"/>
  <c r="J94" i="18"/>
  <c r="J34" i="27" s="1"/>
  <c r="J113" i="18"/>
  <c r="J149" i="18"/>
  <c r="J131" i="18"/>
  <c r="Q159" i="29"/>
  <c r="N113" i="79"/>
  <c r="N109" i="79"/>
  <c r="N478" i="57"/>
  <c r="N591" i="57" s="1"/>
  <c r="N162" i="19"/>
  <c r="N267" i="75"/>
  <c r="N458" i="57"/>
  <c r="N128" i="27"/>
  <c r="N128" i="78" s="1"/>
  <c r="N128" i="79" s="1"/>
  <c r="N684" i="69"/>
  <c r="N796" i="69" s="1"/>
  <c r="P408" i="19"/>
  <c r="P414" i="19"/>
  <c r="P416" i="19"/>
  <c r="P401" i="19"/>
  <c r="P404" i="19"/>
  <c r="P402" i="19"/>
  <c r="P405" i="19"/>
  <c r="P407" i="19"/>
  <c r="P403" i="19"/>
  <c r="P411" i="19"/>
  <c r="P406" i="19"/>
  <c r="P409" i="19"/>
  <c r="P412" i="19"/>
  <c r="P410" i="19"/>
  <c r="P413" i="19"/>
  <c r="P415" i="19"/>
  <c r="P109" i="77"/>
  <c r="P112" i="77"/>
  <c r="P110" i="77"/>
  <c r="P114" i="77"/>
  <c r="P113" i="77"/>
  <c r="P105" i="77"/>
  <c r="P106" i="77"/>
  <c r="P116" i="77"/>
  <c r="P108" i="77"/>
  <c r="P117" i="77"/>
  <c r="P118" i="77"/>
  <c r="P120" i="77"/>
  <c r="P119" i="77"/>
  <c r="P107" i="77"/>
  <c r="P115" i="77"/>
  <c r="P111" i="77"/>
  <c r="P891" i="61"/>
  <c r="P881" i="61"/>
  <c r="P890" i="61"/>
  <c r="P888" i="61"/>
  <c r="P878" i="61"/>
  <c r="P892" i="61"/>
  <c r="P877" i="61"/>
  <c r="P879" i="61"/>
  <c r="P889" i="61"/>
  <c r="P886" i="61"/>
  <c r="P885" i="61"/>
  <c r="P883" i="61"/>
  <c r="P887" i="61"/>
  <c r="P882" i="61"/>
  <c r="P880" i="61"/>
  <c r="P884" i="61"/>
  <c r="N493" i="53"/>
  <c r="O167" i="49"/>
  <c r="O147" i="49"/>
  <c r="O178" i="49"/>
  <c r="O158" i="49"/>
  <c r="O175" i="37"/>
  <c r="O155" i="37"/>
  <c r="O179" i="37"/>
  <c r="O159" i="37"/>
  <c r="O468" i="41"/>
  <c r="O448" i="41"/>
  <c r="O460" i="41"/>
  <c r="O440" i="41"/>
  <c r="O226" i="18"/>
  <c r="O206" i="18"/>
  <c r="O105" i="27"/>
  <c r="O105" i="78" s="1"/>
  <c r="O105" i="79" s="1"/>
  <c r="O224" i="18"/>
  <c r="O204" i="18"/>
  <c r="O103" i="27"/>
  <c r="O103" i="78" s="1"/>
  <c r="O103" i="79" s="1"/>
  <c r="O159" i="33"/>
  <c r="O139" i="33"/>
  <c r="O155" i="33"/>
  <c r="O135" i="33"/>
  <c r="O675" i="69"/>
  <c r="O655" i="69"/>
  <c r="O678" i="69"/>
  <c r="O658" i="69"/>
  <c r="O918" i="61"/>
  <c r="O898" i="61"/>
  <c r="O930" i="61"/>
  <c r="O910" i="61"/>
  <c r="O451" i="19"/>
  <c r="O431" i="19"/>
  <c r="O445" i="19"/>
  <c r="O425" i="19"/>
  <c r="N125" i="27"/>
  <c r="N125" i="78" s="1"/>
  <c r="O199" i="53"/>
  <c r="O179" i="53"/>
  <c r="O196" i="53"/>
  <c r="O176" i="53"/>
  <c r="O721" i="19"/>
  <c r="O701" i="19"/>
  <c r="O722" i="19"/>
  <c r="O702" i="19"/>
  <c r="O470" i="57"/>
  <c r="O450" i="57"/>
  <c r="O462" i="57"/>
  <c r="O442" i="57"/>
  <c r="O438" i="57"/>
  <c r="O585" i="57" s="1"/>
  <c r="N151" i="27"/>
  <c r="N151" i="78" s="1"/>
  <c r="N151" i="79" s="1"/>
  <c r="O433" i="37"/>
  <c r="O413" i="37"/>
  <c r="O431" i="37"/>
  <c r="O411" i="37"/>
  <c r="O675" i="61"/>
  <c r="O655" i="61"/>
  <c r="O666" i="61"/>
  <c r="O646" i="61"/>
  <c r="O499" i="53"/>
  <c r="O479" i="53"/>
  <c r="O490" i="53"/>
  <c r="O510" i="53"/>
  <c r="O159" i="69"/>
  <c r="O139" i="69"/>
  <c r="O151" i="69"/>
  <c r="O131" i="69"/>
  <c r="O409" i="69"/>
  <c r="O389" i="69"/>
  <c r="O387" i="69"/>
  <c r="O407" i="69"/>
  <c r="O415" i="61"/>
  <c r="O395" i="61"/>
  <c r="O413" i="61"/>
  <c r="O393" i="61"/>
  <c r="O157" i="77"/>
  <c r="O137" i="77"/>
  <c r="O151" i="77"/>
  <c r="O131" i="77"/>
  <c r="O160" i="61"/>
  <c r="O140" i="61"/>
  <c r="O165" i="61"/>
  <c r="O145" i="61"/>
  <c r="O444" i="45"/>
  <c r="O424" i="45"/>
  <c r="O454" i="45"/>
  <c r="O434" i="45"/>
  <c r="O283" i="75"/>
  <c r="O263" i="75"/>
  <c r="O280" i="75"/>
  <c r="O260" i="75"/>
  <c r="O181" i="57"/>
  <c r="O161" i="57"/>
  <c r="O185" i="57"/>
  <c r="O165" i="57"/>
  <c r="O191" i="45"/>
  <c r="O171" i="45"/>
  <c r="O196" i="45"/>
  <c r="O176" i="45"/>
  <c r="O166" i="41"/>
  <c r="O146" i="41"/>
  <c r="O142" i="41"/>
  <c r="O289" i="41" s="1"/>
  <c r="O174" i="41"/>
  <c r="O154" i="41"/>
  <c r="N183" i="45"/>
  <c r="O441" i="49"/>
  <c r="O421" i="49"/>
  <c r="O417" i="49"/>
  <c r="O564" i="49" s="1"/>
  <c r="O445" i="49"/>
  <c r="O425" i="49"/>
  <c r="O205" i="29"/>
  <c r="O225" i="29"/>
  <c r="O228" i="29"/>
  <c r="O208" i="29"/>
  <c r="O181" i="19"/>
  <c r="O161" i="19"/>
  <c r="O173" i="19"/>
  <c r="O153" i="19"/>
  <c r="P119" i="61"/>
  <c r="P123" i="61"/>
  <c r="P110" i="61"/>
  <c r="P113" i="61"/>
  <c r="P114" i="61"/>
  <c r="P112" i="61"/>
  <c r="P120" i="61"/>
  <c r="P122" i="61"/>
  <c r="P117" i="61"/>
  <c r="P118" i="61"/>
  <c r="P121" i="61"/>
  <c r="P124" i="61"/>
  <c r="P115" i="61"/>
  <c r="P111" i="61"/>
  <c r="P125" i="61"/>
  <c r="P116" i="61"/>
  <c r="P186" i="18"/>
  <c r="P189" i="18"/>
  <c r="P192" i="18"/>
  <c r="P182" i="18"/>
  <c r="P185" i="18"/>
  <c r="P191" i="18"/>
  <c r="P188" i="18"/>
  <c r="P194" i="18"/>
  <c r="P197" i="18"/>
  <c r="P183" i="18"/>
  <c r="P190" i="18"/>
  <c r="P193" i="18"/>
  <c r="P184" i="18"/>
  <c r="P196" i="18"/>
  <c r="P195" i="18"/>
  <c r="P187" i="18"/>
  <c r="P127" i="41"/>
  <c r="P130" i="41"/>
  <c r="P133" i="41"/>
  <c r="P136" i="41"/>
  <c r="P139" i="41"/>
  <c r="P126" i="41"/>
  <c r="P129" i="41"/>
  <c r="P135" i="41"/>
  <c r="P138" i="41"/>
  <c r="P141" i="41"/>
  <c r="P132" i="41"/>
  <c r="P128" i="41"/>
  <c r="P131" i="41"/>
  <c r="P134" i="41"/>
  <c r="P137" i="41"/>
  <c r="P140" i="41"/>
  <c r="N161" i="69"/>
  <c r="N273" i="69" s="1"/>
  <c r="N238" i="18"/>
  <c r="N141" i="27"/>
  <c r="N416" i="37"/>
  <c r="O179" i="49"/>
  <c r="O159" i="49"/>
  <c r="O175" i="49"/>
  <c r="O155" i="49"/>
  <c r="O174" i="37"/>
  <c r="O154" i="37"/>
  <c r="O176" i="37"/>
  <c r="O156" i="37"/>
  <c r="O463" i="41"/>
  <c r="O443" i="41"/>
  <c r="O467" i="41"/>
  <c r="O447" i="41"/>
  <c r="O114" i="27"/>
  <c r="O114" i="78" s="1"/>
  <c r="O114" i="79" s="1"/>
  <c r="O215" i="18"/>
  <c r="O235" i="18"/>
  <c r="O236" i="18"/>
  <c r="O216" i="18"/>
  <c r="O115" i="27"/>
  <c r="O115" i="78" s="1"/>
  <c r="O115" i="79" s="1"/>
  <c r="O160" i="33"/>
  <c r="O140" i="33"/>
  <c r="O152" i="33"/>
  <c r="O132" i="33"/>
  <c r="O682" i="69"/>
  <c r="O662" i="69"/>
  <c r="O672" i="69"/>
  <c r="O652" i="69"/>
  <c r="O920" i="61"/>
  <c r="O900" i="61"/>
  <c r="O926" i="61"/>
  <c r="O906" i="61"/>
  <c r="O456" i="19"/>
  <c r="O436" i="19"/>
  <c r="O447" i="19"/>
  <c r="O427" i="19"/>
  <c r="O198" i="53"/>
  <c r="O178" i="53"/>
  <c r="O208" i="53"/>
  <c r="O188" i="53"/>
  <c r="O719" i="19"/>
  <c r="O699" i="19"/>
  <c r="O729" i="19"/>
  <c r="O709" i="19"/>
  <c r="O447" i="57"/>
  <c r="O467" i="57"/>
  <c r="O463" i="57"/>
  <c r="O443" i="57"/>
  <c r="N396" i="69"/>
  <c r="O430" i="37"/>
  <c r="O410" i="37"/>
  <c r="O428" i="37"/>
  <c r="O408" i="37"/>
  <c r="O677" i="61"/>
  <c r="O657" i="61"/>
  <c r="O673" i="61"/>
  <c r="O653" i="61"/>
  <c r="O506" i="53"/>
  <c r="O486" i="53"/>
  <c r="O507" i="53"/>
  <c r="O487" i="53"/>
  <c r="O157" i="69"/>
  <c r="O137" i="69"/>
  <c r="O156" i="69"/>
  <c r="O136" i="69"/>
  <c r="O384" i="69"/>
  <c r="O404" i="69"/>
  <c r="O401" i="69"/>
  <c r="O381" i="69"/>
  <c r="O407" i="61"/>
  <c r="O387" i="61"/>
  <c r="O383" i="61"/>
  <c r="O530" i="61" s="1"/>
  <c r="O410" i="61"/>
  <c r="O390" i="61"/>
  <c r="O149" i="77"/>
  <c r="O129" i="77"/>
  <c r="O147" i="77"/>
  <c r="O127" i="77"/>
  <c r="N123" i="27"/>
  <c r="N123" i="78" s="1"/>
  <c r="N123" i="79" s="1"/>
  <c r="O150" i="61"/>
  <c r="O130" i="61"/>
  <c r="O126" i="61"/>
  <c r="O273" i="61" s="1"/>
  <c r="O159" i="61"/>
  <c r="O139" i="61"/>
  <c r="O423" i="45"/>
  <c r="O443" i="45"/>
  <c r="O453" i="45"/>
  <c r="O433" i="45"/>
  <c r="O274" i="75"/>
  <c r="O254" i="75"/>
  <c r="O277" i="75"/>
  <c r="O257" i="75"/>
  <c r="O189" i="57"/>
  <c r="O169" i="57"/>
  <c r="O191" i="57"/>
  <c r="O171" i="57"/>
  <c r="O188" i="45"/>
  <c r="O168" i="45"/>
  <c r="O200" i="45"/>
  <c r="O180" i="45"/>
  <c r="O167" i="41"/>
  <c r="O147" i="41"/>
  <c r="O171" i="41"/>
  <c r="O151" i="41"/>
  <c r="N203" i="45"/>
  <c r="N316" i="45" s="1"/>
  <c r="O447" i="49"/>
  <c r="O427" i="49"/>
  <c r="O456" i="49"/>
  <c r="O436" i="49"/>
  <c r="O217" i="29"/>
  <c r="O197" i="29"/>
  <c r="O201" i="29"/>
  <c r="O221" i="29"/>
  <c r="O178" i="19"/>
  <c r="O158" i="19"/>
  <c r="O170" i="19"/>
  <c r="O150" i="19"/>
  <c r="P393" i="37"/>
  <c r="P381" i="37"/>
  <c r="P384" i="37"/>
  <c r="P387" i="37"/>
  <c r="P390" i="37"/>
  <c r="P380" i="37"/>
  <c r="P383" i="37"/>
  <c r="P386" i="37"/>
  <c r="P389" i="37"/>
  <c r="P392" i="37"/>
  <c r="P395" i="37"/>
  <c r="P385" i="37"/>
  <c r="P388" i="37"/>
  <c r="P391" i="37"/>
  <c r="P382" i="37"/>
  <c r="P394" i="37"/>
  <c r="N148" i="27"/>
  <c r="N148" i="78" s="1"/>
  <c r="N148" i="79" s="1"/>
  <c r="N141" i="69"/>
  <c r="N117" i="27"/>
  <c r="N101" i="78"/>
  <c r="N436" i="37"/>
  <c r="N549" i="37" s="1"/>
  <c r="O176" i="49"/>
  <c r="O156" i="49"/>
  <c r="O168" i="49"/>
  <c r="O148" i="49"/>
  <c r="O181" i="37"/>
  <c r="O161" i="37"/>
  <c r="O172" i="37"/>
  <c r="O152" i="37"/>
  <c r="O464" i="41"/>
  <c r="O444" i="41"/>
  <c r="O469" i="41"/>
  <c r="O449" i="41"/>
  <c r="O232" i="18"/>
  <c r="O212" i="18"/>
  <c r="O111" i="27"/>
  <c r="O111" i="78" s="1"/>
  <c r="O111" i="79" s="1"/>
  <c r="O233" i="18"/>
  <c r="O213" i="18"/>
  <c r="O112" i="27"/>
  <c r="O112" i="78" s="1"/>
  <c r="O112" i="79" s="1"/>
  <c r="O157" i="33"/>
  <c r="O137" i="33"/>
  <c r="O149" i="33"/>
  <c r="O129" i="33"/>
  <c r="O676" i="69"/>
  <c r="O656" i="69"/>
  <c r="O671" i="69"/>
  <c r="O651" i="69"/>
  <c r="O921" i="61"/>
  <c r="O901" i="61"/>
  <c r="O928" i="61"/>
  <c r="O908" i="61"/>
  <c r="O453" i="19"/>
  <c r="O433" i="19"/>
  <c r="O444" i="19"/>
  <c r="O424" i="19"/>
  <c r="N153" i="27"/>
  <c r="N153" i="78" s="1"/>
  <c r="N141" i="77"/>
  <c r="O203" i="53"/>
  <c r="O183" i="53"/>
  <c r="O207" i="53"/>
  <c r="O187" i="53"/>
  <c r="O730" i="19"/>
  <c r="O710" i="19"/>
  <c r="O718" i="19"/>
  <c r="O698" i="19"/>
  <c r="O444" i="57"/>
  <c r="O464" i="57"/>
  <c r="O455" i="57"/>
  <c r="O475" i="57"/>
  <c r="N136" i="27"/>
  <c r="N136" i="78" s="1"/>
  <c r="O435" i="37"/>
  <c r="O415" i="37"/>
  <c r="O427" i="37"/>
  <c r="O407" i="37"/>
  <c r="O676" i="61"/>
  <c r="O656" i="61"/>
  <c r="O674" i="61"/>
  <c r="O654" i="61"/>
  <c r="O512" i="53"/>
  <c r="O492" i="53"/>
  <c r="O504" i="53"/>
  <c r="O484" i="53"/>
  <c r="O149" i="69"/>
  <c r="O129" i="69"/>
  <c r="O155" i="69"/>
  <c r="O135" i="69"/>
  <c r="O412" i="69"/>
  <c r="O392" i="69"/>
  <c r="O393" i="69"/>
  <c r="O413" i="69"/>
  <c r="O421" i="61"/>
  <c r="O401" i="61"/>
  <c r="O408" i="61"/>
  <c r="O388" i="61"/>
  <c r="O150" i="77"/>
  <c r="O130" i="77"/>
  <c r="O148" i="77"/>
  <c r="O128" i="77"/>
  <c r="N143" i="27"/>
  <c r="N143" i="78" s="1"/>
  <c r="N143" i="79" s="1"/>
  <c r="O155" i="61"/>
  <c r="O135" i="61"/>
  <c r="O158" i="61"/>
  <c r="O138" i="61"/>
  <c r="O442" i="45"/>
  <c r="O422" i="45"/>
  <c r="O441" i="45"/>
  <c r="O421" i="45"/>
  <c r="O417" i="45"/>
  <c r="O564" i="45" s="1"/>
  <c r="O271" i="75"/>
  <c r="O251" i="75"/>
  <c r="O247" i="75"/>
  <c r="O394" i="75" s="1"/>
  <c r="O281" i="75"/>
  <c r="O261" i="75"/>
  <c r="O194" i="57"/>
  <c r="O174" i="57"/>
  <c r="O175" i="57"/>
  <c r="O195" i="57"/>
  <c r="O192" i="45"/>
  <c r="O172" i="45"/>
  <c r="O199" i="45"/>
  <c r="O179" i="45"/>
  <c r="O179" i="41"/>
  <c r="O159" i="41"/>
  <c r="O168" i="41"/>
  <c r="O148" i="41"/>
  <c r="N130" i="27"/>
  <c r="N130" i="78" s="1"/>
  <c r="N130" i="79" s="1"/>
  <c r="O446" i="49"/>
  <c r="O426" i="49"/>
  <c r="O444" i="49"/>
  <c r="O424" i="49"/>
  <c r="O218" i="29"/>
  <c r="O198" i="29"/>
  <c r="O215" i="29"/>
  <c r="O195" i="29"/>
  <c r="O191" i="29"/>
  <c r="O338" i="29" s="1"/>
  <c r="O175" i="19"/>
  <c r="O155" i="19"/>
  <c r="O167" i="19"/>
  <c r="O147" i="19"/>
  <c r="P127" i="37"/>
  <c r="P141" i="37"/>
  <c r="P129" i="37"/>
  <c r="P134" i="37"/>
  <c r="P135" i="37"/>
  <c r="P132" i="37"/>
  <c r="P128" i="37"/>
  <c r="P131" i="37"/>
  <c r="P137" i="37"/>
  <c r="P140" i="37"/>
  <c r="P126" i="37"/>
  <c r="P133" i="37"/>
  <c r="P136" i="37"/>
  <c r="P139" i="37"/>
  <c r="P138" i="37"/>
  <c r="P130" i="37"/>
  <c r="P681" i="19"/>
  <c r="P680" i="19"/>
  <c r="P683" i="19"/>
  <c r="P687" i="19"/>
  <c r="P676" i="19"/>
  <c r="P678" i="19"/>
  <c r="P689" i="19"/>
  <c r="P682" i="19"/>
  <c r="P688" i="19"/>
  <c r="P691" i="19"/>
  <c r="P677" i="19"/>
  <c r="P684" i="19"/>
  <c r="P686" i="19"/>
  <c r="P679" i="19"/>
  <c r="P690" i="19"/>
  <c r="P685" i="19"/>
  <c r="P154" i="53"/>
  <c r="P166" i="53"/>
  <c r="P161" i="53"/>
  <c r="P167" i="53"/>
  <c r="P160" i="53"/>
  <c r="P155" i="53"/>
  <c r="P156" i="53"/>
  <c r="P162" i="53"/>
  <c r="P157" i="53"/>
  <c r="P169" i="53"/>
  <c r="P168" i="53"/>
  <c r="P163" i="53"/>
  <c r="P158" i="53"/>
  <c r="P164" i="53"/>
  <c r="P165" i="53"/>
  <c r="P159" i="53"/>
  <c r="N658" i="61"/>
  <c r="O172" i="49"/>
  <c r="O152" i="49"/>
  <c r="O180" i="49"/>
  <c r="O160" i="49"/>
  <c r="O180" i="37"/>
  <c r="O160" i="37"/>
  <c r="O150" i="37"/>
  <c r="O170" i="37"/>
  <c r="O455" i="41"/>
  <c r="O435" i="41"/>
  <c r="O431" i="41"/>
  <c r="O578" i="41" s="1"/>
  <c r="O457" i="41"/>
  <c r="O437" i="41"/>
  <c r="O229" i="18"/>
  <c r="O209" i="18"/>
  <c r="O108" i="27"/>
  <c r="O108" i="78" s="1"/>
  <c r="O108" i="79" s="1"/>
  <c r="O230" i="18"/>
  <c r="O210" i="18"/>
  <c r="O109" i="27"/>
  <c r="O109" i="78" s="1"/>
  <c r="O109" i="79" s="1"/>
  <c r="O154" i="33"/>
  <c r="O134" i="33"/>
  <c r="O146" i="33"/>
  <c r="O126" i="33"/>
  <c r="O680" i="69"/>
  <c r="O660" i="69"/>
  <c r="O679" i="69"/>
  <c r="O659" i="69"/>
  <c r="O931" i="61"/>
  <c r="O911" i="61"/>
  <c r="O929" i="61"/>
  <c r="O909" i="61"/>
  <c r="O455" i="19"/>
  <c r="O435" i="19"/>
  <c r="O441" i="19"/>
  <c r="O421" i="19"/>
  <c r="O417" i="19"/>
  <c r="O564" i="19" s="1"/>
  <c r="N133" i="27"/>
  <c r="N133" i="78" s="1"/>
  <c r="N161" i="77"/>
  <c r="N274" i="77" s="1"/>
  <c r="O204" i="53"/>
  <c r="O184" i="53"/>
  <c r="O201" i="53"/>
  <c r="O181" i="53"/>
  <c r="O726" i="19"/>
  <c r="O706" i="19"/>
  <c r="O727" i="19"/>
  <c r="O707" i="19"/>
  <c r="O451" i="57"/>
  <c r="O471" i="57"/>
  <c r="O452" i="57"/>
  <c r="O472" i="57"/>
  <c r="N416" i="69"/>
  <c r="N529" i="69" s="1"/>
  <c r="N156" i="27"/>
  <c r="N156" i="78" s="1"/>
  <c r="N162" i="37"/>
  <c r="O432" i="37"/>
  <c r="O412" i="37"/>
  <c r="O424" i="37"/>
  <c r="O404" i="37"/>
  <c r="O662" i="61"/>
  <c r="O642" i="61"/>
  <c r="O638" i="61"/>
  <c r="O785" i="61" s="1"/>
  <c r="O663" i="61"/>
  <c r="O643" i="61"/>
  <c r="N134" i="27"/>
  <c r="N134" i="78" s="1"/>
  <c r="O501" i="53"/>
  <c r="O481" i="53"/>
  <c r="O509" i="53"/>
  <c r="O489" i="53"/>
  <c r="O130" i="69"/>
  <c r="O150" i="69"/>
  <c r="O152" i="69"/>
  <c r="O132" i="69"/>
  <c r="O400" i="69"/>
  <c r="O380" i="69"/>
  <c r="O376" i="69"/>
  <c r="O523" i="69" s="1"/>
  <c r="O406" i="69"/>
  <c r="O386" i="69"/>
  <c r="O422" i="61"/>
  <c r="O402" i="61"/>
  <c r="O418" i="61"/>
  <c r="O398" i="61"/>
  <c r="O160" i="77"/>
  <c r="O140" i="77"/>
  <c r="O121" i="77"/>
  <c r="O268" i="77" s="1"/>
  <c r="O145" i="77"/>
  <c r="O125" i="77"/>
  <c r="N451" i="41"/>
  <c r="N437" i="19"/>
  <c r="O151" i="61"/>
  <c r="O131" i="61"/>
  <c r="O162" i="61"/>
  <c r="O142" i="61"/>
  <c r="O451" i="45"/>
  <c r="O431" i="45"/>
  <c r="O452" i="45"/>
  <c r="O432" i="45"/>
  <c r="O272" i="75"/>
  <c r="O252" i="75"/>
  <c r="O275" i="75"/>
  <c r="O255" i="75"/>
  <c r="O182" i="57"/>
  <c r="O162" i="57"/>
  <c r="O167" i="57"/>
  <c r="O187" i="57"/>
  <c r="O197" i="45"/>
  <c r="O177" i="45"/>
  <c r="O189" i="45"/>
  <c r="O169" i="45"/>
  <c r="O176" i="41"/>
  <c r="O156" i="41"/>
  <c r="O175" i="41"/>
  <c r="O155" i="41"/>
  <c r="N437" i="49"/>
  <c r="N127" i="27"/>
  <c r="N127" i="78" s="1"/>
  <c r="N127" i="79" s="1"/>
  <c r="N150" i="27"/>
  <c r="N150" i="78" s="1"/>
  <c r="N150" i="79" s="1"/>
  <c r="O448" i="49"/>
  <c r="O428" i="49"/>
  <c r="O454" i="49"/>
  <c r="O434" i="49"/>
  <c r="O229" i="29"/>
  <c r="O209" i="29"/>
  <c r="O226" i="29"/>
  <c r="O206" i="29"/>
  <c r="O172" i="19"/>
  <c r="O152" i="19"/>
  <c r="O180" i="19"/>
  <c r="O160" i="19"/>
  <c r="P110" i="69"/>
  <c r="P116" i="69"/>
  <c r="P105" i="69"/>
  <c r="P117" i="69"/>
  <c r="P115" i="69"/>
  <c r="P118" i="69"/>
  <c r="P111" i="69"/>
  <c r="P107" i="69"/>
  <c r="P112" i="69"/>
  <c r="P113" i="69"/>
  <c r="P114" i="69"/>
  <c r="P119" i="69"/>
  <c r="P120" i="69"/>
  <c r="P108" i="69"/>
  <c r="P109" i="69"/>
  <c r="P106" i="69"/>
  <c r="P127" i="19"/>
  <c r="P130" i="19"/>
  <c r="P133" i="19"/>
  <c r="P136" i="19"/>
  <c r="P139" i="19"/>
  <c r="P126" i="19"/>
  <c r="P129" i="19"/>
  <c r="P132" i="19"/>
  <c r="P135" i="19"/>
  <c r="P138" i="19"/>
  <c r="P141" i="19"/>
  <c r="P128" i="19"/>
  <c r="P131" i="19"/>
  <c r="P134" i="19"/>
  <c r="P137" i="19"/>
  <c r="P140" i="19"/>
  <c r="P639" i="69"/>
  <c r="P632" i="69"/>
  <c r="P634" i="69"/>
  <c r="P633" i="69"/>
  <c r="P636" i="69"/>
  <c r="P635" i="69"/>
  <c r="P641" i="69"/>
  <c r="P638" i="69"/>
  <c r="P628" i="69"/>
  <c r="P629" i="69"/>
  <c r="P640" i="69"/>
  <c r="P642" i="69"/>
  <c r="P630" i="69"/>
  <c r="P637" i="69"/>
  <c r="P631" i="69"/>
  <c r="P643" i="69"/>
  <c r="P382" i="61"/>
  <c r="P376" i="61"/>
  <c r="P381" i="61"/>
  <c r="P379" i="61"/>
  <c r="P368" i="61"/>
  <c r="P369" i="61"/>
  <c r="P371" i="61"/>
  <c r="P367" i="61"/>
  <c r="P370" i="61"/>
  <c r="P374" i="61"/>
  <c r="P377" i="61"/>
  <c r="P380" i="61"/>
  <c r="P373" i="61"/>
  <c r="P375" i="61"/>
  <c r="P378" i="61"/>
  <c r="P372" i="61"/>
  <c r="P416" i="45"/>
  <c r="P405" i="45"/>
  <c r="P403" i="45"/>
  <c r="P407" i="45"/>
  <c r="P406" i="45"/>
  <c r="P404" i="45"/>
  <c r="P402" i="45"/>
  <c r="P414" i="45"/>
  <c r="P415" i="45"/>
  <c r="P408" i="45"/>
  <c r="P401" i="45"/>
  <c r="P412" i="45"/>
  <c r="P413" i="45"/>
  <c r="P409" i="45"/>
  <c r="P410" i="45"/>
  <c r="P411" i="45"/>
  <c r="P425" i="57"/>
  <c r="P428" i="57"/>
  <c r="P424" i="57"/>
  <c r="P427" i="57"/>
  <c r="P430" i="57"/>
  <c r="P433" i="57"/>
  <c r="P436" i="57"/>
  <c r="P423" i="57"/>
  <c r="P426" i="57"/>
  <c r="P429" i="57"/>
  <c r="P432" i="57"/>
  <c r="P435" i="57"/>
  <c r="P422" i="57"/>
  <c r="P431" i="57"/>
  <c r="P434" i="57"/>
  <c r="P437" i="57"/>
  <c r="P155" i="45"/>
  <c r="P158" i="45"/>
  <c r="P151" i="45"/>
  <c r="P154" i="45"/>
  <c r="P156" i="45"/>
  <c r="P161" i="45"/>
  <c r="P160" i="45"/>
  <c r="P149" i="45"/>
  <c r="P152" i="45"/>
  <c r="P148" i="45"/>
  <c r="P159" i="45"/>
  <c r="P162" i="45"/>
  <c r="P147" i="45"/>
  <c r="P150" i="45"/>
  <c r="P157" i="45"/>
  <c r="P153" i="45"/>
  <c r="P360" i="69"/>
  <c r="P366" i="69"/>
  <c r="P372" i="69"/>
  <c r="P367" i="69"/>
  <c r="P373" i="69"/>
  <c r="P362" i="69"/>
  <c r="P371" i="69"/>
  <c r="P368" i="69"/>
  <c r="P363" i="69"/>
  <c r="P369" i="69"/>
  <c r="P361" i="69"/>
  <c r="P374" i="69"/>
  <c r="P375" i="69"/>
  <c r="P370" i="69"/>
  <c r="P364" i="69"/>
  <c r="P365" i="69"/>
  <c r="N437" i="45"/>
  <c r="N678" i="61"/>
  <c r="N790" i="61" s="1"/>
  <c r="N162" i="41"/>
  <c r="N122" i="27"/>
  <c r="N122" i="78" s="1"/>
  <c r="N122" i="79" s="1"/>
  <c r="O169" i="49"/>
  <c r="O149" i="49"/>
  <c r="O177" i="49"/>
  <c r="O157" i="49"/>
  <c r="O173" i="37"/>
  <c r="O153" i="37"/>
  <c r="O166" i="37"/>
  <c r="O142" i="37"/>
  <c r="O289" i="37" s="1"/>
  <c r="O146" i="37"/>
  <c r="O465" i="41"/>
  <c r="O445" i="41"/>
  <c r="O462" i="41"/>
  <c r="O442" i="41"/>
  <c r="O237" i="18"/>
  <c r="O217" i="18"/>
  <c r="O116" i="27"/>
  <c r="O116" i="78" s="1"/>
  <c r="O116" i="79" s="1"/>
  <c r="O203" i="18"/>
  <c r="O102" i="27"/>
  <c r="O102" i="78" s="1"/>
  <c r="O102" i="79" s="1"/>
  <c r="O223" i="18"/>
  <c r="O156" i="33"/>
  <c r="O136" i="33"/>
  <c r="O148" i="33"/>
  <c r="O128" i="33"/>
  <c r="O683" i="69"/>
  <c r="O663" i="69"/>
  <c r="O654" i="69"/>
  <c r="O674" i="69"/>
  <c r="O919" i="61"/>
  <c r="O899" i="61"/>
  <c r="O924" i="61"/>
  <c r="O904" i="61"/>
  <c r="O454" i="19"/>
  <c r="O434" i="19"/>
  <c r="O452" i="19"/>
  <c r="O432" i="19"/>
  <c r="O209" i="53"/>
  <c r="O189" i="53"/>
  <c r="O206" i="53"/>
  <c r="O186" i="53"/>
  <c r="O723" i="19"/>
  <c r="O703" i="19"/>
  <c r="O716" i="19"/>
  <c r="O696" i="19"/>
  <c r="O692" i="19"/>
  <c r="O839" i="19" s="1"/>
  <c r="O468" i="57"/>
  <c r="O448" i="57"/>
  <c r="O469" i="57"/>
  <c r="O449" i="57"/>
  <c r="N182" i="37"/>
  <c r="N295" i="37" s="1"/>
  <c r="O429" i="37"/>
  <c r="O409" i="37"/>
  <c r="O421" i="37"/>
  <c r="O401" i="37"/>
  <c r="O664" i="61"/>
  <c r="O644" i="61"/>
  <c r="O670" i="61"/>
  <c r="O650" i="61"/>
  <c r="N154" i="27"/>
  <c r="N154" i="78" s="1"/>
  <c r="O511" i="53"/>
  <c r="O491" i="53"/>
  <c r="O503" i="53"/>
  <c r="O483" i="53"/>
  <c r="O134" i="69"/>
  <c r="O154" i="69"/>
  <c r="O158" i="69"/>
  <c r="O138" i="69"/>
  <c r="O411" i="69"/>
  <c r="O391" i="69"/>
  <c r="O403" i="69"/>
  <c r="O383" i="69"/>
  <c r="O419" i="61"/>
  <c r="O399" i="61"/>
  <c r="O396" i="61"/>
  <c r="O416" i="61"/>
  <c r="O156" i="77"/>
  <c r="O136" i="77"/>
  <c r="O146" i="77"/>
  <c r="O126" i="77"/>
  <c r="N211" i="29"/>
  <c r="N471" i="41"/>
  <c r="N583" i="41" s="1"/>
  <c r="N457" i="19"/>
  <c r="N569" i="19" s="1"/>
  <c r="O156" i="61"/>
  <c r="O136" i="61"/>
  <c r="O154" i="61"/>
  <c r="O134" i="61"/>
  <c r="O447" i="45"/>
  <c r="O427" i="45"/>
  <c r="O448" i="45"/>
  <c r="O428" i="45"/>
  <c r="O285" i="75"/>
  <c r="O265" i="75"/>
  <c r="O279" i="75"/>
  <c r="O259" i="75"/>
  <c r="O186" i="57"/>
  <c r="O166" i="57"/>
  <c r="O190" i="57"/>
  <c r="O170" i="57"/>
  <c r="O194" i="45"/>
  <c r="O174" i="45"/>
  <c r="O193" i="45"/>
  <c r="O173" i="45"/>
  <c r="O173" i="41"/>
  <c r="O153" i="41"/>
  <c r="O181" i="41"/>
  <c r="O161" i="41"/>
  <c r="N162" i="49"/>
  <c r="N457" i="49"/>
  <c r="N569" i="49" s="1"/>
  <c r="N147" i="27"/>
  <c r="N147" i="78" s="1"/>
  <c r="N147" i="79" s="1"/>
  <c r="N129" i="27"/>
  <c r="N129" i="78" s="1"/>
  <c r="N176" i="57"/>
  <c r="O455" i="49"/>
  <c r="O435" i="49"/>
  <c r="O443" i="49"/>
  <c r="O423" i="49"/>
  <c r="O223" i="29"/>
  <c r="O203" i="29"/>
  <c r="O219" i="29"/>
  <c r="O199" i="29"/>
  <c r="O169" i="19"/>
  <c r="O149" i="19"/>
  <c r="O177" i="19"/>
  <c r="O157" i="19"/>
  <c r="P246" i="75"/>
  <c r="P242" i="75"/>
  <c r="P237" i="75"/>
  <c r="P240" i="75"/>
  <c r="P231" i="75"/>
  <c r="P239" i="75"/>
  <c r="P245" i="75"/>
  <c r="P233" i="75"/>
  <c r="P235" i="75"/>
  <c r="P236" i="75"/>
  <c r="P238" i="75"/>
  <c r="P234" i="75"/>
  <c r="P232" i="75"/>
  <c r="P241" i="75"/>
  <c r="P243" i="75"/>
  <c r="P244" i="75"/>
  <c r="P632" i="61"/>
  <c r="P635" i="61"/>
  <c r="P625" i="61"/>
  <c r="P628" i="61"/>
  <c r="P622" i="61"/>
  <c r="P633" i="61"/>
  <c r="P636" i="61"/>
  <c r="P630" i="61"/>
  <c r="P623" i="61"/>
  <c r="P626" i="61"/>
  <c r="P629" i="61"/>
  <c r="P624" i="61"/>
  <c r="P627" i="61"/>
  <c r="P631" i="61"/>
  <c r="P634" i="61"/>
  <c r="P637" i="61"/>
  <c r="P116" i="33"/>
  <c r="P107" i="33"/>
  <c r="P110" i="33"/>
  <c r="P113" i="33"/>
  <c r="P119" i="33"/>
  <c r="P106" i="33"/>
  <c r="P109" i="33"/>
  <c r="P112" i="33"/>
  <c r="P115" i="33"/>
  <c r="P118" i="33"/>
  <c r="P108" i="33"/>
  <c r="P105" i="33"/>
  <c r="P111" i="33"/>
  <c r="P114" i="33"/>
  <c r="P117" i="33"/>
  <c r="P120" i="33"/>
  <c r="P145" i="57"/>
  <c r="P151" i="57"/>
  <c r="P146" i="57"/>
  <c r="P153" i="57"/>
  <c r="P142" i="57"/>
  <c r="P147" i="57"/>
  <c r="P141" i="57"/>
  <c r="P149" i="57"/>
  <c r="P154" i="57"/>
  <c r="P144" i="57"/>
  <c r="P152" i="57"/>
  <c r="P148" i="57"/>
  <c r="P150" i="57"/>
  <c r="P140" i="57"/>
  <c r="P143" i="57"/>
  <c r="P155" i="57"/>
  <c r="P185" i="29"/>
  <c r="P184" i="29"/>
  <c r="P179" i="29"/>
  <c r="P180" i="29"/>
  <c r="P186" i="29"/>
  <c r="P175" i="29"/>
  <c r="P181" i="29"/>
  <c r="P187" i="29"/>
  <c r="P177" i="29"/>
  <c r="P188" i="29"/>
  <c r="P176" i="29"/>
  <c r="P183" i="29"/>
  <c r="P178" i="29"/>
  <c r="P189" i="29"/>
  <c r="P190" i="29"/>
  <c r="P182" i="29"/>
  <c r="P416" i="41"/>
  <c r="P421" i="41"/>
  <c r="P425" i="41"/>
  <c r="P418" i="41"/>
  <c r="P427" i="41"/>
  <c r="P429" i="41"/>
  <c r="P420" i="41"/>
  <c r="P428" i="41"/>
  <c r="P422" i="41"/>
  <c r="P419" i="41"/>
  <c r="P426" i="41"/>
  <c r="P424" i="41"/>
  <c r="P415" i="41"/>
  <c r="P423" i="41"/>
  <c r="P430" i="41"/>
  <c r="P417" i="41"/>
  <c r="P136" i="49"/>
  <c r="P139" i="49"/>
  <c r="P127" i="49"/>
  <c r="P130" i="49"/>
  <c r="P133" i="49"/>
  <c r="P126" i="49"/>
  <c r="P129" i="49"/>
  <c r="P132" i="49"/>
  <c r="P135" i="49"/>
  <c r="P138" i="49"/>
  <c r="P128" i="49"/>
  <c r="P131" i="49"/>
  <c r="P134" i="49"/>
  <c r="P137" i="49"/>
  <c r="P141" i="49"/>
  <c r="P140" i="49"/>
  <c r="P459" i="53"/>
  <c r="P462" i="53"/>
  <c r="P465" i="53"/>
  <c r="P468" i="53"/>
  <c r="P466" i="53"/>
  <c r="P471" i="53"/>
  <c r="P461" i="53"/>
  <c r="P464" i="53"/>
  <c r="P467" i="53"/>
  <c r="P470" i="53"/>
  <c r="P457" i="53"/>
  <c r="P460" i="53"/>
  <c r="P458" i="53"/>
  <c r="P469" i="53"/>
  <c r="P472" i="53"/>
  <c r="P463" i="53"/>
  <c r="N287" i="75"/>
  <c r="N399" i="75" s="1"/>
  <c r="N182" i="19"/>
  <c r="N294" i="19" s="1"/>
  <c r="N457" i="45"/>
  <c r="N569" i="45" s="1"/>
  <c r="N182" i="41"/>
  <c r="N295" i="41" s="1"/>
  <c r="N142" i="27"/>
  <c r="N142" i="78" s="1"/>
  <c r="O166" i="49"/>
  <c r="O146" i="49"/>
  <c r="O142" i="49"/>
  <c r="O289" i="49" s="1"/>
  <c r="O174" i="49"/>
  <c r="O154" i="49"/>
  <c r="O171" i="37"/>
  <c r="O151" i="37"/>
  <c r="O158" i="37"/>
  <c r="O178" i="37"/>
  <c r="O456" i="41"/>
  <c r="O436" i="41"/>
  <c r="O466" i="41"/>
  <c r="O446" i="41"/>
  <c r="O211" i="18"/>
  <c r="O231" i="18"/>
  <c r="O110" i="27"/>
  <c r="O110" i="78" s="1"/>
  <c r="O110" i="79" s="1"/>
  <c r="O234" i="18"/>
  <c r="O214" i="18"/>
  <c r="O113" i="27"/>
  <c r="O113" i="78" s="1"/>
  <c r="O113" i="79" s="1"/>
  <c r="O153" i="33"/>
  <c r="O133" i="33"/>
  <c r="O145" i="33"/>
  <c r="O125" i="33"/>
  <c r="O121" i="33"/>
  <c r="O268" i="33" s="1"/>
  <c r="O677" i="69"/>
  <c r="O657" i="69"/>
  <c r="O648" i="69"/>
  <c r="O668" i="69"/>
  <c r="O644" i="69"/>
  <c r="O791" i="69" s="1"/>
  <c r="O917" i="61"/>
  <c r="O897" i="61"/>
  <c r="O893" i="61"/>
  <c r="O1040" i="61" s="1"/>
  <c r="O927" i="61"/>
  <c r="O907" i="61"/>
  <c r="O446" i="19"/>
  <c r="O426" i="19"/>
  <c r="O449" i="19"/>
  <c r="O429" i="19"/>
  <c r="N712" i="19"/>
  <c r="O197" i="53"/>
  <c r="O177" i="53"/>
  <c r="O194" i="53"/>
  <c r="O174" i="53"/>
  <c r="O170" i="53"/>
  <c r="O317" i="53" s="1"/>
  <c r="O717" i="19"/>
  <c r="O697" i="19"/>
  <c r="O720" i="19"/>
  <c r="O700" i="19"/>
  <c r="O477" i="57"/>
  <c r="O457" i="57"/>
  <c r="O446" i="57"/>
  <c r="O466" i="57"/>
  <c r="N141" i="33"/>
  <c r="O426" i="37"/>
  <c r="O406" i="37"/>
  <c r="O425" i="37"/>
  <c r="O405" i="37"/>
  <c r="O665" i="61"/>
  <c r="O645" i="61"/>
  <c r="O667" i="61"/>
  <c r="O647" i="61"/>
  <c r="N403" i="61"/>
  <c r="O508" i="53"/>
  <c r="O488" i="53"/>
  <c r="O500" i="53"/>
  <c r="O480" i="53"/>
  <c r="O148" i="69"/>
  <c r="O128" i="69"/>
  <c r="O146" i="69"/>
  <c r="O126" i="69"/>
  <c r="O405" i="69"/>
  <c r="O385" i="69"/>
  <c r="O414" i="69"/>
  <c r="O394" i="69"/>
  <c r="O411" i="61"/>
  <c r="O391" i="61"/>
  <c r="O400" i="61"/>
  <c r="O420" i="61"/>
  <c r="O159" i="77"/>
  <c r="O139" i="77"/>
  <c r="O132" i="77"/>
  <c r="O152" i="77"/>
  <c r="N231" i="29"/>
  <c r="N343" i="29" s="1"/>
  <c r="O153" i="61"/>
  <c r="O133" i="61"/>
  <c r="O157" i="61"/>
  <c r="O137" i="61"/>
  <c r="O449" i="45"/>
  <c r="O429" i="45"/>
  <c r="O450" i="45"/>
  <c r="O430" i="45"/>
  <c r="O286" i="75"/>
  <c r="O266" i="75"/>
  <c r="O278" i="75"/>
  <c r="O258" i="75"/>
  <c r="O183" i="57"/>
  <c r="O163" i="57"/>
  <c r="O180" i="57"/>
  <c r="O160" i="57"/>
  <c r="O156" i="57"/>
  <c r="O303" i="57" s="1"/>
  <c r="O201" i="45"/>
  <c r="O181" i="45"/>
  <c r="O190" i="45"/>
  <c r="O170" i="45"/>
  <c r="O170" i="41"/>
  <c r="O150" i="41"/>
  <c r="O178" i="41"/>
  <c r="O158" i="41"/>
  <c r="N182" i="49"/>
  <c r="N294" i="49" s="1"/>
  <c r="N196" i="57"/>
  <c r="N308" i="57" s="1"/>
  <c r="O453" i="49"/>
  <c r="O433" i="49"/>
  <c r="O452" i="49"/>
  <c r="O432" i="49"/>
  <c r="O202" i="29"/>
  <c r="O222" i="29"/>
  <c r="O220" i="29"/>
  <c r="O200" i="29"/>
  <c r="O166" i="19"/>
  <c r="O146" i="19"/>
  <c r="O142" i="19"/>
  <c r="O289" i="19" s="1"/>
  <c r="O174" i="19"/>
  <c r="O154" i="19"/>
  <c r="N124" i="27"/>
  <c r="N124" i="78" s="1"/>
  <c r="N124" i="79" s="1"/>
  <c r="N190" i="53"/>
  <c r="N913" i="61"/>
  <c r="O173" i="49"/>
  <c r="O153" i="49"/>
  <c r="O171" i="49"/>
  <c r="O151" i="49"/>
  <c r="O168" i="37"/>
  <c r="O148" i="37"/>
  <c r="O177" i="37"/>
  <c r="O157" i="37"/>
  <c r="O470" i="41"/>
  <c r="O450" i="41"/>
  <c r="O459" i="41"/>
  <c r="O439" i="41"/>
  <c r="O228" i="18"/>
  <c r="O208" i="18"/>
  <c r="O107" i="27"/>
  <c r="O107" i="78" s="1"/>
  <c r="O107" i="79" s="1"/>
  <c r="O227" i="18"/>
  <c r="O106" i="27"/>
  <c r="O106" i="78" s="1"/>
  <c r="O106" i="79" s="1"/>
  <c r="O207" i="18"/>
  <c r="O150" i="33"/>
  <c r="O130" i="33"/>
  <c r="O151" i="33"/>
  <c r="O131" i="33"/>
  <c r="O681" i="69"/>
  <c r="O661" i="69"/>
  <c r="O670" i="69"/>
  <c r="O650" i="69"/>
  <c r="O932" i="61"/>
  <c r="O912" i="61"/>
  <c r="O923" i="61"/>
  <c r="O903" i="61"/>
  <c r="O442" i="19"/>
  <c r="O422" i="19"/>
  <c r="O443" i="19"/>
  <c r="O423" i="19"/>
  <c r="N145" i="27"/>
  <c r="N145" i="78" s="1"/>
  <c r="N145" i="79" s="1"/>
  <c r="N732" i="19"/>
  <c r="N844" i="19" s="1"/>
  <c r="O180" i="53"/>
  <c r="O200" i="53"/>
  <c r="O195" i="53"/>
  <c r="O175" i="53"/>
  <c r="O731" i="19"/>
  <c r="O711" i="19"/>
  <c r="O724" i="19"/>
  <c r="O704" i="19"/>
  <c r="O476" i="57"/>
  <c r="O456" i="57"/>
  <c r="O474" i="57"/>
  <c r="O454" i="57"/>
  <c r="N161" i="33"/>
  <c r="N274" i="33" s="1"/>
  <c r="O423" i="37"/>
  <c r="O403" i="37"/>
  <c r="O422" i="37"/>
  <c r="O402" i="37"/>
  <c r="O651" i="61"/>
  <c r="O671" i="61"/>
  <c r="O672" i="61"/>
  <c r="O652" i="61"/>
  <c r="N423" i="61"/>
  <c r="N535" i="61" s="1"/>
  <c r="N135" i="27"/>
  <c r="N135" i="78" s="1"/>
  <c r="O505" i="53"/>
  <c r="O485" i="53"/>
  <c r="O497" i="53"/>
  <c r="O477" i="53"/>
  <c r="O473" i="53"/>
  <c r="O620" i="53" s="1"/>
  <c r="O160" i="69"/>
  <c r="O140" i="69"/>
  <c r="O153" i="69"/>
  <c r="O133" i="69"/>
  <c r="O410" i="69"/>
  <c r="O390" i="69"/>
  <c r="O408" i="69"/>
  <c r="O388" i="69"/>
  <c r="O412" i="61"/>
  <c r="O392" i="61"/>
  <c r="O417" i="61"/>
  <c r="O397" i="61"/>
  <c r="O153" i="77"/>
  <c r="O133" i="77"/>
  <c r="O138" i="77"/>
  <c r="O158" i="77"/>
  <c r="N132" i="27"/>
  <c r="N132" i="78" s="1"/>
  <c r="N132" i="79" s="1"/>
  <c r="O164" i="61"/>
  <c r="O144" i="61"/>
  <c r="O132" i="61"/>
  <c r="O152" i="61"/>
  <c r="O455" i="45"/>
  <c r="O435" i="45"/>
  <c r="O446" i="45"/>
  <c r="O426" i="45"/>
  <c r="O276" i="75"/>
  <c r="O256" i="75"/>
  <c r="O262" i="75"/>
  <c r="O282" i="75"/>
  <c r="O192" i="57"/>
  <c r="O172" i="57"/>
  <c r="O188" i="57"/>
  <c r="O168" i="57"/>
  <c r="O195" i="45"/>
  <c r="O175" i="45"/>
  <c r="O198" i="45"/>
  <c r="O178" i="45"/>
  <c r="O172" i="41"/>
  <c r="O152" i="41"/>
  <c r="O180" i="41"/>
  <c r="O160" i="41"/>
  <c r="N126" i="27"/>
  <c r="N126" i="78" s="1"/>
  <c r="N126" i="79" s="1"/>
  <c r="N146" i="61"/>
  <c r="N149" i="27"/>
  <c r="N149" i="78" s="1"/>
  <c r="N149" i="79" s="1"/>
  <c r="O451" i="49"/>
  <c r="O431" i="49"/>
  <c r="O450" i="49"/>
  <c r="O430" i="49"/>
  <c r="O216" i="29"/>
  <c r="O196" i="29"/>
  <c r="O230" i="29"/>
  <c r="O210" i="29"/>
  <c r="O179" i="19"/>
  <c r="O159" i="19"/>
  <c r="O171" i="19"/>
  <c r="O151" i="19"/>
  <c r="P410" i="49"/>
  <c r="P412" i="49"/>
  <c r="P405" i="49"/>
  <c r="P408" i="49"/>
  <c r="P414" i="49"/>
  <c r="P407" i="49"/>
  <c r="P404" i="49"/>
  <c r="P416" i="49"/>
  <c r="P409" i="49"/>
  <c r="P403" i="49"/>
  <c r="P411" i="49"/>
  <c r="P401" i="49"/>
  <c r="P413" i="49"/>
  <c r="P402" i="49"/>
  <c r="P415" i="49"/>
  <c r="P406" i="49"/>
  <c r="N144" i="27"/>
  <c r="N144" i="78" s="1"/>
  <c r="N210" i="53"/>
  <c r="N322" i="53" s="1"/>
  <c r="N218" i="18"/>
  <c r="N121" i="27"/>
  <c r="N933" i="61"/>
  <c r="N1045" i="61" s="1"/>
  <c r="N664" i="69"/>
  <c r="N513" i="53"/>
  <c r="N626" i="53" s="1"/>
  <c r="O170" i="49"/>
  <c r="O150" i="49"/>
  <c r="O181" i="49"/>
  <c r="O161" i="49"/>
  <c r="O169" i="37"/>
  <c r="O149" i="37"/>
  <c r="O167" i="37"/>
  <c r="O147" i="37"/>
  <c r="O461" i="41"/>
  <c r="O441" i="41"/>
  <c r="O458" i="41"/>
  <c r="O438" i="41"/>
  <c r="O225" i="18"/>
  <c r="O205" i="18"/>
  <c r="O104" i="27"/>
  <c r="O104" i="78" s="1"/>
  <c r="O104" i="79" s="1"/>
  <c r="O222" i="18"/>
  <c r="O202" i="18"/>
  <c r="O198" i="18"/>
  <c r="O345" i="18" s="1"/>
  <c r="O101" i="27"/>
  <c r="O147" i="33"/>
  <c r="O127" i="33"/>
  <c r="O158" i="33"/>
  <c r="O138" i="33"/>
  <c r="O669" i="69"/>
  <c r="O649" i="69"/>
  <c r="O673" i="69"/>
  <c r="O653" i="69"/>
  <c r="O922" i="61"/>
  <c r="O902" i="61"/>
  <c r="O925" i="61"/>
  <c r="O905" i="61"/>
  <c r="O450" i="19"/>
  <c r="O430" i="19"/>
  <c r="O448" i="19"/>
  <c r="O428" i="19"/>
  <c r="O205" i="53"/>
  <c r="O185" i="53"/>
  <c r="O202" i="53"/>
  <c r="O182" i="53"/>
  <c r="O725" i="19"/>
  <c r="O705" i="19"/>
  <c r="O728" i="19"/>
  <c r="O708" i="19"/>
  <c r="O473" i="57"/>
  <c r="O453" i="57"/>
  <c r="O465" i="57"/>
  <c r="O445" i="57"/>
  <c r="N131" i="27"/>
  <c r="N131" i="78" s="1"/>
  <c r="N131" i="79" s="1"/>
  <c r="O420" i="37"/>
  <c r="O400" i="37"/>
  <c r="O396" i="37"/>
  <c r="O543" i="37" s="1"/>
  <c r="O434" i="37"/>
  <c r="O414" i="37"/>
  <c r="O668" i="61"/>
  <c r="O648" i="61"/>
  <c r="O669" i="61"/>
  <c r="O649" i="61"/>
  <c r="N155" i="27"/>
  <c r="N155" i="78" s="1"/>
  <c r="O482" i="53"/>
  <c r="O502" i="53"/>
  <c r="O498" i="53"/>
  <c r="O478" i="53"/>
  <c r="O147" i="69"/>
  <c r="O127" i="69"/>
  <c r="O145" i="69"/>
  <c r="O125" i="69"/>
  <c r="O121" i="69"/>
  <c r="O268" i="69" s="1"/>
  <c r="O415" i="69"/>
  <c r="O395" i="69"/>
  <c r="O402" i="69"/>
  <c r="O382" i="69"/>
  <c r="O409" i="61"/>
  <c r="O389" i="61"/>
  <c r="O414" i="61"/>
  <c r="O394" i="61"/>
  <c r="O155" i="77"/>
  <c r="O135" i="77"/>
  <c r="O154" i="77"/>
  <c r="O134" i="77"/>
  <c r="N152" i="27"/>
  <c r="N152" i="78" s="1"/>
  <c r="N152" i="79" s="1"/>
  <c r="O161" i="61"/>
  <c r="O141" i="61"/>
  <c r="O163" i="61"/>
  <c r="O143" i="61"/>
  <c r="O456" i="45"/>
  <c r="O436" i="45"/>
  <c r="O445" i="45"/>
  <c r="O425" i="45"/>
  <c r="O273" i="75"/>
  <c r="O253" i="75"/>
  <c r="O284" i="75"/>
  <c r="O264" i="75"/>
  <c r="O184" i="57"/>
  <c r="O164" i="57"/>
  <c r="O193" i="57"/>
  <c r="O173" i="57"/>
  <c r="O202" i="45"/>
  <c r="O182" i="45"/>
  <c r="O187" i="45"/>
  <c r="O167" i="45"/>
  <c r="O163" i="45"/>
  <c r="O310" i="45" s="1"/>
  <c r="O169" i="41"/>
  <c r="O149" i="41"/>
  <c r="O177" i="41"/>
  <c r="O157" i="41"/>
  <c r="N146" i="27"/>
  <c r="N146" i="78" s="1"/>
  <c r="N146" i="79" s="1"/>
  <c r="N166" i="61"/>
  <c r="N279" i="61" s="1"/>
  <c r="O449" i="49"/>
  <c r="O429" i="49"/>
  <c r="O422" i="49"/>
  <c r="O442" i="49"/>
  <c r="O227" i="29"/>
  <c r="O207" i="29"/>
  <c r="O224" i="29"/>
  <c r="O204" i="29"/>
  <c r="O176" i="19"/>
  <c r="O156" i="19"/>
  <c r="O168" i="19"/>
  <c r="O148" i="19"/>
  <c r="N252" i="27"/>
  <c r="O241" i="27"/>
  <c r="O244" i="27"/>
  <c r="O246" i="27"/>
  <c r="O242" i="27"/>
  <c r="O247" i="27"/>
  <c r="O245" i="27"/>
  <c r="O243" i="27"/>
  <c r="N202" i="27"/>
  <c r="O197" i="27"/>
  <c r="O197" i="78" s="1"/>
  <c r="O191" i="27"/>
  <c r="O191" i="78" s="1"/>
  <c r="O184" i="27"/>
  <c r="O184" i="78" s="1"/>
  <c r="O186" i="27"/>
  <c r="O186" i="78" s="1"/>
  <c r="O192" i="27"/>
  <c r="O192" i="78" s="1"/>
  <c r="O185" i="27"/>
  <c r="O185" i="78" s="1"/>
  <c r="O195" i="27"/>
  <c r="O195" i="78" s="1"/>
  <c r="O194" i="27"/>
  <c r="O194" i="78" s="1"/>
  <c r="O188" i="27"/>
  <c r="O188" i="78" s="1"/>
  <c r="O187" i="27"/>
  <c r="O187" i="78" s="1"/>
  <c r="O196" i="27"/>
  <c r="O196" i="78" s="1"/>
  <c r="O189" i="27"/>
  <c r="O189" i="78" s="1"/>
  <c r="O190" i="27"/>
  <c r="O190" i="78" s="1"/>
  <c r="O193" i="27"/>
  <c r="O193" i="78" s="1"/>
  <c r="O72" i="79"/>
  <c r="O72" i="78"/>
  <c r="O94" i="27"/>
  <c r="O66" i="78"/>
  <c r="O66" i="79"/>
  <c r="O73" i="79"/>
  <c r="O73" i="78"/>
  <c r="O88" i="78"/>
  <c r="O88" i="79"/>
  <c r="O74" i="79"/>
  <c r="O74" i="78"/>
  <c r="O78" i="79"/>
  <c r="O78" i="78"/>
  <c r="O85" i="78"/>
  <c r="O85" i="79"/>
  <c r="O90" i="79"/>
  <c r="O90" i="78"/>
  <c r="O75" i="78"/>
  <c r="O75" i="79"/>
  <c r="N94" i="79"/>
  <c r="O82" i="78"/>
  <c r="O82" i="79"/>
  <c r="O67" i="78"/>
  <c r="O67" i="79"/>
  <c r="O77" i="79"/>
  <c r="O77" i="78"/>
  <c r="O89" i="79"/>
  <c r="O89" i="78"/>
  <c r="N94" i="78"/>
  <c r="O84" i="79"/>
  <c r="O84" i="78"/>
  <c r="O70" i="78"/>
  <c r="O70" i="79"/>
  <c r="O86" i="79"/>
  <c r="O86" i="78"/>
  <c r="O69" i="78"/>
  <c r="O69" i="79"/>
  <c r="Q163" i="29"/>
  <c r="O68" i="78"/>
  <c r="O68" i="79"/>
  <c r="O80" i="78"/>
  <c r="O80" i="79"/>
  <c r="O81" i="79"/>
  <c r="O81" i="78"/>
  <c r="O71" i="78"/>
  <c r="O71" i="79"/>
  <c r="O87" i="78"/>
  <c r="O87" i="79"/>
  <c r="O76" i="78"/>
  <c r="O76" i="79"/>
  <c r="O92" i="79"/>
  <c r="O92" i="78"/>
  <c r="O83" i="79"/>
  <c r="O83" i="78"/>
  <c r="O91" i="79"/>
  <c r="O91" i="78"/>
  <c r="O79" i="79"/>
  <c r="O79" i="78"/>
  <c r="Q141" i="53"/>
  <c r="R412" i="53"/>
  <c r="R413" i="53"/>
  <c r="R418" i="53"/>
  <c r="R415" i="53"/>
  <c r="R419" i="53"/>
  <c r="R420" i="53"/>
  <c r="R414" i="53"/>
  <c r="R417" i="53"/>
  <c r="R416" i="53"/>
  <c r="Q445" i="53"/>
  <c r="Q442" i="53"/>
  <c r="Q444" i="53"/>
  <c r="Q422" i="53"/>
  <c r="Q441" i="53"/>
  <c r="R401" i="53"/>
  <c r="R399" i="53"/>
  <c r="R405" i="53"/>
  <c r="R400" i="53"/>
  <c r="R398" i="53"/>
  <c r="R404" i="53"/>
  <c r="R402" i="53"/>
  <c r="R406" i="53"/>
  <c r="R403" i="53"/>
  <c r="Q448" i="53"/>
  <c r="Q446" i="53"/>
  <c r="R428" i="53"/>
  <c r="R429" i="53"/>
  <c r="R430" i="53"/>
  <c r="R434" i="53"/>
  <c r="R427" i="53"/>
  <c r="R432" i="53"/>
  <c r="R426" i="53"/>
  <c r="R433" i="53"/>
  <c r="R431" i="53"/>
  <c r="Q116" i="41"/>
  <c r="P450" i="53"/>
  <c r="P81" i="27" s="1"/>
  <c r="P600" i="53"/>
  <c r="P611" i="53" s="1"/>
  <c r="P598" i="53"/>
  <c r="P609" i="53" s="1"/>
  <c r="P602" i="53"/>
  <c r="P613" i="53" s="1"/>
  <c r="P540" i="53"/>
  <c r="P551" i="53"/>
  <c r="P569" i="53" s="1"/>
  <c r="P599" i="53"/>
  <c r="P610" i="53" s="1"/>
  <c r="P541" i="53"/>
  <c r="P559" i="53" s="1"/>
  <c r="P544" i="53"/>
  <c r="P562" i="53" s="1"/>
  <c r="P547" i="53"/>
  <c r="P565" i="53" s="1"/>
  <c r="P545" i="53"/>
  <c r="P563" i="53" s="1"/>
  <c r="P597" i="53"/>
  <c r="P552" i="53"/>
  <c r="P570" i="53" s="1"/>
  <c r="P542" i="53"/>
  <c r="P560" i="53" s="1"/>
  <c r="P548" i="53"/>
  <c r="P566" i="53" s="1"/>
  <c r="P601" i="53"/>
  <c r="P612" i="53" s="1"/>
  <c r="P546" i="53"/>
  <c r="P564" i="53" s="1"/>
  <c r="P549" i="53"/>
  <c r="P567" i="53" s="1"/>
  <c r="P553" i="53"/>
  <c r="P571" i="53" s="1"/>
  <c r="P543" i="53"/>
  <c r="P561" i="53" s="1"/>
  <c r="P603" i="53"/>
  <c r="P614" i="53" s="1"/>
  <c r="P550" i="53"/>
  <c r="P568" i="53" s="1"/>
  <c r="Q440" i="53"/>
  <c r="Q408" i="53"/>
  <c r="Q138" i="53"/>
  <c r="Q436" i="53"/>
  <c r="Q443" i="53"/>
  <c r="Q143" i="53"/>
  <c r="Q447" i="53"/>
  <c r="Q139" i="53"/>
  <c r="Q144" i="53"/>
  <c r="Q137" i="53"/>
  <c r="Q105" i="53"/>
  <c r="Q133" i="53"/>
  <c r="Q119" i="53"/>
  <c r="R98" i="53"/>
  <c r="R102" i="53"/>
  <c r="R95" i="53"/>
  <c r="R100" i="53"/>
  <c r="R97" i="53"/>
  <c r="R99" i="53"/>
  <c r="R101" i="53"/>
  <c r="R103" i="53"/>
  <c r="R96" i="53"/>
  <c r="Q166" i="29"/>
  <c r="Q142" i="53"/>
  <c r="R125" i="53"/>
  <c r="R126" i="53"/>
  <c r="R128" i="53"/>
  <c r="R129" i="53"/>
  <c r="R124" i="53"/>
  <c r="R131" i="53"/>
  <c r="R123" i="53"/>
  <c r="R130" i="53"/>
  <c r="R127" i="53"/>
  <c r="R113" i="53"/>
  <c r="R109" i="53"/>
  <c r="R110" i="53"/>
  <c r="R111" i="53"/>
  <c r="R116" i="53"/>
  <c r="R112" i="53"/>
  <c r="R117" i="53"/>
  <c r="R115" i="53"/>
  <c r="R114" i="53"/>
  <c r="Q392" i="49"/>
  <c r="Q140" i="53"/>
  <c r="Q161" i="29"/>
  <c r="P147" i="53"/>
  <c r="P80" i="27" s="1"/>
  <c r="P299" i="53"/>
  <c r="P310" i="53" s="1"/>
  <c r="P243" i="53"/>
  <c r="P261" i="53" s="1"/>
  <c r="P296" i="53"/>
  <c r="P307" i="53" s="1"/>
  <c r="P300" i="53"/>
  <c r="P311" i="53" s="1"/>
  <c r="P298" i="53"/>
  <c r="P309" i="53" s="1"/>
  <c r="P237" i="53"/>
  <c r="P240" i="53"/>
  <c r="P258" i="53" s="1"/>
  <c r="P245" i="53"/>
  <c r="P263" i="53" s="1"/>
  <c r="P246" i="53"/>
  <c r="P264" i="53" s="1"/>
  <c r="P247" i="53"/>
  <c r="P265" i="53" s="1"/>
  <c r="P297" i="53"/>
  <c r="P308" i="53" s="1"/>
  <c r="P248" i="53"/>
  <c r="P266" i="53" s="1"/>
  <c r="P295" i="53"/>
  <c r="P306" i="53" s="1"/>
  <c r="P244" i="53"/>
  <c r="P262" i="53" s="1"/>
  <c r="P242" i="53"/>
  <c r="P260" i="53" s="1"/>
  <c r="P239" i="53"/>
  <c r="P257" i="53" s="1"/>
  <c r="P249" i="53"/>
  <c r="P267" i="53" s="1"/>
  <c r="P238" i="53"/>
  <c r="P256" i="53" s="1"/>
  <c r="P294" i="53"/>
  <c r="P305" i="53" s="1"/>
  <c r="P241" i="53"/>
  <c r="P259" i="53" s="1"/>
  <c r="P250" i="53"/>
  <c r="P268" i="53" s="1"/>
  <c r="Q145" i="53"/>
  <c r="Q115" i="49"/>
  <c r="Q109" i="49"/>
  <c r="P394" i="49"/>
  <c r="P79" i="27" s="1"/>
  <c r="P484" i="49"/>
  <c r="P497" i="49"/>
  <c r="P515" i="49" s="1"/>
  <c r="P495" i="49"/>
  <c r="P513" i="49" s="1"/>
  <c r="P494" i="49"/>
  <c r="P512" i="49" s="1"/>
  <c r="P547" i="49"/>
  <c r="P558" i="49" s="1"/>
  <c r="P492" i="49"/>
  <c r="P510" i="49" s="1"/>
  <c r="P491" i="49"/>
  <c r="P509" i="49" s="1"/>
  <c r="P545" i="49"/>
  <c r="P556" i="49" s="1"/>
  <c r="P485" i="49"/>
  <c r="P503" i="49" s="1"/>
  <c r="P488" i="49"/>
  <c r="P506" i="49" s="1"/>
  <c r="P544" i="49"/>
  <c r="P555" i="49" s="1"/>
  <c r="P546" i="49"/>
  <c r="P557" i="49" s="1"/>
  <c r="P542" i="49"/>
  <c r="P553" i="49" s="1"/>
  <c r="P489" i="49"/>
  <c r="P507" i="49" s="1"/>
  <c r="P487" i="49"/>
  <c r="P505" i="49" s="1"/>
  <c r="P490" i="49"/>
  <c r="P508" i="49" s="1"/>
  <c r="P493" i="49"/>
  <c r="P511" i="49" s="1"/>
  <c r="P496" i="49"/>
  <c r="P514" i="49" s="1"/>
  <c r="P486" i="49"/>
  <c r="P504" i="49" s="1"/>
  <c r="P543" i="49"/>
  <c r="P554" i="49" s="1"/>
  <c r="P541" i="49"/>
  <c r="R371" i="49"/>
  <c r="R369" i="49"/>
  <c r="R370" i="49"/>
  <c r="R372" i="49"/>
  <c r="R368" i="49"/>
  <c r="Q391" i="49"/>
  <c r="Q388" i="49"/>
  <c r="Q364" i="49"/>
  <c r="Q374" i="49"/>
  <c r="R378" i="49"/>
  <c r="R382" i="49"/>
  <c r="R380" i="49"/>
  <c r="R381" i="49"/>
  <c r="R379" i="49"/>
  <c r="Q99" i="49"/>
  <c r="Q384" i="49"/>
  <c r="Q390" i="49"/>
  <c r="R359" i="49"/>
  <c r="R362" i="49"/>
  <c r="R360" i="49"/>
  <c r="R358" i="49"/>
  <c r="R361" i="49"/>
  <c r="Q389" i="49"/>
  <c r="R106" i="49"/>
  <c r="R105" i="49"/>
  <c r="R103" i="49"/>
  <c r="R107" i="49"/>
  <c r="R104" i="49"/>
  <c r="R96" i="49"/>
  <c r="R94" i="49"/>
  <c r="R95" i="49"/>
  <c r="R93" i="49"/>
  <c r="R97" i="49"/>
  <c r="R85" i="49"/>
  <c r="R86" i="49"/>
  <c r="R84" i="49"/>
  <c r="R87" i="49"/>
  <c r="R83" i="49"/>
  <c r="P119" i="49"/>
  <c r="P78" i="27" s="1"/>
  <c r="P209" i="49"/>
  <c r="P222" i="49"/>
  <c r="P240" i="49" s="1"/>
  <c r="P220" i="49"/>
  <c r="P238" i="49" s="1"/>
  <c r="P219" i="49"/>
  <c r="P237" i="49" s="1"/>
  <c r="P272" i="49"/>
  <c r="P283" i="49" s="1"/>
  <c r="P217" i="49"/>
  <c r="P235" i="49" s="1"/>
  <c r="P216" i="49"/>
  <c r="P234" i="49" s="1"/>
  <c r="P270" i="49"/>
  <c r="P281" i="49" s="1"/>
  <c r="P210" i="49"/>
  <c r="P228" i="49" s="1"/>
  <c r="P213" i="49"/>
  <c r="P231" i="49" s="1"/>
  <c r="P269" i="49"/>
  <c r="P280" i="49" s="1"/>
  <c r="P271" i="49"/>
  <c r="P282" i="49" s="1"/>
  <c r="P267" i="49"/>
  <c r="P278" i="49" s="1"/>
  <c r="P214" i="49"/>
  <c r="P232" i="49" s="1"/>
  <c r="P212" i="49"/>
  <c r="P230" i="49" s="1"/>
  <c r="P215" i="49"/>
  <c r="P233" i="49" s="1"/>
  <c r="P218" i="49"/>
  <c r="P236" i="49" s="1"/>
  <c r="P221" i="49"/>
  <c r="P239" i="49" s="1"/>
  <c r="P211" i="49"/>
  <c r="P229" i="49" s="1"/>
  <c r="P268" i="49"/>
  <c r="P279" i="49" s="1"/>
  <c r="P266" i="49"/>
  <c r="Q116" i="49"/>
  <c r="Q113" i="49"/>
  <c r="Q89" i="49"/>
  <c r="Q117" i="49"/>
  <c r="Q114" i="49"/>
  <c r="Q162" i="29"/>
  <c r="Q396" i="41"/>
  <c r="Q402" i="41"/>
  <c r="Q400" i="41"/>
  <c r="Q372" i="41"/>
  <c r="Q384" i="41"/>
  <c r="Q404" i="41"/>
  <c r="P408" i="41"/>
  <c r="P75" i="27" s="1"/>
  <c r="P511" i="41"/>
  <c r="P529" i="41" s="1"/>
  <c r="P560" i="41"/>
  <c r="P571" i="41" s="1"/>
  <c r="P561" i="41"/>
  <c r="P572" i="41" s="1"/>
  <c r="P559" i="41"/>
  <c r="P570" i="41" s="1"/>
  <c r="P501" i="41"/>
  <c r="P519" i="41" s="1"/>
  <c r="P499" i="41"/>
  <c r="P517" i="41" s="1"/>
  <c r="P509" i="41"/>
  <c r="P527" i="41" s="1"/>
  <c r="P500" i="41"/>
  <c r="P518" i="41" s="1"/>
  <c r="P498" i="41"/>
  <c r="P557" i="41"/>
  <c r="P568" i="41" s="1"/>
  <c r="P555" i="41"/>
  <c r="P503" i="41"/>
  <c r="P521" i="41" s="1"/>
  <c r="P504" i="41"/>
  <c r="P522" i="41" s="1"/>
  <c r="P507" i="41"/>
  <c r="P525" i="41" s="1"/>
  <c r="P508" i="41"/>
  <c r="P526" i="41" s="1"/>
  <c r="P506" i="41"/>
  <c r="P524" i="41" s="1"/>
  <c r="P505" i="41"/>
  <c r="P523" i="41" s="1"/>
  <c r="P556" i="41"/>
  <c r="P567" i="41" s="1"/>
  <c r="P502" i="41"/>
  <c r="P520" i="41" s="1"/>
  <c r="P510" i="41"/>
  <c r="P528" i="41" s="1"/>
  <c r="P558" i="41"/>
  <c r="P569" i="41" s="1"/>
  <c r="Q405" i="41"/>
  <c r="R379" i="41"/>
  <c r="R377" i="41"/>
  <c r="R378" i="41"/>
  <c r="R382" i="41"/>
  <c r="R381" i="41"/>
  <c r="R376" i="41"/>
  <c r="R380" i="41"/>
  <c r="Q117" i="41"/>
  <c r="Q406" i="41"/>
  <c r="R366" i="41"/>
  <c r="R364" i="41"/>
  <c r="R369" i="41"/>
  <c r="R367" i="41"/>
  <c r="R365" i="41"/>
  <c r="R370" i="41"/>
  <c r="R368" i="41"/>
  <c r="Q401" i="41"/>
  <c r="R393" i="41"/>
  <c r="R388" i="41"/>
  <c r="R392" i="41"/>
  <c r="R394" i="41"/>
  <c r="R389" i="41"/>
  <c r="R391" i="41"/>
  <c r="R390" i="41"/>
  <c r="Q403" i="41"/>
  <c r="R96" i="41"/>
  <c r="R95" i="41"/>
  <c r="R94" i="41"/>
  <c r="R97" i="41"/>
  <c r="R93" i="41"/>
  <c r="Q157" i="29"/>
  <c r="Q114" i="41"/>
  <c r="P119" i="41"/>
  <c r="P74" i="27" s="1"/>
  <c r="P209" i="41"/>
  <c r="P222" i="41"/>
  <c r="P240" i="41" s="1"/>
  <c r="P220" i="41"/>
  <c r="P238" i="41" s="1"/>
  <c r="P219" i="41"/>
  <c r="P237" i="41" s="1"/>
  <c r="P272" i="41"/>
  <c r="P283" i="41" s="1"/>
  <c r="P217" i="41"/>
  <c r="P235" i="41" s="1"/>
  <c r="P216" i="41"/>
  <c r="P234" i="41" s="1"/>
  <c r="P270" i="41"/>
  <c r="P281" i="41" s="1"/>
  <c r="P210" i="41"/>
  <c r="P228" i="41" s="1"/>
  <c r="P213" i="41"/>
  <c r="P231" i="41" s="1"/>
  <c r="P269" i="41"/>
  <c r="P280" i="41" s="1"/>
  <c r="P271" i="41"/>
  <c r="P282" i="41" s="1"/>
  <c r="P267" i="41"/>
  <c r="P278" i="41" s="1"/>
  <c r="P214" i="41"/>
  <c r="P232" i="41" s="1"/>
  <c r="P212" i="41"/>
  <c r="P230" i="41" s="1"/>
  <c r="P215" i="41"/>
  <c r="P233" i="41" s="1"/>
  <c r="P218" i="41"/>
  <c r="P236" i="41" s="1"/>
  <c r="P221" i="41"/>
  <c r="P239" i="41" s="1"/>
  <c r="P211" i="41"/>
  <c r="P229" i="41" s="1"/>
  <c r="P268" i="41"/>
  <c r="P279" i="41" s="1"/>
  <c r="P266" i="41"/>
  <c r="Q109" i="41"/>
  <c r="R85" i="41"/>
  <c r="R86" i="41"/>
  <c r="R84" i="41"/>
  <c r="R87" i="41"/>
  <c r="R83" i="41"/>
  <c r="Q115" i="41"/>
  <c r="Q99" i="41"/>
  <c r="R105" i="41"/>
  <c r="R106" i="41"/>
  <c r="R104" i="41"/>
  <c r="R103" i="41"/>
  <c r="R107" i="41"/>
  <c r="Q113" i="41"/>
  <c r="Q89" i="41"/>
  <c r="Q158" i="29"/>
  <c r="Q156" i="29"/>
  <c r="Q160" i="29"/>
  <c r="Q164" i="29"/>
  <c r="R130" i="29"/>
  <c r="R126" i="29"/>
  <c r="R121" i="29"/>
  <c r="R129" i="29"/>
  <c r="R127" i="29"/>
  <c r="R122" i="29"/>
  <c r="R128" i="29"/>
  <c r="R131" i="29"/>
  <c r="R124" i="29"/>
  <c r="R125" i="29"/>
  <c r="R123" i="29"/>
  <c r="R132" i="29"/>
  <c r="R148" i="29"/>
  <c r="R149" i="29"/>
  <c r="R146" i="29"/>
  <c r="R142" i="29"/>
  <c r="R141" i="29"/>
  <c r="R144" i="29"/>
  <c r="R138" i="29"/>
  <c r="R140" i="29"/>
  <c r="R145" i="29"/>
  <c r="R143" i="29"/>
  <c r="R139" i="29"/>
  <c r="R147" i="29"/>
  <c r="P168" i="29"/>
  <c r="P68" i="27" s="1"/>
  <c r="P259" i="29"/>
  <c r="P277" i="29" s="1"/>
  <c r="P319" i="29"/>
  <c r="P330" i="29" s="1"/>
  <c r="P318" i="29"/>
  <c r="P329" i="29" s="1"/>
  <c r="P316" i="29"/>
  <c r="P327" i="29" s="1"/>
  <c r="P320" i="29"/>
  <c r="P331" i="29" s="1"/>
  <c r="P261" i="29"/>
  <c r="P279" i="29" s="1"/>
  <c r="P264" i="29"/>
  <c r="P282" i="29" s="1"/>
  <c r="P265" i="29"/>
  <c r="P283" i="29" s="1"/>
  <c r="P267" i="29"/>
  <c r="P285" i="29" s="1"/>
  <c r="P262" i="29"/>
  <c r="P280" i="29" s="1"/>
  <c r="P260" i="29"/>
  <c r="P278" i="29" s="1"/>
  <c r="P263" i="29"/>
  <c r="P281" i="29" s="1"/>
  <c r="P258" i="29"/>
  <c r="P268" i="29"/>
  <c r="P286" i="29" s="1"/>
  <c r="P266" i="29"/>
  <c r="P284" i="29" s="1"/>
  <c r="P317" i="29"/>
  <c r="P328" i="29" s="1"/>
  <c r="P315" i="29"/>
  <c r="P326" i="29" s="1"/>
  <c r="P269" i="29"/>
  <c r="P287" i="29" s="1"/>
  <c r="P271" i="29"/>
  <c r="P289" i="29" s="1"/>
  <c r="P270" i="29"/>
  <c r="P288" i="29" s="1"/>
  <c r="P321" i="29"/>
  <c r="P332" i="29" s="1"/>
  <c r="R105" i="29"/>
  <c r="R113" i="29"/>
  <c r="R108" i="29"/>
  <c r="R106" i="29"/>
  <c r="R114" i="29"/>
  <c r="R109" i="29"/>
  <c r="R112" i="29"/>
  <c r="R115" i="29"/>
  <c r="R111" i="29"/>
  <c r="R104" i="29"/>
  <c r="R107" i="29"/>
  <c r="R110" i="29"/>
  <c r="Q117" i="29"/>
  <c r="Q155" i="29"/>
  <c r="Q151" i="29"/>
  <c r="Q173" i="18"/>
  <c r="Q165" i="29"/>
  <c r="Q134" i="29"/>
  <c r="Q162" i="18"/>
  <c r="Q171" i="18"/>
  <c r="Q139" i="18"/>
  <c r="R155" i="18"/>
  <c r="R147" i="18"/>
  <c r="R146" i="18"/>
  <c r="R144" i="18"/>
  <c r="R153" i="18"/>
  <c r="R152" i="18"/>
  <c r="R151" i="18"/>
  <c r="R143" i="18"/>
  <c r="R145" i="18"/>
  <c r="R154" i="18"/>
  <c r="R149" i="18"/>
  <c r="R148" i="18"/>
  <c r="R150" i="18"/>
  <c r="Q165" i="18"/>
  <c r="R107" i="18"/>
  <c r="R119" i="18"/>
  <c r="R114" i="18"/>
  <c r="R117" i="18"/>
  <c r="R108" i="18"/>
  <c r="R112" i="18"/>
  <c r="R115" i="18"/>
  <c r="R109" i="18"/>
  <c r="R118" i="18"/>
  <c r="R110" i="18"/>
  <c r="R113" i="18"/>
  <c r="R116" i="18"/>
  <c r="R111" i="18"/>
  <c r="Q157" i="18"/>
  <c r="Q170" i="18"/>
  <c r="Q121" i="18"/>
  <c r="Q161" i="18"/>
  <c r="R125" i="18"/>
  <c r="R127" i="18"/>
  <c r="R128" i="18"/>
  <c r="R129" i="18"/>
  <c r="R131" i="18"/>
  <c r="R132" i="18"/>
  <c r="R133" i="18"/>
  <c r="R135" i="18"/>
  <c r="R136" i="18"/>
  <c r="R137" i="18"/>
  <c r="R130" i="18"/>
  <c r="R134" i="18"/>
  <c r="R126" i="18"/>
  <c r="Q167" i="18"/>
  <c r="Q164" i="18"/>
  <c r="Q172" i="18"/>
  <c r="P175" i="18"/>
  <c r="P66" i="27" s="1"/>
  <c r="P322" i="18"/>
  <c r="P324" i="18"/>
  <c r="P269" i="18"/>
  <c r="P265" i="18"/>
  <c r="P325" i="18"/>
  <c r="P278" i="18"/>
  <c r="P270" i="18"/>
  <c r="P275" i="18"/>
  <c r="P323" i="18"/>
  <c r="P274" i="18"/>
  <c r="P328" i="18"/>
  <c r="P326" i="18"/>
  <c r="P273" i="18"/>
  <c r="P277" i="18"/>
  <c r="P327" i="18"/>
  <c r="P268" i="18"/>
  <c r="P272" i="18"/>
  <c r="P271" i="18"/>
  <c r="P267" i="18"/>
  <c r="P276" i="18"/>
  <c r="P266" i="18"/>
  <c r="Q163" i="18"/>
  <c r="Q169" i="18"/>
  <c r="Q168" i="18"/>
  <c r="Q166" i="18"/>
  <c r="N210" i="78"/>
  <c r="N205" i="78"/>
  <c r="N206" i="78"/>
  <c r="N213" i="78"/>
  <c r="N213" i="79" s="1"/>
  <c r="N207" i="78"/>
  <c r="N204" i="78"/>
  <c r="N208" i="78"/>
  <c r="N209" i="78"/>
  <c r="N212" i="78"/>
  <c r="N211" i="78"/>
  <c r="N211" i="79" s="1"/>
  <c r="N203" i="78"/>
  <c r="N214" i="78"/>
  <c r="N214" i="79" s="1"/>
  <c r="N215" i="78"/>
  <c r="N215" i="79" s="1"/>
  <c r="N188" i="79"/>
  <c r="N186" i="79"/>
  <c r="N192" i="79"/>
  <c r="N185" i="79"/>
  <c r="N195" i="79"/>
  <c r="N193" i="79"/>
  <c r="N190" i="79"/>
  <c r="N187" i="79"/>
  <c r="N191" i="79"/>
  <c r="N189" i="79"/>
  <c r="N197" i="79"/>
  <c r="N196" i="79"/>
  <c r="N194" i="79"/>
  <c r="P768" i="19"/>
  <c r="P786" i="19" s="1"/>
  <c r="P761" i="19"/>
  <c r="P779" i="19" s="1"/>
  <c r="P762" i="19"/>
  <c r="P780" i="19" s="1"/>
  <c r="P770" i="19"/>
  <c r="P788" i="19" s="1"/>
  <c r="P772" i="19"/>
  <c r="P790" i="19" s="1"/>
  <c r="P764" i="19"/>
  <c r="P782" i="19" s="1"/>
  <c r="P759" i="19"/>
  <c r="P760" i="19"/>
  <c r="P778" i="19" s="1"/>
  <c r="P763" i="19"/>
  <c r="P781" i="19" s="1"/>
  <c r="P765" i="19"/>
  <c r="P783" i="19" s="1"/>
  <c r="P769" i="19"/>
  <c r="P787" i="19" s="1"/>
  <c r="P771" i="19"/>
  <c r="P789" i="19" s="1"/>
  <c r="P766" i="19"/>
  <c r="P784" i="19" s="1"/>
  <c r="P767" i="19"/>
  <c r="P785" i="19" s="1"/>
  <c r="P718" i="61"/>
  <c r="P736" i="61" s="1"/>
  <c r="P708" i="61"/>
  <c r="P726" i="61" s="1"/>
  <c r="P711" i="61"/>
  <c r="P729" i="61" s="1"/>
  <c r="P714" i="61"/>
  <c r="P732" i="61" s="1"/>
  <c r="P717" i="61"/>
  <c r="P735" i="61" s="1"/>
  <c r="P715" i="61"/>
  <c r="P733" i="61" s="1"/>
  <c r="P705" i="61"/>
  <c r="P716" i="61"/>
  <c r="P734" i="61" s="1"/>
  <c r="P713" i="61"/>
  <c r="P731" i="61" s="1"/>
  <c r="P712" i="61"/>
  <c r="P730" i="61" s="1"/>
  <c r="P710" i="61"/>
  <c r="P728" i="61" s="1"/>
  <c r="P706" i="61"/>
  <c r="P724" i="61" s="1"/>
  <c r="P709" i="61"/>
  <c r="P727" i="61" s="1"/>
  <c r="P707" i="61"/>
  <c r="P725" i="61" s="1"/>
  <c r="O211" i="61"/>
  <c r="O225" i="61" s="1"/>
  <c r="O207" i="61"/>
  <c r="O274" i="61" s="1"/>
  <c r="O289" i="18"/>
  <c r="O208" i="27" s="1"/>
  <c r="P201" i="33"/>
  <c r="P219" i="33" s="1"/>
  <c r="P191" i="33"/>
  <c r="P209" i="33" s="1"/>
  <c r="P194" i="33"/>
  <c r="P212" i="33" s="1"/>
  <c r="P198" i="33"/>
  <c r="P216" i="33" s="1"/>
  <c r="P188" i="33"/>
  <c r="P195" i="33"/>
  <c r="P213" i="33" s="1"/>
  <c r="P189" i="33"/>
  <c r="P207" i="33" s="1"/>
  <c r="P192" i="33"/>
  <c r="P210" i="33" s="1"/>
  <c r="P199" i="33"/>
  <c r="P217" i="33" s="1"/>
  <c r="P196" i="33"/>
  <c r="P214" i="33" s="1"/>
  <c r="P193" i="33"/>
  <c r="P211" i="33" s="1"/>
  <c r="P197" i="33"/>
  <c r="P215" i="33" s="1"/>
  <c r="P200" i="33"/>
  <c r="P218" i="33" s="1"/>
  <c r="P190" i="33"/>
  <c r="P208" i="33" s="1"/>
  <c r="P214" i="19"/>
  <c r="P232" i="19" s="1"/>
  <c r="P215" i="19"/>
  <c r="P233" i="19" s="1"/>
  <c r="P218" i="19"/>
  <c r="P236" i="19" s="1"/>
  <c r="P221" i="19"/>
  <c r="P239" i="19" s="1"/>
  <c r="P211" i="19"/>
  <c r="P229" i="19" s="1"/>
  <c r="P222" i="19"/>
  <c r="P240" i="19" s="1"/>
  <c r="P212" i="19"/>
  <c r="P230" i="19" s="1"/>
  <c r="P219" i="19"/>
  <c r="P237" i="19" s="1"/>
  <c r="P209" i="19"/>
  <c r="P216" i="19"/>
  <c r="P234" i="19" s="1"/>
  <c r="P210" i="19"/>
  <c r="P228" i="19" s="1"/>
  <c r="P213" i="19"/>
  <c r="P231" i="19" s="1"/>
  <c r="P220" i="19"/>
  <c r="P238" i="19" s="1"/>
  <c r="P217" i="19"/>
  <c r="P235" i="19" s="1"/>
  <c r="P506" i="57"/>
  <c r="P524" i="57" s="1"/>
  <c r="P518" i="57"/>
  <c r="P536" i="57" s="1"/>
  <c r="P512" i="57"/>
  <c r="P530" i="57" s="1"/>
  <c r="P513" i="57"/>
  <c r="P531" i="57" s="1"/>
  <c r="P515" i="57"/>
  <c r="P533" i="57" s="1"/>
  <c r="P508" i="57"/>
  <c r="P526" i="57" s="1"/>
  <c r="P517" i="57"/>
  <c r="P535" i="57" s="1"/>
  <c r="P511" i="57"/>
  <c r="P529" i="57" s="1"/>
  <c r="P514" i="57"/>
  <c r="P532" i="57" s="1"/>
  <c r="P516" i="57"/>
  <c r="P534" i="57" s="1"/>
  <c r="P509" i="57"/>
  <c r="P527" i="57" s="1"/>
  <c r="P510" i="57"/>
  <c r="P528" i="57" s="1"/>
  <c r="P505" i="57"/>
  <c r="P507" i="57"/>
  <c r="P525" i="57" s="1"/>
  <c r="P497" i="19"/>
  <c r="P515" i="19" s="1"/>
  <c r="P487" i="19"/>
  <c r="P505" i="19" s="1"/>
  <c r="P484" i="19"/>
  <c r="P485" i="19"/>
  <c r="P503" i="19" s="1"/>
  <c r="P488" i="19"/>
  <c r="P506" i="19" s="1"/>
  <c r="P486" i="19"/>
  <c r="P504" i="19" s="1"/>
  <c r="P490" i="19"/>
  <c r="P508" i="19" s="1"/>
  <c r="P494" i="19"/>
  <c r="P512" i="19" s="1"/>
  <c r="P495" i="19"/>
  <c r="P513" i="19" s="1"/>
  <c r="P492" i="19"/>
  <c r="P510" i="19" s="1"/>
  <c r="P493" i="19"/>
  <c r="P511" i="19" s="1"/>
  <c r="P496" i="19"/>
  <c r="P514" i="19" s="1"/>
  <c r="P491" i="19"/>
  <c r="P509" i="19" s="1"/>
  <c r="P489" i="19"/>
  <c r="P507" i="19" s="1"/>
  <c r="O978" i="61"/>
  <c r="O992" i="61" s="1"/>
  <c r="O974" i="61"/>
  <c r="O1041" i="61" s="1"/>
  <c r="O290" i="18"/>
  <c r="O209" i="27" s="1"/>
  <c r="O558" i="53"/>
  <c r="O572" i="53" s="1"/>
  <c r="O554" i="53"/>
  <c r="O621" i="53" s="1"/>
  <c r="O502" i="49"/>
  <c r="O516" i="49" s="1"/>
  <c r="O498" i="49"/>
  <c r="O565" i="49" s="1"/>
  <c r="O723" i="61"/>
  <c r="O737" i="61" s="1"/>
  <c r="O719" i="61"/>
  <c r="O786" i="61" s="1"/>
  <c r="O255" i="53"/>
  <c r="O269" i="53" s="1"/>
  <c r="O251" i="53"/>
  <c r="O318" i="53" s="1"/>
  <c r="O285" i="18"/>
  <c r="O204" i="27" s="1"/>
  <c r="O296" i="18"/>
  <c r="O215" i="27" s="1"/>
  <c r="P242" i="45"/>
  <c r="P260" i="45" s="1"/>
  <c r="P241" i="45"/>
  <c r="P259" i="45" s="1"/>
  <c r="P239" i="45"/>
  <c r="P257" i="45" s="1"/>
  <c r="P230" i="45"/>
  <c r="P240" i="45"/>
  <c r="P258" i="45" s="1"/>
  <c r="P238" i="45"/>
  <c r="P256" i="45" s="1"/>
  <c r="P237" i="45"/>
  <c r="P255" i="45" s="1"/>
  <c r="P235" i="45"/>
  <c r="P253" i="45" s="1"/>
  <c r="P236" i="45"/>
  <c r="P254" i="45" s="1"/>
  <c r="P234" i="45"/>
  <c r="P252" i="45" s="1"/>
  <c r="P233" i="45"/>
  <c r="P251" i="45" s="1"/>
  <c r="P231" i="45"/>
  <c r="P249" i="45" s="1"/>
  <c r="P243" i="45"/>
  <c r="P261" i="45" s="1"/>
  <c r="P232" i="45"/>
  <c r="P250" i="45" s="1"/>
  <c r="O227" i="37"/>
  <c r="O241" i="37" s="1"/>
  <c r="O223" i="37"/>
  <c r="O290" i="37" s="1"/>
  <c r="O223" i="49"/>
  <c r="O290" i="49" s="1"/>
  <c r="O227" i="49"/>
  <c r="O241" i="49" s="1"/>
  <c r="O328" i="75"/>
  <c r="O395" i="75" s="1"/>
  <c r="O332" i="75"/>
  <c r="O346" i="75" s="1"/>
  <c r="O725" i="69"/>
  <c r="O792" i="69" s="1"/>
  <c r="O729" i="69"/>
  <c r="O743" i="69" s="1"/>
  <c r="O237" i="57"/>
  <c r="O304" i="57" s="1"/>
  <c r="O241" i="57"/>
  <c r="O255" i="57" s="1"/>
  <c r="O293" i="18"/>
  <c r="O212" i="27" s="1"/>
  <c r="O287" i="18"/>
  <c r="O206" i="27" s="1"/>
  <c r="P454" i="61"/>
  <c r="P472" i="61" s="1"/>
  <c r="P455" i="61"/>
  <c r="P473" i="61" s="1"/>
  <c r="P457" i="61"/>
  <c r="P475" i="61" s="1"/>
  <c r="P453" i="61"/>
  <c r="P471" i="61" s="1"/>
  <c r="P452" i="61"/>
  <c r="P470" i="61" s="1"/>
  <c r="P458" i="61"/>
  <c r="P476" i="61" s="1"/>
  <c r="P456" i="61"/>
  <c r="P474" i="61" s="1"/>
  <c r="P459" i="61"/>
  <c r="P477" i="61" s="1"/>
  <c r="P451" i="61"/>
  <c r="P469" i="61" s="1"/>
  <c r="P462" i="61"/>
  <c r="P480" i="61" s="1"/>
  <c r="P463" i="61"/>
  <c r="P481" i="61" s="1"/>
  <c r="P450" i="61"/>
  <c r="P461" i="61"/>
  <c r="P479" i="61" s="1"/>
  <c r="P460" i="61"/>
  <c r="P478" i="61" s="1"/>
  <c r="P234" i="57"/>
  <c r="P252" i="57" s="1"/>
  <c r="P224" i="57"/>
  <c r="P242" i="57" s="1"/>
  <c r="P228" i="57"/>
  <c r="P246" i="57" s="1"/>
  <c r="P231" i="57"/>
  <c r="P249" i="57" s="1"/>
  <c r="P225" i="57"/>
  <c r="P243" i="57" s="1"/>
  <c r="P223" i="57"/>
  <c r="P235" i="57"/>
  <c r="P253" i="57" s="1"/>
  <c r="P232" i="57"/>
  <c r="P250" i="57" s="1"/>
  <c r="P236" i="57"/>
  <c r="P254" i="57" s="1"/>
  <c r="P229" i="57"/>
  <c r="P247" i="57" s="1"/>
  <c r="P233" i="57"/>
  <c r="P251" i="57" s="1"/>
  <c r="P226" i="57"/>
  <c r="P244" i="57" s="1"/>
  <c r="P230" i="57"/>
  <c r="P248" i="57" s="1"/>
  <c r="P227" i="57"/>
  <c r="P245" i="57" s="1"/>
  <c r="O227" i="19"/>
  <c r="O241" i="19" s="1"/>
  <c r="O223" i="19"/>
  <c r="O290" i="19" s="1"/>
  <c r="O461" i="69"/>
  <c r="O475" i="69" s="1"/>
  <c r="O457" i="69"/>
  <c r="O524" i="69" s="1"/>
  <c r="O477" i="37"/>
  <c r="O544" i="37" s="1"/>
  <c r="O481" i="37"/>
  <c r="O495" i="37" s="1"/>
  <c r="O502" i="45"/>
  <c r="O516" i="45" s="1"/>
  <c r="O498" i="45"/>
  <c r="O565" i="45" s="1"/>
  <c r="O502" i="19"/>
  <c r="O516" i="19" s="1"/>
  <c r="O498" i="19"/>
  <c r="O565" i="19" s="1"/>
  <c r="O202" i="77"/>
  <c r="O269" i="77" s="1"/>
  <c r="O206" i="77"/>
  <c r="O220" i="77" s="1"/>
  <c r="O773" i="19"/>
  <c r="O840" i="19" s="1"/>
  <c r="O777" i="19"/>
  <c r="O791" i="19" s="1"/>
  <c r="O295" i="18"/>
  <c r="O214" i="27" s="1"/>
  <c r="O284" i="18"/>
  <c r="O203" i="27" s="1"/>
  <c r="P472" i="37"/>
  <c r="P490" i="37" s="1"/>
  <c r="P475" i="37"/>
  <c r="P493" i="37" s="1"/>
  <c r="P465" i="37"/>
  <c r="P483" i="37" s="1"/>
  <c r="P466" i="37"/>
  <c r="P484" i="37" s="1"/>
  <c r="P470" i="37"/>
  <c r="P488" i="37" s="1"/>
  <c r="P468" i="37"/>
  <c r="P486" i="37" s="1"/>
  <c r="P474" i="37"/>
  <c r="P492" i="37" s="1"/>
  <c r="P476" i="37"/>
  <c r="P494" i="37" s="1"/>
  <c r="P463" i="37"/>
  <c r="P473" i="37"/>
  <c r="P491" i="37" s="1"/>
  <c r="P471" i="37"/>
  <c r="P489" i="37" s="1"/>
  <c r="P464" i="37"/>
  <c r="P482" i="37" s="1"/>
  <c r="P467" i="37"/>
  <c r="P485" i="37" s="1"/>
  <c r="P469" i="37"/>
  <c r="P487" i="37" s="1"/>
  <c r="O223" i="41"/>
  <c r="O290" i="41" s="1"/>
  <c r="O227" i="41"/>
  <c r="O241" i="41" s="1"/>
  <c r="N198" i="27"/>
  <c r="O468" i="61"/>
  <c r="O482" i="61" s="1"/>
  <c r="O464" i="61"/>
  <c r="O531" i="61" s="1"/>
  <c r="O523" i="57"/>
  <c r="O537" i="57" s="1"/>
  <c r="O519" i="57"/>
  <c r="O586" i="57" s="1"/>
  <c r="O292" i="18"/>
  <c r="O211" i="27" s="1"/>
  <c r="O279" i="18"/>
  <c r="O346" i="18" s="1"/>
  <c r="O283" i="18"/>
  <c r="P326" i="75"/>
  <c r="P344" i="75" s="1"/>
  <c r="P317" i="75"/>
  <c r="P335" i="75" s="1"/>
  <c r="P320" i="75"/>
  <c r="P338" i="75" s="1"/>
  <c r="P319" i="75"/>
  <c r="P337" i="75" s="1"/>
  <c r="P314" i="75"/>
  <c r="P325" i="75"/>
  <c r="P343" i="75" s="1"/>
  <c r="P321" i="75"/>
  <c r="P339" i="75" s="1"/>
  <c r="P318" i="75"/>
  <c r="P336" i="75" s="1"/>
  <c r="P322" i="75"/>
  <c r="P340" i="75" s="1"/>
  <c r="P316" i="75"/>
  <c r="P334" i="75" s="1"/>
  <c r="P324" i="75"/>
  <c r="P342" i="75" s="1"/>
  <c r="P315" i="75"/>
  <c r="P333" i="75" s="1"/>
  <c r="P327" i="75"/>
  <c r="P345" i="75" s="1"/>
  <c r="P323" i="75"/>
  <c r="P341" i="75" s="1"/>
  <c r="P190" i="69"/>
  <c r="P208" i="69" s="1"/>
  <c r="P191" i="69"/>
  <c r="P209" i="69" s="1"/>
  <c r="P194" i="69"/>
  <c r="P212" i="69" s="1"/>
  <c r="P197" i="69"/>
  <c r="P215" i="69" s="1"/>
  <c r="P199" i="69"/>
  <c r="P217" i="69" s="1"/>
  <c r="P198" i="69"/>
  <c r="P216" i="69" s="1"/>
  <c r="P192" i="69"/>
  <c r="P210" i="69" s="1"/>
  <c r="P193" i="69"/>
  <c r="P211" i="69" s="1"/>
  <c r="P189" i="69"/>
  <c r="P207" i="69" s="1"/>
  <c r="P200" i="69"/>
  <c r="P218" i="69" s="1"/>
  <c r="P195" i="69"/>
  <c r="P213" i="69" s="1"/>
  <c r="P201" i="69"/>
  <c r="P219" i="69" s="1"/>
  <c r="P188" i="69"/>
  <c r="P196" i="69"/>
  <c r="P214" i="69" s="1"/>
  <c r="N297" i="18"/>
  <c r="O516" i="41"/>
  <c r="O530" i="41" s="1"/>
  <c r="O512" i="41"/>
  <c r="O579" i="41" s="1"/>
  <c r="O276" i="29"/>
  <c r="O290" i="29" s="1"/>
  <c r="O272" i="29"/>
  <c r="O339" i="29" s="1"/>
  <c r="O202" i="33"/>
  <c r="O269" i="33" s="1"/>
  <c r="O206" i="33"/>
  <c r="O220" i="33" s="1"/>
  <c r="O294" i="18"/>
  <c r="O213" i="27" s="1"/>
  <c r="O286" i="18"/>
  <c r="O205" i="27" s="1"/>
  <c r="P488" i="45"/>
  <c r="P506" i="45" s="1"/>
  <c r="P484" i="45"/>
  <c r="P493" i="45"/>
  <c r="P511" i="45" s="1"/>
  <c r="P487" i="45"/>
  <c r="P505" i="45" s="1"/>
  <c r="P486" i="45"/>
  <c r="P504" i="45" s="1"/>
  <c r="P490" i="45"/>
  <c r="P508" i="45" s="1"/>
  <c r="P496" i="45"/>
  <c r="P514" i="45" s="1"/>
  <c r="P495" i="45"/>
  <c r="P513" i="45" s="1"/>
  <c r="P489" i="45"/>
  <c r="P507" i="45" s="1"/>
  <c r="P492" i="45"/>
  <c r="P510" i="45" s="1"/>
  <c r="P497" i="45"/>
  <c r="P515" i="45" s="1"/>
  <c r="P494" i="45"/>
  <c r="P512" i="45" s="1"/>
  <c r="P491" i="45"/>
  <c r="P509" i="45" s="1"/>
  <c r="P485" i="45"/>
  <c r="P503" i="45" s="1"/>
  <c r="P201" i="77"/>
  <c r="P219" i="77" s="1"/>
  <c r="P195" i="77"/>
  <c r="P213" i="77" s="1"/>
  <c r="P189" i="77"/>
  <c r="P207" i="77" s="1"/>
  <c r="P192" i="77"/>
  <c r="P210" i="77" s="1"/>
  <c r="P199" i="77"/>
  <c r="P217" i="77" s="1"/>
  <c r="P196" i="77"/>
  <c r="P214" i="77" s="1"/>
  <c r="P193" i="77"/>
  <c r="P211" i="77" s="1"/>
  <c r="P191" i="77"/>
  <c r="P209" i="77" s="1"/>
  <c r="P194" i="77"/>
  <c r="P212" i="77" s="1"/>
  <c r="P197" i="77"/>
  <c r="P215" i="77" s="1"/>
  <c r="P200" i="77"/>
  <c r="P218" i="77" s="1"/>
  <c r="P190" i="77"/>
  <c r="P208" i="77" s="1"/>
  <c r="P188" i="77"/>
  <c r="P198" i="77"/>
  <c r="P216" i="77" s="1"/>
  <c r="P966" i="61"/>
  <c r="P984" i="61" s="1"/>
  <c r="P971" i="61"/>
  <c r="P989" i="61" s="1"/>
  <c r="P973" i="61"/>
  <c r="P991" i="61" s="1"/>
  <c r="P962" i="61"/>
  <c r="P980" i="61" s="1"/>
  <c r="P969" i="61"/>
  <c r="P987" i="61" s="1"/>
  <c r="P972" i="61"/>
  <c r="P990" i="61" s="1"/>
  <c r="P960" i="61"/>
  <c r="P965" i="61"/>
  <c r="P983" i="61" s="1"/>
  <c r="P967" i="61"/>
  <c r="P985" i="61" s="1"/>
  <c r="P970" i="61"/>
  <c r="P988" i="61" s="1"/>
  <c r="P968" i="61"/>
  <c r="P986" i="61" s="1"/>
  <c r="P963" i="61"/>
  <c r="P981" i="61" s="1"/>
  <c r="P961" i="61"/>
  <c r="P979" i="61" s="1"/>
  <c r="P964" i="61"/>
  <c r="P982" i="61" s="1"/>
  <c r="P712" i="69"/>
  <c r="P730" i="69" s="1"/>
  <c r="P721" i="69"/>
  <c r="P739" i="69" s="1"/>
  <c r="P723" i="69"/>
  <c r="P741" i="69" s="1"/>
  <c r="P718" i="69"/>
  <c r="P736" i="69" s="1"/>
  <c r="P722" i="69"/>
  <c r="P740" i="69" s="1"/>
  <c r="P717" i="69"/>
  <c r="P735" i="69" s="1"/>
  <c r="P720" i="69"/>
  <c r="P738" i="69" s="1"/>
  <c r="P714" i="69"/>
  <c r="P732" i="69" s="1"/>
  <c r="P716" i="69"/>
  <c r="P734" i="69" s="1"/>
  <c r="P713" i="69"/>
  <c r="P731" i="69" s="1"/>
  <c r="P724" i="69"/>
  <c r="P742" i="69" s="1"/>
  <c r="P719" i="69"/>
  <c r="P737" i="69" s="1"/>
  <c r="P715" i="69"/>
  <c r="P733" i="69" s="1"/>
  <c r="P711" i="69"/>
  <c r="P202" i="61"/>
  <c r="P220" i="61" s="1"/>
  <c r="P197" i="61"/>
  <c r="P215" i="61" s="1"/>
  <c r="P196" i="61"/>
  <c r="P214" i="61" s="1"/>
  <c r="P205" i="61"/>
  <c r="P223" i="61" s="1"/>
  <c r="P195" i="61"/>
  <c r="P213" i="61" s="1"/>
  <c r="P193" i="61"/>
  <c r="P199" i="61"/>
  <c r="P217" i="61" s="1"/>
  <c r="P204" i="61"/>
  <c r="P222" i="61" s="1"/>
  <c r="P198" i="61"/>
  <c r="P216" i="61" s="1"/>
  <c r="P194" i="61"/>
  <c r="P212" i="61" s="1"/>
  <c r="P203" i="61"/>
  <c r="P221" i="61" s="1"/>
  <c r="P201" i="61"/>
  <c r="P219" i="61" s="1"/>
  <c r="P206" i="61"/>
  <c r="P224" i="61" s="1"/>
  <c r="P200" i="61"/>
  <c r="P218" i="61" s="1"/>
  <c r="P219" i="37"/>
  <c r="P237" i="37" s="1"/>
  <c r="P216" i="37"/>
  <c r="P234" i="37" s="1"/>
  <c r="P212" i="37"/>
  <c r="P230" i="37" s="1"/>
  <c r="P215" i="37"/>
  <c r="P233" i="37" s="1"/>
  <c r="P213" i="37"/>
  <c r="P231" i="37" s="1"/>
  <c r="P222" i="37"/>
  <c r="P240" i="37" s="1"/>
  <c r="P209" i="37"/>
  <c r="P218" i="37"/>
  <c r="P236" i="37" s="1"/>
  <c r="P214" i="37"/>
  <c r="P232" i="37" s="1"/>
  <c r="P220" i="37"/>
  <c r="P238" i="37" s="1"/>
  <c r="P221" i="37"/>
  <c r="P239" i="37" s="1"/>
  <c r="P210" i="37"/>
  <c r="P228" i="37" s="1"/>
  <c r="P211" i="37"/>
  <c r="P229" i="37" s="1"/>
  <c r="P217" i="37"/>
  <c r="P235" i="37" s="1"/>
  <c r="P456" i="69"/>
  <c r="P474" i="69" s="1"/>
  <c r="P446" i="69"/>
  <c r="P464" i="69" s="1"/>
  <c r="P443" i="69"/>
  <c r="P445" i="69"/>
  <c r="P463" i="69" s="1"/>
  <c r="P451" i="69"/>
  <c r="P469" i="69" s="1"/>
  <c r="P444" i="69"/>
  <c r="P462" i="69" s="1"/>
  <c r="P447" i="69"/>
  <c r="P465" i="69" s="1"/>
  <c r="P450" i="69"/>
  <c r="P468" i="69" s="1"/>
  <c r="P449" i="69"/>
  <c r="P467" i="69" s="1"/>
  <c r="P448" i="69"/>
  <c r="P466" i="69" s="1"/>
  <c r="P453" i="69"/>
  <c r="P471" i="69" s="1"/>
  <c r="P452" i="69"/>
  <c r="P470" i="69" s="1"/>
  <c r="P455" i="69"/>
  <c r="P473" i="69" s="1"/>
  <c r="P454" i="69"/>
  <c r="P472" i="69" s="1"/>
  <c r="O244" i="45"/>
  <c r="O311" i="45" s="1"/>
  <c r="O248" i="45"/>
  <c r="O262" i="45" s="1"/>
  <c r="O206" i="69"/>
  <c r="O220" i="69" s="1"/>
  <c r="O202" i="69"/>
  <c r="O269" i="69" s="1"/>
  <c r="O288" i="18"/>
  <c r="O207" i="27" s="1"/>
  <c r="O291" i="18"/>
  <c r="O210" i="27" s="1"/>
  <c r="Q96" i="69"/>
  <c r="Q91" i="69"/>
  <c r="R89" i="69"/>
  <c r="R88" i="69"/>
  <c r="Q95" i="69"/>
  <c r="Q77" i="69"/>
  <c r="P98" i="69"/>
  <c r="P88" i="27" s="1"/>
  <c r="P245" i="69"/>
  <c r="P249" i="69"/>
  <c r="P260" i="69" s="1"/>
  <c r="P251" i="69"/>
  <c r="P262" i="69" s="1"/>
  <c r="P248" i="69"/>
  <c r="P259" i="69" s="1"/>
  <c r="P247" i="69"/>
  <c r="P258" i="69" s="1"/>
  <c r="P250" i="69"/>
  <c r="P261" i="69" s="1"/>
  <c r="P246" i="69"/>
  <c r="P257" i="69" s="1"/>
  <c r="R81" i="69"/>
  <c r="R82" i="69"/>
  <c r="R74" i="69"/>
  <c r="R75" i="69"/>
  <c r="Q84" i="69"/>
  <c r="R336" i="69"/>
  <c r="R337" i="69"/>
  <c r="Q346" i="69"/>
  <c r="R330" i="69"/>
  <c r="R329" i="69"/>
  <c r="P353" i="69"/>
  <c r="P89" i="27" s="1"/>
  <c r="P506" i="69"/>
  <c r="P517" i="69" s="1"/>
  <c r="P502" i="69"/>
  <c r="P513" i="69" s="1"/>
  <c r="P500" i="69"/>
  <c r="P503" i="69"/>
  <c r="P514" i="69" s="1"/>
  <c r="P501" i="69"/>
  <c r="P512" i="69" s="1"/>
  <c r="P504" i="69"/>
  <c r="P515" i="69" s="1"/>
  <c r="P505" i="69"/>
  <c r="P516" i="69" s="1"/>
  <c r="R344" i="69"/>
  <c r="R343" i="69"/>
  <c r="Q339" i="69"/>
  <c r="Q332" i="69"/>
  <c r="Q350" i="69"/>
  <c r="Q351" i="69"/>
  <c r="Q116" i="19"/>
  <c r="Q380" i="45"/>
  <c r="Q667" i="19"/>
  <c r="P1018" i="61"/>
  <c r="P1029" i="61" s="1"/>
  <c r="P1022" i="61"/>
  <c r="P1033" i="61" s="1"/>
  <c r="P1021" i="61"/>
  <c r="P1032" i="61" s="1"/>
  <c r="P1019" i="61"/>
  <c r="P1030" i="61" s="1"/>
  <c r="P1017" i="61"/>
  <c r="P1023" i="61"/>
  <c r="P1034" i="61" s="1"/>
  <c r="P1020" i="61"/>
  <c r="P1031" i="61" s="1"/>
  <c r="P248" i="33"/>
  <c r="P259" i="33" s="1"/>
  <c r="P249" i="33"/>
  <c r="P260" i="33" s="1"/>
  <c r="P246" i="33"/>
  <c r="P257" i="33" s="1"/>
  <c r="P250" i="33"/>
  <c r="P261" i="33" s="1"/>
  <c r="P247" i="33"/>
  <c r="P258" i="33" s="1"/>
  <c r="P251" i="33"/>
  <c r="P262" i="33" s="1"/>
  <c r="P245" i="33"/>
  <c r="Q664" i="19"/>
  <c r="P524" i="37"/>
  <c r="P535" i="37" s="1"/>
  <c r="P526" i="37"/>
  <c r="P537" i="37" s="1"/>
  <c r="P522" i="37"/>
  <c r="P533" i="37" s="1"/>
  <c r="P523" i="37"/>
  <c r="P534" i="37" s="1"/>
  <c r="P525" i="37"/>
  <c r="P536" i="37" s="1"/>
  <c r="P521" i="37"/>
  <c r="P532" i="37" s="1"/>
  <c r="P520" i="37"/>
  <c r="P255" i="61"/>
  <c r="P266" i="61" s="1"/>
  <c r="P252" i="61"/>
  <c r="P263" i="61" s="1"/>
  <c r="P250" i="61"/>
  <c r="P254" i="61"/>
  <c r="P265" i="61" s="1"/>
  <c r="P251" i="61"/>
  <c r="P262" i="61" s="1"/>
  <c r="P256" i="61"/>
  <c r="P267" i="61" s="1"/>
  <c r="P253" i="61"/>
  <c r="P264" i="61" s="1"/>
  <c r="P567" i="57"/>
  <c r="P578" i="57" s="1"/>
  <c r="P564" i="57"/>
  <c r="P575" i="57" s="1"/>
  <c r="P563" i="57"/>
  <c r="P574" i="57" s="1"/>
  <c r="P562" i="57"/>
  <c r="P565" i="57"/>
  <c r="P576" i="57" s="1"/>
  <c r="P568" i="57"/>
  <c r="P579" i="57" s="1"/>
  <c r="P566" i="57"/>
  <c r="P577" i="57" s="1"/>
  <c r="P547" i="45"/>
  <c r="P558" i="45" s="1"/>
  <c r="P544" i="45"/>
  <c r="P555" i="45" s="1"/>
  <c r="P546" i="45"/>
  <c r="P557" i="45" s="1"/>
  <c r="P545" i="45"/>
  <c r="P556" i="45" s="1"/>
  <c r="P541" i="45"/>
  <c r="P543" i="45"/>
  <c r="P554" i="45" s="1"/>
  <c r="P542" i="45"/>
  <c r="P553" i="45" s="1"/>
  <c r="P251" i="77"/>
  <c r="P262" i="77" s="1"/>
  <c r="P248" i="77"/>
  <c r="P259" i="77" s="1"/>
  <c r="P250" i="77"/>
  <c r="P261" i="77" s="1"/>
  <c r="P246" i="77"/>
  <c r="P257" i="77" s="1"/>
  <c r="P249" i="77"/>
  <c r="P260" i="77" s="1"/>
  <c r="P247" i="77"/>
  <c r="P258" i="77" s="1"/>
  <c r="P245" i="77"/>
  <c r="P289" i="45"/>
  <c r="P300" i="45" s="1"/>
  <c r="P287" i="45"/>
  <c r="P291" i="45"/>
  <c r="P302" i="45" s="1"/>
  <c r="P293" i="45"/>
  <c r="P304" i="45" s="1"/>
  <c r="P288" i="45"/>
  <c r="P299" i="45" s="1"/>
  <c r="P290" i="45"/>
  <c r="P301" i="45" s="1"/>
  <c r="P292" i="45"/>
  <c r="P303" i="45" s="1"/>
  <c r="P267" i="37"/>
  <c r="P278" i="37" s="1"/>
  <c r="P271" i="37"/>
  <c r="P282" i="37" s="1"/>
  <c r="P272" i="37"/>
  <c r="P283" i="37" s="1"/>
  <c r="P269" i="37"/>
  <c r="P280" i="37" s="1"/>
  <c r="P268" i="37"/>
  <c r="P279" i="37" s="1"/>
  <c r="P266" i="37"/>
  <c r="P270" i="37"/>
  <c r="P281" i="37" s="1"/>
  <c r="P269" i="19"/>
  <c r="P280" i="19" s="1"/>
  <c r="P266" i="19"/>
  <c r="P270" i="19"/>
  <c r="P281" i="19" s="1"/>
  <c r="P267" i="19"/>
  <c r="P278" i="19" s="1"/>
  <c r="P268" i="19"/>
  <c r="P279" i="19" s="1"/>
  <c r="P271" i="19"/>
  <c r="P282" i="19" s="1"/>
  <c r="P272" i="19"/>
  <c r="P283" i="19" s="1"/>
  <c r="P508" i="61"/>
  <c r="P519" i="61" s="1"/>
  <c r="P509" i="61"/>
  <c r="P520" i="61" s="1"/>
  <c r="P511" i="61"/>
  <c r="P522" i="61" s="1"/>
  <c r="P510" i="61"/>
  <c r="P521" i="61" s="1"/>
  <c r="P507" i="61"/>
  <c r="P512" i="61"/>
  <c r="P523" i="61" s="1"/>
  <c r="P513" i="61"/>
  <c r="P524" i="61" s="1"/>
  <c r="P546" i="19"/>
  <c r="P557" i="19" s="1"/>
  <c r="P543" i="19"/>
  <c r="P554" i="19" s="1"/>
  <c r="P544" i="19"/>
  <c r="P555" i="19" s="1"/>
  <c r="P547" i="19"/>
  <c r="P558" i="19" s="1"/>
  <c r="P541" i="19"/>
  <c r="P545" i="19"/>
  <c r="P556" i="19" s="1"/>
  <c r="P542" i="19"/>
  <c r="P553" i="19" s="1"/>
  <c r="P286" i="57"/>
  <c r="P297" i="57" s="1"/>
  <c r="P282" i="57"/>
  <c r="P293" i="57" s="1"/>
  <c r="P283" i="57"/>
  <c r="P294" i="57" s="1"/>
  <c r="P281" i="57"/>
  <c r="P292" i="57" s="1"/>
  <c r="P280" i="57"/>
  <c r="P285" i="57"/>
  <c r="P296" i="57" s="1"/>
  <c r="P284" i="57"/>
  <c r="P295" i="57" s="1"/>
  <c r="P764" i="61"/>
  <c r="P775" i="61" s="1"/>
  <c r="P762" i="61"/>
  <c r="P766" i="61"/>
  <c r="P777" i="61" s="1"/>
  <c r="P768" i="61"/>
  <c r="P779" i="61" s="1"/>
  <c r="P763" i="61"/>
  <c r="P774" i="61" s="1"/>
  <c r="P765" i="61"/>
  <c r="P776" i="61" s="1"/>
  <c r="P767" i="61"/>
  <c r="P778" i="61" s="1"/>
  <c r="P771" i="69"/>
  <c r="P782" i="69" s="1"/>
  <c r="P773" i="69"/>
  <c r="P784" i="69" s="1"/>
  <c r="P772" i="69"/>
  <c r="P783" i="69" s="1"/>
  <c r="P770" i="69"/>
  <c r="P781" i="69" s="1"/>
  <c r="P768" i="69"/>
  <c r="P769" i="69"/>
  <c r="P780" i="69" s="1"/>
  <c r="P774" i="69"/>
  <c r="P785" i="69" s="1"/>
  <c r="P820" i="19"/>
  <c r="P831" i="19" s="1"/>
  <c r="P818" i="19"/>
  <c r="P829" i="19" s="1"/>
  <c r="P822" i="19"/>
  <c r="P833" i="19" s="1"/>
  <c r="P821" i="19"/>
  <c r="P832" i="19" s="1"/>
  <c r="P817" i="19"/>
  <c r="P828" i="19" s="1"/>
  <c r="P819" i="19"/>
  <c r="P830" i="19" s="1"/>
  <c r="P816" i="19"/>
  <c r="P371" i="75"/>
  <c r="P377" i="75"/>
  <c r="P388" i="75" s="1"/>
  <c r="P375" i="75"/>
  <c r="P386" i="75" s="1"/>
  <c r="P374" i="75"/>
  <c r="P385" i="75" s="1"/>
  <c r="P373" i="75"/>
  <c r="P384" i="75" s="1"/>
  <c r="P372" i="75"/>
  <c r="P383" i="75" s="1"/>
  <c r="P376" i="75"/>
  <c r="P387" i="75" s="1"/>
  <c r="Q115" i="19"/>
  <c r="Q117" i="19"/>
  <c r="Q114" i="19"/>
  <c r="Q608" i="61"/>
  <c r="M322" i="53"/>
  <c r="M295" i="41"/>
  <c r="M790" i="61"/>
  <c r="M273" i="33"/>
  <c r="M274" i="69"/>
  <c r="M279" i="61"/>
  <c r="M626" i="53"/>
  <c r="M295" i="49"/>
  <c r="M295" i="19"/>
  <c r="M528" i="69"/>
  <c r="M274" i="77"/>
  <c r="M343" i="29"/>
  <c r="M315" i="45"/>
  <c r="M1045" i="61"/>
  <c r="M569" i="49"/>
  <c r="M536" i="61"/>
  <c r="M591" i="57"/>
  <c r="M796" i="69"/>
  <c r="M845" i="19"/>
  <c r="M294" i="37"/>
  <c r="M399" i="75"/>
  <c r="M570" i="45"/>
  <c r="M569" i="19"/>
  <c r="M584" i="41"/>
  <c r="M308" i="57"/>
  <c r="Q358" i="61"/>
  <c r="Q371" i="37"/>
  <c r="Q666" i="19"/>
  <c r="Q99" i="19"/>
  <c r="Q353" i="61"/>
  <c r="Q665" i="19"/>
  <c r="Q84" i="77"/>
  <c r="Q84" i="33"/>
  <c r="Q96" i="61"/>
  <c r="Q127" i="45"/>
  <c r="Q601" i="61"/>
  <c r="Q91" i="77"/>
  <c r="Q617" i="69"/>
  <c r="Q114" i="45"/>
  <c r="Q109" i="19"/>
  <c r="Q649" i="19"/>
  <c r="Q109" i="57"/>
  <c r="Q391" i="45"/>
  <c r="Q373" i="45"/>
  <c r="R351" i="61"/>
  <c r="R350" i="61"/>
  <c r="O335" i="18"/>
  <c r="O254" i="27" s="1"/>
  <c r="Q199" i="75"/>
  <c r="Q639" i="19"/>
  <c r="Q663" i="19"/>
  <c r="Q206" i="75"/>
  <c r="Q205" i="75"/>
  <c r="Q221" i="75"/>
  <c r="N242" i="79"/>
  <c r="N242" i="78"/>
  <c r="R82" i="77"/>
  <c r="R81" i="77"/>
  <c r="M351" i="18"/>
  <c r="M350" i="18"/>
  <c r="P360" i="61"/>
  <c r="P85" i="27" s="1"/>
  <c r="Q127" i="57"/>
  <c r="P140" i="45"/>
  <c r="P76" i="27" s="1"/>
  <c r="N254" i="78"/>
  <c r="N254" i="79"/>
  <c r="Q391" i="19"/>
  <c r="Q135" i="45"/>
  <c r="R133" i="75"/>
  <c r="R146" i="75"/>
  <c r="R136" i="75"/>
  <c r="R141" i="75"/>
  <c r="R147" i="75"/>
  <c r="R138" i="75"/>
  <c r="R129" i="75"/>
  <c r="R128" i="75"/>
  <c r="R139" i="75"/>
  <c r="R137" i="75"/>
  <c r="R130" i="75"/>
  <c r="R140" i="75"/>
  <c r="R145" i="75"/>
  <c r="R131" i="75"/>
  <c r="R142" i="75"/>
  <c r="R132" i="75"/>
  <c r="R144" i="75"/>
  <c r="R135" i="75"/>
  <c r="R134" i="75"/>
  <c r="R143" i="75"/>
  <c r="R846" i="61"/>
  <c r="R847" i="61"/>
  <c r="R349" i="37"/>
  <c r="R350" i="37"/>
  <c r="Q413" i="57"/>
  <c r="Q95" i="33"/>
  <c r="Q77" i="33"/>
  <c r="P394" i="19"/>
  <c r="P69" i="27" s="1"/>
  <c r="O277" i="49"/>
  <c r="O284" i="49" s="1"/>
  <c r="O273" i="49"/>
  <c r="O291" i="49" s="1"/>
  <c r="R93" i="61"/>
  <c r="R94" i="61"/>
  <c r="R385" i="45"/>
  <c r="R384" i="45"/>
  <c r="R608" i="69"/>
  <c r="R607" i="69"/>
  <c r="R610" i="69"/>
  <c r="R609" i="69"/>
  <c r="O773" i="61"/>
  <c r="O780" i="61" s="1"/>
  <c r="O769" i="61"/>
  <c r="O787" i="61" s="1"/>
  <c r="N241" i="79"/>
  <c r="N241" i="78"/>
  <c r="N248" i="27"/>
  <c r="P98" i="33"/>
  <c r="P70" i="27" s="1"/>
  <c r="Q215" i="75"/>
  <c r="Q211" i="75"/>
  <c r="Q384" i="19"/>
  <c r="O531" i="37"/>
  <c r="O538" i="37" s="1"/>
  <c r="O527" i="37"/>
  <c r="O545" i="37" s="1"/>
  <c r="R356" i="37"/>
  <c r="R357" i="37"/>
  <c r="R598" i="61"/>
  <c r="R599" i="61"/>
  <c r="Q346" i="61"/>
  <c r="Q125" i="57"/>
  <c r="Q97" i="57"/>
  <c r="P133" i="57"/>
  <c r="P82" i="27" s="1"/>
  <c r="Q91" i="33"/>
  <c r="N243" i="79"/>
  <c r="N243" i="78"/>
  <c r="O256" i="77"/>
  <c r="O263" i="77" s="1"/>
  <c r="O252" i="77"/>
  <c r="O270" i="77" s="1"/>
  <c r="Q390" i="19"/>
  <c r="Q136" i="45"/>
  <c r="O256" i="69"/>
  <c r="O263" i="69" s="1"/>
  <c r="O252" i="69"/>
  <c r="O270" i="69" s="1"/>
  <c r="R336" i="61"/>
  <c r="R337" i="61"/>
  <c r="Q409" i="57"/>
  <c r="Q366" i="37"/>
  <c r="O273" i="19"/>
  <c r="O291" i="19" s="1"/>
  <c r="O277" i="19"/>
  <c r="O284" i="19" s="1"/>
  <c r="R88" i="77"/>
  <c r="R89" i="77"/>
  <c r="R398" i="57"/>
  <c r="R399" i="57"/>
  <c r="R402" i="57"/>
  <c r="R401" i="57"/>
  <c r="R397" i="57"/>
  <c r="R400" i="57"/>
  <c r="N340" i="18"/>
  <c r="O338" i="18"/>
  <c r="O257" i="27" s="1"/>
  <c r="O334" i="18"/>
  <c r="O253" i="27" s="1"/>
  <c r="O301" i="53"/>
  <c r="O319" i="53" s="1"/>
  <c r="O305" i="53"/>
  <c r="O312" i="53" s="1"/>
  <c r="Q113" i="19"/>
  <c r="Q89" i="19"/>
  <c r="Q109" i="37"/>
  <c r="O827" i="19"/>
  <c r="O834" i="19" s="1"/>
  <c r="O823" i="19"/>
  <c r="O841" i="19" s="1"/>
  <c r="Q210" i="75"/>
  <c r="Q214" i="75"/>
  <c r="Q389" i="19"/>
  <c r="R107" i="45"/>
  <c r="R109" i="45"/>
  <c r="R112" i="45"/>
  <c r="R110" i="45"/>
  <c r="R105" i="45"/>
  <c r="R111" i="45"/>
  <c r="R108" i="45"/>
  <c r="R106" i="45"/>
  <c r="R646" i="19"/>
  <c r="R644" i="19"/>
  <c r="R645" i="19"/>
  <c r="R647" i="19"/>
  <c r="R643" i="19"/>
  <c r="R378" i="45"/>
  <c r="R377" i="45"/>
  <c r="P103" i="61"/>
  <c r="P84" i="27" s="1"/>
  <c r="Q129" i="57"/>
  <c r="Q359" i="37"/>
  <c r="Q132" i="45"/>
  <c r="R80" i="61"/>
  <c r="R79" i="61"/>
  <c r="R590" i="69"/>
  <c r="R592" i="69"/>
  <c r="R589" i="69"/>
  <c r="R591" i="69"/>
  <c r="Q408" i="57"/>
  <c r="Q382" i="57"/>
  <c r="N255" i="79"/>
  <c r="N255" i="78"/>
  <c r="Q393" i="57"/>
  <c r="P119" i="19"/>
  <c r="P67" i="27" s="1"/>
  <c r="Q374" i="19"/>
  <c r="R606" i="61"/>
  <c r="R605" i="61"/>
  <c r="R381" i="19"/>
  <c r="R380" i="19"/>
  <c r="R382" i="19"/>
  <c r="R379" i="19"/>
  <c r="R378" i="19"/>
  <c r="O336" i="18"/>
  <c r="O255" i="27" s="1"/>
  <c r="Q220" i="75"/>
  <c r="Q204" i="75"/>
  <c r="P621" i="69"/>
  <c r="P90" i="27" s="1"/>
  <c r="R105" i="57"/>
  <c r="R107" i="57"/>
  <c r="R103" i="57"/>
  <c r="R101" i="57"/>
  <c r="R102" i="57"/>
  <c r="R104" i="57"/>
  <c r="R106" i="57"/>
  <c r="R391" i="57"/>
  <c r="R386" i="57"/>
  <c r="R387" i="57"/>
  <c r="R388" i="57"/>
  <c r="R390" i="57"/>
  <c r="R389" i="57"/>
  <c r="R600" i="69"/>
  <c r="R601" i="69"/>
  <c r="R599" i="69"/>
  <c r="R598" i="69"/>
  <c r="Q131" i="57"/>
  <c r="O277" i="37"/>
  <c r="O284" i="37" s="1"/>
  <c r="O273" i="37"/>
  <c r="O291" i="37" s="1"/>
  <c r="N256" i="78"/>
  <c r="N256" i="79"/>
  <c r="Q131" i="45"/>
  <c r="Q101" i="45"/>
  <c r="Q113" i="37"/>
  <c r="Q89" i="37"/>
  <c r="N246" i="79"/>
  <c r="N246" i="78"/>
  <c r="P373" i="37"/>
  <c r="P73" i="27" s="1"/>
  <c r="R85" i="19"/>
  <c r="R83" i="19"/>
  <c r="R84" i="19"/>
  <c r="R87" i="19"/>
  <c r="R86" i="19"/>
  <c r="R75" i="77"/>
  <c r="R74" i="77"/>
  <c r="R378" i="57"/>
  <c r="R376" i="57"/>
  <c r="R375" i="57"/>
  <c r="R379" i="57"/>
  <c r="R380" i="57"/>
  <c r="R377" i="57"/>
  <c r="R591" i="61"/>
  <c r="R592" i="61"/>
  <c r="Q410" i="57"/>
  <c r="Q387" i="45"/>
  <c r="N244" i="79"/>
  <c r="N244" i="78"/>
  <c r="O779" i="69"/>
  <c r="O786" i="69" s="1"/>
  <c r="O775" i="69"/>
  <c r="O793" i="69" s="1"/>
  <c r="R107" i="19"/>
  <c r="R103" i="19"/>
  <c r="R104" i="19"/>
  <c r="R106" i="19"/>
  <c r="R105" i="19"/>
  <c r="R860" i="61"/>
  <c r="R861" i="61"/>
  <c r="O552" i="49"/>
  <c r="O559" i="49" s="1"/>
  <c r="O548" i="49"/>
  <c r="O566" i="49" s="1"/>
  <c r="Q218" i="75"/>
  <c r="Q149" i="75"/>
  <c r="Q203" i="75"/>
  <c r="P224" i="75"/>
  <c r="P91" i="27" s="1"/>
  <c r="R96" i="19"/>
  <c r="R95" i="19"/>
  <c r="R97" i="19"/>
  <c r="R94" i="19"/>
  <c r="R93" i="19"/>
  <c r="R156" i="75"/>
  <c r="R158" i="75"/>
  <c r="R154" i="75"/>
  <c r="R166" i="75"/>
  <c r="R159" i="75"/>
  <c r="R155" i="75"/>
  <c r="R161" i="75"/>
  <c r="R164" i="75"/>
  <c r="R168" i="75"/>
  <c r="R169" i="75"/>
  <c r="R153" i="75"/>
  <c r="R171" i="75"/>
  <c r="R162" i="75"/>
  <c r="R170" i="75"/>
  <c r="R157" i="75"/>
  <c r="R165" i="75"/>
  <c r="R167" i="75"/>
  <c r="R160" i="75"/>
  <c r="R172" i="75"/>
  <c r="R163" i="75"/>
  <c r="R344" i="61"/>
  <c r="R343" i="61"/>
  <c r="Q618" i="69"/>
  <c r="Q128" i="57"/>
  <c r="Q863" i="61"/>
  <c r="O298" i="45"/>
  <c r="O305" i="45" s="1"/>
  <c r="O294" i="45"/>
  <c r="O312" i="45" s="1"/>
  <c r="N245" i="79"/>
  <c r="N245" i="78"/>
  <c r="Q100" i="61"/>
  <c r="Q82" i="61"/>
  <c r="Q134" i="45"/>
  <c r="Q115" i="37"/>
  <c r="N257" i="78"/>
  <c r="N257" i="79"/>
  <c r="O608" i="53"/>
  <c r="O615" i="53" s="1"/>
  <c r="O604" i="53"/>
  <c r="O622" i="53" s="1"/>
  <c r="R75" i="33"/>
  <c r="R74" i="33"/>
  <c r="R359" i="19"/>
  <c r="R361" i="19"/>
  <c r="R362" i="19"/>
  <c r="R360" i="19"/>
  <c r="R358" i="19"/>
  <c r="R370" i="45"/>
  <c r="R371" i="45"/>
  <c r="Q412" i="57"/>
  <c r="O382" i="75"/>
  <c r="O389" i="75" s="1"/>
  <c r="O378" i="75"/>
  <c r="O396" i="75" s="1"/>
  <c r="Q867" i="61"/>
  <c r="Q849" i="61"/>
  <c r="O273" i="41"/>
  <c r="O291" i="41" s="1"/>
  <c r="O277" i="41"/>
  <c r="O284" i="41" s="1"/>
  <c r="R187" i="75"/>
  <c r="R182" i="75"/>
  <c r="R179" i="75"/>
  <c r="R192" i="75"/>
  <c r="R180" i="75"/>
  <c r="R195" i="75"/>
  <c r="R191" i="75"/>
  <c r="R183" i="75"/>
  <c r="R184" i="75"/>
  <c r="R186" i="75"/>
  <c r="R181" i="75"/>
  <c r="R196" i="75"/>
  <c r="R189" i="75"/>
  <c r="R194" i="75"/>
  <c r="R178" i="75"/>
  <c r="R193" i="75"/>
  <c r="R190" i="75"/>
  <c r="R188" i="75"/>
  <c r="R197" i="75"/>
  <c r="R185" i="75"/>
  <c r="R120" i="45"/>
  <c r="R121" i="45"/>
  <c r="R118" i="45"/>
  <c r="R124" i="45"/>
  <c r="R122" i="45"/>
  <c r="R123" i="45"/>
  <c r="R119" i="45"/>
  <c r="R125" i="45"/>
  <c r="N258" i="78"/>
  <c r="N258" i="79"/>
  <c r="O261" i="61"/>
  <c r="O268" i="61" s="1"/>
  <c r="O257" i="61"/>
  <c r="O275" i="61" s="1"/>
  <c r="Q594" i="61"/>
  <c r="Q613" i="61"/>
  <c r="O518" i="61"/>
  <c r="O525" i="61" s="1"/>
  <c r="O514" i="61"/>
  <c r="O532" i="61" s="1"/>
  <c r="Q219" i="75"/>
  <c r="Q208" i="75"/>
  <c r="Q213" i="75"/>
  <c r="Q404" i="57"/>
  <c r="O256" i="33"/>
  <c r="O263" i="33" s="1"/>
  <c r="O252" i="33"/>
  <c r="O270" i="33" s="1"/>
  <c r="R81" i="33"/>
  <c r="R82" i="33"/>
  <c r="R371" i="19"/>
  <c r="R369" i="19"/>
  <c r="R372" i="19"/>
  <c r="R370" i="19"/>
  <c r="R368" i="19"/>
  <c r="R854" i="61"/>
  <c r="R853" i="61"/>
  <c r="Q619" i="69"/>
  <c r="Q130" i="57"/>
  <c r="Q101" i="61"/>
  <c r="Q174" i="75"/>
  <c r="Q133" i="45"/>
  <c r="Q117" i="37"/>
  <c r="O552" i="45"/>
  <c r="O559" i="45" s="1"/>
  <c r="O548" i="45"/>
  <c r="O566" i="45" s="1"/>
  <c r="R93" i="45"/>
  <c r="R92" i="45"/>
  <c r="R95" i="45"/>
  <c r="R98" i="45"/>
  <c r="R96" i="45"/>
  <c r="R99" i="45"/>
  <c r="R97" i="45"/>
  <c r="R94" i="45"/>
  <c r="Q659" i="19"/>
  <c r="P415" i="57"/>
  <c r="P83" i="27" s="1"/>
  <c r="O1028" i="61"/>
  <c r="O1035" i="61" s="1"/>
  <c r="O1024" i="61"/>
  <c r="O1042" i="61" s="1"/>
  <c r="Q99" i="37"/>
  <c r="Q868" i="61"/>
  <c r="Q370" i="37"/>
  <c r="Q352" i="37"/>
  <c r="R104" i="37"/>
  <c r="R107" i="37"/>
  <c r="R106" i="37"/>
  <c r="R105" i="37"/>
  <c r="R103" i="37"/>
  <c r="R656" i="19"/>
  <c r="R654" i="19"/>
  <c r="R657" i="19"/>
  <c r="R655" i="19"/>
  <c r="R653" i="19"/>
  <c r="N247" i="79"/>
  <c r="N247" i="78"/>
  <c r="O339" i="18"/>
  <c r="O258" i="27" s="1"/>
  <c r="O329" i="18"/>
  <c r="O347" i="18" s="1"/>
  <c r="O333" i="18"/>
  <c r="P98" i="77"/>
  <c r="P92" i="27" s="1"/>
  <c r="Q612" i="61"/>
  <c r="P870" i="61"/>
  <c r="P87" i="27" s="1"/>
  <c r="Q217" i="75"/>
  <c r="Q207" i="75"/>
  <c r="Q222" i="75"/>
  <c r="Q121" i="57"/>
  <c r="Q603" i="69"/>
  <c r="Q89" i="61"/>
  <c r="Q616" i="69"/>
  <c r="Q594" i="69"/>
  <c r="Q126" i="57"/>
  <c r="P669" i="19"/>
  <c r="P71" i="27" s="1"/>
  <c r="Q388" i="19"/>
  <c r="Q364" i="19"/>
  <c r="Q138" i="45"/>
  <c r="Q114" i="37"/>
  <c r="P119" i="37"/>
  <c r="P72" i="27" s="1"/>
  <c r="R86" i="37"/>
  <c r="R84" i="37"/>
  <c r="R87" i="37"/>
  <c r="R83" i="37"/>
  <c r="R85" i="37"/>
  <c r="S538" i="69"/>
  <c r="S325" i="45"/>
  <c r="S545" i="61"/>
  <c r="S304" i="41"/>
  <c r="S288" i="61"/>
  <c r="S304" i="37"/>
  <c r="S579" i="19"/>
  <c r="S304" i="49"/>
  <c r="S332" i="53"/>
  <c r="S304" i="19"/>
  <c r="S800" i="61"/>
  <c r="S283" i="69"/>
  <c r="S318" i="57"/>
  <c r="S29" i="75"/>
  <c r="S29" i="45"/>
  <c r="S29" i="69"/>
  <c r="S29" i="53"/>
  <c r="S29" i="77"/>
  <c r="S29" i="61"/>
  <c r="S29" i="41"/>
  <c r="S29" i="49"/>
  <c r="S29" i="57"/>
  <c r="S29" i="37"/>
  <c r="S29" i="29"/>
  <c r="S29" i="33"/>
  <c r="S29" i="18"/>
  <c r="S29" i="19"/>
  <c r="O291" i="57"/>
  <c r="O298" i="57" s="1"/>
  <c r="O287" i="57"/>
  <c r="O305" i="57" s="1"/>
  <c r="Q95" i="77"/>
  <c r="Q77" i="77"/>
  <c r="Q392" i="45"/>
  <c r="R88" i="33"/>
  <c r="R89" i="33"/>
  <c r="R113" i="57"/>
  <c r="R115" i="57"/>
  <c r="R119" i="57"/>
  <c r="R118" i="57"/>
  <c r="R117" i="57"/>
  <c r="R116" i="57"/>
  <c r="R114" i="57"/>
  <c r="R363" i="37"/>
  <c r="R364" i="37"/>
  <c r="S290" i="61"/>
  <c r="S306" i="37"/>
  <c r="S581" i="19"/>
  <c r="S306" i="49"/>
  <c r="S334" i="53"/>
  <c r="S306" i="19"/>
  <c r="S320" i="57"/>
  <c r="S802" i="61"/>
  <c r="S285" i="69"/>
  <c r="S327" i="45"/>
  <c r="S547" i="61"/>
  <c r="S306" i="41"/>
  <c r="S540" i="69"/>
  <c r="S31" i="61"/>
  <c r="S31" i="41"/>
  <c r="S31" i="75"/>
  <c r="S31" i="57"/>
  <c r="S31" i="37"/>
  <c r="S31" i="45"/>
  <c r="S31" i="69"/>
  <c r="S31" i="53"/>
  <c r="S31" i="33"/>
  <c r="S31" i="77"/>
  <c r="S31" i="29"/>
  <c r="S31" i="49"/>
  <c r="S31" i="18"/>
  <c r="S31" i="19"/>
  <c r="P615" i="61"/>
  <c r="P86" i="27" s="1"/>
  <c r="O511" i="69"/>
  <c r="O518" i="69" s="1"/>
  <c r="O507" i="69"/>
  <c r="O525" i="69" s="1"/>
  <c r="P394" i="45"/>
  <c r="P77" i="27" s="1"/>
  <c r="O337" i="18"/>
  <c r="O256" i="27" s="1"/>
  <c r="Q357" i="61"/>
  <c r="Q339" i="61"/>
  <c r="O322" i="29"/>
  <c r="O340" i="29" s="1"/>
  <c r="O326" i="29"/>
  <c r="O333" i="29" s="1"/>
  <c r="Q209" i="75"/>
  <c r="Q216" i="75"/>
  <c r="Q212" i="75"/>
  <c r="N253" i="79"/>
  <c r="N253" i="78"/>
  <c r="R97" i="37"/>
  <c r="R96" i="37"/>
  <c r="R94" i="37"/>
  <c r="R95" i="37"/>
  <c r="R93" i="37"/>
  <c r="R87" i="61"/>
  <c r="R86" i="61"/>
  <c r="S326" i="45"/>
  <c r="S801" i="61"/>
  <c r="S284" i="69"/>
  <c r="S539" i="69"/>
  <c r="S289" i="61"/>
  <c r="S305" i="37"/>
  <c r="S580" i="19"/>
  <c r="S319" i="57"/>
  <c r="S546" i="61"/>
  <c r="S333" i="53"/>
  <c r="S305" i="49"/>
  <c r="S305" i="41"/>
  <c r="S305" i="19"/>
  <c r="S30" i="69"/>
  <c r="S30" i="77"/>
  <c r="S30" i="61"/>
  <c r="S30" i="41"/>
  <c r="S30" i="49"/>
  <c r="S30" i="75"/>
  <c r="S30" i="57"/>
  <c r="S30" i="37"/>
  <c r="S30" i="45"/>
  <c r="S30" i="33"/>
  <c r="S30" i="29"/>
  <c r="S30" i="53"/>
  <c r="S30" i="18"/>
  <c r="S30" i="19"/>
  <c r="Q612" i="69"/>
  <c r="Q392" i="19"/>
  <c r="Q137" i="45"/>
  <c r="Q116" i="37"/>
  <c r="Q856" i="61"/>
  <c r="R89" i="57"/>
  <c r="R93" i="57"/>
  <c r="R90" i="57"/>
  <c r="R95" i="57"/>
  <c r="R91" i="57"/>
  <c r="R94" i="57"/>
  <c r="R92" i="57"/>
  <c r="R634" i="19"/>
  <c r="R636" i="19"/>
  <c r="R635" i="19"/>
  <c r="R637" i="19"/>
  <c r="R633" i="19"/>
  <c r="Q411" i="57"/>
  <c r="Q96" i="33"/>
  <c r="O573" i="57"/>
  <c r="O580" i="57" s="1"/>
  <c r="O569" i="57"/>
  <c r="O587" i="57" s="1"/>
  <c r="O566" i="41"/>
  <c r="O573" i="41" s="1"/>
  <c r="O562" i="41"/>
  <c r="O580" i="41" s="1"/>
  <c r="Q96" i="77"/>
  <c r="O552" i="19"/>
  <c r="O559" i="19" s="1"/>
  <c r="O548" i="19"/>
  <c r="O566" i="19" s="1"/>
  <c r="J167" i="18" l="1"/>
  <c r="J121" i="18"/>
  <c r="K94" i="18"/>
  <c r="K34" i="27" s="1"/>
  <c r="K113" i="18"/>
  <c r="K131" i="18"/>
  <c r="K149" i="18"/>
  <c r="J62" i="27"/>
  <c r="J34" i="79"/>
  <c r="J62" i="79" s="1"/>
  <c r="J34" i="78"/>
  <c r="J62" i="78" s="1"/>
  <c r="K150" i="18"/>
  <c r="K114" i="18"/>
  <c r="K132" i="18"/>
  <c r="K151" i="18"/>
  <c r="K115" i="18"/>
  <c r="K133" i="18"/>
  <c r="J139" i="18"/>
  <c r="J169" i="18"/>
  <c r="J168" i="18"/>
  <c r="J157" i="18"/>
  <c r="N133" i="79"/>
  <c r="N125" i="79"/>
  <c r="N135" i="79"/>
  <c r="N136" i="79"/>
  <c r="N142" i="79"/>
  <c r="N144" i="79"/>
  <c r="N134" i="79"/>
  <c r="N129" i="79"/>
  <c r="N155" i="79"/>
  <c r="N154" i="79"/>
  <c r="N156" i="79"/>
  <c r="N153" i="79"/>
  <c r="O141" i="69"/>
  <c r="O913" i="61"/>
  <c r="O141" i="33"/>
  <c r="O124" i="27"/>
  <c r="O124" i="78" s="1"/>
  <c r="O124" i="79" s="1"/>
  <c r="O664" i="69"/>
  <c r="O416" i="37"/>
  <c r="P449" i="49"/>
  <c r="P429" i="49"/>
  <c r="P450" i="49"/>
  <c r="P430" i="49"/>
  <c r="O182" i="19"/>
  <c r="O294" i="19" s="1"/>
  <c r="O150" i="27"/>
  <c r="O150" i="78" s="1"/>
  <c r="P500" i="53"/>
  <c r="P480" i="53"/>
  <c r="P508" i="53"/>
  <c r="P488" i="53"/>
  <c r="P171" i="49"/>
  <c r="P151" i="49"/>
  <c r="P170" i="49"/>
  <c r="P150" i="49"/>
  <c r="P464" i="41"/>
  <c r="P444" i="41"/>
  <c r="P458" i="41"/>
  <c r="P438" i="41"/>
  <c r="P223" i="29"/>
  <c r="P203" i="29"/>
  <c r="P220" i="29"/>
  <c r="P200" i="29"/>
  <c r="P188" i="57"/>
  <c r="P168" i="57"/>
  <c r="P193" i="57"/>
  <c r="P173" i="57"/>
  <c r="P145" i="33"/>
  <c r="P125" i="33"/>
  <c r="P121" i="33"/>
  <c r="P268" i="33" s="1"/>
  <c r="P153" i="33"/>
  <c r="P133" i="33"/>
  <c r="P664" i="61"/>
  <c r="P644" i="61"/>
  <c r="P668" i="61"/>
  <c r="P648" i="61"/>
  <c r="P274" i="75"/>
  <c r="P254" i="75"/>
  <c r="P280" i="75"/>
  <c r="P260" i="75"/>
  <c r="O156" i="27"/>
  <c r="O156" i="78" s="1"/>
  <c r="P409" i="69"/>
  <c r="P389" i="69"/>
  <c r="P406" i="69"/>
  <c r="P386" i="69"/>
  <c r="P188" i="45"/>
  <c r="P168" i="45"/>
  <c r="P198" i="45"/>
  <c r="P178" i="45"/>
  <c r="P449" i="57"/>
  <c r="P469" i="57"/>
  <c r="P468" i="57"/>
  <c r="P448" i="57"/>
  <c r="P428" i="45"/>
  <c r="P448" i="45"/>
  <c r="P425" i="45"/>
  <c r="P445" i="45"/>
  <c r="P414" i="61"/>
  <c r="P394" i="61"/>
  <c r="P416" i="61"/>
  <c r="P396" i="61"/>
  <c r="P669" i="69"/>
  <c r="P649" i="69"/>
  <c r="P672" i="69"/>
  <c r="P652" i="69"/>
  <c r="P178" i="19"/>
  <c r="P158" i="19"/>
  <c r="P170" i="19"/>
  <c r="P150" i="19"/>
  <c r="P153" i="69"/>
  <c r="P133" i="69"/>
  <c r="P156" i="69"/>
  <c r="P136" i="69"/>
  <c r="O416" i="69"/>
  <c r="O529" i="69" s="1"/>
  <c r="P197" i="53"/>
  <c r="P177" i="53"/>
  <c r="P194" i="53"/>
  <c r="P174" i="53"/>
  <c r="P170" i="53"/>
  <c r="P317" i="53" s="1"/>
  <c r="P728" i="19"/>
  <c r="P708" i="19"/>
  <c r="P721" i="19"/>
  <c r="P701" i="19"/>
  <c r="P177" i="37"/>
  <c r="P157" i="37"/>
  <c r="P147" i="37"/>
  <c r="P167" i="37"/>
  <c r="N117" i="78"/>
  <c r="N101" i="79"/>
  <c r="N117" i="79" s="1"/>
  <c r="P425" i="37"/>
  <c r="P405" i="37"/>
  <c r="P427" i="37"/>
  <c r="P407" i="37"/>
  <c r="O146" i="61"/>
  <c r="O154" i="27"/>
  <c r="O154" i="78" s="1"/>
  <c r="N157" i="27"/>
  <c r="N141" i="78"/>
  <c r="P172" i="41"/>
  <c r="P152" i="41"/>
  <c r="P173" i="41"/>
  <c r="P153" i="41"/>
  <c r="P230" i="18"/>
  <c r="P210" i="18"/>
  <c r="P109" i="27"/>
  <c r="P109" i="78" s="1"/>
  <c r="P111" i="27"/>
  <c r="P111" i="78" s="1"/>
  <c r="P111" i="79" s="1"/>
  <c r="P212" i="18"/>
  <c r="P232" i="18"/>
  <c r="P161" i="61"/>
  <c r="P141" i="61"/>
  <c r="P150" i="61"/>
  <c r="P130" i="61"/>
  <c r="P126" i="61"/>
  <c r="P273" i="61" s="1"/>
  <c r="O458" i="57"/>
  <c r="P924" i="61"/>
  <c r="P904" i="61"/>
  <c r="P919" i="61"/>
  <c r="P899" i="61"/>
  <c r="P131" i="77"/>
  <c r="P151" i="77"/>
  <c r="P136" i="77"/>
  <c r="P156" i="77"/>
  <c r="P455" i="19"/>
  <c r="P435" i="19"/>
  <c r="P447" i="19"/>
  <c r="P427" i="19"/>
  <c r="Q382" i="37"/>
  <c r="Q385" i="37"/>
  <c r="Q388" i="37"/>
  <c r="Q391" i="37"/>
  <c r="Q394" i="37"/>
  <c r="Q390" i="37"/>
  <c r="Q393" i="37"/>
  <c r="Q381" i="37"/>
  <c r="Q384" i="37"/>
  <c r="Q387" i="37"/>
  <c r="Q380" i="37"/>
  <c r="Q383" i="37"/>
  <c r="Q386" i="37"/>
  <c r="Q389" i="37"/>
  <c r="Q392" i="37"/>
  <c r="Q395" i="37"/>
  <c r="P504" i="53"/>
  <c r="P484" i="53"/>
  <c r="Q107" i="77"/>
  <c r="Q110" i="77"/>
  <c r="Q113" i="77"/>
  <c r="Q119" i="77"/>
  <c r="Q117" i="77"/>
  <c r="Q115" i="77"/>
  <c r="Q105" i="77"/>
  <c r="Q108" i="77"/>
  <c r="Q111" i="77"/>
  <c r="Q116" i="77"/>
  <c r="Q109" i="77"/>
  <c r="Q106" i="77"/>
  <c r="Q114" i="77"/>
  <c r="Q120" i="77"/>
  <c r="Q112" i="77"/>
  <c r="Q118" i="77"/>
  <c r="Q144" i="57"/>
  <c r="Q151" i="57"/>
  <c r="Q142" i="57"/>
  <c r="Q147" i="57"/>
  <c r="Q141" i="57"/>
  <c r="Q149" i="57"/>
  <c r="Q150" i="57"/>
  <c r="Q154" i="57"/>
  <c r="Q152" i="57"/>
  <c r="Q153" i="57"/>
  <c r="Q148" i="57"/>
  <c r="Q140" i="57"/>
  <c r="Q143" i="57"/>
  <c r="Q155" i="57"/>
  <c r="Q145" i="57"/>
  <c r="Q146" i="57"/>
  <c r="O161" i="69"/>
  <c r="O274" i="69" s="1"/>
  <c r="O436" i="37"/>
  <c r="O549" i="37" s="1"/>
  <c r="O218" i="18"/>
  <c r="O121" i="27"/>
  <c r="P446" i="49"/>
  <c r="P426" i="49"/>
  <c r="P456" i="49"/>
  <c r="P436" i="49"/>
  <c r="O146" i="27"/>
  <c r="O146" i="78" s="1"/>
  <c r="O933" i="61"/>
  <c r="O1046" i="61" s="1"/>
  <c r="O161" i="33"/>
  <c r="O273" i="33" s="1"/>
  <c r="O130" i="27"/>
  <c r="O130" i="78" s="1"/>
  <c r="O130" i="79" s="1"/>
  <c r="P497" i="53"/>
  <c r="P477" i="53"/>
  <c r="P473" i="53"/>
  <c r="P620" i="53" s="1"/>
  <c r="P505" i="53"/>
  <c r="P485" i="53"/>
  <c r="P168" i="49"/>
  <c r="P148" i="49"/>
  <c r="P167" i="49"/>
  <c r="P147" i="49"/>
  <c r="P466" i="41"/>
  <c r="P446" i="41"/>
  <c r="P465" i="41"/>
  <c r="P445" i="41"/>
  <c r="P216" i="29"/>
  <c r="P196" i="29"/>
  <c r="P199" i="29"/>
  <c r="P219" i="29"/>
  <c r="P192" i="57"/>
  <c r="P172" i="57"/>
  <c r="P186" i="57"/>
  <c r="P166" i="57"/>
  <c r="P148" i="33"/>
  <c r="P128" i="33"/>
  <c r="P150" i="33"/>
  <c r="P130" i="33"/>
  <c r="P669" i="61"/>
  <c r="P649" i="61"/>
  <c r="P665" i="61"/>
  <c r="P645" i="61"/>
  <c r="P278" i="75"/>
  <c r="P258" i="75"/>
  <c r="P277" i="75"/>
  <c r="P257" i="75"/>
  <c r="P403" i="69"/>
  <c r="P383" i="69"/>
  <c r="P400" i="69"/>
  <c r="P380" i="69"/>
  <c r="P376" i="69"/>
  <c r="P523" i="69" s="1"/>
  <c r="P192" i="45"/>
  <c r="P172" i="45"/>
  <c r="P195" i="45"/>
  <c r="P175" i="45"/>
  <c r="P466" i="57"/>
  <c r="P446" i="57"/>
  <c r="P445" i="57"/>
  <c r="P465" i="57"/>
  <c r="P455" i="45"/>
  <c r="P435" i="45"/>
  <c r="P436" i="45"/>
  <c r="P456" i="45"/>
  <c r="P410" i="61"/>
  <c r="P390" i="61"/>
  <c r="P422" i="61"/>
  <c r="P402" i="61"/>
  <c r="P668" i="69"/>
  <c r="P648" i="69"/>
  <c r="P644" i="69"/>
  <c r="P791" i="69" s="1"/>
  <c r="P679" i="69"/>
  <c r="P659" i="69"/>
  <c r="P175" i="19"/>
  <c r="P155" i="19"/>
  <c r="P167" i="19"/>
  <c r="P147" i="19"/>
  <c r="P152" i="69"/>
  <c r="P132" i="69"/>
  <c r="P150" i="69"/>
  <c r="P130" i="69"/>
  <c r="O128" i="27"/>
  <c r="O128" i="78" s="1"/>
  <c r="O128" i="79" s="1"/>
  <c r="P199" i="53"/>
  <c r="P179" i="53"/>
  <c r="P202" i="53"/>
  <c r="P182" i="53"/>
  <c r="P725" i="19"/>
  <c r="P705" i="19"/>
  <c r="P722" i="19"/>
  <c r="P702" i="19"/>
  <c r="P170" i="37"/>
  <c r="P150" i="37"/>
  <c r="P171" i="37"/>
  <c r="P151" i="37"/>
  <c r="O437" i="45"/>
  <c r="O131" i="27"/>
  <c r="O131" i="78" s="1"/>
  <c r="O131" i="79" s="1"/>
  <c r="P435" i="37"/>
  <c r="P415" i="37"/>
  <c r="P424" i="37"/>
  <c r="P404" i="37"/>
  <c r="O166" i="61"/>
  <c r="O279" i="61" s="1"/>
  <c r="O134" i="27"/>
  <c r="O134" i="78" s="1"/>
  <c r="O134" i="79" s="1"/>
  <c r="P181" i="41"/>
  <c r="P161" i="41"/>
  <c r="P170" i="41"/>
  <c r="P150" i="41"/>
  <c r="P223" i="18"/>
  <c r="P203" i="18"/>
  <c r="P102" i="27"/>
  <c r="P102" i="78" s="1"/>
  <c r="P102" i="79" s="1"/>
  <c r="P229" i="18"/>
  <c r="P209" i="18"/>
  <c r="P108" i="27"/>
  <c r="P108" i="78" s="1"/>
  <c r="P108" i="79" s="1"/>
  <c r="P158" i="61"/>
  <c r="P138" i="61"/>
  <c r="P163" i="61"/>
  <c r="P143" i="61"/>
  <c r="O478" i="57"/>
  <c r="O590" i="57" s="1"/>
  <c r="O125" i="27"/>
  <c r="O125" i="78" s="1"/>
  <c r="O125" i="79" s="1"/>
  <c r="P920" i="61"/>
  <c r="P900" i="61"/>
  <c r="P917" i="61"/>
  <c r="P897" i="61"/>
  <c r="P893" i="61"/>
  <c r="P1040" i="61" s="1"/>
  <c r="P155" i="77"/>
  <c r="P135" i="77"/>
  <c r="P126" i="77"/>
  <c r="P146" i="77"/>
  <c r="P453" i="19"/>
  <c r="P433" i="19"/>
  <c r="P445" i="19"/>
  <c r="P425" i="19"/>
  <c r="P453" i="49"/>
  <c r="P433" i="49"/>
  <c r="P180" i="49"/>
  <c r="P160" i="49"/>
  <c r="Q688" i="19"/>
  <c r="Q681" i="19"/>
  <c r="Q683" i="19"/>
  <c r="Q676" i="19"/>
  <c r="Q687" i="19"/>
  <c r="Q682" i="19"/>
  <c r="Q678" i="19"/>
  <c r="Q689" i="19"/>
  <c r="Q677" i="19"/>
  <c r="Q680" i="19"/>
  <c r="Q691" i="19"/>
  <c r="Q684" i="19"/>
  <c r="Q690" i="19"/>
  <c r="Q686" i="19"/>
  <c r="Q679" i="19"/>
  <c r="Q685" i="19"/>
  <c r="Q157" i="45"/>
  <c r="Q147" i="45"/>
  <c r="Q154" i="45"/>
  <c r="Q150" i="45"/>
  <c r="Q153" i="45"/>
  <c r="Q152" i="45"/>
  <c r="Q155" i="45"/>
  <c r="Q148" i="45"/>
  <c r="Q151" i="45"/>
  <c r="Q161" i="45"/>
  <c r="Q162" i="45"/>
  <c r="Q158" i="45"/>
  <c r="Q149" i="45"/>
  <c r="Q160" i="45"/>
  <c r="Q156" i="45"/>
  <c r="Q159" i="45"/>
  <c r="Q423" i="57"/>
  <c r="Q426" i="57"/>
  <c r="Q429" i="57"/>
  <c r="Q432" i="57"/>
  <c r="Q435" i="57"/>
  <c r="Q428" i="57"/>
  <c r="Q431" i="57"/>
  <c r="Q434" i="57"/>
  <c r="Q437" i="57"/>
  <c r="Q422" i="57"/>
  <c r="Q425" i="57"/>
  <c r="Q424" i="57"/>
  <c r="Q427" i="57"/>
  <c r="Q436" i="57"/>
  <c r="Q430" i="57"/>
  <c r="Q433" i="57"/>
  <c r="Q883" i="61"/>
  <c r="Q882" i="61"/>
  <c r="Q880" i="61"/>
  <c r="Q884" i="61"/>
  <c r="Q879" i="61"/>
  <c r="Q877" i="61"/>
  <c r="Q881" i="61"/>
  <c r="Q891" i="61"/>
  <c r="Q890" i="61"/>
  <c r="Q888" i="61"/>
  <c r="Q878" i="61"/>
  <c r="Q892" i="61"/>
  <c r="Q887" i="61"/>
  <c r="Q885" i="61"/>
  <c r="Q889" i="61"/>
  <c r="Q886" i="61"/>
  <c r="Q128" i="19"/>
  <c r="Q131" i="19"/>
  <c r="Q134" i="19"/>
  <c r="Q137" i="19"/>
  <c r="Q140" i="19"/>
  <c r="Q127" i="19"/>
  <c r="Q130" i="19"/>
  <c r="Q133" i="19"/>
  <c r="Q136" i="19"/>
  <c r="Q139" i="19"/>
  <c r="Q126" i="19"/>
  <c r="Q129" i="19"/>
  <c r="Q132" i="19"/>
  <c r="Q135" i="19"/>
  <c r="Q138" i="19"/>
  <c r="Q141" i="19"/>
  <c r="Q633" i="69"/>
  <c r="Q629" i="69"/>
  <c r="Q635" i="69"/>
  <c r="Q639" i="69"/>
  <c r="Q638" i="69"/>
  <c r="Q641" i="69"/>
  <c r="Q634" i="69"/>
  <c r="Q640" i="69"/>
  <c r="Q632" i="69"/>
  <c r="Q628" i="69"/>
  <c r="Q631" i="69"/>
  <c r="Q637" i="69"/>
  <c r="Q630" i="69"/>
  <c r="Q636" i="69"/>
  <c r="Q643" i="69"/>
  <c r="Q642" i="69"/>
  <c r="Q627" i="61"/>
  <c r="Q623" i="61"/>
  <c r="Q626" i="61"/>
  <c r="Q624" i="61"/>
  <c r="Q635" i="61"/>
  <c r="Q628" i="61"/>
  <c r="Q631" i="61"/>
  <c r="Q634" i="61"/>
  <c r="Q629" i="61"/>
  <c r="Q632" i="61"/>
  <c r="Q622" i="61"/>
  <c r="Q625" i="61"/>
  <c r="Q636" i="61"/>
  <c r="Q637" i="61"/>
  <c r="Q630" i="61"/>
  <c r="Q633" i="61"/>
  <c r="Q371" i="69"/>
  <c r="Q372" i="69"/>
  <c r="Q367" i="69"/>
  <c r="Q368" i="69"/>
  <c r="Q374" i="69"/>
  <c r="Q373" i="69"/>
  <c r="Q361" i="69"/>
  <c r="Q362" i="69"/>
  <c r="Q360" i="69"/>
  <c r="Q366" i="69"/>
  <c r="Q375" i="69"/>
  <c r="Q363" i="69"/>
  <c r="Q369" i="69"/>
  <c r="Q364" i="69"/>
  <c r="Q370" i="69"/>
  <c r="Q365" i="69"/>
  <c r="Q109" i="69"/>
  <c r="Q112" i="69"/>
  <c r="Q115" i="69"/>
  <c r="Q120" i="69"/>
  <c r="Q110" i="69"/>
  <c r="Q108" i="69"/>
  <c r="Q105" i="69"/>
  <c r="Q119" i="69"/>
  <c r="Q106" i="69"/>
  <c r="Q117" i="69"/>
  <c r="Q111" i="69"/>
  <c r="Q116" i="69"/>
  <c r="Q107" i="69"/>
  <c r="Q118" i="69"/>
  <c r="Q113" i="69"/>
  <c r="Q114" i="69"/>
  <c r="Q415" i="49"/>
  <c r="Q410" i="49"/>
  <c r="Q404" i="49"/>
  <c r="Q412" i="49"/>
  <c r="Q408" i="49"/>
  <c r="Q414" i="49"/>
  <c r="Q407" i="49"/>
  <c r="Q405" i="49"/>
  <c r="Q416" i="49"/>
  <c r="Q406" i="49"/>
  <c r="Q409" i="49"/>
  <c r="Q402" i="49"/>
  <c r="Q403" i="49"/>
  <c r="Q411" i="49"/>
  <c r="Q401" i="49"/>
  <c r="Q413" i="49"/>
  <c r="O238" i="18"/>
  <c r="O141" i="27"/>
  <c r="P455" i="49"/>
  <c r="P435" i="49"/>
  <c r="P444" i="49"/>
  <c r="P424" i="49"/>
  <c r="O493" i="53"/>
  <c r="P510" i="53"/>
  <c r="P490" i="53"/>
  <c r="P502" i="53"/>
  <c r="P482" i="53"/>
  <c r="P178" i="49"/>
  <c r="P158" i="49"/>
  <c r="P179" i="49"/>
  <c r="P159" i="49"/>
  <c r="P459" i="41"/>
  <c r="P439" i="41"/>
  <c r="P461" i="41"/>
  <c r="P441" i="41"/>
  <c r="P228" i="29"/>
  <c r="P208" i="29"/>
  <c r="P224" i="29"/>
  <c r="P204" i="29"/>
  <c r="P184" i="57"/>
  <c r="P164" i="57"/>
  <c r="P171" i="57"/>
  <c r="P191" i="57"/>
  <c r="P158" i="33"/>
  <c r="P138" i="33"/>
  <c r="P147" i="33"/>
  <c r="P127" i="33"/>
  <c r="P666" i="61"/>
  <c r="P646" i="61"/>
  <c r="P675" i="61"/>
  <c r="P655" i="61"/>
  <c r="P276" i="75"/>
  <c r="P256" i="75"/>
  <c r="P282" i="75"/>
  <c r="P262" i="75"/>
  <c r="P405" i="69"/>
  <c r="P385" i="69"/>
  <c r="P408" i="69"/>
  <c r="P388" i="69"/>
  <c r="P193" i="45"/>
  <c r="P173" i="45"/>
  <c r="P189" i="45"/>
  <c r="P169" i="45"/>
  <c r="P477" i="57"/>
  <c r="P457" i="57"/>
  <c r="P463" i="57"/>
  <c r="P443" i="57"/>
  <c r="P451" i="45"/>
  <c r="P431" i="45"/>
  <c r="P454" i="45"/>
  <c r="P434" i="45"/>
  <c r="P392" i="61"/>
  <c r="P412" i="61"/>
  <c r="P407" i="61"/>
  <c r="P387" i="61"/>
  <c r="P383" i="61"/>
  <c r="P530" i="61" s="1"/>
  <c r="P683" i="69"/>
  <c r="P663" i="69"/>
  <c r="P678" i="69"/>
  <c r="P658" i="69"/>
  <c r="P180" i="19"/>
  <c r="P160" i="19"/>
  <c r="P172" i="19"/>
  <c r="P152" i="19"/>
  <c r="P146" i="69"/>
  <c r="P126" i="69"/>
  <c r="P127" i="69"/>
  <c r="P147" i="69"/>
  <c r="O148" i="27"/>
  <c r="O148" i="78" s="1"/>
  <c r="O148" i="79" s="1"/>
  <c r="P205" i="53"/>
  <c r="P185" i="53"/>
  <c r="P196" i="53"/>
  <c r="P176" i="53"/>
  <c r="P730" i="19"/>
  <c r="P710" i="19"/>
  <c r="P729" i="19"/>
  <c r="P709" i="19"/>
  <c r="P178" i="37"/>
  <c r="P158" i="37"/>
  <c r="P168" i="37"/>
  <c r="P148" i="37"/>
  <c r="O457" i="45"/>
  <c r="O569" i="45" s="1"/>
  <c r="O151" i="27"/>
  <c r="O151" i="78" s="1"/>
  <c r="O151" i="79" s="1"/>
  <c r="P432" i="37"/>
  <c r="P412" i="37"/>
  <c r="P421" i="37"/>
  <c r="P401" i="37"/>
  <c r="O403" i="61"/>
  <c r="P178" i="41"/>
  <c r="P158" i="41"/>
  <c r="P167" i="41"/>
  <c r="P147" i="41"/>
  <c r="P237" i="18"/>
  <c r="P217" i="18"/>
  <c r="P116" i="27"/>
  <c r="P116" i="78" s="1"/>
  <c r="P116" i="79" s="1"/>
  <c r="P226" i="18"/>
  <c r="P206" i="18"/>
  <c r="P105" i="27"/>
  <c r="P105" i="78" s="1"/>
  <c r="P105" i="79" s="1"/>
  <c r="P137" i="61"/>
  <c r="P157" i="61"/>
  <c r="P159" i="61"/>
  <c r="P139" i="61"/>
  <c r="O145" i="27"/>
  <c r="O145" i="78" s="1"/>
  <c r="P922" i="61"/>
  <c r="P902" i="61"/>
  <c r="P932" i="61"/>
  <c r="P912" i="61"/>
  <c r="P147" i="77"/>
  <c r="P127" i="77"/>
  <c r="P145" i="77"/>
  <c r="P125" i="77"/>
  <c r="P121" i="77"/>
  <c r="P268" i="77" s="1"/>
  <c r="P450" i="19"/>
  <c r="P430" i="19"/>
  <c r="P442" i="19"/>
  <c r="P422" i="19"/>
  <c r="Q367" i="61"/>
  <c r="Q382" i="61"/>
  <c r="Q377" i="61"/>
  <c r="Q371" i="61"/>
  <c r="Q374" i="61"/>
  <c r="Q369" i="61"/>
  <c r="Q370" i="61"/>
  <c r="Q372" i="61"/>
  <c r="Q375" i="61"/>
  <c r="Q381" i="61"/>
  <c r="Q373" i="61"/>
  <c r="Q376" i="61"/>
  <c r="Q379" i="61"/>
  <c r="Q368" i="61"/>
  <c r="Q378" i="61"/>
  <c r="Q380" i="61"/>
  <c r="Q232" i="75"/>
  <c r="Q233" i="75"/>
  <c r="Q235" i="75"/>
  <c r="Q231" i="75"/>
  <c r="Q242" i="75"/>
  <c r="Q238" i="75"/>
  <c r="Q245" i="75"/>
  <c r="Q237" i="75"/>
  <c r="Q240" i="75"/>
  <c r="Q241" i="75"/>
  <c r="Q243" i="75"/>
  <c r="Q239" i="75"/>
  <c r="Q246" i="75"/>
  <c r="Q234" i="75"/>
  <c r="Q236" i="75"/>
  <c r="Q244" i="75"/>
  <c r="Q141" i="49"/>
  <c r="Q129" i="49"/>
  <c r="Q132" i="49"/>
  <c r="Q135" i="49"/>
  <c r="Q128" i="49"/>
  <c r="Q131" i="49"/>
  <c r="Q134" i="49"/>
  <c r="Q138" i="49"/>
  <c r="Q137" i="49"/>
  <c r="Q140" i="49"/>
  <c r="Q133" i="49"/>
  <c r="Q136" i="49"/>
  <c r="Q139" i="49"/>
  <c r="Q127" i="49"/>
  <c r="Q130" i="49"/>
  <c r="Q126" i="49"/>
  <c r="Q166" i="53"/>
  <c r="Q165" i="53"/>
  <c r="Q160" i="53"/>
  <c r="Q155" i="53"/>
  <c r="Q161" i="53"/>
  <c r="Q167" i="53"/>
  <c r="Q162" i="53"/>
  <c r="Q156" i="53"/>
  <c r="Q168" i="53"/>
  <c r="Q163" i="53"/>
  <c r="Q169" i="53"/>
  <c r="Q158" i="53"/>
  <c r="Q164" i="53"/>
  <c r="Q157" i="53"/>
  <c r="Q159" i="53"/>
  <c r="Q154" i="53"/>
  <c r="P442" i="49"/>
  <c r="P422" i="49"/>
  <c r="P447" i="49"/>
  <c r="P427" i="49"/>
  <c r="O513" i="53"/>
  <c r="O626" i="53" s="1"/>
  <c r="O127" i="27"/>
  <c r="O127" i="78" s="1"/>
  <c r="O127" i="79" s="1"/>
  <c r="O684" i="69"/>
  <c r="O797" i="69" s="1"/>
  <c r="P487" i="53"/>
  <c r="P507" i="53"/>
  <c r="P479" i="53"/>
  <c r="P499" i="53"/>
  <c r="P175" i="49"/>
  <c r="P155" i="49"/>
  <c r="P176" i="49"/>
  <c r="P156" i="49"/>
  <c r="P462" i="41"/>
  <c r="P442" i="41"/>
  <c r="P456" i="41"/>
  <c r="P436" i="41"/>
  <c r="P217" i="29"/>
  <c r="P197" i="29"/>
  <c r="P225" i="29"/>
  <c r="P205" i="29"/>
  <c r="P194" i="57"/>
  <c r="P174" i="57"/>
  <c r="P185" i="57"/>
  <c r="P165" i="57"/>
  <c r="P155" i="33"/>
  <c r="P135" i="33"/>
  <c r="P156" i="33"/>
  <c r="P136" i="33"/>
  <c r="P663" i="61"/>
  <c r="P643" i="61"/>
  <c r="P672" i="61"/>
  <c r="P652" i="61"/>
  <c r="P275" i="75"/>
  <c r="P255" i="75"/>
  <c r="P286" i="75"/>
  <c r="P266" i="75"/>
  <c r="O712" i="19"/>
  <c r="O142" i="27"/>
  <c r="O142" i="78" s="1"/>
  <c r="P404" i="69"/>
  <c r="P384" i="69"/>
  <c r="P411" i="69"/>
  <c r="P391" i="69"/>
  <c r="P197" i="45"/>
  <c r="P177" i="45"/>
  <c r="P200" i="45"/>
  <c r="P180" i="45"/>
  <c r="P474" i="57"/>
  <c r="P454" i="57"/>
  <c r="P476" i="57"/>
  <c r="P456" i="57"/>
  <c r="P450" i="45"/>
  <c r="P430" i="45"/>
  <c r="P442" i="45"/>
  <c r="P422" i="45"/>
  <c r="P418" i="61"/>
  <c r="P398" i="61"/>
  <c r="P411" i="61"/>
  <c r="P391" i="61"/>
  <c r="P651" i="69"/>
  <c r="P671" i="69"/>
  <c r="P681" i="69"/>
  <c r="P661" i="69"/>
  <c r="P177" i="19"/>
  <c r="P157" i="19"/>
  <c r="P169" i="19"/>
  <c r="P149" i="19"/>
  <c r="P149" i="69"/>
  <c r="P129" i="69"/>
  <c r="P131" i="69"/>
  <c r="P151" i="69"/>
  <c r="O141" i="77"/>
  <c r="P204" i="53"/>
  <c r="P184" i="53"/>
  <c r="P195" i="53"/>
  <c r="P175" i="53"/>
  <c r="P719" i="19"/>
  <c r="P699" i="19"/>
  <c r="P718" i="19"/>
  <c r="P698" i="19"/>
  <c r="P159" i="37"/>
  <c r="P179" i="37"/>
  <c r="P172" i="37"/>
  <c r="P152" i="37"/>
  <c r="P429" i="37"/>
  <c r="P409" i="37"/>
  <c r="P433" i="37"/>
  <c r="P413" i="37"/>
  <c r="O423" i="61"/>
  <c r="O535" i="61" s="1"/>
  <c r="P180" i="41"/>
  <c r="P160" i="41"/>
  <c r="P175" i="41"/>
  <c r="P155" i="41"/>
  <c r="P227" i="18"/>
  <c r="P207" i="18"/>
  <c r="P106" i="27"/>
  <c r="P106" i="78" s="1"/>
  <c r="P106" i="79" s="1"/>
  <c r="P234" i="18"/>
  <c r="P214" i="18"/>
  <c r="P113" i="27"/>
  <c r="P113" i="78" s="1"/>
  <c r="P156" i="61"/>
  <c r="P136" i="61"/>
  <c r="P162" i="61"/>
  <c r="P142" i="61"/>
  <c r="P927" i="61"/>
  <c r="P907" i="61"/>
  <c r="P918" i="61"/>
  <c r="P898" i="61"/>
  <c r="P159" i="77"/>
  <c r="P139" i="77"/>
  <c r="P153" i="77"/>
  <c r="P133" i="77"/>
  <c r="P452" i="19"/>
  <c r="P432" i="19"/>
  <c r="P444" i="19"/>
  <c r="P424" i="19"/>
  <c r="P273" i="75"/>
  <c r="P253" i="75"/>
  <c r="O732" i="19"/>
  <c r="O844" i="19" s="1"/>
  <c r="P410" i="69"/>
  <c r="P390" i="69"/>
  <c r="P402" i="69"/>
  <c r="P382" i="69"/>
  <c r="P190" i="45"/>
  <c r="P170" i="45"/>
  <c r="P201" i="45"/>
  <c r="P181" i="45"/>
  <c r="P471" i="57"/>
  <c r="P451" i="57"/>
  <c r="P473" i="57"/>
  <c r="P453" i="57"/>
  <c r="P449" i="45"/>
  <c r="P429" i="45"/>
  <c r="P444" i="45"/>
  <c r="P424" i="45"/>
  <c r="P415" i="61"/>
  <c r="P395" i="61"/>
  <c r="P409" i="61"/>
  <c r="P389" i="61"/>
  <c r="P677" i="69"/>
  <c r="P657" i="69"/>
  <c r="P675" i="69"/>
  <c r="P655" i="69"/>
  <c r="P174" i="19"/>
  <c r="P154" i="19"/>
  <c r="P166" i="19"/>
  <c r="P146" i="19"/>
  <c r="P142" i="19"/>
  <c r="P289" i="19" s="1"/>
  <c r="P148" i="69"/>
  <c r="P128" i="69"/>
  <c r="P158" i="69"/>
  <c r="P138" i="69"/>
  <c r="O161" i="77"/>
  <c r="O274" i="77" s="1"/>
  <c r="P198" i="53"/>
  <c r="P178" i="53"/>
  <c r="P180" i="53"/>
  <c r="P200" i="53"/>
  <c r="P726" i="19"/>
  <c r="P706" i="19"/>
  <c r="P716" i="19"/>
  <c r="P696" i="19"/>
  <c r="P692" i="19"/>
  <c r="P839" i="19" s="1"/>
  <c r="P176" i="37"/>
  <c r="P156" i="37"/>
  <c r="P155" i="37"/>
  <c r="P175" i="37"/>
  <c r="P434" i="37"/>
  <c r="P414" i="37"/>
  <c r="P426" i="37"/>
  <c r="P406" i="37"/>
  <c r="P177" i="41"/>
  <c r="P157" i="41"/>
  <c r="P169" i="41"/>
  <c r="P149" i="41"/>
  <c r="P235" i="18"/>
  <c r="P215" i="18"/>
  <c r="P114" i="27"/>
  <c r="P114" i="78" s="1"/>
  <c r="P114" i="79" s="1"/>
  <c r="P208" i="18"/>
  <c r="P228" i="18"/>
  <c r="P107" i="27"/>
  <c r="P107" i="78" s="1"/>
  <c r="P107" i="79" s="1"/>
  <c r="P145" i="61"/>
  <c r="P165" i="61"/>
  <c r="P160" i="61"/>
  <c r="P140" i="61"/>
  <c r="O162" i="41"/>
  <c r="P923" i="61"/>
  <c r="P903" i="61"/>
  <c r="P928" i="61"/>
  <c r="P908" i="61"/>
  <c r="P140" i="77"/>
  <c r="P160" i="77"/>
  <c r="P154" i="77"/>
  <c r="P134" i="77"/>
  <c r="P449" i="19"/>
  <c r="P429" i="19"/>
  <c r="P441" i="19"/>
  <c r="P421" i="19"/>
  <c r="P417" i="19"/>
  <c r="P564" i="19" s="1"/>
  <c r="O147" i="27"/>
  <c r="O147" i="78" s="1"/>
  <c r="O176" i="57"/>
  <c r="O190" i="53"/>
  <c r="P172" i="49"/>
  <c r="P152" i="49"/>
  <c r="P468" i="41"/>
  <c r="P448" i="41"/>
  <c r="P284" i="75"/>
  <c r="P264" i="75"/>
  <c r="Q178" i="29"/>
  <c r="Q184" i="29"/>
  <c r="Q185" i="29"/>
  <c r="Q180" i="29"/>
  <c r="Q175" i="29"/>
  <c r="Q186" i="29"/>
  <c r="Q182" i="29"/>
  <c r="Q181" i="29"/>
  <c r="Q188" i="29"/>
  <c r="Q176" i="29"/>
  <c r="Q187" i="29"/>
  <c r="Q177" i="29"/>
  <c r="Q183" i="29"/>
  <c r="Q190" i="29"/>
  <c r="Q189" i="29"/>
  <c r="Q179" i="29"/>
  <c r="O144" i="27"/>
  <c r="O144" i="78" s="1"/>
  <c r="N137" i="27"/>
  <c r="N121" i="78"/>
  <c r="P441" i="49"/>
  <c r="P421" i="49"/>
  <c r="P417" i="49"/>
  <c r="P564" i="49" s="1"/>
  <c r="P448" i="49"/>
  <c r="P428" i="49"/>
  <c r="O196" i="57"/>
  <c r="O308" i="57" s="1"/>
  <c r="O210" i="53"/>
  <c r="O323" i="53" s="1"/>
  <c r="O133" i="27"/>
  <c r="O133" i="78" s="1"/>
  <c r="O133" i="79" s="1"/>
  <c r="O162" i="49"/>
  <c r="P512" i="53"/>
  <c r="P492" i="53"/>
  <c r="P501" i="53"/>
  <c r="P481" i="53"/>
  <c r="P181" i="49"/>
  <c r="P161" i="49"/>
  <c r="P169" i="49"/>
  <c r="P149" i="49"/>
  <c r="P470" i="41"/>
  <c r="P450" i="41"/>
  <c r="P460" i="41"/>
  <c r="P440" i="41"/>
  <c r="P230" i="29"/>
  <c r="P210" i="29"/>
  <c r="P221" i="29"/>
  <c r="P201" i="29"/>
  <c r="P163" i="57"/>
  <c r="P183" i="57"/>
  <c r="P181" i="57"/>
  <c r="P161" i="57"/>
  <c r="P157" i="33"/>
  <c r="P137" i="33"/>
  <c r="P149" i="33"/>
  <c r="P129" i="33"/>
  <c r="P674" i="61"/>
  <c r="P654" i="61"/>
  <c r="P676" i="61"/>
  <c r="P656" i="61"/>
  <c r="P283" i="75"/>
  <c r="P263" i="75"/>
  <c r="P285" i="75"/>
  <c r="P265" i="75"/>
  <c r="O122" i="27"/>
  <c r="O122" i="78" s="1"/>
  <c r="O122" i="79" s="1"/>
  <c r="O162" i="37"/>
  <c r="P415" i="69"/>
  <c r="P395" i="69"/>
  <c r="P413" i="69"/>
  <c r="P393" i="69"/>
  <c r="P187" i="45"/>
  <c r="P167" i="45"/>
  <c r="P163" i="45"/>
  <c r="P310" i="45" s="1"/>
  <c r="P196" i="45"/>
  <c r="P176" i="45"/>
  <c r="P462" i="57"/>
  <c r="P442" i="57"/>
  <c r="P438" i="57"/>
  <c r="P585" i="57" s="1"/>
  <c r="P470" i="57"/>
  <c r="P450" i="57"/>
  <c r="P453" i="45"/>
  <c r="P433" i="45"/>
  <c r="P446" i="45"/>
  <c r="P426" i="45"/>
  <c r="P413" i="61"/>
  <c r="P393" i="61"/>
  <c r="P408" i="61"/>
  <c r="P388" i="61"/>
  <c r="P670" i="69"/>
  <c r="P650" i="69"/>
  <c r="P676" i="69"/>
  <c r="P656" i="69"/>
  <c r="P171" i="19"/>
  <c r="P151" i="19"/>
  <c r="P179" i="19"/>
  <c r="P159" i="19"/>
  <c r="P160" i="69"/>
  <c r="P140" i="69"/>
  <c r="P155" i="69"/>
  <c r="P135" i="69"/>
  <c r="O658" i="61"/>
  <c r="O437" i="19"/>
  <c r="P203" i="53"/>
  <c r="P183" i="53"/>
  <c r="P207" i="53"/>
  <c r="P187" i="53"/>
  <c r="P724" i="19"/>
  <c r="P704" i="19"/>
  <c r="P727" i="19"/>
  <c r="P707" i="19"/>
  <c r="P173" i="37"/>
  <c r="P153" i="37"/>
  <c r="P174" i="37"/>
  <c r="P154" i="37"/>
  <c r="P422" i="37"/>
  <c r="P402" i="37"/>
  <c r="P423" i="37"/>
  <c r="P403" i="37"/>
  <c r="P174" i="41"/>
  <c r="P154" i="41"/>
  <c r="P166" i="41"/>
  <c r="P146" i="41"/>
  <c r="P142" i="41"/>
  <c r="P289" i="41" s="1"/>
  <c r="P236" i="18"/>
  <c r="P115" i="27"/>
  <c r="P115" i="78" s="1"/>
  <c r="P115" i="79" s="1"/>
  <c r="P216" i="18"/>
  <c r="P231" i="18"/>
  <c r="P211" i="18"/>
  <c r="P110" i="27"/>
  <c r="P110" i="78" s="1"/>
  <c r="P110" i="79" s="1"/>
  <c r="P151" i="61"/>
  <c r="P131" i="61"/>
  <c r="P152" i="61"/>
  <c r="P132" i="61"/>
  <c r="O182" i="41"/>
  <c r="O295" i="41" s="1"/>
  <c r="P925" i="61"/>
  <c r="P905" i="61"/>
  <c r="P930" i="61"/>
  <c r="P910" i="61"/>
  <c r="P158" i="77"/>
  <c r="P138" i="77"/>
  <c r="P150" i="77"/>
  <c r="P130" i="77"/>
  <c r="P446" i="19"/>
  <c r="P426" i="19"/>
  <c r="P456" i="19"/>
  <c r="P436" i="19"/>
  <c r="Q416" i="41"/>
  <c r="Q423" i="41"/>
  <c r="Q417" i="41"/>
  <c r="Q421" i="41"/>
  <c r="Q427" i="41"/>
  <c r="Q419" i="41"/>
  <c r="Q429" i="41"/>
  <c r="Q422" i="41"/>
  <c r="Q420" i="41"/>
  <c r="Q415" i="41"/>
  <c r="Q428" i="41"/>
  <c r="Q424" i="41"/>
  <c r="Q426" i="41"/>
  <c r="Q418" i="41"/>
  <c r="Q425" i="41"/>
  <c r="Q430" i="41"/>
  <c r="P503" i="53"/>
  <c r="P483" i="53"/>
  <c r="P457" i="41"/>
  <c r="P437" i="41"/>
  <c r="P202" i="29"/>
  <c r="P222" i="29"/>
  <c r="P227" i="29"/>
  <c r="P207" i="29"/>
  <c r="P195" i="57"/>
  <c r="P175" i="57"/>
  <c r="P189" i="57"/>
  <c r="P169" i="57"/>
  <c r="P160" i="33"/>
  <c r="P140" i="33"/>
  <c r="P152" i="33"/>
  <c r="P132" i="33"/>
  <c r="P677" i="61"/>
  <c r="P657" i="61"/>
  <c r="P670" i="61"/>
  <c r="P650" i="61"/>
  <c r="Q117" i="61"/>
  <c r="Q112" i="61"/>
  <c r="Q119" i="61"/>
  <c r="Q122" i="61"/>
  <c r="Q123" i="61"/>
  <c r="Q121" i="61"/>
  <c r="Q116" i="61"/>
  <c r="Q125" i="61"/>
  <c r="Q124" i="61"/>
  <c r="Q120" i="61"/>
  <c r="Q110" i="61"/>
  <c r="Q111" i="61"/>
  <c r="Q114" i="61"/>
  <c r="Q115" i="61"/>
  <c r="Q118" i="61"/>
  <c r="Q113" i="61"/>
  <c r="Q106" i="33"/>
  <c r="Q109" i="33"/>
  <c r="Q112" i="33"/>
  <c r="Q115" i="33"/>
  <c r="Q118" i="33"/>
  <c r="Q105" i="33"/>
  <c r="Q108" i="33"/>
  <c r="Q111" i="33"/>
  <c r="Q114" i="33"/>
  <c r="Q117" i="33"/>
  <c r="Q120" i="33"/>
  <c r="Q113" i="33"/>
  <c r="Q107" i="33"/>
  <c r="Q110" i="33"/>
  <c r="Q116" i="33"/>
  <c r="Q119" i="33"/>
  <c r="Q401" i="19"/>
  <c r="Q402" i="19"/>
  <c r="Q403" i="19"/>
  <c r="Q406" i="19"/>
  <c r="Q409" i="19"/>
  <c r="Q407" i="19"/>
  <c r="Q410" i="19"/>
  <c r="Q404" i="19"/>
  <c r="Q405" i="19"/>
  <c r="Q416" i="19"/>
  <c r="Q408" i="19"/>
  <c r="Q411" i="19"/>
  <c r="Q414" i="19"/>
  <c r="Q415" i="19"/>
  <c r="Q412" i="19"/>
  <c r="Q413" i="19"/>
  <c r="Q137" i="37"/>
  <c r="Q140" i="37"/>
  <c r="Q131" i="37"/>
  <c r="Q139" i="37"/>
  <c r="Q130" i="37"/>
  <c r="Q133" i="37"/>
  <c r="Q136" i="37"/>
  <c r="Q135" i="37"/>
  <c r="Q138" i="37"/>
  <c r="Q141" i="37"/>
  <c r="Q126" i="37"/>
  <c r="Q129" i="37"/>
  <c r="Q127" i="37"/>
  <c r="Q128" i="37"/>
  <c r="Q132" i="37"/>
  <c r="Q134" i="37"/>
  <c r="Q404" i="45"/>
  <c r="Q412" i="45"/>
  <c r="Q415" i="45"/>
  <c r="Q413" i="45"/>
  <c r="Q414" i="45"/>
  <c r="Q405" i="45"/>
  <c r="Q406" i="45"/>
  <c r="Q410" i="45"/>
  <c r="Q402" i="45"/>
  <c r="Q416" i="45"/>
  <c r="Q403" i="45"/>
  <c r="Q401" i="45"/>
  <c r="Q407" i="45"/>
  <c r="Q408" i="45"/>
  <c r="Q411" i="45"/>
  <c r="Q409" i="45"/>
  <c r="Q132" i="41"/>
  <c r="Q135" i="41"/>
  <c r="Q138" i="41"/>
  <c r="Q141" i="41"/>
  <c r="Q129" i="41"/>
  <c r="Q128" i="41"/>
  <c r="Q131" i="41"/>
  <c r="Q134" i="41"/>
  <c r="Q140" i="41"/>
  <c r="Q137" i="41"/>
  <c r="Q127" i="41"/>
  <c r="Q130" i="41"/>
  <c r="Q133" i="41"/>
  <c r="Q136" i="41"/>
  <c r="Q139" i="41"/>
  <c r="Q126" i="41"/>
  <c r="O183" i="45"/>
  <c r="P451" i="49"/>
  <c r="P431" i="49"/>
  <c r="P445" i="49"/>
  <c r="P425" i="49"/>
  <c r="O153" i="27"/>
  <c r="O153" i="78" s="1"/>
  <c r="O182" i="49"/>
  <c r="O294" i="49" s="1"/>
  <c r="P509" i="53"/>
  <c r="P489" i="53"/>
  <c r="P511" i="53"/>
  <c r="P491" i="53"/>
  <c r="P177" i="49"/>
  <c r="P157" i="49"/>
  <c r="P166" i="49"/>
  <c r="P146" i="49"/>
  <c r="P142" i="49"/>
  <c r="P289" i="49" s="1"/>
  <c r="P463" i="41"/>
  <c r="P443" i="41"/>
  <c r="P469" i="41"/>
  <c r="P449" i="41"/>
  <c r="P229" i="29"/>
  <c r="P209" i="29"/>
  <c r="P215" i="29"/>
  <c r="P195" i="29"/>
  <c r="P191" i="29"/>
  <c r="P338" i="29" s="1"/>
  <c r="P180" i="57"/>
  <c r="P160" i="57"/>
  <c r="P156" i="57"/>
  <c r="P303" i="57" s="1"/>
  <c r="P167" i="57"/>
  <c r="P187" i="57"/>
  <c r="P154" i="33"/>
  <c r="P134" i="33"/>
  <c r="P146" i="33"/>
  <c r="P126" i="33"/>
  <c r="P651" i="61"/>
  <c r="P671" i="61"/>
  <c r="P673" i="61"/>
  <c r="P653" i="61"/>
  <c r="P281" i="75"/>
  <c r="P261" i="75"/>
  <c r="P279" i="75"/>
  <c r="P259" i="75"/>
  <c r="P414" i="69"/>
  <c r="P394" i="69"/>
  <c r="P407" i="69"/>
  <c r="P387" i="69"/>
  <c r="P202" i="45"/>
  <c r="P182" i="45"/>
  <c r="P194" i="45"/>
  <c r="P174" i="45"/>
  <c r="P475" i="57"/>
  <c r="P455" i="57"/>
  <c r="P467" i="57"/>
  <c r="P447" i="57"/>
  <c r="P452" i="45"/>
  <c r="P432" i="45"/>
  <c r="P447" i="45"/>
  <c r="P427" i="45"/>
  <c r="P400" i="61"/>
  <c r="P420" i="61"/>
  <c r="P419" i="61"/>
  <c r="P399" i="61"/>
  <c r="P682" i="69"/>
  <c r="P662" i="69"/>
  <c r="P653" i="69"/>
  <c r="P673" i="69"/>
  <c r="P168" i="19"/>
  <c r="P148" i="19"/>
  <c r="P176" i="19"/>
  <c r="P156" i="19"/>
  <c r="P139" i="69"/>
  <c r="P159" i="69"/>
  <c r="P157" i="69"/>
  <c r="P137" i="69"/>
  <c r="O678" i="61"/>
  <c r="O790" i="61" s="1"/>
  <c r="O457" i="19"/>
  <c r="O569" i="19" s="1"/>
  <c r="O129" i="27"/>
  <c r="O129" i="78" s="1"/>
  <c r="O451" i="41"/>
  <c r="P208" i="53"/>
  <c r="P188" i="53"/>
  <c r="P201" i="53"/>
  <c r="P181" i="53"/>
  <c r="P717" i="19"/>
  <c r="P697" i="19"/>
  <c r="P723" i="19"/>
  <c r="P703" i="19"/>
  <c r="P166" i="37"/>
  <c r="P146" i="37"/>
  <c r="P142" i="37"/>
  <c r="P289" i="37" s="1"/>
  <c r="P169" i="37"/>
  <c r="P149" i="37"/>
  <c r="O211" i="29"/>
  <c r="O267" i="75"/>
  <c r="O132" i="27"/>
  <c r="O132" i="78" s="1"/>
  <c r="O132" i="79" s="1"/>
  <c r="P431" i="37"/>
  <c r="P411" i="37"/>
  <c r="P420" i="37"/>
  <c r="P400" i="37"/>
  <c r="P396" i="37"/>
  <c r="P543" i="37" s="1"/>
  <c r="O135" i="27"/>
  <c r="O135" i="78" s="1"/>
  <c r="O135" i="79" s="1"/>
  <c r="P171" i="41"/>
  <c r="P151" i="41"/>
  <c r="P179" i="41"/>
  <c r="P159" i="41"/>
  <c r="P224" i="18"/>
  <c r="P103" i="27"/>
  <c r="P103" i="78" s="1"/>
  <c r="P103" i="79" s="1"/>
  <c r="P204" i="18"/>
  <c r="P225" i="18"/>
  <c r="P205" i="18"/>
  <c r="P104" i="27"/>
  <c r="P104" i="78" s="1"/>
  <c r="P104" i="79" s="1"/>
  <c r="P155" i="61"/>
  <c r="P135" i="61"/>
  <c r="P154" i="61"/>
  <c r="P134" i="61"/>
  <c r="O437" i="49"/>
  <c r="O123" i="27"/>
  <c r="O123" i="78" s="1"/>
  <c r="O123" i="79" s="1"/>
  <c r="P926" i="61"/>
  <c r="P906" i="61"/>
  <c r="P921" i="61"/>
  <c r="P901" i="61"/>
  <c r="P157" i="77"/>
  <c r="P137" i="77"/>
  <c r="P152" i="77"/>
  <c r="P132" i="77"/>
  <c r="P451" i="19"/>
  <c r="P431" i="19"/>
  <c r="P454" i="19"/>
  <c r="P434" i="19"/>
  <c r="Q458" i="53"/>
  <c r="Q461" i="53"/>
  <c r="Q464" i="53"/>
  <c r="Q467" i="53"/>
  <c r="Q470" i="53"/>
  <c r="Q463" i="53"/>
  <c r="Q457" i="53"/>
  <c r="Q466" i="53"/>
  <c r="Q469" i="53"/>
  <c r="Q472" i="53"/>
  <c r="Q460" i="53"/>
  <c r="Q471" i="53"/>
  <c r="Q459" i="53"/>
  <c r="Q462" i="53"/>
  <c r="Q465" i="53"/>
  <c r="Q468" i="53"/>
  <c r="P454" i="49"/>
  <c r="P434" i="49"/>
  <c r="Q197" i="18"/>
  <c r="Q196" i="18"/>
  <c r="Q187" i="18"/>
  <c r="Q190" i="18"/>
  <c r="Q188" i="18"/>
  <c r="Q193" i="18"/>
  <c r="Q195" i="18"/>
  <c r="Q183" i="18"/>
  <c r="Q186" i="18"/>
  <c r="Q189" i="18"/>
  <c r="Q192" i="18"/>
  <c r="Q182" i="18"/>
  <c r="Q184" i="18"/>
  <c r="Q185" i="18"/>
  <c r="Q191" i="18"/>
  <c r="Q194" i="18"/>
  <c r="O203" i="45"/>
  <c r="O315" i="45" s="1"/>
  <c r="O117" i="27"/>
  <c r="O101" i="78"/>
  <c r="P443" i="49"/>
  <c r="P423" i="49"/>
  <c r="P452" i="49"/>
  <c r="P432" i="49"/>
  <c r="O126" i="27"/>
  <c r="O126" i="78" s="1"/>
  <c r="O126" i="79" s="1"/>
  <c r="O162" i="19"/>
  <c r="P498" i="53"/>
  <c r="P478" i="53"/>
  <c r="P506" i="53"/>
  <c r="P486" i="53"/>
  <c r="P174" i="49"/>
  <c r="P154" i="49"/>
  <c r="P173" i="49"/>
  <c r="P153" i="49"/>
  <c r="P455" i="41"/>
  <c r="P435" i="41"/>
  <c r="P431" i="41"/>
  <c r="P578" i="41" s="1"/>
  <c r="P467" i="41"/>
  <c r="P447" i="41"/>
  <c r="P198" i="29"/>
  <c r="P218" i="29"/>
  <c r="P226" i="29"/>
  <c r="P206" i="29"/>
  <c r="P190" i="57"/>
  <c r="P170" i="57"/>
  <c r="P182" i="57"/>
  <c r="P162" i="57"/>
  <c r="P151" i="33"/>
  <c r="P131" i="33"/>
  <c r="P159" i="33"/>
  <c r="P139" i="33"/>
  <c r="P667" i="61"/>
  <c r="P647" i="61"/>
  <c r="P662" i="61"/>
  <c r="P642" i="61"/>
  <c r="P638" i="61"/>
  <c r="P785" i="61" s="1"/>
  <c r="P272" i="75"/>
  <c r="P252" i="75"/>
  <c r="P247" i="75"/>
  <c r="P394" i="75" s="1"/>
  <c r="P271" i="75"/>
  <c r="P251" i="75"/>
  <c r="O136" i="27"/>
  <c r="O136" i="78" s="1"/>
  <c r="O136" i="79" s="1"/>
  <c r="O182" i="37"/>
  <c r="O294" i="37" s="1"/>
  <c r="P381" i="69"/>
  <c r="P401" i="69"/>
  <c r="P412" i="69"/>
  <c r="P392" i="69"/>
  <c r="P199" i="45"/>
  <c r="P179" i="45"/>
  <c r="P191" i="45"/>
  <c r="P171" i="45"/>
  <c r="P452" i="57"/>
  <c r="P472" i="57"/>
  <c r="P464" i="57"/>
  <c r="P444" i="57"/>
  <c r="P441" i="45"/>
  <c r="P421" i="45"/>
  <c r="P417" i="45"/>
  <c r="P564" i="45" s="1"/>
  <c r="P443" i="45"/>
  <c r="P423" i="45"/>
  <c r="P417" i="61"/>
  <c r="P397" i="61"/>
  <c r="P421" i="61"/>
  <c r="P401" i="61"/>
  <c r="P680" i="69"/>
  <c r="P660" i="69"/>
  <c r="P674" i="69"/>
  <c r="P654" i="69"/>
  <c r="P181" i="19"/>
  <c r="P161" i="19"/>
  <c r="P173" i="19"/>
  <c r="P153" i="19"/>
  <c r="P154" i="69"/>
  <c r="P134" i="69"/>
  <c r="P145" i="69"/>
  <c r="P125" i="69"/>
  <c r="P121" i="69"/>
  <c r="P268" i="69" s="1"/>
  <c r="O396" i="69"/>
  <c r="O149" i="27"/>
  <c r="O149" i="78" s="1"/>
  <c r="O471" i="41"/>
  <c r="O584" i="41" s="1"/>
  <c r="P209" i="53"/>
  <c r="P189" i="53"/>
  <c r="P206" i="53"/>
  <c r="P186" i="53"/>
  <c r="P731" i="19"/>
  <c r="P711" i="19"/>
  <c r="P720" i="19"/>
  <c r="P700" i="19"/>
  <c r="P180" i="37"/>
  <c r="P160" i="37"/>
  <c r="P181" i="37"/>
  <c r="P161" i="37"/>
  <c r="O231" i="29"/>
  <c r="O343" i="29" s="1"/>
  <c r="O287" i="75"/>
  <c r="O400" i="75" s="1"/>
  <c r="O152" i="27"/>
  <c r="O152" i="78" s="1"/>
  <c r="P428" i="37"/>
  <c r="P408" i="37"/>
  <c r="P430" i="37"/>
  <c r="P410" i="37"/>
  <c r="O155" i="27"/>
  <c r="O155" i="78" s="1"/>
  <c r="P168" i="41"/>
  <c r="P148" i="41"/>
  <c r="P176" i="41"/>
  <c r="P156" i="41"/>
  <c r="P233" i="18"/>
  <c r="P213" i="18"/>
  <c r="P112" i="27"/>
  <c r="P112" i="78" s="1"/>
  <c r="P112" i="79" s="1"/>
  <c r="P222" i="18"/>
  <c r="P202" i="18"/>
  <c r="P198" i="18"/>
  <c r="P345" i="18" s="1"/>
  <c r="P101" i="27"/>
  <c r="P164" i="61"/>
  <c r="P144" i="61"/>
  <c r="P153" i="61"/>
  <c r="P133" i="61"/>
  <c r="O457" i="49"/>
  <c r="O569" i="49" s="1"/>
  <c r="O143" i="27"/>
  <c r="O143" i="78" s="1"/>
  <c r="P929" i="61"/>
  <c r="P909" i="61"/>
  <c r="P931" i="61"/>
  <c r="P911" i="61"/>
  <c r="P148" i="77"/>
  <c r="P128" i="77"/>
  <c r="P149" i="77"/>
  <c r="P129" i="77"/>
  <c r="P443" i="19"/>
  <c r="P423" i="19"/>
  <c r="P448" i="19"/>
  <c r="P428" i="19"/>
  <c r="N33" i="84"/>
  <c r="N46" i="84" s="1"/>
  <c r="N69" i="84"/>
  <c r="N207" i="79"/>
  <c r="N203" i="79"/>
  <c r="N206" i="79"/>
  <c r="N205" i="79"/>
  <c r="N212" i="79"/>
  <c r="N210" i="79"/>
  <c r="N209" i="79"/>
  <c r="N208" i="79"/>
  <c r="N204" i="79"/>
  <c r="O252" i="27"/>
  <c r="P246" i="27"/>
  <c r="P244" i="27"/>
  <c r="P245" i="27"/>
  <c r="P247" i="27"/>
  <c r="P243" i="27"/>
  <c r="P242" i="27"/>
  <c r="P241" i="27"/>
  <c r="O202" i="27"/>
  <c r="P189" i="27"/>
  <c r="P189" i="78" s="1"/>
  <c r="P196" i="27"/>
  <c r="P196" i="78" s="1"/>
  <c r="P197" i="27"/>
  <c r="P197" i="78" s="1"/>
  <c r="P185" i="27"/>
  <c r="P185" i="78" s="1"/>
  <c r="P192" i="27"/>
  <c r="P192" i="78" s="1"/>
  <c r="P195" i="27"/>
  <c r="P195" i="78" s="1"/>
  <c r="P184" i="27"/>
  <c r="P184" i="78" s="1"/>
  <c r="P186" i="27"/>
  <c r="P186" i="78" s="1"/>
  <c r="P188" i="27"/>
  <c r="P188" i="78" s="1"/>
  <c r="P190" i="27"/>
  <c r="P190" i="78" s="1"/>
  <c r="P193" i="27"/>
  <c r="P193" i="78" s="1"/>
  <c r="P191" i="27"/>
  <c r="P191" i="78" s="1"/>
  <c r="P187" i="27"/>
  <c r="P187" i="78" s="1"/>
  <c r="P194" i="27"/>
  <c r="P194" i="78" s="1"/>
  <c r="O94" i="78"/>
  <c r="P87" i="78"/>
  <c r="P87" i="79"/>
  <c r="P90" i="79"/>
  <c r="P90" i="78"/>
  <c r="P70" i="78"/>
  <c r="P70" i="79"/>
  <c r="P69" i="79"/>
  <c r="P69" i="78"/>
  <c r="P76" i="79"/>
  <c r="P76" i="78"/>
  <c r="P94" i="27"/>
  <c r="P66" i="78"/>
  <c r="P66" i="79"/>
  <c r="P79" i="78"/>
  <c r="P79" i="79"/>
  <c r="P72" i="78"/>
  <c r="P72" i="79"/>
  <c r="P91" i="78"/>
  <c r="P91" i="79"/>
  <c r="P80" i="78"/>
  <c r="P80" i="79"/>
  <c r="P88" i="78"/>
  <c r="P88" i="79"/>
  <c r="P77" i="78"/>
  <c r="P77" i="79"/>
  <c r="P92" i="79"/>
  <c r="P92" i="78"/>
  <c r="P83" i="79"/>
  <c r="P83" i="78"/>
  <c r="P85" i="78"/>
  <c r="P85" i="79"/>
  <c r="P68" i="79"/>
  <c r="P68" i="78"/>
  <c r="P75" i="78"/>
  <c r="P75" i="79"/>
  <c r="P74" i="78"/>
  <c r="P74" i="79"/>
  <c r="P84" i="78"/>
  <c r="P84" i="79"/>
  <c r="P78" i="78"/>
  <c r="P78" i="79"/>
  <c r="P81" i="79"/>
  <c r="P81" i="78"/>
  <c r="P73" i="79"/>
  <c r="P73" i="78"/>
  <c r="P82" i="78"/>
  <c r="P82" i="79"/>
  <c r="P89" i="79"/>
  <c r="P89" i="78"/>
  <c r="P86" i="79"/>
  <c r="P86" i="78"/>
  <c r="P67" i="78"/>
  <c r="P67" i="79"/>
  <c r="P71" i="78"/>
  <c r="P71" i="79"/>
  <c r="O94" i="79"/>
  <c r="R448" i="53"/>
  <c r="R444" i="53"/>
  <c r="S415" i="53"/>
  <c r="S416" i="53"/>
  <c r="S412" i="53"/>
  <c r="S419" i="53"/>
  <c r="S417" i="53"/>
  <c r="S420" i="53"/>
  <c r="S418" i="53"/>
  <c r="S413" i="53"/>
  <c r="S414" i="53"/>
  <c r="R162" i="29"/>
  <c r="R436" i="53"/>
  <c r="R441" i="53"/>
  <c r="R445" i="53"/>
  <c r="R443" i="53"/>
  <c r="Q450" i="53"/>
  <c r="Q81" i="27" s="1"/>
  <c r="Q545" i="53"/>
  <c r="Q563" i="53" s="1"/>
  <c r="Q598" i="53"/>
  <c r="Q609" i="53" s="1"/>
  <c r="Q543" i="53"/>
  <c r="Q561" i="53" s="1"/>
  <c r="Q546" i="53"/>
  <c r="Q564" i="53" s="1"/>
  <c r="Q552" i="53"/>
  <c r="Q570" i="53" s="1"/>
  <c r="Q550" i="53"/>
  <c r="Q568" i="53" s="1"/>
  <c r="Q547" i="53"/>
  <c r="Q565" i="53" s="1"/>
  <c r="Q549" i="53"/>
  <c r="Q567" i="53" s="1"/>
  <c r="Q602" i="53"/>
  <c r="Q613" i="53" s="1"/>
  <c r="Q600" i="53"/>
  <c r="Q611" i="53" s="1"/>
  <c r="Q603" i="53"/>
  <c r="Q614" i="53" s="1"/>
  <c r="Q548" i="53"/>
  <c r="Q566" i="53" s="1"/>
  <c r="Q597" i="53"/>
  <c r="Q551" i="53"/>
  <c r="Q569" i="53" s="1"/>
  <c r="Q540" i="53"/>
  <c r="Q599" i="53"/>
  <c r="Q610" i="53" s="1"/>
  <c r="Q601" i="53"/>
  <c r="Q612" i="53" s="1"/>
  <c r="Q541" i="53"/>
  <c r="Q559" i="53" s="1"/>
  <c r="Q544" i="53"/>
  <c r="Q562" i="53" s="1"/>
  <c r="Q542" i="53"/>
  <c r="Q560" i="53" s="1"/>
  <c r="Q553" i="53"/>
  <c r="Q571" i="53" s="1"/>
  <c r="S398" i="53"/>
  <c r="S406" i="53"/>
  <c r="S401" i="53"/>
  <c r="S404" i="53"/>
  <c r="S402" i="53"/>
  <c r="S403" i="53"/>
  <c r="S399" i="53"/>
  <c r="S405" i="53"/>
  <c r="S400" i="53"/>
  <c r="S426" i="53"/>
  <c r="S434" i="53"/>
  <c r="S427" i="53"/>
  <c r="S430" i="53"/>
  <c r="S431" i="53"/>
  <c r="S433" i="53"/>
  <c r="S432" i="53"/>
  <c r="S429" i="53"/>
  <c r="S428" i="53"/>
  <c r="R446" i="53"/>
  <c r="R408" i="53"/>
  <c r="R440" i="53"/>
  <c r="R442" i="53"/>
  <c r="R447" i="53"/>
  <c r="R422" i="53"/>
  <c r="R145" i="53"/>
  <c r="R142" i="53"/>
  <c r="R114" i="49"/>
  <c r="R390" i="49"/>
  <c r="R137" i="53"/>
  <c r="R105" i="53"/>
  <c r="R133" i="53"/>
  <c r="R144" i="53"/>
  <c r="R138" i="53"/>
  <c r="R140" i="53"/>
  <c r="S112" i="53"/>
  <c r="S110" i="53"/>
  <c r="S109" i="53"/>
  <c r="S111" i="53"/>
  <c r="S113" i="53"/>
  <c r="S114" i="53"/>
  <c r="S117" i="53"/>
  <c r="S115" i="53"/>
  <c r="S116" i="53"/>
  <c r="R143" i="53"/>
  <c r="S95" i="53"/>
  <c r="S103" i="53"/>
  <c r="S99" i="53"/>
  <c r="S98" i="53"/>
  <c r="S97" i="53"/>
  <c r="S100" i="53"/>
  <c r="S101" i="53"/>
  <c r="S102" i="53"/>
  <c r="S96" i="53"/>
  <c r="R119" i="53"/>
  <c r="R141" i="53"/>
  <c r="S129" i="53"/>
  <c r="S130" i="53"/>
  <c r="S124" i="53"/>
  <c r="S125" i="53"/>
  <c r="S128" i="53"/>
  <c r="S126" i="53"/>
  <c r="S127" i="53"/>
  <c r="S131" i="53"/>
  <c r="S123" i="53"/>
  <c r="R139" i="53"/>
  <c r="Q147" i="53"/>
  <c r="Q80" i="27" s="1"/>
  <c r="Q242" i="53"/>
  <c r="Q260" i="53" s="1"/>
  <c r="Q241" i="53"/>
  <c r="Q259" i="53" s="1"/>
  <c r="Q239" i="53"/>
  <c r="Q257" i="53" s="1"/>
  <c r="Q237" i="53"/>
  <c r="Q243" i="53"/>
  <c r="Q261" i="53" s="1"/>
  <c r="Q244" i="53"/>
  <c r="Q262" i="53" s="1"/>
  <c r="Q245" i="53"/>
  <c r="Q263" i="53" s="1"/>
  <c r="Q298" i="53"/>
  <c r="Q309" i="53" s="1"/>
  <c r="Q296" i="53"/>
  <c r="Q307" i="53" s="1"/>
  <c r="Q238" i="53"/>
  <c r="Q256" i="53" s="1"/>
  <c r="Q249" i="53"/>
  <c r="Q267" i="53" s="1"/>
  <c r="Q247" i="53"/>
  <c r="Q265" i="53" s="1"/>
  <c r="Q246" i="53"/>
  <c r="Q264" i="53" s="1"/>
  <c r="Q297" i="53"/>
  <c r="Q308" i="53" s="1"/>
  <c r="Q295" i="53"/>
  <c r="Q306" i="53" s="1"/>
  <c r="Q248" i="53"/>
  <c r="Q266" i="53" s="1"/>
  <c r="Q240" i="53"/>
  <c r="Q258" i="53" s="1"/>
  <c r="Q299" i="53"/>
  <c r="Q310" i="53" s="1"/>
  <c r="Q294" i="53"/>
  <c r="Q300" i="53"/>
  <c r="Q311" i="53" s="1"/>
  <c r="Q250" i="53"/>
  <c r="Q268" i="53" s="1"/>
  <c r="R116" i="41"/>
  <c r="R391" i="49"/>
  <c r="R117" i="49"/>
  <c r="R364" i="49"/>
  <c r="R388" i="49"/>
  <c r="R374" i="49"/>
  <c r="R392" i="49"/>
  <c r="S380" i="49"/>
  <c r="S382" i="49"/>
  <c r="S379" i="49"/>
  <c r="S378" i="49"/>
  <c r="S381" i="49"/>
  <c r="S361" i="49"/>
  <c r="S359" i="49"/>
  <c r="S362" i="49"/>
  <c r="S360" i="49"/>
  <c r="S358" i="49"/>
  <c r="S368" i="49"/>
  <c r="S371" i="49"/>
  <c r="S372" i="49"/>
  <c r="S370" i="49"/>
  <c r="S369" i="49"/>
  <c r="R389" i="49"/>
  <c r="R384" i="49"/>
  <c r="Q394" i="49"/>
  <c r="Q79" i="27" s="1"/>
  <c r="Q485" i="49"/>
  <c r="Q503" i="49" s="1"/>
  <c r="Q545" i="49"/>
  <c r="Q556" i="49" s="1"/>
  <c r="Q541" i="49"/>
  <c r="Q543" i="49"/>
  <c r="Q554" i="49" s="1"/>
  <c r="Q497" i="49"/>
  <c r="Q515" i="49" s="1"/>
  <c r="Q496" i="49"/>
  <c r="Q514" i="49" s="1"/>
  <c r="Q486" i="49"/>
  <c r="Q504" i="49" s="1"/>
  <c r="Q484" i="49"/>
  <c r="Q487" i="49"/>
  <c r="Q505" i="49" s="1"/>
  <c r="Q490" i="49"/>
  <c r="Q508" i="49" s="1"/>
  <c r="Q493" i="49"/>
  <c r="Q511" i="49" s="1"/>
  <c r="Q547" i="49"/>
  <c r="Q558" i="49" s="1"/>
  <c r="Q494" i="49"/>
  <c r="Q512" i="49" s="1"/>
  <c r="Q492" i="49"/>
  <c r="Q510" i="49" s="1"/>
  <c r="Q495" i="49"/>
  <c r="Q513" i="49" s="1"/>
  <c r="Q491" i="49"/>
  <c r="Q509" i="49" s="1"/>
  <c r="Q546" i="49"/>
  <c r="Q557" i="49" s="1"/>
  <c r="Q544" i="49"/>
  <c r="Q555" i="49" s="1"/>
  <c r="Q489" i="49"/>
  <c r="Q507" i="49" s="1"/>
  <c r="Q488" i="49"/>
  <c r="Q506" i="49" s="1"/>
  <c r="Q542" i="49"/>
  <c r="Q553" i="49" s="1"/>
  <c r="S93" i="49"/>
  <c r="S97" i="49"/>
  <c r="S96" i="49"/>
  <c r="S95" i="49"/>
  <c r="S94" i="49"/>
  <c r="R406" i="41"/>
  <c r="R89" i="49"/>
  <c r="R113" i="49"/>
  <c r="S106" i="49"/>
  <c r="S105" i="49"/>
  <c r="S103" i="49"/>
  <c r="S104" i="49"/>
  <c r="S107" i="49"/>
  <c r="S87" i="49"/>
  <c r="S83" i="49"/>
  <c r="S86" i="49"/>
  <c r="S85" i="49"/>
  <c r="S84" i="49"/>
  <c r="R165" i="29"/>
  <c r="R116" i="49"/>
  <c r="Q119" i="49"/>
  <c r="Q78" i="27" s="1"/>
  <c r="Q210" i="49"/>
  <c r="Q228" i="49" s="1"/>
  <c r="Q270" i="49"/>
  <c r="Q281" i="49" s="1"/>
  <c r="Q266" i="49"/>
  <c r="Q268" i="49"/>
  <c r="Q279" i="49" s="1"/>
  <c r="Q222" i="49"/>
  <c r="Q240" i="49" s="1"/>
  <c r="Q221" i="49"/>
  <c r="Q239" i="49" s="1"/>
  <c r="Q211" i="49"/>
  <c r="Q229" i="49" s="1"/>
  <c r="Q209" i="49"/>
  <c r="Q212" i="49"/>
  <c r="Q230" i="49" s="1"/>
  <c r="Q215" i="49"/>
  <c r="Q233" i="49" s="1"/>
  <c r="Q218" i="49"/>
  <c r="Q236" i="49" s="1"/>
  <c r="Q272" i="49"/>
  <c r="Q283" i="49" s="1"/>
  <c r="Q219" i="49"/>
  <c r="Q237" i="49" s="1"/>
  <c r="Q217" i="49"/>
  <c r="Q235" i="49" s="1"/>
  <c r="Q220" i="49"/>
  <c r="Q238" i="49" s="1"/>
  <c r="Q216" i="49"/>
  <c r="Q234" i="49" s="1"/>
  <c r="Q271" i="49"/>
  <c r="Q282" i="49" s="1"/>
  <c r="Q269" i="49"/>
  <c r="Q280" i="49" s="1"/>
  <c r="Q214" i="49"/>
  <c r="Q232" i="49" s="1"/>
  <c r="Q213" i="49"/>
  <c r="Q231" i="49" s="1"/>
  <c r="Q267" i="49"/>
  <c r="Q278" i="49" s="1"/>
  <c r="R115" i="49"/>
  <c r="R109" i="49"/>
  <c r="R158" i="29"/>
  <c r="R164" i="29"/>
  <c r="R99" i="49"/>
  <c r="S392" i="41"/>
  <c r="S390" i="41"/>
  <c r="S391" i="41"/>
  <c r="S394" i="41"/>
  <c r="S389" i="41"/>
  <c r="S393" i="41"/>
  <c r="S388" i="41"/>
  <c r="R404" i="41"/>
  <c r="S365" i="41"/>
  <c r="S364" i="41"/>
  <c r="S369" i="41"/>
  <c r="S366" i="41"/>
  <c r="S367" i="41"/>
  <c r="S370" i="41"/>
  <c r="S368" i="41"/>
  <c r="R99" i="41"/>
  <c r="R401" i="41"/>
  <c r="R384" i="41"/>
  <c r="R403" i="41"/>
  <c r="R405" i="41"/>
  <c r="R396" i="41"/>
  <c r="R400" i="41"/>
  <c r="R372" i="41"/>
  <c r="S376" i="41"/>
  <c r="S382" i="41"/>
  <c r="S379" i="41"/>
  <c r="S378" i="41"/>
  <c r="S381" i="41"/>
  <c r="S377" i="41"/>
  <c r="S380" i="41"/>
  <c r="R402" i="41"/>
  <c r="Q408" i="41"/>
  <c r="Q75" i="27" s="1"/>
  <c r="Q506" i="41"/>
  <c r="Q524" i="41" s="1"/>
  <c r="Q501" i="41"/>
  <c r="Q519" i="41" s="1"/>
  <c r="Q504" i="41"/>
  <c r="Q522" i="41" s="1"/>
  <c r="Q505" i="41"/>
  <c r="Q523" i="41" s="1"/>
  <c r="Q503" i="41"/>
  <c r="Q521" i="41" s="1"/>
  <c r="Q560" i="41"/>
  <c r="Q571" i="41" s="1"/>
  <c r="Q499" i="41"/>
  <c r="Q517" i="41" s="1"/>
  <c r="Q500" i="41"/>
  <c r="Q518" i="41" s="1"/>
  <c r="Q555" i="41"/>
  <c r="Q509" i="41"/>
  <c r="Q527" i="41" s="1"/>
  <c r="Q502" i="41"/>
  <c r="Q520" i="41" s="1"/>
  <c r="Q559" i="41"/>
  <c r="Q570" i="41" s="1"/>
  <c r="Q511" i="41"/>
  <c r="Q529" i="41" s="1"/>
  <c r="Q510" i="41"/>
  <c r="Q528" i="41" s="1"/>
  <c r="Q561" i="41"/>
  <c r="Q572" i="41" s="1"/>
  <c r="Q557" i="41"/>
  <c r="Q568" i="41" s="1"/>
  <c r="Q507" i="41"/>
  <c r="Q525" i="41" s="1"/>
  <c r="Q498" i="41"/>
  <c r="Q508" i="41"/>
  <c r="Q526" i="41" s="1"/>
  <c r="Q558" i="41"/>
  <c r="Q569" i="41" s="1"/>
  <c r="Q556" i="41"/>
  <c r="Q567" i="41" s="1"/>
  <c r="Q119" i="41"/>
  <c r="Q74" i="27" s="1"/>
  <c r="Q210" i="41"/>
  <c r="Q228" i="41" s="1"/>
  <c r="Q270" i="41"/>
  <c r="Q281" i="41" s="1"/>
  <c r="Q266" i="41"/>
  <c r="Q268" i="41"/>
  <c r="Q279" i="41" s="1"/>
  <c r="Q222" i="41"/>
  <c r="Q240" i="41" s="1"/>
  <c r="Q221" i="41"/>
  <c r="Q239" i="41" s="1"/>
  <c r="Q211" i="41"/>
  <c r="Q229" i="41" s="1"/>
  <c r="Q209" i="41"/>
  <c r="Q212" i="41"/>
  <c r="Q230" i="41" s="1"/>
  <c r="Q215" i="41"/>
  <c r="Q233" i="41" s="1"/>
  <c r="Q218" i="41"/>
  <c r="Q236" i="41" s="1"/>
  <c r="Q272" i="41"/>
  <c r="Q283" i="41" s="1"/>
  <c r="Q219" i="41"/>
  <c r="Q237" i="41" s="1"/>
  <c r="Q217" i="41"/>
  <c r="Q235" i="41" s="1"/>
  <c r="Q220" i="41"/>
  <c r="Q238" i="41" s="1"/>
  <c r="Q216" i="41"/>
  <c r="Q234" i="41" s="1"/>
  <c r="Q271" i="41"/>
  <c r="Q282" i="41" s="1"/>
  <c r="Q269" i="41"/>
  <c r="Q280" i="41" s="1"/>
  <c r="Q214" i="41"/>
  <c r="Q232" i="41" s="1"/>
  <c r="Q213" i="41"/>
  <c r="Q231" i="41" s="1"/>
  <c r="Q267" i="41"/>
  <c r="Q278" i="41" s="1"/>
  <c r="R89" i="41"/>
  <c r="R113" i="41"/>
  <c r="S93" i="41"/>
  <c r="S94" i="41"/>
  <c r="S96" i="41"/>
  <c r="S95" i="41"/>
  <c r="S97" i="41"/>
  <c r="R117" i="41"/>
  <c r="R163" i="29"/>
  <c r="R109" i="41"/>
  <c r="R114" i="41"/>
  <c r="R173" i="18"/>
  <c r="R115" i="41"/>
  <c r="S86" i="41"/>
  <c r="S85" i="41"/>
  <c r="S83" i="41"/>
  <c r="S84" i="41"/>
  <c r="S87" i="41"/>
  <c r="S103" i="41"/>
  <c r="S106" i="41"/>
  <c r="S104" i="41"/>
  <c r="S107" i="41"/>
  <c r="S105" i="41"/>
  <c r="R157" i="29"/>
  <c r="R161" i="29"/>
  <c r="R159" i="29"/>
  <c r="S140" i="29"/>
  <c r="S148" i="29"/>
  <c r="S145" i="29"/>
  <c r="S149" i="29"/>
  <c r="S143" i="29"/>
  <c r="S142" i="29"/>
  <c r="S139" i="29"/>
  <c r="S147" i="29"/>
  <c r="S146" i="29"/>
  <c r="S141" i="29"/>
  <c r="S144" i="29"/>
  <c r="S138" i="29"/>
  <c r="Q168" i="29"/>
  <c r="Q68" i="27" s="1"/>
  <c r="Q259" i="29"/>
  <c r="Q277" i="29" s="1"/>
  <c r="Q264" i="29"/>
  <c r="Q282" i="29" s="1"/>
  <c r="Q321" i="29"/>
  <c r="Q332" i="29" s="1"/>
  <c r="Q266" i="29"/>
  <c r="Q284" i="29" s="1"/>
  <c r="Q269" i="29"/>
  <c r="Q287" i="29" s="1"/>
  <c r="Q270" i="29"/>
  <c r="Q288" i="29" s="1"/>
  <c r="Q263" i="29"/>
  <c r="Q281" i="29" s="1"/>
  <c r="Q265" i="29"/>
  <c r="Q283" i="29" s="1"/>
  <c r="Q260" i="29"/>
  <c r="Q278" i="29" s="1"/>
  <c r="Q267" i="29"/>
  <c r="Q285" i="29" s="1"/>
  <c r="Q320" i="29"/>
  <c r="Q331" i="29" s="1"/>
  <c r="Q318" i="29"/>
  <c r="Q329" i="29" s="1"/>
  <c r="Q268" i="29"/>
  <c r="Q286" i="29" s="1"/>
  <c r="Q271" i="29"/>
  <c r="Q289" i="29" s="1"/>
  <c r="Q316" i="29"/>
  <c r="Q327" i="29" s="1"/>
  <c r="Q315" i="29"/>
  <c r="Q317" i="29"/>
  <c r="Q328" i="29" s="1"/>
  <c r="Q319" i="29"/>
  <c r="Q330" i="29" s="1"/>
  <c r="Q258" i="29"/>
  <c r="Q261" i="29"/>
  <c r="Q279" i="29" s="1"/>
  <c r="Q262" i="29"/>
  <c r="Q280" i="29" s="1"/>
  <c r="R160" i="29"/>
  <c r="S110" i="29"/>
  <c r="S105" i="29"/>
  <c r="S113" i="29"/>
  <c r="S111" i="29"/>
  <c r="S106" i="29"/>
  <c r="S114" i="29"/>
  <c r="S109" i="29"/>
  <c r="S112" i="29"/>
  <c r="S115" i="29"/>
  <c r="S108" i="29"/>
  <c r="S104" i="29"/>
  <c r="S107" i="29"/>
  <c r="R155" i="29"/>
  <c r="R117" i="29"/>
  <c r="R156" i="29"/>
  <c r="R151" i="29"/>
  <c r="R134" i="29"/>
  <c r="S127" i="29"/>
  <c r="S123" i="29"/>
  <c r="S131" i="29"/>
  <c r="S126" i="29"/>
  <c r="S124" i="29"/>
  <c r="S132" i="29"/>
  <c r="S122" i="29"/>
  <c r="S125" i="29"/>
  <c r="S128" i="29"/>
  <c r="S121" i="29"/>
  <c r="S130" i="29"/>
  <c r="S129" i="29"/>
  <c r="R166" i="29"/>
  <c r="R164" i="18"/>
  <c r="R172" i="18"/>
  <c r="R163" i="18"/>
  <c r="Q175" i="18"/>
  <c r="Q66" i="27" s="1"/>
  <c r="Q324" i="18"/>
  <c r="Q270" i="18"/>
  <c r="Q322" i="18"/>
  <c r="Q328" i="18"/>
  <c r="Q265" i="18"/>
  <c r="Q278" i="18"/>
  <c r="Q276" i="18"/>
  <c r="Q325" i="18"/>
  <c r="Q323" i="18"/>
  <c r="Q326" i="18"/>
  <c r="Q266" i="18"/>
  <c r="Q273" i="18"/>
  <c r="Q269" i="18"/>
  <c r="Q267" i="18"/>
  <c r="Q274" i="18"/>
  <c r="Q271" i="18"/>
  <c r="Q275" i="18"/>
  <c r="Q272" i="18"/>
  <c r="Q277" i="18"/>
  <c r="Q327" i="18"/>
  <c r="Q268" i="18"/>
  <c r="R121" i="18"/>
  <c r="R161" i="18"/>
  <c r="S116" i="18"/>
  <c r="S111" i="18"/>
  <c r="S119" i="18"/>
  <c r="S107" i="18"/>
  <c r="S114" i="18"/>
  <c r="S117" i="18"/>
  <c r="S112" i="18"/>
  <c r="S108" i="18"/>
  <c r="S115" i="18"/>
  <c r="S109" i="18"/>
  <c r="S118" i="18"/>
  <c r="S113" i="18"/>
  <c r="S110" i="18"/>
  <c r="R169" i="18"/>
  <c r="R166" i="18"/>
  <c r="S136" i="18"/>
  <c r="S137" i="18"/>
  <c r="S125" i="18"/>
  <c r="S126" i="18"/>
  <c r="S128" i="18"/>
  <c r="S129" i="18"/>
  <c r="S130" i="18"/>
  <c r="S132" i="18"/>
  <c r="S133" i="18"/>
  <c r="S134" i="18"/>
  <c r="S131" i="18"/>
  <c r="S135" i="18"/>
  <c r="S127" i="18"/>
  <c r="R165" i="18"/>
  <c r="R162" i="18"/>
  <c r="R170" i="18"/>
  <c r="R171" i="18"/>
  <c r="R167" i="18"/>
  <c r="R168" i="18"/>
  <c r="S147" i="18"/>
  <c r="S151" i="18"/>
  <c r="S155" i="18"/>
  <c r="S144" i="18"/>
  <c r="S149" i="18"/>
  <c r="S150" i="18"/>
  <c r="S154" i="18"/>
  <c r="S152" i="18"/>
  <c r="S143" i="18"/>
  <c r="S153" i="18"/>
  <c r="S148" i="18"/>
  <c r="S145" i="18"/>
  <c r="S146" i="18"/>
  <c r="R139" i="18"/>
  <c r="R157" i="18"/>
  <c r="O207" i="78"/>
  <c r="O213" i="78"/>
  <c r="O213" i="79" s="1"/>
  <c r="O203" i="78"/>
  <c r="O209" i="78"/>
  <c r="O211" i="78"/>
  <c r="N202" i="78"/>
  <c r="O214" i="78"/>
  <c r="O214" i="79" s="1"/>
  <c r="O206" i="78"/>
  <c r="O215" i="78"/>
  <c r="O215" i="79" s="1"/>
  <c r="O208" i="78"/>
  <c r="O212" i="78"/>
  <c r="O204" i="78"/>
  <c r="O210" i="78"/>
  <c r="O205" i="78"/>
  <c r="O193" i="79"/>
  <c r="O190" i="79"/>
  <c r="O192" i="79"/>
  <c r="O185" i="79"/>
  <c r="O195" i="79"/>
  <c r="O191" i="79"/>
  <c r="O189" i="79"/>
  <c r="O196" i="79"/>
  <c r="O188" i="79"/>
  <c r="O197" i="79"/>
  <c r="O187" i="79"/>
  <c r="O194" i="79"/>
  <c r="O186" i="79"/>
  <c r="Q201" i="77"/>
  <c r="Q219" i="77" s="1"/>
  <c r="Q190" i="77"/>
  <c r="Q208" i="77" s="1"/>
  <c r="Q200" i="77"/>
  <c r="Q218" i="77" s="1"/>
  <c r="Q194" i="77"/>
  <c r="Q212" i="77" s="1"/>
  <c r="Q197" i="77"/>
  <c r="Q215" i="77" s="1"/>
  <c r="Q196" i="77"/>
  <c r="Q214" i="77" s="1"/>
  <c r="Q188" i="77"/>
  <c r="Q193" i="77"/>
  <c r="Q211" i="77" s="1"/>
  <c r="Q198" i="77"/>
  <c r="Q216" i="77" s="1"/>
  <c r="Q191" i="77"/>
  <c r="Q209" i="77" s="1"/>
  <c r="Q195" i="77"/>
  <c r="Q213" i="77" s="1"/>
  <c r="Q192" i="77"/>
  <c r="Q210" i="77" s="1"/>
  <c r="Q199" i="77"/>
  <c r="Q217" i="77" s="1"/>
  <c r="Q189" i="77"/>
  <c r="Q207" i="77" s="1"/>
  <c r="Q492" i="45"/>
  <c r="Q510" i="45" s="1"/>
  <c r="Q486" i="45"/>
  <c r="Q504" i="45" s="1"/>
  <c r="Q495" i="45"/>
  <c r="Q513" i="45" s="1"/>
  <c r="Q489" i="45"/>
  <c r="Q507" i="45" s="1"/>
  <c r="Q494" i="45"/>
  <c r="Q512" i="45" s="1"/>
  <c r="Q488" i="45"/>
  <c r="Q506" i="45" s="1"/>
  <c r="Q497" i="45"/>
  <c r="Q515" i="45" s="1"/>
  <c r="Q491" i="45"/>
  <c r="Q509" i="45" s="1"/>
  <c r="Q485" i="45"/>
  <c r="Q503" i="45" s="1"/>
  <c r="Q496" i="45"/>
  <c r="Q514" i="45" s="1"/>
  <c r="Q490" i="45"/>
  <c r="Q508" i="45" s="1"/>
  <c r="Q484" i="45"/>
  <c r="Q493" i="45"/>
  <c r="Q511" i="45" s="1"/>
  <c r="Q487" i="45"/>
  <c r="Q505" i="45" s="1"/>
  <c r="P516" i="41"/>
  <c r="P530" i="41" s="1"/>
  <c r="P512" i="41"/>
  <c r="P579" i="41" s="1"/>
  <c r="N216" i="27"/>
  <c r="P284" i="18"/>
  <c r="P203" i="27" s="1"/>
  <c r="P289" i="18"/>
  <c r="P208" i="27" s="1"/>
  <c r="Q713" i="69"/>
  <c r="Q731" i="69" s="1"/>
  <c r="Q719" i="69"/>
  <c r="Q737" i="69" s="1"/>
  <c r="Q724" i="69"/>
  <c r="Q742" i="69" s="1"/>
  <c r="Q715" i="69"/>
  <c r="Q733" i="69" s="1"/>
  <c r="Q711" i="69"/>
  <c r="Q722" i="69"/>
  <c r="Q740" i="69" s="1"/>
  <c r="Q721" i="69"/>
  <c r="Q739" i="69" s="1"/>
  <c r="Q718" i="69"/>
  <c r="Q736" i="69" s="1"/>
  <c r="Q716" i="69"/>
  <c r="Q734" i="69" s="1"/>
  <c r="Q712" i="69"/>
  <c r="Q730" i="69" s="1"/>
  <c r="Q720" i="69"/>
  <c r="Q738" i="69" s="1"/>
  <c r="Q723" i="69"/>
  <c r="Q741" i="69" s="1"/>
  <c r="Q714" i="69"/>
  <c r="Q732" i="69" s="1"/>
  <c r="Q717" i="69"/>
  <c r="Q735" i="69" s="1"/>
  <c r="Q201" i="61"/>
  <c r="Q219" i="61" s="1"/>
  <c r="Q205" i="61"/>
  <c r="Q223" i="61" s="1"/>
  <c r="Q202" i="61"/>
  <c r="Q220" i="61" s="1"/>
  <c r="Q200" i="61"/>
  <c r="Q218" i="61" s="1"/>
  <c r="Q198" i="61"/>
  <c r="Q216" i="61" s="1"/>
  <c r="Q196" i="61"/>
  <c r="Q214" i="61" s="1"/>
  <c r="Q195" i="61"/>
  <c r="Q213" i="61" s="1"/>
  <c r="Q204" i="61"/>
  <c r="Q222" i="61" s="1"/>
  <c r="Q203" i="61"/>
  <c r="Q221" i="61" s="1"/>
  <c r="Q199" i="61"/>
  <c r="Q217" i="61" s="1"/>
  <c r="Q206" i="61"/>
  <c r="Q224" i="61" s="1"/>
  <c r="Q193" i="61"/>
  <c r="Q197" i="61"/>
  <c r="Q215" i="61" s="1"/>
  <c r="Q194" i="61"/>
  <c r="Q212" i="61" s="1"/>
  <c r="Q448" i="69"/>
  <c r="Q466" i="69" s="1"/>
  <c r="Q444" i="69"/>
  <c r="Q462" i="69" s="1"/>
  <c r="Q455" i="69"/>
  <c r="Q473" i="69" s="1"/>
  <c r="Q445" i="69"/>
  <c r="Q463" i="69" s="1"/>
  <c r="Q446" i="69"/>
  <c r="Q464" i="69" s="1"/>
  <c r="Q447" i="69"/>
  <c r="Q465" i="69" s="1"/>
  <c r="Q456" i="69"/>
  <c r="Q474" i="69" s="1"/>
  <c r="Q449" i="69"/>
  <c r="Q467" i="69" s="1"/>
  <c r="Q452" i="69"/>
  <c r="Q470" i="69" s="1"/>
  <c r="Q453" i="69"/>
  <c r="Q471" i="69" s="1"/>
  <c r="Q443" i="69"/>
  <c r="Q450" i="69"/>
  <c r="Q468" i="69" s="1"/>
  <c r="Q451" i="69"/>
  <c r="Q469" i="69" s="1"/>
  <c r="Q454" i="69"/>
  <c r="Q472" i="69" s="1"/>
  <c r="P457" i="69"/>
  <c r="P524" i="69" s="1"/>
  <c r="P461" i="69"/>
  <c r="P475" i="69" s="1"/>
  <c r="P328" i="75"/>
  <c r="P395" i="75" s="1"/>
  <c r="P332" i="75"/>
  <c r="P346" i="75" s="1"/>
  <c r="P241" i="57"/>
  <c r="P255" i="57" s="1"/>
  <c r="P237" i="57"/>
  <c r="P304" i="57" s="1"/>
  <c r="P468" i="61"/>
  <c r="P482" i="61" s="1"/>
  <c r="P464" i="61"/>
  <c r="P531" i="61" s="1"/>
  <c r="P279" i="18"/>
  <c r="P346" i="18" s="1"/>
  <c r="P283" i="18"/>
  <c r="P288" i="18"/>
  <c r="P207" i="27" s="1"/>
  <c r="P498" i="19"/>
  <c r="P565" i="19" s="1"/>
  <c r="P502" i="19"/>
  <c r="P516" i="19" s="1"/>
  <c r="P777" i="19"/>
  <c r="P791" i="19" s="1"/>
  <c r="P773" i="19"/>
  <c r="P840" i="19" s="1"/>
  <c r="P211" i="61"/>
  <c r="P225" i="61" s="1"/>
  <c r="P207" i="61"/>
  <c r="P274" i="61" s="1"/>
  <c r="N184" i="79"/>
  <c r="N198" i="78"/>
  <c r="N265" i="78" s="1"/>
  <c r="P477" i="37"/>
  <c r="P544" i="37" s="1"/>
  <c r="P481" i="37"/>
  <c r="P495" i="37" s="1"/>
  <c r="P286" i="18"/>
  <c r="P205" i="27" s="1"/>
  <c r="P291" i="18"/>
  <c r="P210" i="27" s="1"/>
  <c r="Q467" i="37"/>
  <c r="Q485" i="37" s="1"/>
  <c r="Q465" i="37"/>
  <c r="Q483" i="37" s="1"/>
  <c r="Q471" i="37"/>
  <c r="Q489" i="37" s="1"/>
  <c r="Q475" i="37"/>
  <c r="Q493" i="37" s="1"/>
  <c r="Q469" i="37"/>
  <c r="Q487" i="37" s="1"/>
  <c r="Q472" i="37"/>
  <c r="Q490" i="37" s="1"/>
  <c r="Q463" i="37"/>
  <c r="Q466" i="37"/>
  <c r="Q484" i="37" s="1"/>
  <c r="Q470" i="37"/>
  <c r="Q488" i="37" s="1"/>
  <c r="Q476" i="37"/>
  <c r="Q494" i="37" s="1"/>
  <c r="Q474" i="37"/>
  <c r="Q492" i="37" s="1"/>
  <c r="Q464" i="37"/>
  <c r="Q482" i="37" s="1"/>
  <c r="Q473" i="37"/>
  <c r="Q491" i="37" s="1"/>
  <c r="Q468" i="37"/>
  <c r="Q486" i="37" s="1"/>
  <c r="Q489" i="19"/>
  <c r="Q507" i="19" s="1"/>
  <c r="Q490" i="19"/>
  <c r="Q508" i="19" s="1"/>
  <c r="Q493" i="19"/>
  <c r="Q511" i="19" s="1"/>
  <c r="Q488" i="19"/>
  <c r="Q506" i="19" s="1"/>
  <c r="Q486" i="19"/>
  <c r="Q504" i="19" s="1"/>
  <c r="Q487" i="19"/>
  <c r="Q505" i="19" s="1"/>
  <c r="Q491" i="19"/>
  <c r="Q509" i="19" s="1"/>
  <c r="Q495" i="19"/>
  <c r="Q513" i="19" s="1"/>
  <c r="Q497" i="19"/>
  <c r="Q515" i="19" s="1"/>
  <c r="Q496" i="19"/>
  <c r="Q514" i="19" s="1"/>
  <c r="Q494" i="19"/>
  <c r="Q512" i="19" s="1"/>
  <c r="Q484" i="19"/>
  <c r="Q485" i="19"/>
  <c r="Q503" i="19" s="1"/>
  <c r="Q492" i="19"/>
  <c r="Q510" i="19" s="1"/>
  <c r="Q713" i="61"/>
  <c r="Q731" i="61" s="1"/>
  <c r="Q716" i="61"/>
  <c r="Q734" i="61" s="1"/>
  <c r="Q710" i="61"/>
  <c r="Q728" i="61" s="1"/>
  <c r="Q709" i="61"/>
  <c r="Q727" i="61" s="1"/>
  <c r="Q707" i="61"/>
  <c r="Q725" i="61" s="1"/>
  <c r="Q706" i="61"/>
  <c r="Q724" i="61" s="1"/>
  <c r="Q718" i="61"/>
  <c r="Q736" i="61" s="1"/>
  <c r="Q717" i="61"/>
  <c r="Q735" i="61" s="1"/>
  <c r="Q715" i="61"/>
  <c r="Q733" i="61" s="1"/>
  <c r="Q705" i="61"/>
  <c r="Q708" i="61"/>
  <c r="Q726" i="61" s="1"/>
  <c r="Q711" i="61"/>
  <c r="Q729" i="61" s="1"/>
  <c r="Q714" i="61"/>
  <c r="Q732" i="61" s="1"/>
  <c r="Q712" i="61"/>
  <c r="Q730" i="61" s="1"/>
  <c r="Q196" i="69"/>
  <c r="Q214" i="69" s="1"/>
  <c r="Q189" i="69"/>
  <c r="Q207" i="69" s="1"/>
  <c r="Q190" i="69"/>
  <c r="Q208" i="69" s="1"/>
  <c r="Q197" i="69"/>
  <c r="Q215" i="69" s="1"/>
  <c r="Q198" i="69"/>
  <c r="Q216" i="69" s="1"/>
  <c r="Q191" i="69"/>
  <c r="Q209" i="69" s="1"/>
  <c r="Q199" i="69"/>
  <c r="Q217" i="69" s="1"/>
  <c r="Q193" i="69"/>
  <c r="Q211" i="69" s="1"/>
  <c r="Q200" i="69"/>
  <c r="Q218" i="69" s="1"/>
  <c r="Q192" i="69"/>
  <c r="Q210" i="69" s="1"/>
  <c r="Q194" i="69"/>
  <c r="Q212" i="69" s="1"/>
  <c r="Q188" i="69"/>
  <c r="Q195" i="69"/>
  <c r="Q213" i="69" s="1"/>
  <c r="Q201" i="69"/>
  <c r="Q219" i="69" s="1"/>
  <c r="P227" i="37"/>
  <c r="P241" i="37" s="1"/>
  <c r="P223" i="37"/>
  <c r="P290" i="37" s="1"/>
  <c r="P978" i="61"/>
  <c r="P992" i="61" s="1"/>
  <c r="P974" i="61"/>
  <c r="P1041" i="61" s="1"/>
  <c r="P206" i="77"/>
  <c r="P220" i="77" s="1"/>
  <c r="P202" i="77"/>
  <c r="P269" i="77" s="1"/>
  <c r="P202" i="69"/>
  <c r="P269" i="69" s="1"/>
  <c r="P206" i="69"/>
  <c r="P220" i="69" s="1"/>
  <c r="P272" i="29"/>
  <c r="P339" i="29" s="1"/>
  <c r="P276" i="29"/>
  <c r="P290" i="29" s="1"/>
  <c r="P244" i="45"/>
  <c r="P311" i="45" s="1"/>
  <c r="P248" i="45"/>
  <c r="P262" i="45" s="1"/>
  <c r="P227" i="49"/>
  <c r="P241" i="49" s="1"/>
  <c r="P223" i="49"/>
  <c r="P290" i="49" s="1"/>
  <c r="P294" i="18"/>
  <c r="P213" i="27" s="1"/>
  <c r="P285" i="18"/>
  <c r="P204" i="27" s="1"/>
  <c r="P723" i="61"/>
  <c r="P737" i="61" s="1"/>
  <c r="P719" i="61"/>
  <c r="P786" i="61" s="1"/>
  <c r="Q210" i="37"/>
  <c r="Q228" i="37" s="1"/>
  <c r="Q219" i="37"/>
  <c r="Q237" i="37" s="1"/>
  <c r="Q221" i="37"/>
  <c r="Q239" i="37" s="1"/>
  <c r="Q217" i="37"/>
  <c r="Q235" i="37" s="1"/>
  <c r="Q220" i="37"/>
  <c r="Q238" i="37" s="1"/>
  <c r="Q215" i="37"/>
  <c r="Q233" i="37" s="1"/>
  <c r="Q211" i="37"/>
  <c r="Q229" i="37" s="1"/>
  <c r="Q222" i="37"/>
  <c r="Q240" i="37" s="1"/>
  <c r="Q214" i="37"/>
  <c r="Q232" i="37" s="1"/>
  <c r="Q216" i="37"/>
  <c r="Q234" i="37" s="1"/>
  <c r="Q218" i="37"/>
  <c r="Q236" i="37" s="1"/>
  <c r="Q212" i="37"/>
  <c r="Q230" i="37" s="1"/>
  <c r="Q213" i="37"/>
  <c r="Q231" i="37" s="1"/>
  <c r="Q209" i="37"/>
  <c r="Q761" i="19"/>
  <c r="Q779" i="19" s="1"/>
  <c r="Q760" i="19"/>
  <c r="Q778" i="19" s="1"/>
  <c r="Q763" i="19"/>
  <c r="Q781" i="19" s="1"/>
  <c r="Q769" i="19"/>
  <c r="Q787" i="19" s="1"/>
  <c r="Q765" i="19"/>
  <c r="Q783" i="19" s="1"/>
  <c r="Q764" i="19"/>
  <c r="Q782" i="19" s="1"/>
  <c r="Q771" i="19"/>
  <c r="Q789" i="19" s="1"/>
  <c r="Q766" i="19"/>
  <c r="Q784" i="19" s="1"/>
  <c r="Q767" i="19"/>
  <c r="Q785" i="19" s="1"/>
  <c r="Q759" i="19"/>
  <c r="Q768" i="19"/>
  <c r="Q786" i="19" s="1"/>
  <c r="Q762" i="19"/>
  <c r="Q780" i="19" s="1"/>
  <c r="Q770" i="19"/>
  <c r="Q788" i="19" s="1"/>
  <c r="Q772" i="19"/>
  <c r="Q790" i="19" s="1"/>
  <c r="P498" i="45"/>
  <c r="P565" i="45" s="1"/>
  <c r="P502" i="45"/>
  <c r="P516" i="45" s="1"/>
  <c r="P295" i="18"/>
  <c r="P214" i="27" s="1"/>
  <c r="Q505" i="57"/>
  <c r="Q514" i="57"/>
  <c r="Q532" i="57" s="1"/>
  <c r="Q507" i="57"/>
  <c r="Q525" i="57" s="1"/>
  <c r="Q516" i="57"/>
  <c r="Q534" i="57" s="1"/>
  <c r="Q513" i="57"/>
  <c r="Q531" i="57" s="1"/>
  <c r="Q506" i="57"/>
  <c r="Q524" i="57" s="1"/>
  <c r="Q517" i="57"/>
  <c r="Q535" i="57" s="1"/>
  <c r="Q515" i="57"/>
  <c r="Q533" i="57" s="1"/>
  <c r="Q512" i="57"/>
  <c r="Q530" i="57" s="1"/>
  <c r="Q508" i="57"/>
  <c r="Q526" i="57" s="1"/>
  <c r="Q511" i="57"/>
  <c r="Q529" i="57" s="1"/>
  <c r="Q509" i="57"/>
  <c r="Q527" i="57" s="1"/>
  <c r="Q518" i="57"/>
  <c r="Q536" i="57" s="1"/>
  <c r="Q510" i="57"/>
  <c r="Q528" i="57" s="1"/>
  <c r="Q189" i="33"/>
  <c r="Q207" i="33" s="1"/>
  <c r="Q196" i="33"/>
  <c r="Q214" i="33" s="1"/>
  <c r="Q199" i="33"/>
  <c r="Q217" i="33" s="1"/>
  <c r="Q193" i="33"/>
  <c r="Q211" i="33" s="1"/>
  <c r="Q200" i="33"/>
  <c r="Q218" i="33" s="1"/>
  <c r="Q190" i="33"/>
  <c r="Q208" i="33" s="1"/>
  <c r="Q194" i="33"/>
  <c r="Q212" i="33" s="1"/>
  <c r="Q197" i="33"/>
  <c r="Q215" i="33" s="1"/>
  <c r="Q201" i="33"/>
  <c r="Q219" i="33" s="1"/>
  <c r="Q198" i="33"/>
  <c r="Q216" i="33" s="1"/>
  <c r="Q188" i="33"/>
  <c r="Q191" i="33"/>
  <c r="Q209" i="33" s="1"/>
  <c r="Q195" i="33"/>
  <c r="Q213" i="33" s="1"/>
  <c r="Q192" i="33"/>
  <c r="Q210" i="33" s="1"/>
  <c r="P296" i="18"/>
  <c r="P215" i="27" s="1"/>
  <c r="P523" i="57"/>
  <c r="P537" i="57" s="1"/>
  <c r="P519" i="57"/>
  <c r="P586" i="57" s="1"/>
  <c r="P227" i="19"/>
  <c r="P241" i="19" s="1"/>
  <c r="P223" i="19"/>
  <c r="P290" i="19" s="1"/>
  <c r="P206" i="33"/>
  <c r="P220" i="33" s="1"/>
  <c r="P202" i="33"/>
  <c r="P269" i="33" s="1"/>
  <c r="P729" i="69"/>
  <c r="P743" i="69" s="1"/>
  <c r="P725" i="69"/>
  <c r="P792" i="69" s="1"/>
  <c r="O198" i="27"/>
  <c r="P290" i="18"/>
  <c r="P209" i="27" s="1"/>
  <c r="P293" i="18"/>
  <c r="P212" i="27" s="1"/>
  <c r="P502" i="49"/>
  <c r="P516" i="49" s="1"/>
  <c r="P498" i="49"/>
  <c r="P565" i="49" s="1"/>
  <c r="P227" i="41"/>
  <c r="P241" i="41" s="1"/>
  <c r="P223" i="41"/>
  <c r="P290" i="41" s="1"/>
  <c r="Q962" i="61"/>
  <c r="Q980" i="61" s="1"/>
  <c r="Q967" i="61"/>
  <c r="Q985" i="61" s="1"/>
  <c r="Q964" i="61"/>
  <c r="Q982" i="61" s="1"/>
  <c r="Q960" i="61"/>
  <c r="Q961" i="61"/>
  <c r="Q979" i="61" s="1"/>
  <c r="Q973" i="61"/>
  <c r="Q991" i="61" s="1"/>
  <c r="Q965" i="61"/>
  <c r="Q983" i="61" s="1"/>
  <c r="Q971" i="61"/>
  <c r="Q989" i="61" s="1"/>
  <c r="Q968" i="61"/>
  <c r="Q986" i="61" s="1"/>
  <c r="Q966" i="61"/>
  <c r="Q984" i="61" s="1"/>
  <c r="Q969" i="61"/>
  <c r="Q987" i="61" s="1"/>
  <c r="Q963" i="61"/>
  <c r="Q981" i="61" s="1"/>
  <c r="Q972" i="61"/>
  <c r="Q990" i="61" s="1"/>
  <c r="Q970" i="61"/>
  <c r="Q988" i="61" s="1"/>
  <c r="Q233" i="45"/>
  <c r="Q251" i="45" s="1"/>
  <c r="Q231" i="45"/>
  <c r="Q249" i="45" s="1"/>
  <c r="Q243" i="45"/>
  <c r="Q261" i="45" s="1"/>
  <c r="Q242" i="45"/>
  <c r="Q260" i="45" s="1"/>
  <c r="Q240" i="45"/>
  <c r="Q258" i="45" s="1"/>
  <c r="Q241" i="45"/>
  <c r="Q259" i="45" s="1"/>
  <c r="Q239" i="45"/>
  <c r="Q257" i="45" s="1"/>
  <c r="Q238" i="45"/>
  <c r="Q256" i="45" s="1"/>
  <c r="Q230" i="45"/>
  <c r="Q236" i="45"/>
  <c r="Q254" i="45" s="1"/>
  <c r="Q237" i="45"/>
  <c r="Q255" i="45" s="1"/>
  <c r="Q235" i="45"/>
  <c r="Q253" i="45" s="1"/>
  <c r="Q234" i="45"/>
  <c r="Q252" i="45" s="1"/>
  <c r="Q232" i="45"/>
  <c r="Q250" i="45" s="1"/>
  <c r="Q220" i="19"/>
  <c r="Q238" i="19" s="1"/>
  <c r="Q216" i="19"/>
  <c r="Q234" i="19" s="1"/>
  <c r="Q213" i="19"/>
  <c r="Q231" i="19" s="1"/>
  <c r="Q210" i="19"/>
  <c r="Q228" i="19" s="1"/>
  <c r="Q217" i="19"/>
  <c r="Q235" i="19" s="1"/>
  <c r="Q214" i="19"/>
  <c r="Q232" i="19" s="1"/>
  <c r="Q221" i="19"/>
  <c r="Q239" i="19" s="1"/>
  <c r="Q211" i="19"/>
  <c r="Q229" i="19" s="1"/>
  <c r="Q212" i="19"/>
  <c r="Q230" i="19" s="1"/>
  <c r="Q215" i="19"/>
  <c r="Q233" i="19" s="1"/>
  <c r="Q218" i="19"/>
  <c r="Q236" i="19" s="1"/>
  <c r="Q222" i="19"/>
  <c r="Q240" i="19" s="1"/>
  <c r="Q219" i="19"/>
  <c r="Q237" i="19" s="1"/>
  <c r="Q209" i="19"/>
  <c r="Q459" i="61"/>
  <c r="Q477" i="61" s="1"/>
  <c r="Q460" i="61"/>
  <c r="Q478" i="61" s="1"/>
  <c r="Q458" i="61"/>
  <c r="Q476" i="61" s="1"/>
  <c r="Q457" i="61"/>
  <c r="Q475" i="61" s="1"/>
  <c r="Q462" i="61"/>
  <c r="Q480" i="61" s="1"/>
  <c r="Q456" i="61"/>
  <c r="Q474" i="61" s="1"/>
  <c r="Q461" i="61"/>
  <c r="Q479" i="61" s="1"/>
  <c r="Q463" i="61"/>
  <c r="Q481" i="61" s="1"/>
  <c r="Q455" i="61"/>
  <c r="Q473" i="61" s="1"/>
  <c r="Q454" i="61"/>
  <c r="Q472" i="61" s="1"/>
  <c r="Q451" i="61"/>
  <c r="Q469" i="61" s="1"/>
  <c r="Q452" i="61"/>
  <c r="Q470" i="61" s="1"/>
  <c r="Q450" i="61"/>
  <c r="Q453" i="61"/>
  <c r="Q471" i="61" s="1"/>
  <c r="Q316" i="75"/>
  <c r="Q334" i="75" s="1"/>
  <c r="Q322" i="75"/>
  <c r="Q340" i="75" s="1"/>
  <c r="Q325" i="75"/>
  <c r="Q343" i="75" s="1"/>
  <c r="Q315" i="75"/>
  <c r="Q333" i="75" s="1"/>
  <c r="Q319" i="75"/>
  <c r="Q337" i="75" s="1"/>
  <c r="Q318" i="75"/>
  <c r="Q336" i="75" s="1"/>
  <c r="Q323" i="75"/>
  <c r="Q341" i="75" s="1"/>
  <c r="Q327" i="75"/>
  <c r="Q345" i="75" s="1"/>
  <c r="Q326" i="75"/>
  <c r="Q344" i="75" s="1"/>
  <c r="Q314" i="75"/>
  <c r="Q317" i="75"/>
  <c r="Q335" i="75" s="1"/>
  <c r="Q321" i="75"/>
  <c r="Q339" i="75" s="1"/>
  <c r="Q320" i="75"/>
  <c r="Q338" i="75" s="1"/>
  <c r="Q324" i="75"/>
  <c r="Q342" i="75" s="1"/>
  <c r="Q236" i="57"/>
  <c r="Q254" i="57" s="1"/>
  <c r="Q226" i="57"/>
  <c r="Q244" i="57" s="1"/>
  <c r="Q230" i="57"/>
  <c r="Q248" i="57" s="1"/>
  <c r="Q227" i="57"/>
  <c r="Q245" i="57" s="1"/>
  <c r="Q234" i="57"/>
  <c r="Q252" i="57" s="1"/>
  <c r="Q224" i="57"/>
  <c r="Q242" i="57" s="1"/>
  <c r="Q231" i="57"/>
  <c r="Q249" i="57" s="1"/>
  <c r="Q235" i="57"/>
  <c r="Q253" i="57" s="1"/>
  <c r="Q225" i="57"/>
  <c r="Q243" i="57" s="1"/>
  <c r="Q228" i="57"/>
  <c r="Q246" i="57" s="1"/>
  <c r="Q232" i="57"/>
  <c r="Q250" i="57" s="1"/>
  <c r="Q223" i="57"/>
  <c r="Q229" i="57"/>
  <c r="Q247" i="57" s="1"/>
  <c r="Q233" i="57"/>
  <c r="Q251" i="57" s="1"/>
  <c r="O297" i="18"/>
  <c r="P255" i="53"/>
  <c r="P269" i="53" s="1"/>
  <c r="P251" i="53"/>
  <c r="P318" i="53" s="1"/>
  <c r="P558" i="53"/>
  <c r="P572" i="53" s="1"/>
  <c r="P554" i="53"/>
  <c r="P621" i="53" s="1"/>
  <c r="P287" i="18"/>
  <c r="P206" i="27" s="1"/>
  <c r="P292" i="18"/>
  <c r="P211" i="27" s="1"/>
  <c r="R91" i="69"/>
  <c r="R84" i="69"/>
  <c r="R96" i="69"/>
  <c r="S75" i="69"/>
  <c r="S74" i="69"/>
  <c r="S89" i="69"/>
  <c r="S88" i="69"/>
  <c r="S82" i="69"/>
  <c r="S81" i="69"/>
  <c r="Q98" i="69"/>
  <c r="Q88" i="27" s="1"/>
  <c r="Q246" i="69"/>
  <c r="Q257" i="69" s="1"/>
  <c r="Q245" i="69"/>
  <c r="Q247" i="69"/>
  <c r="Q258" i="69" s="1"/>
  <c r="Q251" i="69"/>
  <c r="Q262" i="69" s="1"/>
  <c r="Q250" i="69"/>
  <c r="Q261" i="69" s="1"/>
  <c r="Q248" i="69"/>
  <c r="Q259" i="69" s="1"/>
  <c r="Q249" i="69"/>
  <c r="Q260" i="69" s="1"/>
  <c r="R95" i="69"/>
  <c r="R77" i="69"/>
  <c r="S329" i="69"/>
  <c r="S330" i="69"/>
  <c r="R332" i="69"/>
  <c r="R350" i="69"/>
  <c r="S343" i="69"/>
  <c r="S344" i="69"/>
  <c r="S336" i="69"/>
  <c r="S337" i="69"/>
  <c r="Q353" i="69"/>
  <c r="Q89" i="27" s="1"/>
  <c r="Q504" i="69"/>
  <c r="Q515" i="69" s="1"/>
  <c r="Q506" i="69"/>
  <c r="Q517" i="69" s="1"/>
  <c r="Q505" i="69"/>
  <c r="Q516" i="69" s="1"/>
  <c r="Q503" i="69"/>
  <c r="Q514" i="69" s="1"/>
  <c r="Q501" i="69"/>
  <c r="Q512" i="69" s="1"/>
  <c r="Q500" i="69"/>
  <c r="Q502" i="69"/>
  <c r="Q513" i="69" s="1"/>
  <c r="R351" i="69"/>
  <c r="R346" i="69"/>
  <c r="R339" i="69"/>
  <c r="R665" i="19"/>
  <c r="R666" i="19"/>
  <c r="R96" i="77"/>
  <c r="R135" i="45"/>
  <c r="R667" i="19"/>
  <c r="Q246" i="77"/>
  <c r="Q257" i="77" s="1"/>
  <c r="Q251" i="77"/>
  <c r="Q262" i="77" s="1"/>
  <c r="Q250" i="77"/>
  <c r="Q261" i="77" s="1"/>
  <c r="Q248" i="77"/>
  <c r="Q259" i="77" s="1"/>
  <c r="Q249" i="77"/>
  <c r="Q260" i="77" s="1"/>
  <c r="Q245" i="77"/>
  <c r="Q247" i="77"/>
  <c r="Q258" i="77" s="1"/>
  <c r="Q284" i="57"/>
  <c r="Q295" i="57" s="1"/>
  <c r="Q285" i="57"/>
  <c r="Q296" i="57" s="1"/>
  <c r="Q282" i="57"/>
  <c r="Q293" i="57" s="1"/>
  <c r="Q281" i="57"/>
  <c r="Q292" i="57" s="1"/>
  <c r="Q283" i="57"/>
  <c r="Q294" i="57" s="1"/>
  <c r="Q280" i="57"/>
  <c r="Q286" i="57"/>
  <c r="Q297" i="57" s="1"/>
  <c r="R126" i="57"/>
  <c r="R129" i="57"/>
  <c r="Q520" i="37"/>
  <c r="Q521" i="37"/>
  <c r="Q532" i="37" s="1"/>
  <c r="Q522" i="37"/>
  <c r="Q533" i="37" s="1"/>
  <c r="Q524" i="37"/>
  <c r="Q535" i="37" s="1"/>
  <c r="Q526" i="37"/>
  <c r="Q537" i="37" s="1"/>
  <c r="Q525" i="37"/>
  <c r="Q536" i="37" s="1"/>
  <c r="Q523" i="37"/>
  <c r="Q534" i="37" s="1"/>
  <c r="R138" i="45"/>
  <c r="Q1020" i="61"/>
  <c r="Q1031" i="61" s="1"/>
  <c r="Q1017" i="61"/>
  <c r="Q1023" i="61"/>
  <c r="Q1034" i="61" s="1"/>
  <c r="Q1021" i="61"/>
  <c r="Q1032" i="61" s="1"/>
  <c r="Q1019" i="61"/>
  <c r="Q1030" i="61" s="1"/>
  <c r="Q1018" i="61"/>
  <c r="Q1029" i="61" s="1"/>
  <c r="Q1022" i="61"/>
  <c r="Q1033" i="61" s="1"/>
  <c r="Q543" i="45"/>
  <c r="Q554" i="45" s="1"/>
  <c r="Q542" i="45"/>
  <c r="Q553" i="45" s="1"/>
  <c r="Q544" i="45"/>
  <c r="Q555" i="45" s="1"/>
  <c r="Q546" i="45"/>
  <c r="Q557" i="45" s="1"/>
  <c r="Q547" i="45"/>
  <c r="Q558" i="45" s="1"/>
  <c r="Q541" i="45"/>
  <c r="Q545" i="45"/>
  <c r="Q556" i="45" s="1"/>
  <c r="R664" i="19"/>
  <c r="Q247" i="33"/>
  <c r="Q258" i="33" s="1"/>
  <c r="Q245" i="33"/>
  <c r="Q248" i="33"/>
  <c r="Q259" i="33" s="1"/>
  <c r="Q251" i="33"/>
  <c r="Q262" i="33" s="1"/>
  <c r="Q249" i="33"/>
  <c r="Q260" i="33" s="1"/>
  <c r="Q246" i="33"/>
  <c r="Q257" i="33" s="1"/>
  <c r="Q250" i="33"/>
  <c r="Q261" i="33" s="1"/>
  <c r="Q767" i="61"/>
  <c r="Q778" i="61" s="1"/>
  <c r="Q765" i="61"/>
  <c r="Q776" i="61" s="1"/>
  <c r="Q768" i="61"/>
  <c r="Q779" i="61" s="1"/>
  <c r="Q762" i="61"/>
  <c r="Q764" i="61"/>
  <c r="Q775" i="61" s="1"/>
  <c r="Q766" i="61"/>
  <c r="Q777" i="61" s="1"/>
  <c r="Q763" i="61"/>
  <c r="Q774" i="61" s="1"/>
  <c r="Q292" i="45"/>
  <c r="Q303" i="45" s="1"/>
  <c r="Q290" i="45"/>
  <c r="Q301" i="45" s="1"/>
  <c r="Q287" i="45"/>
  <c r="Q293" i="45"/>
  <c r="Q304" i="45" s="1"/>
  <c r="Q289" i="45"/>
  <c r="Q300" i="45" s="1"/>
  <c r="Q291" i="45"/>
  <c r="Q302" i="45" s="1"/>
  <c r="Q288" i="45"/>
  <c r="Q299" i="45" s="1"/>
  <c r="Q542" i="19"/>
  <c r="Q553" i="19" s="1"/>
  <c r="Q545" i="19"/>
  <c r="Q556" i="19" s="1"/>
  <c r="Q546" i="19"/>
  <c r="Q557" i="19" s="1"/>
  <c r="Q543" i="19"/>
  <c r="Q554" i="19" s="1"/>
  <c r="Q547" i="19"/>
  <c r="Q558" i="19" s="1"/>
  <c r="Q541" i="19"/>
  <c r="Q544" i="19"/>
  <c r="Q555" i="19" s="1"/>
  <c r="Q773" i="69"/>
  <c r="Q784" i="69" s="1"/>
  <c r="Q774" i="69"/>
  <c r="Q785" i="69" s="1"/>
  <c r="Q772" i="69"/>
  <c r="Q783" i="69" s="1"/>
  <c r="Q768" i="69"/>
  <c r="Q770" i="69"/>
  <c r="Q781" i="69" s="1"/>
  <c r="Q771" i="69"/>
  <c r="Q782" i="69" s="1"/>
  <c r="Q769" i="69"/>
  <c r="Q780" i="69" s="1"/>
  <c r="R411" i="57"/>
  <c r="Q819" i="19"/>
  <c r="Q830" i="19" s="1"/>
  <c r="Q822" i="19"/>
  <c r="Q833" i="19" s="1"/>
  <c r="Q821" i="19"/>
  <c r="Q832" i="19" s="1"/>
  <c r="Q816" i="19"/>
  <c r="Q818" i="19"/>
  <c r="Q829" i="19" s="1"/>
  <c r="Q817" i="19"/>
  <c r="Q828" i="19" s="1"/>
  <c r="Q820" i="19"/>
  <c r="Q831" i="19" s="1"/>
  <c r="Q255" i="61"/>
  <c r="Q266" i="61" s="1"/>
  <c r="Q250" i="61"/>
  <c r="Q256" i="61"/>
  <c r="Q267" i="61" s="1"/>
  <c r="Q252" i="61"/>
  <c r="Q263" i="61" s="1"/>
  <c r="Q253" i="61"/>
  <c r="Q264" i="61" s="1"/>
  <c r="Q254" i="61"/>
  <c r="Q265" i="61" s="1"/>
  <c r="Q251" i="61"/>
  <c r="Q262" i="61" s="1"/>
  <c r="Q270" i="37"/>
  <c r="Q281" i="37" s="1"/>
  <c r="Q269" i="37"/>
  <c r="Q280" i="37" s="1"/>
  <c r="Q266" i="37"/>
  <c r="Q271" i="37"/>
  <c r="Q282" i="37" s="1"/>
  <c r="Q272" i="37"/>
  <c r="Q283" i="37" s="1"/>
  <c r="Q268" i="37"/>
  <c r="Q279" i="37" s="1"/>
  <c r="Q267" i="37"/>
  <c r="Q278" i="37" s="1"/>
  <c r="Q269" i="19"/>
  <c r="Q280" i="19" s="1"/>
  <c r="Q271" i="19"/>
  <c r="Q282" i="19" s="1"/>
  <c r="Q268" i="19"/>
  <c r="Q279" i="19" s="1"/>
  <c r="Q272" i="19"/>
  <c r="Q283" i="19" s="1"/>
  <c r="Q266" i="19"/>
  <c r="Q270" i="19"/>
  <c r="Q281" i="19" s="1"/>
  <c r="Q267" i="19"/>
  <c r="Q278" i="19" s="1"/>
  <c r="Q562" i="57"/>
  <c r="Q564" i="57"/>
  <c r="Q575" i="57" s="1"/>
  <c r="Q568" i="57"/>
  <c r="Q579" i="57" s="1"/>
  <c r="Q566" i="57"/>
  <c r="Q577" i="57" s="1"/>
  <c r="Q563" i="57"/>
  <c r="Q574" i="57" s="1"/>
  <c r="Q565" i="57"/>
  <c r="Q576" i="57" s="1"/>
  <c r="Q567" i="57"/>
  <c r="Q578" i="57" s="1"/>
  <c r="Q509" i="61"/>
  <c r="Q520" i="61" s="1"/>
  <c r="Q508" i="61"/>
  <c r="Q519" i="61" s="1"/>
  <c r="Q513" i="61"/>
  <c r="Q524" i="61" s="1"/>
  <c r="Q511" i="61"/>
  <c r="Q522" i="61" s="1"/>
  <c r="Q512" i="61"/>
  <c r="Q523" i="61" s="1"/>
  <c r="Q507" i="61"/>
  <c r="Q510" i="61"/>
  <c r="Q521" i="61" s="1"/>
  <c r="Q372" i="75"/>
  <c r="Q383" i="75" s="1"/>
  <c r="Q371" i="75"/>
  <c r="Q373" i="75"/>
  <c r="Q384" i="75" s="1"/>
  <c r="Q377" i="75"/>
  <c r="Q388" i="75" s="1"/>
  <c r="Q375" i="75"/>
  <c r="Q386" i="75" s="1"/>
  <c r="Q376" i="75"/>
  <c r="Q387" i="75" s="1"/>
  <c r="Q374" i="75"/>
  <c r="Q385" i="75" s="1"/>
  <c r="R136" i="45"/>
  <c r="R410" i="57"/>
  <c r="R392" i="45"/>
  <c r="R413" i="57"/>
  <c r="R131" i="57"/>
  <c r="R409" i="57"/>
  <c r="R863" i="61"/>
  <c r="N570" i="45"/>
  <c r="N273" i="77"/>
  <c r="N625" i="53"/>
  <c r="N400" i="75"/>
  <c r="N536" i="61"/>
  <c r="N315" i="45"/>
  <c r="N584" i="41"/>
  <c r="N570" i="19"/>
  <c r="N294" i="41"/>
  <c r="N845" i="19"/>
  <c r="N1046" i="61"/>
  <c r="N797" i="69"/>
  <c r="N570" i="49"/>
  <c r="N274" i="69"/>
  <c r="N273" i="33"/>
  <c r="N590" i="57"/>
  <c r="N791" i="61"/>
  <c r="N528" i="69"/>
  <c r="N278" i="61"/>
  <c r="N548" i="37"/>
  <c r="N295" i="19"/>
  <c r="N344" i="29"/>
  <c r="N294" i="37"/>
  <c r="N295" i="49"/>
  <c r="N323" i="53"/>
  <c r="N309" i="57"/>
  <c r="R387" i="45"/>
  <c r="R346" i="61"/>
  <c r="R359" i="37"/>
  <c r="R393" i="57"/>
  <c r="R132" i="45"/>
  <c r="R389" i="19"/>
  <c r="R412" i="57"/>
  <c r="R127" i="57"/>
  <c r="R608" i="61"/>
  <c r="R209" i="75"/>
  <c r="R205" i="75"/>
  <c r="R84" i="77"/>
  <c r="R121" i="57"/>
  <c r="R380" i="45"/>
  <c r="R133" i="45"/>
  <c r="R856" i="61"/>
  <c r="R384" i="19"/>
  <c r="R619" i="69"/>
  <c r="R601" i="61"/>
  <c r="R612" i="69"/>
  <c r="R137" i="45"/>
  <c r="R613" i="61"/>
  <c r="S853" i="61"/>
  <c r="S854" i="61"/>
  <c r="P298" i="45"/>
  <c r="P305" i="45" s="1"/>
  <c r="P294" i="45"/>
  <c r="P312" i="45" s="1"/>
  <c r="S382" i="19"/>
  <c r="S379" i="19"/>
  <c r="S380" i="19"/>
  <c r="S381" i="19"/>
  <c r="S378" i="19"/>
  <c r="R391" i="45"/>
  <c r="R373" i="45"/>
  <c r="O255" i="79"/>
  <c r="O255" i="78"/>
  <c r="P566" i="41"/>
  <c r="P573" i="41" s="1"/>
  <c r="P562" i="41"/>
  <c r="P580" i="41" s="1"/>
  <c r="Q119" i="19"/>
  <c r="Q67" i="27" s="1"/>
  <c r="R211" i="75"/>
  <c r="P333" i="29"/>
  <c r="R128" i="57"/>
  <c r="S599" i="61"/>
  <c r="S598" i="61"/>
  <c r="S377" i="45"/>
  <c r="S378" i="45"/>
  <c r="R99" i="37"/>
  <c r="O256" i="78"/>
  <c r="O256" i="79"/>
  <c r="S608" i="69"/>
  <c r="S609" i="69"/>
  <c r="S607" i="69"/>
  <c r="S610" i="69"/>
  <c r="R366" i="37"/>
  <c r="R91" i="33"/>
  <c r="S375" i="57"/>
  <c r="S376" i="57"/>
  <c r="S379" i="57"/>
  <c r="S378" i="57"/>
  <c r="S377" i="57"/>
  <c r="S380" i="57"/>
  <c r="S337" i="61"/>
  <c r="S336" i="61"/>
  <c r="R364" i="19"/>
  <c r="R388" i="19"/>
  <c r="R96" i="33"/>
  <c r="R115" i="19"/>
  <c r="O244" i="79"/>
  <c r="O244" i="78"/>
  <c r="P273" i="19"/>
  <c r="P291" i="19" s="1"/>
  <c r="P277" i="19"/>
  <c r="P284" i="19" s="1"/>
  <c r="R617" i="69"/>
  <c r="P261" i="61"/>
  <c r="P268" i="61" s="1"/>
  <c r="P257" i="61"/>
  <c r="P275" i="61" s="1"/>
  <c r="R91" i="77"/>
  <c r="P291" i="57"/>
  <c r="P298" i="57" s="1"/>
  <c r="P287" i="57"/>
  <c r="P305" i="57" s="1"/>
  <c r="N351" i="18"/>
  <c r="N350" i="18"/>
  <c r="Q98" i="33"/>
  <c r="Q70" i="27" s="1"/>
  <c r="R210" i="75"/>
  <c r="R212" i="75"/>
  <c r="R221" i="75"/>
  <c r="O254" i="78"/>
  <c r="O254" i="79"/>
  <c r="P322" i="29"/>
  <c r="P340" i="29" s="1"/>
  <c r="S88" i="33"/>
  <c r="S89" i="33"/>
  <c r="R95" i="33"/>
  <c r="R77" i="33"/>
  <c r="O242" i="79"/>
  <c r="O242" i="78"/>
  <c r="R130" i="57"/>
  <c r="S86" i="61"/>
  <c r="S87" i="61"/>
  <c r="S388" i="57"/>
  <c r="S390" i="57"/>
  <c r="S389" i="57"/>
  <c r="S386" i="57"/>
  <c r="S391" i="57"/>
  <c r="S387" i="57"/>
  <c r="Q360" i="61"/>
  <c r="Q85" i="27" s="1"/>
  <c r="R109" i="37"/>
  <c r="Q373" i="37"/>
  <c r="Q73" i="27" s="1"/>
  <c r="P573" i="57"/>
  <c r="P580" i="57" s="1"/>
  <c r="P569" i="57"/>
  <c r="P587" i="57" s="1"/>
  <c r="Q870" i="61"/>
  <c r="Q87" i="27" s="1"/>
  <c r="R390" i="19"/>
  <c r="R109" i="19"/>
  <c r="R109" i="57"/>
  <c r="R82" i="61"/>
  <c r="R100" i="61"/>
  <c r="R649" i="19"/>
  <c r="R114" i="45"/>
  <c r="R404" i="57"/>
  <c r="P552" i="19"/>
  <c r="P559" i="19" s="1"/>
  <c r="P548" i="19"/>
  <c r="P566" i="19" s="1"/>
  <c r="R219" i="75"/>
  <c r="R214" i="75"/>
  <c r="R208" i="75"/>
  <c r="P329" i="18"/>
  <c r="P347" i="18" s="1"/>
  <c r="P333" i="18"/>
  <c r="P338" i="18"/>
  <c r="P257" i="27" s="1"/>
  <c r="O243" i="79"/>
  <c r="O243" i="78"/>
  <c r="S138" i="75"/>
  <c r="S144" i="75"/>
  <c r="S135" i="75"/>
  <c r="S146" i="75"/>
  <c r="S145" i="75"/>
  <c r="S136" i="75"/>
  <c r="S134" i="75"/>
  <c r="S147" i="75"/>
  <c r="S137" i="75"/>
  <c r="S142" i="75"/>
  <c r="S128" i="75"/>
  <c r="S139" i="75"/>
  <c r="S129" i="75"/>
  <c r="S140" i="75"/>
  <c r="S131" i="75"/>
  <c r="S130" i="75"/>
  <c r="S143" i="75"/>
  <c r="S133" i="75"/>
  <c r="S141" i="75"/>
  <c r="S132" i="75"/>
  <c r="R408" i="57"/>
  <c r="R382" i="57"/>
  <c r="P339" i="18"/>
  <c r="P258" i="27" s="1"/>
  <c r="Q669" i="19"/>
  <c r="Q71" i="27" s="1"/>
  <c r="S81" i="33"/>
  <c r="S82" i="33"/>
  <c r="S81" i="77"/>
  <c r="S82" i="77"/>
  <c r="S645" i="19"/>
  <c r="S647" i="19"/>
  <c r="S644" i="19"/>
  <c r="S646" i="19"/>
  <c r="S643" i="19"/>
  <c r="T319" i="57"/>
  <c r="T801" i="61"/>
  <c r="T284" i="69"/>
  <c r="T326" i="45"/>
  <c r="T546" i="61"/>
  <c r="T305" i="41"/>
  <c r="T305" i="49"/>
  <c r="T333" i="53"/>
  <c r="T305" i="19"/>
  <c r="T539" i="69"/>
  <c r="T289" i="61"/>
  <c r="T580" i="19"/>
  <c r="T305" i="37"/>
  <c r="T30" i="45"/>
  <c r="T30" i="53"/>
  <c r="T30" i="33"/>
  <c r="T30" i="77"/>
  <c r="T30" i="61"/>
  <c r="T30" i="41"/>
  <c r="T30" i="49"/>
  <c r="T30" i="75"/>
  <c r="T30" i="57"/>
  <c r="T30" i="37"/>
  <c r="T30" i="69"/>
  <c r="T30" i="29"/>
  <c r="T30" i="19"/>
  <c r="T30" i="18"/>
  <c r="N264" i="27"/>
  <c r="N265" i="27"/>
  <c r="N266" i="27"/>
  <c r="P552" i="45"/>
  <c r="P559" i="45" s="1"/>
  <c r="P548" i="45"/>
  <c r="P566" i="45" s="1"/>
  <c r="S103" i="19"/>
  <c r="S105" i="19"/>
  <c r="S107" i="19"/>
  <c r="S106" i="19"/>
  <c r="S104" i="19"/>
  <c r="S122" i="45"/>
  <c r="S123" i="45"/>
  <c r="S119" i="45"/>
  <c r="S125" i="45"/>
  <c r="S118" i="45"/>
  <c r="S120" i="45"/>
  <c r="S121" i="45"/>
  <c r="S124" i="45"/>
  <c r="S605" i="61"/>
  <c r="S606" i="61"/>
  <c r="S656" i="19"/>
  <c r="S655" i="19"/>
  <c r="S657" i="19"/>
  <c r="S654" i="19"/>
  <c r="S653" i="19"/>
  <c r="S86" i="19"/>
  <c r="S84" i="19"/>
  <c r="S87" i="19"/>
  <c r="S85" i="19"/>
  <c r="S83" i="19"/>
  <c r="S80" i="61"/>
  <c r="S79" i="61"/>
  <c r="S846" i="61"/>
  <c r="S847" i="61"/>
  <c r="S591" i="61"/>
  <c r="S592" i="61"/>
  <c r="R115" i="37"/>
  <c r="P827" i="19"/>
  <c r="P834" i="19" s="1"/>
  <c r="P823" i="19"/>
  <c r="P841" i="19" s="1"/>
  <c r="P256" i="77"/>
  <c r="P263" i="77" s="1"/>
  <c r="P252" i="77"/>
  <c r="P270" i="77" s="1"/>
  <c r="O340" i="18"/>
  <c r="O258" i="78"/>
  <c r="O258" i="79"/>
  <c r="R374" i="19"/>
  <c r="R84" i="33"/>
  <c r="R392" i="19"/>
  <c r="R95" i="77"/>
  <c r="R77" i="77"/>
  <c r="Q119" i="37"/>
  <c r="Q72" i="27" s="1"/>
  <c r="P779" i="69"/>
  <c r="P786" i="69" s="1"/>
  <c r="P775" i="69"/>
  <c r="P793" i="69" s="1"/>
  <c r="Q415" i="57"/>
  <c r="Q83" i="27" s="1"/>
  <c r="R101" i="61"/>
  <c r="P608" i="53"/>
  <c r="P615" i="53" s="1"/>
  <c r="P604" i="53"/>
  <c r="P622" i="53" s="1"/>
  <c r="P552" i="49"/>
  <c r="P559" i="49" s="1"/>
  <c r="P548" i="49"/>
  <c r="P566" i="49" s="1"/>
  <c r="O246" i="79"/>
  <c r="O246" i="78"/>
  <c r="R371" i="37"/>
  <c r="R207" i="75"/>
  <c r="R203" i="75"/>
  <c r="R149" i="75"/>
  <c r="R353" i="61"/>
  <c r="Q394" i="45"/>
  <c r="Q77" i="27" s="1"/>
  <c r="S94" i="61"/>
  <c r="S93" i="61"/>
  <c r="R663" i="19"/>
  <c r="R639" i="19"/>
  <c r="S108" i="45"/>
  <c r="S112" i="45"/>
  <c r="S110" i="45"/>
  <c r="S107" i="45"/>
  <c r="S111" i="45"/>
  <c r="S106" i="45"/>
  <c r="S109" i="45"/>
  <c r="S105" i="45"/>
  <c r="S357" i="37"/>
  <c r="S356" i="37"/>
  <c r="S106" i="37"/>
  <c r="S105" i="37"/>
  <c r="S103" i="37"/>
  <c r="S104" i="37"/>
  <c r="S107" i="37"/>
  <c r="S385" i="45"/>
  <c r="S384" i="45"/>
  <c r="S363" i="37"/>
  <c r="S364" i="37"/>
  <c r="S75" i="77"/>
  <c r="S74" i="77"/>
  <c r="S361" i="19"/>
  <c r="S360" i="19"/>
  <c r="S362" i="19"/>
  <c r="S359" i="19"/>
  <c r="S358" i="19"/>
  <c r="S371" i="45"/>
  <c r="S370" i="45"/>
  <c r="R89" i="37"/>
  <c r="R113" i="37"/>
  <c r="P277" i="37"/>
  <c r="P284" i="37" s="1"/>
  <c r="P273" i="37"/>
  <c r="P291" i="37" s="1"/>
  <c r="P1028" i="61"/>
  <c r="P1035" i="61" s="1"/>
  <c r="P1024" i="61"/>
  <c r="P1042" i="61" s="1"/>
  <c r="Q615" i="61"/>
  <c r="Q86" i="27" s="1"/>
  <c r="O247" i="79"/>
  <c r="O247" i="78"/>
  <c r="R127" i="45"/>
  <c r="R199" i="75"/>
  <c r="R391" i="19"/>
  <c r="R174" i="75"/>
  <c r="P277" i="49"/>
  <c r="P284" i="49" s="1"/>
  <c r="P273" i="49"/>
  <c r="P291" i="49" s="1"/>
  <c r="R594" i="61"/>
  <c r="R612" i="61"/>
  <c r="O257" i="78"/>
  <c r="O257" i="79"/>
  <c r="R358" i="61"/>
  <c r="Q133" i="57"/>
  <c r="Q82" i="27" s="1"/>
  <c r="P277" i="41"/>
  <c r="P284" i="41" s="1"/>
  <c r="P273" i="41"/>
  <c r="P291" i="41" s="1"/>
  <c r="R370" i="37"/>
  <c r="R352" i="37"/>
  <c r="R217" i="75"/>
  <c r="R204" i="75"/>
  <c r="P334" i="18"/>
  <c r="P253" i="27" s="1"/>
  <c r="P312" i="53"/>
  <c r="P511" i="69"/>
  <c r="P518" i="69" s="1"/>
  <c r="P507" i="69"/>
  <c r="P525" i="69" s="1"/>
  <c r="S369" i="19"/>
  <c r="S371" i="19"/>
  <c r="S370" i="19"/>
  <c r="S372" i="19"/>
  <c r="S368" i="19"/>
  <c r="S117" i="57"/>
  <c r="S115" i="57"/>
  <c r="S114" i="57"/>
  <c r="S113" i="57"/>
  <c r="S118" i="57"/>
  <c r="S119" i="57"/>
  <c r="S116" i="57"/>
  <c r="S350" i="61"/>
  <c r="S351" i="61"/>
  <c r="S75" i="33"/>
  <c r="S74" i="33"/>
  <c r="R117" i="37"/>
  <c r="O241" i="79"/>
  <c r="O248" i="27"/>
  <c r="O241" i="78"/>
  <c r="R659" i="19"/>
  <c r="Q103" i="61"/>
  <c r="Q84" i="27" s="1"/>
  <c r="R116" i="19"/>
  <c r="Q140" i="45"/>
  <c r="Q76" i="27" s="1"/>
  <c r="R603" i="69"/>
  <c r="R357" i="61"/>
  <c r="R339" i="61"/>
  <c r="N248" i="78"/>
  <c r="N266" i="78" s="1"/>
  <c r="P256" i="69"/>
  <c r="P263" i="69" s="1"/>
  <c r="P252" i="69"/>
  <c r="P270" i="69" s="1"/>
  <c r="R868" i="61"/>
  <c r="R206" i="75"/>
  <c r="R213" i="75"/>
  <c r="P337" i="18"/>
  <c r="P256" i="27" s="1"/>
  <c r="P301" i="53"/>
  <c r="P319" i="53" s="1"/>
  <c r="S350" i="37"/>
  <c r="S349" i="37"/>
  <c r="P382" i="75"/>
  <c r="P389" i="75" s="1"/>
  <c r="P378" i="75"/>
  <c r="P396" i="75" s="1"/>
  <c r="R113" i="19"/>
  <c r="R89" i="19"/>
  <c r="Q98" i="77"/>
  <c r="Q92" i="27" s="1"/>
  <c r="S104" i="57"/>
  <c r="S105" i="57"/>
  <c r="S102" i="57"/>
  <c r="S106" i="57"/>
  <c r="S101" i="57"/>
  <c r="S107" i="57"/>
  <c r="S103" i="57"/>
  <c r="S600" i="69"/>
  <c r="S599" i="69"/>
  <c r="S598" i="69"/>
  <c r="S601" i="69"/>
  <c r="S179" i="75"/>
  <c r="S183" i="75"/>
  <c r="S192" i="75"/>
  <c r="S191" i="75"/>
  <c r="S190" i="75"/>
  <c r="S194" i="75"/>
  <c r="S181" i="75"/>
  <c r="S193" i="75"/>
  <c r="S182" i="75"/>
  <c r="S187" i="75"/>
  <c r="S178" i="75"/>
  <c r="S195" i="75"/>
  <c r="S184" i="75"/>
  <c r="S196" i="75"/>
  <c r="S197" i="75"/>
  <c r="S188" i="75"/>
  <c r="S186" i="75"/>
  <c r="S189" i="75"/>
  <c r="S180" i="75"/>
  <c r="S185" i="75"/>
  <c r="S860" i="61"/>
  <c r="S861" i="61"/>
  <c r="R114" i="37"/>
  <c r="R134" i="45"/>
  <c r="Q224" i="75"/>
  <c r="Q91" i="27" s="1"/>
  <c r="R117" i="19"/>
  <c r="P531" i="37"/>
  <c r="P538" i="37" s="1"/>
  <c r="P527" i="37"/>
  <c r="P545" i="37" s="1"/>
  <c r="R618" i="69"/>
  <c r="P256" i="33"/>
  <c r="P263" i="33" s="1"/>
  <c r="P252" i="33"/>
  <c r="P270" i="33" s="1"/>
  <c r="N248" i="79"/>
  <c r="N266" i="79" s="1"/>
  <c r="R867" i="61"/>
  <c r="R849" i="61"/>
  <c r="R220" i="75"/>
  <c r="R222" i="75"/>
  <c r="P336" i="18"/>
  <c r="P255" i="27" s="1"/>
  <c r="O245" i="79"/>
  <c r="O245" i="78"/>
  <c r="S90" i="57"/>
  <c r="S92" i="57"/>
  <c r="S95" i="57"/>
  <c r="S91" i="57"/>
  <c r="S94" i="57"/>
  <c r="S89" i="57"/>
  <c r="S93" i="57"/>
  <c r="Q621" i="69"/>
  <c r="Q90" i="27" s="1"/>
  <c r="S94" i="37"/>
  <c r="S93" i="37"/>
  <c r="S96" i="37"/>
  <c r="S97" i="37"/>
  <c r="S95" i="37"/>
  <c r="S343" i="61"/>
  <c r="S344" i="61"/>
  <c r="S589" i="69"/>
  <c r="S590" i="69"/>
  <c r="S592" i="69"/>
  <c r="S591" i="69"/>
  <c r="R97" i="57"/>
  <c r="R125" i="57"/>
  <c r="S96" i="19"/>
  <c r="S94" i="19"/>
  <c r="S97" i="19"/>
  <c r="S95" i="19"/>
  <c r="S93" i="19"/>
  <c r="S166" i="75"/>
  <c r="S171" i="75"/>
  <c r="S168" i="75"/>
  <c r="S154" i="75"/>
  <c r="S161" i="75"/>
  <c r="S156" i="75"/>
  <c r="S155" i="75"/>
  <c r="S164" i="75"/>
  <c r="S159" i="75"/>
  <c r="S157" i="75"/>
  <c r="S162" i="75"/>
  <c r="S169" i="75"/>
  <c r="S158" i="75"/>
  <c r="S165" i="75"/>
  <c r="S153" i="75"/>
  <c r="S167" i="75"/>
  <c r="S170" i="75"/>
  <c r="S163" i="75"/>
  <c r="S172" i="75"/>
  <c r="S160" i="75"/>
  <c r="R89" i="61"/>
  <c r="P773" i="61"/>
  <c r="P780" i="61" s="1"/>
  <c r="P769" i="61"/>
  <c r="P787" i="61" s="1"/>
  <c r="S88" i="77"/>
  <c r="S89" i="77"/>
  <c r="S400" i="57"/>
  <c r="S401" i="57"/>
  <c r="S398" i="57"/>
  <c r="S397" i="57"/>
  <c r="S399" i="57"/>
  <c r="S402" i="57"/>
  <c r="T327" i="45"/>
  <c r="T547" i="61"/>
  <c r="T306" i="41"/>
  <c r="T290" i="61"/>
  <c r="T306" i="37"/>
  <c r="T581" i="19"/>
  <c r="T306" i="49"/>
  <c r="T334" i="53"/>
  <c r="T306" i="19"/>
  <c r="T320" i="57"/>
  <c r="T540" i="69"/>
  <c r="T285" i="69"/>
  <c r="T802" i="61"/>
  <c r="T31" i="77"/>
  <c r="T31" i="49"/>
  <c r="T31" i="75"/>
  <c r="T31" i="57"/>
  <c r="T31" i="37"/>
  <c r="T31" i="45"/>
  <c r="T31" i="69"/>
  <c r="T31" i="53"/>
  <c r="T31" i="33"/>
  <c r="T31" i="61"/>
  <c r="T31" i="29"/>
  <c r="T31" i="41"/>
  <c r="T31" i="18"/>
  <c r="T31" i="19"/>
  <c r="S87" i="37"/>
  <c r="S85" i="37"/>
  <c r="S83" i="37"/>
  <c r="S84" i="37"/>
  <c r="S86" i="37"/>
  <c r="S93" i="45"/>
  <c r="S96" i="45"/>
  <c r="S94" i="45"/>
  <c r="S95" i="45"/>
  <c r="S99" i="45"/>
  <c r="S92" i="45"/>
  <c r="S98" i="45"/>
  <c r="S97" i="45"/>
  <c r="S636" i="19"/>
  <c r="S635" i="19"/>
  <c r="S637" i="19"/>
  <c r="S634" i="19"/>
  <c r="S633" i="19"/>
  <c r="T800" i="61"/>
  <c r="T283" i="69"/>
  <c r="T538" i="69"/>
  <c r="T325" i="45"/>
  <c r="T545" i="61"/>
  <c r="T304" i="41"/>
  <c r="T288" i="61"/>
  <c r="T304" i="37"/>
  <c r="T579" i="19"/>
  <c r="T318" i="57"/>
  <c r="T304" i="19"/>
  <c r="T332" i="53"/>
  <c r="T304" i="49"/>
  <c r="T29" i="49"/>
  <c r="T29" i="57"/>
  <c r="T29" i="37"/>
  <c r="T29" i="45"/>
  <c r="T29" i="69"/>
  <c r="T29" i="53"/>
  <c r="T29" i="77"/>
  <c r="T29" i="61"/>
  <c r="T29" i="41"/>
  <c r="T29" i="75"/>
  <c r="T29" i="33"/>
  <c r="T29" i="29"/>
  <c r="T29" i="19"/>
  <c r="T29" i="18"/>
  <c r="R116" i="37"/>
  <c r="Q394" i="19"/>
  <c r="Q69" i="27" s="1"/>
  <c r="R131" i="45"/>
  <c r="R101" i="45"/>
  <c r="R99" i="19"/>
  <c r="R114" i="19"/>
  <c r="R616" i="69"/>
  <c r="R594" i="69"/>
  <c r="O253" i="79"/>
  <c r="O253" i="78"/>
  <c r="N252" i="79"/>
  <c r="N259" i="79" s="1"/>
  <c r="N259" i="27"/>
  <c r="N252" i="78"/>
  <c r="N259" i="78" s="1"/>
  <c r="R96" i="61"/>
  <c r="R218" i="75"/>
  <c r="R215" i="75"/>
  <c r="R216" i="75"/>
  <c r="P335" i="18"/>
  <c r="P254" i="27" s="1"/>
  <c r="P518" i="61"/>
  <c r="P525" i="61" s="1"/>
  <c r="P514" i="61"/>
  <c r="P532" i="61" s="1"/>
  <c r="L150" i="18" l="1"/>
  <c r="L132" i="18"/>
  <c r="L114" i="18"/>
  <c r="L115" i="18"/>
  <c r="L133" i="18"/>
  <c r="L151" i="18"/>
  <c r="L94" i="18"/>
  <c r="L34" i="27" s="1"/>
  <c r="L113" i="18"/>
  <c r="L149" i="18"/>
  <c r="L131" i="18"/>
  <c r="K167" i="18"/>
  <c r="K121" i="18"/>
  <c r="K168" i="18"/>
  <c r="K62" i="27"/>
  <c r="K34" i="79"/>
  <c r="K62" i="79" s="1"/>
  <c r="K34" i="78"/>
  <c r="K62" i="78" s="1"/>
  <c r="K169" i="18"/>
  <c r="K157" i="18"/>
  <c r="K139" i="18"/>
  <c r="J191" i="18"/>
  <c r="J187" i="18"/>
  <c r="J197" i="18"/>
  <c r="J189" i="18"/>
  <c r="J266" i="18"/>
  <c r="J267" i="18"/>
  <c r="J328" i="18"/>
  <c r="J265" i="18"/>
  <c r="J269" i="18"/>
  <c r="J186" i="18"/>
  <c r="J194" i="18"/>
  <c r="J185" i="18"/>
  <c r="J192" i="18"/>
  <c r="J271" i="18"/>
  <c r="J324" i="18"/>
  <c r="J322" i="18"/>
  <c r="J270" i="18"/>
  <c r="J278" i="18"/>
  <c r="J184" i="18"/>
  <c r="J183" i="18"/>
  <c r="J273" i="18"/>
  <c r="J323" i="18"/>
  <c r="J182" i="18"/>
  <c r="J193" i="18"/>
  <c r="J190" i="18"/>
  <c r="J195" i="18"/>
  <c r="J175" i="18"/>
  <c r="J66" i="27" s="1"/>
  <c r="J268" i="18"/>
  <c r="J325" i="18"/>
  <c r="J276" i="18"/>
  <c r="J275" i="18"/>
  <c r="J277" i="18"/>
  <c r="J188" i="18"/>
  <c r="J327" i="18"/>
  <c r="J274" i="18"/>
  <c r="J196" i="18"/>
  <c r="J326" i="18"/>
  <c r="J272" i="18"/>
  <c r="O152" i="79"/>
  <c r="O149" i="79"/>
  <c r="P113" i="79"/>
  <c r="O211" i="79"/>
  <c r="O143" i="79"/>
  <c r="O146" i="79"/>
  <c r="P109" i="79"/>
  <c r="O145" i="79"/>
  <c r="O150" i="79"/>
  <c r="N198" i="79"/>
  <c r="N265" i="79" s="1"/>
  <c r="O144" i="79"/>
  <c r="O142" i="79"/>
  <c r="O147" i="79"/>
  <c r="O129" i="79"/>
  <c r="O153" i="79"/>
  <c r="O156" i="79"/>
  <c r="O155" i="79"/>
  <c r="O154" i="79"/>
  <c r="P416" i="37"/>
  <c r="P196" i="57"/>
  <c r="P309" i="57" s="1"/>
  <c r="P130" i="27"/>
  <c r="P130" i="78" s="1"/>
  <c r="P130" i="79" s="1"/>
  <c r="P147" i="27"/>
  <c r="P147" i="78" s="1"/>
  <c r="R376" i="61"/>
  <c r="R379" i="61"/>
  <c r="R375" i="61"/>
  <c r="R377" i="61"/>
  <c r="R380" i="61"/>
  <c r="R374" i="61"/>
  <c r="R382" i="61"/>
  <c r="R378" i="61"/>
  <c r="R368" i="61"/>
  <c r="R371" i="61"/>
  <c r="R381" i="61"/>
  <c r="R370" i="61"/>
  <c r="R367" i="61"/>
  <c r="R369" i="61"/>
  <c r="R372" i="61"/>
  <c r="R373" i="61"/>
  <c r="R626" i="61"/>
  <c r="R629" i="61"/>
  <c r="R622" i="61"/>
  <c r="R633" i="61"/>
  <c r="R636" i="61"/>
  <c r="R634" i="61"/>
  <c r="R637" i="61"/>
  <c r="R627" i="61"/>
  <c r="R630" i="61"/>
  <c r="R624" i="61"/>
  <c r="R623" i="61"/>
  <c r="R635" i="61"/>
  <c r="R632" i="61"/>
  <c r="R625" i="61"/>
  <c r="R628" i="61"/>
  <c r="R631" i="61"/>
  <c r="Q234" i="18"/>
  <c r="Q214" i="18"/>
  <c r="Q113" i="27"/>
  <c r="Q113" i="78" s="1"/>
  <c r="Q175" i="41"/>
  <c r="Q155" i="41"/>
  <c r="Q442" i="19"/>
  <c r="Q422" i="19"/>
  <c r="Q458" i="41"/>
  <c r="Q438" i="41"/>
  <c r="Q220" i="29"/>
  <c r="Q200" i="29"/>
  <c r="P162" i="19"/>
  <c r="P133" i="27"/>
  <c r="P133" i="78" s="1"/>
  <c r="P133" i="79" s="1"/>
  <c r="Q198" i="53"/>
  <c r="Q178" i="53"/>
  <c r="Q195" i="53"/>
  <c r="Q175" i="53"/>
  <c r="Q176" i="49"/>
  <c r="Q156" i="49"/>
  <c r="Q175" i="49"/>
  <c r="Q155" i="49"/>
  <c r="Q279" i="75"/>
  <c r="Q259" i="75"/>
  <c r="Q271" i="75"/>
  <c r="Q251" i="75"/>
  <c r="Q247" i="75"/>
  <c r="Q394" i="75" s="1"/>
  <c r="Q416" i="61"/>
  <c r="Q396" i="61"/>
  <c r="Q411" i="61"/>
  <c r="Q391" i="61"/>
  <c r="P145" i="27"/>
  <c r="P145" i="78" s="1"/>
  <c r="Q442" i="49"/>
  <c r="Q422" i="49"/>
  <c r="Q452" i="49"/>
  <c r="Q432" i="49"/>
  <c r="Q136" i="69"/>
  <c r="Q156" i="69"/>
  <c r="Q160" i="69"/>
  <c r="Q140" i="69"/>
  <c r="Q403" i="69"/>
  <c r="Q383" i="69"/>
  <c r="Q408" i="69"/>
  <c r="Q388" i="69"/>
  <c r="Q665" i="61"/>
  <c r="Q645" i="61"/>
  <c r="Q664" i="61"/>
  <c r="Q644" i="61"/>
  <c r="Q677" i="69"/>
  <c r="Q657" i="69"/>
  <c r="Q679" i="69"/>
  <c r="Q659" i="69"/>
  <c r="Q169" i="19"/>
  <c r="Q149" i="19"/>
  <c r="Q177" i="19"/>
  <c r="Q157" i="19"/>
  <c r="Q932" i="61"/>
  <c r="Q912" i="61"/>
  <c r="Q924" i="61"/>
  <c r="Q904" i="61"/>
  <c r="Q464" i="57"/>
  <c r="Q444" i="57"/>
  <c r="Q472" i="57"/>
  <c r="Q452" i="57"/>
  <c r="Q198" i="45"/>
  <c r="Q178" i="45"/>
  <c r="Q190" i="45"/>
  <c r="Q170" i="45"/>
  <c r="Q724" i="19"/>
  <c r="Q704" i="19"/>
  <c r="Q716" i="19"/>
  <c r="Q696" i="19"/>
  <c r="Q692" i="19"/>
  <c r="Q839" i="19" s="1"/>
  <c r="P142" i="27"/>
  <c r="P142" i="78" s="1"/>
  <c r="P396" i="69"/>
  <c r="Q192" i="57"/>
  <c r="Q172" i="57"/>
  <c r="Q184" i="57"/>
  <c r="Q164" i="57"/>
  <c r="Q131" i="77"/>
  <c r="Q151" i="77"/>
  <c r="Q147" i="77"/>
  <c r="Q127" i="77"/>
  <c r="Q420" i="37"/>
  <c r="Q400" i="37"/>
  <c r="Q396" i="37"/>
  <c r="Q543" i="37" s="1"/>
  <c r="Q428" i="37"/>
  <c r="Q408" i="37"/>
  <c r="R629" i="69"/>
  <c r="R633" i="69"/>
  <c r="R631" i="69"/>
  <c r="R639" i="69"/>
  <c r="R628" i="69"/>
  <c r="R632" i="69"/>
  <c r="R643" i="69"/>
  <c r="R640" i="69"/>
  <c r="R641" i="69"/>
  <c r="R634" i="69"/>
  <c r="R642" i="69"/>
  <c r="R636" i="69"/>
  <c r="R630" i="69"/>
  <c r="R638" i="69"/>
  <c r="R637" i="69"/>
  <c r="R635" i="69"/>
  <c r="R686" i="19"/>
  <c r="R677" i="19"/>
  <c r="R688" i="19"/>
  <c r="R681" i="19"/>
  <c r="R687" i="19"/>
  <c r="R683" i="19"/>
  <c r="R676" i="19"/>
  <c r="R682" i="19"/>
  <c r="R685" i="19"/>
  <c r="R689" i="19"/>
  <c r="R678" i="19"/>
  <c r="R680" i="19"/>
  <c r="R691" i="19"/>
  <c r="R684" i="19"/>
  <c r="R690" i="19"/>
  <c r="R679" i="19"/>
  <c r="Q456" i="45"/>
  <c r="Q436" i="45"/>
  <c r="Q456" i="19"/>
  <c r="Q436" i="19"/>
  <c r="Q160" i="61"/>
  <c r="Q140" i="61"/>
  <c r="Q217" i="29"/>
  <c r="Q197" i="29"/>
  <c r="R417" i="41"/>
  <c r="R425" i="41"/>
  <c r="R423" i="41"/>
  <c r="R421" i="41"/>
  <c r="R422" i="41"/>
  <c r="R427" i="41"/>
  <c r="R420" i="41"/>
  <c r="R419" i="41"/>
  <c r="R415" i="41"/>
  <c r="R429" i="41"/>
  <c r="R430" i="41"/>
  <c r="R424" i="41"/>
  <c r="R416" i="41"/>
  <c r="R428" i="41"/>
  <c r="R426" i="41"/>
  <c r="R418" i="41"/>
  <c r="P141" i="27"/>
  <c r="P238" i="18"/>
  <c r="P141" i="69"/>
  <c r="Q231" i="18"/>
  <c r="Q211" i="18"/>
  <c r="Q110" i="27"/>
  <c r="Q110" i="78" s="1"/>
  <c r="Q110" i="79" s="1"/>
  <c r="Q235" i="18"/>
  <c r="Q215" i="18"/>
  <c r="Q114" i="27"/>
  <c r="Q114" i="78" s="1"/>
  <c r="Q114" i="79" s="1"/>
  <c r="Q509" i="53"/>
  <c r="Q489" i="53"/>
  <c r="Q498" i="53"/>
  <c r="Q478" i="53"/>
  <c r="P143" i="27"/>
  <c r="P143" i="78" s="1"/>
  <c r="P436" i="37"/>
  <c r="P549" i="37" s="1"/>
  <c r="Q180" i="41"/>
  <c r="Q160" i="41"/>
  <c r="Q172" i="41"/>
  <c r="Q152" i="41"/>
  <c r="Q422" i="45"/>
  <c r="Q442" i="45"/>
  <c r="Q444" i="45"/>
  <c r="Q424" i="45"/>
  <c r="Q178" i="37"/>
  <c r="Q158" i="37"/>
  <c r="Q177" i="37"/>
  <c r="Q157" i="37"/>
  <c r="Q445" i="19"/>
  <c r="Q425" i="19"/>
  <c r="Q441" i="19"/>
  <c r="Q421" i="19"/>
  <c r="Q417" i="19"/>
  <c r="Q564" i="19" s="1"/>
  <c r="Q154" i="33"/>
  <c r="Q134" i="33"/>
  <c r="Q146" i="33"/>
  <c r="Q126" i="33"/>
  <c r="Q164" i="61"/>
  <c r="Q144" i="61"/>
  <c r="Q157" i="61"/>
  <c r="Q137" i="61"/>
  <c r="Q466" i="41"/>
  <c r="Q446" i="41"/>
  <c r="Q467" i="41"/>
  <c r="Q447" i="41"/>
  <c r="P150" i="27"/>
  <c r="P150" i="78" s="1"/>
  <c r="P203" i="45"/>
  <c r="P315" i="45" s="1"/>
  <c r="N137" i="78"/>
  <c r="N121" i="79"/>
  <c r="N137" i="79" s="1"/>
  <c r="Q227" i="29"/>
  <c r="Q207" i="29"/>
  <c r="Q225" i="29"/>
  <c r="Q205" i="29"/>
  <c r="P127" i="27"/>
  <c r="P127" i="78" s="1"/>
  <c r="P127" i="79" s="1"/>
  <c r="P182" i="19"/>
  <c r="P295" i="19" s="1"/>
  <c r="P153" i="27"/>
  <c r="P153" i="78" s="1"/>
  <c r="P153" i="79" s="1"/>
  <c r="Q209" i="53"/>
  <c r="Q189" i="53"/>
  <c r="Q200" i="53"/>
  <c r="Q180" i="53"/>
  <c r="Q173" i="49"/>
  <c r="Q153" i="49"/>
  <c r="Q172" i="49"/>
  <c r="Q152" i="49"/>
  <c r="Q283" i="75"/>
  <c r="Q263" i="75"/>
  <c r="Q275" i="75"/>
  <c r="Q255" i="75"/>
  <c r="Q413" i="61"/>
  <c r="Q393" i="61"/>
  <c r="Q417" i="61"/>
  <c r="Q397" i="61"/>
  <c r="P141" i="77"/>
  <c r="P403" i="61"/>
  <c r="Q449" i="49"/>
  <c r="Q429" i="49"/>
  <c r="Q444" i="49"/>
  <c r="Q424" i="49"/>
  <c r="Q151" i="69"/>
  <c r="Q131" i="69"/>
  <c r="Q155" i="69"/>
  <c r="Q135" i="69"/>
  <c r="Q415" i="69"/>
  <c r="Q395" i="69"/>
  <c r="Q407" i="69"/>
  <c r="Q387" i="69"/>
  <c r="Q662" i="61"/>
  <c r="Q642" i="61"/>
  <c r="Q638" i="61"/>
  <c r="Q785" i="61" s="1"/>
  <c r="Q666" i="61"/>
  <c r="Q646" i="61"/>
  <c r="Q671" i="69"/>
  <c r="Q651" i="69"/>
  <c r="Q675" i="69"/>
  <c r="Q655" i="69"/>
  <c r="Q166" i="19"/>
  <c r="Q146" i="19"/>
  <c r="Q142" i="19"/>
  <c r="Q289" i="19" s="1"/>
  <c r="Q174" i="19"/>
  <c r="Q154" i="19"/>
  <c r="Q918" i="61"/>
  <c r="Q898" i="61"/>
  <c r="Q920" i="61"/>
  <c r="Q900" i="61"/>
  <c r="Q445" i="57"/>
  <c r="Q465" i="57"/>
  <c r="Q449" i="57"/>
  <c r="Q469" i="57"/>
  <c r="Q202" i="45"/>
  <c r="Q182" i="45"/>
  <c r="Q194" i="45"/>
  <c r="Q174" i="45"/>
  <c r="Q731" i="19"/>
  <c r="Q711" i="19"/>
  <c r="Q723" i="19"/>
  <c r="Q703" i="19"/>
  <c r="P913" i="61"/>
  <c r="P416" i="69"/>
  <c r="P528" i="69" s="1"/>
  <c r="Q186" i="57"/>
  <c r="Q166" i="57"/>
  <c r="Q194" i="57"/>
  <c r="Q174" i="57"/>
  <c r="Q158" i="77"/>
  <c r="Q138" i="77"/>
  <c r="Q148" i="77"/>
  <c r="Q128" i="77"/>
  <c r="Q427" i="37"/>
  <c r="Q407" i="37"/>
  <c r="Q425" i="37"/>
  <c r="Q405" i="37"/>
  <c r="P146" i="61"/>
  <c r="P129" i="27"/>
  <c r="P129" i="78" s="1"/>
  <c r="R135" i="37"/>
  <c r="R138" i="37"/>
  <c r="R126" i="37"/>
  <c r="R141" i="37"/>
  <c r="R133" i="37"/>
  <c r="R129" i="37"/>
  <c r="R131" i="37"/>
  <c r="R132" i="37"/>
  <c r="R140" i="37"/>
  <c r="R134" i="37"/>
  <c r="R127" i="37"/>
  <c r="R130" i="37"/>
  <c r="R139" i="37"/>
  <c r="R137" i="37"/>
  <c r="R136" i="37"/>
  <c r="R128" i="37"/>
  <c r="Q501" i="53"/>
  <c r="Q481" i="53"/>
  <c r="Q177" i="41"/>
  <c r="Q157" i="41"/>
  <c r="Q452" i="45"/>
  <c r="Q432" i="45"/>
  <c r="Q149" i="33"/>
  <c r="Q129" i="33"/>
  <c r="Q459" i="41"/>
  <c r="Q439" i="41"/>
  <c r="R115" i="69"/>
  <c r="R108" i="69"/>
  <c r="R110" i="69"/>
  <c r="R116" i="69"/>
  <c r="R111" i="69"/>
  <c r="R105" i="69"/>
  <c r="R114" i="69"/>
  <c r="R120" i="69"/>
  <c r="R118" i="69"/>
  <c r="R106" i="69"/>
  <c r="R107" i="69"/>
  <c r="R119" i="69"/>
  <c r="R109" i="69"/>
  <c r="R112" i="69"/>
  <c r="R117" i="69"/>
  <c r="R113" i="69"/>
  <c r="R179" i="29"/>
  <c r="R190" i="29"/>
  <c r="R178" i="29"/>
  <c r="R185" i="29"/>
  <c r="R180" i="29"/>
  <c r="R187" i="29"/>
  <c r="R186" i="29"/>
  <c r="R175" i="29"/>
  <c r="R181" i="29"/>
  <c r="R182" i="29"/>
  <c r="R188" i="29"/>
  <c r="R177" i="29"/>
  <c r="R183" i="29"/>
  <c r="R189" i="29"/>
  <c r="R176" i="29"/>
  <c r="R184" i="29"/>
  <c r="R127" i="41"/>
  <c r="R130" i="41"/>
  <c r="R133" i="41"/>
  <c r="R136" i="41"/>
  <c r="R139" i="41"/>
  <c r="R129" i="41"/>
  <c r="R132" i="41"/>
  <c r="R135" i="41"/>
  <c r="R138" i="41"/>
  <c r="R141" i="41"/>
  <c r="R126" i="41"/>
  <c r="R128" i="41"/>
  <c r="R131" i="41"/>
  <c r="R137" i="41"/>
  <c r="R140" i="41"/>
  <c r="R134" i="41"/>
  <c r="P161" i="69"/>
  <c r="P273" i="69" s="1"/>
  <c r="P658" i="61"/>
  <c r="Q205" i="18"/>
  <c r="Q225" i="18"/>
  <c r="Q104" i="27"/>
  <c r="Q104" i="78" s="1"/>
  <c r="Q104" i="79" s="1"/>
  <c r="Q233" i="18"/>
  <c r="Q112" i="27"/>
  <c r="Q112" i="78" s="1"/>
  <c r="Q112" i="79" s="1"/>
  <c r="Q213" i="18"/>
  <c r="Q508" i="53"/>
  <c r="Q488" i="53"/>
  <c r="Q506" i="53"/>
  <c r="Q486" i="53"/>
  <c r="P162" i="37"/>
  <c r="P211" i="29"/>
  <c r="Q166" i="41"/>
  <c r="Q146" i="41"/>
  <c r="Q142" i="41"/>
  <c r="Q289" i="41" s="1"/>
  <c r="Q174" i="41"/>
  <c r="Q154" i="41"/>
  <c r="Q449" i="45"/>
  <c r="Q429" i="45"/>
  <c r="Q450" i="45"/>
  <c r="Q430" i="45"/>
  <c r="Q174" i="37"/>
  <c r="Q154" i="37"/>
  <c r="Q175" i="37"/>
  <c r="Q155" i="37"/>
  <c r="Q453" i="19"/>
  <c r="Q433" i="19"/>
  <c r="Q444" i="19"/>
  <c r="Q424" i="19"/>
  <c r="Q159" i="33"/>
  <c r="Q139" i="33"/>
  <c r="Q151" i="33"/>
  <c r="Q131" i="33"/>
  <c r="Q153" i="61"/>
  <c r="Q133" i="61"/>
  <c r="Q165" i="61"/>
  <c r="Q145" i="61"/>
  <c r="Q464" i="41"/>
  <c r="Q444" i="41"/>
  <c r="Q461" i="41"/>
  <c r="Q441" i="41"/>
  <c r="P135" i="27"/>
  <c r="P135" i="78" s="1"/>
  <c r="P135" i="79" s="1"/>
  <c r="Q196" i="29"/>
  <c r="Q216" i="29"/>
  <c r="Q224" i="29"/>
  <c r="Q204" i="29"/>
  <c r="P712" i="19"/>
  <c r="Q203" i="53"/>
  <c r="Q183" i="53"/>
  <c r="Q205" i="53"/>
  <c r="Q185" i="53"/>
  <c r="Q180" i="49"/>
  <c r="Q160" i="49"/>
  <c r="Q169" i="49"/>
  <c r="Q149" i="49"/>
  <c r="Q281" i="75"/>
  <c r="Q261" i="75"/>
  <c r="Q273" i="75"/>
  <c r="Q253" i="75"/>
  <c r="Q421" i="61"/>
  <c r="Q401" i="61"/>
  <c r="Q402" i="61"/>
  <c r="Q422" i="61"/>
  <c r="P161" i="77"/>
  <c r="P274" i="77" s="1"/>
  <c r="P136" i="27"/>
  <c r="P136" i="78" s="1"/>
  <c r="P136" i="79" s="1"/>
  <c r="P423" i="61"/>
  <c r="P535" i="61" s="1"/>
  <c r="O157" i="27"/>
  <c r="O141" i="78"/>
  <c r="Q446" i="49"/>
  <c r="Q426" i="49"/>
  <c r="Q450" i="49"/>
  <c r="Q430" i="49"/>
  <c r="Q157" i="69"/>
  <c r="Q137" i="69"/>
  <c r="Q152" i="69"/>
  <c r="Q132" i="69"/>
  <c r="Q406" i="69"/>
  <c r="Q386" i="69"/>
  <c r="Q412" i="69"/>
  <c r="Q392" i="69"/>
  <c r="Q672" i="61"/>
  <c r="Q652" i="61"/>
  <c r="Q663" i="61"/>
  <c r="Q643" i="61"/>
  <c r="Q648" i="69"/>
  <c r="Q668" i="69"/>
  <c r="Q644" i="69"/>
  <c r="Q791" i="69" s="1"/>
  <c r="Q669" i="69"/>
  <c r="Q649" i="69"/>
  <c r="Q179" i="19"/>
  <c r="Q159" i="19"/>
  <c r="Q171" i="19"/>
  <c r="Q151" i="19"/>
  <c r="Q928" i="61"/>
  <c r="Q908" i="61"/>
  <c r="Q922" i="61"/>
  <c r="Q902" i="61"/>
  <c r="Q442" i="57"/>
  <c r="Q462" i="57"/>
  <c r="Q438" i="57"/>
  <c r="Q585" i="57" s="1"/>
  <c r="Q446" i="57"/>
  <c r="Q466" i="57"/>
  <c r="Q201" i="45"/>
  <c r="Q181" i="45"/>
  <c r="Q187" i="45"/>
  <c r="Q167" i="45"/>
  <c r="Q163" i="45"/>
  <c r="Q310" i="45" s="1"/>
  <c r="Q720" i="19"/>
  <c r="Q700" i="19"/>
  <c r="Q721" i="19"/>
  <c r="Q701" i="19"/>
  <c r="P933" i="61"/>
  <c r="P1045" i="61" s="1"/>
  <c r="Q185" i="57"/>
  <c r="Q165" i="57"/>
  <c r="Q190" i="57"/>
  <c r="Q170" i="57"/>
  <c r="Q152" i="77"/>
  <c r="Q132" i="77"/>
  <c r="Q145" i="77"/>
  <c r="Q125" i="77"/>
  <c r="Q121" i="77"/>
  <c r="Q268" i="77" s="1"/>
  <c r="Q424" i="37"/>
  <c r="Q404" i="37"/>
  <c r="Q422" i="37"/>
  <c r="Q402" i="37"/>
  <c r="P166" i="61"/>
  <c r="P278" i="61" s="1"/>
  <c r="P149" i="27"/>
  <c r="P149" i="78" s="1"/>
  <c r="P190" i="53"/>
  <c r="P218" i="18"/>
  <c r="P121" i="27"/>
  <c r="Q512" i="53"/>
  <c r="Q492" i="53"/>
  <c r="Q181" i="37"/>
  <c r="Q161" i="37"/>
  <c r="Q157" i="33"/>
  <c r="Q137" i="33"/>
  <c r="Q152" i="61"/>
  <c r="Q132" i="61"/>
  <c r="P457" i="49"/>
  <c r="P570" i="49" s="1"/>
  <c r="R146" i="57"/>
  <c r="R154" i="57"/>
  <c r="R150" i="57"/>
  <c r="R152" i="57"/>
  <c r="R142" i="57"/>
  <c r="R144" i="57"/>
  <c r="R140" i="57"/>
  <c r="R141" i="57"/>
  <c r="R153" i="57"/>
  <c r="R148" i="57"/>
  <c r="R145" i="57"/>
  <c r="R147" i="57"/>
  <c r="R143" i="57"/>
  <c r="R151" i="57"/>
  <c r="R149" i="57"/>
  <c r="R155" i="57"/>
  <c r="R387" i="37"/>
  <c r="R390" i="37"/>
  <c r="R393" i="37"/>
  <c r="R381" i="37"/>
  <c r="R384" i="37"/>
  <c r="R395" i="37"/>
  <c r="R380" i="37"/>
  <c r="R383" i="37"/>
  <c r="R386" i="37"/>
  <c r="R389" i="37"/>
  <c r="R392" i="37"/>
  <c r="R382" i="37"/>
  <c r="R385" i="37"/>
  <c r="R388" i="37"/>
  <c r="R391" i="37"/>
  <c r="R394" i="37"/>
  <c r="R149" i="45"/>
  <c r="R152" i="45"/>
  <c r="R148" i="45"/>
  <c r="R159" i="45"/>
  <c r="R155" i="45"/>
  <c r="R157" i="45"/>
  <c r="R160" i="45"/>
  <c r="R153" i="45"/>
  <c r="R156" i="45"/>
  <c r="R158" i="45"/>
  <c r="R162" i="45"/>
  <c r="R151" i="45"/>
  <c r="R154" i="45"/>
  <c r="R147" i="45"/>
  <c r="R150" i="45"/>
  <c r="R161" i="45"/>
  <c r="R127" i="19"/>
  <c r="R130" i="19"/>
  <c r="R133" i="19"/>
  <c r="R136" i="19"/>
  <c r="R139" i="19"/>
  <c r="R126" i="19"/>
  <c r="R129" i="19"/>
  <c r="R132" i="19"/>
  <c r="R135" i="19"/>
  <c r="R138" i="19"/>
  <c r="R141" i="19"/>
  <c r="R128" i="19"/>
  <c r="R131" i="19"/>
  <c r="R134" i="19"/>
  <c r="R137" i="19"/>
  <c r="R140" i="19"/>
  <c r="R422" i="57"/>
  <c r="R424" i="57"/>
  <c r="R433" i="57"/>
  <c r="R436" i="57"/>
  <c r="R427" i="57"/>
  <c r="R430" i="57"/>
  <c r="R423" i="57"/>
  <c r="R426" i="57"/>
  <c r="R429" i="57"/>
  <c r="R432" i="57"/>
  <c r="R435" i="57"/>
  <c r="R425" i="57"/>
  <c r="R428" i="57"/>
  <c r="R431" i="57"/>
  <c r="R434" i="57"/>
  <c r="R437" i="57"/>
  <c r="R109" i="77"/>
  <c r="R106" i="77"/>
  <c r="R117" i="77"/>
  <c r="R105" i="77"/>
  <c r="R119" i="77"/>
  <c r="R114" i="77"/>
  <c r="R111" i="77"/>
  <c r="R107" i="77"/>
  <c r="R120" i="77"/>
  <c r="R115" i="77"/>
  <c r="R116" i="77"/>
  <c r="R118" i="77"/>
  <c r="R113" i="77"/>
  <c r="R108" i="77"/>
  <c r="R110" i="77"/>
  <c r="R112" i="77"/>
  <c r="R110" i="33"/>
  <c r="R107" i="33"/>
  <c r="R113" i="33"/>
  <c r="R116" i="33"/>
  <c r="R119" i="33"/>
  <c r="R118" i="33"/>
  <c r="R106" i="33"/>
  <c r="R109" i="33"/>
  <c r="R112" i="33"/>
  <c r="R115" i="33"/>
  <c r="R105" i="33"/>
  <c r="R108" i="33"/>
  <c r="R111" i="33"/>
  <c r="R114" i="33"/>
  <c r="R117" i="33"/>
  <c r="R120" i="33"/>
  <c r="R402" i="19"/>
  <c r="R408" i="19"/>
  <c r="R411" i="19"/>
  <c r="R414" i="19"/>
  <c r="R412" i="19"/>
  <c r="R415" i="19"/>
  <c r="R401" i="19"/>
  <c r="R410" i="19"/>
  <c r="R413" i="19"/>
  <c r="R405" i="19"/>
  <c r="R416" i="19"/>
  <c r="R409" i="19"/>
  <c r="R403" i="19"/>
  <c r="R406" i="19"/>
  <c r="R404" i="19"/>
  <c r="R407" i="19"/>
  <c r="R412" i="45"/>
  <c r="R410" i="45"/>
  <c r="R401" i="45"/>
  <c r="R413" i="45"/>
  <c r="R404" i="45"/>
  <c r="R405" i="45"/>
  <c r="R408" i="45"/>
  <c r="R406" i="45"/>
  <c r="R416" i="45"/>
  <c r="R409" i="45"/>
  <c r="R402" i="45"/>
  <c r="R403" i="45"/>
  <c r="R415" i="45"/>
  <c r="R414" i="45"/>
  <c r="R407" i="45"/>
  <c r="R411" i="45"/>
  <c r="P132" i="27"/>
  <c r="P132" i="78" s="1"/>
  <c r="P132" i="79" s="1"/>
  <c r="P678" i="61"/>
  <c r="P791" i="61" s="1"/>
  <c r="Q224" i="18"/>
  <c r="Q204" i="18"/>
  <c r="Q103" i="27"/>
  <c r="Q103" i="78" s="1"/>
  <c r="Q103" i="79" s="1"/>
  <c r="Q228" i="18"/>
  <c r="Q208" i="18"/>
  <c r="Q107" i="27"/>
  <c r="Q107" i="78" s="1"/>
  <c r="Q107" i="79" s="1"/>
  <c r="Q505" i="53"/>
  <c r="Q485" i="53"/>
  <c r="Q497" i="53"/>
  <c r="Q477" i="53"/>
  <c r="Q473" i="53"/>
  <c r="Q620" i="53" s="1"/>
  <c r="P182" i="37"/>
  <c r="P295" i="37" s="1"/>
  <c r="P231" i="29"/>
  <c r="P343" i="29" s="1"/>
  <c r="P162" i="49"/>
  <c r="Q179" i="41"/>
  <c r="Q159" i="41"/>
  <c r="Q171" i="41"/>
  <c r="Q151" i="41"/>
  <c r="Q451" i="45"/>
  <c r="Q431" i="45"/>
  <c r="Q446" i="45"/>
  <c r="Q426" i="45"/>
  <c r="Q152" i="37"/>
  <c r="Q172" i="37"/>
  <c r="Q156" i="37"/>
  <c r="Q176" i="37"/>
  <c r="Q452" i="19"/>
  <c r="Q432" i="19"/>
  <c r="Q450" i="19"/>
  <c r="Q430" i="19"/>
  <c r="Q156" i="33"/>
  <c r="Q136" i="33"/>
  <c r="Q148" i="33"/>
  <c r="Q128" i="33"/>
  <c r="Q158" i="61"/>
  <c r="Q138" i="61"/>
  <c r="Q156" i="61"/>
  <c r="Q136" i="61"/>
  <c r="Q468" i="41"/>
  <c r="Q448" i="41"/>
  <c r="Q457" i="41"/>
  <c r="Q437" i="41"/>
  <c r="P458" i="57"/>
  <c r="Q228" i="29"/>
  <c r="Q208" i="29"/>
  <c r="Q218" i="29"/>
  <c r="Q198" i="29"/>
  <c r="P134" i="27"/>
  <c r="P134" i="78" s="1"/>
  <c r="P134" i="79" s="1"/>
  <c r="P732" i="19"/>
  <c r="P845" i="19" s="1"/>
  <c r="P126" i="27"/>
  <c r="P126" i="78" s="1"/>
  <c r="P126" i="79" s="1"/>
  <c r="Q208" i="53"/>
  <c r="Q188" i="53"/>
  <c r="Q206" i="53"/>
  <c r="Q186" i="53"/>
  <c r="Q177" i="49"/>
  <c r="Q157" i="49"/>
  <c r="Q181" i="49"/>
  <c r="Q161" i="49"/>
  <c r="Q280" i="75"/>
  <c r="Q260" i="75"/>
  <c r="Q272" i="75"/>
  <c r="Q252" i="75"/>
  <c r="Q415" i="61"/>
  <c r="Q395" i="61"/>
  <c r="Q407" i="61"/>
  <c r="Q387" i="61"/>
  <c r="Q383" i="61"/>
  <c r="Q530" i="61" s="1"/>
  <c r="P156" i="27"/>
  <c r="P156" i="78" s="1"/>
  <c r="P156" i="79" s="1"/>
  <c r="Q456" i="49"/>
  <c r="Q436" i="49"/>
  <c r="Q455" i="49"/>
  <c r="Q435" i="49"/>
  <c r="Q146" i="69"/>
  <c r="Q126" i="69"/>
  <c r="Q149" i="69"/>
  <c r="Q129" i="69"/>
  <c r="Q400" i="69"/>
  <c r="Q380" i="69"/>
  <c r="Q376" i="69"/>
  <c r="Q523" i="69" s="1"/>
  <c r="Q411" i="69"/>
  <c r="Q391" i="69"/>
  <c r="Q669" i="61"/>
  <c r="Q649" i="61"/>
  <c r="Q667" i="61"/>
  <c r="Q647" i="61"/>
  <c r="Q672" i="69"/>
  <c r="Q652" i="69"/>
  <c r="Q673" i="69"/>
  <c r="Q653" i="69"/>
  <c r="Q176" i="19"/>
  <c r="Q156" i="19"/>
  <c r="Q168" i="19"/>
  <c r="Q148" i="19"/>
  <c r="Q930" i="61"/>
  <c r="Q910" i="61"/>
  <c r="Q923" i="61"/>
  <c r="Q903" i="61"/>
  <c r="Q477" i="57"/>
  <c r="Q457" i="57"/>
  <c r="Q463" i="57"/>
  <c r="Q443" i="57"/>
  <c r="Q191" i="45"/>
  <c r="Q171" i="45"/>
  <c r="Q197" i="45"/>
  <c r="Q177" i="45"/>
  <c r="Q717" i="19"/>
  <c r="Q697" i="19"/>
  <c r="Q728" i="19"/>
  <c r="Q708" i="19"/>
  <c r="P493" i="53"/>
  <c r="Q195" i="57"/>
  <c r="Q175" i="57"/>
  <c r="Q169" i="57"/>
  <c r="Q189" i="57"/>
  <c r="Q140" i="77"/>
  <c r="Q160" i="77"/>
  <c r="Q135" i="77"/>
  <c r="Q155" i="77"/>
  <c r="Q435" i="37"/>
  <c r="Q415" i="37"/>
  <c r="Q421" i="37"/>
  <c r="Q401" i="37"/>
  <c r="P210" i="53"/>
  <c r="P322" i="53" s="1"/>
  <c r="P141" i="33"/>
  <c r="Q223" i="18"/>
  <c r="Q203" i="18"/>
  <c r="Q102" i="27"/>
  <c r="Q102" i="78" s="1"/>
  <c r="Q102" i="79" s="1"/>
  <c r="Q180" i="37"/>
  <c r="Q160" i="37"/>
  <c r="P183" i="45"/>
  <c r="R887" i="61"/>
  <c r="R885" i="61"/>
  <c r="R889" i="61"/>
  <c r="R884" i="61"/>
  <c r="R882" i="61"/>
  <c r="R886" i="61"/>
  <c r="R883" i="61"/>
  <c r="R892" i="61"/>
  <c r="R890" i="61"/>
  <c r="R880" i="61"/>
  <c r="R879" i="61"/>
  <c r="R877" i="61"/>
  <c r="R881" i="61"/>
  <c r="R891" i="61"/>
  <c r="R878" i="61"/>
  <c r="R888" i="61"/>
  <c r="R240" i="75"/>
  <c r="R236" i="75"/>
  <c r="R243" i="75"/>
  <c r="R245" i="75"/>
  <c r="R246" i="75"/>
  <c r="R244" i="75"/>
  <c r="R232" i="75"/>
  <c r="R235" i="75"/>
  <c r="R242" i="75"/>
  <c r="R231" i="75"/>
  <c r="R239" i="75"/>
  <c r="R234" i="75"/>
  <c r="R237" i="75"/>
  <c r="R238" i="75"/>
  <c r="R233" i="75"/>
  <c r="R241" i="75"/>
  <c r="R113" i="61"/>
  <c r="R121" i="61"/>
  <c r="R117" i="61"/>
  <c r="R118" i="61"/>
  <c r="R111" i="61"/>
  <c r="R112" i="61"/>
  <c r="R115" i="61"/>
  <c r="R110" i="61"/>
  <c r="R122" i="61"/>
  <c r="R114" i="61"/>
  <c r="R125" i="61"/>
  <c r="R124" i="61"/>
  <c r="R119" i="61"/>
  <c r="R120" i="61"/>
  <c r="R123" i="61"/>
  <c r="R116" i="61"/>
  <c r="R372" i="69"/>
  <c r="R365" i="69"/>
  <c r="R371" i="69"/>
  <c r="R360" i="69"/>
  <c r="R366" i="69"/>
  <c r="R361" i="69"/>
  <c r="R367" i="69"/>
  <c r="R373" i="69"/>
  <c r="R363" i="69"/>
  <c r="R362" i="69"/>
  <c r="R368" i="69"/>
  <c r="R374" i="69"/>
  <c r="R369" i="69"/>
  <c r="R375" i="69"/>
  <c r="R364" i="69"/>
  <c r="R370" i="69"/>
  <c r="P152" i="27"/>
  <c r="P152" i="78" s="1"/>
  <c r="P437" i="45"/>
  <c r="P267" i="75"/>
  <c r="Q222" i="18"/>
  <c r="Q202" i="18"/>
  <c r="Q198" i="18"/>
  <c r="Q345" i="18" s="1"/>
  <c r="Q101" i="27"/>
  <c r="Q230" i="18"/>
  <c r="Q210" i="18"/>
  <c r="Q109" i="27"/>
  <c r="Q109" i="78" s="1"/>
  <c r="Q502" i="53"/>
  <c r="Q482" i="53"/>
  <c r="Q503" i="53"/>
  <c r="Q483" i="53"/>
  <c r="P182" i="49"/>
  <c r="P295" i="49" s="1"/>
  <c r="Q176" i="41"/>
  <c r="Q156" i="41"/>
  <c r="Q168" i="41"/>
  <c r="Q148" i="41"/>
  <c r="Q448" i="45"/>
  <c r="Q428" i="45"/>
  <c r="Q445" i="45"/>
  <c r="Q425" i="45"/>
  <c r="Q168" i="37"/>
  <c r="Q148" i="37"/>
  <c r="Q173" i="37"/>
  <c r="Q153" i="37"/>
  <c r="Q455" i="19"/>
  <c r="Q435" i="19"/>
  <c r="Q447" i="19"/>
  <c r="Q427" i="19"/>
  <c r="Q150" i="33"/>
  <c r="Q130" i="33"/>
  <c r="Q145" i="33"/>
  <c r="Q125" i="33"/>
  <c r="Q121" i="33"/>
  <c r="Q268" i="33" s="1"/>
  <c r="Q155" i="61"/>
  <c r="Q135" i="61"/>
  <c r="Q161" i="61"/>
  <c r="Q141" i="61"/>
  <c r="Q455" i="41"/>
  <c r="Q435" i="41"/>
  <c r="Q431" i="41"/>
  <c r="Q578" i="41" s="1"/>
  <c r="Q463" i="41"/>
  <c r="Q443" i="41"/>
  <c r="P155" i="27"/>
  <c r="P155" i="78" s="1"/>
  <c r="P155" i="79" s="1"/>
  <c r="P478" i="57"/>
  <c r="P590" i="57" s="1"/>
  <c r="Q199" i="29"/>
  <c r="Q219" i="29"/>
  <c r="Q221" i="29"/>
  <c r="Q201" i="29"/>
  <c r="P154" i="27"/>
  <c r="P154" i="78" s="1"/>
  <c r="P154" i="79" s="1"/>
  <c r="P146" i="27"/>
  <c r="P146" i="78" s="1"/>
  <c r="Q194" i="53"/>
  <c r="Q174" i="53"/>
  <c r="Q170" i="53"/>
  <c r="Q317" i="53" s="1"/>
  <c r="Q196" i="53"/>
  <c r="Q176" i="53"/>
  <c r="Q166" i="49"/>
  <c r="Q146" i="49"/>
  <c r="Q142" i="49"/>
  <c r="Q289" i="49" s="1"/>
  <c r="Q178" i="49"/>
  <c r="Q158" i="49"/>
  <c r="Q264" i="75"/>
  <c r="Q284" i="75"/>
  <c r="Q277" i="75"/>
  <c r="Q257" i="75"/>
  <c r="Q420" i="61"/>
  <c r="Q400" i="61"/>
  <c r="Q412" i="61"/>
  <c r="Q392" i="61"/>
  <c r="Q453" i="49"/>
  <c r="Q433" i="49"/>
  <c r="Q445" i="49"/>
  <c r="Q425" i="49"/>
  <c r="Q154" i="69"/>
  <c r="Q134" i="69"/>
  <c r="Q159" i="69"/>
  <c r="Q139" i="69"/>
  <c r="Q405" i="69"/>
  <c r="Q385" i="69"/>
  <c r="Q402" i="69"/>
  <c r="Q382" i="69"/>
  <c r="Q653" i="61"/>
  <c r="Q673" i="61"/>
  <c r="Q674" i="61"/>
  <c r="Q654" i="61"/>
  <c r="Q682" i="69"/>
  <c r="Q662" i="69"/>
  <c r="Q680" i="69"/>
  <c r="Q660" i="69"/>
  <c r="Q181" i="19"/>
  <c r="Q161" i="19"/>
  <c r="Q173" i="19"/>
  <c r="Q153" i="19"/>
  <c r="Q926" i="61"/>
  <c r="Q906" i="61"/>
  <c r="Q931" i="61"/>
  <c r="Q911" i="61"/>
  <c r="Q473" i="57"/>
  <c r="Q453" i="57"/>
  <c r="Q454" i="57"/>
  <c r="Q474" i="57"/>
  <c r="Q199" i="45"/>
  <c r="Q179" i="45"/>
  <c r="Q188" i="45"/>
  <c r="Q168" i="45"/>
  <c r="Q725" i="19"/>
  <c r="Q705" i="19"/>
  <c r="Q729" i="19"/>
  <c r="Q709" i="19"/>
  <c r="P128" i="27"/>
  <c r="P128" i="78" s="1"/>
  <c r="P128" i="79" s="1"/>
  <c r="P513" i="53"/>
  <c r="P625" i="53" s="1"/>
  <c r="Q183" i="57"/>
  <c r="Q163" i="57"/>
  <c r="Q161" i="57"/>
  <c r="Q181" i="57"/>
  <c r="Q154" i="77"/>
  <c r="Q134" i="77"/>
  <c r="Q137" i="77"/>
  <c r="Q157" i="77"/>
  <c r="Q432" i="37"/>
  <c r="Q412" i="37"/>
  <c r="Q433" i="37"/>
  <c r="Q413" i="37"/>
  <c r="P161" i="33"/>
  <c r="P274" i="33" s="1"/>
  <c r="P457" i="45"/>
  <c r="P570" i="45" s="1"/>
  <c r="P287" i="75"/>
  <c r="P399" i="75" s="1"/>
  <c r="P451" i="41"/>
  <c r="O117" i="78"/>
  <c r="O101" i="79"/>
  <c r="O117" i="79" s="1"/>
  <c r="Q232" i="18"/>
  <c r="Q212" i="18"/>
  <c r="Q111" i="27"/>
  <c r="Q111" i="78" s="1"/>
  <c r="Q111" i="79" s="1"/>
  <c r="Q227" i="18"/>
  <c r="Q207" i="18"/>
  <c r="Q106" i="27"/>
  <c r="Q106" i="78" s="1"/>
  <c r="Q106" i="79" s="1"/>
  <c r="Q499" i="53"/>
  <c r="Q479" i="53"/>
  <c r="Q510" i="53"/>
  <c r="Q490" i="53"/>
  <c r="P124" i="27"/>
  <c r="P124" i="78" s="1"/>
  <c r="P124" i="79" s="1"/>
  <c r="Q173" i="41"/>
  <c r="Q153" i="41"/>
  <c r="Q169" i="41"/>
  <c r="Q149" i="41"/>
  <c r="Q447" i="45"/>
  <c r="Q427" i="45"/>
  <c r="Q454" i="45"/>
  <c r="Q434" i="45"/>
  <c r="Q167" i="37"/>
  <c r="Q147" i="37"/>
  <c r="Q170" i="37"/>
  <c r="Q150" i="37"/>
  <c r="Q454" i="19"/>
  <c r="Q434" i="19"/>
  <c r="Q449" i="19"/>
  <c r="Q429" i="19"/>
  <c r="Q147" i="33"/>
  <c r="Q127" i="33"/>
  <c r="Q158" i="33"/>
  <c r="Q138" i="33"/>
  <c r="Q154" i="61"/>
  <c r="Q134" i="61"/>
  <c r="Q163" i="61"/>
  <c r="Q143" i="61"/>
  <c r="Q460" i="41"/>
  <c r="Q440" i="41"/>
  <c r="Q456" i="41"/>
  <c r="Q436" i="41"/>
  <c r="Q229" i="29"/>
  <c r="Q209" i="29"/>
  <c r="Q222" i="29"/>
  <c r="Q202" i="29"/>
  <c r="Q199" i="53"/>
  <c r="Q179" i="53"/>
  <c r="Q202" i="53"/>
  <c r="Q182" i="53"/>
  <c r="Q170" i="49"/>
  <c r="Q150" i="49"/>
  <c r="Q174" i="49"/>
  <c r="Q154" i="49"/>
  <c r="Q256" i="75"/>
  <c r="Q276" i="75"/>
  <c r="Q285" i="75"/>
  <c r="Q265" i="75"/>
  <c r="Q398" i="61"/>
  <c r="Q418" i="61"/>
  <c r="Q390" i="61"/>
  <c r="Q410" i="61"/>
  <c r="Q441" i="49"/>
  <c r="Q417" i="49"/>
  <c r="Q564" i="49" s="1"/>
  <c r="Q421" i="49"/>
  <c r="Q447" i="49"/>
  <c r="Q427" i="49"/>
  <c r="Q153" i="69"/>
  <c r="Q133" i="69"/>
  <c r="Q145" i="69"/>
  <c r="Q125" i="69"/>
  <c r="Q121" i="69"/>
  <c r="Q268" i="69" s="1"/>
  <c r="Q410" i="69"/>
  <c r="Q390" i="69"/>
  <c r="Q401" i="69"/>
  <c r="Q381" i="69"/>
  <c r="Q670" i="61"/>
  <c r="Q650" i="61"/>
  <c r="Q671" i="61"/>
  <c r="Q651" i="61"/>
  <c r="Q683" i="69"/>
  <c r="Q663" i="69"/>
  <c r="Q654" i="69"/>
  <c r="Q674" i="69"/>
  <c r="Q178" i="19"/>
  <c r="Q158" i="19"/>
  <c r="Q170" i="19"/>
  <c r="Q150" i="19"/>
  <c r="Q929" i="61"/>
  <c r="Q909" i="61"/>
  <c r="Q921" i="61"/>
  <c r="Q901" i="61"/>
  <c r="Q470" i="57"/>
  <c r="Q450" i="57"/>
  <c r="Q471" i="57"/>
  <c r="Q451" i="57"/>
  <c r="Q196" i="45"/>
  <c r="Q176" i="45"/>
  <c r="Q195" i="45"/>
  <c r="Q175" i="45"/>
  <c r="Q719" i="19"/>
  <c r="Q699" i="19"/>
  <c r="Q718" i="19"/>
  <c r="Q698" i="19"/>
  <c r="P148" i="27"/>
  <c r="P148" i="78" s="1"/>
  <c r="P148" i="79" s="1"/>
  <c r="P664" i="69"/>
  <c r="O137" i="27"/>
  <c r="O121" i="78"/>
  <c r="Q180" i="57"/>
  <c r="Q160" i="57"/>
  <c r="Q156" i="57"/>
  <c r="Q303" i="57" s="1"/>
  <c r="Q187" i="57"/>
  <c r="Q167" i="57"/>
  <c r="Q146" i="77"/>
  <c r="Q126" i="77"/>
  <c r="Q159" i="77"/>
  <c r="Q139" i="77"/>
  <c r="Q429" i="37"/>
  <c r="Q409" i="37"/>
  <c r="Q430" i="37"/>
  <c r="Q410" i="37"/>
  <c r="P151" i="27"/>
  <c r="P151" i="78" s="1"/>
  <c r="P151" i="79" s="1"/>
  <c r="R192" i="18"/>
  <c r="R195" i="18"/>
  <c r="R183" i="18"/>
  <c r="R185" i="18"/>
  <c r="R186" i="18"/>
  <c r="R197" i="18"/>
  <c r="R182" i="18"/>
  <c r="R188" i="18"/>
  <c r="R191" i="18"/>
  <c r="R194" i="18"/>
  <c r="R189" i="18"/>
  <c r="R184" i="18"/>
  <c r="R187" i="18"/>
  <c r="R190" i="18"/>
  <c r="R196" i="18"/>
  <c r="R193" i="18"/>
  <c r="R130" i="49"/>
  <c r="R133" i="49"/>
  <c r="R136" i="49"/>
  <c r="R139" i="49"/>
  <c r="R127" i="49"/>
  <c r="R138" i="49"/>
  <c r="R141" i="49"/>
  <c r="R126" i="49"/>
  <c r="R129" i="49"/>
  <c r="R132" i="49"/>
  <c r="R135" i="49"/>
  <c r="R128" i="49"/>
  <c r="R131" i="49"/>
  <c r="R134" i="49"/>
  <c r="R137" i="49"/>
  <c r="R140" i="49"/>
  <c r="R165" i="53"/>
  <c r="R160" i="53"/>
  <c r="R166" i="53"/>
  <c r="R167" i="53"/>
  <c r="R155" i="53"/>
  <c r="R161" i="53"/>
  <c r="R154" i="53"/>
  <c r="R156" i="53"/>
  <c r="R168" i="53"/>
  <c r="R163" i="53"/>
  <c r="R169" i="53"/>
  <c r="R162" i="53"/>
  <c r="R157" i="53"/>
  <c r="R158" i="53"/>
  <c r="R164" i="53"/>
  <c r="R159" i="53"/>
  <c r="R460" i="53"/>
  <c r="R459" i="53"/>
  <c r="R462" i="53"/>
  <c r="R471" i="53"/>
  <c r="R465" i="53"/>
  <c r="R458" i="53"/>
  <c r="R461" i="53"/>
  <c r="R464" i="53"/>
  <c r="R467" i="53"/>
  <c r="R470" i="53"/>
  <c r="R468" i="53"/>
  <c r="R463" i="53"/>
  <c r="R466" i="53"/>
  <c r="R469" i="53"/>
  <c r="R472" i="53"/>
  <c r="R457" i="53"/>
  <c r="P117" i="27"/>
  <c r="P101" i="78"/>
  <c r="P471" i="41"/>
  <c r="P583" i="41" s="1"/>
  <c r="Q108" i="27"/>
  <c r="Q108" i="78" s="1"/>
  <c r="Q108" i="79" s="1"/>
  <c r="Q209" i="18"/>
  <c r="Q229" i="18"/>
  <c r="Q236" i="18"/>
  <c r="Q216" i="18"/>
  <c r="Q115" i="27"/>
  <c r="Q115" i="78" s="1"/>
  <c r="Q115" i="79" s="1"/>
  <c r="Q511" i="53"/>
  <c r="Q491" i="53"/>
  <c r="Q507" i="53"/>
  <c r="Q487" i="53"/>
  <c r="P144" i="27"/>
  <c r="P144" i="78" s="1"/>
  <c r="Q170" i="41"/>
  <c r="Q150" i="41"/>
  <c r="Q181" i="41"/>
  <c r="Q161" i="41"/>
  <c r="Q441" i="45"/>
  <c r="Q421" i="45"/>
  <c r="Q417" i="45"/>
  <c r="Q564" i="45" s="1"/>
  <c r="Q433" i="45"/>
  <c r="Q453" i="45"/>
  <c r="Q169" i="37"/>
  <c r="Q149" i="37"/>
  <c r="Q179" i="37"/>
  <c r="Q159" i="37"/>
  <c r="Q451" i="19"/>
  <c r="Q431" i="19"/>
  <c r="Q446" i="19"/>
  <c r="Q426" i="19"/>
  <c r="Q153" i="33"/>
  <c r="Q133" i="33"/>
  <c r="Q155" i="33"/>
  <c r="Q135" i="33"/>
  <c r="Q151" i="61"/>
  <c r="Q131" i="61"/>
  <c r="Q142" i="61"/>
  <c r="Q162" i="61"/>
  <c r="Q470" i="41"/>
  <c r="Q450" i="41"/>
  <c r="Q462" i="41"/>
  <c r="Q442" i="41"/>
  <c r="P162" i="41"/>
  <c r="Q230" i="29"/>
  <c r="Q210" i="29"/>
  <c r="Q226" i="29"/>
  <c r="Q206" i="29"/>
  <c r="P437" i="19"/>
  <c r="Q197" i="53"/>
  <c r="Q177" i="53"/>
  <c r="Q207" i="53"/>
  <c r="Q187" i="53"/>
  <c r="Q167" i="49"/>
  <c r="Q147" i="49"/>
  <c r="Q171" i="49"/>
  <c r="Q151" i="49"/>
  <c r="Q274" i="75"/>
  <c r="Q254" i="75"/>
  <c r="Q278" i="75"/>
  <c r="Q258" i="75"/>
  <c r="Q408" i="61"/>
  <c r="Q388" i="61"/>
  <c r="Q409" i="61"/>
  <c r="Q389" i="61"/>
  <c r="Q451" i="49"/>
  <c r="Q431" i="49"/>
  <c r="Q454" i="49"/>
  <c r="Q434" i="49"/>
  <c r="Q158" i="69"/>
  <c r="Q138" i="69"/>
  <c r="Q128" i="69"/>
  <c r="Q148" i="69"/>
  <c r="Q384" i="69"/>
  <c r="Q404" i="69"/>
  <c r="Q413" i="69"/>
  <c r="Q393" i="69"/>
  <c r="Q677" i="61"/>
  <c r="Q657" i="61"/>
  <c r="Q668" i="61"/>
  <c r="Q648" i="61"/>
  <c r="Q676" i="69"/>
  <c r="Q656" i="69"/>
  <c r="Q681" i="69"/>
  <c r="Q661" i="69"/>
  <c r="Q175" i="19"/>
  <c r="Q155" i="19"/>
  <c r="Q167" i="19"/>
  <c r="Q147" i="19"/>
  <c r="Q925" i="61"/>
  <c r="Q905" i="61"/>
  <c r="Q917" i="61"/>
  <c r="Q897" i="61"/>
  <c r="Q893" i="61"/>
  <c r="Q1040" i="61" s="1"/>
  <c r="Q476" i="57"/>
  <c r="Q456" i="57"/>
  <c r="Q468" i="57"/>
  <c r="Q448" i="57"/>
  <c r="Q200" i="45"/>
  <c r="Q180" i="45"/>
  <c r="Q192" i="45"/>
  <c r="Q172" i="45"/>
  <c r="Q726" i="19"/>
  <c r="Q706" i="19"/>
  <c r="Q722" i="19"/>
  <c r="Q702" i="19"/>
  <c r="P684" i="69"/>
  <c r="P797" i="69" s="1"/>
  <c r="Q188" i="57"/>
  <c r="Q168" i="57"/>
  <c r="Q182" i="57"/>
  <c r="Q162" i="57"/>
  <c r="Q149" i="77"/>
  <c r="Q129" i="77"/>
  <c r="Q153" i="77"/>
  <c r="Q133" i="77"/>
  <c r="Q426" i="37"/>
  <c r="Q406" i="37"/>
  <c r="Q434" i="37"/>
  <c r="Q414" i="37"/>
  <c r="P131" i="27"/>
  <c r="P131" i="78" s="1"/>
  <c r="P131" i="79" s="1"/>
  <c r="R402" i="49"/>
  <c r="R413" i="49"/>
  <c r="R403" i="49"/>
  <c r="R415" i="49"/>
  <c r="R404" i="49"/>
  <c r="R410" i="49"/>
  <c r="R405" i="49"/>
  <c r="R412" i="49"/>
  <c r="R408" i="49"/>
  <c r="R414" i="49"/>
  <c r="R407" i="49"/>
  <c r="R416" i="49"/>
  <c r="R406" i="49"/>
  <c r="R401" i="49"/>
  <c r="R409" i="49"/>
  <c r="R411" i="49"/>
  <c r="Q226" i="18"/>
  <c r="Q206" i="18"/>
  <c r="Q105" i="27"/>
  <c r="Q105" i="78" s="1"/>
  <c r="Q105" i="79" s="1"/>
  <c r="Q217" i="18"/>
  <c r="Q116" i="27"/>
  <c r="Q116" i="78" s="1"/>
  <c r="Q116" i="79" s="1"/>
  <c r="Q237" i="18"/>
  <c r="Q500" i="53"/>
  <c r="Q480" i="53"/>
  <c r="Q484" i="53"/>
  <c r="Q504" i="53"/>
  <c r="P123" i="27"/>
  <c r="P123" i="78" s="1"/>
  <c r="P123" i="79" s="1"/>
  <c r="P176" i="57"/>
  <c r="Q167" i="41"/>
  <c r="Q147" i="41"/>
  <c r="Q178" i="41"/>
  <c r="Q158" i="41"/>
  <c r="Q443" i="45"/>
  <c r="Q423" i="45"/>
  <c r="Q455" i="45"/>
  <c r="Q435" i="45"/>
  <c r="Q166" i="37"/>
  <c r="Q146" i="37"/>
  <c r="Q142" i="37"/>
  <c r="Q289" i="37" s="1"/>
  <c r="Q171" i="37"/>
  <c r="Q151" i="37"/>
  <c r="Q448" i="19"/>
  <c r="Q428" i="19"/>
  <c r="Q443" i="19"/>
  <c r="Q423" i="19"/>
  <c r="Q160" i="33"/>
  <c r="Q140" i="33"/>
  <c r="Q152" i="33"/>
  <c r="Q132" i="33"/>
  <c r="Q150" i="61"/>
  <c r="Q130" i="61"/>
  <c r="Q126" i="61"/>
  <c r="Q273" i="61" s="1"/>
  <c r="Q159" i="61"/>
  <c r="Q139" i="61"/>
  <c r="Q465" i="41"/>
  <c r="Q445" i="41"/>
  <c r="Q469" i="41"/>
  <c r="Q449" i="41"/>
  <c r="P182" i="41"/>
  <c r="P294" i="41" s="1"/>
  <c r="P437" i="49"/>
  <c r="Q203" i="29"/>
  <c r="Q223" i="29"/>
  <c r="Q195" i="29"/>
  <c r="Q191" i="29"/>
  <c r="Q338" i="29" s="1"/>
  <c r="Q215" i="29"/>
  <c r="P457" i="19"/>
  <c r="P570" i="19" s="1"/>
  <c r="Q204" i="53"/>
  <c r="Q184" i="53"/>
  <c r="Q201" i="53"/>
  <c r="Q181" i="53"/>
  <c r="Q179" i="49"/>
  <c r="Q159" i="49"/>
  <c r="Q168" i="49"/>
  <c r="Q148" i="49"/>
  <c r="Q286" i="75"/>
  <c r="Q266" i="75"/>
  <c r="Q282" i="75"/>
  <c r="Q262" i="75"/>
  <c r="Q419" i="61"/>
  <c r="Q399" i="61"/>
  <c r="Q394" i="61"/>
  <c r="Q414" i="61"/>
  <c r="P125" i="27"/>
  <c r="P125" i="78" s="1"/>
  <c r="Q443" i="49"/>
  <c r="Q423" i="49"/>
  <c r="Q448" i="49"/>
  <c r="Q428" i="49"/>
  <c r="Q147" i="69"/>
  <c r="Q127" i="69"/>
  <c r="Q150" i="69"/>
  <c r="Q130" i="69"/>
  <c r="Q389" i="69"/>
  <c r="Q409" i="69"/>
  <c r="Q414" i="69"/>
  <c r="Q394" i="69"/>
  <c r="Q676" i="61"/>
  <c r="Q656" i="61"/>
  <c r="Q675" i="61"/>
  <c r="Q655" i="61"/>
  <c r="Q670" i="69"/>
  <c r="Q650" i="69"/>
  <c r="Q678" i="69"/>
  <c r="Q658" i="69"/>
  <c r="Q172" i="19"/>
  <c r="Q152" i="19"/>
  <c r="Q180" i="19"/>
  <c r="Q160" i="19"/>
  <c r="Q927" i="61"/>
  <c r="Q907" i="61"/>
  <c r="Q919" i="61"/>
  <c r="Q899" i="61"/>
  <c r="Q467" i="57"/>
  <c r="Q447" i="57"/>
  <c r="Q475" i="57"/>
  <c r="Q455" i="57"/>
  <c r="Q189" i="45"/>
  <c r="Q169" i="45"/>
  <c r="Q193" i="45"/>
  <c r="Q173" i="45"/>
  <c r="Q730" i="19"/>
  <c r="Q710" i="19"/>
  <c r="Q727" i="19"/>
  <c r="Q707" i="19"/>
  <c r="P122" i="27"/>
  <c r="P122" i="78" s="1"/>
  <c r="P122" i="79" s="1"/>
  <c r="Q193" i="57"/>
  <c r="Q173" i="57"/>
  <c r="Q191" i="57"/>
  <c r="Q171" i="57"/>
  <c r="Q136" i="77"/>
  <c r="Q156" i="77"/>
  <c r="Q150" i="77"/>
  <c r="Q130" i="77"/>
  <c r="Q423" i="37"/>
  <c r="Q403" i="37"/>
  <c r="Q431" i="37"/>
  <c r="Q411" i="37"/>
  <c r="N141" i="79"/>
  <c r="N157" i="78"/>
  <c r="N32" i="84"/>
  <c r="N45" i="84" s="1"/>
  <c r="N68" i="84"/>
  <c r="O69" i="84"/>
  <c r="N264" i="78"/>
  <c r="O208" i="79"/>
  <c r="O207" i="79"/>
  <c r="O206" i="79"/>
  <c r="O205" i="79"/>
  <c r="N202" i="79"/>
  <c r="O210" i="79"/>
  <c r="O204" i="79"/>
  <c r="O209" i="79"/>
  <c r="O212" i="79"/>
  <c r="O203" i="79"/>
  <c r="P252" i="27"/>
  <c r="Q246" i="27"/>
  <c r="Q247" i="27"/>
  <c r="Q241" i="27"/>
  <c r="Q245" i="27"/>
  <c r="Q242" i="27"/>
  <c r="Q243" i="27"/>
  <c r="Q244" i="27"/>
  <c r="P202" i="27"/>
  <c r="Q187" i="27"/>
  <c r="Q187" i="78" s="1"/>
  <c r="Q188" i="27"/>
  <c r="Q188" i="78" s="1"/>
  <c r="Q184" i="27"/>
  <c r="Q184" i="78" s="1"/>
  <c r="Q192" i="27"/>
  <c r="Q192" i="78" s="1"/>
  <c r="Q196" i="27"/>
  <c r="Q196" i="78" s="1"/>
  <c r="Q185" i="27"/>
  <c r="Q185" i="78" s="1"/>
  <c r="Q191" i="27"/>
  <c r="Q191" i="78" s="1"/>
  <c r="Q189" i="27"/>
  <c r="Q189" i="78" s="1"/>
  <c r="Q190" i="27"/>
  <c r="Q190" i="78" s="1"/>
  <c r="Q194" i="27"/>
  <c r="Q194" i="78" s="1"/>
  <c r="Q193" i="27"/>
  <c r="Q193" i="78" s="1"/>
  <c r="Q195" i="27"/>
  <c r="Q195" i="78" s="1"/>
  <c r="Q186" i="27"/>
  <c r="Q186" i="78" s="1"/>
  <c r="Q197" i="27"/>
  <c r="Q197" i="78" s="1"/>
  <c r="Q91" i="78"/>
  <c r="Q91" i="79"/>
  <c r="Q86" i="78"/>
  <c r="Q86" i="79"/>
  <c r="Q85" i="78"/>
  <c r="Q85" i="79"/>
  <c r="Q82" i="78"/>
  <c r="Q82" i="79"/>
  <c r="Q90" i="78"/>
  <c r="Q90" i="79"/>
  <c r="Q84" i="79"/>
  <c r="Q84" i="78"/>
  <c r="Q75" i="79"/>
  <c r="Q75" i="78"/>
  <c r="Q81" i="78"/>
  <c r="Q81" i="79"/>
  <c r="Q87" i="79"/>
  <c r="Q87" i="78"/>
  <c r="Q89" i="79"/>
  <c r="Q89" i="78"/>
  <c r="Q74" i="79"/>
  <c r="Q74" i="78"/>
  <c r="Q78" i="78"/>
  <c r="Q78" i="79"/>
  <c r="Q80" i="79"/>
  <c r="Q80" i="78"/>
  <c r="Q92" i="78"/>
  <c r="Q92" i="79"/>
  <c r="Q83" i="79"/>
  <c r="Q83" i="78"/>
  <c r="Q88" i="78"/>
  <c r="Q88" i="79"/>
  <c r="Q79" i="78"/>
  <c r="Q79" i="79"/>
  <c r="Q69" i="78"/>
  <c r="Q69" i="79"/>
  <c r="Q71" i="78"/>
  <c r="Q71" i="79"/>
  <c r="Q73" i="79"/>
  <c r="Q73" i="78"/>
  <c r="Q70" i="78"/>
  <c r="Q70" i="79"/>
  <c r="P94" i="79"/>
  <c r="Q76" i="79"/>
  <c r="Q76" i="78"/>
  <c r="Q77" i="79"/>
  <c r="Q77" i="78"/>
  <c r="Q72" i="79"/>
  <c r="Q72" i="78"/>
  <c r="Q67" i="78"/>
  <c r="Q67" i="79"/>
  <c r="Q94" i="27"/>
  <c r="Q66" i="79"/>
  <c r="Q66" i="78"/>
  <c r="Q68" i="79"/>
  <c r="Q68" i="78"/>
  <c r="P94" i="78"/>
  <c r="S390" i="49"/>
  <c r="S141" i="53"/>
  <c r="S443" i="53"/>
  <c r="S422" i="53"/>
  <c r="S441" i="53"/>
  <c r="T402" i="53"/>
  <c r="T403" i="53"/>
  <c r="T398" i="53"/>
  <c r="T401" i="53"/>
  <c r="T399" i="53"/>
  <c r="T400" i="53"/>
  <c r="T404" i="53"/>
  <c r="T406" i="53"/>
  <c r="T405" i="53"/>
  <c r="S133" i="53"/>
  <c r="S447" i="53"/>
  <c r="T428" i="53"/>
  <c r="T430" i="53"/>
  <c r="T433" i="53"/>
  <c r="T429" i="53"/>
  <c r="T434" i="53"/>
  <c r="T432" i="53"/>
  <c r="T427" i="53"/>
  <c r="T426" i="53"/>
  <c r="T431" i="53"/>
  <c r="T414" i="53"/>
  <c r="T412" i="53"/>
  <c r="T413" i="53"/>
  <c r="T420" i="53"/>
  <c r="T418" i="53"/>
  <c r="T415" i="53"/>
  <c r="T417" i="53"/>
  <c r="T419" i="53"/>
  <c r="T416" i="53"/>
  <c r="S445" i="53"/>
  <c r="S138" i="53"/>
  <c r="R450" i="53"/>
  <c r="R81" i="27" s="1"/>
  <c r="R603" i="53"/>
  <c r="R614" i="53" s="1"/>
  <c r="R548" i="53"/>
  <c r="R566" i="53" s="1"/>
  <c r="R551" i="53"/>
  <c r="R569" i="53" s="1"/>
  <c r="R544" i="53"/>
  <c r="R562" i="53" s="1"/>
  <c r="R598" i="53"/>
  <c r="R609" i="53" s="1"/>
  <c r="R541" i="53"/>
  <c r="R559" i="53" s="1"/>
  <c r="R602" i="53"/>
  <c r="R613" i="53" s="1"/>
  <c r="R601" i="53"/>
  <c r="R612" i="53" s="1"/>
  <c r="R545" i="53"/>
  <c r="R563" i="53" s="1"/>
  <c r="R600" i="53"/>
  <c r="R611" i="53" s="1"/>
  <c r="R542" i="53"/>
  <c r="R560" i="53" s="1"/>
  <c r="R550" i="53"/>
  <c r="R568" i="53" s="1"/>
  <c r="R540" i="53"/>
  <c r="R543" i="53"/>
  <c r="R561" i="53" s="1"/>
  <c r="R546" i="53"/>
  <c r="R564" i="53" s="1"/>
  <c r="R549" i="53"/>
  <c r="R567" i="53" s="1"/>
  <c r="R547" i="53"/>
  <c r="R565" i="53" s="1"/>
  <c r="R553" i="53"/>
  <c r="R571" i="53" s="1"/>
  <c r="R599" i="53"/>
  <c r="R610" i="53" s="1"/>
  <c r="R597" i="53"/>
  <c r="R552" i="53"/>
  <c r="R570" i="53" s="1"/>
  <c r="S444" i="53"/>
  <c r="S446" i="53"/>
  <c r="S436" i="53"/>
  <c r="S448" i="53"/>
  <c r="S442" i="53"/>
  <c r="S440" i="53"/>
  <c r="S408" i="53"/>
  <c r="S119" i="53"/>
  <c r="S139" i="53"/>
  <c r="S142" i="53"/>
  <c r="T109" i="53"/>
  <c r="T115" i="53"/>
  <c r="T110" i="53"/>
  <c r="T114" i="53"/>
  <c r="T113" i="53"/>
  <c r="T117" i="53"/>
  <c r="T111" i="53"/>
  <c r="T112" i="53"/>
  <c r="T116" i="53"/>
  <c r="S140" i="53"/>
  <c r="T100" i="53"/>
  <c r="T95" i="53"/>
  <c r="T96" i="53"/>
  <c r="T98" i="53"/>
  <c r="T99" i="53"/>
  <c r="T97" i="53"/>
  <c r="T101" i="53"/>
  <c r="T102" i="53"/>
  <c r="T103" i="53"/>
  <c r="T129" i="53"/>
  <c r="T126" i="53"/>
  <c r="T130" i="53"/>
  <c r="T128" i="53"/>
  <c r="T125" i="53"/>
  <c r="T131" i="53"/>
  <c r="T123" i="53"/>
  <c r="T127" i="53"/>
  <c r="T124" i="53"/>
  <c r="S145" i="53"/>
  <c r="S137" i="53"/>
  <c r="S105" i="53"/>
  <c r="R147" i="53"/>
  <c r="R80" i="27" s="1"/>
  <c r="R243" i="53"/>
  <c r="R261" i="53" s="1"/>
  <c r="R294" i="53"/>
  <c r="R237" i="53"/>
  <c r="R296" i="53"/>
  <c r="R307" i="53" s="1"/>
  <c r="R241" i="53"/>
  <c r="R259" i="53" s="1"/>
  <c r="R245" i="53"/>
  <c r="R263" i="53" s="1"/>
  <c r="R248" i="53"/>
  <c r="R266" i="53" s="1"/>
  <c r="R249" i="53"/>
  <c r="R267" i="53" s="1"/>
  <c r="R298" i="53"/>
  <c r="R309" i="53" s="1"/>
  <c r="R300" i="53"/>
  <c r="R311" i="53" s="1"/>
  <c r="R239" i="53"/>
  <c r="R257" i="53" s="1"/>
  <c r="R238" i="53"/>
  <c r="R256" i="53" s="1"/>
  <c r="R247" i="53"/>
  <c r="R265" i="53" s="1"/>
  <c r="R250" i="53"/>
  <c r="R268" i="53" s="1"/>
  <c r="R295" i="53"/>
  <c r="R306" i="53" s="1"/>
  <c r="R299" i="53"/>
  <c r="R310" i="53" s="1"/>
  <c r="R240" i="53"/>
  <c r="R258" i="53" s="1"/>
  <c r="R297" i="53"/>
  <c r="R308" i="53" s="1"/>
  <c r="R246" i="53"/>
  <c r="R264" i="53" s="1"/>
  <c r="R244" i="53"/>
  <c r="R262" i="53" s="1"/>
  <c r="R242" i="53"/>
  <c r="R260" i="53" s="1"/>
  <c r="S144" i="53"/>
  <c r="S143" i="53"/>
  <c r="S115" i="49"/>
  <c r="S406" i="41"/>
  <c r="S392" i="49"/>
  <c r="S374" i="49"/>
  <c r="S99" i="49"/>
  <c r="T368" i="49"/>
  <c r="T371" i="49"/>
  <c r="T369" i="49"/>
  <c r="T372" i="49"/>
  <c r="T370" i="49"/>
  <c r="S364" i="49"/>
  <c r="S388" i="49"/>
  <c r="T380" i="49"/>
  <c r="T378" i="49"/>
  <c r="T382" i="49"/>
  <c r="T381" i="49"/>
  <c r="T379" i="49"/>
  <c r="S389" i="49"/>
  <c r="S391" i="49"/>
  <c r="R394" i="49"/>
  <c r="R79" i="27" s="1"/>
  <c r="R544" i="49"/>
  <c r="R555" i="49" s="1"/>
  <c r="R491" i="49"/>
  <c r="R509" i="49" s="1"/>
  <c r="R489" i="49"/>
  <c r="R507" i="49" s="1"/>
  <c r="R492" i="49"/>
  <c r="R510" i="49" s="1"/>
  <c r="R495" i="49"/>
  <c r="R513" i="49" s="1"/>
  <c r="R488" i="49"/>
  <c r="R506" i="49" s="1"/>
  <c r="R545" i="49"/>
  <c r="R556" i="49" s="1"/>
  <c r="R543" i="49"/>
  <c r="R554" i="49" s="1"/>
  <c r="R541" i="49"/>
  <c r="R486" i="49"/>
  <c r="R504" i="49" s="1"/>
  <c r="R485" i="49"/>
  <c r="R503" i="49" s="1"/>
  <c r="R542" i="49"/>
  <c r="R553" i="49" s="1"/>
  <c r="R497" i="49"/>
  <c r="R515" i="49" s="1"/>
  <c r="R496" i="49"/>
  <c r="R514" i="49" s="1"/>
  <c r="R494" i="49"/>
  <c r="R512" i="49" s="1"/>
  <c r="R493" i="49"/>
  <c r="R511" i="49" s="1"/>
  <c r="R547" i="49"/>
  <c r="R558" i="49" s="1"/>
  <c r="R484" i="49"/>
  <c r="R487" i="49"/>
  <c r="R505" i="49" s="1"/>
  <c r="R490" i="49"/>
  <c r="R508" i="49" s="1"/>
  <c r="R546" i="49"/>
  <c r="R557" i="49" s="1"/>
  <c r="S114" i="49"/>
  <c r="S384" i="49"/>
  <c r="T358" i="49"/>
  <c r="T361" i="49"/>
  <c r="T359" i="49"/>
  <c r="T362" i="49"/>
  <c r="T360" i="49"/>
  <c r="S116" i="49"/>
  <c r="R119" i="49"/>
  <c r="R78" i="27" s="1"/>
  <c r="R269" i="49"/>
  <c r="R280" i="49" s="1"/>
  <c r="R216" i="49"/>
  <c r="R234" i="49" s="1"/>
  <c r="R214" i="49"/>
  <c r="R232" i="49" s="1"/>
  <c r="R217" i="49"/>
  <c r="R235" i="49" s="1"/>
  <c r="R220" i="49"/>
  <c r="R238" i="49" s="1"/>
  <c r="R213" i="49"/>
  <c r="R231" i="49" s="1"/>
  <c r="R270" i="49"/>
  <c r="R281" i="49" s="1"/>
  <c r="R268" i="49"/>
  <c r="R279" i="49" s="1"/>
  <c r="R266" i="49"/>
  <c r="R211" i="49"/>
  <c r="R229" i="49" s="1"/>
  <c r="R210" i="49"/>
  <c r="R228" i="49" s="1"/>
  <c r="R267" i="49"/>
  <c r="R278" i="49" s="1"/>
  <c r="R222" i="49"/>
  <c r="R240" i="49" s="1"/>
  <c r="R221" i="49"/>
  <c r="R239" i="49" s="1"/>
  <c r="R219" i="49"/>
  <c r="R237" i="49" s="1"/>
  <c r="R218" i="49"/>
  <c r="R236" i="49" s="1"/>
  <c r="R272" i="49"/>
  <c r="R283" i="49" s="1"/>
  <c r="R209" i="49"/>
  <c r="R212" i="49"/>
  <c r="R230" i="49" s="1"/>
  <c r="R215" i="49"/>
  <c r="R233" i="49" s="1"/>
  <c r="R271" i="49"/>
  <c r="R282" i="49" s="1"/>
  <c r="T83" i="49"/>
  <c r="T84" i="49"/>
  <c r="T87" i="49"/>
  <c r="T86" i="49"/>
  <c r="T85" i="49"/>
  <c r="S114" i="41"/>
  <c r="S89" i="49"/>
  <c r="S113" i="49"/>
  <c r="T94" i="49"/>
  <c r="T97" i="49"/>
  <c r="T93" i="49"/>
  <c r="T96" i="49"/>
  <c r="T95" i="49"/>
  <c r="S117" i="49"/>
  <c r="S109" i="49"/>
  <c r="T107" i="49"/>
  <c r="T103" i="49"/>
  <c r="T105" i="49"/>
  <c r="T104" i="49"/>
  <c r="T106" i="49"/>
  <c r="S158" i="29"/>
  <c r="S162" i="29"/>
  <c r="S384" i="41"/>
  <c r="T381" i="41"/>
  <c r="T379" i="41"/>
  <c r="T380" i="41"/>
  <c r="T376" i="41"/>
  <c r="T382" i="41"/>
  <c r="T378" i="41"/>
  <c r="T377" i="41"/>
  <c r="S404" i="41"/>
  <c r="S396" i="41"/>
  <c r="R408" i="41"/>
  <c r="R75" i="27" s="1"/>
  <c r="R510" i="41"/>
  <c r="R528" i="41" s="1"/>
  <c r="R508" i="41"/>
  <c r="R526" i="41" s="1"/>
  <c r="R499" i="41"/>
  <c r="R517" i="41" s="1"/>
  <c r="R507" i="41"/>
  <c r="R525" i="41" s="1"/>
  <c r="R558" i="41"/>
  <c r="R569" i="41" s="1"/>
  <c r="R504" i="41"/>
  <c r="R522" i="41" s="1"/>
  <c r="R560" i="41"/>
  <c r="R571" i="41" s="1"/>
  <c r="R503" i="41"/>
  <c r="R521" i="41" s="1"/>
  <c r="R498" i="41"/>
  <c r="R501" i="41"/>
  <c r="R519" i="41" s="1"/>
  <c r="R561" i="41"/>
  <c r="R572" i="41" s="1"/>
  <c r="R502" i="41"/>
  <c r="R520" i="41" s="1"/>
  <c r="R500" i="41"/>
  <c r="R518" i="41" s="1"/>
  <c r="R505" i="41"/>
  <c r="R523" i="41" s="1"/>
  <c r="R559" i="41"/>
  <c r="R570" i="41" s="1"/>
  <c r="R557" i="41"/>
  <c r="R568" i="41" s="1"/>
  <c r="R555" i="41"/>
  <c r="R506" i="41"/>
  <c r="R524" i="41" s="1"/>
  <c r="R509" i="41"/>
  <c r="R527" i="41" s="1"/>
  <c r="R511" i="41"/>
  <c r="R529" i="41" s="1"/>
  <c r="R556" i="41"/>
  <c r="R567" i="41" s="1"/>
  <c r="S403" i="41"/>
  <c r="S173" i="18"/>
  <c r="S402" i="41"/>
  <c r="S405" i="41"/>
  <c r="T366" i="41"/>
  <c r="T369" i="41"/>
  <c r="T368" i="41"/>
  <c r="T367" i="41"/>
  <c r="T370" i="41"/>
  <c r="T364" i="41"/>
  <c r="T365" i="41"/>
  <c r="S400" i="41"/>
  <c r="S372" i="41"/>
  <c r="T390" i="41"/>
  <c r="T393" i="41"/>
  <c r="T391" i="41"/>
  <c r="T388" i="41"/>
  <c r="T392" i="41"/>
  <c r="T389" i="41"/>
  <c r="T394" i="41"/>
  <c r="S401" i="41"/>
  <c r="S116" i="41"/>
  <c r="S109" i="41"/>
  <c r="S99" i="41"/>
  <c r="T83" i="41"/>
  <c r="T87" i="41"/>
  <c r="T85" i="41"/>
  <c r="T84" i="41"/>
  <c r="T86" i="41"/>
  <c r="S166" i="29"/>
  <c r="S117" i="41"/>
  <c r="R119" i="41"/>
  <c r="R74" i="27" s="1"/>
  <c r="R269" i="41"/>
  <c r="R280" i="41" s="1"/>
  <c r="R216" i="41"/>
  <c r="R234" i="41" s="1"/>
  <c r="R214" i="41"/>
  <c r="R232" i="41" s="1"/>
  <c r="R217" i="41"/>
  <c r="R235" i="41" s="1"/>
  <c r="R220" i="41"/>
  <c r="R238" i="41" s="1"/>
  <c r="R213" i="41"/>
  <c r="R231" i="41" s="1"/>
  <c r="R270" i="41"/>
  <c r="R281" i="41" s="1"/>
  <c r="R268" i="41"/>
  <c r="R279" i="41" s="1"/>
  <c r="R266" i="41"/>
  <c r="R211" i="41"/>
  <c r="R229" i="41" s="1"/>
  <c r="R210" i="41"/>
  <c r="R228" i="41" s="1"/>
  <c r="R267" i="41"/>
  <c r="R278" i="41" s="1"/>
  <c r="R222" i="41"/>
  <c r="R240" i="41" s="1"/>
  <c r="R221" i="41"/>
  <c r="R239" i="41" s="1"/>
  <c r="R219" i="41"/>
  <c r="R237" i="41" s="1"/>
  <c r="R218" i="41"/>
  <c r="R236" i="41" s="1"/>
  <c r="R272" i="41"/>
  <c r="R283" i="41" s="1"/>
  <c r="R209" i="41"/>
  <c r="R212" i="41"/>
  <c r="R230" i="41" s="1"/>
  <c r="R215" i="41"/>
  <c r="R233" i="41" s="1"/>
  <c r="R271" i="41"/>
  <c r="R282" i="41" s="1"/>
  <c r="S89" i="41"/>
  <c r="S113" i="41"/>
  <c r="T103" i="41"/>
  <c r="T106" i="41"/>
  <c r="T107" i="41"/>
  <c r="T105" i="41"/>
  <c r="T104" i="41"/>
  <c r="T97" i="41"/>
  <c r="T93" i="41"/>
  <c r="T96" i="41"/>
  <c r="T94" i="41"/>
  <c r="T95" i="41"/>
  <c r="S115" i="41"/>
  <c r="S161" i="29"/>
  <c r="S157" i="29"/>
  <c r="S163" i="29"/>
  <c r="S160" i="29"/>
  <c r="S165" i="29"/>
  <c r="T138" i="29"/>
  <c r="T140" i="29"/>
  <c r="T142" i="29"/>
  <c r="T146" i="29"/>
  <c r="T148" i="29"/>
  <c r="T141" i="29"/>
  <c r="T145" i="29"/>
  <c r="T147" i="29"/>
  <c r="T144" i="29"/>
  <c r="T149" i="29"/>
  <c r="T143" i="29"/>
  <c r="T139" i="29"/>
  <c r="R168" i="29"/>
  <c r="R68" i="27" s="1"/>
  <c r="R318" i="29"/>
  <c r="R329" i="29" s="1"/>
  <c r="R271" i="29"/>
  <c r="R289" i="29" s="1"/>
  <c r="R269" i="29"/>
  <c r="R287" i="29" s="1"/>
  <c r="R270" i="29"/>
  <c r="R288" i="29" s="1"/>
  <c r="R265" i="29"/>
  <c r="R283" i="29" s="1"/>
  <c r="R258" i="29"/>
  <c r="R261" i="29"/>
  <c r="R279" i="29" s="1"/>
  <c r="R259" i="29"/>
  <c r="R277" i="29" s="1"/>
  <c r="R260" i="29"/>
  <c r="R278" i="29" s="1"/>
  <c r="R268" i="29"/>
  <c r="R286" i="29" s="1"/>
  <c r="R321" i="29"/>
  <c r="R332" i="29" s="1"/>
  <c r="R320" i="29"/>
  <c r="R331" i="29" s="1"/>
  <c r="R262" i="29"/>
  <c r="R280" i="29" s="1"/>
  <c r="R263" i="29"/>
  <c r="R281" i="29" s="1"/>
  <c r="R266" i="29"/>
  <c r="R284" i="29" s="1"/>
  <c r="R267" i="29"/>
  <c r="R285" i="29" s="1"/>
  <c r="R316" i="29"/>
  <c r="R327" i="29" s="1"/>
  <c r="R264" i="29"/>
  <c r="R282" i="29" s="1"/>
  <c r="R319" i="29"/>
  <c r="R330" i="29" s="1"/>
  <c r="R317" i="29"/>
  <c r="R328" i="29" s="1"/>
  <c r="R315" i="29"/>
  <c r="S151" i="29"/>
  <c r="T111" i="29"/>
  <c r="T107" i="29"/>
  <c r="T115" i="29"/>
  <c r="T110" i="29"/>
  <c r="T108" i="29"/>
  <c r="T106" i="29"/>
  <c r="T109" i="29"/>
  <c r="T112" i="29"/>
  <c r="T105" i="29"/>
  <c r="T114" i="29"/>
  <c r="T104" i="29"/>
  <c r="T113" i="29"/>
  <c r="S134" i="29"/>
  <c r="S155" i="29"/>
  <c r="S117" i="29"/>
  <c r="S164" i="29"/>
  <c r="T124" i="29"/>
  <c r="T128" i="29"/>
  <c r="T123" i="29"/>
  <c r="T131" i="29"/>
  <c r="T121" i="29"/>
  <c r="T129" i="29"/>
  <c r="T132" i="29"/>
  <c r="T122" i="29"/>
  <c r="T125" i="29"/>
  <c r="T127" i="29"/>
  <c r="T130" i="29"/>
  <c r="T126" i="29"/>
  <c r="S159" i="29"/>
  <c r="S156" i="29"/>
  <c r="S167" i="18"/>
  <c r="S172" i="18"/>
  <c r="S161" i="18"/>
  <c r="S121" i="18"/>
  <c r="T133" i="18"/>
  <c r="T137" i="18"/>
  <c r="T125" i="18"/>
  <c r="T126" i="18"/>
  <c r="T127" i="18"/>
  <c r="T129" i="18"/>
  <c r="T130" i="18"/>
  <c r="T131" i="18"/>
  <c r="T134" i="18"/>
  <c r="T135" i="18"/>
  <c r="T136" i="18"/>
  <c r="T128" i="18"/>
  <c r="T132" i="18"/>
  <c r="S157" i="18"/>
  <c r="T147" i="18"/>
  <c r="T143" i="18"/>
  <c r="T151" i="18"/>
  <c r="T154" i="18"/>
  <c r="T153" i="18"/>
  <c r="T144" i="18"/>
  <c r="T152" i="18"/>
  <c r="T155" i="18"/>
  <c r="T149" i="18"/>
  <c r="T146" i="18"/>
  <c r="T145" i="18"/>
  <c r="T150" i="18"/>
  <c r="T148" i="18"/>
  <c r="S139" i="18"/>
  <c r="S163" i="18"/>
  <c r="S165" i="18"/>
  <c r="T109" i="18"/>
  <c r="T110" i="18"/>
  <c r="T113" i="18"/>
  <c r="T116" i="18"/>
  <c r="T111" i="18"/>
  <c r="T119" i="18"/>
  <c r="T114" i="18"/>
  <c r="T117" i="18"/>
  <c r="T108" i="18"/>
  <c r="T112" i="18"/>
  <c r="T115" i="18"/>
  <c r="T169" i="18" s="1"/>
  <c r="T118" i="18"/>
  <c r="T107" i="18"/>
  <c r="S169" i="18"/>
  <c r="S170" i="18"/>
  <c r="S162" i="18"/>
  <c r="R175" i="18"/>
  <c r="R66" i="27" s="1"/>
  <c r="R327" i="18"/>
  <c r="R277" i="18"/>
  <c r="R325" i="18"/>
  <c r="R266" i="18"/>
  <c r="R268" i="18"/>
  <c r="R272" i="18"/>
  <c r="R271" i="18"/>
  <c r="R324" i="18"/>
  <c r="R326" i="18"/>
  <c r="R328" i="18"/>
  <c r="R267" i="18"/>
  <c r="R276" i="18"/>
  <c r="R265" i="18"/>
  <c r="R322" i="18"/>
  <c r="R274" i="18"/>
  <c r="R270" i="18"/>
  <c r="R269" i="18"/>
  <c r="R275" i="18"/>
  <c r="R323" i="18"/>
  <c r="R273" i="18"/>
  <c r="R278" i="18"/>
  <c r="S166" i="18"/>
  <c r="S171" i="18"/>
  <c r="S164" i="18"/>
  <c r="S168" i="18"/>
  <c r="N216" i="78"/>
  <c r="P212" i="78"/>
  <c r="P207" i="78"/>
  <c r="O202" i="78"/>
  <c r="P214" i="78"/>
  <c r="P214" i="79" s="1"/>
  <c r="P211" i="78"/>
  <c r="P209" i="78"/>
  <c r="P215" i="78"/>
  <c r="P215" i="79" s="1"/>
  <c r="P204" i="78"/>
  <c r="P210" i="78"/>
  <c r="P206" i="78"/>
  <c r="P208" i="78"/>
  <c r="P213" i="78"/>
  <c r="P213" i="79" s="1"/>
  <c r="P205" i="78"/>
  <c r="P203" i="78"/>
  <c r="P190" i="79"/>
  <c r="P186" i="79"/>
  <c r="P189" i="79"/>
  <c r="P194" i="79"/>
  <c r="P188" i="79"/>
  <c r="P191" i="79"/>
  <c r="P185" i="79"/>
  <c r="P197" i="79"/>
  <c r="P196" i="79"/>
  <c r="P195" i="79"/>
  <c r="P192" i="79"/>
  <c r="P193" i="79"/>
  <c r="P187" i="79"/>
  <c r="R466" i="37"/>
  <c r="R484" i="37" s="1"/>
  <c r="R469" i="37"/>
  <c r="R487" i="37" s="1"/>
  <c r="R476" i="37"/>
  <c r="R494" i="37" s="1"/>
  <c r="R463" i="37"/>
  <c r="R474" i="37"/>
  <c r="R492" i="37" s="1"/>
  <c r="R467" i="37"/>
  <c r="R485" i="37" s="1"/>
  <c r="R464" i="37"/>
  <c r="R482" i="37" s="1"/>
  <c r="R468" i="37"/>
  <c r="R486" i="37" s="1"/>
  <c r="R472" i="37"/>
  <c r="R490" i="37" s="1"/>
  <c r="R471" i="37"/>
  <c r="R489" i="37" s="1"/>
  <c r="R470" i="37"/>
  <c r="R488" i="37" s="1"/>
  <c r="R465" i="37"/>
  <c r="R483" i="37" s="1"/>
  <c r="R475" i="37"/>
  <c r="R493" i="37" s="1"/>
  <c r="R473" i="37"/>
  <c r="R491" i="37" s="1"/>
  <c r="R218" i="19"/>
  <c r="R236" i="19" s="1"/>
  <c r="R209" i="19"/>
  <c r="R212" i="19"/>
  <c r="R230" i="19" s="1"/>
  <c r="R215" i="19"/>
  <c r="R233" i="19" s="1"/>
  <c r="R222" i="19"/>
  <c r="R240" i="19" s="1"/>
  <c r="R219" i="19"/>
  <c r="R237" i="19" s="1"/>
  <c r="R216" i="19"/>
  <c r="R234" i="19" s="1"/>
  <c r="R217" i="19"/>
  <c r="R235" i="19" s="1"/>
  <c r="R220" i="19"/>
  <c r="R238" i="19" s="1"/>
  <c r="R213" i="19"/>
  <c r="R231" i="19" s="1"/>
  <c r="R210" i="19"/>
  <c r="R228" i="19" s="1"/>
  <c r="R214" i="19"/>
  <c r="R232" i="19" s="1"/>
  <c r="R221" i="19"/>
  <c r="R239" i="19" s="1"/>
  <c r="R211" i="19"/>
  <c r="R229" i="19" s="1"/>
  <c r="R453" i="61"/>
  <c r="R471" i="61" s="1"/>
  <c r="R459" i="61"/>
  <c r="R477" i="61" s="1"/>
  <c r="R461" i="61"/>
  <c r="R479" i="61" s="1"/>
  <c r="R452" i="61"/>
  <c r="R470" i="61" s="1"/>
  <c r="R463" i="61"/>
  <c r="R481" i="61" s="1"/>
  <c r="R451" i="61"/>
  <c r="R469" i="61" s="1"/>
  <c r="R462" i="61"/>
  <c r="R480" i="61" s="1"/>
  <c r="R458" i="61"/>
  <c r="R476" i="61" s="1"/>
  <c r="R460" i="61"/>
  <c r="R478" i="61" s="1"/>
  <c r="R450" i="61"/>
  <c r="R456" i="61"/>
  <c r="R474" i="61" s="1"/>
  <c r="R457" i="61"/>
  <c r="R475" i="61" s="1"/>
  <c r="R455" i="61"/>
  <c r="R473" i="61" s="1"/>
  <c r="R454" i="61"/>
  <c r="R472" i="61" s="1"/>
  <c r="R766" i="19"/>
  <c r="R784" i="19" s="1"/>
  <c r="R761" i="19"/>
  <c r="R779" i="19" s="1"/>
  <c r="R762" i="19"/>
  <c r="R780" i="19" s="1"/>
  <c r="R763" i="19"/>
  <c r="R781" i="19" s="1"/>
  <c r="R764" i="19"/>
  <c r="R782" i="19" s="1"/>
  <c r="R771" i="19"/>
  <c r="R789" i="19" s="1"/>
  <c r="R760" i="19"/>
  <c r="R778" i="19" s="1"/>
  <c r="R765" i="19"/>
  <c r="R783" i="19" s="1"/>
  <c r="R767" i="19"/>
  <c r="R785" i="19" s="1"/>
  <c r="R769" i="19"/>
  <c r="R787" i="19" s="1"/>
  <c r="R772" i="19"/>
  <c r="R790" i="19" s="1"/>
  <c r="R759" i="19"/>
  <c r="R768" i="19"/>
  <c r="R786" i="19" s="1"/>
  <c r="R770" i="19"/>
  <c r="R788" i="19" s="1"/>
  <c r="R327" i="75"/>
  <c r="R345" i="75" s="1"/>
  <c r="R320" i="75"/>
  <c r="R338" i="75" s="1"/>
  <c r="R324" i="75"/>
  <c r="R342" i="75" s="1"/>
  <c r="R315" i="75"/>
  <c r="R333" i="75" s="1"/>
  <c r="R314" i="75"/>
  <c r="R323" i="75"/>
  <c r="R341" i="75" s="1"/>
  <c r="R319" i="75"/>
  <c r="R337" i="75" s="1"/>
  <c r="R322" i="75"/>
  <c r="R340" i="75" s="1"/>
  <c r="R318" i="75"/>
  <c r="R336" i="75" s="1"/>
  <c r="R316" i="75"/>
  <c r="R334" i="75" s="1"/>
  <c r="R326" i="75"/>
  <c r="R344" i="75" s="1"/>
  <c r="R325" i="75"/>
  <c r="R343" i="75" s="1"/>
  <c r="R321" i="75"/>
  <c r="R339" i="75" s="1"/>
  <c r="R317" i="75"/>
  <c r="R335" i="75" s="1"/>
  <c r="Q285" i="18"/>
  <c r="Q204" i="27" s="1"/>
  <c r="Q558" i="53"/>
  <c r="Q572" i="53" s="1"/>
  <c r="Q554" i="53"/>
  <c r="Q621" i="53" s="1"/>
  <c r="Q777" i="19"/>
  <c r="Q791" i="19" s="1"/>
  <c r="Q773" i="19"/>
  <c r="Q840" i="19" s="1"/>
  <c r="Q512" i="41"/>
  <c r="Q579" i="41" s="1"/>
  <c r="Q516" i="41"/>
  <c r="Q530" i="41" s="1"/>
  <c r="Q227" i="41"/>
  <c r="Q241" i="41" s="1"/>
  <c r="Q223" i="41"/>
  <c r="Q290" i="41" s="1"/>
  <c r="R715" i="69"/>
  <c r="R733" i="69" s="1"/>
  <c r="R724" i="69"/>
  <c r="R742" i="69" s="1"/>
  <c r="R711" i="69"/>
  <c r="R714" i="69"/>
  <c r="R732" i="69" s="1"/>
  <c r="R723" i="69"/>
  <c r="R741" i="69" s="1"/>
  <c r="R713" i="69"/>
  <c r="R731" i="69" s="1"/>
  <c r="R717" i="69"/>
  <c r="R735" i="69" s="1"/>
  <c r="R719" i="69"/>
  <c r="R737" i="69" s="1"/>
  <c r="R722" i="69"/>
  <c r="R740" i="69" s="1"/>
  <c r="R716" i="69"/>
  <c r="R734" i="69" s="1"/>
  <c r="R721" i="69"/>
  <c r="R739" i="69" s="1"/>
  <c r="R718" i="69"/>
  <c r="R736" i="69" s="1"/>
  <c r="R712" i="69"/>
  <c r="R730" i="69" s="1"/>
  <c r="R720" i="69"/>
  <c r="R738" i="69" s="1"/>
  <c r="R494" i="45"/>
  <c r="R512" i="45" s="1"/>
  <c r="R488" i="45"/>
  <c r="R506" i="45" s="1"/>
  <c r="R497" i="45"/>
  <c r="R515" i="45" s="1"/>
  <c r="R493" i="45"/>
  <c r="R511" i="45" s="1"/>
  <c r="R496" i="45"/>
  <c r="R514" i="45" s="1"/>
  <c r="R490" i="45"/>
  <c r="R508" i="45" s="1"/>
  <c r="R487" i="45"/>
  <c r="R505" i="45" s="1"/>
  <c r="R484" i="45"/>
  <c r="R489" i="45"/>
  <c r="R507" i="45" s="1"/>
  <c r="R492" i="45"/>
  <c r="R510" i="45" s="1"/>
  <c r="R486" i="45"/>
  <c r="R504" i="45" s="1"/>
  <c r="R485" i="45"/>
  <c r="R503" i="45" s="1"/>
  <c r="R491" i="45"/>
  <c r="R509" i="45" s="1"/>
  <c r="R495" i="45"/>
  <c r="R513" i="45" s="1"/>
  <c r="R715" i="61"/>
  <c r="R733" i="61" s="1"/>
  <c r="R714" i="61"/>
  <c r="R732" i="61" s="1"/>
  <c r="R712" i="61"/>
  <c r="R730" i="61" s="1"/>
  <c r="R705" i="61"/>
  <c r="R708" i="61"/>
  <c r="R726" i="61" s="1"/>
  <c r="R711" i="61"/>
  <c r="R729" i="61" s="1"/>
  <c r="R709" i="61"/>
  <c r="R727" i="61" s="1"/>
  <c r="R710" i="61"/>
  <c r="R728" i="61" s="1"/>
  <c r="R713" i="61"/>
  <c r="R731" i="61" s="1"/>
  <c r="R716" i="61"/>
  <c r="R734" i="61" s="1"/>
  <c r="R717" i="61"/>
  <c r="R735" i="61" s="1"/>
  <c r="R707" i="61"/>
  <c r="R725" i="61" s="1"/>
  <c r="R706" i="61"/>
  <c r="R724" i="61" s="1"/>
  <c r="R718" i="61"/>
  <c r="R736" i="61" s="1"/>
  <c r="R222" i="37"/>
  <c r="R240" i="37" s="1"/>
  <c r="R213" i="37"/>
  <c r="R231" i="37" s="1"/>
  <c r="R210" i="37"/>
  <c r="R228" i="37" s="1"/>
  <c r="R209" i="37"/>
  <c r="R219" i="37"/>
  <c r="R237" i="37" s="1"/>
  <c r="R211" i="37"/>
  <c r="R229" i="37" s="1"/>
  <c r="R215" i="37"/>
  <c r="R233" i="37" s="1"/>
  <c r="R221" i="37"/>
  <c r="R239" i="37" s="1"/>
  <c r="R218" i="37"/>
  <c r="R236" i="37" s="1"/>
  <c r="R214" i="37"/>
  <c r="R232" i="37" s="1"/>
  <c r="R217" i="37"/>
  <c r="R235" i="37" s="1"/>
  <c r="R220" i="37"/>
  <c r="R238" i="37" s="1"/>
  <c r="R212" i="37"/>
  <c r="R230" i="37" s="1"/>
  <c r="R216" i="37"/>
  <c r="R234" i="37" s="1"/>
  <c r="Q291" i="18"/>
  <c r="Q210" i="27" s="1"/>
  <c r="Q207" i="61"/>
  <c r="Q274" i="61" s="1"/>
  <c r="Q211" i="61"/>
  <c r="Q225" i="61" s="1"/>
  <c r="Q206" i="77"/>
  <c r="Q220" i="77" s="1"/>
  <c r="Q202" i="77"/>
  <c r="Q269" i="77" s="1"/>
  <c r="R450" i="69"/>
  <c r="R468" i="69" s="1"/>
  <c r="R455" i="69"/>
  <c r="R473" i="69" s="1"/>
  <c r="R456" i="69"/>
  <c r="R474" i="69" s="1"/>
  <c r="R443" i="69"/>
  <c r="R444" i="69"/>
  <c r="R462" i="69" s="1"/>
  <c r="R454" i="69"/>
  <c r="R472" i="69" s="1"/>
  <c r="R447" i="69"/>
  <c r="R465" i="69" s="1"/>
  <c r="R448" i="69"/>
  <c r="R466" i="69" s="1"/>
  <c r="R445" i="69"/>
  <c r="R463" i="69" s="1"/>
  <c r="R451" i="69"/>
  <c r="R469" i="69" s="1"/>
  <c r="R452" i="69"/>
  <c r="R470" i="69" s="1"/>
  <c r="R453" i="69"/>
  <c r="R471" i="69" s="1"/>
  <c r="R446" i="69"/>
  <c r="R464" i="69" s="1"/>
  <c r="R449" i="69"/>
  <c r="R467" i="69" s="1"/>
  <c r="O216" i="27"/>
  <c r="Q293" i="18"/>
  <c r="Q212" i="27" s="1"/>
  <c r="Q288" i="18"/>
  <c r="Q207" i="27" s="1"/>
  <c r="Q974" i="61"/>
  <c r="Q1041" i="61" s="1"/>
  <c r="Q978" i="61"/>
  <c r="Q992" i="61" s="1"/>
  <c r="Q223" i="37"/>
  <c r="Q290" i="37" s="1"/>
  <c r="Q227" i="37"/>
  <c r="Q241" i="37" s="1"/>
  <c r="Q202" i="69"/>
  <c r="Q269" i="69" s="1"/>
  <c r="Q206" i="69"/>
  <c r="Q220" i="69" s="1"/>
  <c r="Q227" i="49"/>
  <c r="Q241" i="49" s="1"/>
  <c r="Q223" i="49"/>
  <c r="Q290" i="49" s="1"/>
  <c r="Q502" i="19"/>
  <c r="Q516" i="19" s="1"/>
  <c r="Q498" i="19"/>
  <c r="Q565" i="19" s="1"/>
  <c r="Q498" i="45"/>
  <c r="Q565" i="45" s="1"/>
  <c r="Q502" i="45"/>
  <c r="Q516" i="45" s="1"/>
  <c r="Q255" i="53"/>
  <c r="Q269" i="53" s="1"/>
  <c r="Q251" i="53"/>
  <c r="Q318" i="53" s="1"/>
  <c r="R228" i="57"/>
  <c r="R246" i="57" s="1"/>
  <c r="R232" i="57"/>
  <c r="R250" i="57" s="1"/>
  <c r="R225" i="57"/>
  <c r="R243" i="57" s="1"/>
  <c r="R223" i="57"/>
  <c r="R229" i="57"/>
  <c r="R247" i="57" s="1"/>
  <c r="R236" i="57"/>
  <c r="R254" i="57" s="1"/>
  <c r="R226" i="57"/>
  <c r="R244" i="57" s="1"/>
  <c r="R230" i="57"/>
  <c r="R248" i="57" s="1"/>
  <c r="R233" i="57"/>
  <c r="R251" i="57" s="1"/>
  <c r="R227" i="57"/>
  <c r="R245" i="57" s="1"/>
  <c r="R224" i="57"/>
  <c r="R242" i="57" s="1"/>
  <c r="R234" i="57"/>
  <c r="R252" i="57" s="1"/>
  <c r="R231" i="57"/>
  <c r="R249" i="57" s="1"/>
  <c r="R235" i="57"/>
  <c r="R253" i="57" s="1"/>
  <c r="Q296" i="18"/>
  <c r="Q215" i="27" s="1"/>
  <c r="Q284" i="18"/>
  <c r="Q203" i="27" s="1"/>
  <c r="R238" i="45"/>
  <c r="R256" i="45" s="1"/>
  <c r="R236" i="45"/>
  <c r="R254" i="45" s="1"/>
  <c r="R235" i="45"/>
  <c r="R253" i="45" s="1"/>
  <c r="R233" i="45"/>
  <c r="R251" i="45" s="1"/>
  <c r="R234" i="45"/>
  <c r="R252" i="45" s="1"/>
  <c r="R232" i="45"/>
  <c r="R250" i="45" s="1"/>
  <c r="R231" i="45"/>
  <c r="R249" i="45" s="1"/>
  <c r="R243" i="45"/>
  <c r="R261" i="45" s="1"/>
  <c r="R241" i="45"/>
  <c r="R259" i="45" s="1"/>
  <c r="R230" i="45"/>
  <c r="R240" i="45"/>
  <c r="R258" i="45" s="1"/>
  <c r="R242" i="45"/>
  <c r="R260" i="45" s="1"/>
  <c r="R239" i="45"/>
  <c r="R257" i="45" s="1"/>
  <c r="R237" i="45"/>
  <c r="R255" i="45" s="1"/>
  <c r="R195" i="77"/>
  <c r="R213" i="77" s="1"/>
  <c r="R193" i="77"/>
  <c r="R211" i="77" s="1"/>
  <c r="R199" i="77"/>
  <c r="R217" i="77" s="1"/>
  <c r="R189" i="77"/>
  <c r="R207" i="77" s="1"/>
  <c r="R190" i="77"/>
  <c r="R208" i="77" s="1"/>
  <c r="R192" i="77"/>
  <c r="R210" i="77" s="1"/>
  <c r="R188" i="77"/>
  <c r="R201" i="77"/>
  <c r="R219" i="77" s="1"/>
  <c r="R196" i="77"/>
  <c r="R214" i="77" s="1"/>
  <c r="R197" i="77"/>
  <c r="R215" i="77" s="1"/>
  <c r="R191" i="77"/>
  <c r="R209" i="77" s="1"/>
  <c r="R194" i="77"/>
  <c r="R212" i="77" s="1"/>
  <c r="R200" i="77"/>
  <c r="R218" i="77" s="1"/>
  <c r="R198" i="77"/>
  <c r="R216" i="77" s="1"/>
  <c r="R510" i="57"/>
  <c r="R528" i="57" s="1"/>
  <c r="R512" i="57"/>
  <c r="R530" i="57" s="1"/>
  <c r="R518" i="57"/>
  <c r="R536" i="57" s="1"/>
  <c r="R514" i="57"/>
  <c r="R532" i="57" s="1"/>
  <c r="R509" i="57"/>
  <c r="R527" i="57" s="1"/>
  <c r="R505" i="57"/>
  <c r="R508" i="57"/>
  <c r="R526" i="57" s="1"/>
  <c r="R517" i="57"/>
  <c r="R535" i="57" s="1"/>
  <c r="R506" i="57"/>
  <c r="R524" i="57" s="1"/>
  <c r="R515" i="57"/>
  <c r="R533" i="57" s="1"/>
  <c r="R507" i="57"/>
  <c r="R525" i="57" s="1"/>
  <c r="R513" i="57"/>
  <c r="R531" i="57" s="1"/>
  <c r="R516" i="57"/>
  <c r="R534" i="57" s="1"/>
  <c r="R511" i="57"/>
  <c r="R529" i="57" s="1"/>
  <c r="R196" i="61"/>
  <c r="R214" i="61" s="1"/>
  <c r="R205" i="61"/>
  <c r="R223" i="61" s="1"/>
  <c r="R203" i="61"/>
  <c r="R221" i="61" s="1"/>
  <c r="R193" i="61"/>
  <c r="R200" i="61"/>
  <c r="R218" i="61" s="1"/>
  <c r="R201" i="61"/>
  <c r="R219" i="61" s="1"/>
  <c r="R204" i="61"/>
  <c r="R222" i="61" s="1"/>
  <c r="R194" i="61"/>
  <c r="R212" i="61" s="1"/>
  <c r="R198" i="61"/>
  <c r="R216" i="61" s="1"/>
  <c r="R197" i="61"/>
  <c r="R215" i="61" s="1"/>
  <c r="R195" i="61"/>
  <c r="R213" i="61" s="1"/>
  <c r="R202" i="61"/>
  <c r="R220" i="61" s="1"/>
  <c r="R206" i="61"/>
  <c r="R224" i="61" s="1"/>
  <c r="R199" i="61"/>
  <c r="R217" i="61" s="1"/>
  <c r="Q290" i="18"/>
  <c r="Q209" i="27" s="1"/>
  <c r="Q295" i="18"/>
  <c r="Q214" i="27" s="1"/>
  <c r="Q332" i="75"/>
  <c r="Q346" i="75" s="1"/>
  <c r="Q328" i="75"/>
  <c r="Q395" i="75" s="1"/>
  <c r="Q227" i="19"/>
  <c r="Q241" i="19" s="1"/>
  <c r="Q223" i="19"/>
  <c r="Q290" i="19" s="1"/>
  <c r="Q292" i="18"/>
  <c r="Q211" i="27" s="1"/>
  <c r="Q287" i="18"/>
  <c r="Q206" i="27" s="1"/>
  <c r="O198" i="78"/>
  <c r="O265" i="78" s="1"/>
  <c r="O184" i="79"/>
  <c r="Q206" i="33"/>
  <c r="Q220" i="33" s="1"/>
  <c r="Q202" i="33"/>
  <c r="Q269" i="33" s="1"/>
  <c r="Q519" i="57"/>
  <c r="Q586" i="57" s="1"/>
  <c r="Q523" i="57"/>
  <c r="Q537" i="57" s="1"/>
  <c r="Q477" i="37"/>
  <c r="Q544" i="37" s="1"/>
  <c r="Q481" i="37"/>
  <c r="Q495" i="37" s="1"/>
  <c r="Q272" i="29"/>
  <c r="Q339" i="29" s="1"/>
  <c r="Q276" i="29"/>
  <c r="Q290" i="29" s="1"/>
  <c r="Q241" i="57"/>
  <c r="Q255" i="57" s="1"/>
  <c r="Q237" i="57"/>
  <c r="Q304" i="57" s="1"/>
  <c r="Q289" i="18"/>
  <c r="Q208" i="27" s="1"/>
  <c r="Q294" i="18"/>
  <c r="Q213" i="27" s="1"/>
  <c r="Q719" i="61"/>
  <c r="Q786" i="61" s="1"/>
  <c r="Q723" i="61"/>
  <c r="Q737" i="61" s="1"/>
  <c r="P198" i="27"/>
  <c r="Q461" i="69"/>
  <c r="Q475" i="69" s="1"/>
  <c r="Q457" i="69"/>
  <c r="Q524" i="69" s="1"/>
  <c r="Q729" i="69"/>
  <c r="Q743" i="69" s="1"/>
  <c r="Q725" i="69"/>
  <c r="Q792" i="69" s="1"/>
  <c r="R972" i="61"/>
  <c r="R990" i="61" s="1"/>
  <c r="R965" i="61"/>
  <c r="R983" i="61" s="1"/>
  <c r="R970" i="61"/>
  <c r="R988" i="61" s="1"/>
  <c r="R962" i="61"/>
  <c r="R980" i="61" s="1"/>
  <c r="R963" i="61"/>
  <c r="R981" i="61" s="1"/>
  <c r="R966" i="61"/>
  <c r="R984" i="61" s="1"/>
  <c r="R968" i="61"/>
  <c r="R986" i="61" s="1"/>
  <c r="R973" i="61"/>
  <c r="R991" i="61" s="1"/>
  <c r="R960" i="61"/>
  <c r="R969" i="61"/>
  <c r="R987" i="61" s="1"/>
  <c r="R964" i="61"/>
  <c r="R982" i="61" s="1"/>
  <c r="R971" i="61"/>
  <c r="R989" i="61" s="1"/>
  <c r="R967" i="61"/>
  <c r="R985" i="61" s="1"/>
  <c r="R961" i="61"/>
  <c r="R979" i="61" s="1"/>
  <c r="R198" i="33"/>
  <c r="R216" i="33" s="1"/>
  <c r="R195" i="33"/>
  <c r="R213" i="33" s="1"/>
  <c r="R188" i="33"/>
  <c r="R199" i="33"/>
  <c r="R217" i="33" s="1"/>
  <c r="R192" i="33"/>
  <c r="R210" i="33" s="1"/>
  <c r="R189" i="33"/>
  <c r="R207" i="33" s="1"/>
  <c r="R193" i="33"/>
  <c r="R211" i="33" s="1"/>
  <c r="R196" i="33"/>
  <c r="R214" i="33" s="1"/>
  <c r="R200" i="33"/>
  <c r="R218" i="33" s="1"/>
  <c r="R190" i="33"/>
  <c r="R208" i="33" s="1"/>
  <c r="R197" i="33"/>
  <c r="R215" i="33" s="1"/>
  <c r="R191" i="33"/>
  <c r="R209" i="33" s="1"/>
  <c r="R194" i="33"/>
  <c r="R212" i="33" s="1"/>
  <c r="R201" i="33"/>
  <c r="R219" i="33" s="1"/>
  <c r="R493" i="19"/>
  <c r="R511" i="19" s="1"/>
  <c r="R491" i="19"/>
  <c r="R509" i="19" s="1"/>
  <c r="R484" i="19"/>
  <c r="R488" i="19"/>
  <c r="R506" i="19" s="1"/>
  <c r="R492" i="19"/>
  <c r="R510" i="19" s="1"/>
  <c r="R496" i="19"/>
  <c r="R514" i="19" s="1"/>
  <c r="R489" i="19"/>
  <c r="R507" i="19" s="1"/>
  <c r="R486" i="19"/>
  <c r="R504" i="19" s="1"/>
  <c r="R487" i="19"/>
  <c r="R505" i="19" s="1"/>
  <c r="R490" i="19"/>
  <c r="R508" i="19" s="1"/>
  <c r="R485" i="19"/>
  <c r="R503" i="19" s="1"/>
  <c r="R497" i="19"/>
  <c r="R515" i="19" s="1"/>
  <c r="R494" i="19"/>
  <c r="R512" i="19" s="1"/>
  <c r="R495" i="19"/>
  <c r="R513" i="19" s="1"/>
  <c r="R189" i="69"/>
  <c r="R207" i="69" s="1"/>
  <c r="R190" i="69"/>
  <c r="R208" i="69" s="1"/>
  <c r="R188" i="69"/>
  <c r="R198" i="69"/>
  <c r="R216" i="69" s="1"/>
  <c r="R197" i="69"/>
  <c r="R215" i="69" s="1"/>
  <c r="R191" i="69"/>
  <c r="R209" i="69" s="1"/>
  <c r="R193" i="69"/>
  <c r="R211" i="69" s="1"/>
  <c r="R192" i="69"/>
  <c r="R210" i="69" s="1"/>
  <c r="R199" i="69"/>
  <c r="R217" i="69" s="1"/>
  <c r="R194" i="69"/>
  <c r="R212" i="69" s="1"/>
  <c r="R195" i="69"/>
  <c r="R213" i="69" s="1"/>
  <c r="R201" i="69"/>
  <c r="R219" i="69" s="1"/>
  <c r="R200" i="69"/>
  <c r="R218" i="69" s="1"/>
  <c r="R196" i="69"/>
  <c r="R214" i="69" s="1"/>
  <c r="Q286" i="18"/>
  <c r="Q205" i="27" s="1"/>
  <c r="Q283" i="18"/>
  <c r="Q279" i="18"/>
  <c r="Q346" i="18" s="1"/>
  <c r="Q468" i="61"/>
  <c r="Q482" i="61" s="1"/>
  <c r="Q464" i="61"/>
  <c r="Q531" i="61" s="1"/>
  <c r="Q244" i="45"/>
  <c r="Q311" i="45" s="1"/>
  <c r="Q248" i="45"/>
  <c r="Q262" i="45" s="1"/>
  <c r="P297" i="18"/>
  <c r="Q502" i="49"/>
  <c r="Q516" i="49" s="1"/>
  <c r="Q498" i="49"/>
  <c r="Q565" i="49" s="1"/>
  <c r="S91" i="69"/>
  <c r="S84" i="69"/>
  <c r="S346" i="69"/>
  <c r="T88" i="69"/>
  <c r="T89" i="69"/>
  <c r="T82" i="69"/>
  <c r="T81" i="69"/>
  <c r="T75" i="69"/>
  <c r="T74" i="69"/>
  <c r="S77" i="69"/>
  <c r="S95" i="69"/>
  <c r="R98" i="69"/>
  <c r="R88" i="27" s="1"/>
  <c r="R250" i="69"/>
  <c r="R261" i="69" s="1"/>
  <c r="R249" i="69"/>
  <c r="R260" i="69" s="1"/>
  <c r="R248" i="69"/>
  <c r="R259" i="69" s="1"/>
  <c r="R246" i="69"/>
  <c r="R257" i="69" s="1"/>
  <c r="R247" i="69"/>
  <c r="R258" i="69" s="1"/>
  <c r="R245" i="69"/>
  <c r="R251" i="69"/>
  <c r="R262" i="69" s="1"/>
  <c r="S96" i="69"/>
  <c r="T343" i="69"/>
  <c r="T344" i="69"/>
  <c r="S339" i="69"/>
  <c r="T336" i="69"/>
  <c r="T337" i="69"/>
  <c r="R353" i="69"/>
  <c r="R89" i="27" s="1"/>
  <c r="R500" i="69"/>
  <c r="R502" i="69"/>
  <c r="R513" i="69" s="1"/>
  <c r="R505" i="69"/>
  <c r="R516" i="69" s="1"/>
  <c r="R504" i="69"/>
  <c r="R515" i="69" s="1"/>
  <c r="R506" i="69"/>
  <c r="R517" i="69" s="1"/>
  <c r="R501" i="69"/>
  <c r="R512" i="69" s="1"/>
  <c r="R503" i="69"/>
  <c r="R514" i="69" s="1"/>
  <c r="T329" i="69"/>
  <c r="T330" i="69"/>
  <c r="S351" i="69"/>
  <c r="S332" i="69"/>
  <c r="S350" i="69"/>
  <c r="S132" i="45"/>
  <c r="S664" i="19"/>
  <c r="S133" i="45"/>
  <c r="S665" i="19"/>
  <c r="S96" i="33"/>
  <c r="S618" i="69"/>
  <c r="S135" i="45"/>
  <c r="R767" i="61"/>
  <c r="R778" i="61" s="1"/>
  <c r="R763" i="61"/>
  <c r="R774" i="61" s="1"/>
  <c r="R765" i="61"/>
  <c r="R776" i="61" s="1"/>
  <c r="R766" i="61"/>
  <c r="R777" i="61" s="1"/>
  <c r="R764" i="61"/>
  <c r="R775" i="61" s="1"/>
  <c r="R762" i="61"/>
  <c r="R768" i="61"/>
  <c r="R779" i="61" s="1"/>
  <c r="R270" i="19"/>
  <c r="R281" i="19" s="1"/>
  <c r="R267" i="19"/>
  <c r="R278" i="19" s="1"/>
  <c r="R266" i="19"/>
  <c r="R271" i="19"/>
  <c r="R282" i="19" s="1"/>
  <c r="R268" i="19"/>
  <c r="R279" i="19" s="1"/>
  <c r="R272" i="19"/>
  <c r="R283" i="19" s="1"/>
  <c r="R269" i="19"/>
  <c r="R280" i="19" s="1"/>
  <c r="R253" i="61"/>
  <c r="R264" i="61" s="1"/>
  <c r="R255" i="61"/>
  <c r="R266" i="61" s="1"/>
  <c r="R250" i="61"/>
  <c r="R251" i="61"/>
  <c r="R262" i="61" s="1"/>
  <c r="R254" i="61"/>
  <c r="R265" i="61" s="1"/>
  <c r="R252" i="61"/>
  <c r="R263" i="61" s="1"/>
  <c r="R256" i="61"/>
  <c r="R267" i="61" s="1"/>
  <c r="R542" i="19"/>
  <c r="R553" i="19" s="1"/>
  <c r="R547" i="19"/>
  <c r="R558" i="19" s="1"/>
  <c r="R544" i="19"/>
  <c r="R555" i="19" s="1"/>
  <c r="R541" i="19"/>
  <c r="R545" i="19"/>
  <c r="R556" i="19" s="1"/>
  <c r="R546" i="19"/>
  <c r="R557" i="19" s="1"/>
  <c r="R543" i="19"/>
  <c r="R554" i="19" s="1"/>
  <c r="R771" i="69"/>
  <c r="R782" i="69" s="1"/>
  <c r="R769" i="69"/>
  <c r="R780" i="69" s="1"/>
  <c r="R773" i="69"/>
  <c r="R784" i="69" s="1"/>
  <c r="R768" i="69"/>
  <c r="R774" i="69"/>
  <c r="R785" i="69" s="1"/>
  <c r="R772" i="69"/>
  <c r="R783" i="69" s="1"/>
  <c r="R770" i="69"/>
  <c r="R781" i="69" s="1"/>
  <c r="R567" i="57"/>
  <c r="R578" i="57" s="1"/>
  <c r="R566" i="57"/>
  <c r="R577" i="57" s="1"/>
  <c r="R563" i="57"/>
  <c r="R574" i="57" s="1"/>
  <c r="R562" i="57"/>
  <c r="R568" i="57"/>
  <c r="R579" i="57" s="1"/>
  <c r="R565" i="57"/>
  <c r="R576" i="57" s="1"/>
  <c r="R564" i="57"/>
  <c r="R575" i="57" s="1"/>
  <c r="R271" i="37"/>
  <c r="R282" i="37" s="1"/>
  <c r="R272" i="37"/>
  <c r="R283" i="37" s="1"/>
  <c r="R269" i="37"/>
  <c r="R280" i="37" s="1"/>
  <c r="R267" i="37"/>
  <c r="R278" i="37" s="1"/>
  <c r="R266" i="37"/>
  <c r="R270" i="37"/>
  <c r="R281" i="37" s="1"/>
  <c r="R268" i="37"/>
  <c r="R279" i="37" s="1"/>
  <c r="R249" i="77"/>
  <c r="R260" i="77" s="1"/>
  <c r="R247" i="77"/>
  <c r="R258" i="77" s="1"/>
  <c r="R245" i="77"/>
  <c r="R246" i="77"/>
  <c r="R257" i="77" s="1"/>
  <c r="R250" i="77"/>
  <c r="R261" i="77" s="1"/>
  <c r="R248" i="77"/>
  <c r="R259" i="77" s="1"/>
  <c r="R251" i="77"/>
  <c r="R262" i="77" s="1"/>
  <c r="R508" i="61"/>
  <c r="R519" i="61" s="1"/>
  <c r="R509" i="61"/>
  <c r="R520" i="61" s="1"/>
  <c r="R507" i="61"/>
  <c r="R510" i="61"/>
  <c r="R521" i="61" s="1"/>
  <c r="R513" i="61"/>
  <c r="R524" i="61" s="1"/>
  <c r="R511" i="61"/>
  <c r="R522" i="61" s="1"/>
  <c r="R512" i="61"/>
  <c r="R523" i="61" s="1"/>
  <c r="R523" i="37"/>
  <c r="R534" i="37" s="1"/>
  <c r="R522" i="37"/>
  <c r="R533" i="37" s="1"/>
  <c r="R520" i="37"/>
  <c r="R524" i="37"/>
  <c r="R535" i="37" s="1"/>
  <c r="R525" i="37"/>
  <c r="R536" i="37" s="1"/>
  <c r="R521" i="37"/>
  <c r="R532" i="37" s="1"/>
  <c r="R526" i="37"/>
  <c r="R537" i="37" s="1"/>
  <c r="R547" i="45"/>
  <c r="R558" i="45" s="1"/>
  <c r="R541" i="45"/>
  <c r="R545" i="45"/>
  <c r="R556" i="45" s="1"/>
  <c r="R544" i="45"/>
  <c r="R555" i="45" s="1"/>
  <c r="R542" i="45"/>
  <c r="R553" i="45" s="1"/>
  <c r="R546" i="45"/>
  <c r="R557" i="45" s="1"/>
  <c r="R543" i="45"/>
  <c r="R554" i="45" s="1"/>
  <c r="R280" i="57"/>
  <c r="R282" i="57"/>
  <c r="R293" i="57" s="1"/>
  <c r="R286" i="57"/>
  <c r="R297" i="57" s="1"/>
  <c r="R284" i="57"/>
  <c r="R295" i="57" s="1"/>
  <c r="R285" i="57"/>
  <c r="R296" i="57" s="1"/>
  <c r="R281" i="57"/>
  <c r="R292" i="57" s="1"/>
  <c r="R283" i="57"/>
  <c r="R294" i="57" s="1"/>
  <c r="R292" i="45"/>
  <c r="R303" i="45" s="1"/>
  <c r="R288" i="45"/>
  <c r="R299" i="45" s="1"/>
  <c r="R290" i="45"/>
  <c r="R301" i="45" s="1"/>
  <c r="R291" i="45"/>
  <c r="R302" i="45" s="1"/>
  <c r="R289" i="45"/>
  <c r="R300" i="45" s="1"/>
  <c r="R287" i="45"/>
  <c r="R293" i="45"/>
  <c r="R304" i="45" s="1"/>
  <c r="R1018" i="61"/>
  <c r="R1029" i="61" s="1"/>
  <c r="R1022" i="61"/>
  <c r="R1033" i="61" s="1"/>
  <c r="R1017" i="61"/>
  <c r="R1023" i="61"/>
  <c r="R1034" i="61" s="1"/>
  <c r="R1020" i="61"/>
  <c r="R1031" i="61" s="1"/>
  <c r="R1021" i="61"/>
  <c r="R1032" i="61" s="1"/>
  <c r="R1019" i="61"/>
  <c r="R1030" i="61" s="1"/>
  <c r="R818" i="19"/>
  <c r="R829" i="19" s="1"/>
  <c r="R821" i="19"/>
  <c r="R832" i="19" s="1"/>
  <c r="R817" i="19"/>
  <c r="R828" i="19" s="1"/>
  <c r="R822" i="19"/>
  <c r="R833" i="19" s="1"/>
  <c r="R820" i="19"/>
  <c r="R831" i="19" s="1"/>
  <c r="R816" i="19"/>
  <c r="R819" i="19"/>
  <c r="R830" i="19" s="1"/>
  <c r="R250" i="33"/>
  <c r="R261" i="33" s="1"/>
  <c r="R249" i="33"/>
  <c r="R260" i="33" s="1"/>
  <c r="R246" i="33"/>
  <c r="R257" i="33" s="1"/>
  <c r="R247" i="33"/>
  <c r="R258" i="33" s="1"/>
  <c r="R251" i="33"/>
  <c r="R262" i="33" s="1"/>
  <c r="R245" i="33"/>
  <c r="R248" i="33"/>
  <c r="R259" i="33" s="1"/>
  <c r="R376" i="75"/>
  <c r="R387" i="75" s="1"/>
  <c r="R375" i="75"/>
  <c r="R386" i="75" s="1"/>
  <c r="R374" i="75"/>
  <c r="R385" i="75" s="1"/>
  <c r="R372" i="75"/>
  <c r="R383" i="75" s="1"/>
  <c r="R373" i="75"/>
  <c r="R384" i="75" s="1"/>
  <c r="R371" i="75"/>
  <c r="R377" i="75"/>
  <c r="R388" i="75" s="1"/>
  <c r="S667" i="19"/>
  <c r="S136" i="45"/>
  <c r="O536" i="61"/>
  <c r="S619" i="69"/>
  <c r="S371" i="37"/>
  <c r="O316" i="45"/>
  <c r="O583" i="41"/>
  <c r="O796" i="69"/>
  <c r="O399" i="75"/>
  <c r="O548" i="37"/>
  <c r="O570" i="45"/>
  <c r="O278" i="61"/>
  <c r="O528" i="69"/>
  <c r="O591" i="57"/>
  <c r="O294" i="41"/>
  <c r="O845" i="19"/>
  <c r="O309" i="57"/>
  <c r="O570" i="49"/>
  <c r="O1045" i="61"/>
  <c r="O273" i="69"/>
  <c r="O295" i="49"/>
  <c r="O570" i="19"/>
  <c r="O625" i="53"/>
  <c r="O273" i="77"/>
  <c r="O295" i="19"/>
  <c r="O322" i="53"/>
  <c r="O344" i="29"/>
  <c r="O274" i="33"/>
  <c r="O295" i="37"/>
  <c r="O791" i="61"/>
  <c r="S89" i="61"/>
  <c r="S392" i="45"/>
  <c r="S856" i="61"/>
  <c r="S387" i="45"/>
  <c r="S601" i="61"/>
  <c r="S868" i="61"/>
  <c r="S116" i="19"/>
  <c r="S649" i="19"/>
  <c r="S84" i="33"/>
  <c r="S215" i="75"/>
  <c r="S211" i="75"/>
  <c r="S134" i="45"/>
  <c r="S659" i="19"/>
  <c r="S130" i="57"/>
  <c r="S127" i="57"/>
  <c r="S366" i="37"/>
  <c r="S131" i="57"/>
  <c r="S137" i="45"/>
  <c r="S114" i="37"/>
  <c r="S91" i="77"/>
  <c r="S84" i="77"/>
  <c r="T846" i="61"/>
  <c r="T847" i="61"/>
  <c r="P254" i="79"/>
  <c r="P254" i="78"/>
  <c r="S113" i="37"/>
  <c r="S89" i="37"/>
  <c r="S128" i="57"/>
  <c r="S199" i="75"/>
  <c r="S352" i="37"/>
  <c r="S370" i="37"/>
  <c r="Q511" i="69"/>
  <c r="Q518" i="69" s="1"/>
  <c r="Q507" i="69"/>
  <c r="Q525" i="69" s="1"/>
  <c r="Q338" i="18"/>
  <c r="Q257" i="27" s="1"/>
  <c r="Q339" i="18"/>
  <c r="Q258" i="27" s="1"/>
  <c r="Q291" i="57"/>
  <c r="Q298" i="57" s="1"/>
  <c r="Q287" i="57"/>
  <c r="Q305" i="57" s="1"/>
  <c r="S373" i="45"/>
  <c r="S391" i="45"/>
  <c r="S96" i="77"/>
  <c r="O350" i="18"/>
  <c r="O351" i="18"/>
  <c r="S849" i="61"/>
  <c r="S867" i="61"/>
  <c r="T106" i="57"/>
  <c r="T105" i="57"/>
  <c r="T104" i="57"/>
  <c r="T101" i="57"/>
  <c r="T107" i="57"/>
  <c r="T103" i="57"/>
  <c r="T102" i="57"/>
  <c r="T106" i="45"/>
  <c r="T105" i="45"/>
  <c r="T108" i="45"/>
  <c r="T111" i="45"/>
  <c r="T107" i="45"/>
  <c r="T110" i="45"/>
  <c r="T109" i="45"/>
  <c r="T112" i="45"/>
  <c r="S666" i="19"/>
  <c r="S204" i="75"/>
  <c r="S220" i="75"/>
  <c r="R103" i="61"/>
  <c r="R84" i="27" s="1"/>
  <c r="S358" i="61"/>
  <c r="Q273" i="19"/>
  <c r="Q291" i="19" s="1"/>
  <c r="Q277" i="19"/>
  <c r="Q284" i="19" s="1"/>
  <c r="N269" i="27"/>
  <c r="N268" i="27"/>
  <c r="T94" i="61"/>
  <c r="T93" i="61"/>
  <c r="Q573" i="57"/>
  <c r="Q580" i="57" s="1"/>
  <c r="Q569" i="57"/>
  <c r="Q587" i="57" s="1"/>
  <c r="R394" i="19"/>
  <c r="R69" i="27" s="1"/>
  <c r="T74" i="33"/>
  <c r="T75" i="33"/>
  <c r="S131" i="45"/>
  <c r="S101" i="45"/>
  <c r="Q552" i="19"/>
  <c r="Q559" i="19" s="1"/>
  <c r="Q548" i="19"/>
  <c r="Q566" i="19" s="1"/>
  <c r="T131" i="75"/>
  <c r="T142" i="75"/>
  <c r="T133" i="75"/>
  <c r="T139" i="75"/>
  <c r="T144" i="75"/>
  <c r="T134" i="75"/>
  <c r="T147" i="75"/>
  <c r="T145" i="75"/>
  <c r="T136" i="75"/>
  <c r="T146" i="75"/>
  <c r="T137" i="75"/>
  <c r="T128" i="75"/>
  <c r="T138" i="75"/>
  <c r="T129" i="75"/>
  <c r="T143" i="75"/>
  <c r="T141" i="75"/>
  <c r="T132" i="75"/>
  <c r="T135" i="75"/>
  <c r="T140" i="75"/>
  <c r="T130" i="75"/>
  <c r="T95" i="57"/>
  <c r="T94" i="57"/>
  <c r="T91" i="57"/>
  <c r="T93" i="57"/>
  <c r="T90" i="57"/>
  <c r="T89" i="57"/>
  <c r="T92" i="57"/>
  <c r="T336" i="61"/>
  <c r="T337" i="61"/>
  <c r="S663" i="19"/>
  <c r="S639" i="19"/>
  <c r="S138" i="45"/>
  <c r="S115" i="37"/>
  <c r="T861" i="61"/>
  <c r="T860" i="61"/>
  <c r="T364" i="37"/>
  <c r="T363" i="37"/>
  <c r="S404" i="57"/>
  <c r="Q779" i="69"/>
  <c r="Q786" i="69" s="1"/>
  <c r="Q775" i="69"/>
  <c r="Q793" i="69" s="1"/>
  <c r="S126" i="57"/>
  <c r="Q382" i="75"/>
  <c r="Q389" i="75" s="1"/>
  <c r="Q378" i="75"/>
  <c r="Q396" i="75" s="1"/>
  <c r="Q256" i="77"/>
  <c r="Q263" i="77" s="1"/>
  <c r="Q252" i="77"/>
  <c r="Q270" i="77" s="1"/>
  <c r="O266" i="27"/>
  <c r="O265" i="27"/>
  <c r="O264" i="27"/>
  <c r="O248" i="78"/>
  <c r="O266" i="78" s="1"/>
  <c r="S109" i="37"/>
  <c r="S114" i="45"/>
  <c r="Q277" i="41"/>
  <c r="Q284" i="41" s="1"/>
  <c r="Q273" i="41"/>
  <c r="Q291" i="41" s="1"/>
  <c r="S100" i="61"/>
  <c r="S82" i="61"/>
  <c r="T154" i="75"/>
  <c r="T161" i="75"/>
  <c r="T155" i="75"/>
  <c r="T170" i="75"/>
  <c r="T156" i="75"/>
  <c r="T157" i="75"/>
  <c r="T159" i="75"/>
  <c r="T166" i="75"/>
  <c r="T171" i="75"/>
  <c r="T160" i="75"/>
  <c r="T162" i="75"/>
  <c r="T172" i="75"/>
  <c r="T158" i="75"/>
  <c r="T168" i="75"/>
  <c r="T169" i="75"/>
  <c r="T165" i="75"/>
  <c r="T163" i="75"/>
  <c r="T153" i="75"/>
  <c r="T167" i="75"/>
  <c r="T164" i="75"/>
  <c r="T357" i="37"/>
  <c r="T356" i="37"/>
  <c r="T599" i="61"/>
  <c r="T598" i="61"/>
  <c r="S207" i="75"/>
  <c r="S214" i="75"/>
  <c r="S221" i="75"/>
  <c r="Q518" i="61"/>
  <c r="Q525" i="61" s="1"/>
  <c r="Q514" i="61"/>
  <c r="Q532" i="61" s="1"/>
  <c r="S393" i="57"/>
  <c r="Q256" i="33"/>
  <c r="Q263" i="33" s="1"/>
  <c r="Q252" i="33"/>
  <c r="Q270" i="33" s="1"/>
  <c r="S413" i="57"/>
  <c r="T635" i="19"/>
  <c r="T634" i="19"/>
  <c r="T637" i="19"/>
  <c r="T636" i="19"/>
  <c r="T633" i="19"/>
  <c r="Q336" i="18"/>
  <c r="Q255" i="27" s="1"/>
  <c r="S357" i="61"/>
  <c r="S339" i="61"/>
  <c r="T350" i="37"/>
  <c r="T349" i="37"/>
  <c r="T88" i="33"/>
  <c r="T89" i="33"/>
  <c r="T655" i="19"/>
  <c r="T657" i="19"/>
  <c r="T654" i="19"/>
  <c r="T656" i="19"/>
  <c r="T653" i="19"/>
  <c r="S117" i="37"/>
  <c r="T350" i="61"/>
  <c r="T351" i="61"/>
  <c r="S99" i="19"/>
  <c r="Q552" i="49"/>
  <c r="Q559" i="49" s="1"/>
  <c r="Q548" i="49"/>
  <c r="Q566" i="49" s="1"/>
  <c r="R119" i="19"/>
  <c r="R67" i="27" s="1"/>
  <c r="P256" i="78"/>
  <c r="P256" i="79"/>
  <c r="Q298" i="45"/>
  <c r="Q305" i="45" s="1"/>
  <c r="Q294" i="45"/>
  <c r="Q312" i="45" s="1"/>
  <c r="S121" i="57"/>
  <c r="S364" i="19"/>
  <c r="S388" i="19"/>
  <c r="Q277" i="37"/>
  <c r="Q284" i="37" s="1"/>
  <c r="Q273" i="37"/>
  <c r="Q291" i="37" s="1"/>
  <c r="O252" i="79"/>
  <c r="O259" i="79" s="1"/>
  <c r="O259" i="27"/>
  <c r="O252" i="78"/>
  <c r="O259" i="78" s="1"/>
  <c r="S101" i="61"/>
  <c r="S127" i="45"/>
  <c r="T644" i="19"/>
  <c r="T645" i="19"/>
  <c r="T647" i="19"/>
  <c r="T646" i="19"/>
  <c r="T643" i="19"/>
  <c r="T378" i="45"/>
  <c r="T377" i="45"/>
  <c r="S216" i="75"/>
  <c r="S203" i="75"/>
  <c r="S149" i="75"/>
  <c r="S210" i="75"/>
  <c r="S91" i="33"/>
  <c r="S410" i="57"/>
  <c r="S95" i="77"/>
  <c r="S77" i="77"/>
  <c r="T84" i="37"/>
  <c r="T87" i="37"/>
  <c r="T85" i="37"/>
  <c r="T83" i="37"/>
  <c r="T86" i="37"/>
  <c r="T88" i="77"/>
  <c r="T89" i="77"/>
  <c r="T79" i="61"/>
  <c r="T80" i="61"/>
  <c r="T591" i="61"/>
  <c r="T592" i="61"/>
  <c r="T107" i="19"/>
  <c r="T103" i="19"/>
  <c r="T104" i="19"/>
  <c r="T105" i="19"/>
  <c r="T106" i="19"/>
  <c r="T121" i="45"/>
  <c r="T118" i="45"/>
  <c r="T119" i="45"/>
  <c r="T125" i="45"/>
  <c r="T124" i="45"/>
  <c r="T123" i="45"/>
  <c r="T122" i="45"/>
  <c r="T120" i="45"/>
  <c r="T608" i="69"/>
  <c r="T610" i="69"/>
  <c r="T609" i="69"/>
  <c r="T607" i="69"/>
  <c r="S174" i="75"/>
  <c r="S617" i="69"/>
  <c r="S99" i="37"/>
  <c r="S129" i="57"/>
  <c r="P255" i="78"/>
  <c r="P255" i="79"/>
  <c r="P245" i="78"/>
  <c r="P245" i="79"/>
  <c r="Q335" i="18"/>
  <c r="Q254" i="27" s="1"/>
  <c r="O248" i="79"/>
  <c r="O266" i="79" s="1"/>
  <c r="S77" i="33"/>
  <c r="S95" i="33"/>
  <c r="Q773" i="61"/>
  <c r="Q780" i="61" s="1"/>
  <c r="Q769" i="61"/>
  <c r="Q787" i="61" s="1"/>
  <c r="S389" i="19"/>
  <c r="S359" i="37"/>
  <c r="S89" i="19"/>
  <c r="S113" i="19"/>
  <c r="S109" i="19"/>
  <c r="T343" i="61"/>
  <c r="T344" i="61"/>
  <c r="Q827" i="19"/>
  <c r="Q834" i="19" s="1"/>
  <c r="Q823" i="19"/>
  <c r="Q841" i="19" s="1"/>
  <c r="S208" i="75"/>
  <c r="S217" i="75"/>
  <c r="S219" i="75"/>
  <c r="P246" i="79"/>
  <c r="P246" i="78"/>
  <c r="S411" i="57"/>
  <c r="S612" i="69"/>
  <c r="Q256" i="69"/>
  <c r="Q263" i="69" s="1"/>
  <c r="Q252" i="69"/>
  <c r="Q270" i="69" s="1"/>
  <c r="T96" i="45"/>
  <c r="T99" i="45"/>
  <c r="T92" i="45"/>
  <c r="T93" i="45"/>
  <c r="T94" i="45"/>
  <c r="T98" i="45"/>
  <c r="T95" i="45"/>
  <c r="T97" i="45"/>
  <c r="R133" i="57"/>
  <c r="R82" i="27" s="1"/>
  <c r="Q334" i="18"/>
  <c r="Q253" i="27" s="1"/>
  <c r="T93" i="37"/>
  <c r="T96" i="37"/>
  <c r="T94" i="37"/>
  <c r="T95" i="37"/>
  <c r="T97" i="37"/>
  <c r="P241" i="78"/>
  <c r="P241" i="79"/>
  <c r="P248" i="27"/>
  <c r="R394" i="45"/>
  <c r="R77" i="27" s="1"/>
  <c r="R140" i="45"/>
  <c r="R76" i="27" s="1"/>
  <c r="R621" i="69"/>
  <c r="R90" i="27" s="1"/>
  <c r="T74" i="77"/>
  <c r="T75" i="77"/>
  <c r="T370" i="45"/>
  <c r="T371" i="45"/>
  <c r="T105" i="37"/>
  <c r="T103" i="37"/>
  <c r="T106" i="37"/>
  <c r="T107" i="37"/>
  <c r="T104" i="37"/>
  <c r="T401" i="57"/>
  <c r="T398" i="57"/>
  <c r="T397" i="57"/>
  <c r="T399" i="57"/>
  <c r="T402" i="57"/>
  <c r="T400" i="57"/>
  <c r="T606" i="61"/>
  <c r="T605" i="61"/>
  <c r="S616" i="69"/>
  <c r="S594" i="69"/>
  <c r="S125" i="57"/>
  <c r="S97" i="57"/>
  <c r="P244" i="78"/>
  <c r="P244" i="79"/>
  <c r="Q337" i="18"/>
  <c r="Q256" i="27" s="1"/>
  <c r="Q257" i="61"/>
  <c r="Q275" i="61" s="1"/>
  <c r="Q261" i="61"/>
  <c r="Q268" i="61" s="1"/>
  <c r="R373" i="37"/>
  <c r="R73" i="27" s="1"/>
  <c r="S392" i="19"/>
  <c r="R669" i="19"/>
  <c r="R71" i="27" s="1"/>
  <c r="S96" i="61"/>
  <c r="S115" i="19"/>
  <c r="T93" i="19"/>
  <c r="T96" i="19"/>
  <c r="T95" i="19"/>
  <c r="T94" i="19"/>
  <c r="T97" i="19"/>
  <c r="T87" i="61"/>
  <c r="T86" i="61"/>
  <c r="T599" i="69"/>
  <c r="T601" i="69"/>
  <c r="T598" i="69"/>
  <c r="T600" i="69"/>
  <c r="T854" i="61"/>
  <c r="T853" i="61"/>
  <c r="P247" i="78"/>
  <c r="P247" i="79"/>
  <c r="S218" i="75"/>
  <c r="S212" i="75"/>
  <c r="S213" i="75"/>
  <c r="P257" i="78"/>
  <c r="P257" i="79"/>
  <c r="Q566" i="41"/>
  <c r="Q573" i="41" s="1"/>
  <c r="Q562" i="41"/>
  <c r="Q580" i="41" s="1"/>
  <c r="Q608" i="53"/>
  <c r="Q615" i="53" s="1"/>
  <c r="Q604" i="53"/>
  <c r="Q622" i="53" s="1"/>
  <c r="S412" i="57"/>
  <c r="Q326" i="29"/>
  <c r="Q333" i="29" s="1"/>
  <c r="Q322" i="29"/>
  <c r="Q340" i="29" s="1"/>
  <c r="S384" i="19"/>
  <c r="Q1028" i="61"/>
  <c r="Q1035" i="61" s="1"/>
  <c r="Q1024" i="61"/>
  <c r="Q1042" i="61" s="1"/>
  <c r="R98" i="33"/>
  <c r="R70" i="27" s="1"/>
  <c r="T362" i="19"/>
  <c r="T361" i="19"/>
  <c r="T359" i="19"/>
  <c r="T360" i="19"/>
  <c r="T358" i="19"/>
  <c r="T589" i="69"/>
  <c r="T591" i="69"/>
  <c r="T592" i="69"/>
  <c r="T590" i="69"/>
  <c r="T118" i="57"/>
  <c r="T115" i="57"/>
  <c r="T119" i="57"/>
  <c r="T116" i="57"/>
  <c r="T117" i="57"/>
  <c r="T114" i="57"/>
  <c r="T113" i="57"/>
  <c r="T380" i="19"/>
  <c r="T382" i="19"/>
  <c r="T379" i="19"/>
  <c r="T381" i="19"/>
  <c r="T378" i="19"/>
  <c r="T385" i="45"/>
  <c r="T384" i="45"/>
  <c r="Q305" i="53"/>
  <c r="Q312" i="53" s="1"/>
  <c r="Q301" i="53"/>
  <c r="Q319" i="53" s="1"/>
  <c r="R870" i="61"/>
  <c r="R87" i="27" s="1"/>
  <c r="S109" i="57"/>
  <c r="R360" i="61"/>
  <c r="R85" i="27" s="1"/>
  <c r="Q329" i="18"/>
  <c r="Q347" i="18" s="1"/>
  <c r="Q333" i="18"/>
  <c r="P253" i="78"/>
  <c r="P253" i="79"/>
  <c r="S390" i="19"/>
  <c r="Q552" i="45"/>
  <c r="Q559" i="45" s="1"/>
  <c r="Q548" i="45"/>
  <c r="Q566" i="45" s="1"/>
  <c r="R224" i="75"/>
  <c r="R91" i="27" s="1"/>
  <c r="R98" i="77"/>
  <c r="R92" i="27" s="1"/>
  <c r="S594" i="61"/>
  <c r="S613" i="61"/>
  <c r="S117" i="19"/>
  <c r="T81" i="77"/>
  <c r="T82" i="77"/>
  <c r="T370" i="19"/>
  <c r="T369" i="19"/>
  <c r="T371" i="19"/>
  <c r="T372" i="19"/>
  <c r="T368" i="19"/>
  <c r="T389" i="57"/>
  <c r="T386" i="57"/>
  <c r="T391" i="57"/>
  <c r="T387" i="57"/>
  <c r="T388" i="57"/>
  <c r="T390" i="57"/>
  <c r="P258" i="78"/>
  <c r="P258" i="79"/>
  <c r="R415" i="57"/>
  <c r="R83" i="27" s="1"/>
  <c r="S205" i="75"/>
  <c r="S222" i="75"/>
  <c r="P340" i="18"/>
  <c r="Q531" i="37"/>
  <c r="Q538" i="37" s="1"/>
  <c r="Q527" i="37"/>
  <c r="Q545" i="37" s="1"/>
  <c r="S409" i="57"/>
  <c r="Q277" i="49"/>
  <c r="Q284" i="49" s="1"/>
  <c r="Q273" i="49"/>
  <c r="Q291" i="49" s="1"/>
  <c r="P243" i="79"/>
  <c r="P243" i="78"/>
  <c r="T86" i="19"/>
  <c r="T84" i="19"/>
  <c r="T83" i="19"/>
  <c r="T87" i="19"/>
  <c r="T85" i="19"/>
  <c r="T380" i="57"/>
  <c r="T377" i="57"/>
  <c r="T376" i="57"/>
  <c r="T378" i="57"/>
  <c r="T375" i="57"/>
  <c r="T379" i="57"/>
  <c r="S116" i="37"/>
  <c r="T190" i="75"/>
  <c r="T185" i="75"/>
  <c r="T195" i="75"/>
  <c r="T181" i="75"/>
  <c r="T194" i="75"/>
  <c r="T180" i="75"/>
  <c r="T189" i="75"/>
  <c r="T192" i="75"/>
  <c r="T184" i="75"/>
  <c r="T186" i="75"/>
  <c r="T187" i="75"/>
  <c r="T182" i="75"/>
  <c r="T183" i="75"/>
  <c r="T191" i="75"/>
  <c r="T197" i="75"/>
  <c r="T193" i="75"/>
  <c r="T178" i="75"/>
  <c r="T196" i="75"/>
  <c r="T188" i="75"/>
  <c r="T179" i="75"/>
  <c r="S346" i="61"/>
  <c r="S863" i="61"/>
  <c r="S603" i="69"/>
  <c r="S353" i="61"/>
  <c r="S374" i="19"/>
  <c r="P242" i="78"/>
  <c r="P242" i="79"/>
  <c r="R615" i="61"/>
  <c r="R86" i="27" s="1"/>
  <c r="R119" i="37"/>
  <c r="R72" i="27" s="1"/>
  <c r="S391" i="19"/>
  <c r="S612" i="61"/>
  <c r="S114" i="19"/>
  <c r="S608" i="61"/>
  <c r="T81" i="33"/>
  <c r="T82" i="33"/>
  <c r="S206" i="75"/>
  <c r="S209" i="75"/>
  <c r="S408" i="57"/>
  <c r="S382" i="57"/>
  <c r="S380" i="45"/>
  <c r="L157" i="18" l="1"/>
  <c r="L167" i="18"/>
  <c r="L121" i="18"/>
  <c r="L169" i="18"/>
  <c r="L34" i="79"/>
  <c r="L34" i="78"/>
  <c r="L168" i="18"/>
  <c r="L139" i="18"/>
  <c r="J193" i="27"/>
  <c r="J193" i="78" s="1"/>
  <c r="J292" i="18"/>
  <c r="J211" i="27" s="1"/>
  <c r="J293" i="18"/>
  <c r="J212" i="27" s="1"/>
  <c r="J194" i="27"/>
  <c r="J194" i="78" s="1"/>
  <c r="J94" i="27"/>
  <c r="J66" i="79"/>
  <c r="J94" i="79" s="1"/>
  <c r="J66" i="78"/>
  <c r="J94" i="78" s="1"/>
  <c r="J198" i="18"/>
  <c r="J345" i="18" s="1"/>
  <c r="J101" i="27"/>
  <c r="J202" i="18"/>
  <c r="J222" i="18"/>
  <c r="J224" i="18"/>
  <c r="J143" i="27" s="1"/>
  <c r="J143" i="78" s="1"/>
  <c r="J143" i="79" s="1"/>
  <c r="J204" i="18"/>
  <c r="J123" i="27" s="1"/>
  <c r="J123" i="78" s="1"/>
  <c r="J123" i="79" s="1"/>
  <c r="J103" i="27"/>
  <c r="J103" i="78" s="1"/>
  <c r="J103" i="79" s="1"/>
  <c r="J243" i="27"/>
  <c r="J335" i="18"/>
  <c r="J254" i="27" s="1"/>
  <c r="J113" i="27"/>
  <c r="J113" i="78" s="1"/>
  <c r="J234" i="18"/>
  <c r="J153" i="27" s="1"/>
  <c r="J153" i="78" s="1"/>
  <c r="J153" i="79" s="1"/>
  <c r="J214" i="18"/>
  <c r="J133" i="27" s="1"/>
  <c r="J133" i="78" s="1"/>
  <c r="J247" i="27"/>
  <c r="J339" i="18"/>
  <c r="J258" i="27" s="1"/>
  <c r="J237" i="18"/>
  <c r="J156" i="27" s="1"/>
  <c r="J156" i="78" s="1"/>
  <c r="J156" i="79" s="1"/>
  <c r="J217" i="18"/>
  <c r="J136" i="27" s="1"/>
  <c r="J136" i="78" s="1"/>
  <c r="J116" i="27"/>
  <c r="J116" i="78" s="1"/>
  <c r="J116" i="79" s="1"/>
  <c r="J191" i="27"/>
  <c r="J191" i="78" s="1"/>
  <c r="J290" i="18"/>
  <c r="J209" i="27" s="1"/>
  <c r="J246" i="27"/>
  <c r="J338" i="18"/>
  <c r="J257" i="27" s="1"/>
  <c r="J294" i="18"/>
  <c r="J213" i="27" s="1"/>
  <c r="J195" i="27"/>
  <c r="J195" i="78" s="1"/>
  <c r="J235" i="18"/>
  <c r="J154" i="27" s="1"/>
  <c r="J154" i="78" s="1"/>
  <c r="J215" i="18"/>
  <c r="J134" i="27" s="1"/>
  <c r="J134" i="78" s="1"/>
  <c r="J114" i="27"/>
  <c r="J114" i="78" s="1"/>
  <c r="J114" i="79" s="1"/>
  <c r="J334" i="18"/>
  <c r="J253" i="27" s="1"/>
  <c r="J242" i="27"/>
  <c r="J197" i="27"/>
  <c r="J197" i="78" s="1"/>
  <c r="J197" i="79" s="1"/>
  <c r="J296" i="18"/>
  <c r="J215" i="27" s="1"/>
  <c r="J190" i="27"/>
  <c r="J190" i="78" s="1"/>
  <c r="J289" i="18"/>
  <c r="J208" i="27" s="1"/>
  <c r="J226" i="18"/>
  <c r="J145" i="27" s="1"/>
  <c r="J145" i="78" s="1"/>
  <c r="J145" i="79" s="1"/>
  <c r="J206" i="18"/>
  <c r="J125" i="27" s="1"/>
  <c r="J125" i="78" s="1"/>
  <c r="J105" i="27"/>
  <c r="J105" i="78" s="1"/>
  <c r="J105" i="79" s="1"/>
  <c r="J285" i="18"/>
  <c r="J204" i="27" s="1"/>
  <c r="J186" i="27"/>
  <c r="J186" i="78" s="1"/>
  <c r="J207" i="18"/>
  <c r="J126" i="27" s="1"/>
  <c r="J126" i="78" s="1"/>
  <c r="J126" i="79" s="1"/>
  <c r="J106" i="27"/>
  <c r="J106" i="78" s="1"/>
  <c r="J106" i="79" s="1"/>
  <c r="J227" i="18"/>
  <c r="J146" i="27" s="1"/>
  <c r="J146" i="78" s="1"/>
  <c r="J146" i="79" s="1"/>
  <c r="J245" i="27"/>
  <c r="J337" i="18"/>
  <c r="J256" i="27" s="1"/>
  <c r="J208" i="18"/>
  <c r="J127" i="27" s="1"/>
  <c r="J127" i="78" s="1"/>
  <c r="J127" i="79" s="1"/>
  <c r="J107" i="27"/>
  <c r="J107" i="78" s="1"/>
  <c r="J107" i="79" s="1"/>
  <c r="J228" i="18"/>
  <c r="J147" i="27" s="1"/>
  <c r="J147" i="78" s="1"/>
  <c r="J147" i="79" s="1"/>
  <c r="J244" i="27"/>
  <c r="J336" i="18"/>
  <c r="J255" i="27" s="1"/>
  <c r="J230" i="18"/>
  <c r="J149" i="27" s="1"/>
  <c r="J149" i="78" s="1"/>
  <c r="J149" i="79" s="1"/>
  <c r="J210" i="18"/>
  <c r="J129" i="27" s="1"/>
  <c r="J129" i="78" s="1"/>
  <c r="J109" i="27"/>
  <c r="J109" i="78" s="1"/>
  <c r="J192" i="27"/>
  <c r="J192" i="78" s="1"/>
  <c r="J291" i="18"/>
  <c r="J210" i="27" s="1"/>
  <c r="J288" i="18"/>
  <c r="J207" i="27" s="1"/>
  <c r="J189" i="27"/>
  <c r="J189" i="78" s="1"/>
  <c r="J111" i="27"/>
  <c r="J111" i="78" s="1"/>
  <c r="J111" i="79" s="1"/>
  <c r="J232" i="18"/>
  <c r="J151" i="27" s="1"/>
  <c r="J151" i="78" s="1"/>
  <c r="J151" i="79" s="1"/>
  <c r="J212" i="18"/>
  <c r="J131" i="27" s="1"/>
  <c r="J131" i="78" s="1"/>
  <c r="J131" i="79" s="1"/>
  <c r="J287" i="18"/>
  <c r="J206" i="27" s="1"/>
  <c r="J188" i="27"/>
  <c r="J188" i="78" s="1"/>
  <c r="J185" i="27"/>
  <c r="J185" i="78" s="1"/>
  <c r="J185" i="79" s="1"/>
  <c r="J284" i="18"/>
  <c r="J203" i="27" s="1"/>
  <c r="J231" i="18"/>
  <c r="J150" i="27" s="1"/>
  <c r="J150" i="78" s="1"/>
  <c r="J150" i="79" s="1"/>
  <c r="J211" i="18"/>
  <c r="J130" i="27" s="1"/>
  <c r="J130" i="78" s="1"/>
  <c r="J130" i="79" s="1"/>
  <c r="J110" i="27"/>
  <c r="J110" i="78" s="1"/>
  <c r="J110" i="79" s="1"/>
  <c r="J236" i="18"/>
  <c r="J155" i="27" s="1"/>
  <c r="J155" i="78" s="1"/>
  <c r="J216" i="18"/>
  <c r="J135" i="27" s="1"/>
  <c r="J135" i="78" s="1"/>
  <c r="J115" i="27"/>
  <c r="J115" i="78" s="1"/>
  <c r="J115" i="79" s="1"/>
  <c r="J196" i="27"/>
  <c r="J196" i="78" s="1"/>
  <c r="J295" i="18"/>
  <c r="J214" i="27" s="1"/>
  <c r="J187" i="27"/>
  <c r="J187" i="78" s="1"/>
  <c r="J286" i="18"/>
  <c r="J205" i="27" s="1"/>
  <c r="J233" i="18"/>
  <c r="J152" i="27" s="1"/>
  <c r="J152" i="78" s="1"/>
  <c r="J152" i="79" s="1"/>
  <c r="J213" i="18"/>
  <c r="J132" i="27" s="1"/>
  <c r="J132" i="78" s="1"/>
  <c r="J132" i="79" s="1"/>
  <c r="J112" i="27"/>
  <c r="J112" i="78" s="1"/>
  <c r="J112" i="79" s="1"/>
  <c r="J223" i="18"/>
  <c r="J142" i="27" s="1"/>
  <c r="J142" i="78" s="1"/>
  <c r="J203" i="18"/>
  <c r="J122" i="27" s="1"/>
  <c r="J122" i="78" s="1"/>
  <c r="J122" i="79" s="1"/>
  <c r="J102" i="27"/>
  <c r="J102" i="78" s="1"/>
  <c r="J102" i="79" s="1"/>
  <c r="J241" i="27"/>
  <c r="J329" i="18"/>
  <c r="J347" i="18" s="1"/>
  <c r="J333" i="18"/>
  <c r="J205" i="18"/>
  <c r="J124" i="27" s="1"/>
  <c r="J124" i="78" s="1"/>
  <c r="J124" i="79" s="1"/>
  <c r="J104" i="27"/>
  <c r="J104" i="78" s="1"/>
  <c r="J104" i="79" s="1"/>
  <c r="J225" i="18"/>
  <c r="J144" i="27" s="1"/>
  <c r="J144" i="78" s="1"/>
  <c r="J184" i="27"/>
  <c r="J283" i="18"/>
  <c r="J279" i="18"/>
  <c r="J346" i="18" s="1"/>
  <c r="J229" i="18"/>
  <c r="J148" i="27" s="1"/>
  <c r="J148" i="78" s="1"/>
  <c r="J148" i="79" s="1"/>
  <c r="J209" i="18"/>
  <c r="J128" i="27" s="1"/>
  <c r="J128" i="78" s="1"/>
  <c r="J128" i="79" s="1"/>
  <c r="J108" i="27"/>
  <c r="J108" i="78" s="1"/>
  <c r="J108" i="79" s="1"/>
  <c r="K193" i="18"/>
  <c r="K192" i="18"/>
  <c r="K194" i="18"/>
  <c r="K186" i="18"/>
  <c r="K269" i="18"/>
  <c r="K278" i="18"/>
  <c r="K270" i="18"/>
  <c r="K326" i="18"/>
  <c r="K322" i="18"/>
  <c r="K196" i="18"/>
  <c r="K182" i="18"/>
  <c r="K197" i="18"/>
  <c r="K191" i="18"/>
  <c r="K175" i="18"/>
  <c r="K66" i="27" s="1"/>
  <c r="K325" i="18"/>
  <c r="K267" i="18"/>
  <c r="K266" i="18"/>
  <c r="K268" i="18"/>
  <c r="K276" i="18"/>
  <c r="K184" i="18"/>
  <c r="K190" i="18"/>
  <c r="K183" i="18"/>
  <c r="K185" i="18"/>
  <c r="K273" i="18"/>
  <c r="K323" i="18"/>
  <c r="K274" i="18"/>
  <c r="K277" i="18"/>
  <c r="K324" i="18"/>
  <c r="K327" i="18"/>
  <c r="K187" i="18"/>
  <c r="K189" i="18"/>
  <c r="K195" i="18"/>
  <c r="K188" i="18"/>
  <c r="K271" i="18"/>
  <c r="K328" i="18"/>
  <c r="K272" i="18"/>
  <c r="K275" i="18"/>
  <c r="K265" i="18"/>
  <c r="O198" i="79"/>
  <c r="O265" i="79" s="1"/>
  <c r="N157" i="79"/>
  <c r="N269" i="79" s="1"/>
  <c r="P147" i="79"/>
  <c r="Q109" i="79"/>
  <c r="P145" i="79"/>
  <c r="P144" i="79"/>
  <c r="P149" i="79"/>
  <c r="P143" i="79"/>
  <c r="P150" i="79"/>
  <c r="P152" i="79"/>
  <c r="Q113" i="79"/>
  <c r="P125" i="79"/>
  <c r="P146" i="79"/>
  <c r="P211" i="79"/>
  <c r="P142" i="79"/>
  <c r="P129" i="79"/>
  <c r="Q166" i="61"/>
  <c r="Q278" i="61" s="1"/>
  <c r="Q125" i="27"/>
  <c r="Q125" i="78" s="1"/>
  <c r="Q231" i="29"/>
  <c r="Q343" i="29" s="1"/>
  <c r="Q145" i="27"/>
  <c r="Q145" i="78" s="1"/>
  <c r="R448" i="49"/>
  <c r="R428" i="49"/>
  <c r="R442" i="49"/>
  <c r="R422" i="49"/>
  <c r="R507" i="53"/>
  <c r="R487" i="53"/>
  <c r="R500" i="53"/>
  <c r="R480" i="53"/>
  <c r="R208" i="53"/>
  <c r="R188" i="53"/>
  <c r="R205" i="53"/>
  <c r="R185" i="53"/>
  <c r="R169" i="49"/>
  <c r="R149" i="49"/>
  <c r="R170" i="49"/>
  <c r="R150" i="49"/>
  <c r="R231" i="18"/>
  <c r="R211" i="18"/>
  <c r="R110" i="27"/>
  <c r="R110" i="78" s="1"/>
  <c r="R110" i="79" s="1"/>
  <c r="R232" i="18"/>
  <c r="R212" i="18"/>
  <c r="R111" i="27"/>
  <c r="R111" i="78" s="1"/>
  <c r="R111" i="79" s="1"/>
  <c r="Q182" i="49"/>
  <c r="Q294" i="49" s="1"/>
  <c r="Q141" i="33"/>
  <c r="R408" i="69"/>
  <c r="R388" i="69"/>
  <c r="R411" i="69"/>
  <c r="R391" i="69"/>
  <c r="R165" i="61"/>
  <c r="R145" i="61"/>
  <c r="R157" i="61"/>
  <c r="R137" i="61"/>
  <c r="R279" i="75"/>
  <c r="R259" i="75"/>
  <c r="R283" i="75"/>
  <c r="R263" i="75"/>
  <c r="R919" i="61"/>
  <c r="R899" i="61"/>
  <c r="R929" i="61"/>
  <c r="R909" i="61"/>
  <c r="Q142" i="27"/>
  <c r="Q142" i="78" s="1"/>
  <c r="Q416" i="69"/>
  <c r="Q528" i="69" s="1"/>
  <c r="Q127" i="27"/>
  <c r="Q127" i="78" s="1"/>
  <c r="Q127" i="79" s="1"/>
  <c r="R447" i="45"/>
  <c r="R427" i="45"/>
  <c r="R448" i="45"/>
  <c r="R428" i="45"/>
  <c r="R444" i="19"/>
  <c r="R424" i="19"/>
  <c r="R441" i="19"/>
  <c r="R421" i="19"/>
  <c r="R417" i="19"/>
  <c r="R564" i="19" s="1"/>
  <c r="R157" i="33"/>
  <c r="R137" i="33"/>
  <c r="R146" i="33"/>
  <c r="R126" i="33"/>
  <c r="R130" i="77"/>
  <c r="R150" i="77"/>
  <c r="R151" i="77"/>
  <c r="R131" i="77"/>
  <c r="R454" i="57"/>
  <c r="R474" i="57"/>
  <c r="R463" i="57"/>
  <c r="R443" i="57"/>
  <c r="R177" i="19"/>
  <c r="R157" i="19"/>
  <c r="R169" i="19"/>
  <c r="R149" i="19"/>
  <c r="R190" i="45"/>
  <c r="R170" i="45"/>
  <c r="R200" i="45"/>
  <c r="R180" i="45"/>
  <c r="R431" i="37"/>
  <c r="R411" i="37"/>
  <c r="R420" i="37"/>
  <c r="R400" i="37"/>
  <c r="R396" i="37"/>
  <c r="R543" i="37" s="1"/>
  <c r="R189" i="57"/>
  <c r="R169" i="57"/>
  <c r="R180" i="57"/>
  <c r="R160" i="57"/>
  <c r="R156" i="57"/>
  <c r="R303" i="57" s="1"/>
  <c r="P137" i="27"/>
  <c r="P121" i="78"/>
  <c r="Q183" i="45"/>
  <c r="Q458" i="57"/>
  <c r="Q144" i="27"/>
  <c r="Q144" i="78" s="1"/>
  <c r="R168" i="41"/>
  <c r="R148" i="41"/>
  <c r="R176" i="41"/>
  <c r="R156" i="41"/>
  <c r="R217" i="29"/>
  <c r="R197" i="29"/>
  <c r="R225" i="29"/>
  <c r="R205" i="29"/>
  <c r="R159" i="69"/>
  <c r="R139" i="69"/>
  <c r="R156" i="69"/>
  <c r="R136" i="69"/>
  <c r="R177" i="37"/>
  <c r="R157" i="37"/>
  <c r="R149" i="37"/>
  <c r="R169" i="37"/>
  <c r="P157" i="27"/>
  <c r="P141" i="78"/>
  <c r="R455" i="41"/>
  <c r="R435" i="41"/>
  <c r="R431" i="41"/>
  <c r="R578" i="41" s="1"/>
  <c r="R457" i="41"/>
  <c r="R437" i="41"/>
  <c r="R725" i="19"/>
  <c r="R705" i="19"/>
  <c r="R726" i="19"/>
  <c r="R706" i="19"/>
  <c r="R681" i="69"/>
  <c r="R661" i="69"/>
  <c r="R669" i="69"/>
  <c r="R649" i="69"/>
  <c r="Q287" i="75"/>
  <c r="Q399" i="75" s="1"/>
  <c r="R671" i="61"/>
  <c r="R651" i="61"/>
  <c r="R667" i="61"/>
  <c r="R647" i="61"/>
  <c r="R413" i="61"/>
  <c r="R393" i="61"/>
  <c r="R418" i="61"/>
  <c r="R398" i="61"/>
  <c r="S115" i="69"/>
  <c r="S118" i="69"/>
  <c r="S106" i="69"/>
  <c r="S111" i="69"/>
  <c r="S114" i="69"/>
  <c r="S116" i="69"/>
  <c r="S112" i="69"/>
  <c r="S109" i="69"/>
  <c r="S113" i="69"/>
  <c r="S107" i="69"/>
  <c r="S117" i="69"/>
  <c r="S108" i="69"/>
  <c r="S119" i="69"/>
  <c r="S110" i="69"/>
  <c r="S105" i="69"/>
  <c r="S120" i="69"/>
  <c r="S632" i="61"/>
  <c r="S635" i="61"/>
  <c r="S629" i="61"/>
  <c r="S622" i="61"/>
  <c r="S625" i="61"/>
  <c r="S628" i="61"/>
  <c r="S623" i="61"/>
  <c r="S626" i="61"/>
  <c r="S637" i="61"/>
  <c r="S630" i="61"/>
  <c r="S633" i="61"/>
  <c r="S636" i="61"/>
  <c r="S631" i="61"/>
  <c r="S634" i="61"/>
  <c r="S624" i="61"/>
  <c r="S627" i="61"/>
  <c r="S423" i="57"/>
  <c r="S426" i="57"/>
  <c r="S429" i="57"/>
  <c r="S432" i="57"/>
  <c r="S435" i="57"/>
  <c r="S422" i="57"/>
  <c r="S425" i="57"/>
  <c r="S428" i="57"/>
  <c r="S431" i="57"/>
  <c r="S434" i="57"/>
  <c r="S437" i="57"/>
  <c r="S430" i="57"/>
  <c r="S433" i="57"/>
  <c r="S436" i="57"/>
  <c r="S424" i="57"/>
  <c r="S427" i="57"/>
  <c r="S629" i="69"/>
  <c r="S638" i="69"/>
  <c r="S630" i="69"/>
  <c r="S640" i="69"/>
  <c r="S633" i="69"/>
  <c r="S637" i="69"/>
  <c r="S635" i="69"/>
  <c r="S634" i="69"/>
  <c r="S639" i="69"/>
  <c r="S641" i="69"/>
  <c r="S631" i="69"/>
  <c r="S643" i="69"/>
  <c r="S636" i="69"/>
  <c r="S642" i="69"/>
  <c r="S628" i="69"/>
  <c r="S632" i="69"/>
  <c r="S406" i="45"/>
  <c r="S409" i="45"/>
  <c r="S407" i="45"/>
  <c r="S408" i="45"/>
  <c r="S401" i="45"/>
  <c r="S402" i="45"/>
  <c r="S413" i="45"/>
  <c r="S414" i="45"/>
  <c r="S415" i="45"/>
  <c r="S411" i="45"/>
  <c r="S412" i="45"/>
  <c r="S404" i="45"/>
  <c r="S416" i="45"/>
  <c r="S410" i="45"/>
  <c r="S405" i="45"/>
  <c r="S403" i="45"/>
  <c r="S382" i="37"/>
  <c r="S385" i="37"/>
  <c r="S388" i="37"/>
  <c r="S391" i="37"/>
  <c r="S394" i="37"/>
  <c r="S384" i="37"/>
  <c r="S387" i="37"/>
  <c r="S390" i="37"/>
  <c r="S381" i="37"/>
  <c r="S393" i="37"/>
  <c r="S392" i="37"/>
  <c r="S395" i="37"/>
  <c r="S380" i="37"/>
  <c r="S383" i="37"/>
  <c r="S386" i="37"/>
  <c r="S389" i="37"/>
  <c r="S190" i="29"/>
  <c r="S178" i="29"/>
  <c r="S189" i="29"/>
  <c r="S179" i="29"/>
  <c r="S185" i="29"/>
  <c r="S180" i="29"/>
  <c r="S186" i="29"/>
  <c r="S176" i="29"/>
  <c r="S187" i="29"/>
  <c r="S175" i="29"/>
  <c r="S182" i="29"/>
  <c r="S181" i="29"/>
  <c r="S177" i="29"/>
  <c r="S188" i="29"/>
  <c r="S184" i="29"/>
  <c r="S183" i="29"/>
  <c r="S458" i="53"/>
  <c r="S461" i="53"/>
  <c r="S464" i="53"/>
  <c r="S467" i="53"/>
  <c r="S457" i="53"/>
  <c r="S470" i="53"/>
  <c r="S460" i="53"/>
  <c r="S463" i="53"/>
  <c r="S466" i="53"/>
  <c r="S469" i="53"/>
  <c r="S472" i="53"/>
  <c r="S465" i="53"/>
  <c r="S459" i="53"/>
  <c r="S468" i="53"/>
  <c r="S471" i="53"/>
  <c r="S462" i="53"/>
  <c r="R451" i="49"/>
  <c r="R431" i="49"/>
  <c r="R452" i="49"/>
  <c r="R432" i="49"/>
  <c r="Q135" i="27"/>
  <c r="Q135" i="78" s="1"/>
  <c r="Q135" i="79" s="1"/>
  <c r="R497" i="53"/>
  <c r="R477" i="53"/>
  <c r="R473" i="53"/>
  <c r="R620" i="53" s="1"/>
  <c r="R504" i="53"/>
  <c r="R484" i="53"/>
  <c r="R199" i="53"/>
  <c r="R179" i="53"/>
  <c r="R176" i="53"/>
  <c r="R196" i="53"/>
  <c r="R180" i="49"/>
  <c r="R160" i="49"/>
  <c r="R166" i="49"/>
  <c r="R146" i="49"/>
  <c r="R142" i="49"/>
  <c r="R289" i="49" s="1"/>
  <c r="R233" i="18"/>
  <c r="R213" i="18"/>
  <c r="R112" i="27"/>
  <c r="R112" i="78" s="1"/>
  <c r="R112" i="79" s="1"/>
  <c r="R228" i="18"/>
  <c r="R208" i="18"/>
  <c r="R107" i="27"/>
  <c r="R107" i="78" s="1"/>
  <c r="R107" i="79" s="1"/>
  <c r="Q451" i="41"/>
  <c r="Q161" i="33"/>
  <c r="Q274" i="33" s="1"/>
  <c r="R402" i="69"/>
  <c r="R382" i="69"/>
  <c r="R405" i="69"/>
  <c r="R385" i="69"/>
  <c r="R154" i="61"/>
  <c r="R134" i="61"/>
  <c r="R161" i="61"/>
  <c r="R141" i="61"/>
  <c r="R271" i="75"/>
  <c r="R247" i="75"/>
  <c r="R394" i="75" s="1"/>
  <c r="R251" i="75"/>
  <c r="R276" i="75"/>
  <c r="R256" i="75"/>
  <c r="R920" i="61"/>
  <c r="R900" i="61"/>
  <c r="R925" i="61"/>
  <c r="R905" i="61"/>
  <c r="Q147" i="27"/>
  <c r="Q147" i="78" s="1"/>
  <c r="R454" i="45"/>
  <c r="R434" i="45"/>
  <c r="R445" i="45"/>
  <c r="R425" i="45"/>
  <c r="R446" i="19"/>
  <c r="R426" i="19"/>
  <c r="R455" i="19"/>
  <c r="R435" i="19"/>
  <c r="R154" i="33"/>
  <c r="R134" i="33"/>
  <c r="R158" i="33"/>
  <c r="R138" i="33"/>
  <c r="R148" i="77"/>
  <c r="R128" i="77"/>
  <c r="R154" i="77"/>
  <c r="R134" i="77"/>
  <c r="R471" i="57"/>
  <c r="R451" i="57"/>
  <c r="R470" i="57"/>
  <c r="R450" i="57"/>
  <c r="R174" i="19"/>
  <c r="R154" i="19"/>
  <c r="R166" i="19"/>
  <c r="R146" i="19"/>
  <c r="R142" i="19"/>
  <c r="R289" i="19" s="1"/>
  <c r="R187" i="45"/>
  <c r="R167" i="45"/>
  <c r="R163" i="45"/>
  <c r="R310" i="45" s="1"/>
  <c r="R197" i="45"/>
  <c r="R177" i="45"/>
  <c r="R428" i="37"/>
  <c r="R408" i="37"/>
  <c r="R435" i="37"/>
  <c r="R415" i="37"/>
  <c r="R191" i="57"/>
  <c r="R171" i="57"/>
  <c r="R184" i="57"/>
  <c r="R164" i="57"/>
  <c r="Q203" i="45"/>
  <c r="Q315" i="45" s="1"/>
  <c r="Q124" i="27"/>
  <c r="Q124" i="78" s="1"/>
  <c r="Q124" i="79" s="1"/>
  <c r="R166" i="41"/>
  <c r="R146" i="41"/>
  <c r="R142" i="41"/>
  <c r="R289" i="41" s="1"/>
  <c r="R173" i="41"/>
  <c r="R153" i="41"/>
  <c r="R228" i="29"/>
  <c r="R208" i="29"/>
  <c r="R218" i="29"/>
  <c r="R198" i="29"/>
  <c r="R147" i="69"/>
  <c r="R127" i="69"/>
  <c r="R150" i="69"/>
  <c r="R130" i="69"/>
  <c r="R179" i="37"/>
  <c r="R159" i="37"/>
  <c r="R153" i="37"/>
  <c r="R173" i="37"/>
  <c r="Q162" i="19"/>
  <c r="Q134" i="27"/>
  <c r="Q134" i="78" s="1"/>
  <c r="Q134" i="79" s="1"/>
  <c r="R458" i="41"/>
  <c r="R438" i="41"/>
  <c r="R459" i="41"/>
  <c r="R439" i="41"/>
  <c r="R719" i="19"/>
  <c r="R699" i="19"/>
  <c r="R722" i="19"/>
  <c r="R702" i="19"/>
  <c r="R675" i="69"/>
  <c r="R655" i="69"/>
  <c r="R680" i="69"/>
  <c r="R660" i="69"/>
  <c r="Q712" i="19"/>
  <c r="R668" i="61"/>
  <c r="R648" i="61"/>
  <c r="R677" i="61"/>
  <c r="R657" i="61"/>
  <c r="R412" i="61"/>
  <c r="R392" i="61"/>
  <c r="R422" i="61"/>
  <c r="R402" i="61"/>
  <c r="S246" i="75"/>
  <c r="S236" i="75"/>
  <c r="S232" i="75"/>
  <c r="S234" i="75"/>
  <c r="S235" i="75"/>
  <c r="S237" i="75"/>
  <c r="S233" i="75"/>
  <c r="S238" i="75"/>
  <c r="S240" i="75"/>
  <c r="S242" i="75"/>
  <c r="S243" i="75"/>
  <c r="S245" i="75"/>
  <c r="S241" i="75"/>
  <c r="S244" i="75"/>
  <c r="S231" i="75"/>
  <c r="S239" i="75"/>
  <c r="S413" i="19"/>
  <c r="S416" i="19"/>
  <c r="S415" i="19"/>
  <c r="S403" i="19"/>
  <c r="S401" i="19"/>
  <c r="S404" i="19"/>
  <c r="S410" i="19"/>
  <c r="S402" i="19"/>
  <c r="S414" i="19"/>
  <c r="S406" i="19"/>
  <c r="S405" i="19"/>
  <c r="S408" i="19"/>
  <c r="S411" i="19"/>
  <c r="S409" i="19"/>
  <c r="S412" i="19"/>
  <c r="S407" i="19"/>
  <c r="S381" i="61"/>
  <c r="S375" i="61"/>
  <c r="S380" i="61"/>
  <c r="S382" i="61"/>
  <c r="S367" i="61"/>
  <c r="S370" i="61"/>
  <c r="S368" i="61"/>
  <c r="S369" i="61"/>
  <c r="S373" i="61"/>
  <c r="S376" i="61"/>
  <c r="S379" i="61"/>
  <c r="S372" i="61"/>
  <c r="S374" i="61"/>
  <c r="S377" i="61"/>
  <c r="S371" i="61"/>
  <c r="S378" i="61"/>
  <c r="S126" i="41"/>
  <c r="S129" i="41"/>
  <c r="S132" i="41"/>
  <c r="S135" i="41"/>
  <c r="S138" i="41"/>
  <c r="S141" i="41"/>
  <c r="S128" i="41"/>
  <c r="S134" i="41"/>
  <c r="S137" i="41"/>
  <c r="S140" i="41"/>
  <c r="S131" i="41"/>
  <c r="S127" i="41"/>
  <c r="S130" i="41"/>
  <c r="S133" i="41"/>
  <c r="S136" i="41"/>
  <c r="S139" i="41"/>
  <c r="S408" i="49"/>
  <c r="S409" i="49"/>
  <c r="S411" i="49"/>
  <c r="S404" i="49"/>
  <c r="S413" i="49"/>
  <c r="S403" i="49"/>
  <c r="S415" i="49"/>
  <c r="S402" i="49"/>
  <c r="S410" i="49"/>
  <c r="S405" i="49"/>
  <c r="S412" i="49"/>
  <c r="S406" i="49"/>
  <c r="S401" i="49"/>
  <c r="S414" i="49"/>
  <c r="S416" i="49"/>
  <c r="S407" i="49"/>
  <c r="Q211" i="29"/>
  <c r="R449" i="49"/>
  <c r="R429" i="49"/>
  <c r="R445" i="49"/>
  <c r="R425" i="49"/>
  <c r="Q155" i="27"/>
  <c r="Q155" i="78" s="1"/>
  <c r="Q155" i="79" s="1"/>
  <c r="R512" i="53"/>
  <c r="R492" i="53"/>
  <c r="R481" i="53"/>
  <c r="R501" i="53"/>
  <c r="R204" i="53"/>
  <c r="R184" i="53"/>
  <c r="R194" i="53"/>
  <c r="R174" i="53"/>
  <c r="R170" i="53"/>
  <c r="R317" i="53" s="1"/>
  <c r="R177" i="49"/>
  <c r="R157" i="49"/>
  <c r="R181" i="49"/>
  <c r="R161" i="49"/>
  <c r="R236" i="18"/>
  <c r="R216" i="18"/>
  <c r="R115" i="27"/>
  <c r="R115" i="78" s="1"/>
  <c r="R115" i="79" s="1"/>
  <c r="R202" i="18"/>
  <c r="R222" i="18"/>
  <c r="R198" i="18"/>
  <c r="R345" i="18" s="1"/>
  <c r="R101" i="27"/>
  <c r="Q437" i="49"/>
  <c r="Q471" i="41"/>
  <c r="Q584" i="41" s="1"/>
  <c r="Q129" i="27"/>
  <c r="Q129" i="78" s="1"/>
  <c r="R383" i="69"/>
  <c r="R403" i="69"/>
  <c r="R412" i="69"/>
  <c r="R392" i="69"/>
  <c r="R162" i="61"/>
  <c r="R142" i="61"/>
  <c r="R153" i="61"/>
  <c r="R133" i="61"/>
  <c r="R282" i="75"/>
  <c r="R262" i="75"/>
  <c r="R280" i="75"/>
  <c r="R260" i="75"/>
  <c r="R930" i="61"/>
  <c r="R910" i="61"/>
  <c r="R927" i="61"/>
  <c r="R907" i="61"/>
  <c r="R455" i="45"/>
  <c r="R435" i="45"/>
  <c r="R444" i="45"/>
  <c r="R424" i="45"/>
  <c r="R443" i="19"/>
  <c r="R423" i="19"/>
  <c r="R452" i="19"/>
  <c r="R432" i="19"/>
  <c r="R151" i="33"/>
  <c r="R131" i="33"/>
  <c r="R159" i="33"/>
  <c r="R139" i="33"/>
  <c r="R153" i="77"/>
  <c r="R133" i="77"/>
  <c r="R159" i="77"/>
  <c r="R139" i="77"/>
  <c r="R468" i="57"/>
  <c r="R448" i="57"/>
  <c r="R467" i="57"/>
  <c r="R447" i="57"/>
  <c r="R171" i="19"/>
  <c r="R151" i="19"/>
  <c r="R179" i="19"/>
  <c r="R159" i="19"/>
  <c r="R194" i="45"/>
  <c r="R174" i="45"/>
  <c r="R195" i="45"/>
  <c r="R175" i="45"/>
  <c r="R425" i="37"/>
  <c r="R405" i="37"/>
  <c r="R424" i="37"/>
  <c r="R404" i="37"/>
  <c r="R183" i="57"/>
  <c r="R163" i="57"/>
  <c r="R182" i="57"/>
  <c r="R162" i="57"/>
  <c r="Q141" i="77"/>
  <c r="R181" i="41"/>
  <c r="R161" i="41"/>
  <c r="R170" i="41"/>
  <c r="R150" i="41"/>
  <c r="R222" i="29"/>
  <c r="R202" i="29"/>
  <c r="R230" i="29"/>
  <c r="R210" i="29"/>
  <c r="R146" i="69"/>
  <c r="R126" i="69"/>
  <c r="R148" i="69"/>
  <c r="R128" i="69"/>
  <c r="R170" i="37"/>
  <c r="R150" i="37"/>
  <c r="R161" i="37"/>
  <c r="R181" i="37"/>
  <c r="Q182" i="19"/>
  <c r="Q294" i="19" s="1"/>
  <c r="Q658" i="61"/>
  <c r="Q437" i="19"/>
  <c r="Q154" i="27"/>
  <c r="Q154" i="78" s="1"/>
  <c r="Q154" i="79" s="1"/>
  <c r="R466" i="41"/>
  <c r="R446" i="41"/>
  <c r="R460" i="41"/>
  <c r="R440" i="41"/>
  <c r="R730" i="19"/>
  <c r="R710" i="19"/>
  <c r="R716" i="19"/>
  <c r="R696" i="19"/>
  <c r="R692" i="19"/>
  <c r="R839" i="19" s="1"/>
  <c r="R677" i="69"/>
  <c r="R657" i="69"/>
  <c r="R683" i="69"/>
  <c r="R663" i="69"/>
  <c r="Q732" i="19"/>
  <c r="Q845" i="19" s="1"/>
  <c r="R665" i="61"/>
  <c r="R645" i="61"/>
  <c r="R674" i="61"/>
  <c r="R654" i="61"/>
  <c r="R409" i="61"/>
  <c r="R389" i="61"/>
  <c r="R394" i="61"/>
  <c r="R414" i="61"/>
  <c r="S113" i="61"/>
  <c r="S111" i="61"/>
  <c r="S123" i="61"/>
  <c r="S116" i="61"/>
  <c r="S117" i="61"/>
  <c r="S120" i="61"/>
  <c r="S114" i="61"/>
  <c r="S115" i="61"/>
  <c r="S110" i="61"/>
  <c r="S124" i="61"/>
  <c r="S125" i="61"/>
  <c r="S118" i="61"/>
  <c r="S119" i="61"/>
  <c r="S122" i="61"/>
  <c r="S112" i="61"/>
  <c r="S121" i="61"/>
  <c r="S682" i="19"/>
  <c r="S686" i="19"/>
  <c r="S677" i="19"/>
  <c r="S688" i="19"/>
  <c r="S681" i="19"/>
  <c r="S687" i="19"/>
  <c r="S690" i="19"/>
  <c r="S676" i="19"/>
  <c r="S683" i="19"/>
  <c r="S685" i="19"/>
  <c r="S678" i="19"/>
  <c r="S689" i="19"/>
  <c r="S684" i="19"/>
  <c r="S680" i="19"/>
  <c r="S691" i="19"/>
  <c r="S679" i="19"/>
  <c r="Q162" i="37"/>
  <c r="Q156" i="27"/>
  <c r="Q156" i="78" s="1"/>
  <c r="Q156" i="79" s="1"/>
  <c r="R441" i="49"/>
  <c r="R417" i="49"/>
  <c r="R564" i="49" s="1"/>
  <c r="R421" i="49"/>
  <c r="R450" i="49"/>
  <c r="R430" i="49"/>
  <c r="Q148" i="27"/>
  <c r="Q148" i="78" s="1"/>
  <c r="Q148" i="79" s="1"/>
  <c r="R489" i="53"/>
  <c r="R509" i="53"/>
  <c r="R498" i="53"/>
  <c r="R478" i="53"/>
  <c r="R198" i="53"/>
  <c r="R178" i="53"/>
  <c r="R201" i="53"/>
  <c r="R181" i="53"/>
  <c r="R174" i="49"/>
  <c r="R154" i="49"/>
  <c r="R178" i="49"/>
  <c r="R158" i="49"/>
  <c r="R230" i="18"/>
  <c r="R109" i="27"/>
  <c r="R109" i="78" s="1"/>
  <c r="R210" i="18"/>
  <c r="R237" i="18"/>
  <c r="R217" i="18"/>
  <c r="R116" i="27"/>
  <c r="R116" i="78" s="1"/>
  <c r="R116" i="79" s="1"/>
  <c r="Q126" i="27"/>
  <c r="Q126" i="78" s="1"/>
  <c r="Q126" i="79" s="1"/>
  <c r="Q149" i="27"/>
  <c r="Q149" i="78" s="1"/>
  <c r="R410" i="69"/>
  <c r="R390" i="69"/>
  <c r="R413" i="69"/>
  <c r="R393" i="69"/>
  <c r="R156" i="61"/>
  <c r="R136" i="61"/>
  <c r="R150" i="61"/>
  <c r="R130" i="61"/>
  <c r="R126" i="61"/>
  <c r="R273" i="61" s="1"/>
  <c r="R261" i="75"/>
  <c r="R281" i="75"/>
  <c r="R275" i="75"/>
  <c r="R255" i="75"/>
  <c r="R928" i="61"/>
  <c r="R908" i="61"/>
  <c r="R932" i="61"/>
  <c r="R912" i="61"/>
  <c r="Q403" i="61"/>
  <c r="Q493" i="53"/>
  <c r="Q123" i="27"/>
  <c r="Q123" i="78" s="1"/>
  <c r="Q123" i="79" s="1"/>
  <c r="R443" i="45"/>
  <c r="R423" i="45"/>
  <c r="R453" i="45"/>
  <c r="R433" i="45"/>
  <c r="R449" i="19"/>
  <c r="R429" i="19"/>
  <c r="R454" i="19"/>
  <c r="R434" i="19"/>
  <c r="R148" i="33"/>
  <c r="R128" i="33"/>
  <c r="R156" i="33"/>
  <c r="R136" i="33"/>
  <c r="R158" i="77"/>
  <c r="R138" i="77"/>
  <c r="R125" i="77"/>
  <c r="R121" i="77"/>
  <c r="R268" i="77" s="1"/>
  <c r="R145" i="77"/>
  <c r="R465" i="57"/>
  <c r="R445" i="57"/>
  <c r="R476" i="57"/>
  <c r="R456" i="57"/>
  <c r="R168" i="19"/>
  <c r="R148" i="19"/>
  <c r="R176" i="19"/>
  <c r="R156" i="19"/>
  <c r="R191" i="45"/>
  <c r="R171" i="45"/>
  <c r="R199" i="45"/>
  <c r="R179" i="45"/>
  <c r="R422" i="37"/>
  <c r="R402" i="37"/>
  <c r="R421" i="37"/>
  <c r="R401" i="37"/>
  <c r="R187" i="57"/>
  <c r="R167" i="57"/>
  <c r="R192" i="57"/>
  <c r="R172" i="57"/>
  <c r="Q161" i="77"/>
  <c r="Q273" i="77" s="1"/>
  <c r="R178" i="41"/>
  <c r="R158" i="41"/>
  <c r="R167" i="41"/>
  <c r="R147" i="41"/>
  <c r="R221" i="29"/>
  <c r="R201" i="29"/>
  <c r="R219" i="29"/>
  <c r="R199" i="29"/>
  <c r="R158" i="69"/>
  <c r="R138" i="69"/>
  <c r="R155" i="69"/>
  <c r="R135" i="69"/>
  <c r="R167" i="37"/>
  <c r="R147" i="37"/>
  <c r="R166" i="37"/>
  <c r="R146" i="37"/>
  <c r="R142" i="37"/>
  <c r="R289" i="37" s="1"/>
  <c r="Q678" i="61"/>
  <c r="Q790" i="61" s="1"/>
  <c r="Q457" i="19"/>
  <c r="Q569" i="19" s="1"/>
  <c r="R468" i="41"/>
  <c r="R448" i="41"/>
  <c r="R467" i="41"/>
  <c r="R447" i="41"/>
  <c r="R724" i="19"/>
  <c r="R704" i="19"/>
  <c r="R723" i="19"/>
  <c r="R703" i="19"/>
  <c r="R678" i="69"/>
  <c r="R658" i="69"/>
  <c r="R672" i="69"/>
  <c r="R652" i="69"/>
  <c r="R672" i="61"/>
  <c r="R652" i="61"/>
  <c r="R676" i="61"/>
  <c r="R656" i="61"/>
  <c r="R407" i="61"/>
  <c r="R387" i="61"/>
  <c r="R383" i="61"/>
  <c r="R530" i="61" s="1"/>
  <c r="R420" i="61"/>
  <c r="R400" i="61"/>
  <c r="Q182" i="37"/>
  <c r="Q295" i="37" s="1"/>
  <c r="R446" i="49"/>
  <c r="R426" i="49"/>
  <c r="R444" i="49"/>
  <c r="R424" i="49"/>
  <c r="Q913" i="61"/>
  <c r="Q128" i="27"/>
  <c r="Q128" i="78" s="1"/>
  <c r="Q128" i="79" s="1"/>
  <c r="R506" i="53"/>
  <c r="R486" i="53"/>
  <c r="R505" i="53"/>
  <c r="R485" i="53"/>
  <c r="R197" i="53"/>
  <c r="R177" i="53"/>
  <c r="R195" i="53"/>
  <c r="R175" i="53"/>
  <c r="R171" i="49"/>
  <c r="R151" i="49"/>
  <c r="R167" i="49"/>
  <c r="R147" i="49"/>
  <c r="R227" i="18"/>
  <c r="R207" i="18"/>
  <c r="R106" i="27"/>
  <c r="R106" i="78" s="1"/>
  <c r="R106" i="79" s="1"/>
  <c r="R105" i="27"/>
  <c r="R105" i="78" s="1"/>
  <c r="R105" i="79" s="1"/>
  <c r="R206" i="18"/>
  <c r="R226" i="18"/>
  <c r="Q141" i="69"/>
  <c r="Q457" i="49"/>
  <c r="Q569" i="49" s="1"/>
  <c r="Q146" i="27"/>
  <c r="Q146" i="78" s="1"/>
  <c r="Q190" i="53"/>
  <c r="Q117" i="27"/>
  <c r="Q101" i="78"/>
  <c r="R404" i="69"/>
  <c r="R384" i="69"/>
  <c r="R407" i="69"/>
  <c r="R387" i="69"/>
  <c r="R163" i="61"/>
  <c r="R143" i="61"/>
  <c r="R155" i="61"/>
  <c r="R135" i="61"/>
  <c r="R273" i="75"/>
  <c r="R253" i="75"/>
  <c r="R272" i="75"/>
  <c r="R252" i="75"/>
  <c r="R918" i="61"/>
  <c r="R898" i="61"/>
  <c r="R923" i="61"/>
  <c r="R903" i="61"/>
  <c r="Q423" i="61"/>
  <c r="Q535" i="61" s="1"/>
  <c r="Q513" i="53"/>
  <c r="Q625" i="53" s="1"/>
  <c r="Q143" i="27"/>
  <c r="Q143" i="78" s="1"/>
  <c r="R422" i="45"/>
  <c r="R442" i="45"/>
  <c r="R421" i="45"/>
  <c r="R417" i="45"/>
  <c r="R564" i="45" s="1"/>
  <c r="R441" i="45"/>
  <c r="R456" i="19"/>
  <c r="R436" i="19"/>
  <c r="R451" i="19"/>
  <c r="R431" i="19"/>
  <c r="R145" i="33"/>
  <c r="R125" i="33"/>
  <c r="R121" i="33"/>
  <c r="R268" i="33" s="1"/>
  <c r="R153" i="33"/>
  <c r="R133" i="33"/>
  <c r="R156" i="77"/>
  <c r="R136" i="77"/>
  <c r="R157" i="77"/>
  <c r="R137" i="77"/>
  <c r="R475" i="57"/>
  <c r="R455" i="57"/>
  <c r="R473" i="57"/>
  <c r="R453" i="57"/>
  <c r="R181" i="19"/>
  <c r="R161" i="19"/>
  <c r="R173" i="19"/>
  <c r="R153" i="19"/>
  <c r="R202" i="45"/>
  <c r="R182" i="45"/>
  <c r="R188" i="45"/>
  <c r="R168" i="45"/>
  <c r="R432" i="37"/>
  <c r="R412" i="37"/>
  <c r="R433" i="37"/>
  <c r="R413" i="37"/>
  <c r="R165" i="57"/>
  <c r="R185" i="57"/>
  <c r="R190" i="57"/>
  <c r="R170" i="57"/>
  <c r="Q684" i="69"/>
  <c r="Q797" i="69" s="1"/>
  <c r="Q162" i="41"/>
  <c r="Q132" i="27"/>
  <c r="Q132" i="78" s="1"/>
  <c r="Q132" i="79" s="1"/>
  <c r="R174" i="41"/>
  <c r="R154" i="41"/>
  <c r="R175" i="41"/>
  <c r="R155" i="41"/>
  <c r="R224" i="29"/>
  <c r="R204" i="29"/>
  <c r="R215" i="29"/>
  <c r="R195" i="29"/>
  <c r="R191" i="29"/>
  <c r="R338" i="29" s="1"/>
  <c r="R133" i="69"/>
  <c r="R153" i="69"/>
  <c r="R160" i="69"/>
  <c r="R140" i="69"/>
  <c r="R174" i="37"/>
  <c r="R154" i="37"/>
  <c r="R178" i="37"/>
  <c r="R158" i="37"/>
  <c r="Q130" i="27"/>
  <c r="Q130" i="78" s="1"/>
  <c r="Q130" i="79" s="1"/>
  <c r="R456" i="41"/>
  <c r="R436" i="41"/>
  <c r="R462" i="41"/>
  <c r="R442" i="41"/>
  <c r="R731" i="19"/>
  <c r="R711" i="19"/>
  <c r="R727" i="19"/>
  <c r="R707" i="19"/>
  <c r="R670" i="69"/>
  <c r="R650" i="69"/>
  <c r="R668" i="69"/>
  <c r="R648" i="69"/>
  <c r="R644" i="69"/>
  <c r="R791" i="69" s="1"/>
  <c r="Q416" i="37"/>
  <c r="R675" i="61"/>
  <c r="R655" i="61"/>
  <c r="R653" i="61"/>
  <c r="R673" i="61"/>
  <c r="R410" i="61"/>
  <c r="R390" i="61"/>
  <c r="R417" i="61"/>
  <c r="R397" i="61"/>
  <c r="S115" i="33"/>
  <c r="S106" i="33"/>
  <c r="S109" i="33"/>
  <c r="S112" i="33"/>
  <c r="S118" i="33"/>
  <c r="S105" i="33"/>
  <c r="S108" i="33"/>
  <c r="S111" i="33"/>
  <c r="S114" i="33"/>
  <c r="S117" i="33"/>
  <c r="S120" i="33"/>
  <c r="S107" i="33"/>
  <c r="S110" i="33"/>
  <c r="S113" i="33"/>
  <c r="S116" i="33"/>
  <c r="S119" i="33"/>
  <c r="S160" i="45"/>
  <c r="S148" i="45"/>
  <c r="S151" i="45"/>
  <c r="S162" i="45"/>
  <c r="S147" i="45"/>
  <c r="S158" i="45"/>
  <c r="S161" i="45"/>
  <c r="S155" i="45"/>
  <c r="S149" i="45"/>
  <c r="S159" i="45"/>
  <c r="S156" i="45"/>
  <c r="S152" i="45"/>
  <c r="S154" i="45"/>
  <c r="S157" i="45"/>
  <c r="S150" i="45"/>
  <c r="S153" i="45"/>
  <c r="S889" i="61"/>
  <c r="S887" i="61"/>
  <c r="S877" i="61"/>
  <c r="S891" i="61"/>
  <c r="S878" i="61"/>
  <c r="S888" i="61"/>
  <c r="S885" i="61"/>
  <c r="S884" i="61"/>
  <c r="S882" i="61"/>
  <c r="S886" i="61"/>
  <c r="S881" i="61"/>
  <c r="S879" i="61"/>
  <c r="S883" i="61"/>
  <c r="S890" i="61"/>
  <c r="S880" i="61"/>
  <c r="S892" i="61"/>
  <c r="S365" i="69"/>
  <c r="S371" i="69"/>
  <c r="S366" i="69"/>
  <c r="S372" i="69"/>
  <c r="S370" i="69"/>
  <c r="S360" i="69"/>
  <c r="S361" i="69"/>
  <c r="S367" i="69"/>
  <c r="S373" i="69"/>
  <c r="S374" i="69"/>
  <c r="S369" i="69"/>
  <c r="S375" i="69"/>
  <c r="S363" i="69"/>
  <c r="S364" i="69"/>
  <c r="S362" i="69"/>
  <c r="S368" i="69"/>
  <c r="S111" i="77"/>
  <c r="S109" i="77"/>
  <c r="S116" i="77"/>
  <c r="S112" i="77"/>
  <c r="S105" i="77"/>
  <c r="S115" i="77"/>
  <c r="S120" i="77"/>
  <c r="S110" i="77"/>
  <c r="S107" i="77"/>
  <c r="S117" i="77"/>
  <c r="S118" i="77"/>
  <c r="S113" i="77"/>
  <c r="S119" i="77"/>
  <c r="S114" i="77"/>
  <c r="S108" i="77"/>
  <c r="S106" i="77"/>
  <c r="S417" i="41"/>
  <c r="S430" i="41"/>
  <c r="S426" i="41"/>
  <c r="S420" i="41"/>
  <c r="S428" i="41"/>
  <c r="S427" i="41"/>
  <c r="S416" i="41"/>
  <c r="S418" i="41"/>
  <c r="S425" i="41"/>
  <c r="S423" i="41"/>
  <c r="S422" i="41"/>
  <c r="S415" i="41"/>
  <c r="S429" i="41"/>
  <c r="S421" i="41"/>
  <c r="S419" i="41"/>
  <c r="S424" i="41"/>
  <c r="Q136" i="27"/>
  <c r="Q136" i="78" s="1"/>
  <c r="Q136" i="79" s="1"/>
  <c r="R456" i="49"/>
  <c r="R436" i="49"/>
  <c r="R455" i="49"/>
  <c r="R435" i="49"/>
  <c r="Q933" i="61"/>
  <c r="Q1045" i="61" s="1"/>
  <c r="Q437" i="45"/>
  <c r="R503" i="53"/>
  <c r="R483" i="53"/>
  <c r="R511" i="53"/>
  <c r="R491" i="53"/>
  <c r="R202" i="53"/>
  <c r="R182" i="53"/>
  <c r="R207" i="53"/>
  <c r="R187" i="53"/>
  <c r="R168" i="49"/>
  <c r="R148" i="49"/>
  <c r="R179" i="49"/>
  <c r="R159" i="49"/>
  <c r="R224" i="18"/>
  <c r="R204" i="18"/>
  <c r="R103" i="27"/>
  <c r="R103" i="78" s="1"/>
  <c r="R103" i="79" s="1"/>
  <c r="R225" i="18"/>
  <c r="R205" i="18"/>
  <c r="R104" i="27"/>
  <c r="R104" i="78" s="1"/>
  <c r="R104" i="79" s="1"/>
  <c r="Q176" i="57"/>
  <c r="Q161" i="69"/>
  <c r="Q274" i="69" s="1"/>
  <c r="Q210" i="53"/>
  <c r="Q323" i="53" s="1"/>
  <c r="R415" i="69"/>
  <c r="R395" i="69"/>
  <c r="R381" i="69"/>
  <c r="R401" i="69"/>
  <c r="R160" i="61"/>
  <c r="R140" i="61"/>
  <c r="R152" i="61"/>
  <c r="R132" i="61"/>
  <c r="R278" i="75"/>
  <c r="R258" i="75"/>
  <c r="R284" i="75"/>
  <c r="R264" i="75"/>
  <c r="R931" i="61"/>
  <c r="R911" i="61"/>
  <c r="R926" i="61"/>
  <c r="R906" i="61"/>
  <c r="R449" i="45"/>
  <c r="R429" i="45"/>
  <c r="R430" i="45"/>
  <c r="R450" i="45"/>
  <c r="R445" i="19"/>
  <c r="R425" i="19"/>
  <c r="R448" i="19"/>
  <c r="R428" i="19"/>
  <c r="R155" i="33"/>
  <c r="R135" i="33"/>
  <c r="R147" i="33"/>
  <c r="R127" i="33"/>
  <c r="R155" i="77"/>
  <c r="R135" i="77"/>
  <c r="R146" i="77"/>
  <c r="R126" i="77"/>
  <c r="R472" i="57"/>
  <c r="R452" i="57"/>
  <c r="R464" i="57"/>
  <c r="R444" i="57"/>
  <c r="R178" i="19"/>
  <c r="R158" i="19"/>
  <c r="R170" i="19"/>
  <c r="R150" i="19"/>
  <c r="R198" i="45"/>
  <c r="R178" i="45"/>
  <c r="R192" i="45"/>
  <c r="R172" i="45"/>
  <c r="R429" i="37"/>
  <c r="R409" i="37"/>
  <c r="R430" i="37"/>
  <c r="R410" i="37"/>
  <c r="R188" i="57"/>
  <c r="R168" i="57"/>
  <c r="R194" i="57"/>
  <c r="R174" i="57"/>
  <c r="Q664" i="69"/>
  <c r="Q182" i="41"/>
  <c r="Q294" i="41" s="1"/>
  <c r="R180" i="41"/>
  <c r="R160" i="41"/>
  <c r="R172" i="41"/>
  <c r="R152" i="41"/>
  <c r="R196" i="29"/>
  <c r="R216" i="29"/>
  <c r="R226" i="29"/>
  <c r="R206" i="29"/>
  <c r="R157" i="69"/>
  <c r="R137" i="69"/>
  <c r="R154" i="69"/>
  <c r="R134" i="69"/>
  <c r="R180" i="37"/>
  <c r="R160" i="37"/>
  <c r="R175" i="37"/>
  <c r="R155" i="37"/>
  <c r="Q150" i="27"/>
  <c r="Q150" i="78" s="1"/>
  <c r="R464" i="41"/>
  <c r="R444" i="41"/>
  <c r="R461" i="41"/>
  <c r="R441" i="41"/>
  <c r="R720" i="19"/>
  <c r="R700" i="19"/>
  <c r="R721" i="19"/>
  <c r="R701" i="19"/>
  <c r="R676" i="69"/>
  <c r="R656" i="69"/>
  <c r="R659" i="69"/>
  <c r="R679" i="69"/>
  <c r="Q436" i="37"/>
  <c r="Q548" i="37" s="1"/>
  <c r="R663" i="61"/>
  <c r="R643" i="61"/>
  <c r="R662" i="61"/>
  <c r="R638" i="61"/>
  <c r="R785" i="61" s="1"/>
  <c r="R642" i="61"/>
  <c r="R421" i="61"/>
  <c r="R401" i="61"/>
  <c r="R415" i="61"/>
  <c r="R395" i="61"/>
  <c r="S128" i="19"/>
  <c r="S131" i="19"/>
  <c r="S134" i="19"/>
  <c r="S137" i="19"/>
  <c r="S140" i="19"/>
  <c r="S127" i="19"/>
  <c r="S130" i="19"/>
  <c r="S133" i="19"/>
  <c r="S136" i="19"/>
  <c r="S139" i="19"/>
  <c r="S126" i="19"/>
  <c r="S129" i="19"/>
  <c r="S132" i="19"/>
  <c r="S135" i="19"/>
  <c r="S138" i="19"/>
  <c r="S141" i="19"/>
  <c r="S131" i="37"/>
  <c r="S129" i="37"/>
  <c r="S127" i="37"/>
  <c r="S130" i="37"/>
  <c r="S137" i="37"/>
  <c r="S136" i="37"/>
  <c r="S139" i="37"/>
  <c r="S132" i="37"/>
  <c r="S135" i="37"/>
  <c r="S134" i="37"/>
  <c r="S133" i="37"/>
  <c r="S141" i="37"/>
  <c r="S126" i="37"/>
  <c r="S140" i="37"/>
  <c r="S128" i="37"/>
  <c r="S138" i="37"/>
  <c r="S191" i="18"/>
  <c r="S184" i="18"/>
  <c r="S194" i="18"/>
  <c r="S187" i="18"/>
  <c r="S193" i="18"/>
  <c r="S196" i="18"/>
  <c r="S186" i="18"/>
  <c r="S189" i="18"/>
  <c r="S192" i="18"/>
  <c r="S183" i="18"/>
  <c r="S195" i="18"/>
  <c r="S190" i="18"/>
  <c r="S197" i="18"/>
  <c r="S185" i="18"/>
  <c r="S188" i="18"/>
  <c r="S182" i="18"/>
  <c r="Q146" i="61"/>
  <c r="R447" i="49"/>
  <c r="R427" i="49"/>
  <c r="R443" i="49"/>
  <c r="R423" i="49"/>
  <c r="Q457" i="45"/>
  <c r="Q569" i="45" s="1"/>
  <c r="R508" i="53"/>
  <c r="R488" i="53"/>
  <c r="R502" i="53"/>
  <c r="R482" i="53"/>
  <c r="R209" i="53"/>
  <c r="R189" i="53"/>
  <c r="R206" i="53"/>
  <c r="R186" i="53"/>
  <c r="R175" i="49"/>
  <c r="R155" i="49"/>
  <c r="R176" i="49"/>
  <c r="R156" i="49"/>
  <c r="R229" i="18"/>
  <c r="R209" i="18"/>
  <c r="R108" i="27"/>
  <c r="R108" i="78" s="1"/>
  <c r="R108" i="79" s="1"/>
  <c r="R223" i="18"/>
  <c r="R203" i="18"/>
  <c r="R102" i="27"/>
  <c r="R102" i="78" s="1"/>
  <c r="R102" i="79" s="1"/>
  <c r="Q196" i="57"/>
  <c r="Q309" i="57" s="1"/>
  <c r="Q131" i="27"/>
  <c r="Q131" i="78" s="1"/>
  <c r="Q131" i="79" s="1"/>
  <c r="Q218" i="18"/>
  <c r="Q121" i="27"/>
  <c r="R409" i="69"/>
  <c r="R389" i="69"/>
  <c r="R406" i="69"/>
  <c r="R386" i="69"/>
  <c r="R139" i="61"/>
  <c r="R159" i="61"/>
  <c r="R131" i="61"/>
  <c r="R151" i="61"/>
  <c r="R277" i="75"/>
  <c r="R257" i="75"/>
  <c r="R286" i="75"/>
  <c r="R266" i="75"/>
  <c r="R921" i="61"/>
  <c r="R901" i="61"/>
  <c r="R922" i="61"/>
  <c r="R902" i="61"/>
  <c r="R456" i="45"/>
  <c r="R436" i="45"/>
  <c r="R452" i="45"/>
  <c r="R432" i="45"/>
  <c r="R453" i="19"/>
  <c r="R433" i="19"/>
  <c r="R442" i="19"/>
  <c r="R422" i="19"/>
  <c r="R152" i="33"/>
  <c r="R132" i="33"/>
  <c r="R150" i="33"/>
  <c r="R130" i="33"/>
  <c r="R160" i="77"/>
  <c r="R140" i="77"/>
  <c r="R149" i="77"/>
  <c r="R129" i="77"/>
  <c r="R469" i="57"/>
  <c r="R449" i="57"/>
  <c r="R442" i="57"/>
  <c r="R462" i="57"/>
  <c r="R438" i="57"/>
  <c r="R585" i="57" s="1"/>
  <c r="R175" i="19"/>
  <c r="R155" i="19"/>
  <c r="R167" i="19"/>
  <c r="R147" i="19"/>
  <c r="R196" i="45"/>
  <c r="R176" i="45"/>
  <c r="R189" i="45"/>
  <c r="R169" i="45"/>
  <c r="R426" i="37"/>
  <c r="R406" i="37"/>
  <c r="R427" i="37"/>
  <c r="R407" i="37"/>
  <c r="R193" i="57"/>
  <c r="R173" i="57"/>
  <c r="R186" i="57"/>
  <c r="R166" i="57"/>
  <c r="O157" i="78"/>
  <c r="O141" i="79"/>
  <c r="Q152" i="27"/>
  <c r="Q152" i="78" s="1"/>
  <c r="R177" i="41"/>
  <c r="R157" i="41"/>
  <c r="R169" i="41"/>
  <c r="R149" i="41"/>
  <c r="R229" i="29"/>
  <c r="R209" i="29"/>
  <c r="R227" i="29"/>
  <c r="R207" i="29"/>
  <c r="R152" i="69"/>
  <c r="R132" i="69"/>
  <c r="R125" i="69"/>
  <c r="R145" i="69"/>
  <c r="R121" i="69"/>
  <c r="R268" i="69" s="1"/>
  <c r="R168" i="37"/>
  <c r="R148" i="37"/>
  <c r="R172" i="37"/>
  <c r="R152" i="37"/>
  <c r="R470" i="41"/>
  <c r="R450" i="41"/>
  <c r="R463" i="41"/>
  <c r="R443" i="41"/>
  <c r="R718" i="19"/>
  <c r="R698" i="19"/>
  <c r="R728" i="19"/>
  <c r="R708" i="19"/>
  <c r="R682" i="69"/>
  <c r="R662" i="69"/>
  <c r="R671" i="69"/>
  <c r="R651" i="69"/>
  <c r="Q133" i="27"/>
  <c r="Q133" i="78" s="1"/>
  <c r="Q133" i="79" s="1"/>
  <c r="R664" i="61"/>
  <c r="R644" i="61"/>
  <c r="R649" i="61"/>
  <c r="R669" i="61"/>
  <c r="R411" i="61"/>
  <c r="R391" i="61"/>
  <c r="R419" i="61"/>
  <c r="R399" i="61"/>
  <c r="S141" i="57"/>
  <c r="S155" i="57"/>
  <c r="S150" i="57"/>
  <c r="S147" i="57"/>
  <c r="S144" i="57"/>
  <c r="S140" i="57"/>
  <c r="S148" i="57"/>
  <c r="S145" i="57"/>
  <c r="S153" i="57"/>
  <c r="S143" i="57"/>
  <c r="S146" i="57"/>
  <c r="S151" i="57"/>
  <c r="S149" i="57"/>
  <c r="S154" i="57"/>
  <c r="S142" i="57"/>
  <c r="S152" i="57"/>
  <c r="S135" i="49"/>
  <c r="S138" i="49"/>
  <c r="S141" i="49"/>
  <c r="S126" i="49"/>
  <c r="S129" i="49"/>
  <c r="S132" i="49"/>
  <c r="S128" i="49"/>
  <c r="S131" i="49"/>
  <c r="S134" i="49"/>
  <c r="S137" i="49"/>
  <c r="S140" i="49"/>
  <c r="S127" i="49"/>
  <c r="S130" i="49"/>
  <c r="S133" i="49"/>
  <c r="S136" i="49"/>
  <c r="S139" i="49"/>
  <c r="S165" i="53"/>
  <c r="S160" i="53"/>
  <c r="S166" i="53"/>
  <c r="S159" i="53"/>
  <c r="S154" i="53"/>
  <c r="S155" i="53"/>
  <c r="S161" i="53"/>
  <c r="S156" i="53"/>
  <c r="S168" i="53"/>
  <c r="S167" i="53"/>
  <c r="S162" i="53"/>
  <c r="S157" i="53"/>
  <c r="S163" i="53"/>
  <c r="S169" i="53"/>
  <c r="S164" i="53"/>
  <c r="S158" i="53"/>
  <c r="R434" i="49"/>
  <c r="R454" i="49"/>
  <c r="R453" i="49"/>
  <c r="R433" i="49"/>
  <c r="P117" i="78"/>
  <c r="P101" i="79"/>
  <c r="P117" i="79" s="1"/>
  <c r="R510" i="53"/>
  <c r="R490" i="53"/>
  <c r="R499" i="53"/>
  <c r="R479" i="53"/>
  <c r="R203" i="53"/>
  <c r="R183" i="53"/>
  <c r="R200" i="53"/>
  <c r="R180" i="53"/>
  <c r="R172" i="49"/>
  <c r="R152" i="49"/>
  <c r="R173" i="49"/>
  <c r="R153" i="49"/>
  <c r="R214" i="18"/>
  <c r="R113" i="27"/>
  <c r="R113" i="78" s="1"/>
  <c r="R234" i="18"/>
  <c r="R235" i="18"/>
  <c r="R215" i="18"/>
  <c r="R114" i="27"/>
  <c r="R114" i="78" s="1"/>
  <c r="R114" i="79" s="1"/>
  <c r="O137" i="78"/>
  <c r="O121" i="79"/>
  <c r="O137" i="79" s="1"/>
  <c r="Q151" i="27"/>
  <c r="Q151" i="78" s="1"/>
  <c r="Q151" i="79" s="1"/>
  <c r="Q162" i="49"/>
  <c r="Q238" i="18"/>
  <c r="Q141" i="27"/>
  <c r="R414" i="69"/>
  <c r="R394" i="69"/>
  <c r="R400" i="69"/>
  <c r="R380" i="69"/>
  <c r="R376" i="69"/>
  <c r="R523" i="69" s="1"/>
  <c r="R164" i="61"/>
  <c r="R144" i="61"/>
  <c r="R158" i="61"/>
  <c r="R138" i="61"/>
  <c r="R274" i="75"/>
  <c r="R254" i="75"/>
  <c r="R285" i="75"/>
  <c r="R265" i="75"/>
  <c r="R917" i="61"/>
  <c r="R897" i="61"/>
  <c r="R893" i="61"/>
  <c r="R1040" i="61" s="1"/>
  <c r="R924" i="61"/>
  <c r="R904" i="61"/>
  <c r="Q122" i="27"/>
  <c r="Q122" i="78" s="1"/>
  <c r="Q122" i="79" s="1"/>
  <c r="Q396" i="69"/>
  <c r="R451" i="45"/>
  <c r="R431" i="45"/>
  <c r="R446" i="45"/>
  <c r="R426" i="45"/>
  <c r="R447" i="19"/>
  <c r="R427" i="19"/>
  <c r="R450" i="19"/>
  <c r="R430" i="19"/>
  <c r="R160" i="33"/>
  <c r="R140" i="33"/>
  <c r="R149" i="33"/>
  <c r="R129" i="33"/>
  <c r="R152" i="77"/>
  <c r="R132" i="77"/>
  <c r="R147" i="77"/>
  <c r="R127" i="77"/>
  <c r="R477" i="57"/>
  <c r="R457" i="57"/>
  <c r="R446" i="57"/>
  <c r="R466" i="57"/>
  <c r="R180" i="19"/>
  <c r="R160" i="19"/>
  <c r="R172" i="19"/>
  <c r="R152" i="19"/>
  <c r="R201" i="45"/>
  <c r="R181" i="45"/>
  <c r="R193" i="45"/>
  <c r="R173" i="45"/>
  <c r="R434" i="37"/>
  <c r="R414" i="37"/>
  <c r="R423" i="37"/>
  <c r="R403" i="37"/>
  <c r="R195" i="57"/>
  <c r="R175" i="57"/>
  <c r="R161" i="57"/>
  <c r="R181" i="57"/>
  <c r="Q478" i="57"/>
  <c r="Q590" i="57" s="1"/>
  <c r="R171" i="41"/>
  <c r="R151" i="41"/>
  <c r="R179" i="41"/>
  <c r="R159" i="41"/>
  <c r="R223" i="29"/>
  <c r="R203" i="29"/>
  <c r="R200" i="29"/>
  <c r="R220" i="29"/>
  <c r="R149" i="69"/>
  <c r="R129" i="69"/>
  <c r="R151" i="69"/>
  <c r="R131" i="69"/>
  <c r="R176" i="37"/>
  <c r="R156" i="37"/>
  <c r="R171" i="37"/>
  <c r="R151" i="37"/>
  <c r="R469" i="41"/>
  <c r="R449" i="41"/>
  <c r="R465" i="41"/>
  <c r="R445" i="41"/>
  <c r="R729" i="19"/>
  <c r="R709" i="19"/>
  <c r="R717" i="19"/>
  <c r="R697" i="19"/>
  <c r="R674" i="69"/>
  <c r="R654" i="69"/>
  <c r="R673" i="69"/>
  <c r="R653" i="69"/>
  <c r="Q267" i="75"/>
  <c r="Q153" i="27"/>
  <c r="Q153" i="78" s="1"/>
  <c r="Q153" i="79" s="1"/>
  <c r="R670" i="61"/>
  <c r="R650" i="61"/>
  <c r="R666" i="61"/>
  <c r="R646" i="61"/>
  <c r="R408" i="61"/>
  <c r="R388" i="61"/>
  <c r="R416" i="61"/>
  <c r="R396" i="61"/>
  <c r="N264" i="79"/>
  <c r="O68" i="84"/>
  <c r="O264" i="78"/>
  <c r="P69" i="84"/>
  <c r="N216" i="79"/>
  <c r="P203" i="79"/>
  <c r="P209" i="79"/>
  <c r="P205" i="79"/>
  <c r="P208" i="79"/>
  <c r="O202" i="79"/>
  <c r="P206" i="79"/>
  <c r="P207" i="79"/>
  <c r="P210" i="79"/>
  <c r="P212" i="79"/>
  <c r="P204" i="79"/>
  <c r="Q252" i="27"/>
  <c r="R241" i="27"/>
  <c r="R242" i="27"/>
  <c r="R244" i="27"/>
  <c r="R247" i="27"/>
  <c r="R245" i="27"/>
  <c r="R246" i="27"/>
  <c r="R243" i="27"/>
  <c r="Q202" i="27"/>
  <c r="R191" i="27"/>
  <c r="R191" i="78" s="1"/>
  <c r="R197" i="27"/>
  <c r="R197" i="78" s="1"/>
  <c r="R184" i="27"/>
  <c r="R184" i="78" s="1"/>
  <c r="R187" i="27"/>
  <c r="R187" i="78" s="1"/>
  <c r="R195" i="27"/>
  <c r="R195" i="78" s="1"/>
  <c r="R192" i="27"/>
  <c r="R192" i="78" s="1"/>
  <c r="R185" i="27"/>
  <c r="R185" i="78" s="1"/>
  <c r="R186" i="27"/>
  <c r="R186" i="78" s="1"/>
  <c r="R194" i="27"/>
  <c r="R194" i="78" s="1"/>
  <c r="R196" i="27"/>
  <c r="R196" i="78" s="1"/>
  <c r="R188" i="27"/>
  <c r="R188" i="78" s="1"/>
  <c r="R189" i="27"/>
  <c r="R189" i="78" s="1"/>
  <c r="R193" i="27"/>
  <c r="R193" i="78" s="1"/>
  <c r="R190" i="27"/>
  <c r="R190" i="78" s="1"/>
  <c r="R92" i="79"/>
  <c r="R92" i="78"/>
  <c r="R89" i="79"/>
  <c r="R89" i="78"/>
  <c r="R71" i="79"/>
  <c r="R71" i="78"/>
  <c r="R74" i="78"/>
  <c r="R74" i="79"/>
  <c r="R77" i="79"/>
  <c r="R77" i="78"/>
  <c r="R72" i="79"/>
  <c r="R72" i="78"/>
  <c r="R86" i="78"/>
  <c r="R86" i="79"/>
  <c r="R82" i="79"/>
  <c r="R82" i="78"/>
  <c r="R79" i="78"/>
  <c r="R79" i="79"/>
  <c r="R94" i="27"/>
  <c r="R66" i="78"/>
  <c r="R66" i="79"/>
  <c r="R75" i="79"/>
  <c r="R75" i="78"/>
  <c r="R73" i="78"/>
  <c r="R73" i="79"/>
  <c r="R85" i="78"/>
  <c r="R85" i="79"/>
  <c r="R87" i="78"/>
  <c r="R87" i="79"/>
  <c r="R69" i="79"/>
  <c r="R69" i="78"/>
  <c r="R91" i="79"/>
  <c r="R91" i="78"/>
  <c r="R83" i="79"/>
  <c r="R83" i="78"/>
  <c r="R90" i="79"/>
  <c r="R90" i="78"/>
  <c r="R67" i="79"/>
  <c r="R67" i="78"/>
  <c r="R78" i="79"/>
  <c r="R78" i="78"/>
  <c r="R81" i="78"/>
  <c r="R81" i="79"/>
  <c r="Q94" i="78"/>
  <c r="R70" i="78"/>
  <c r="R70" i="79"/>
  <c r="R76" i="78"/>
  <c r="R76" i="79"/>
  <c r="R84" i="79"/>
  <c r="R84" i="78"/>
  <c r="R88" i="78"/>
  <c r="R88" i="79"/>
  <c r="R68" i="79"/>
  <c r="R68" i="78"/>
  <c r="R80" i="79"/>
  <c r="R80" i="78"/>
  <c r="Q94" i="79"/>
  <c r="T441" i="53"/>
  <c r="T447" i="53"/>
  <c r="T389" i="49"/>
  <c r="T138" i="53"/>
  <c r="T448" i="53"/>
  <c r="S450" i="53"/>
  <c r="S81" i="27" s="1"/>
  <c r="S601" i="53"/>
  <c r="S612" i="53" s="1"/>
  <c r="S603" i="53"/>
  <c r="S614" i="53" s="1"/>
  <c r="S540" i="53"/>
  <c r="S543" i="53"/>
  <c r="S561" i="53" s="1"/>
  <c r="S546" i="53"/>
  <c r="S564" i="53" s="1"/>
  <c r="S544" i="53"/>
  <c r="S562" i="53" s="1"/>
  <c r="S551" i="53"/>
  <c r="S569" i="53" s="1"/>
  <c r="S597" i="53"/>
  <c r="S598" i="53"/>
  <c r="S609" i="53" s="1"/>
  <c r="S542" i="53"/>
  <c r="S560" i="53" s="1"/>
  <c r="S547" i="53"/>
  <c r="S565" i="53" s="1"/>
  <c r="S550" i="53"/>
  <c r="S568" i="53" s="1"/>
  <c r="S600" i="53"/>
  <c r="S611" i="53" s="1"/>
  <c r="S545" i="53"/>
  <c r="S563" i="53" s="1"/>
  <c r="S548" i="53"/>
  <c r="S566" i="53" s="1"/>
  <c r="S552" i="53"/>
  <c r="S570" i="53" s="1"/>
  <c r="S602" i="53"/>
  <c r="S613" i="53" s="1"/>
  <c r="S549" i="53"/>
  <c r="S567" i="53" s="1"/>
  <c r="S599" i="53"/>
  <c r="S610" i="53" s="1"/>
  <c r="S553" i="53"/>
  <c r="S571" i="53" s="1"/>
  <c r="S541" i="53"/>
  <c r="S559" i="53" s="1"/>
  <c r="T446" i="53"/>
  <c r="T145" i="53"/>
  <c r="T422" i="53"/>
  <c r="T442" i="53"/>
  <c r="T443" i="53"/>
  <c r="T436" i="53"/>
  <c r="T440" i="53"/>
  <c r="T408" i="53"/>
  <c r="T445" i="53"/>
  <c r="T444" i="53"/>
  <c r="T143" i="53"/>
  <c r="T141" i="53"/>
  <c r="S147" i="53"/>
  <c r="S80" i="27" s="1"/>
  <c r="S295" i="53"/>
  <c r="S306" i="53" s="1"/>
  <c r="S299" i="53"/>
  <c r="S310" i="53" s="1"/>
  <c r="S297" i="53"/>
  <c r="S308" i="53" s="1"/>
  <c r="S246" i="53"/>
  <c r="S264" i="53" s="1"/>
  <c r="S238" i="53"/>
  <c r="S256" i="53" s="1"/>
  <c r="S244" i="53"/>
  <c r="S262" i="53" s="1"/>
  <c r="S247" i="53"/>
  <c r="S265" i="53" s="1"/>
  <c r="S250" i="53"/>
  <c r="S268" i="53" s="1"/>
  <c r="S296" i="53"/>
  <c r="S307" i="53" s="1"/>
  <c r="S294" i="53"/>
  <c r="S243" i="53"/>
  <c r="S261" i="53" s="1"/>
  <c r="S241" i="53"/>
  <c r="S259" i="53" s="1"/>
  <c r="S237" i="53"/>
  <c r="S242" i="53"/>
  <c r="S260" i="53" s="1"/>
  <c r="S300" i="53"/>
  <c r="S311" i="53" s="1"/>
  <c r="S239" i="53"/>
  <c r="S257" i="53" s="1"/>
  <c r="S298" i="53"/>
  <c r="S309" i="53" s="1"/>
  <c r="S240" i="53"/>
  <c r="S258" i="53" s="1"/>
  <c r="S249" i="53"/>
  <c r="S267" i="53" s="1"/>
  <c r="S245" i="53"/>
  <c r="S263" i="53" s="1"/>
  <c r="S248" i="53"/>
  <c r="S266" i="53" s="1"/>
  <c r="T140" i="53"/>
  <c r="T137" i="53"/>
  <c r="T105" i="53"/>
  <c r="T142" i="53"/>
  <c r="T133" i="53"/>
  <c r="T144" i="53"/>
  <c r="T167" i="18"/>
  <c r="T119" i="53"/>
  <c r="T139" i="53"/>
  <c r="T384" i="49"/>
  <c r="T390" i="49"/>
  <c r="T392" i="49"/>
  <c r="S394" i="49"/>
  <c r="S79" i="27" s="1"/>
  <c r="S496" i="49"/>
  <c r="S514" i="49" s="1"/>
  <c r="S494" i="49"/>
  <c r="S512" i="49" s="1"/>
  <c r="S497" i="49"/>
  <c r="S515" i="49" s="1"/>
  <c r="S493" i="49"/>
  <c r="S511" i="49" s="1"/>
  <c r="S546" i="49"/>
  <c r="S557" i="49" s="1"/>
  <c r="S491" i="49"/>
  <c r="S509" i="49" s="1"/>
  <c r="S490" i="49"/>
  <c r="S508" i="49" s="1"/>
  <c r="S544" i="49"/>
  <c r="S555" i="49" s="1"/>
  <c r="S484" i="49"/>
  <c r="S487" i="49"/>
  <c r="S505" i="49" s="1"/>
  <c r="S547" i="49"/>
  <c r="S558" i="49" s="1"/>
  <c r="S543" i="49"/>
  <c r="S554" i="49" s="1"/>
  <c r="S545" i="49"/>
  <c r="S556" i="49" s="1"/>
  <c r="S541" i="49"/>
  <c r="S488" i="49"/>
  <c r="S506" i="49" s="1"/>
  <c r="S486" i="49"/>
  <c r="S504" i="49" s="1"/>
  <c r="S489" i="49"/>
  <c r="S507" i="49" s="1"/>
  <c r="S492" i="49"/>
  <c r="S510" i="49" s="1"/>
  <c r="S495" i="49"/>
  <c r="S513" i="49" s="1"/>
  <c r="S485" i="49"/>
  <c r="S503" i="49" s="1"/>
  <c r="S542" i="49"/>
  <c r="S553" i="49" s="1"/>
  <c r="T99" i="49"/>
  <c r="T391" i="49"/>
  <c r="T364" i="49"/>
  <c r="T388" i="49"/>
  <c r="T374" i="49"/>
  <c r="T115" i="49"/>
  <c r="T116" i="49"/>
  <c r="T117" i="49"/>
  <c r="T114" i="49"/>
  <c r="T109" i="49"/>
  <c r="T89" i="49"/>
  <c r="T113" i="49"/>
  <c r="S119" i="49"/>
  <c r="S78" i="27" s="1"/>
  <c r="S221" i="49"/>
  <c r="S239" i="49" s="1"/>
  <c r="S219" i="49"/>
  <c r="S237" i="49" s="1"/>
  <c r="S222" i="49"/>
  <c r="S240" i="49" s="1"/>
  <c r="S218" i="49"/>
  <c r="S236" i="49" s="1"/>
  <c r="S271" i="49"/>
  <c r="S282" i="49" s="1"/>
  <c r="S216" i="49"/>
  <c r="S234" i="49" s="1"/>
  <c r="S215" i="49"/>
  <c r="S233" i="49" s="1"/>
  <c r="S269" i="49"/>
  <c r="S280" i="49" s="1"/>
  <c r="S209" i="49"/>
  <c r="S212" i="49"/>
  <c r="S230" i="49" s="1"/>
  <c r="S272" i="49"/>
  <c r="S283" i="49" s="1"/>
  <c r="S268" i="49"/>
  <c r="S279" i="49" s="1"/>
  <c r="S270" i="49"/>
  <c r="S281" i="49" s="1"/>
  <c r="S266" i="49"/>
  <c r="S213" i="49"/>
  <c r="S231" i="49" s="1"/>
  <c r="S211" i="49"/>
  <c r="S229" i="49" s="1"/>
  <c r="S214" i="49"/>
  <c r="S232" i="49" s="1"/>
  <c r="S217" i="49"/>
  <c r="S235" i="49" s="1"/>
  <c r="S220" i="49"/>
  <c r="S238" i="49" s="1"/>
  <c r="S210" i="49"/>
  <c r="S228" i="49" s="1"/>
  <c r="S267" i="49"/>
  <c r="S278" i="49" s="1"/>
  <c r="T405" i="41"/>
  <c r="S408" i="41"/>
  <c r="S75" i="27" s="1"/>
  <c r="S500" i="41"/>
  <c r="S518" i="41" s="1"/>
  <c r="S498" i="41"/>
  <c r="S509" i="41"/>
  <c r="S527" i="41" s="1"/>
  <c r="S499" i="41"/>
  <c r="S517" i="41" s="1"/>
  <c r="S556" i="41"/>
  <c r="S567" i="41" s="1"/>
  <c r="S560" i="41"/>
  <c r="S571" i="41" s="1"/>
  <c r="S503" i="41"/>
  <c r="S521" i="41" s="1"/>
  <c r="S506" i="41"/>
  <c r="S524" i="41" s="1"/>
  <c r="S510" i="41"/>
  <c r="S528" i="41" s="1"/>
  <c r="S558" i="41"/>
  <c r="S569" i="41" s="1"/>
  <c r="S507" i="41"/>
  <c r="S525" i="41" s="1"/>
  <c r="S505" i="41"/>
  <c r="S523" i="41" s="1"/>
  <c r="S502" i="41"/>
  <c r="S520" i="41" s="1"/>
  <c r="S555" i="41"/>
  <c r="S501" i="41"/>
  <c r="S519" i="41" s="1"/>
  <c r="S508" i="41"/>
  <c r="S526" i="41" s="1"/>
  <c r="S557" i="41"/>
  <c r="S568" i="41" s="1"/>
  <c r="S511" i="41"/>
  <c r="S529" i="41" s="1"/>
  <c r="S561" i="41"/>
  <c r="S572" i="41" s="1"/>
  <c r="S504" i="41"/>
  <c r="S522" i="41" s="1"/>
  <c r="S559" i="41"/>
  <c r="S570" i="41" s="1"/>
  <c r="T401" i="41"/>
  <c r="T372" i="41"/>
  <c r="T400" i="41"/>
  <c r="T396" i="41"/>
  <c r="T406" i="41"/>
  <c r="T384" i="41"/>
  <c r="T403" i="41"/>
  <c r="T404" i="41"/>
  <c r="T402" i="41"/>
  <c r="T116" i="41"/>
  <c r="T109" i="41"/>
  <c r="T114" i="41"/>
  <c r="S119" i="41"/>
  <c r="S74" i="27" s="1"/>
  <c r="S221" i="41"/>
  <c r="S239" i="41" s="1"/>
  <c r="S219" i="41"/>
  <c r="S237" i="41" s="1"/>
  <c r="S222" i="41"/>
  <c r="S240" i="41" s="1"/>
  <c r="S218" i="41"/>
  <c r="S236" i="41" s="1"/>
  <c r="S271" i="41"/>
  <c r="S282" i="41" s="1"/>
  <c r="S216" i="41"/>
  <c r="S234" i="41" s="1"/>
  <c r="S215" i="41"/>
  <c r="S233" i="41" s="1"/>
  <c r="S269" i="41"/>
  <c r="S280" i="41" s="1"/>
  <c r="S209" i="41"/>
  <c r="S212" i="41"/>
  <c r="S230" i="41" s="1"/>
  <c r="S272" i="41"/>
  <c r="S283" i="41" s="1"/>
  <c r="S268" i="41"/>
  <c r="S279" i="41" s="1"/>
  <c r="S270" i="41"/>
  <c r="S281" i="41" s="1"/>
  <c r="S266" i="41"/>
  <c r="S213" i="41"/>
  <c r="S231" i="41" s="1"/>
  <c r="S211" i="41"/>
  <c r="S229" i="41" s="1"/>
  <c r="S214" i="41"/>
  <c r="S232" i="41" s="1"/>
  <c r="S217" i="41"/>
  <c r="S235" i="41" s="1"/>
  <c r="S220" i="41"/>
  <c r="S238" i="41" s="1"/>
  <c r="S210" i="41"/>
  <c r="S228" i="41" s="1"/>
  <c r="S267" i="41"/>
  <c r="S278" i="41" s="1"/>
  <c r="T115" i="41"/>
  <c r="T99" i="41"/>
  <c r="T117" i="41"/>
  <c r="T89" i="41"/>
  <c r="T113" i="41"/>
  <c r="T157" i="29"/>
  <c r="T164" i="29"/>
  <c r="T161" i="29"/>
  <c r="T160" i="29"/>
  <c r="T159" i="29"/>
  <c r="S168" i="29"/>
  <c r="S68" i="27" s="1"/>
  <c r="S267" i="29"/>
  <c r="S285" i="29" s="1"/>
  <c r="S317" i="29"/>
  <c r="S328" i="29" s="1"/>
  <c r="S265" i="29"/>
  <c r="S283" i="29" s="1"/>
  <c r="S319" i="29"/>
  <c r="S330" i="29" s="1"/>
  <c r="S260" i="29"/>
  <c r="S278" i="29" s="1"/>
  <c r="S263" i="29"/>
  <c r="S281" i="29" s="1"/>
  <c r="S264" i="29"/>
  <c r="S282" i="29" s="1"/>
  <c r="S261" i="29"/>
  <c r="S279" i="29" s="1"/>
  <c r="S270" i="29"/>
  <c r="S288" i="29" s="1"/>
  <c r="S316" i="29"/>
  <c r="S327" i="29" s="1"/>
  <c r="S321" i="29"/>
  <c r="S332" i="29" s="1"/>
  <c r="S268" i="29"/>
  <c r="S286" i="29" s="1"/>
  <c r="S271" i="29"/>
  <c r="S289" i="29" s="1"/>
  <c r="S262" i="29"/>
  <c r="S280" i="29" s="1"/>
  <c r="S269" i="29"/>
  <c r="S287" i="29" s="1"/>
  <c r="S266" i="29"/>
  <c r="S284" i="29" s="1"/>
  <c r="S320" i="29"/>
  <c r="S331" i="29" s="1"/>
  <c r="S258" i="29"/>
  <c r="S259" i="29"/>
  <c r="S277" i="29" s="1"/>
  <c r="S318" i="29"/>
  <c r="S329" i="29" s="1"/>
  <c r="S315" i="29"/>
  <c r="T134" i="29"/>
  <c r="T155" i="29"/>
  <c r="T117" i="29"/>
  <c r="T166" i="29"/>
  <c r="T165" i="29"/>
  <c r="T158" i="29"/>
  <c r="T151" i="29"/>
  <c r="T156" i="29"/>
  <c r="T162" i="29"/>
  <c r="T163" i="29"/>
  <c r="T163" i="18"/>
  <c r="T168" i="18"/>
  <c r="T172" i="18"/>
  <c r="T166" i="18"/>
  <c r="T171" i="18"/>
  <c r="T173" i="18"/>
  <c r="T161" i="18"/>
  <c r="T121" i="18"/>
  <c r="T165" i="18"/>
  <c r="T139" i="18"/>
  <c r="T170" i="18"/>
  <c r="T164" i="18"/>
  <c r="T157" i="18"/>
  <c r="T162" i="18"/>
  <c r="S175" i="18"/>
  <c r="S66" i="27" s="1"/>
  <c r="S270" i="18"/>
  <c r="S323" i="18"/>
  <c r="S273" i="18"/>
  <c r="S326" i="18"/>
  <c r="S267" i="18"/>
  <c r="S272" i="18"/>
  <c r="S277" i="18"/>
  <c r="S322" i="18"/>
  <c r="S278" i="18"/>
  <c r="S328" i="18"/>
  <c r="S327" i="18"/>
  <c r="S274" i="18"/>
  <c r="S275" i="18"/>
  <c r="S324" i="18"/>
  <c r="S265" i="18"/>
  <c r="S268" i="18"/>
  <c r="S266" i="18"/>
  <c r="S325" i="18"/>
  <c r="S269" i="18"/>
  <c r="S271" i="18"/>
  <c r="S276" i="18"/>
  <c r="O216" i="78"/>
  <c r="Q214" i="78"/>
  <c r="Q214" i="79" s="1"/>
  <c r="Q205" i="78"/>
  <c r="Q213" i="78"/>
  <c r="Q213" i="79" s="1"/>
  <c r="Q206" i="78"/>
  <c r="Q209" i="78"/>
  <c r="Q203" i="78"/>
  <c r="Q212" i="78"/>
  <c r="Q210" i="78"/>
  <c r="Q204" i="78"/>
  <c r="Q207" i="78"/>
  <c r="Q208" i="78"/>
  <c r="Q211" i="78"/>
  <c r="Q215" i="78"/>
  <c r="Q215" i="79" s="1"/>
  <c r="P202" i="78"/>
  <c r="Q196" i="79"/>
  <c r="Q192" i="79"/>
  <c r="Q186" i="79"/>
  <c r="Q190" i="79"/>
  <c r="Q191" i="79"/>
  <c r="Q195" i="79"/>
  <c r="Q185" i="79"/>
  <c r="Q189" i="79"/>
  <c r="Q187" i="79"/>
  <c r="Q193" i="79"/>
  <c r="Q188" i="79"/>
  <c r="Q197" i="79"/>
  <c r="Q194" i="79"/>
  <c r="S484" i="19"/>
  <c r="S487" i="19"/>
  <c r="S505" i="19" s="1"/>
  <c r="S489" i="19"/>
  <c r="S507" i="19" s="1"/>
  <c r="S493" i="19"/>
  <c r="S511" i="19" s="1"/>
  <c r="S497" i="19"/>
  <c r="S515" i="19" s="1"/>
  <c r="S494" i="19"/>
  <c r="S512" i="19" s="1"/>
  <c r="S491" i="19"/>
  <c r="S509" i="19" s="1"/>
  <c r="S492" i="19"/>
  <c r="S510" i="19" s="1"/>
  <c r="S495" i="19"/>
  <c r="S513" i="19" s="1"/>
  <c r="S490" i="19"/>
  <c r="S508" i="19" s="1"/>
  <c r="S488" i="19"/>
  <c r="S506" i="19" s="1"/>
  <c r="S496" i="19"/>
  <c r="S514" i="19" s="1"/>
  <c r="S486" i="19"/>
  <c r="S504" i="19" s="1"/>
  <c r="S485" i="19"/>
  <c r="S503" i="19" s="1"/>
  <c r="S453" i="61"/>
  <c r="S471" i="61" s="1"/>
  <c r="S454" i="61"/>
  <c r="S472" i="61" s="1"/>
  <c r="S463" i="61"/>
  <c r="S481" i="61" s="1"/>
  <c r="S452" i="61"/>
  <c r="S470" i="61" s="1"/>
  <c r="S455" i="61"/>
  <c r="S473" i="61" s="1"/>
  <c r="S451" i="61"/>
  <c r="S469" i="61" s="1"/>
  <c r="S450" i="61"/>
  <c r="S461" i="61"/>
  <c r="S479" i="61" s="1"/>
  <c r="S462" i="61"/>
  <c r="S480" i="61" s="1"/>
  <c r="S460" i="61"/>
  <c r="S478" i="61" s="1"/>
  <c r="S459" i="61"/>
  <c r="S477" i="61" s="1"/>
  <c r="S456" i="61"/>
  <c r="S474" i="61" s="1"/>
  <c r="S458" i="61"/>
  <c r="S476" i="61" s="1"/>
  <c r="S457" i="61"/>
  <c r="S475" i="61" s="1"/>
  <c r="S195" i="61"/>
  <c r="S213" i="61" s="1"/>
  <c r="S198" i="61"/>
  <c r="S216" i="61" s="1"/>
  <c r="S206" i="61"/>
  <c r="S224" i="61" s="1"/>
  <c r="S194" i="61"/>
  <c r="S212" i="61" s="1"/>
  <c r="S205" i="61"/>
  <c r="S223" i="61" s="1"/>
  <c r="S203" i="61"/>
  <c r="S221" i="61" s="1"/>
  <c r="S193" i="61"/>
  <c r="S202" i="61"/>
  <c r="S220" i="61" s="1"/>
  <c r="S200" i="61"/>
  <c r="S218" i="61" s="1"/>
  <c r="S199" i="61"/>
  <c r="S217" i="61" s="1"/>
  <c r="S196" i="61"/>
  <c r="S214" i="61" s="1"/>
  <c r="S201" i="61"/>
  <c r="S219" i="61" s="1"/>
  <c r="S197" i="61"/>
  <c r="S215" i="61" s="1"/>
  <c r="S204" i="61"/>
  <c r="S222" i="61" s="1"/>
  <c r="R502" i="19"/>
  <c r="R516" i="19" s="1"/>
  <c r="R498" i="19"/>
  <c r="R565" i="19" s="1"/>
  <c r="R202" i="77"/>
  <c r="R269" i="77" s="1"/>
  <c r="R206" i="77"/>
  <c r="R220" i="77" s="1"/>
  <c r="R284" i="18"/>
  <c r="R203" i="27" s="1"/>
  <c r="R283" i="18"/>
  <c r="R279" i="18"/>
  <c r="R346" i="18" s="1"/>
  <c r="R276" i="29"/>
  <c r="R290" i="29" s="1"/>
  <c r="R272" i="29"/>
  <c r="R339" i="29" s="1"/>
  <c r="R227" i="19"/>
  <c r="R241" i="19" s="1"/>
  <c r="R223" i="19"/>
  <c r="R290" i="19" s="1"/>
  <c r="S325" i="75"/>
  <c r="S343" i="75" s="1"/>
  <c r="S316" i="75"/>
  <c r="S334" i="75" s="1"/>
  <c r="S319" i="75"/>
  <c r="S337" i="75" s="1"/>
  <c r="S320" i="75"/>
  <c r="S338" i="75" s="1"/>
  <c r="S315" i="75"/>
  <c r="S333" i="75" s="1"/>
  <c r="S324" i="75"/>
  <c r="S342" i="75" s="1"/>
  <c r="S327" i="75"/>
  <c r="S345" i="75" s="1"/>
  <c r="S323" i="75"/>
  <c r="S341" i="75" s="1"/>
  <c r="S317" i="75"/>
  <c r="S335" i="75" s="1"/>
  <c r="S321" i="75"/>
  <c r="S339" i="75" s="1"/>
  <c r="S326" i="75"/>
  <c r="S344" i="75" s="1"/>
  <c r="S318" i="75"/>
  <c r="S336" i="75" s="1"/>
  <c r="S314" i="75"/>
  <c r="S322" i="75"/>
  <c r="S340" i="75" s="1"/>
  <c r="S465" i="37"/>
  <c r="S483" i="37" s="1"/>
  <c r="S468" i="37"/>
  <c r="S486" i="37" s="1"/>
  <c r="S469" i="37"/>
  <c r="S487" i="37" s="1"/>
  <c r="S463" i="37"/>
  <c r="S466" i="37"/>
  <c r="S484" i="37" s="1"/>
  <c r="S473" i="37"/>
  <c r="S491" i="37" s="1"/>
  <c r="S471" i="37"/>
  <c r="S489" i="37" s="1"/>
  <c r="S474" i="37"/>
  <c r="S492" i="37" s="1"/>
  <c r="S467" i="37"/>
  <c r="S485" i="37" s="1"/>
  <c r="S470" i="37"/>
  <c r="S488" i="37" s="1"/>
  <c r="S464" i="37"/>
  <c r="S482" i="37" s="1"/>
  <c r="S472" i="37"/>
  <c r="S490" i="37" s="1"/>
  <c r="S476" i="37"/>
  <c r="S494" i="37" s="1"/>
  <c r="S475" i="37"/>
  <c r="S493" i="37" s="1"/>
  <c r="R294" i="18"/>
  <c r="R213" i="27" s="1"/>
  <c r="R292" i="18"/>
  <c r="R211" i="27" s="1"/>
  <c r="R502" i="49"/>
  <c r="R516" i="49" s="1"/>
  <c r="R498" i="49"/>
  <c r="R565" i="49" s="1"/>
  <c r="R512" i="41"/>
  <c r="R579" i="41" s="1"/>
  <c r="R516" i="41"/>
  <c r="R530" i="41" s="1"/>
  <c r="R558" i="53"/>
  <c r="R572" i="53" s="1"/>
  <c r="R554" i="53"/>
  <c r="R621" i="53" s="1"/>
  <c r="Q198" i="27"/>
  <c r="R206" i="69"/>
  <c r="R220" i="69" s="1"/>
  <c r="R202" i="69"/>
  <c r="R269" i="69" s="1"/>
  <c r="R227" i="49"/>
  <c r="R241" i="49" s="1"/>
  <c r="R223" i="49"/>
  <c r="R290" i="49" s="1"/>
  <c r="R291" i="18"/>
  <c r="R210" i="27" s="1"/>
  <c r="R285" i="18"/>
  <c r="R204" i="27" s="1"/>
  <c r="R723" i="61"/>
  <c r="R737" i="61" s="1"/>
  <c r="R719" i="61"/>
  <c r="R786" i="61" s="1"/>
  <c r="R773" i="19"/>
  <c r="R840" i="19" s="1"/>
  <c r="R777" i="19"/>
  <c r="R791" i="19" s="1"/>
  <c r="R468" i="61"/>
  <c r="R482" i="61" s="1"/>
  <c r="R464" i="61"/>
  <c r="R531" i="61" s="1"/>
  <c r="S214" i="19"/>
  <c r="S232" i="19" s="1"/>
  <c r="S217" i="19"/>
  <c r="S235" i="19" s="1"/>
  <c r="S220" i="19"/>
  <c r="S238" i="19" s="1"/>
  <c r="S210" i="19"/>
  <c r="S228" i="19" s="1"/>
  <c r="S221" i="19"/>
  <c r="S239" i="19" s="1"/>
  <c r="S211" i="19"/>
  <c r="S229" i="19" s="1"/>
  <c r="S222" i="19"/>
  <c r="S240" i="19" s="1"/>
  <c r="S218" i="19"/>
  <c r="S236" i="19" s="1"/>
  <c r="S215" i="19"/>
  <c r="S233" i="19" s="1"/>
  <c r="S209" i="19"/>
  <c r="S212" i="19"/>
  <c r="S230" i="19" s="1"/>
  <c r="S219" i="19"/>
  <c r="S237" i="19" s="1"/>
  <c r="S216" i="19"/>
  <c r="S234" i="19" s="1"/>
  <c r="S213" i="19"/>
  <c r="S231" i="19" s="1"/>
  <c r="S769" i="19"/>
  <c r="S787" i="19" s="1"/>
  <c r="S764" i="19"/>
  <c r="S782" i="19" s="1"/>
  <c r="S771" i="19"/>
  <c r="S789" i="19" s="1"/>
  <c r="S760" i="19"/>
  <c r="S778" i="19" s="1"/>
  <c r="S765" i="19"/>
  <c r="S783" i="19" s="1"/>
  <c r="S772" i="19"/>
  <c r="S790" i="19" s="1"/>
  <c r="S766" i="19"/>
  <c r="S784" i="19" s="1"/>
  <c r="S768" i="19"/>
  <c r="S786" i="19" s="1"/>
  <c r="S763" i="19"/>
  <c r="S781" i="19" s="1"/>
  <c r="S759" i="19"/>
  <c r="S770" i="19"/>
  <c r="S788" i="19" s="1"/>
  <c r="S762" i="19"/>
  <c r="S780" i="19" s="1"/>
  <c r="S761" i="19"/>
  <c r="S779" i="19" s="1"/>
  <c r="S767" i="19"/>
  <c r="S785" i="19" s="1"/>
  <c r="S218" i="37"/>
  <c r="S236" i="37" s="1"/>
  <c r="S216" i="37"/>
  <c r="S234" i="37" s="1"/>
  <c r="S221" i="37"/>
  <c r="S239" i="37" s="1"/>
  <c r="S215" i="37"/>
  <c r="S233" i="37" s="1"/>
  <c r="S211" i="37"/>
  <c r="S229" i="37" s="1"/>
  <c r="S214" i="37"/>
  <c r="S232" i="37" s="1"/>
  <c r="S212" i="37"/>
  <c r="S230" i="37" s="1"/>
  <c r="S217" i="37"/>
  <c r="S235" i="37" s="1"/>
  <c r="S219" i="37"/>
  <c r="S237" i="37" s="1"/>
  <c r="S222" i="37"/>
  <c r="S240" i="37" s="1"/>
  <c r="S213" i="37"/>
  <c r="S231" i="37" s="1"/>
  <c r="S210" i="37"/>
  <c r="S228" i="37" s="1"/>
  <c r="S209" i="37"/>
  <c r="S220" i="37"/>
  <c r="S238" i="37" s="1"/>
  <c r="R519" i="57"/>
  <c r="R586" i="57" s="1"/>
  <c r="R523" i="57"/>
  <c r="R537" i="57" s="1"/>
  <c r="R290" i="18"/>
  <c r="R209" i="27" s="1"/>
  <c r="R241" i="57"/>
  <c r="R255" i="57" s="1"/>
  <c r="R237" i="57"/>
  <c r="R304" i="57" s="1"/>
  <c r="R328" i="75"/>
  <c r="R395" i="75" s="1"/>
  <c r="R332" i="75"/>
  <c r="R346" i="75" s="1"/>
  <c r="S230" i="57"/>
  <c r="S248" i="57" s="1"/>
  <c r="S224" i="57"/>
  <c r="S242" i="57" s="1"/>
  <c r="S234" i="57"/>
  <c r="S252" i="57" s="1"/>
  <c r="S231" i="57"/>
  <c r="S249" i="57" s="1"/>
  <c r="S235" i="57"/>
  <c r="S253" i="57" s="1"/>
  <c r="S228" i="57"/>
  <c r="S246" i="57" s="1"/>
  <c r="S232" i="57"/>
  <c r="S250" i="57" s="1"/>
  <c r="S225" i="57"/>
  <c r="S243" i="57" s="1"/>
  <c r="S223" i="57"/>
  <c r="S229" i="57"/>
  <c r="S247" i="57" s="1"/>
  <c r="S236" i="57"/>
  <c r="S254" i="57" s="1"/>
  <c r="S226" i="57"/>
  <c r="S244" i="57" s="1"/>
  <c r="S233" i="57"/>
  <c r="S251" i="57" s="1"/>
  <c r="S227" i="57"/>
  <c r="S245" i="57" s="1"/>
  <c r="S200" i="33"/>
  <c r="S218" i="33" s="1"/>
  <c r="S190" i="33"/>
  <c r="S208" i="33" s="1"/>
  <c r="S193" i="33"/>
  <c r="S211" i="33" s="1"/>
  <c r="S197" i="33"/>
  <c r="S215" i="33" s="1"/>
  <c r="S194" i="33"/>
  <c r="S212" i="33" s="1"/>
  <c r="S188" i="33"/>
  <c r="S191" i="33"/>
  <c r="S209" i="33" s="1"/>
  <c r="S198" i="33"/>
  <c r="S216" i="33" s="1"/>
  <c r="S201" i="33"/>
  <c r="S219" i="33" s="1"/>
  <c r="S195" i="33"/>
  <c r="S213" i="33" s="1"/>
  <c r="S192" i="33"/>
  <c r="S210" i="33" s="1"/>
  <c r="S196" i="33"/>
  <c r="S214" i="33" s="1"/>
  <c r="S199" i="33"/>
  <c r="S217" i="33" s="1"/>
  <c r="S189" i="33"/>
  <c r="S207" i="33" s="1"/>
  <c r="S194" i="77"/>
  <c r="S212" i="77" s="1"/>
  <c r="S189" i="77"/>
  <c r="S207" i="77" s="1"/>
  <c r="S188" i="77"/>
  <c r="S191" i="77"/>
  <c r="S209" i="77" s="1"/>
  <c r="S198" i="77"/>
  <c r="S216" i="77" s="1"/>
  <c r="S193" i="77"/>
  <c r="S211" i="77" s="1"/>
  <c r="S192" i="77"/>
  <c r="S210" i="77" s="1"/>
  <c r="S196" i="77"/>
  <c r="S214" i="77" s="1"/>
  <c r="S199" i="77"/>
  <c r="S217" i="77" s="1"/>
  <c r="S197" i="77"/>
  <c r="S215" i="77" s="1"/>
  <c r="S201" i="77"/>
  <c r="S219" i="77" s="1"/>
  <c r="S190" i="77"/>
  <c r="S208" i="77" s="1"/>
  <c r="S195" i="77"/>
  <c r="S213" i="77" s="1"/>
  <c r="S200" i="77"/>
  <c r="S218" i="77" s="1"/>
  <c r="S240" i="45"/>
  <c r="S258" i="45" s="1"/>
  <c r="S238" i="45"/>
  <c r="S256" i="45" s="1"/>
  <c r="S230" i="45"/>
  <c r="S239" i="45"/>
  <c r="S257" i="45" s="1"/>
  <c r="S237" i="45"/>
  <c r="S255" i="45" s="1"/>
  <c r="S236" i="45"/>
  <c r="S254" i="45" s="1"/>
  <c r="S234" i="45"/>
  <c r="S252" i="45" s="1"/>
  <c r="S243" i="45"/>
  <c r="S261" i="45" s="1"/>
  <c r="S235" i="45"/>
  <c r="S253" i="45" s="1"/>
  <c r="S233" i="45"/>
  <c r="S251" i="45" s="1"/>
  <c r="S232" i="45"/>
  <c r="S250" i="45" s="1"/>
  <c r="S242" i="45"/>
  <c r="S260" i="45" s="1"/>
  <c r="S231" i="45"/>
  <c r="S249" i="45" s="1"/>
  <c r="S241" i="45"/>
  <c r="S259" i="45" s="1"/>
  <c r="S190" i="69"/>
  <c r="S208" i="69" s="1"/>
  <c r="S196" i="69"/>
  <c r="S214" i="69" s="1"/>
  <c r="S191" i="69"/>
  <c r="S209" i="69" s="1"/>
  <c r="S198" i="69"/>
  <c r="S216" i="69" s="1"/>
  <c r="S192" i="69"/>
  <c r="S210" i="69" s="1"/>
  <c r="S199" i="69"/>
  <c r="S217" i="69" s="1"/>
  <c r="S200" i="69"/>
  <c r="S218" i="69" s="1"/>
  <c r="S194" i="69"/>
  <c r="S212" i="69" s="1"/>
  <c r="S197" i="69"/>
  <c r="S215" i="69" s="1"/>
  <c r="S195" i="69"/>
  <c r="S213" i="69" s="1"/>
  <c r="S201" i="69"/>
  <c r="S219" i="69" s="1"/>
  <c r="S193" i="69"/>
  <c r="S211" i="69" s="1"/>
  <c r="S189" i="69"/>
  <c r="S207" i="69" s="1"/>
  <c r="S188" i="69"/>
  <c r="P216" i="27"/>
  <c r="Q297" i="18"/>
  <c r="R223" i="41"/>
  <c r="R290" i="41" s="1"/>
  <c r="R227" i="41"/>
  <c r="R241" i="41" s="1"/>
  <c r="R293" i="18"/>
  <c r="R212" i="27" s="1"/>
  <c r="R227" i="37"/>
  <c r="R241" i="37" s="1"/>
  <c r="R223" i="37"/>
  <c r="R290" i="37" s="1"/>
  <c r="R502" i="45"/>
  <c r="R516" i="45" s="1"/>
  <c r="R498" i="45"/>
  <c r="R565" i="45" s="1"/>
  <c r="R481" i="37"/>
  <c r="R495" i="37" s="1"/>
  <c r="R477" i="37"/>
  <c r="R544" i="37" s="1"/>
  <c r="S517" i="57"/>
  <c r="S535" i="57" s="1"/>
  <c r="S514" i="57"/>
  <c r="S532" i="57" s="1"/>
  <c r="S510" i="57"/>
  <c r="S528" i="57" s="1"/>
  <c r="S513" i="57"/>
  <c r="S531" i="57" s="1"/>
  <c r="S516" i="57"/>
  <c r="S534" i="57" s="1"/>
  <c r="S512" i="57"/>
  <c r="S530" i="57" s="1"/>
  <c r="S508" i="57"/>
  <c r="S526" i="57" s="1"/>
  <c r="S509" i="57"/>
  <c r="S527" i="57" s="1"/>
  <c r="S518" i="57"/>
  <c r="S536" i="57" s="1"/>
  <c r="S506" i="57"/>
  <c r="S524" i="57" s="1"/>
  <c r="S507" i="57"/>
  <c r="S525" i="57" s="1"/>
  <c r="S505" i="57"/>
  <c r="S515" i="57"/>
  <c r="S533" i="57" s="1"/>
  <c r="S511" i="57"/>
  <c r="S529" i="57" s="1"/>
  <c r="S717" i="61"/>
  <c r="S735" i="61" s="1"/>
  <c r="S707" i="61"/>
  <c r="S725" i="61" s="1"/>
  <c r="S710" i="61"/>
  <c r="S728" i="61" s="1"/>
  <c r="S713" i="61"/>
  <c r="S731" i="61" s="1"/>
  <c r="S716" i="61"/>
  <c r="S734" i="61" s="1"/>
  <c r="S714" i="61"/>
  <c r="S732" i="61" s="1"/>
  <c r="S715" i="61"/>
  <c r="S733" i="61" s="1"/>
  <c r="S718" i="61"/>
  <c r="S736" i="61" s="1"/>
  <c r="S712" i="61"/>
  <c r="S730" i="61" s="1"/>
  <c r="S711" i="61"/>
  <c r="S729" i="61" s="1"/>
  <c r="S709" i="61"/>
  <c r="S727" i="61" s="1"/>
  <c r="S705" i="61"/>
  <c r="S708" i="61"/>
  <c r="S726" i="61" s="1"/>
  <c r="S706" i="61"/>
  <c r="S724" i="61" s="1"/>
  <c r="S484" i="45"/>
  <c r="S496" i="45"/>
  <c r="S514" i="45" s="1"/>
  <c r="S497" i="45"/>
  <c r="S515" i="45" s="1"/>
  <c r="S495" i="45"/>
  <c r="S513" i="45" s="1"/>
  <c r="S486" i="45"/>
  <c r="S504" i="45" s="1"/>
  <c r="S489" i="45"/>
  <c r="S507" i="45" s="1"/>
  <c r="S488" i="45"/>
  <c r="S506" i="45" s="1"/>
  <c r="S492" i="45"/>
  <c r="S510" i="45" s="1"/>
  <c r="S491" i="45"/>
  <c r="S509" i="45" s="1"/>
  <c r="S485" i="45"/>
  <c r="S503" i="45" s="1"/>
  <c r="S490" i="45"/>
  <c r="S508" i="45" s="1"/>
  <c r="S494" i="45"/>
  <c r="S512" i="45" s="1"/>
  <c r="S487" i="45"/>
  <c r="S505" i="45" s="1"/>
  <c r="S493" i="45"/>
  <c r="S511" i="45" s="1"/>
  <c r="P184" i="79"/>
  <c r="P198" i="78"/>
  <c r="P265" i="78" s="1"/>
  <c r="R288" i="18"/>
  <c r="R207" i="27" s="1"/>
  <c r="R287" i="18"/>
  <c r="R206" i="27" s="1"/>
  <c r="R251" i="53"/>
  <c r="R318" i="53" s="1"/>
  <c r="R255" i="53"/>
  <c r="R269" i="53" s="1"/>
  <c r="R206" i="33"/>
  <c r="R220" i="33" s="1"/>
  <c r="R202" i="33"/>
  <c r="R269" i="33" s="1"/>
  <c r="R978" i="61"/>
  <c r="R992" i="61" s="1"/>
  <c r="R974" i="61"/>
  <c r="R1041" i="61" s="1"/>
  <c r="R295" i="18"/>
  <c r="R214" i="27" s="1"/>
  <c r="R289" i="18"/>
  <c r="R208" i="27" s="1"/>
  <c r="R461" i="69"/>
  <c r="R475" i="69" s="1"/>
  <c r="R457" i="69"/>
  <c r="R524" i="69" s="1"/>
  <c r="S721" i="69"/>
  <c r="S739" i="69" s="1"/>
  <c r="S716" i="69"/>
  <c r="S734" i="69" s="1"/>
  <c r="S719" i="69"/>
  <c r="S737" i="69" s="1"/>
  <c r="S714" i="69"/>
  <c r="S732" i="69" s="1"/>
  <c r="S715" i="69"/>
  <c r="S733" i="69" s="1"/>
  <c r="S712" i="69"/>
  <c r="S730" i="69" s="1"/>
  <c r="S713" i="69"/>
  <c r="S731" i="69" s="1"/>
  <c r="S722" i="69"/>
  <c r="S740" i="69" s="1"/>
  <c r="S718" i="69"/>
  <c r="S736" i="69" s="1"/>
  <c r="S724" i="69"/>
  <c r="S742" i="69" s="1"/>
  <c r="S717" i="69"/>
  <c r="S735" i="69" s="1"/>
  <c r="S723" i="69"/>
  <c r="S741" i="69" s="1"/>
  <c r="S711" i="69"/>
  <c r="S720" i="69"/>
  <c r="S738" i="69" s="1"/>
  <c r="S970" i="61"/>
  <c r="S988" i="61" s="1"/>
  <c r="S965" i="61"/>
  <c r="S983" i="61" s="1"/>
  <c r="S961" i="61"/>
  <c r="S979" i="61" s="1"/>
  <c r="S968" i="61"/>
  <c r="S986" i="61" s="1"/>
  <c r="S971" i="61"/>
  <c r="S989" i="61" s="1"/>
  <c r="S966" i="61"/>
  <c r="S984" i="61" s="1"/>
  <c r="S964" i="61"/>
  <c r="S982" i="61" s="1"/>
  <c r="S969" i="61"/>
  <c r="S987" i="61" s="1"/>
  <c r="S962" i="61"/>
  <c r="S980" i="61" s="1"/>
  <c r="S973" i="61"/>
  <c r="S991" i="61" s="1"/>
  <c r="S960" i="61"/>
  <c r="S963" i="61"/>
  <c r="S981" i="61" s="1"/>
  <c r="S967" i="61"/>
  <c r="S985" i="61" s="1"/>
  <c r="S972" i="61"/>
  <c r="S990" i="61" s="1"/>
  <c r="S444" i="69"/>
  <c r="S462" i="69" s="1"/>
  <c r="S456" i="69"/>
  <c r="S474" i="69" s="1"/>
  <c r="S450" i="69"/>
  <c r="S468" i="69" s="1"/>
  <c r="S443" i="69"/>
  <c r="S446" i="69"/>
  <c r="S464" i="69" s="1"/>
  <c r="S448" i="69"/>
  <c r="S466" i="69" s="1"/>
  <c r="S447" i="69"/>
  <c r="S465" i="69" s="1"/>
  <c r="S449" i="69"/>
  <c r="S467" i="69" s="1"/>
  <c r="S451" i="69"/>
  <c r="S469" i="69" s="1"/>
  <c r="S454" i="69"/>
  <c r="S472" i="69" s="1"/>
  <c r="S452" i="69"/>
  <c r="S470" i="69" s="1"/>
  <c r="S453" i="69"/>
  <c r="S471" i="69" s="1"/>
  <c r="S455" i="69"/>
  <c r="S473" i="69" s="1"/>
  <c r="S445" i="69"/>
  <c r="S463" i="69" s="1"/>
  <c r="R207" i="61"/>
  <c r="R274" i="61" s="1"/>
  <c r="R211" i="61"/>
  <c r="R225" i="61" s="1"/>
  <c r="R296" i="18"/>
  <c r="R215" i="27" s="1"/>
  <c r="R286" i="18"/>
  <c r="R205" i="27" s="1"/>
  <c r="R244" i="45"/>
  <c r="R311" i="45" s="1"/>
  <c r="R248" i="45"/>
  <c r="R262" i="45" s="1"/>
  <c r="R729" i="69"/>
  <c r="R743" i="69" s="1"/>
  <c r="R725" i="69"/>
  <c r="R792" i="69" s="1"/>
  <c r="T91" i="69"/>
  <c r="T96" i="69"/>
  <c r="T351" i="69"/>
  <c r="T339" i="69"/>
  <c r="S98" i="69"/>
  <c r="S88" i="27" s="1"/>
  <c r="S251" i="69"/>
  <c r="S262" i="69" s="1"/>
  <c r="S250" i="69"/>
  <c r="S261" i="69" s="1"/>
  <c r="S248" i="69"/>
  <c r="S259" i="69" s="1"/>
  <c r="S247" i="69"/>
  <c r="S258" i="69" s="1"/>
  <c r="S246" i="69"/>
  <c r="S257" i="69" s="1"/>
  <c r="S249" i="69"/>
  <c r="S260" i="69" s="1"/>
  <c r="S245" i="69"/>
  <c r="T77" i="69"/>
  <c r="T95" i="69"/>
  <c r="T84" i="69"/>
  <c r="T350" i="69"/>
  <c r="T332" i="69"/>
  <c r="S353" i="69"/>
  <c r="S89" i="27" s="1"/>
  <c r="S502" i="69"/>
  <c r="S513" i="69" s="1"/>
  <c r="S503" i="69"/>
  <c r="S514" i="69" s="1"/>
  <c r="S500" i="69"/>
  <c r="S506" i="69"/>
  <c r="S517" i="69" s="1"/>
  <c r="S504" i="69"/>
  <c r="S515" i="69" s="1"/>
  <c r="S505" i="69"/>
  <c r="S516" i="69" s="1"/>
  <c r="S501" i="69"/>
  <c r="S512" i="69" s="1"/>
  <c r="T346" i="69"/>
  <c r="T114" i="19"/>
  <c r="S768" i="61"/>
  <c r="S779" i="61" s="1"/>
  <c r="S762" i="61"/>
  <c r="S765" i="61"/>
  <c r="S776" i="61" s="1"/>
  <c r="S767" i="61"/>
  <c r="S778" i="61" s="1"/>
  <c r="S763" i="61"/>
  <c r="S774" i="61" s="1"/>
  <c r="S764" i="61"/>
  <c r="S775" i="61" s="1"/>
  <c r="S766" i="61"/>
  <c r="S777" i="61" s="1"/>
  <c r="S818" i="19"/>
  <c r="S829" i="19" s="1"/>
  <c r="S817" i="19"/>
  <c r="S828" i="19" s="1"/>
  <c r="S821" i="19"/>
  <c r="S832" i="19" s="1"/>
  <c r="S819" i="19"/>
  <c r="S830" i="19" s="1"/>
  <c r="S820" i="19"/>
  <c r="S831" i="19" s="1"/>
  <c r="S816" i="19"/>
  <c r="S822" i="19"/>
  <c r="S833" i="19" s="1"/>
  <c r="S543" i="45"/>
  <c r="S554" i="45" s="1"/>
  <c r="S547" i="45"/>
  <c r="S558" i="45" s="1"/>
  <c r="S545" i="45"/>
  <c r="S556" i="45" s="1"/>
  <c r="S544" i="45"/>
  <c r="S555" i="45" s="1"/>
  <c r="S542" i="45"/>
  <c r="S553" i="45" s="1"/>
  <c r="S541" i="45"/>
  <c r="S546" i="45"/>
  <c r="S557" i="45" s="1"/>
  <c r="S282" i="57"/>
  <c r="S293" i="57" s="1"/>
  <c r="S286" i="57"/>
  <c r="S297" i="57" s="1"/>
  <c r="S284" i="57"/>
  <c r="S295" i="57" s="1"/>
  <c r="S280" i="57"/>
  <c r="S283" i="57"/>
  <c r="S294" i="57" s="1"/>
  <c r="S285" i="57"/>
  <c r="S296" i="57" s="1"/>
  <c r="S281" i="57"/>
  <c r="S292" i="57" s="1"/>
  <c r="S251" i="33"/>
  <c r="S262" i="33" s="1"/>
  <c r="S248" i="33"/>
  <c r="S259" i="33" s="1"/>
  <c r="S245" i="33"/>
  <c r="S249" i="33"/>
  <c r="S260" i="33" s="1"/>
  <c r="S246" i="33"/>
  <c r="S257" i="33" s="1"/>
  <c r="S247" i="33"/>
  <c r="S258" i="33" s="1"/>
  <c r="S250" i="33"/>
  <c r="S261" i="33" s="1"/>
  <c r="S542" i="19"/>
  <c r="S553" i="19" s="1"/>
  <c r="S544" i="19"/>
  <c r="S555" i="19" s="1"/>
  <c r="S543" i="19"/>
  <c r="S554" i="19" s="1"/>
  <c r="S546" i="19"/>
  <c r="S557" i="19" s="1"/>
  <c r="S547" i="19"/>
  <c r="S558" i="19" s="1"/>
  <c r="S541" i="19"/>
  <c r="S545" i="19"/>
  <c r="S556" i="19" s="1"/>
  <c r="S251" i="61"/>
  <c r="S262" i="61" s="1"/>
  <c r="S256" i="61"/>
  <c r="S267" i="61" s="1"/>
  <c r="S253" i="61"/>
  <c r="S264" i="61" s="1"/>
  <c r="S255" i="61"/>
  <c r="S266" i="61" s="1"/>
  <c r="S250" i="61"/>
  <c r="S252" i="61"/>
  <c r="S263" i="61" s="1"/>
  <c r="S254" i="61"/>
  <c r="S265" i="61" s="1"/>
  <c r="S288" i="45"/>
  <c r="S299" i="45" s="1"/>
  <c r="S293" i="45"/>
  <c r="S304" i="45" s="1"/>
  <c r="S287" i="45"/>
  <c r="S290" i="45"/>
  <c r="S301" i="45" s="1"/>
  <c r="S292" i="45"/>
  <c r="S303" i="45" s="1"/>
  <c r="S289" i="45"/>
  <c r="S300" i="45" s="1"/>
  <c r="S291" i="45"/>
  <c r="S302" i="45" s="1"/>
  <c r="S1021" i="61"/>
  <c r="S1032" i="61" s="1"/>
  <c r="S1020" i="61"/>
  <c r="S1031" i="61" s="1"/>
  <c r="S1018" i="61"/>
  <c r="S1029" i="61" s="1"/>
  <c r="S1022" i="61"/>
  <c r="S1033" i="61" s="1"/>
  <c r="S1019" i="61"/>
  <c r="S1030" i="61" s="1"/>
  <c r="S1017" i="61"/>
  <c r="S1023" i="61"/>
  <c r="S1034" i="61" s="1"/>
  <c r="S525" i="37"/>
  <c r="S536" i="37" s="1"/>
  <c r="S521" i="37"/>
  <c r="S532" i="37" s="1"/>
  <c r="S522" i="37"/>
  <c r="S533" i="37" s="1"/>
  <c r="S524" i="37"/>
  <c r="S535" i="37" s="1"/>
  <c r="S520" i="37"/>
  <c r="S523" i="37"/>
  <c r="S534" i="37" s="1"/>
  <c r="S526" i="37"/>
  <c r="S537" i="37" s="1"/>
  <c r="S512" i="61"/>
  <c r="S523" i="61" s="1"/>
  <c r="S510" i="61"/>
  <c r="S521" i="61" s="1"/>
  <c r="S513" i="61"/>
  <c r="S524" i="61" s="1"/>
  <c r="S511" i="61"/>
  <c r="S522" i="61" s="1"/>
  <c r="S507" i="61"/>
  <c r="S509" i="61"/>
  <c r="S520" i="61" s="1"/>
  <c r="S508" i="61"/>
  <c r="S519" i="61" s="1"/>
  <c r="S774" i="69"/>
  <c r="S785" i="69" s="1"/>
  <c r="S770" i="69"/>
  <c r="S781" i="69" s="1"/>
  <c r="S772" i="69"/>
  <c r="S783" i="69" s="1"/>
  <c r="S771" i="69"/>
  <c r="S782" i="69" s="1"/>
  <c r="S769" i="69"/>
  <c r="S780" i="69" s="1"/>
  <c r="S773" i="69"/>
  <c r="S784" i="69" s="1"/>
  <c r="S768" i="69"/>
  <c r="S272" i="19"/>
  <c r="S283" i="19" s="1"/>
  <c r="S269" i="19"/>
  <c r="S280" i="19" s="1"/>
  <c r="S266" i="19"/>
  <c r="S271" i="19"/>
  <c r="S282" i="19" s="1"/>
  <c r="S267" i="19"/>
  <c r="S278" i="19" s="1"/>
  <c r="S270" i="19"/>
  <c r="S281" i="19" s="1"/>
  <c r="S268" i="19"/>
  <c r="S279" i="19" s="1"/>
  <c r="S251" i="77"/>
  <c r="S262" i="77" s="1"/>
  <c r="S247" i="77"/>
  <c r="S258" i="77" s="1"/>
  <c r="S249" i="77"/>
  <c r="S260" i="77" s="1"/>
  <c r="S245" i="77"/>
  <c r="S248" i="77"/>
  <c r="S259" i="77" s="1"/>
  <c r="S246" i="77"/>
  <c r="S257" i="77" s="1"/>
  <c r="S250" i="77"/>
  <c r="S261" i="77" s="1"/>
  <c r="S272" i="37"/>
  <c r="S283" i="37" s="1"/>
  <c r="S271" i="37"/>
  <c r="S282" i="37" s="1"/>
  <c r="S269" i="37"/>
  <c r="S280" i="37" s="1"/>
  <c r="S266" i="37"/>
  <c r="S267" i="37"/>
  <c r="S278" i="37" s="1"/>
  <c r="S270" i="37"/>
  <c r="S281" i="37" s="1"/>
  <c r="S268" i="37"/>
  <c r="S279" i="37" s="1"/>
  <c r="S563" i="57"/>
  <c r="S574" i="57" s="1"/>
  <c r="S562" i="57"/>
  <c r="S566" i="57"/>
  <c r="S577" i="57" s="1"/>
  <c r="S564" i="57"/>
  <c r="S575" i="57" s="1"/>
  <c r="S567" i="57"/>
  <c r="S578" i="57" s="1"/>
  <c r="S565" i="57"/>
  <c r="S576" i="57" s="1"/>
  <c r="S568" i="57"/>
  <c r="S579" i="57" s="1"/>
  <c r="S377" i="75"/>
  <c r="S388" i="75" s="1"/>
  <c r="S376" i="75"/>
  <c r="S387" i="75" s="1"/>
  <c r="S374" i="75"/>
  <c r="S385" i="75" s="1"/>
  <c r="S373" i="75"/>
  <c r="S384" i="75" s="1"/>
  <c r="S372" i="75"/>
  <c r="S383" i="75" s="1"/>
  <c r="S371" i="75"/>
  <c r="S375" i="75"/>
  <c r="S386" i="75" s="1"/>
  <c r="T134" i="45"/>
  <c r="T132" i="45"/>
  <c r="T856" i="61"/>
  <c r="T371" i="37"/>
  <c r="T117" i="19"/>
  <c r="T135" i="45"/>
  <c r="P529" i="69"/>
  <c r="P294" i="49"/>
  <c r="P295" i="41"/>
  <c r="P844" i="19"/>
  <c r="P273" i="33"/>
  <c r="P294" i="19"/>
  <c r="P569" i="45"/>
  <c r="P1046" i="61"/>
  <c r="P536" i="61"/>
  <c r="P316" i="45"/>
  <c r="P344" i="29"/>
  <c r="P274" i="69"/>
  <c r="P294" i="37"/>
  <c r="P279" i="61"/>
  <c r="P796" i="69"/>
  <c r="P569" i="19"/>
  <c r="P400" i="75"/>
  <c r="P308" i="57"/>
  <c r="P273" i="77"/>
  <c r="P323" i="53"/>
  <c r="P591" i="57"/>
  <c r="P548" i="37"/>
  <c r="P626" i="53"/>
  <c r="P790" i="61"/>
  <c r="P584" i="41"/>
  <c r="P569" i="49"/>
  <c r="T115" i="19"/>
  <c r="T410" i="57"/>
  <c r="T353" i="61"/>
  <c r="T116" i="19"/>
  <c r="T138" i="45"/>
  <c r="T136" i="45"/>
  <c r="T409" i="57"/>
  <c r="T380" i="45"/>
  <c r="T91" i="33"/>
  <c r="T666" i="19"/>
  <c r="T89" i="61"/>
  <c r="T608" i="61"/>
  <c r="T99" i="19"/>
  <c r="T366" i="37"/>
  <c r="T617" i="69"/>
  <c r="T346" i="61"/>
  <c r="T115" i="37"/>
  <c r="T114" i="45"/>
  <c r="T618" i="69"/>
  <c r="T412" i="57"/>
  <c r="T359" i="37"/>
  <c r="T210" i="75"/>
  <c r="T221" i="75"/>
  <c r="T217" i="75"/>
  <c r="T137" i="45"/>
  <c r="T125" i="57"/>
  <c r="T97" i="57"/>
  <c r="T77" i="33"/>
  <c r="T95" i="33"/>
  <c r="T84" i="33"/>
  <c r="R273" i="37"/>
  <c r="R291" i="37" s="1"/>
  <c r="R277" i="37"/>
  <c r="R284" i="37" s="1"/>
  <c r="R335" i="18"/>
  <c r="R254" i="27" s="1"/>
  <c r="T374" i="19"/>
  <c r="T390" i="19"/>
  <c r="S133" i="57"/>
  <c r="S82" i="27" s="1"/>
  <c r="T109" i="37"/>
  <c r="T77" i="77"/>
  <c r="T96" i="77"/>
  <c r="P248" i="78"/>
  <c r="P266" i="78" s="1"/>
  <c r="T99" i="37"/>
  <c r="T117" i="37"/>
  <c r="S224" i="75"/>
  <c r="S91" i="27" s="1"/>
  <c r="T659" i="19"/>
  <c r="T667" i="19"/>
  <c r="T126" i="57"/>
  <c r="T207" i="75"/>
  <c r="T211" i="75"/>
  <c r="T206" i="75"/>
  <c r="S870" i="61"/>
  <c r="S87" i="27" s="1"/>
  <c r="S119" i="37"/>
  <c r="S72" i="27" s="1"/>
  <c r="T849" i="61"/>
  <c r="T868" i="61"/>
  <c r="S394" i="19"/>
  <c r="S69" i="27" s="1"/>
  <c r="R339" i="18"/>
  <c r="R258" i="27" s="1"/>
  <c r="R334" i="18"/>
  <c r="R253" i="27" s="1"/>
  <c r="T199" i="75"/>
  <c r="T389" i="19"/>
  <c r="T95" i="77"/>
  <c r="Q242" i="78"/>
  <c r="Q242" i="79"/>
  <c r="Q243" i="78"/>
  <c r="Q243" i="79"/>
  <c r="T101" i="61"/>
  <c r="T114" i="37"/>
  <c r="R511" i="69"/>
  <c r="R518" i="69" s="1"/>
  <c r="R507" i="69"/>
  <c r="R525" i="69" s="1"/>
  <c r="R273" i="19"/>
  <c r="R291" i="19" s="1"/>
  <c r="R277" i="19"/>
  <c r="R284" i="19" s="1"/>
  <c r="T352" i="37"/>
  <c r="T370" i="37"/>
  <c r="T664" i="19"/>
  <c r="T174" i="75"/>
  <c r="R608" i="53"/>
  <c r="R615" i="53" s="1"/>
  <c r="R604" i="53"/>
  <c r="R622" i="53" s="1"/>
  <c r="T129" i="57"/>
  <c r="T216" i="75"/>
  <c r="T220" i="75"/>
  <c r="N268" i="78"/>
  <c r="N269" i="78"/>
  <c r="S394" i="45"/>
  <c r="S77" i="27" s="1"/>
  <c r="Q247" i="78"/>
  <c r="Q247" i="79"/>
  <c r="T867" i="61"/>
  <c r="R329" i="18"/>
  <c r="R347" i="18" s="1"/>
  <c r="R333" i="18"/>
  <c r="T408" i="57"/>
  <c r="T382" i="57"/>
  <c r="R305" i="53"/>
  <c r="R312" i="53" s="1"/>
  <c r="R301" i="53"/>
  <c r="R319" i="53" s="1"/>
  <c r="R277" i="41"/>
  <c r="R284" i="41" s="1"/>
  <c r="R273" i="41"/>
  <c r="R291" i="41" s="1"/>
  <c r="R518" i="61"/>
  <c r="R525" i="61" s="1"/>
  <c r="R514" i="61"/>
  <c r="R532" i="61" s="1"/>
  <c r="T121" i="57"/>
  <c r="T391" i="19"/>
  <c r="Q245" i="78"/>
  <c r="Q245" i="79"/>
  <c r="T404" i="57"/>
  <c r="Q253" i="78"/>
  <c r="Q253" i="79"/>
  <c r="R291" i="57"/>
  <c r="R298" i="57" s="1"/>
  <c r="R287" i="57"/>
  <c r="R305" i="57" s="1"/>
  <c r="Q254" i="79"/>
  <c r="Q254" i="78"/>
  <c r="T109" i="19"/>
  <c r="T82" i="61"/>
  <c r="T100" i="61"/>
  <c r="T665" i="19"/>
  <c r="T127" i="57"/>
  <c r="T218" i="75"/>
  <c r="T222" i="75"/>
  <c r="R261" i="61"/>
  <c r="R268" i="61" s="1"/>
  <c r="R257" i="61"/>
  <c r="R275" i="61" s="1"/>
  <c r="Q258" i="78"/>
  <c r="Q258" i="79"/>
  <c r="R338" i="18"/>
  <c r="R257" i="27" s="1"/>
  <c r="T364" i="19"/>
  <c r="T388" i="19"/>
  <c r="T411" i="57"/>
  <c r="R256" i="77"/>
  <c r="R263" i="77" s="1"/>
  <c r="R252" i="77"/>
  <c r="R270" i="77" s="1"/>
  <c r="Q340" i="18"/>
  <c r="T387" i="45"/>
  <c r="T392" i="19"/>
  <c r="R531" i="37"/>
  <c r="R538" i="37" s="1"/>
  <c r="R527" i="37"/>
  <c r="R545" i="37" s="1"/>
  <c r="Q256" i="78"/>
  <c r="Q256" i="79"/>
  <c r="R298" i="45"/>
  <c r="R305" i="45" s="1"/>
  <c r="R294" i="45"/>
  <c r="R312" i="45" s="1"/>
  <c r="T133" i="45"/>
  <c r="T612" i="69"/>
  <c r="T91" i="77"/>
  <c r="S98" i="77"/>
  <c r="S92" i="27" s="1"/>
  <c r="T601" i="61"/>
  <c r="P350" i="18"/>
  <c r="P351" i="18"/>
  <c r="O269" i="27"/>
  <c r="O268" i="27"/>
  <c r="S669" i="19"/>
  <c r="S71" i="27" s="1"/>
  <c r="T130" i="57"/>
  <c r="T204" i="75"/>
  <c r="T209" i="75"/>
  <c r="R552" i="19"/>
  <c r="R559" i="19" s="1"/>
  <c r="R548" i="19"/>
  <c r="R566" i="19" s="1"/>
  <c r="T96" i="61"/>
  <c r="Q246" i="78"/>
  <c r="Q246" i="79"/>
  <c r="R552" i="49"/>
  <c r="R559" i="49" s="1"/>
  <c r="R548" i="49"/>
  <c r="R566" i="49" s="1"/>
  <c r="S119" i="19"/>
  <c r="S67" i="27" s="1"/>
  <c r="R322" i="29"/>
  <c r="R340" i="29" s="1"/>
  <c r="R326" i="29"/>
  <c r="R333" i="29" s="1"/>
  <c r="R337" i="18"/>
  <c r="R256" i="27" s="1"/>
  <c r="R1028" i="61"/>
  <c r="R1035" i="61" s="1"/>
  <c r="R1024" i="61"/>
  <c r="R1042" i="61" s="1"/>
  <c r="T619" i="69"/>
  <c r="R252" i="33"/>
  <c r="R270" i="33" s="1"/>
  <c r="R256" i="33"/>
  <c r="R263" i="33" s="1"/>
  <c r="T603" i="69"/>
  <c r="S621" i="69"/>
  <c r="S90" i="27" s="1"/>
  <c r="T392" i="45"/>
  <c r="T613" i="61"/>
  <c r="T649" i="19"/>
  <c r="S360" i="61"/>
  <c r="S85" i="27" s="1"/>
  <c r="S103" i="61"/>
  <c r="S84" i="27" s="1"/>
  <c r="T863" i="61"/>
  <c r="T339" i="61"/>
  <c r="T358" i="61"/>
  <c r="T131" i="57"/>
  <c r="T213" i="75"/>
  <c r="T219" i="75"/>
  <c r="T109" i="57"/>
  <c r="Q257" i="78"/>
  <c r="Q257" i="79"/>
  <c r="R336" i="18"/>
  <c r="R255" i="27" s="1"/>
  <c r="P252" i="79"/>
  <c r="P259" i="79" s="1"/>
  <c r="P259" i="27"/>
  <c r="P252" i="78"/>
  <c r="P259" i="78" s="1"/>
  <c r="Q241" i="78"/>
  <c r="Q248" i="27"/>
  <c r="Q241" i="79"/>
  <c r="T384" i="19"/>
  <c r="R827" i="19"/>
  <c r="R834" i="19" s="1"/>
  <c r="R823" i="19"/>
  <c r="R841" i="19" s="1"/>
  <c r="T373" i="45"/>
  <c r="T391" i="45"/>
  <c r="R779" i="69"/>
  <c r="R786" i="69" s="1"/>
  <c r="R775" i="69"/>
  <c r="R793" i="69" s="1"/>
  <c r="T101" i="45"/>
  <c r="T131" i="45"/>
  <c r="S98" i="33"/>
  <c r="S70" i="27" s="1"/>
  <c r="T127" i="45"/>
  <c r="T594" i="61"/>
  <c r="T612" i="61"/>
  <c r="T116" i="37"/>
  <c r="Q255" i="78"/>
  <c r="Q255" i="79"/>
  <c r="R277" i="49"/>
  <c r="R284" i="49" s="1"/>
  <c r="R273" i="49"/>
  <c r="R291" i="49" s="1"/>
  <c r="R256" i="69"/>
  <c r="R263" i="69" s="1"/>
  <c r="R252" i="69"/>
  <c r="R270" i="69" s="1"/>
  <c r="T357" i="61"/>
  <c r="T205" i="75"/>
  <c r="T149" i="75"/>
  <c r="T203" i="75"/>
  <c r="T214" i="75"/>
  <c r="S140" i="45"/>
  <c r="S76" i="27" s="1"/>
  <c r="R566" i="41"/>
  <c r="R573" i="41" s="1"/>
  <c r="R562" i="41"/>
  <c r="R580" i="41" s="1"/>
  <c r="S373" i="37"/>
  <c r="S73" i="27" s="1"/>
  <c r="S615" i="61"/>
  <c r="S86" i="27" s="1"/>
  <c r="P248" i="79"/>
  <c r="P266" i="79" s="1"/>
  <c r="T113" i="19"/>
  <c r="T89" i="19"/>
  <c r="S415" i="57"/>
  <c r="S83" i="27" s="1"/>
  <c r="R773" i="61"/>
  <c r="R780" i="61" s="1"/>
  <c r="R769" i="61"/>
  <c r="R787" i="61" s="1"/>
  <c r="T413" i="57"/>
  <c r="R573" i="57"/>
  <c r="R580" i="57" s="1"/>
  <c r="R569" i="57"/>
  <c r="R587" i="57" s="1"/>
  <c r="T393" i="57"/>
  <c r="T84" i="77"/>
  <c r="R382" i="75"/>
  <c r="R389" i="75" s="1"/>
  <c r="R378" i="75"/>
  <c r="R396" i="75" s="1"/>
  <c r="T594" i="69"/>
  <c r="T616" i="69"/>
  <c r="P264" i="27"/>
  <c r="P265" i="27"/>
  <c r="P266" i="27"/>
  <c r="R552" i="45"/>
  <c r="R559" i="45" s="1"/>
  <c r="R548" i="45"/>
  <c r="R566" i="45" s="1"/>
  <c r="T89" i="37"/>
  <c r="T113" i="37"/>
  <c r="Q244" i="78"/>
  <c r="Q244" i="79"/>
  <c r="T663" i="19"/>
  <c r="T639" i="19"/>
  <c r="T128" i="57"/>
  <c r="T215" i="75"/>
  <c r="T212" i="75"/>
  <c r="T208" i="75"/>
  <c r="T96" i="33"/>
  <c r="J154" i="79" l="1"/>
  <c r="J136" i="79"/>
  <c r="J187" i="79"/>
  <c r="J186" i="79"/>
  <c r="J190" i="79"/>
  <c r="J195" i="79"/>
  <c r="J194" i="79"/>
  <c r="J196" i="79"/>
  <c r="J133" i="79"/>
  <c r="J189" i="79"/>
  <c r="J144" i="79"/>
  <c r="J142" i="79"/>
  <c r="J188" i="79"/>
  <c r="J192" i="79"/>
  <c r="J135" i="79"/>
  <c r="J125" i="79"/>
  <c r="J191" i="79"/>
  <c r="J113" i="79"/>
  <c r="J193" i="79"/>
  <c r="J155" i="79"/>
  <c r="J134" i="79"/>
  <c r="L194" i="18"/>
  <c r="L188" i="18"/>
  <c r="L193" i="18"/>
  <c r="L189" i="18"/>
  <c r="L274" i="18"/>
  <c r="L292" i="18" s="1"/>
  <c r="L327" i="18"/>
  <c r="L338" i="18" s="1"/>
  <c r="L326" i="18"/>
  <c r="L337" i="18" s="1"/>
  <c r="L271" i="18"/>
  <c r="L289" i="18" s="1"/>
  <c r="L323" i="18"/>
  <c r="L334" i="18" s="1"/>
  <c r="L192" i="18"/>
  <c r="L197" i="18"/>
  <c r="L191" i="18"/>
  <c r="L183" i="18"/>
  <c r="L175" i="18"/>
  <c r="L66" i="27" s="1"/>
  <c r="L265" i="18"/>
  <c r="L273" i="18"/>
  <c r="L291" i="18" s="1"/>
  <c r="L275" i="18"/>
  <c r="L293" i="18" s="1"/>
  <c r="L267" i="18"/>
  <c r="L285" i="18" s="1"/>
  <c r="L278" i="18"/>
  <c r="L296" i="18" s="1"/>
  <c r="L195" i="18"/>
  <c r="L182" i="18"/>
  <c r="L184" i="18"/>
  <c r="L196" i="18"/>
  <c r="L324" i="18"/>
  <c r="L335" i="18" s="1"/>
  <c r="L322" i="18"/>
  <c r="L328" i="18"/>
  <c r="L339" i="18" s="1"/>
  <c r="L268" i="18"/>
  <c r="L286" i="18" s="1"/>
  <c r="L276" i="18"/>
  <c r="L294" i="18" s="1"/>
  <c r="L277" i="18"/>
  <c r="L295" i="18" s="1"/>
  <c r="L187" i="18"/>
  <c r="L185" i="18"/>
  <c r="L190" i="18"/>
  <c r="L186" i="18"/>
  <c r="L325" i="18"/>
  <c r="L336" i="18" s="1"/>
  <c r="L269" i="18"/>
  <c r="L287" i="18" s="1"/>
  <c r="L270" i="18"/>
  <c r="L288" i="18" s="1"/>
  <c r="L266" i="18"/>
  <c r="L284" i="18" s="1"/>
  <c r="L272" i="18"/>
  <c r="L290" i="18" s="1"/>
  <c r="K290" i="18"/>
  <c r="K209" i="27" s="1"/>
  <c r="K191" i="27"/>
  <c r="K191" i="78" s="1"/>
  <c r="K215" i="18"/>
  <c r="K134" i="27" s="1"/>
  <c r="K134" i="78" s="1"/>
  <c r="K114" i="27"/>
  <c r="K114" i="78" s="1"/>
  <c r="K114" i="79" s="1"/>
  <c r="K235" i="18"/>
  <c r="K154" i="27" s="1"/>
  <c r="K154" i="78" s="1"/>
  <c r="K335" i="18"/>
  <c r="K254" i="27" s="1"/>
  <c r="K243" i="27"/>
  <c r="K192" i="27"/>
  <c r="K192" i="78" s="1"/>
  <c r="K291" i="18"/>
  <c r="K210" i="27" s="1"/>
  <c r="K204" i="18"/>
  <c r="K123" i="27" s="1"/>
  <c r="K123" i="78" s="1"/>
  <c r="K123" i="79" s="1"/>
  <c r="K103" i="27"/>
  <c r="K103" i="78" s="1"/>
  <c r="K103" i="79" s="1"/>
  <c r="K224" i="18"/>
  <c r="K143" i="27" s="1"/>
  <c r="K143" i="78" s="1"/>
  <c r="K143" i="79" s="1"/>
  <c r="K186" i="27"/>
  <c r="K186" i="78" s="1"/>
  <c r="K285" i="18"/>
  <c r="K204" i="27" s="1"/>
  <c r="K116" i="27"/>
  <c r="K116" i="78" s="1"/>
  <c r="K116" i="79" s="1"/>
  <c r="K237" i="18"/>
  <c r="K156" i="27" s="1"/>
  <c r="K156" i="78" s="1"/>
  <c r="K156" i="79" s="1"/>
  <c r="K217" i="18"/>
  <c r="K136" i="27" s="1"/>
  <c r="K136" i="78" s="1"/>
  <c r="K337" i="18"/>
  <c r="K256" i="27" s="1"/>
  <c r="K245" i="27"/>
  <c r="K226" i="18"/>
  <c r="K145" i="27" s="1"/>
  <c r="K145" i="78" s="1"/>
  <c r="K145" i="79" s="1"/>
  <c r="K206" i="18"/>
  <c r="K125" i="27" s="1"/>
  <c r="K125" i="78" s="1"/>
  <c r="K105" i="27"/>
  <c r="K105" i="78" s="1"/>
  <c r="K105" i="79" s="1"/>
  <c r="J202" i="27"/>
  <c r="J216" i="27" s="1"/>
  <c r="J297" i="18"/>
  <c r="J37" i="84"/>
  <c r="J129" i="79"/>
  <c r="J245" i="79"/>
  <c r="J245" i="78"/>
  <c r="J257" i="78"/>
  <c r="J257" i="79"/>
  <c r="J247" i="79"/>
  <c r="J247" i="78"/>
  <c r="J254" i="79"/>
  <c r="J254" i="78"/>
  <c r="K247" i="27"/>
  <c r="K339" i="18"/>
  <c r="K258" i="27" s="1"/>
  <c r="K108" i="27"/>
  <c r="K108" i="78" s="1"/>
  <c r="K108" i="79" s="1"/>
  <c r="K229" i="18"/>
  <c r="K148" i="27" s="1"/>
  <c r="K148" i="78" s="1"/>
  <c r="K148" i="79" s="1"/>
  <c r="K209" i="18"/>
  <c r="K128" i="27" s="1"/>
  <c r="K128" i="78" s="1"/>
  <c r="K128" i="79" s="1"/>
  <c r="K196" i="27"/>
  <c r="K196" i="78" s="1"/>
  <c r="K295" i="18"/>
  <c r="K214" i="27" s="1"/>
  <c r="K225" i="18"/>
  <c r="K144" i="27" s="1"/>
  <c r="K144" i="78" s="1"/>
  <c r="K205" i="18"/>
  <c r="K124" i="27" s="1"/>
  <c r="K124" i="78" s="1"/>
  <c r="K124" i="79" s="1"/>
  <c r="K104" i="27"/>
  <c r="K104" i="78" s="1"/>
  <c r="K104" i="79" s="1"/>
  <c r="K195" i="27"/>
  <c r="K195" i="78" s="1"/>
  <c r="K294" i="18"/>
  <c r="K213" i="27" s="1"/>
  <c r="K244" i="27"/>
  <c r="K336" i="18"/>
  <c r="K255" i="27" s="1"/>
  <c r="K222" i="18"/>
  <c r="K202" i="18"/>
  <c r="K198" i="18"/>
  <c r="K345" i="18" s="1"/>
  <c r="K101" i="27"/>
  <c r="K189" i="27"/>
  <c r="K189" i="78" s="1"/>
  <c r="K288" i="18"/>
  <c r="K207" i="27" s="1"/>
  <c r="K234" i="18"/>
  <c r="K153" i="27" s="1"/>
  <c r="K153" i="78" s="1"/>
  <c r="K153" i="79" s="1"/>
  <c r="K214" i="18"/>
  <c r="K133" i="27" s="1"/>
  <c r="K133" i="78" s="1"/>
  <c r="K113" i="27"/>
  <c r="K113" i="78" s="1"/>
  <c r="J184" i="78"/>
  <c r="J198" i="27"/>
  <c r="J265" i="27" s="1"/>
  <c r="J252" i="27"/>
  <c r="J340" i="18"/>
  <c r="J242" i="79"/>
  <c r="J242" i="78"/>
  <c r="J246" i="79"/>
  <c r="J246" i="78"/>
  <c r="J243" i="79"/>
  <c r="J243" i="78"/>
  <c r="J238" i="18"/>
  <c r="J141" i="27"/>
  <c r="K283" i="18"/>
  <c r="K184" i="27"/>
  <c r="K279" i="18"/>
  <c r="K346" i="18" s="1"/>
  <c r="K190" i="27"/>
  <c r="K190" i="78" s="1"/>
  <c r="K289" i="18"/>
  <c r="K208" i="27" s="1"/>
  <c r="K227" i="18"/>
  <c r="K146" i="27" s="1"/>
  <c r="K146" i="78" s="1"/>
  <c r="K146" i="79" s="1"/>
  <c r="K207" i="18"/>
  <c r="K126" i="27" s="1"/>
  <c r="K126" i="78" s="1"/>
  <c r="K126" i="79" s="1"/>
  <c r="K106" i="27"/>
  <c r="K106" i="78" s="1"/>
  <c r="K106" i="79" s="1"/>
  <c r="K193" i="27"/>
  <c r="K193" i="78" s="1"/>
  <c r="K292" i="18"/>
  <c r="K211" i="27" s="1"/>
  <c r="K203" i="18"/>
  <c r="K122" i="27" s="1"/>
  <c r="K122" i="78" s="1"/>
  <c r="K122" i="79" s="1"/>
  <c r="K102" i="27"/>
  <c r="K102" i="78" s="1"/>
  <c r="K102" i="79" s="1"/>
  <c r="K223" i="18"/>
  <c r="K142" i="27" s="1"/>
  <c r="K142" i="78" s="1"/>
  <c r="K286" i="18"/>
  <c r="K205" i="27" s="1"/>
  <c r="K187" i="27"/>
  <c r="K187" i="78" s="1"/>
  <c r="K66" i="78"/>
  <c r="K94" i="78" s="1"/>
  <c r="K66" i="79"/>
  <c r="K94" i="79" s="1"/>
  <c r="K94" i="27"/>
  <c r="K236" i="18"/>
  <c r="K155" i="27" s="1"/>
  <c r="K155" i="78" s="1"/>
  <c r="K216" i="18"/>
  <c r="K135" i="27" s="1"/>
  <c r="K135" i="78" s="1"/>
  <c r="K115" i="27"/>
  <c r="K115" i="78" s="1"/>
  <c r="K115" i="79" s="1"/>
  <c r="K197" i="27"/>
  <c r="K197" i="78" s="1"/>
  <c r="K197" i="79" s="1"/>
  <c r="K296" i="18"/>
  <c r="K215" i="27" s="1"/>
  <c r="K232" i="18"/>
  <c r="K151" i="27" s="1"/>
  <c r="K151" i="78" s="1"/>
  <c r="K151" i="79" s="1"/>
  <c r="K212" i="18"/>
  <c r="K131" i="27" s="1"/>
  <c r="K131" i="78" s="1"/>
  <c r="K131" i="79" s="1"/>
  <c r="K111" i="27"/>
  <c r="K111" i="78" s="1"/>
  <c r="K111" i="79" s="1"/>
  <c r="J255" i="79"/>
  <c r="J255" i="78"/>
  <c r="J253" i="78"/>
  <c r="J253" i="79"/>
  <c r="J218" i="18"/>
  <c r="J121" i="27"/>
  <c r="K293" i="18"/>
  <c r="K212" i="27" s="1"/>
  <c r="K194" i="27"/>
  <c r="K194" i="78" s="1"/>
  <c r="K208" i="18"/>
  <c r="K127" i="27" s="1"/>
  <c r="K127" i="78" s="1"/>
  <c r="K127" i="79" s="1"/>
  <c r="K107" i="27"/>
  <c r="K107" i="78" s="1"/>
  <c r="K107" i="79" s="1"/>
  <c r="K228" i="18"/>
  <c r="K147" i="27" s="1"/>
  <c r="K147" i="78" s="1"/>
  <c r="K147" i="79" s="1"/>
  <c r="K338" i="18"/>
  <c r="K257" i="27" s="1"/>
  <c r="K246" i="27"/>
  <c r="K334" i="18"/>
  <c r="K253" i="27" s="1"/>
  <c r="K242" i="27"/>
  <c r="K210" i="18"/>
  <c r="K129" i="27" s="1"/>
  <c r="K129" i="78" s="1"/>
  <c r="K109" i="27"/>
  <c r="K109" i="78" s="1"/>
  <c r="K230" i="18"/>
  <c r="K149" i="27" s="1"/>
  <c r="K149" i="78" s="1"/>
  <c r="K149" i="79" s="1"/>
  <c r="K284" i="18"/>
  <c r="K203" i="27" s="1"/>
  <c r="K185" i="27"/>
  <c r="K185" i="78" s="1"/>
  <c r="K185" i="79" s="1"/>
  <c r="K110" i="27"/>
  <c r="K110" i="78" s="1"/>
  <c r="K110" i="79" s="1"/>
  <c r="K231" i="18"/>
  <c r="K150" i="27" s="1"/>
  <c r="K150" i="78" s="1"/>
  <c r="K150" i="79" s="1"/>
  <c r="K211" i="18"/>
  <c r="K130" i="27" s="1"/>
  <c r="K130" i="78" s="1"/>
  <c r="K130" i="79" s="1"/>
  <c r="K333" i="18"/>
  <c r="K241" i="27"/>
  <c r="K329" i="18"/>
  <c r="K347" i="18" s="1"/>
  <c r="K188" i="27"/>
  <c r="K188" i="78" s="1"/>
  <c r="K287" i="18"/>
  <c r="K206" i="27" s="1"/>
  <c r="K233" i="18"/>
  <c r="K152" i="27" s="1"/>
  <c r="K152" i="78" s="1"/>
  <c r="K152" i="79" s="1"/>
  <c r="K213" i="18"/>
  <c r="K132" i="27" s="1"/>
  <c r="K132" i="78" s="1"/>
  <c r="K132" i="79" s="1"/>
  <c r="K112" i="27"/>
  <c r="K112" i="78" s="1"/>
  <c r="K112" i="79" s="1"/>
  <c r="J241" i="79"/>
  <c r="J241" i="78"/>
  <c r="J248" i="27"/>
  <c r="J266" i="27" s="1"/>
  <c r="J109" i="79"/>
  <c r="J33" i="84"/>
  <c r="J46" i="84" s="1"/>
  <c r="J244" i="79"/>
  <c r="J244" i="78"/>
  <c r="J256" i="78"/>
  <c r="J256" i="79"/>
  <c r="J258" i="79"/>
  <c r="J258" i="78"/>
  <c r="J101" i="78"/>
  <c r="J117" i="27"/>
  <c r="J264" i="27" s="1"/>
  <c r="Q143" i="79"/>
  <c r="Q145" i="79"/>
  <c r="Q144" i="79"/>
  <c r="Q152" i="79"/>
  <c r="R109" i="79"/>
  <c r="Q125" i="79"/>
  <c r="O157" i="79"/>
  <c r="Q150" i="79"/>
  <c r="Q149" i="79"/>
  <c r="Q147" i="79"/>
  <c r="Q211" i="79"/>
  <c r="Q146" i="79"/>
  <c r="R113" i="79"/>
  <c r="P198" i="79"/>
  <c r="P265" i="79" s="1"/>
  <c r="Q142" i="79"/>
  <c r="Q129" i="79"/>
  <c r="R933" i="61"/>
  <c r="R1046" i="61" s="1"/>
  <c r="R142" i="27"/>
  <c r="R142" i="78" s="1"/>
  <c r="R144" i="27"/>
  <c r="R144" i="78" s="1"/>
  <c r="T165" i="53"/>
  <c r="T164" i="53"/>
  <c r="T159" i="53"/>
  <c r="T154" i="53"/>
  <c r="T160" i="53"/>
  <c r="T166" i="53"/>
  <c r="T161" i="53"/>
  <c r="T155" i="53"/>
  <c r="T167" i="53"/>
  <c r="T162" i="53"/>
  <c r="T168" i="53"/>
  <c r="T169" i="53"/>
  <c r="T157" i="53"/>
  <c r="T163" i="53"/>
  <c r="T156" i="53"/>
  <c r="T158" i="53"/>
  <c r="S199" i="53"/>
  <c r="S179" i="53"/>
  <c r="S225" i="18"/>
  <c r="S205" i="18"/>
  <c r="S104" i="27"/>
  <c r="S104" i="78" s="1"/>
  <c r="S104" i="79" s="1"/>
  <c r="S167" i="19"/>
  <c r="S147" i="19"/>
  <c r="S148" i="77"/>
  <c r="S128" i="77"/>
  <c r="S401" i="69"/>
  <c r="S381" i="69"/>
  <c r="S156" i="33"/>
  <c r="S136" i="33"/>
  <c r="S716" i="19"/>
  <c r="S696" i="19"/>
  <c r="S692" i="19"/>
  <c r="S839" i="19" s="1"/>
  <c r="S444" i="49"/>
  <c r="S424" i="49"/>
  <c r="S392" i="61"/>
  <c r="S412" i="61"/>
  <c r="S422" i="61"/>
  <c r="S402" i="61"/>
  <c r="S443" i="19"/>
  <c r="S423" i="19"/>
  <c r="S478" i="53"/>
  <c r="S498" i="53"/>
  <c r="S422" i="37"/>
  <c r="S402" i="37"/>
  <c r="S669" i="69"/>
  <c r="S649" i="69"/>
  <c r="T140" i="57"/>
  <c r="T148" i="57"/>
  <c r="T142" i="57"/>
  <c r="T153" i="57"/>
  <c r="T145" i="57"/>
  <c r="T151" i="57"/>
  <c r="T146" i="57"/>
  <c r="T152" i="57"/>
  <c r="T147" i="57"/>
  <c r="T154" i="57"/>
  <c r="T144" i="57"/>
  <c r="T149" i="57"/>
  <c r="T143" i="57"/>
  <c r="T141" i="57"/>
  <c r="T155" i="57"/>
  <c r="T150" i="57"/>
  <c r="S197" i="53"/>
  <c r="S177" i="53"/>
  <c r="S187" i="57"/>
  <c r="S167" i="57"/>
  <c r="S176" i="37"/>
  <c r="S156" i="37"/>
  <c r="S160" i="77"/>
  <c r="S140" i="77"/>
  <c r="S920" i="61"/>
  <c r="S900" i="61"/>
  <c r="S148" i="33"/>
  <c r="S128" i="33"/>
  <c r="S719" i="19"/>
  <c r="S699" i="19"/>
  <c r="S446" i="49"/>
  <c r="S426" i="49"/>
  <c r="S285" i="75"/>
  <c r="S265" i="75"/>
  <c r="S227" i="29"/>
  <c r="S207" i="29"/>
  <c r="S421" i="37"/>
  <c r="S401" i="37"/>
  <c r="S679" i="69"/>
  <c r="S659" i="69"/>
  <c r="S463" i="57"/>
  <c r="S443" i="57"/>
  <c r="S672" i="61"/>
  <c r="S652" i="61"/>
  <c r="S153" i="69"/>
  <c r="S133" i="69"/>
  <c r="R196" i="57"/>
  <c r="R308" i="57" s="1"/>
  <c r="R133" i="27"/>
  <c r="R133" i="78" s="1"/>
  <c r="R133" i="79" s="1"/>
  <c r="S202" i="53"/>
  <c r="S182" i="53"/>
  <c r="S206" i="53"/>
  <c r="S186" i="53"/>
  <c r="S180" i="49"/>
  <c r="S160" i="49"/>
  <c r="S181" i="49"/>
  <c r="S161" i="49"/>
  <c r="S186" i="57"/>
  <c r="S166" i="57"/>
  <c r="S190" i="57"/>
  <c r="S170" i="57"/>
  <c r="S237" i="18"/>
  <c r="S217" i="18"/>
  <c r="S116" i="27"/>
  <c r="S116" i="78" s="1"/>
  <c r="S116" i="79" s="1"/>
  <c r="S233" i="18"/>
  <c r="S213" i="18"/>
  <c r="S112" i="27"/>
  <c r="S112" i="78" s="1"/>
  <c r="S112" i="79" s="1"/>
  <c r="S146" i="37"/>
  <c r="S166" i="37"/>
  <c r="S142" i="37"/>
  <c r="S289" i="37" s="1"/>
  <c r="S177" i="37"/>
  <c r="S157" i="37"/>
  <c r="S172" i="19"/>
  <c r="S152" i="19"/>
  <c r="S180" i="19"/>
  <c r="S160" i="19"/>
  <c r="S461" i="41"/>
  <c r="S441" i="41"/>
  <c r="S467" i="41"/>
  <c r="S447" i="41"/>
  <c r="S134" i="77"/>
  <c r="S154" i="77"/>
  <c r="S135" i="77"/>
  <c r="S155" i="77"/>
  <c r="S384" i="69"/>
  <c r="S404" i="69"/>
  <c r="S380" i="69"/>
  <c r="S376" i="69"/>
  <c r="S523" i="69" s="1"/>
  <c r="S400" i="69"/>
  <c r="S930" i="61"/>
  <c r="S910" i="61"/>
  <c r="S928" i="61"/>
  <c r="S908" i="61"/>
  <c r="S197" i="45"/>
  <c r="S177" i="45"/>
  <c r="S198" i="45"/>
  <c r="S178" i="45"/>
  <c r="S153" i="33"/>
  <c r="S133" i="33"/>
  <c r="S145" i="33"/>
  <c r="S125" i="33"/>
  <c r="S121" i="33"/>
  <c r="S268" i="33" s="1"/>
  <c r="R664" i="69"/>
  <c r="R145" i="27"/>
  <c r="R145" i="78" s="1"/>
  <c r="R141" i="77"/>
  <c r="R129" i="27"/>
  <c r="R129" i="78" s="1"/>
  <c r="S731" i="19"/>
  <c r="S711" i="19"/>
  <c r="S730" i="19"/>
  <c r="S710" i="19"/>
  <c r="S152" i="61"/>
  <c r="S132" i="61"/>
  <c r="S154" i="61"/>
  <c r="S134" i="61"/>
  <c r="S452" i="49"/>
  <c r="S432" i="49"/>
  <c r="S431" i="49"/>
  <c r="S451" i="49"/>
  <c r="S171" i="41"/>
  <c r="S151" i="41"/>
  <c r="S172" i="41"/>
  <c r="S152" i="41"/>
  <c r="S419" i="61"/>
  <c r="S399" i="61"/>
  <c r="S420" i="61"/>
  <c r="S400" i="61"/>
  <c r="S445" i="19"/>
  <c r="S425" i="19"/>
  <c r="S455" i="19"/>
  <c r="S435" i="19"/>
  <c r="S283" i="75"/>
  <c r="S263" i="75"/>
  <c r="S272" i="75"/>
  <c r="S252" i="75"/>
  <c r="R183" i="45"/>
  <c r="R127" i="27"/>
  <c r="R127" i="78" s="1"/>
  <c r="R127" i="79" s="1"/>
  <c r="S502" i="53"/>
  <c r="S482" i="53"/>
  <c r="S503" i="53"/>
  <c r="S483" i="53"/>
  <c r="S223" i="29"/>
  <c r="S203" i="29"/>
  <c r="S216" i="29"/>
  <c r="S196" i="29"/>
  <c r="S429" i="37"/>
  <c r="S409" i="37"/>
  <c r="S430" i="37"/>
  <c r="S410" i="37"/>
  <c r="S443" i="45"/>
  <c r="S423" i="45"/>
  <c r="S454" i="45"/>
  <c r="S434" i="45"/>
  <c r="S652" i="69"/>
  <c r="S672" i="69"/>
  <c r="S674" i="69"/>
  <c r="S654" i="69"/>
  <c r="S467" i="57"/>
  <c r="S447" i="57"/>
  <c r="S448" i="57"/>
  <c r="S468" i="57"/>
  <c r="S667" i="61"/>
  <c r="S647" i="61"/>
  <c r="S666" i="61"/>
  <c r="S646" i="61"/>
  <c r="S160" i="69"/>
  <c r="S140" i="69"/>
  <c r="S149" i="69"/>
  <c r="S129" i="69"/>
  <c r="T107" i="33"/>
  <c r="T110" i="33"/>
  <c r="T113" i="33"/>
  <c r="T116" i="33"/>
  <c r="T119" i="33"/>
  <c r="T112" i="33"/>
  <c r="T106" i="33"/>
  <c r="T109" i="33"/>
  <c r="T115" i="33"/>
  <c r="T118" i="33"/>
  <c r="T120" i="33"/>
  <c r="T105" i="33"/>
  <c r="T108" i="33"/>
  <c r="T111" i="33"/>
  <c r="T114" i="33"/>
  <c r="T117" i="33"/>
  <c r="T127" i="41"/>
  <c r="T130" i="41"/>
  <c r="T133" i="41"/>
  <c r="T139" i="41"/>
  <c r="T136" i="41"/>
  <c r="T126" i="41"/>
  <c r="T129" i="41"/>
  <c r="T132" i="41"/>
  <c r="T135" i="41"/>
  <c r="T138" i="41"/>
  <c r="T141" i="41"/>
  <c r="T131" i="41"/>
  <c r="T134" i="41"/>
  <c r="T137" i="41"/>
  <c r="T140" i="41"/>
  <c r="T128" i="41"/>
  <c r="S191" i="57"/>
  <c r="S171" i="57"/>
  <c r="S175" i="19"/>
  <c r="S155" i="19"/>
  <c r="S459" i="41"/>
  <c r="S439" i="41"/>
  <c r="S190" i="45"/>
  <c r="S170" i="45"/>
  <c r="R231" i="29"/>
  <c r="R343" i="29" s="1"/>
  <c r="S155" i="61"/>
  <c r="S135" i="61"/>
  <c r="S274" i="75"/>
  <c r="S254" i="75"/>
  <c r="R182" i="49"/>
  <c r="R294" i="49" s="1"/>
  <c r="S230" i="29"/>
  <c r="S210" i="29"/>
  <c r="S435" i="45"/>
  <c r="S455" i="45"/>
  <c r="S426" i="45"/>
  <c r="S446" i="45"/>
  <c r="S471" i="57"/>
  <c r="S451" i="57"/>
  <c r="S677" i="61"/>
  <c r="S657" i="61"/>
  <c r="S155" i="69"/>
  <c r="S135" i="69"/>
  <c r="T153" i="45"/>
  <c r="T149" i="45"/>
  <c r="T152" i="45"/>
  <c r="T151" i="45"/>
  <c r="T154" i="45"/>
  <c r="T147" i="45"/>
  <c r="T150" i="45"/>
  <c r="T156" i="45"/>
  <c r="T161" i="45"/>
  <c r="T157" i="45"/>
  <c r="T148" i="45"/>
  <c r="T159" i="45"/>
  <c r="T162" i="45"/>
  <c r="T155" i="45"/>
  <c r="T158" i="45"/>
  <c r="T160" i="45"/>
  <c r="R396" i="69"/>
  <c r="S207" i="53"/>
  <c r="S187" i="53"/>
  <c r="S180" i="53"/>
  <c r="S200" i="53"/>
  <c r="S177" i="49"/>
  <c r="S157" i="49"/>
  <c r="S178" i="49"/>
  <c r="S158" i="49"/>
  <c r="S163" i="57"/>
  <c r="S183" i="57"/>
  <c r="S195" i="57"/>
  <c r="S175" i="57"/>
  <c r="Q137" i="27"/>
  <c r="Q121" i="78"/>
  <c r="R128" i="27"/>
  <c r="R128" i="78" s="1"/>
  <c r="R128" i="79" s="1"/>
  <c r="S230" i="18"/>
  <c r="S210" i="18"/>
  <c r="S109" i="27"/>
  <c r="S109" i="78" s="1"/>
  <c r="S227" i="18"/>
  <c r="S106" i="27"/>
  <c r="S106" i="78" s="1"/>
  <c r="S106" i="79" s="1"/>
  <c r="S207" i="18"/>
  <c r="S181" i="37"/>
  <c r="S161" i="37"/>
  <c r="S150" i="37"/>
  <c r="S170" i="37"/>
  <c r="S169" i="19"/>
  <c r="S149" i="19"/>
  <c r="S177" i="19"/>
  <c r="S157" i="19"/>
  <c r="R658" i="61"/>
  <c r="R123" i="27"/>
  <c r="R123" i="78" s="1"/>
  <c r="R123" i="79" s="1"/>
  <c r="S469" i="41"/>
  <c r="S449" i="41"/>
  <c r="S468" i="41"/>
  <c r="S448" i="41"/>
  <c r="S139" i="77"/>
  <c r="S159" i="77"/>
  <c r="S121" i="77"/>
  <c r="S268" i="77" s="1"/>
  <c r="S125" i="77"/>
  <c r="S145" i="77"/>
  <c r="S403" i="69"/>
  <c r="S383" i="69"/>
  <c r="S410" i="69"/>
  <c r="S390" i="69"/>
  <c r="S923" i="61"/>
  <c r="S903" i="61"/>
  <c r="S918" i="61"/>
  <c r="S898" i="61"/>
  <c r="S194" i="45"/>
  <c r="S174" i="45"/>
  <c r="S187" i="45"/>
  <c r="S167" i="45"/>
  <c r="S163" i="45"/>
  <c r="S310" i="45" s="1"/>
  <c r="S150" i="33"/>
  <c r="S130" i="33"/>
  <c r="S158" i="33"/>
  <c r="S138" i="33"/>
  <c r="R684" i="69"/>
  <c r="R796" i="69" s="1"/>
  <c r="R125" i="27"/>
  <c r="R125" i="78" s="1"/>
  <c r="R162" i="37"/>
  <c r="S720" i="19"/>
  <c r="S700" i="19"/>
  <c r="S727" i="19"/>
  <c r="S707" i="19"/>
  <c r="S162" i="61"/>
  <c r="S142" i="61"/>
  <c r="S160" i="61"/>
  <c r="S140" i="61"/>
  <c r="R117" i="27"/>
  <c r="R101" i="78"/>
  <c r="S445" i="49"/>
  <c r="S425" i="49"/>
  <c r="S449" i="49"/>
  <c r="S429" i="49"/>
  <c r="S180" i="41"/>
  <c r="S160" i="41"/>
  <c r="S169" i="41"/>
  <c r="S149" i="41"/>
  <c r="S396" i="61"/>
  <c r="S416" i="61"/>
  <c r="S415" i="61"/>
  <c r="S395" i="61"/>
  <c r="S446" i="19"/>
  <c r="S426" i="19"/>
  <c r="S456" i="19"/>
  <c r="S436" i="19"/>
  <c r="S282" i="75"/>
  <c r="S262" i="75"/>
  <c r="S276" i="75"/>
  <c r="S256" i="75"/>
  <c r="R162" i="41"/>
  <c r="R203" i="45"/>
  <c r="R315" i="45" s="1"/>
  <c r="R147" i="27"/>
  <c r="R147" i="78" s="1"/>
  <c r="R493" i="53"/>
  <c r="S511" i="53"/>
  <c r="S491" i="53"/>
  <c r="S500" i="53"/>
  <c r="S480" i="53"/>
  <c r="S224" i="29"/>
  <c r="S204" i="29"/>
  <c r="S226" i="29"/>
  <c r="S206" i="29"/>
  <c r="S426" i="37"/>
  <c r="S406" i="37"/>
  <c r="S427" i="37"/>
  <c r="S407" i="37"/>
  <c r="S445" i="45"/>
  <c r="S425" i="45"/>
  <c r="S453" i="45"/>
  <c r="S433" i="45"/>
  <c r="S648" i="69"/>
  <c r="S668" i="69"/>
  <c r="S644" i="69"/>
  <c r="S791" i="69" s="1"/>
  <c r="S675" i="69"/>
  <c r="S655" i="69"/>
  <c r="S464" i="57"/>
  <c r="S444" i="57"/>
  <c r="S465" i="57"/>
  <c r="S445" i="57"/>
  <c r="S664" i="61"/>
  <c r="S644" i="61"/>
  <c r="S663" i="61"/>
  <c r="S643" i="61"/>
  <c r="S145" i="69"/>
  <c r="S125" i="69"/>
  <c r="S121" i="69"/>
  <c r="S268" i="69" s="1"/>
  <c r="S152" i="69"/>
  <c r="S132" i="69"/>
  <c r="S167" i="49"/>
  <c r="S147" i="49"/>
  <c r="S180" i="37"/>
  <c r="S160" i="37"/>
  <c r="S456" i="41"/>
  <c r="S436" i="41"/>
  <c r="S201" i="45"/>
  <c r="S181" i="45"/>
  <c r="R156" i="27"/>
  <c r="R156" i="78" s="1"/>
  <c r="R156" i="79" s="1"/>
  <c r="S161" i="61"/>
  <c r="S141" i="61"/>
  <c r="R155" i="27"/>
  <c r="R155" i="78" s="1"/>
  <c r="R155" i="79" s="1"/>
  <c r="S175" i="41"/>
  <c r="S155" i="41"/>
  <c r="S448" i="19"/>
  <c r="S428" i="19"/>
  <c r="T127" i="19"/>
  <c r="T130" i="19"/>
  <c r="T133" i="19"/>
  <c r="T136" i="19"/>
  <c r="T139" i="19"/>
  <c r="T126" i="19"/>
  <c r="T129" i="19"/>
  <c r="T132" i="19"/>
  <c r="T135" i="19"/>
  <c r="T138" i="19"/>
  <c r="T141" i="19"/>
  <c r="T128" i="19"/>
  <c r="T131" i="19"/>
  <c r="T134" i="19"/>
  <c r="T137" i="19"/>
  <c r="T140" i="19"/>
  <c r="T184" i="29"/>
  <c r="T190" i="29"/>
  <c r="T179" i="29"/>
  <c r="T185" i="29"/>
  <c r="T181" i="29"/>
  <c r="T180" i="29"/>
  <c r="T187" i="29"/>
  <c r="T175" i="29"/>
  <c r="T176" i="29"/>
  <c r="T182" i="29"/>
  <c r="T189" i="29"/>
  <c r="T188" i="29"/>
  <c r="T177" i="29"/>
  <c r="T183" i="29"/>
  <c r="T186" i="29"/>
  <c r="T178" i="29"/>
  <c r="R416" i="69"/>
  <c r="R528" i="69" s="1"/>
  <c r="S208" i="53"/>
  <c r="S188" i="53"/>
  <c r="S205" i="53"/>
  <c r="S185" i="53"/>
  <c r="S174" i="49"/>
  <c r="S154" i="49"/>
  <c r="S175" i="49"/>
  <c r="S155" i="49"/>
  <c r="S193" i="57"/>
  <c r="S173" i="57"/>
  <c r="S181" i="57"/>
  <c r="S161" i="57"/>
  <c r="R148" i="27"/>
  <c r="R148" i="78" s="1"/>
  <c r="R148" i="79" s="1"/>
  <c r="S235" i="18"/>
  <c r="S215" i="18"/>
  <c r="S114" i="27"/>
  <c r="S114" i="78" s="1"/>
  <c r="S114" i="79" s="1"/>
  <c r="S234" i="18"/>
  <c r="S214" i="18"/>
  <c r="S113" i="27"/>
  <c r="S113" i="78" s="1"/>
  <c r="S173" i="37"/>
  <c r="S153" i="37"/>
  <c r="S167" i="37"/>
  <c r="S147" i="37"/>
  <c r="S166" i="19"/>
  <c r="S146" i="19"/>
  <c r="S142" i="19"/>
  <c r="S289" i="19" s="1"/>
  <c r="S174" i="19"/>
  <c r="S154" i="19"/>
  <c r="R143" i="27"/>
  <c r="R143" i="78" s="1"/>
  <c r="S455" i="41"/>
  <c r="S435" i="41"/>
  <c r="S431" i="41"/>
  <c r="S578" i="41" s="1"/>
  <c r="S460" i="41"/>
  <c r="S440" i="41"/>
  <c r="S153" i="77"/>
  <c r="S133" i="77"/>
  <c r="S152" i="77"/>
  <c r="S132" i="77"/>
  <c r="S415" i="69"/>
  <c r="S395" i="69"/>
  <c r="S412" i="69"/>
  <c r="S392" i="69"/>
  <c r="S919" i="61"/>
  <c r="S899" i="61"/>
  <c r="S931" i="61"/>
  <c r="S911" i="61"/>
  <c r="S192" i="45"/>
  <c r="S172" i="45"/>
  <c r="S202" i="45"/>
  <c r="S182" i="45"/>
  <c r="S147" i="33"/>
  <c r="S127" i="33"/>
  <c r="S152" i="33"/>
  <c r="S132" i="33"/>
  <c r="R457" i="45"/>
  <c r="R570" i="45" s="1"/>
  <c r="Q117" i="78"/>
  <c r="Q101" i="79"/>
  <c r="Q117" i="79" s="1"/>
  <c r="R182" i="37"/>
  <c r="R294" i="37" s="1"/>
  <c r="R149" i="27"/>
  <c r="R149" i="78" s="1"/>
  <c r="R437" i="49"/>
  <c r="S724" i="19"/>
  <c r="S704" i="19"/>
  <c r="S721" i="19"/>
  <c r="S701" i="19"/>
  <c r="S159" i="61"/>
  <c r="S139" i="61"/>
  <c r="S157" i="61"/>
  <c r="S137" i="61"/>
  <c r="S450" i="49"/>
  <c r="S430" i="49"/>
  <c r="S448" i="49"/>
  <c r="S428" i="49"/>
  <c r="S177" i="41"/>
  <c r="S157" i="41"/>
  <c r="S166" i="41"/>
  <c r="S146" i="41"/>
  <c r="S142" i="41"/>
  <c r="S289" i="41" s="1"/>
  <c r="S413" i="61"/>
  <c r="S393" i="61"/>
  <c r="S421" i="61"/>
  <c r="S401" i="61"/>
  <c r="S454" i="19"/>
  <c r="S434" i="19"/>
  <c r="S453" i="19"/>
  <c r="S433" i="19"/>
  <c r="S260" i="75"/>
  <c r="S280" i="75"/>
  <c r="S266" i="75"/>
  <c r="S286" i="75"/>
  <c r="R182" i="41"/>
  <c r="R295" i="41" s="1"/>
  <c r="R267" i="75"/>
  <c r="R513" i="53"/>
  <c r="R625" i="53" s="1"/>
  <c r="S508" i="53"/>
  <c r="S488" i="53"/>
  <c r="S510" i="53"/>
  <c r="S490" i="53"/>
  <c r="S228" i="29"/>
  <c r="S208" i="29"/>
  <c r="S220" i="29"/>
  <c r="S200" i="29"/>
  <c r="S423" i="37"/>
  <c r="S403" i="37"/>
  <c r="S424" i="37"/>
  <c r="S404" i="37"/>
  <c r="S450" i="45"/>
  <c r="S430" i="45"/>
  <c r="S442" i="45"/>
  <c r="S422" i="45"/>
  <c r="S682" i="69"/>
  <c r="S662" i="69"/>
  <c r="S677" i="69"/>
  <c r="S657" i="69"/>
  <c r="S456" i="57"/>
  <c r="S476" i="57"/>
  <c r="S442" i="57"/>
  <c r="S462" i="57"/>
  <c r="S438" i="57"/>
  <c r="S585" i="57" s="1"/>
  <c r="S674" i="61"/>
  <c r="S654" i="61"/>
  <c r="S668" i="61"/>
  <c r="S648" i="61"/>
  <c r="S130" i="69"/>
  <c r="S150" i="69"/>
  <c r="S156" i="69"/>
  <c r="S136" i="69"/>
  <c r="R131" i="27"/>
  <c r="R131" i="78" s="1"/>
  <c r="R131" i="79" s="1"/>
  <c r="S166" i="49"/>
  <c r="S146" i="49"/>
  <c r="S142" i="49"/>
  <c r="S289" i="49" s="1"/>
  <c r="S236" i="18"/>
  <c r="S216" i="18"/>
  <c r="S115" i="27"/>
  <c r="S115" i="78" s="1"/>
  <c r="S115" i="79" s="1"/>
  <c r="S402" i="69"/>
  <c r="S382" i="69"/>
  <c r="S925" i="61"/>
  <c r="S905" i="61"/>
  <c r="S167" i="41"/>
  <c r="S147" i="41"/>
  <c r="S506" i="53"/>
  <c r="S486" i="53"/>
  <c r="T234" i="75"/>
  <c r="T233" i="75"/>
  <c r="T241" i="75"/>
  <c r="T237" i="75"/>
  <c r="T235" i="75"/>
  <c r="T243" i="75"/>
  <c r="T239" i="75"/>
  <c r="T240" i="75"/>
  <c r="T242" i="75"/>
  <c r="T238" i="75"/>
  <c r="T236" i="75"/>
  <c r="T245" i="75"/>
  <c r="T246" i="75"/>
  <c r="T231" i="75"/>
  <c r="T232" i="75"/>
  <c r="T244" i="75"/>
  <c r="T415" i="19"/>
  <c r="T402" i="19"/>
  <c r="T405" i="19"/>
  <c r="T408" i="19"/>
  <c r="T406" i="19"/>
  <c r="T409" i="19"/>
  <c r="T407" i="19"/>
  <c r="T404" i="19"/>
  <c r="T411" i="19"/>
  <c r="T403" i="19"/>
  <c r="T410" i="19"/>
  <c r="T413" i="19"/>
  <c r="T416" i="19"/>
  <c r="T414" i="19"/>
  <c r="T412" i="19"/>
  <c r="T401" i="19"/>
  <c r="T437" i="57"/>
  <c r="T427" i="57"/>
  <c r="T430" i="57"/>
  <c r="T433" i="57"/>
  <c r="T436" i="57"/>
  <c r="T424" i="57"/>
  <c r="T423" i="57"/>
  <c r="T426" i="57"/>
  <c r="T435" i="57"/>
  <c r="T429" i="57"/>
  <c r="T432" i="57"/>
  <c r="T422" i="57"/>
  <c r="T425" i="57"/>
  <c r="T428" i="57"/>
  <c r="T431" i="57"/>
  <c r="T434" i="57"/>
  <c r="T381" i="37"/>
  <c r="T384" i="37"/>
  <c r="T387" i="37"/>
  <c r="T390" i="37"/>
  <c r="T393" i="37"/>
  <c r="T389" i="37"/>
  <c r="T392" i="37"/>
  <c r="T395" i="37"/>
  <c r="T380" i="37"/>
  <c r="T383" i="37"/>
  <c r="T386" i="37"/>
  <c r="T382" i="37"/>
  <c r="T385" i="37"/>
  <c r="T388" i="37"/>
  <c r="T391" i="37"/>
  <c r="T394" i="37"/>
  <c r="T680" i="19"/>
  <c r="T682" i="19"/>
  <c r="T686" i="19"/>
  <c r="T681" i="19"/>
  <c r="T677" i="19"/>
  <c r="T688" i="19"/>
  <c r="T676" i="19"/>
  <c r="T679" i="19"/>
  <c r="T690" i="19"/>
  <c r="T683" i="19"/>
  <c r="T689" i="19"/>
  <c r="T685" i="19"/>
  <c r="T678" i="19"/>
  <c r="T684" i="19"/>
  <c r="T687" i="19"/>
  <c r="T691" i="19"/>
  <c r="T366" i="69"/>
  <c r="T372" i="69"/>
  <c r="T360" i="69"/>
  <c r="T361" i="69"/>
  <c r="T375" i="69"/>
  <c r="T374" i="69"/>
  <c r="T362" i="69"/>
  <c r="T368" i="69"/>
  <c r="T363" i="69"/>
  <c r="T369" i="69"/>
  <c r="T364" i="69"/>
  <c r="T373" i="69"/>
  <c r="T365" i="69"/>
  <c r="T370" i="69"/>
  <c r="T371" i="69"/>
  <c r="T367" i="69"/>
  <c r="T186" i="18"/>
  <c r="T189" i="18"/>
  <c r="T191" i="18"/>
  <c r="T192" i="18"/>
  <c r="T183" i="18"/>
  <c r="T194" i="18"/>
  <c r="T197" i="18"/>
  <c r="T182" i="18"/>
  <c r="T185" i="18"/>
  <c r="T188" i="18"/>
  <c r="T195" i="18"/>
  <c r="T187" i="18"/>
  <c r="T184" i="18"/>
  <c r="T190" i="18"/>
  <c r="T193" i="18"/>
  <c r="T196" i="18"/>
  <c r="T426" i="41"/>
  <c r="T418" i="41"/>
  <c r="T430" i="41"/>
  <c r="T428" i="41"/>
  <c r="T420" i="41"/>
  <c r="T421" i="41"/>
  <c r="T419" i="41"/>
  <c r="T427" i="41"/>
  <c r="T416" i="41"/>
  <c r="T423" i="41"/>
  <c r="T425" i="41"/>
  <c r="T424" i="41"/>
  <c r="T429" i="41"/>
  <c r="T415" i="41"/>
  <c r="T417" i="41"/>
  <c r="T422" i="41"/>
  <c r="T127" i="49"/>
  <c r="T130" i="49"/>
  <c r="T133" i="49"/>
  <c r="T137" i="49"/>
  <c r="T136" i="49"/>
  <c r="T139" i="49"/>
  <c r="T132" i="49"/>
  <c r="T135" i="49"/>
  <c r="T138" i="49"/>
  <c r="T141" i="49"/>
  <c r="T126" i="49"/>
  <c r="T129" i="49"/>
  <c r="T140" i="49"/>
  <c r="T128" i="49"/>
  <c r="T131" i="49"/>
  <c r="T134" i="49"/>
  <c r="T409" i="49"/>
  <c r="T403" i="49"/>
  <c r="T411" i="49"/>
  <c r="T413" i="49"/>
  <c r="T404" i="49"/>
  <c r="T415" i="49"/>
  <c r="T405" i="49"/>
  <c r="T402" i="49"/>
  <c r="T406" i="49"/>
  <c r="T401" i="49"/>
  <c r="T407" i="49"/>
  <c r="T410" i="49"/>
  <c r="T408" i="49"/>
  <c r="T412" i="49"/>
  <c r="T414" i="49"/>
  <c r="T416" i="49"/>
  <c r="S198" i="53"/>
  <c r="S178" i="53"/>
  <c r="S196" i="53"/>
  <c r="S176" i="53"/>
  <c r="S179" i="49"/>
  <c r="S159" i="49"/>
  <c r="S171" i="49"/>
  <c r="S151" i="49"/>
  <c r="S192" i="57"/>
  <c r="S172" i="57"/>
  <c r="S185" i="57"/>
  <c r="S165" i="57"/>
  <c r="S102" i="27"/>
  <c r="S102" i="78" s="1"/>
  <c r="S102" i="79" s="1"/>
  <c r="S203" i="18"/>
  <c r="S223" i="18"/>
  <c r="S224" i="18"/>
  <c r="S204" i="18"/>
  <c r="S103" i="27"/>
  <c r="S103" i="78" s="1"/>
  <c r="S103" i="79" s="1"/>
  <c r="S174" i="37"/>
  <c r="S154" i="37"/>
  <c r="S169" i="37"/>
  <c r="S149" i="37"/>
  <c r="S179" i="19"/>
  <c r="S159" i="19"/>
  <c r="S171" i="19"/>
  <c r="S151" i="19"/>
  <c r="R678" i="61"/>
  <c r="R791" i="61" s="1"/>
  <c r="S462" i="41"/>
  <c r="S442" i="41"/>
  <c r="S466" i="41"/>
  <c r="S446" i="41"/>
  <c r="S158" i="77"/>
  <c r="S138" i="77"/>
  <c r="S156" i="77"/>
  <c r="S136" i="77"/>
  <c r="S409" i="69"/>
  <c r="S389" i="69"/>
  <c r="S406" i="69"/>
  <c r="S386" i="69"/>
  <c r="S921" i="61"/>
  <c r="S901" i="61"/>
  <c r="S917" i="61"/>
  <c r="S897" i="61"/>
  <c r="S893" i="61"/>
  <c r="S1040" i="61" s="1"/>
  <c r="S196" i="45"/>
  <c r="S176" i="45"/>
  <c r="S191" i="45"/>
  <c r="S171" i="45"/>
  <c r="S160" i="33"/>
  <c r="S140" i="33"/>
  <c r="S149" i="33"/>
  <c r="S129" i="33"/>
  <c r="R146" i="61"/>
  <c r="S729" i="19"/>
  <c r="S709" i="19"/>
  <c r="S728" i="19"/>
  <c r="S708" i="19"/>
  <c r="S158" i="61"/>
  <c r="S138" i="61"/>
  <c r="S136" i="61"/>
  <c r="S156" i="61"/>
  <c r="R238" i="18"/>
  <c r="R141" i="27"/>
  <c r="S447" i="49"/>
  <c r="S427" i="49"/>
  <c r="S442" i="49"/>
  <c r="S422" i="49"/>
  <c r="S179" i="41"/>
  <c r="S159" i="41"/>
  <c r="S174" i="41"/>
  <c r="S154" i="41"/>
  <c r="S418" i="61"/>
  <c r="S398" i="61"/>
  <c r="S409" i="61"/>
  <c r="S389" i="61"/>
  <c r="S447" i="19"/>
  <c r="S427" i="19"/>
  <c r="S442" i="19"/>
  <c r="S422" i="19"/>
  <c r="S279" i="75"/>
  <c r="S259" i="75"/>
  <c r="S258" i="75"/>
  <c r="S278" i="75"/>
  <c r="R162" i="19"/>
  <c r="R132" i="27"/>
  <c r="R132" i="78" s="1"/>
  <c r="R132" i="79" s="1"/>
  <c r="S499" i="53"/>
  <c r="S479" i="53"/>
  <c r="S497" i="53"/>
  <c r="S477" i="53"/>
  <c r="S473" i="53"/>
  <c r="S620" i="53" s="1"/>
  <c r="S197" i="29"/>
  <c r="S217" i="29"/>
  <c r="S205" i="29"/>
  <c r="S225" i="29"/>
  <c r="S420" i="37"/>
  <c r="S400" i="37"/>
  <c r="S396" i="37"/>
  <c r="S543" i="37" s="1"/>
  <c r="S434" i="37"/>
  <c r="S414" i="37"/>
  <c r="S456" i="45"/>
  <c r="S436" i="45"/>
  <c r="S441" i="45"/>
  <c r="S421" i="45"/>
  <c r="S417" i="45"/>
  <c r="S564" i="45" s="1"/>
  <c r="S656" i="69"/>
  <c r="S676" i="69"/>
  <c r="S673" i="69"/>
  <c r="S653" i="69"/>
  <c r="S473" i="57"/>
  <c r="S453" i="57"/>
  <c r="S475" i="57"/>
  <c r="S455" i="57"/>
  <c r="S671" i="61"/>
  <c r="S651" i="61"/>
  <c r="S665" i="61"/>
  <c r="S645" i="61"/>
  <c r="S159" i="69"/>
  <c r="S139" i="69"/>
  <c r="S154" i="69"/>
  <c r="S134" i="69"/>
  <c r="P137" i="78"/>
  <c r="P121" i="79"/>
  <c r="R416" i="37"/>
  <c r="R151" i="27"/>
  <c r="R151" i="78" s="1"/>
  <c r="R151" i="79" s="1"/>
  <c r="T465" i="53"/>
  <c r="T468" i="53"/>
  <c r="T471" i="53"/>
  <c r="T459" i="53"/>
  <c r="T458" i="53"/>
  <c r="T461" i="53"/>
  <c r="T464" i="53"/>
  <c r="T462" i="53"/>
  <c r="T467" i="53"/>
  <c r="T470" i="53"/>
  <c r="T457" i="53"/>
  <c r="T460" i="53"/>
  <c r="T463" i="53"/>
  <c r="T466" i="53"/>
  <c r="T469" i="53"/>
  <c r="T472" i="53"/>
  <c r="R134" i="27"/>
  <c r="R134" i="78" s="1"/>
  <c r="R134" i="79" s="1"/>
  <c r="S204" i="53"/>
  <c r="S184" i="53"/>
  <c r="S201" i="53"/>
  <c r="S181" i="53"/>
  <c r="S176" i="49"/>
  <c r="S156" i="49"/>
  <c r="S168" i="49"/>
  <c r="S148" i="49"/>
  <c r="S182" i="57"/>
  <c r="S162" i="57"/>
  <c r="S188" i="57"/>
  <c r="S168" i="57"/>
  <c r="S232" i="18"/>
  <c r="S212" i="18"/>
  <c r="S111" i="27"/>
  <c r="S111" i="78" s="1"/>
  <c r="S111" i="79" s="1"/>
  <c r="S211" i="18"/>
  <c r="S110" i="27"/>
  <c r="S110" i="78" s="1"/>
  <c r="S110" i="79" s="1"/>
  <c r="S231" i="18"/>
  <c r="S175" i="37"/>
  <c r="S155" i="37"/>
  <c r="S171" i="37"/>
  <c r="S151" i="37"/>
  <c r="S176" i="19"/>
  <c r="S156" i="19"/>
  <c r="S168" i="19"/>
  <c r="S148" i="19"/>
  <c r="S463" i="41"/>
  <c r="S443" i="41"/>
  <c r="S470" i="41"/>
  <c r="S450" i="41"/>
  <c r="S157" i="77"/>
  <c r="S137" i="77"/>
  <c r="S129" i="77"/>
  <c r="S149" i="77"/>
  <c r="S414" i="69"/>
  <c r="S394" i="69"/>
  <c r="S411" i="69"/>
  <c r="S391" i="69"/>
  <c r="S926" i="61"/>
  <c r="S906" i="61"/>
  <c r="S927" i="61"/>
  <c r="S907" i="61"/>
  <c r="S199" i="45"/>
  <c r="S179" i="45"/>
  <c r="S188" i="45"/>
  <c r="S168" i="45"/>
  <c r="S157" i="33"/>
  <c r="S137" i="33"/>
  <c r="S146" i="33"/>
  <c r="S126" i="33"/>
  <c r="R141" i="33"/>
  <c r="R437" i="45"/>
  <c r="R126" i="27"/>
  <c r="R126" i="78" s="1"/>
  <c r="R126" i="79" s="1"/>
  <c r="R403" i="61"/>
  <c r="R166" i="61"/>
  <c r="R278" i="61" s="1"/>
  <c r="R457" i="49"/>
  <c r="R570" i="49" s="1"/>
  <c r="S718" i="19"/>
  <c r="S698" i="19"/>
  <c r="S717" i="19"/>
  <c r="S697" i="19"/>
  <c r="S165" i="61"/>
  <c r="S145" i="61"/>
  <c r="S163" i="61"/>
  <c r="S143" i="61"/>
  <c r="R218" i="18"/>
  <c r="R121" i="27"/>
  <c r="S456" i="49"/>
  <c r="S436" i="49"/>
  <c r="S455" i="49"/>
  <c r="S435" i="49"/>
  <c r="S176" i="41"/>
  <c r="S156" i="41"/>
  <c r="S168" i="41"/>
  <c r="S148" i="41"/>
  <c r="S411" i="61"/>
  <c r="S391" i="61"/>
  <c r="S388" i="61"/>
  <c r="S408" i="61"/>
  <c r="S452" i="19"/>
  <c r="S432" i="19"/>
  <c r="S450" i="19"/>
  <c r="S430" i="19"/>
  <c r="S271" i="75"/>
  <c r="S251" i="75"/>
  <c r="S247" i="75"/>
  <c r="S394" i="75" s="1"/>
  <c r="S273" i="75"/>
  <c r="S253" i="75"/>
  <c r="R182" i="19"/>
  <c r="R294" i="19" s="1"/>
  <c r="R287" i="75"/>
  <c r="R399" i="75" s="1"/>
  <c r="R152" i="27"/>
  <c r="R152" i="78" s="1"/>
  <c r="S505" i="53"/>
  <c r="S485" i="53"/>
  <c r="S507" i="53"/>
  <c r="S487" i="53"/>
  <c r="S221" i="29"/>
  <c r="S201" i="29"/>
  <c r="S219" i="29"/>
  <c r="S199" i="29"/>
  <c r="S435" i="37"/>
  <c r="S415" i="37"/>
  <c r="S431" i="37"/>
  <c r="S411" i="37"/>
  <c r="S444" i="45"/>
  <c r="S424" i="45"/>
  <c r="S448" i="45"/>
  <c r="S428" i="45"/>
  <c r="S683" i="69"/>
  <c r="S663" i="69"/>
  <c r="S680" i="69"/>
  <c r="S660" i="69"/>
  <c r="S470" i="57"/>
  <c r="S450" i="57"/>
  <c r="S472" i="57"/>
  <c r="S452" i="57"/>
  <c r="S676" i="61"/>
  <c r="S656" i="61"/>
  <c r="S662" i="61"/>
  <c r="S638" i="61"/>
  <c r="S785" i="61" s="1"/>
  <c r="S642" i="61"/>
  <c r="S148" i="69"/>
  <c r="S128" i="69"/>
  <c r="S151" i="69"/>
  <c r="S131" i="69"/>
  <c r="R451" i="41"/>
  <c r="R436" i="37"/>
  <c r="R548" i="37" s="1"/>
  <c r="R437" i="19"/>
  <c r="T632" i="69"/>
  <c r="T637" i="69"/>
  <c r="T638" i="69"/>
  <c r="T636" i="69"/>
  <c r="T640" i="69"/>
  <c r="T633" i="69"/>
  <c r="T639" i="69"/>
  <c r="T642" i="69"/>
  <c r="T631" i="69"/>
  <c r="T628" i="69"/>
  <c r="T629" i="69"/>
  <c r="T635" i="69"/>
  <c r="T634" i="69"/>
  <c r="T630" i="69"/>
  <c r="T641" i="69"/>
  <c r="T643" i="69"/>
  <c r="T380" i="61"/>
  <c r="T368" i="61"/>
  <c r="T370" i="61"/>
  <c r="T373" i="61"/>
  <c r="T369" i="61"/>
  <c r="T371" i="61"/>
  <c r="T374" i="61"/>
  <c r="T372" i="61"/>
  <c r="T375" i="61"/>
  <c r="T378" i="61"/>
  <c r="T381" i="61"/>
  <c r="T367" i="61"/>
  <c r="T377" i="61"/>
  <c r="T379" i="61"/>
  <c r="T382" i="61"/>
  <c r="T376" i="61"/>
  <c r="T623" i="61"/>
  <c r="T637" i="61"/>
  <c r="T634" i="61"/>
  <c r="T627" i="61"/>
  <c r="T630" i="61"/>
  <c r="T633" i="61"/>
  <c r="T628" i="61"/>
  <c r="T631" i="61"/>
  <c r="T624" i="61"/>
  <c r="T635" i="61"/>
  <c r="T636" i="61"/>
  <c r="T629" i="61"/>
  <c r="T632" i="61"/>
  <c r="T626" i="61"/>
  <c r="T622" i="61"/>
  <c r="T625" i="61"/>
  <c r="T406" i="45"/>
  <c r="T404" i="45"/>
  <c r="T414" i="45"/>
  <c r="T412" i="45"/>
  <c r="T415" i="45"/>
  <c r="T403" i="45"/>
  <c r="T405" i="45"/>
  <c r="T409" i="45"/>
  <c r="T416" i="45"/>
  <c r="T401" i="45"/>
  <c r="T413" i="45"/>
  <c r="T402" i="45"/>
  <c r="T407" i="45"/>
  <c r="T410" i="45"/>
  <c r="T408" i="45"/>
  <c r="T411" i="45"/>
  <c r="T115" i="61"/>
  <c r="T111" i="61"/>
  <c r="T116" i="61"/>
  <c r="T121" i="61"/>
  <c r="T122" i="61"/>
  <c r="T125" i="61"/>
  <c r="T118" i="61"/>
  <c r="T120" i="61"/>
  <c r="T123" i="61"/>
  <c r="T119" i="61"/>
  <c r="T110" i="61"/>
  <c r="T124" i="61"/>
  <c r="T113" i="61"/>
  <c r="T114" i="61"/>
  <c r="T117" i="61"/>
  <c r="T112" i="61"/>
  <c r="T881" i="61"/>
  <c r="T879" i="61"/>
  <c r="T883" i="61"/>
  <c r="T878" i="61"/>
  <c r="T880" i="61"/>
  <c r="T890" i="61"/>
  <c r="T889" i="61"/>
  <c r="T887" i="61"/>
  <c r="T877" i="61"/>
  <c r="T891" i="61"/>
  <c r="T886" i="61"/>
  <c r="T884" i="61"/>
  <c r="T888" i="61"/>
  <c r="T885" i="61"/>
  <c r="T892" i="61"/>
  <c r="T882" i="61"/>
  <c r="T109" i="69"/>
  <c r="T118" i="69"/>
  <c r="T105" i="69"/>
  <c r="T116" i="69"/>
  <c r="T111" i="69"/>
  <c r="T114" i="69"/>
  <c r="T117" i="69"/>
  <c r="T112" i="69"/>
  <c r="T113" i="69"/>
  <c r="T107" i="69"/>
  <c r="T119" i="69"/>
  <c r="T110" i="69"/>
  <c r="T106" i="69"/>
  <c r="T108" i="69"/>
  <c r="T120" i="69"/>
  <c r="T115" i="69"/>
  <c r="Q157" i="27"/>
  <c r="Q141" i="78"/>
  <c r="R154" i="27"/>
  <c r="R154" i="78" s="1"/>
  <c r="R154" i="79" s="1"/>
  <c r="S209" i="53"/>
  <c r="S189" i="53"/>
  <c r="S195" i="53"/>
  <c r="S175" i="53"/>
  <c r="S173" i="49"/>
  <c r="S153" i="49"/>
  <c r="S172" i="49"/>
  <c r="S152" i="49"/>
  <c r="S194" i="57"/>
  <c r="S174" i="57"/>
  <c r="S180" i="57"/>
  <c r="S160" i="57"/>
  <c r="S156" i="57"/>
  <c r="S303" i="57" s="1"/>
  <c r="R161" i="69"/>
  <c r="R273" i="69" s="1"/>
  <c r="R478" i="57"/>
  <c r="R591" i="57" s="1"/>
  <c r="S222" i="18"/>
  <c r="S202" i="18"/>
  <c r="S198" i="18"/>
  <c r="S345" i="18" s="1"/>
  <c r="S101" i="27"/>
  <c r="S229" i="18"/>
  <c r="S209" i="18"/>
  <c r="S108" i="27"/>
  <c r="S108" i="78" s="1"/>
  <c r="S108" i="79" s="1"/>
  <c r="S158" i="37"/>
  <c r="S178" i="37"/>
  <c r="S172" i="37"/>
  <c r="S152" i="37"/>
  <c r="S181" i="19"/>
  <c r="S161" i="19"/>
  <c r="S173" i="19"/>
  <c r="S153" i="19"/>
  <c r="S465" i="41"/>
  <c r="S445" i="41"/>
  <c r="S457" i="41"/>
  <c r="S437" i="41"/>
  <c r="S147" i="77"/>
  <c r="S127" i="77"/>
  <c r="S151" i="77"/>
  <c r="S131" i="77"/>
  <c r="S413" i="69"/>
  <c r="S393" i="69"/>
  <c r="S405" i="69"/>
  <c r="S385" i="69"/>
  <c r="S922" i="61"/>
  <c r="S902" i="61"/>
  <c r="S929" i="61"/>
  <c r="S909" i="61"/>
  <c r="S189" i="45"/>
  <c r="S169" i="45"/>
  <c r="S200" i="45"/>
  <c r="S180" i="45"/>
  <c r="S154" i="33"/>
  <c r="S134" i="33"/>
  <c r="S155" i="33"/>
  <c r="S135" i="33"/>
  <c r="R161" i="33"/>
  <c r="R274" i="33" s="1"/>
  <c r="R146" i="27"/>
  <c r="R146" i="78" s="1"/>
  <c r="R423" i="61"/>
  <c r="R535" i="61" s="1"/>
  <c r="S725" i="19"/>
  <c r="S705" i="19"/>
  <c r="S726" i="19"/>
  <c r="S706" i="19"/>
  <c r="S144" i="61"/>
  <c r="S164" i="61"/>
  <c r="S151" i="61"/>
  <c r="S131" i="61"/>
  <c r="R712" i="19"/>
  <c r="R190" i="53"/>
  <c r="S434" i="49"/>
  <c r="S454" i="49"/>
  <c r="S443" i="49"/>
  <c r="S423" i="49"/>
  <c r="S173" i="41"/>
  <c r="S153" i="41"/>
  <c r="S181" i="41"/>
  <c r="S161" i="41"/>
  <c r="S417" i="61"/>
  <c r="S397" i="61"/>
  <c r="S410" i="61"/>
  <c r="S390" i="61"/>
  <c r="S449" i="19"/>
  <c r="S429" i="19"/>
  <c r="S444" i="19"/>
  <c r="S424" i="19"/>
  <c r="S284" i="75"/>
  <c r="S264" i="75"/>
  <c r="S277" i="75"/>
  <c r="S257" i="75"/>
  <c r="S512" i="53"/>
  <c r="S492" i="53"/>
  <c r="S504" i="53"/>
  <c r="S484" i="53"/>
  <c r="S222" i="29"/>
  <c r="S202" i="29"/>
  <c r="S229" i="29"/>
  <c r="S209" i="29"/>
  <c r="S432" i="37"/>
  <c r="S412" i="37"/>
  <c r="S428" i="37"/>
  <c r="S408" i="37"/>
  <c r="S452" i="45"/>
  <c r="S432" i="45"/>
  <c r="S447" i="45"/>
  <c r="S427" i="45"/>
  <c r="S671" i="69"/>
  <c r="S651" i="69"/>
  <c r="S670" i="69"/>
  <c r="S650" i="69"/>
  <c r="S477" i="57"/>
  <c r="S457" i="57"/>
  <c r="S469" i="57"/>
  <c r="S449" i="57"/>
  <c r="S673" i="61"/>
  <c r="S653" i="61"/>
  <c r="S669" i="61"/>
  <c r="S649" i="61"/>
  <c r="S157" i="69"/>
  <c r="S137" i="69"/>
  <c r="S146" i="69"/>
  <c r="S126" i="69"/>
  <c r="R471" i="41"/>
  <c r="R583" i="41" s="1"/>
  <c r="R457" i="19"/>
  <c r="R570" i="19" s="1"/>
  <c r="R130" i="27"/>
  <c r="R130" i="78" s="1"/>
  <c r="R130" i="79" s="1"/>
  <c r="T129" i="37"/>
  <c r="T132" i="37"/>
  <c r="T141" i="37"/>
  <c r="T130" i="37"/>
  <c r="T137" i="37"/>
  <c r="T140" i="37"/>
  <c r="T138" i="37"/>
  <c r="T139" i="37"/>
  <c r="T128" i="37"/>
  <c r="T127" i="37"/>
  <c r="T135" i="37"/>
  <c r="T131" i="37"/>
  <c r="T133" i="37"/>
  <c r="T136" i="37"/>
  <c r="T134" i="37"/>
  <c r="T126" i="37"/>
  <c r="T117" i="77"/>
  <c r="T106" i="77"/>
  <c r="T112" i="77"/>
  <c r="T118" i="77"/>
  <c r="T116" i="77"/>
  <c r="T120" i="77"/>
  <c r="T114" i="77"/>
  <c r="T111" i="77"/>
  <c r="T115" i="77"/>
  <c r="T107" i="77"/>
  <c r="T108" i="77"/>
  <c r="T110" i="77"/>
  <c r="T113" i="77"/>
  <c r="T119" i="77"/>
  <c r="T105" i="77"/>
  <c r="T109" i="77"/>
  <c r="R913" i="61"/>
  <c r="R153" i="27"/>
  <c r="R153" i="78" s="1"/>
  <c r="R153" i="79" s="1"/>
  <c r="S203" i="53"/>
  <c r="S183" i="53"/>
  <c r="S194" i="53"/>
  <c r="S174" i="53"/>
  <c r="S170" i="53"/>
  <c r="S317" i="53" s="1"/>
  <c r="S170" i="49"/>
  <c r="S150" i="49"/>
  <c r="S169" i="49"/>
  <c r="S149" i="49"/>
  <c r="S189" i="57"/>
  <c r="S169" i="57"/>
  <c r="S184" i="57"/>
  <c r="S164" i="57"/>
  <c r="R141" i="69"/>
  <c r="R458" i="57"/>
  <c r="R122" i="27"/>
  <c r="R122" i="78" s="1"/>
  <c r="R122" i="79" s="1"/>
  <c r="S228" i="18"/>
  <c r="S208" i="18"/>
  <c r="S107" i="27"/>
  <c r="S107" i="78" s="1"/>
  <c r="S107" i="79" s="1"/>
  <c r="S226" i="18"/>
  <c r="S206" i="18"/>
  <c r="S105" i="27"/>
  <c r="S105" i="78" s="1"/>
  <c r="S105" i="79" s="1"/>
  <c r="S168" i="37"/>
  <c r="S148" i="37"/>
  <c r="S179" i="37"/>
  <c r="S159" i="37"/>
  <c r="S178" i="19"/>
  <c r="S158" i="19"/>
  <c r="S170" i="19"/>
  <c r="S150" i="19"/>
  <c r="R124" i="27"/>
  <c r="R124" i="78" s="1"/>
  <c r="R124" i="79" s="1"/>
  <c r="S464" i="41"/>
  <c r="S444" i="41"/>
  <c r="S458" i="41"/>
  <c r="S438" i="41"/>
  <c r="S146" i="77"/>
  <c r="S126" i="77"/>
  <c r="S150" i="77"/>
  <c r="S130" i="77"/>
  <c r="S408" i="69"/>
  <c r="S388" i="69"/>
  <c r="S407" i="69"/>
  <c r="S387" i="69"/>
  <c r="S932" i="61"/>
  <c r="S912" i="61"/>
  <c r="S924" i="61"/>
  <c r="S904" i="61"/>
  <c r="S193" i="45"/>
  <c r="S173" i="45"/>
  <c r="S195" i="45"/>
  <c r="S175" i="45"/>
  <c r="S159" i="33"/>
  <c r="S139" i="33"/>
  <c r="S151" i="33"/>
  <c r="S131" i="33"/>
  <c r="R211" i="29"/>
  <c r="R161" i="77"/>
  <c r="R273" i="77" s="1"/>
  <c r="R136" i="27"/>
  <c r="R136" i="78" s="1"/>
  <c r="R136" i="79" s="1"/>
  <c r="S723" i="19"/>
  <c r="S703" i="19"/>
  <c r="S722" i="19"/>
  <c r="S702" i="19"/>
  <c r="S150" i="61"/>
  <c r="S130" i="61"/>
  <c r="S126" i="61"/>
  <c r="S273" i="61" s="1"/>
  <c r="S153" i="61"/>
  <c r="S133" i="61"/>
  <c r="R732" i="19"/>
  <c r="R845" i="19" s="1"/>
  <c r="R135" i="27"/>
  <c r="R135" i="78" s="1"/>
  <c r="R135" i="79" s="1"/>
  <c r="R210" i="53"/>
  <c r="R322" i="53" s="1"/>
  <c r="S441" i="49"/>
  <c r="S421" i="49"/>
  <c r="S417" i="49"/>
  <c r="S564" i="49" s="1"/>
  <c r="S453" i="49"/>
  <c r="S433" i="49"/>
  <c r="S170" i="41"/>
  <c r="S150" i="41"/>
  <c r="S178" i="41"/>
  <c r="S158" i="41"/>
  <c r="S414" i="61"/>
  <c r="S394" i="61"/>
  <c r="S407" i="61"/>
  <c r="S387" i="61"/>
  <c r="S383" i="61"/>
  <c r="S530" i="61" s="1"/>
  <c r="S451" i="19"/>
  <c r="S431" i="19"/>
  <c r="S441" i="19"/>
  <c r="S421" i="19"/>
  <c r="S417" i="19"/>
  <c r="S564" i="19" s="1"/>
  <c r="S281" i="75"/>
  <c r="S261" i="75"/>
  <c r="S275" i="75"/>
  <c r="S255" i="75"/>
  <c r="R162" i="49"/>
  <c r="S509" i="53"/>
  <c r="S489" i="53"/>
  <c r="S501" i="53"/>
  <c r="S481" i="53"/>
  <c r="S215" i="29"/>
  <c r="S195" i="29"/>
  <c r="S191" i="29"/>
  <c r="S338" i="29" s="1"/>
  <c r="S218" i="29"/>
  <c r="S198" i="29"/>
  <c r="S433" i="37"/>
  <c r="S413" i="37"/>
  <c r="S425" i="37"/>
  <c r="S405" i="37"/>
  <c r="S451" i="45"/>
  <c r="S431" i="45"/>
  <c r="S449" i="45"/>
  <c r="S429" i="45"/>
  <c r="S681" i="69"/>
  <c r="S661" i="69"/>
  <c r="S678" i="69"/>
  <c r="S658" i="69"/>
  <c r="S474" i="57"/>
  <c r="S454" i="57"/>
  <c r="S466" i="57"/>
  <c r="S446" i="57"/>
  <c r="S670" i="61"/>
  <c r="S650" i="61"/>
  <c r="S655" i="61"/>
  <c r="S675" i="61"/>
  <c r="S147" i="69"/>
  <c r="S127" i="69"/>
  <c r="S158" i="69"/>
  <c r="S138" i="69"/>
  <c r="P157" i="78"/>
  <c r="P269" i="78" s="1"/>
  <c r="P141" i="79"/>
  <c r="R176" i="57"/>
  <c r="R150" i="27"/>
  <c r="R150" i="78" s="1"/>
  <c r="O264" i="79"/>
  <c r="P264" i="78"/>
  <c r="Q69" i="84"/>
  <c r="N268" i="79"/>
  <c r="O216" i="79"/>
  <c r="Q204" i="79"/>
  <c r="Q210" i="79"/>
  <c r="Q205" i="79"/>
  <c r="Q212" i="79"/>
  <c r="P202" i="79"/>
  <c r="Q203" i="79"/>
  <c r="Q209" i="79"/>
  <c r="Q206" i="79"/>
  <c r="Q207" i="79"/>
  <c r="Q208" i="79"/>
  <c r="R252" i="27"/>
  <c r="S243" i="27"/>
  <c r="S245" i="27"/>
  <c r="S246" i="27"/>
  <c r="S244" i="27"/>
  <c r="S247" i="27"/>
  <c r="S242" i="27"/>
  <c r="S241" i="27"/>
  <c r="R202" i="27"/>
  <c r="S191" i="27"/>
  <c r="S191" i="78" s="1"/>
  <c r="S195" i="27"/>
  <c r="S195" i="78" s="1"/>
  <c r="S194" i="27"/>
  <c r="S194" i="78" s="1"/>
  <c r="S186" i="27"/>
  <c r="S186" i="78" s="1"/>
  <c r="S190" i="27"/>
  <c r="S190" i="78" s="1"/>
  <c r="S193" i="27"/>
  <c r="S193" i="78" s="1"/>
  <c r="S188" i="27"/>
  <c r="S188" i="78" s="1"/>
  <c r="S192" i="27"/>
  <c r="S192" i="78" s="1"/>
  <c r="S185" i="27"/>
  <c r="S185" i="78" s="1"/>
  <c r="S197" i="27"/>
  <c r="S197" i="78" s="1"/>
  <c r="S189" i="27"/>
  <c r="S189" i="78" s="1"/>
  <c r="S187" i="27"/>
  <c r="S187" i="78" s="1"/>
  <c r="S184" i="27"/>
  <c r="S184" i="78" s="1"/>
  <c r="S196" i="27"/>
  <c r="S196" i="78" s="1"/>
  <c r="S71" i="79"/>
  <c r="S71" i="78"/>
  <c r="S69" i="78"/>
  <c r="S69" i="79"/>
  <c r="S94" i="27"/>
  <c r="S66" i="78"/>
  <c r="S66" i="79"/>
  <c r="S75" i="78"/>
  <c r="S75" i="79"/>
  <c r="R94" i="78"/>
  <c r="S70" i="78"/>
  <c r="S70" i="79"/>
  <c r="S79" i="78"/>
  <c r="S79" i="79"/>
  <c r="S86" i="79"/>
  <c r="S86" i="78"/>
  <c r="S85" i="79"/>
  <c r="S85" i="78"/>
  <c r="S92" i="78"/>
  <c r="S92" i="79"/>
  <c r="S82" i="79"/>
  <c r="S82" i="78"/>
  <c r="S89" i="79"/>
  <c r="S89" i="78"/>
  <c r="S84" i="79"/>
  <c r="S84" i="78"/>
  <c r="S67" i="78"/>
  <c r="S67" i="79"/>
  <c r="S73" i="78"/>
  <c r="S73" i="79"/>
  <c r="S77" i="79"/>
  <c r="S77" i="78"/>
  <c r="S72" i="78"/>
  <c r="S72" i="79"/>
  <c r="S91" i="78"/>
  <c r="S91" i="79"/>
  <c r="S80" i="78"/>
  <c r="S80" i="79"/>
  <c r="S81" i="78"/>
  <c r="S81" i="79"/>
  <c r="S76" i="79"/>
  <c r="S76" i="78"/>
  <c r="S90" i="79"/>
  <c r="S90" i="78"/>
  <c r="S68" i="78"/>
  <c r="S68" i="79"/>
  <c r="S74" i="78"/>
  <c r="S74" i="79"/>
  <c r="S87" i="79"/>
  <c r="S87" i="78"/>
  <c r="S83" i="78"/>
  <c r="S83" i="79"/>
  <c r="S88" i="79"/>
  <c r="S88" i="78"/>
  <c r="S78" i="79"/>
  <c r="S78" i="78"/>
  <c r="R94" i="79"/>
  <c r="T450" i="53"/>
  <c r="T81" i="27" s="1"/>
  <c r="T597" i="53"/>
  <c r="T542" i="53"/>
  <c r="T560" i="53" s="1"/>
  <c r="T545" i="53"/>
  <c r="T563" i="53" s="1"/>
  <c r="T551" i="53"/>
  <c r="T569" i="53" s="1"/>
  <c r="T549" i="53"/>
  <c r="T567" i="53" s="1"/>
  <c r="T547" i="53"/>
  <c r="T565" i="53" s="1"/>
  <c r="T601" i="53"/>
  <c r="T612" i="53" s="1"/>
  <c r="T599" i="53"/>
  <c r="T610" i="53" s="1"/>
  <c r="T550" i="53"/>
  <c r="T568" i="53" s="1"/>
  <c r="T553" i="53"/>
  <c r="T571" i="53" s="1"/>
  <c r="T598" i="53"/>
  <c r="T609" i="53" s="1"/>
  <c r="T600" i="53"/>
  <c r="T611" i="53" s="1"/>
  <c r="T540" i="53"/>
  <c r="T543" i="53"/>
  <c r="T561" i="53" s="1"/>
  <c r="T541" i="53"/>
  <c r="T559" i="53" s="1"/>
  <c r="T602" i="53"/>
  <c r="T613" i="53" s="1"/>
  <c r="T546" i="53"/>
  <c r="T564" i="53" s="1"/>
  <c r="T603" i="53"/>
  <c r="T614" i="53" s="1"/>
  <c r="T544" i="53"/>
  <c r="T562" i="53" s="1"/>
  <c r="T552" i="53"/>
  <c r="T570" i="53" s="1"/>
  <c r="T548" i="53"/>
  <c r="T566" i="53" s="1"/>
  <c r="T147" i="53"/>
  <c r="T80" i="27" s="1"/>
  <c r="T249" i="53"/>
  <c r="T267" i="53" s="1"/>
  <c r="T297" i="53"/>
  <c r="T308" i="53" s="1"/>
  <c r="T242" i="53"/>
  <c r="T260" i="53" s="1"/>
  <c r="T295" i="53"/>
  <c r="T306" i="53" s="1"/>
  <c r="T299" i="53"/>
  <c r="T310" i="53" s="1"/>
  <c r="T237" i="53"/>
  <c r="T248" i="53"/>
  <c r="T266" i="53" s="1"/>
  <c r="T246" i="53"/>
  <c r="T264" i="53" s="1"/>
  <c r="T239" i="53"/>
  <c r="T257" i="53" s="1"/>
  <c r="T296" i="53"/>
  <c r="T307" i="53" s="1"/>
  <c r="T294" i="53"/>
  <c r="T245" i="53"/>
  <c r="T263" i="53" s="1"/>
  <c r="T298" i="53"/>
  <c r="T309" i="53" s="1"/>
  <c r="T243" i="53"/>
  <c r="T261" i="53" s="1"/>
  <c r="T244" i="53"/>
  <c r="T262" i="53" s="1"/>
  <c r="T247" i="53"/>
  <c r="T265" i="53" s="1"/>
  <c r="T300" i="53"/>
  <c r="T311" i="53" s="1"/>
  <c r="T241" i="53"/>
  <c r="T259" i="53" s="1"/>
  <c r="T240" i="53"/>
  <c r="T258" i="53" s="1"/>
  <c r="T238" i="53"/>
  <c r="T256" i="53" s="1"/>
  <c r="T250" i="53"/>
  <c r="T268" i="53" s="1"/>
  <c r="T394" i="49"/>
  <c r="T79" i="27" s="1"/>
  <c r="T542" i="49"/>
  <c r="T553" i="49" s="1"/>
  <c r="T496" i="49"/>
  <c r="T514" i="49" s="1"/>
  <c r="T495" i="49"/>
  <c r="T513" i="49" s="1"/>
  <c r="T485" i="49"/>
  <c r="T503" i="49" s="1"/>
  <c r="T486" i="49"/>
  <c r="T504" i="49" s="1"/>
  <c r="T489" i="49"/>
  <c r="T507" i="49" s="1"/>
  <c r="T492" i="49"/>
  <c r="T510" i="49" s="1"/>
  <c r="T546" i="49"/>
  <c r="T557" i="49" s="1"/>
  <c r="T493" i="49"/>
  <c r="T511" i="49" s="1"/>
  <c r="T491" i="49"/>
  <c r="T509" i="49" s="1"/>
  <c r="T494" i="49"/>
  <c r="T512" i="49" s="1"/>
  <c r="T497" i="49"/>
  <c r="T515" i="49" s="1"/>
  <c r="T490" i="49"/>
  <c r="T508" i="49" s="1"/>
  <c r="T547" i="49"/>
  <c r="T558" i="49" s="1"/>
  <c r="T545" i="49"/>
  <c r="T556" i="49" s="1"/>
  <c r="T543" i="49"/>
  <c r="T554" i="49" s="1"/>
  <c r="T488" i="49"/>
  <c r="T506" i="49" s="1"/>
  <c r="T487" i="49"/>
  <c r="T505" i="49" s="1"/>
  <c r="T541" i="49"/>
  <c r="T484" i="49"/>
  <c r="T544" i="49"/>
  <c r="T555" i="49" s="1"/>
  <c r="T119" i="49"/>
  <c r="T78" i="27" s="1"/>
  <c r="T267" i="49"/>
  <c r="T278" i="49" s="1"/>
  <c r="T221" i="49"/>
  <c r="T239" i="49" s="1"/>
  <c r="T220" i="49"/>
  <c r="T238" i="49" s="1"/>
  <c r="T210" i="49"/>
  <c r="T228" i="49" s="1"/>
  <c r="T211" i="49"/>
  <c r="T229" i="49" s="1"/>
  <c r="T214" i="49"/>
  <c r="T232" i="49" s="1"/>
  <c r="T217" i="49"/>
  <c r="T235" i="49" s="1"/>
  <c r="T271" i="49"/>
  <c r="T282" i="49" s="1"/>
  <c r="T218" i="49"/>
  <c r="T236" i="49" s="1"/>
  <c r="T216" i="49"/>
  <c r="T234" i="49" s="1"/>
  <c r="T219" i="49"/>
  <c r="T237" i="49" s="1"/>
  <c r="T222" i="49"/>
  <c r="T240" i="49" s="1"/>
  <c r="T215" i="49"/>
  <c r="T233" i="49" s="1"/>
  <c r="T272" i="49"/>
  <c r="T283" i="49" s="1"/>
  <c r="T270" i="49"/>
  <c r="T281" i="49" s="1"/>
  <c r="T268" i="49"/>
  <c r="T279" i="49" s="1"/>
  <c r="T213" i="49"/>
  <c r="T231" i="49" s="1"/>
  <c r="T212" i="49"/>
  <c r="T230" i="49" s="1"/>
  <c r="T266" i="49"/>
  <c r="T209" i="49"/>
  <c r="T269" i="49"/>
  <c r="T280" i="49" s="1"/>
  <c r="T408" i="41"/>
  <c r="T75" i="27" s="1"/>
  <c r="T504" i="41"/>
  <c r="T522" i="41" s="1"/>
  <c r="T502" i="41"/>
  <c r="T520" i="41" s="1"/>
  <c r="T561" i="41"/>
  <c r="T572" i="41" s="1"/>
  <c r="T559" i="41"/>
  <c r="T570" i="41" s="1"/>
  <c r="T498" i="41"/>
  <c r="T509" i="41"/>
  <c r="T527" i="41" s="1"/>
  <c r="T508" i="41"/>
  <c r="T526" i="41" s="1"/>
  <c r="T511" i="41"/>
  <c r="T529" i="41" s="1"/>
  <c r="T558" i="41"/>
  <c r="T569" i="41" s="1"/>
  <c r="T555" i="41"/>
  <c r="T510" i="41"/>
  <c r="T528" i="41" s="1"/>
  <c r="T499" i="41"/>
  <c r="T517" i="41" s="1"/>
  <c r="T560" i="41"/>
  <c r="T571" i="41" s="1"/>
  <c r="T556" i="41"/>
  <c r="T567" i="41" s="1"/>
  <c r="T506" i="41"/>
  <c r="T524" i="41" s="1"/>
  <c r="T557" i="41"/>
  <c r="T568" i="41" s="1"/>
  <c r="T501" i="41"/>
  <c r="T519" i="41" s="1"/>
  <c r="T505" i="41"/>
  <c r="T523" i="41" s="1"/>
  <c r="T500" i="41"/>
  <c r="T518" i="41" s="1"/>
  <c r="T503" i="41"/>
  <c r="T521" i="41" s="1"/>
  <c r="T507" i="41"/>
  <c r="T525" i="41" s="1"/>
  <c r="T119" i="41"/>
  <c r="T74" i="27" s="1"/>
  <c r="T267" i="41"/>
  <c r="T278" i="41" s="1"/>
  <c r="T221" i="41"/>
  <c r="T239" i="41" s="1"/>
  <c r="T220" i="41"/>
  <c r="T238" i="41" s="1"/>
  <c r="T210" i="41"/>
  <c r="T228" i="41" s="1"/>
  <c r="T211" i="41"/>
  <c r="T229" i="41" s="1"/>
  <c r="T214" i="41"/>
  <c r="T232" i="41" s="1"/>
  <c r="T217" i="41"/>
  <c r="T235" i="41" s="1"/>
  <c r="T271" i="41"/>
  <c r="T282" i="41" s="1"/>
  <c r="T218" i="41"/>
  <c r="T236" i="41" s="1"/>
  <c r="T216" i="41"/>
  <c r="T234" i="41" s="1"/>
  <c r="T219" i="41"/>
  <c r="T237" i="41" s="1"/>
  <c r="T222" i="41"/>
  <c r="T240" i="41" s="1"/>
  <c r="T215" i="41"/>
  <c r="T233" i="41" s="1"/>
  <c r="T272" i="41"/>
  <c r="T283" i="41" s="1"/>
  <c r="T270" i="41"/>
  <c r="T281" i="41" s="1"/>
  <c r="T268" i="41"/>
  <c r="T279" i="41" s="1"/>
  <c r="T213" i="41"/>
  <c r="T231" i="41" s="1"/>
  <c r="T212" i="41"/>
  <c r="T230" i="41" s="1"/>
  <c r="T266" i="41"/>
  <c r="T209" i="41"/>
  <c r="T269" i="41"/>
  <c r="T280" i="41" s="1"/>
  <c r="T168" i="29"/>
  <c r="T68" i="27" s="1"/>
  <c r="T262" i="29"/>
  <c r="T280" i="29" s="1"/>
  <c r="T265" i="29"/>
  <c r="T283" i="29" s="1"/>
  <c r="T268" i="29"/>
  <c r="T286" i="29" s="1"/>
  <c r="T269" i="29"/>
  <c r="T287" i="29" s="1"/>
  <c r="T259" i="29"/>
  <c r="T277" i="29" s="1"/>
  <c r="T266" i="29"/>
  <c r="T284" i="29" s="1"/>
  <c r="T321" i="29"/>
  <c r="T332" i="29" s="1"/>
  <c r="T319" i="29"/>
  <c r="T330" i="29" s="1"/>
  <c r="T317" i="29"/>
  <c r="T328" i="29" s="1"/>
  <c r="T318" i="29"/>
  <c r="T329" i="29" s="1"/>
  <c r="T315" i="29"/>
  <c r="T320" i="29"/>
  <c r="T331" i="29" s="1"/>
  <c r="T270" i="29"/>
  <c r="T288" i="29" s="1"/>
  <c r="T316" i="29"/>
  <c r="T327" i="29" s="1"/>
  <c r="T260" i="29"/>
  <c r="T278" i="29" s="1"/>
  <c r="T261" i="29"/>
  <c r="T279" i="29" s="1"/>
  <c r="T264" i="29"/>
  <c r="T282" i="29" s="1"/>
  <c r="T263" i="29"/>
  <c r="T281" i="29" s="1"/>
  <c r="T271" i="29"/>
  <c r="T289" i="29" s="1"/>
  <c r="T258" i="29"/>
  <c r="T267" i="29"/>
  <c r="T285" i="29" s="1"/>
  <c r="T175" i="18"/>
  <c r="T66" i="27" s="1"/>
  <c r="T278" i="18"/>
  <c r="T274" i="18"/>
  <c r="T272" i="18"/>
  <c r="T277" i="18"/>
  <c r="T271" i="18"/>
  <c r="T275" i="18"/>
  <c r="T325" i="18"/>
  <c r="T265" i="18"/>
  <c r="T322" i="18"/>
  <c r="T327" i="18"/>
  <c r="T266" i="18"/>
  <c r="T268" i="18"/>
  <c r="T273" i="18"/>
  <c r="T270" i="18"/>
  <c r="T326" i="18"/>
  <c r="T328" i="18"/>
  <c r="T324" i="18"/>
  <c r="T323" i="18"/>
  <c r="T276" i="18"/>
  <c r="T269" i="18"/>
  <c r="T267" i="18"/>
  <c r="P216" i="78"/>
  <c r="R215" i="78"/>
  <c r="R215" i="79" s="1"/>
  <c r="R214" i="78"/>
  <c r="R214" i="79" s="1"/>
  <c r="R206" i="78"/>
  <c r="R212" i="78"/>
  <c r="R211" i="78"/>
  <c r="R207" i="78"/>
  <c r="R209" i="78"/>
  <c r="R213" i="78"/>
  <c r="R213" i="79" s="1"/>
  <c r="Q202" i="78"/>
  <c r="R204" i="78"/>
  <c r="R203" i="78"/>
  <c r="R205" i="78"/>
  <c r="R208" i="78"/>
  <c r="R210" i="78"/>
  <c r="R192" i="79"/>
  <c r="R185" i="79"/>
  <c r="R187" i="79"/>
  <c r="R188" i="79"/>
  <c r="R194" i="79"/>
  <c r="R193" i="79"/>
  <c r="R196" i="79"/>
  <c r="R197" i="79"/>
  <c r="R189" i="79"/>
  <c r="R195" i="79"/>
  <c r="R191" i="79"/>
  <c r="R190" i="79"/>
  <c r="R186" i="79"/>
  <c r="T711" i="69"/>
  <c r="T721" i="69"/>
  <c r="T739" i="69" s="1"/>
  <c r="T724" i="69"/>
  <c r="T742" i="69" s="1"/>
  <c r="T720" i="69"/>
  <c r="T738" i="69" s="1"/>
  <c r="T723" i="69"/>
  <c r="T741" i="69" s="1"/>
  <c r="T719" i="69"/>
  <c r="T737" i="69" s="1"/>
  <c r="T715" i="69"/>
  <c r="T733" i="69" s="1"/>
  <c r="T717" i="69"/>
  <c r="T735" i="69" s="1"/>
  <c r="T722" i="69"/>
  <c r="T740" i="69" s="1"/>
  <c r="T713" i="69"/>
  <c r="T731" i="69" s="1"/>
  <c r="T716" i="69"/>
  <c r="T734" i="69" s="1"/>
  <c r="T718" i="69"/>
  <c r="T736" i="69" s="1"/>
  <c r="T714" i="69"/>
  <c r="T732" i="69" s="1"/>
  <c r="T712" i="69"/>
  <c r="T730" i="69" s="1"/>
  <c r="T486" i="45"/>
  <c r="T504" i="45" s="1"/>
  <c r="T485" i="45"/>
  <c r="T503" i="45" s="1"/>
  <c r="T489" i="45"/>
  <c r="T507" i="45" s="1"/>
  <c r="T487" i="45"/>
  <c r="T505" i="45" s="1"/>
  <c r="T488" i="45"/>
  <c r="T506" i="45" s="1"/>
  <c r="T484" i="45"/>
  <c r="T491" i="45"/>
  <c r="T509" i="45" s="1"/>
  <c r="T490" i="45"/>
  <c r="T508" i="45" s="1"/>
  <c r="T495" i="45"/>
  <c r="T513" i="45" s="1"/>
  <c r="T493" i="45"/>
  <c r="T511" i="45" s="1"/>
  <c r="T494" i="45"/>
  <c r="T512" i="45" s="1"/>
  <c r="T492" i="45"/>
  <c r="T510" i="45" s="1"/>
  <c r="T496" i="45"/>
  <c r="T514" i="45" s="1"/>
  <c r="T497" i="45"/>
  <c r="T515" i="45" s="1"/>
  <c r="T513" i="57"/>
  <c r="T531" i="57" s="1"/>
  <c r="T506" i="57"/>
  <c r="T524" i="57" s="1"/>
  <c r="T515" i="57"/>
  <c r="T533" i="57" s="1"/>
  <c r="T518" i="57"/>
  <c r="T536" i="57" s="1"/>
  <c r="T509" i="57"/>
  <c r="T527" i="57" s="1"/>
  <c r="T505" i="57"/>
  <c r="T514" i="57"/>
  <c r="T532" i="57" s="1"/>
  <c r="T516" i="57"/>
  <c r="T534" i="57" s="1"/>
  <c r="T517" i="57"/>
  <c r="T535" i="57" s="1"/>
  <c r="T511" i="57"/>
  <c r="T529" i="57" s="1"/>
  <c r="T512" i="57"/>
  <c r="T530" i="57" s="1"/>
  <c r="T508" i="57"/>
  <c r="T526" i="57" s="1"/>
  <c r="T507" i="57"/>
  <c r="T525" i="57" s="1"/>
  <c r="T510" i="57"/>
  <c r="T528" i="57" s="1"/>
  <c r="T966" i="61"/>
  <c r="T984" i="61" s="1"/>
  <c r="T973" i="61"/>
  <c r="T991" i="61" s="1"/>
  <c r="T963" i="61"/>
  <c r="T981" i="61" s="1"/>
  <c r="T972" i="61"/>
  <c r="T990" i="61" s="1"/>
  <c r="T961" i="61"/>
  <c r="T979" i="61" s="1"/>
  <c r="T960" i="61"/>
  <c r="T970" i="61"/>
  <c r="T988" i="61" s="1"/>
  <c r="T967" i="61"/>
  <c r="T985" i="61" s="1"/>
  <c r="T965" i="61"/>
  <c r="T983" i="61" s="1"/>
  <c r="T968" i="61"/>
  <c r="T986" i="61" s="1"/>
  <c r="T964" i="61"/>
  <c r="T982" i="61" s="1"/>
  <c r="T969" i="61"/>
  <c r="T987" i="61" s="1"/>
  <c r="T962" i="61"/>
  <c r="T980" i="61" s="1"/>
  <c r="T971" i="61"/>
  <c r="T989" i="61" s="1"/>
  <c r="T192" i="33"/>
  <c r="T210" i="33" s="1"/>
  <c r="T199" i="33"/>
  <c r="T217" i="33" s="1"/>
  <c r="T189" i="33"/>
  <c r="T207" i="33" s="1"/>
  <c r="T193" i="33"/>
  <c r="T211" i="33" s="1"/>
  <c r="T196" i="33"/>
  <c r="T214" i="33" s="1"/>
  <c r="T200" i="33"/>
  <c r="T218" i="33" s="1"/>
  <c r="T197" i="33"/>
  <c r="T215" i="33" s="1"/>
  <c r="T190" i="33"/>
  <c r="T208" i="33" s="1"/>
  <c r="T201" i="33"/>
  <c r="T219" i="33" s="1"/>
  <c r="T194" i="33"/>
  <c r="T212" i="33" s="1"/>
  <c r="T191" i="33"/>
  <c r="T209" i="33" s="1"/>
  <c r="T188" i="33"/>
  <c r="T195" i="33"/>
  <c r="T213" i="33" s="1"/>
  <c r="T198" i="33"/>
  <c r="T216" i="33" s="1"/>
  <c r="S516" i="41"/>
  <c r="S530" i="41" s="1"/>
  <c r="S512" i="41"/>
  <c r="S579" i="41" s="1"/>
  <c r="S723" i="61"/>
  <c r="S737" i="61" s="1"/>
  <c r="S719" i="61"/>
  <c r="S786" i="61" s="1"/>
  <c r="S276" i="29"/>
  <c r="S290" i="29" s="1"/>
  <c r="S272" i="29"/>
  <c r="S339" i="29" s="1"/>
  <c r="S237" i="57"/>
  <c r="S304" i="57" s="1"/>
  <c r="S241" i="57"/>
  <c r="S255" i="57" s="1"/>
  <c r="S296" i="18"/>
  <c r="S215" i="27" s="1"/>
  <c r="S328" i="75"/>
  <c r="S395" i="75" s="1"/>
  <c r="S332" i="75"/>
  <c r="S346" i="75" s="1"/>
  <c r="T463" i="37"/>
  <c r="T470" i="37"/>
  <c r="T488" i="37" s="1"/>
  <c r="T474" i="37"/>
  <c r="T492" i="37" s="1"/>
  <c r="T472" i="37"/>
  <c r="T490" i="37" s="1"/>
  <c r="T468" i="37"/>
  <c r="T486" i="37" s="1"/>
  <c r="T471" i="37"/>
  <c r="T489" i="37" s="1"/>
  <c r="T466" i="37"/>
  <c r="T484" i="37" s="1"/>
  <c r="T475" i="37"/>
  <c r="T493" i="37" s="1"/>
  <c r="T465" i="37"/>
  <c r="T483" i="37" s="1"/>
  <c r="T476" i="37"/>
  <c r="T494" i="37" s="1"/>
  <c r="T469" i="37"/>
  <c r="T487" i="37" s="1"/>
  <c r="T473" i="37"/>
  <c r="T491" i="37" s="1"/>
  <c r="T467" i="37"/>
  <c r="T485" i="37" s="1"/>
  <c r="T464" i="37"/>
  <c r="T482" i="37" s="1"/>
  <c r="Q198" i="78"/>
  <c r="Q265" i="78" s="1"/>
  <c r="Q184" i="79"/>
  <c r="S290" i="18"/>
  <c r="S209" i="27" s="1"/>
  <c r="S285" i="18"/>
  <c r="S204" i="27" s="1"/>
  <c r="T220" i="37"/>
  <c r="T238" i="37" s="1"/>
  <c r="T216" i="37"/>
  <c r="T234" i="37" s="1"/>
  <c r="T219" i="37"/>
  <c r="T237" i="37" s="1"/>
  <c r="T214" i="37"/>
  <c r="T232" i="37" s="1"/>
  <c r="T221" i="37"/>
  <c r="T239" i="37" s="1"/>
  <c r="T210" i="37"/>
  <c r="T228" i="37" s="1"/>
  <c r="T215" i="37"/>
  <c r="T233" i="37" s="1"/>
  <c r="T212" i="37"/>
  <c r="T230" i="37" s="1"/>
  <c r="T211" i="37"/>
  <c r="T229" i="37" s="1"/>
  <c r="T217" i="37"/>
  <c r="T235" i="37" s="1"/>
  <c r="T209" i="37"/>
  <c r="T222" i="37"/>
  <c r="T240" i="37" s="1"/>
  <c r="T218" i="37"/>
  <c r="T236" i="37" s="1"/>
  <c r="T213" i="37"/>
  <c r="T231" i="37" s="1"/>
  <c r="T458" i="61"/>
  <c r="T476" i="61" s="1"/>
  <c r="T459" i="61"/>
  <c r="T477" i="61" s="1"/>
  <c r="T457" i="61"/>
  <c r="T475" i="61" s="1"/>
  <c r="T456" i="61"/>
  <c r="T474" i="61" s="1"/>
  <c r="T455" i="61"/>
  <c r="T473" i="61" s="1"/>
  <c r="T454" i="61"/>
  <c r="T472" i="61" s="1"/>
  <c r="T453" i="61"/>
  <c r="T471" i="61" s="1"/>
  <c r="T450" i="61"/>
  <c r="T451" i="61"/>
  <c r="T469" i="61" s="1"/>
  <c r="T461" i="61"/>
  <c r="T479" i="61" s="1"/>
  <c r="T452" i="61"/>
  <c r="T470" i="61" s="1"/>
  <c r="T462" i="61"/>
  <c r="T480" i="61" s="1"/>
  <c r="T460" i="61"/>
  <c r="T478" i="61" s="1"/>
  <c r="T463" i="61"/>
  <c r="T481" i="61" s="1"/>
  <c r="S206" i="77"/>
  <c r="S220" i="77" s="1"/>
  <c r="S202" i="77"/>
  <c r="S269" i="77" s="1"/>
  <c r="S223" i="41"/>
  <c r="S290" i="41" s="1"/>
  <c r="S227" i="41"/>
  <c r="S241" i="41" s="1"/>
  <c r="S284" i="18"/>
  <c r="S203" i="27" s="1"/>
  <c r="S295" i="18"/>
  <c r="S214" i="27" s="1"/>
  <c r="T199" i="61"/>
  <c r="T217" i="61" s="1"/>
  <c r="T197" i="61"/>
  <c r="T215" i="61" s="1"/>
  <c r="T196" i="61"/>
  <c r="T214" i="61" s="1"/>
  <c r="T204" i="61"/>
  <c r="T222" i="61" s="1"/>
  <c r="T198" i="61"/>
  <c r="T216" i="61" s="1"/>
  <c r="T205" i="61"/>
  <c r="T223" i="61" s="1"/>
  <c r="T194" i="61"/>
  <c r="T212" i="61" s="1"/>
  <c r="T193" i="61"/>
  <c r="T206" i="61"/>
  <c r="T224" i="61" s="1"/>
  <c r="T201" i="61"/>
  <c r="T219" i="61" s="1"/>
  <c r="T200" i="61"/>
  <c r="T218" i="61" s="1"/>
  <c r="T202" i="61"/>
  <c r="T220" i="61" s="1"/>
  <c r="T195" i="61"/>
  <c r="T213" i="61" s="1"/>
  <c r="T203" i="61"/>
  <c r="T221" i="61" s="1"/>
  <c r="T226" i="57"/>
  <c r="T244" i="57" s="1"/>
  <c r="T236" i="57"/>
  <c r="T254" i="57" s="1"/>
  <c r="T233" i="57"/>
  <c r="T251" i="57" s="1"/>
  <c r="T230" i="57"/>
  <c r="T248" i="57" s="1"/>
  <c r="T234" i="57"/>
  <c r="T252" i="57" s="1"/>
  <c r="T224" i="57"/>
  <c r="T242" i="57" s="1"/>
  <c r="T227" i="57"/>
  <c r="T245" i="57" s="1"/>
  <c r="T223" i="57"/>
  <c r="T231" i="57"/>
  <c r="T249" i="57" s="1"/>
  <c r="T228" i="57"/>
  <c r="T246" i="57" s="1"/>
  <c r="T232" i="57"/>
  <c r="T250" i="57" s="1"/>
  <c r="T235" i="57"/>
  <c r="T253" i="57" s="1"/>
  <c r="T225" i="57"/>
  <c r="T243" i="57" s="1"/>
  <c r="T229" i="57"/>
  <c r="T247" i="57" s="1"/>
  <c r="S206" i="69"/>
  <c r="S220" i="69" s="1"/>
  <c r="S202" i="69"/>
  <c r="S269" i="69" s="1"/>
  <c r="S286" i="18"/>
  <c r="S205" i="27" s="1"/>
  <c r="S294" i="18"/>
  <c r="S213" i="27" s="1"/>
  <c r="R198" i="27"/>
  <c r="S464" i="61"/>
  <c r="S531" i="61" s="1"/>
  <c r="S468" i="61"/>
  <c r="S482" i="61" s="1"/>
  <c r="T232" i="45"/>
  <c r="T250" i="45" s="1"/>
  <c r="T242" i="45"/>
  <c r="T260" i="45" s="1"/>
  <c r="T241" i="45"/>
  <c r="T259" i="45" s="1"/>
  <c r="T239" i="45"/>
  <c r="T257" i="45" s="1"/>
  <c r="T230" i="45"/>
  <c r="T240" i="45"/>
  <c r="T258" i="45" s="1"/>
  <c r="T238" i="45"/>
  <c r="T256" i="45" s="1"/>
  <c r="T237" i="45"/>
  <c r="T255" i="45" s="1"/>
  <c r="T235" i="45"/>
  <c r="T253" i="45" s="1"/>
  <c r="T236" i="45"/>
  <c r="T254" i="45" s="1"/>
  <c r="T234" i="45"/>
  <c r="T252" i="45" s="1"/>
  <c r="T233" i="45"/>
  <c r="T251" i="45" s="1"/>
  <c r="T231" i="45"/>
  <c r="T249" i="45" s="1"/>
  <c r="T243" i="45"/>
  <c r="T261" i="45" s="1"/>
  <c r="S227" i="49"/>
  <c r="S241" i="49" s="1"/>
  <c r="S223" i="49"/>
  <c r="S290" i="49" s="1"/>
  <c r="S558" i="53"/>
  <c r="S572" i="53" s="1"/>
  <c r="S554" i="53"/>
  <c r="S621" i="53" s="1"/>
  <c r="S248" i="45"/>
  <c r="S262" i="45" s="1"/>
  <c r="S244" i="45"/>
  <c r="S311" i="45" s="1"/>
  <c r="S289" i="18"/>
  <c r="S208" i="27" s="1"/>
  <c r="S291" i="18"/>
  <c r="S210" i="27" s="1"/>
  <c r="T487" i="19"/>
  <c r="T505" i="19" s="1"/>
  <c r="T485" i="19"/>
  <c r="T503" i="19" s="1"/>
  <c r="T496" i="19"/>
  <c r="T514" i="19" s="1"/>
  <c r="T497" i="19"/>
  <c r="T515" i="19" s="1"/>
  <c r="T495" i="19"/>
  <c r="T513" i="19" s="1"/>
  <c r="T493" i="19"/>
  <c r="T511" i="19" s="1"/>
  <c r="T484" i="19"/>
  <c r="T491" i="19"/>
  <c r="T509" i="19" s="1"/>
  <c r="T488" i="19"/>
  <c r="T506" i="19" s="1"/>
  <c r="T489" i="19"/>
  <c r="T507" i="19" s="1"/>
  <c r="T492" i="19"/>
  <c r="T510" i="19" s="1"/>
  <c r="T486" i="19"/>
  <c r="T504" i="19" s="1"/>
  <c r="T490" i="19"/>
  <c r="T508" i="19" s="1"/>
  <c r="T494" i="19"/>
  <c r="T512" i="19" s="1"/>
  <c r="T760" i="19"/>
  <c r="T778" i="19" s="1"/>
  <c r="T766" i="19"/>
  <c r="T784" i="19" s="1"/>
  <c r="T772" i="19"/>
  <c r="T790" i="19" s="1"/>
  <c r="T767" i="19"/>
  <c r="T785" i="19" s="1"/>
  <c r="T759" i="19"/>
  <c r="T768" i="19"/>
  <c r="T786" i="19" s="1"/>
  <c r="T764" i="19"/>
  <c r="T782" i="19" s="1"/>
  <c r="T770" i="19"/>
  <c r="T788" i="19" s="1"/>
  <c r="T762" i="19"/>
  <c r="T780" i="19" s="1"/>
  <c r="T761" i="19"/>
  <c r="T779" i="19" s="1"/>
  <c r="T769" i="19"/>
  <c r="T787" i="19" s="1"/>
  <c r="T771" i="19"/>
  <c r="T789" i="19" s="1"/>
  <c r="T763" i="19"/>
  <c r="T781" i="19" s="1"/>
  <c r="T765" i="19"/>
  <c r="T783" i="19" s="1"/>
  <c r="T709" i="61"/>
  <c r="T727" i="61" s="1"/>
  <c r="T708" i="61"/>
  <c r="T726" i="61" s="1"/>
  <c r="T706" i="61"/>
  <c r="T724" i="61" s="1"/>
  <c r="T705" i="61"/>
  <c r="T717" i="61"/>
  <c r="T735" i="61" s="1"/>
  <c r="T716" i="61"/>
  <c r="T734" i="61" s="1"/>
  <c r="T714" i="61"/>
  <c r="T732" i="61" s="1"/>
  <c r="T707" i="61"/>
  <c r="T725" i="61" s="1"/>
  <c r="T710" i="61"/>
  <c r="T728" i="61" s="1"/>
  <c r="T713" i="61"/>
  <c r="T731" i="61" s="1"/>
  <c r="T711" i="61"/>
  <c r="T729" i="61" s="1"/>
  <c r="T712" i="61"/>
  <c r="T730" i="61" s="1"/>
  <c r="T715" i="61"/>
  <c r="T733" i="61" s="1"/>
  <c r="T718" i="61"/>
  <c r="T736" i="61" s="1"/>
  <c r="T189" i="77"/>
  <c r="T207" i="77" s="1"/>
  <c r="T199" i="77"/>
  <c r="T217" i="77" s="1"/>
  <c r="T195" i="77"/>
  <c r="T213" i="77" s="1"/>
  <c r="T190" i="77"/>
  <c r="T208" i="77" s="1"/>
  <c r="T193" i="77"/>
  <c r="T211" i="77" s="1"/>
  <c r="T196" i="77"/>
  <c r="T214" i="77" s="1"/>
  <c r="T197" i="77"/>
  <c r="T215" i="77" s="1"/>
  <c r="T200" i="77"/>
  <c r="T218" i="77" s="1"/>
  <c r="T201" i="77"/>
  <c r="T219" i="77" s="1"/>
  <c r="T194" i="77"/>
  <c r="T212" i="77" s="1"/>
  <c r="T198" i="77"/>
  <c r="T216" i="77" s="1"/>
  <c r="T191" i="77"/>
  <c r="T209" i="77" s="1"/>
  <c r="T192" i="77"/>
  <c r="T210" i="77" s="1"/>
  <c r="T188" i="77"/>
  <c r="T444" i="69"/>
  <c r="T462" i="69" s="1"/>
  <c r="T455" i="69"/>
  <c r="T473" i="69" s="1"/>
  <c r="T448" i="69"/>
  <c r="T466" i="69" s="1"/>
  <c r="T451" i="69"/>
  <c r="T469" i="69" s="1"/>
  <c r="T445" i="69"/>
  <c r="T463" i="69" s="1"/>
  <c r="T452" i="69"/>
  <c r="T470" i="69" s="1"/>
  <c r="T449" i="69"/>
  <c r="T467" i="69" s="1"/>
  <c r="T450" i="69"/>
  <c r="T468" i="69" s="1"/>
  <c r="T446" i="69"/>
  <c r="T464" i="69" s="1"/>
  <c r="T456" i="69"/>
  <c r="T474" i="69" s="1"/>
  <c r="T447" i="69"/>
  <c r="T465" i="69" s="1"/>
  <c r="T443" i="69"/>
  <c r="T454" i="69"/>
  <c r="T472" i="69" s="1"/>
  <c r="T453" i="69"/>
  <c r="T471" i="69" s="1"/>
  <c r="S978" i="61"/>
  <c r="S992" i="61" s="1"/>
  <c r="S974" i="61"/>
  <c r="S1041" i="61" s="1"/>
  <c r="S729" i="69"/>
  <c r="S743" i="69" s="1"/>
  <c r="S725" i="69"/>
  <c r="S792" i="69" s="1"/>
  <c r="S206" i="33"/>
  <c r="S220" i="33" s="1"/>
  <c r="S202" i="33"/>
  <c r="S269" i="33" s="1"/>
  <c r="S227" i="19"/>
  <c r="S241" i="19" s="1"/>
  <c r="S223" i="19"/>
  <c r="S290" i="19" s="1"/>
  <c r="S481" i="37"/>
  <c r="S495" i="37" s="1"/>
  <c r="S477" i="37"/>
  <c r="S544" i="37" s="1"/>
  <c r="S283" i="18"/>
  <c r="S279" i="18"/>
  <c r="S346" i="18" s="1"/>
  <c r="S288" i="18"/>
  <c r="S207" i="27" s="1"/>
  <c r="R297" i="18"/>
  <c r="S211" i="61"/>
  <c r="S225" i="61" s="1"/>
  <c r="S207" i="61"/>
  <c r="S274" i="61" s="1"/>
  <c r="S457" i="69"/>
  <c r="S524" i="69" s="1"/>
  <c r="S461" i="69"/>
  <c r="S475" i="69" s="1"/>
  <c r="S502" i="49"/>
  <c r="S516" i="49" s="1"/>
  <c r="S498" i="49"/>
  <c r="S565" i="49" s="1"/>
  <c r="S523" i="57"/>
  <c r="S537" i="57" s="1"/>
  <c r="S519" i="57"/>
  <c r="S586" i="57" s="1"/>
  <c r="S227" i="37"/>
  <c r="S241" i="37" s="1"/>
  <c r="S223" i="37"/>
  <c r="S290" i="37" s="1"/>
  <c r="S292" i="18"/>
  <c r="S211" i="27" s="1"/>
  <c r="S287" i="18"/>
  <c r="S206" i="27" s="1"/>
  <c r="T212" i="19"/>
  <c r="T230" i="19" s="1"/>
  <c r="T209" i="19"/>
  <c r="T216" i="19"/>
  <c r="T234" i="19" s="1"/>
  <c r="T213" i="19"/>
  <c r="T231" i="19" s="1"/>
  <c r="T220" i="19"/>
  <c r="T238" i="19" s="1"/>
  <c r="T210" i="19"/>
  <c r="T228" i="19" s="1"/>
  <c r="T211" i="19"/>
  <c r="T229" i="19" s="1"/>
  <c r="T214" i="19"/>
  <c r="T232" i="19" s="1"/>
  <c r="T217" i="19"/>
  <c r="T235" i="19" s="1"/>
  <c r="T221" i="19"/>
  <c r="T239" i="19" s="1"/>
  <c r="T218" i="19"/>
  <c r="T236" i="19" s="1"/>
  <c r="T219" i="19"/>
  <c r="T237" i="19" s="1"/>
  <c r="T222" i="19"/>
  <c r="T240" i="19" s="1"/>
  <c r="T215" i="19"/>
  <c r="T233" i="19" s="1"/>
  <c r="T321" i="75"/>
  <c r="T339" i="75" s="1"/>
  <c r="T324" i="75"/>
  <c r="T342" i="75" s="1"/>
  <c r="T325" i="75"/>
  <c r="T343" i="75" s="1"/>
  <c r="T314" i="75"/>
  <c r="T318" i="75"/>
  <c r="T336" i="75" s="1"/>
  <c r="T320" i="75"/>
  <c r="T338" i="75" s="1"/>
  <c r="T322" i="75"/>
  <c r="T340" i="75" s="1"/>
  <c r="T326" i="75"/>
  <c r="T344" i="75" s="1"/>
  <c r="T316" i="75"/>
  <c r="T334" i="75" s="1"/>
  <c r="T323" i="75"/>
  <c r="T341" i="75" s="1"/>
  <c r="T317" i="75"/>
  <c r="T335" i="75" s="1"/>
  <c r="T319" i="75"/>
  <c r="T337" i="75" s="1"/>
  <c r="T315" i="75"/>
  <c r="T333" i="75" s="1"/>
  <c r="T327" i="75"/>
  <c r="T345" i="75" s="1"/>
  <c r="T201" i="69"/>
  <c r="T219" i="69" s="1"/>
  <c r="T189" i="69"/>
  <c r="T207" i="69" s="1"/>
  <c r="T192" i="69"/>
  <c r="T210" i="69" s="1"/>
  <c r="T188" i="69"/>
  <c r="T196" i="69"/>
  <c r="T214" i="69" s="1"/>
  <c r="T197" i="69"/>
  <c r="T215" i="69" s="1"/>
  <c r="T198" i="69"/>
  <c r="T216" i="69" s="1"/>
  <c r="T191" i="69"/>
  <c r="T209" i="69" s="1"/>
  <c r="T193" i="69"/>
  <c r="T211" i="69" s="1"/>
  <c r="T190" i="69"/>
  <c r="T208" i="69" s="1"/>
  <c r="T200" i="69"/>
  <c r="T218" i="69" s="1"/>
  <c r="T194" i="69"/>
  <c r="T212" i="69" s="1"/>
  <c r="T199" i="69"/>
  <c r="T217" i="69" s="1"/>
  <c r="T195" i="69"/>
  <c r="T213" i="69" s="1"/>
  <c r="S502" i="45"/>
  <c r="S516" i="45" s="1"/>
  <c r="S498" i="45"/>
  <c r="S565" i="45" s="1"/>
  <c r="Q216" i="27"/>
  <c r="S773" i="19"/>
  <c r="S840" i="19" s="1"/>
  <c r="S777" i="19"/>
  <c r="S791" i="19" s="1"/>
  <c r="S293" i="18"/>
  <c r="S212" i="27" s="1"/>
  <c r="S255" i="53"/>
  <c r="S269" i="53" s="1"/>
  <c r="S251" i="53"/>
  <c r="S318" i="53" s="1"/>
  <c r="S502" i="19"/>
  <c r="S516" i="19" s="1"/>
  <c r="S498" i="19"/>
  <c r="S565" i="19" s="1"/>
  <c r="T98" i="69"/>
  <c r="T88" i="27" s="1"/>
  <c r="T246" i="69"/>
  <c r="T257" i="69" s="1"/>
  <c r="T250" i="69"/>
  <c r="T261" i="69" s="1"/>
  <c r="T251" i="69"/>
  <c r="T262" i="69" s="1"/>
  <c r="T248" i="69"/>
  <c r="T259" i="69" s="1"/>
  <c r="T245" i="69"/>
  <c r="T249" i="69"/>
  <c r="T260" i="69" s="1"/>
  <c r="T247" i="69"/>
  <c r="T258" i="69" s="1"/>
  <c r="T353" i="69"/>
  <c r="T89" i="27" s="1"/>
  <c r="T503" i="69"/>
  <c r="T514" i="69" s="1"/>
  <c r="T505" i="69"/>
  <c r="T516" i="69" s="1"/>
  <c r="T502" i="69"/>
  <c r="T513" i="69" s="1"/>
  <c r="T501" i="69"/>
  <c r="T512" i="69" s="1"/>
  <c r="T504" i="69"/>
  <c r="T515" i="69" s="1"/>
  <c r="T506" i="69"/>
  <c r="T517" i="69" s="1"/>
  <c r="T500" i="69"/>
  <c r="T541" i="45"/>
  <c r="T543" i="45"/>
  <c r="T554" i="45" s="1"/>
  <c r="T545" i="45"/>
  <c r="T556" i="45" s="1"/>
  <c r="T547" i="45"/>
  <c r="T558" i="45" s="1"/>
  <c r="T546" i="45"/>
  <c r="T557" i="45" s="1"/>
  <c r="T544" i="45"/>
  <c r="T555" i="45" s="1"/>
  <c r="T542" i="45"/>
  <c r="T553" i="45" s="1"/>
  <c r="T283" i="57"/>
  <c r="T294" i="57" s="1"/>
  <c r="T281" i="57"/>
  <c r="T292" i="57" s="1"/>
  <c r="T285" i="57"/>
  <c r="T296" i="57" s="1"/>
  <c r="T280" i="57"/>
  <c r="T282" i="57"/>
  <c r="T293" i="57" s="1"/>
  <c r="T284" i="57"/>
  <c r="T295" i="57" s="1"/>
  <c r="T286" i="57"/>
  <c r="T297" i="57" s="1"/>
  <c r="T267" i="19"/>
  <c r="T278" i="19" s="1"/>
  <c r="T271" i="19"/>
  <c r="T282" i="19" s="1"/>
  <c r="T272" i="19"/>
  <c r="T283" i="19" s="1"/>
  <c r="T269" i="19"/>
  <c r="T280" i="19" s="1"/>
  <c r="T268" i="19"/>
  <c r="T279" i="19" s="1"/>
  <c r="T266" i="19"/>
  <c r="T270" i="19"/>
  <c r="T281" i="19" s="1"/>
  <c r="T544" i="19"/>
  <c r="T555" i="19" s="1"/>
  <c r="T545" i="19"/>
  <c r="T556" i="19" s="1"/>
  <c r="T542" i="19"/>
  <c r="T553" i="19" s="1"/>
  <c r="T541" i="19"/>
  <c r="T546" i="19"/>
  <c r="T557" i="19" s="1"/>
  <c r="T543" i="19"/>
  <c r="T554" i="19" s="1"/>
  <c r="T547" i="19"/>
  <c r="T558" i="19" s="1"/>
  <c r="T268" i="37"/>
  <c r="T279" i="37" s="1"/>
  <c r="T270" i="37"/>
  <c r="T281" i="37" s="1"/>
  <c r="T266" i="37"/>
  <c r="T272" i="37"/>
  <c r="T283" i="37" s="1"/>
  <c r="T269" i="37"/>
  <c r="T280" i="37" s="1"/>
  <c r="T267" i="37"/>
  <c r="T278" i="37" s="1"/>
  <c r="T271" i="37"/>
  <c r="T282" i="37" s="1"/>
  <c r="T774" i="69"/>
  <c r="T785" i="69" s="1"/>
  <c r="T772" i="69"/>
  <c r="T783" i="69" s="1"/>
  <c r="T773" i="69"/>
  <c r="T784" i="69" s="1"/>
  <c r="T771" i="69"/>
  <c r="T782" i="69" s="1"/>
  <c r="T769" i="69"/>
  <c r="T780" i="69" s="1"/>
  <c r="T768" i="69"/>
  <c r="T770" i="69"/>
  <c r="T781" i="69" s="1"/>
  <c r="T513" i="61"/>
  <c r="T524" i="61" s="1"/>
  <c r="T507" i="61"/>
  <c r="T512" i="61"/>
  <c r="T523" i="61" s="1"/>
  <c r="T510" i="61"/>
  <c r="T521" i="61" s="1"/>
  <c r="T511" i="61"/>
  <c r="T522" i="61" s="1"/>
  <c r="T509" i="61"/>
  <c r="T520" i="61" s="1"/>
  <c r="T508" i="61"/>
  <c r="T519" i="61" s="1"/>
  <c r="T763" i="61"/>
  <c r="T774" i="61" s="1"/>
  <c r="T768" i="61"/>
  <c r="T779" i="61" s="1"/>
  <c r="T765" i="61"/>
  <c r="T776" i="61" s="1"/>
  <c r="T767" i="61"/>
  <c r="T778" i="61" s="1"/>
  <c r="T762" i="61"/>
  <c r="T766" i="61"/>
  <c r="T777" i="61" s="1"/>
  <c r="T764" i="61"/>
  <c r="T775" i="61" s="1"/>
  <c r="T256" i="61"/>
  <c r="T267" i="61" s="1"/>
  <c r="T254" i="61"/>
  <c r="T265" i="61" s="1"/>
  <c r="T253" i="61"/>
  <c r="T264" i="61" s="1"/>
  <c r="T252" i="61"/>
  <c r="T263" i="61" s="1"/>
  <c r="T255" i="61"/>
  <c r="T266" i="61" s="1"/>
  <c r="T251" i="61"/>
  <c r="T262" i="61" s="1"/>
  <c r="T250" i="61"/>
  <c r="T1022" i="61"/>
  <c r="T1033" i="61" s="1"/>
  <c r="T1023" i="61"/>
  <c r="T1034" i="61" s="1"/>
  <c r="T1021" i="61"/>
  <c r="T1032" i="61" s="1"/>
  <c r="T1020" i="61"/>
  <c r="T1031" i="61" s="1"/>
  <c r="T1018" i="61"/>
  <c r="T1029" i="61" s="1"/>
  <c r="T1017" i="61"/>
  <c r="T1019" i="61"/>
  <c r="T1030" i="61" s="1"/>
  <c r="T521" i="37"/>
  <c r="T532" i="37" s="1"/>
  <c r="T526" i="37"/>
  <c r="T537" i="37" s="1"/>
  <c r="T523" i="37"/>
  <c r="T534" i="37" s="1"/>
  <c r="T525" i="37"/>
  <c r="T536" i="37" s="1"/>
  <c r="T524" i="37"/>
  <c r="T535" i="37" s="1"/>
  <c r="T522" i="37"/>
  <c r="T533" i="37" s="1"/>
  <c r="T520" i="37"/>
  <c r="T816" i="19"/>
  <c r="T818" i="19"/>
  <c r="T829" i="19" s="1"/>
  <c r="T821" i="19"/>
  <c r="T832" i="19" s="1"/>
  <c r="T820" i="19"/>
  <c r="T831" i="19" s="1"/>
  <c r="T822" i="19"/>
  <c r="T833" i="19" s="1"/>
  <c r="T819" i="19"/>
  <c r="T830" i="19" s="1"/>
  <c r="T817" i="19"/>
  <c r="T828" i="19" s="1"/>
  <c r="T247" i="33"/>
  <c r="T258" i="33" s="1"/>
  <c r="T250" i="33"/>
  <c r="T261" i="33" s="1"/>
  <c r="T251" i="33"/>
  <c r="T262" i="33" s="1"/>
  <c r="T248" i="33"/>
  <c r="T259" i="33" s="1"/>
  <c r="T245" i="33"/>
  <c r="T249" i="33"/>
  <c r="T260" i="33" s="1"/>
  <c r="T246" i="33"/>
  <c r="T257" i="33" s="1"/>
  <c r="T568" i="57"/>
  <c r="T579" i="57" s="1"/>
  <c r="T563" i="57"/>
  <c r="T574" i="57" s="1"/>
  <c r="T562" i="57"/>
  <c r="T566" i="57"/>
  <c r="T577" i="57" s="1"/>
  <c r="T564" i="57"/>
  <c r="T575" i="57" s="1"/>
  <c r="T565" i="57"/>
  <c r="T576" i="57" s="1"/>
  <c r="T567" i="57"/>
  <c r="T578" i="57" s="1"/>
  <c r="T292" i="45"/>
  <c r="T303" i="45" s="1"/>
  <c r="T288" i="45"/>
  <c r="T299" i="45" s="1"/>
  <c r="T290" i="45"/>
  <c r="T301" i="45" s="1"/>
  <c r="T287" i="45"/>
  <c r="T293" i="45"/>
  <c r="T304" i="45" s="1"/>
  <c r="T291" i="45"/>
  <c r="T302" i="45" s="1"/>
  <c r="T289" i="45"/>
  <c r="T300" i="45" s="1"/>
  <c r="T250" i="77"/>
  <c r="T261" i="77" s="1"/>
  <c r="T251" i="77"/>
  <c r="T262" i="77" s="1"/>
  <c r="T249" i="77"/>
  <c r="T260" i="77" s="1"/>
  <c r="T247" i="77"/>
  <c r="T258" i="77" s="1"/>
  <c r="T248" i="77"/>
  <c r="T259" i="77" s="1"/>
  <c r="T246" i="77"/>
  <c r="T257" i="77" s="1"/>
  <c r="T245" i="77"/>
  <c r="T372" i="75"/>
  <c r="T383" i="75" s="1"/>
  <c r="T377" i="75"/>
  <c r="T388" i="75" s="1"/>
  <c r="T376" i="75"/>
  <c r="T387" i="75" s="1"/>
  <c r="T374" i="75"/>
  <c r="T385" i="75" s="1"/>
  <c r="T375" i="75"/>
  <c r="T386" i="75" s="1"/>
  <c r="T373" i="75"/>
  <c r="T384" i="75" s="1"/>
  <c r="T371" i="75"/>
  <c r="Q583" i="41"/>
  <c r="Q273" i="33"/>
  <c r="Q344" i="29"/>
  <c r="Q791" i="61"/>
  <c r="Q294" i="37"/>
  <c r="Q796" i="69"/>
  <c r="Q844" i="19"/>
  <c r="Q322" i="53"/>
  <c r="Q591" i="57"/>
  <c r="Q295" i="19"/>
  <c r="Q274" i="77"/>
  <c r="Q316" i="45"/>
  <c r="Q570" i="49"/>
  <c r="Q626" i="53"/>
  <c r="Q308" i="57"/>
  <c r="Q529" i="69"/>
  <c r="Q549" i="37"/>
  <c r="Q570" i="45"/>
  <c r="Q400" i="75"/>
  <c r="Q536" i="61"/>
  <c r="Q570" i="19"/>
  <c r="Q279" i="61"/>
  <c r="Q295" i="49"/>
  <c r="Q295" i="41"/>
  <c r="Q1046" i="61"/>
  <c r="Q273" i="69"/>
  <c r="R244" i="78"/>
  <c r="R244" i="79"/>
  <c r="O269" i="78"/>
  <c r="O268" i="78"/>
  <c r="S257" i="61"/>
  <c r="S275" i="61" s="1"/>
  <c r="S261" i="61"/>
  <c r="S268" i="61" s="1"/>
  <c r="S338" i="18"/>
  <c r="S257" i="27" s="1"/>
  <c r="S291" i="57"/>
  <c r="S298" i="57" s="1"/>
  <c r="S287" i="57"/>
  <c r="S305" i="57" s="1"/>
  <c r="S298" i="45"/>
  <c r="S305" i="45" s="1"/>
  <c r="S294" i="45"/>
  <c r="S312" i="45" s="1"/>
  <c r="Q248" i="78"/>
  <c r="Q266" i="78" s="1"/>
  <c r="R255" i="79"/>
  <c r="R255" i="78"/>
  <c r="T103" i="61"/>
  <c r="T84" i="27" s="1"/>
  <c r="S608" i="53"/>
  <c r="S615" i="53" s="1"/>
  <c r="S604" i="53"/>
  <c r="S622" i="53" s="1"/>
  <c r="R242" i="78"/>
  <c r="R242" i="79"/>
  <c r="T119" i="37"/>
  <c r="T72" i="27" s="1"/>
  <c r="T621" i="69"/>
  <c r="T90" i="27" s="1"/>
  <c r="S773" i="61"/>
  <c r="S780" i="61" s="1"/>
  <c r="S769" i="61"/>
  <c r="S787" i="61" s="1"/>
  <c r="S256" i="69"/>
  <c r="S263" i="69" s="1"/>
  <c r="S252" i="69"/>
  <c r="S270" i="69" s="1"/>
  <c r="T119" i="19"/>
  <c r="T67" i="27" s="1"/>
  <c r="T394" i="45"/>
  <c r="T77" i="27" s="1"/>
  <c r="S336" i="18"/>
  <c r="S255" i="27" s="1"/>
  <c r="S335" i="18"/>
  <c r="S254" i="27" s="1"/>
  <c r="T870" i="61"/>
  <c r="T87" i="27" s="1"/>
  <c r="R253" i="78"/>
  <c r="R253" i="79"/>
  <c r="T98" i="33"/>
  <c r="T70" i="27" s="1"/>
  <c r="T140" i="45"/>
  <c r="T76" i="27" s="1"/>
  <c r="P268" i="27"/>
  <c r="P269" i="27"/>
  <c r="S277" i="41"/>
  <c r="S284" i="41" s="1"/>
  <c r="S273" i="41"/>
  <c r="S291" i="41" s="1"/>
  <c r="S779" i="69"/>
  <c r="S786" i="69" s="1"/>
  <c r="S775" i="69"/>
  <c r="S793" i="69" s="1"/>
  <c r="R256" i="78"/>
  <c r="R256" i="79"/>
  <c r="S305" i="53"/>
  <c r="S312" i="53" s="1"/>
  <c r="S301" i="53"/>
  <c r="S319" i="53" s="1"/>
  <c r="R241" i="78"/>
  <c r="R241" i="79"/>
  <c r="R248" i="27"/>
  <c r="S333" i="18"/>
  <c r="S329" i="18"/>
  <c r="S347" i="18" s="1"/>
  <c r="T98" i="77"/>
  <c r="T92" i="27" s="1"/>
  <c r="R247" i="79"/>
  <c r="R247" i="78"/>
  <c r="S277" i="37"/>
  <c r="S284" i="37" s="1"/>
  <c r="S273" i="37"/>
  <c r="S291" i="37" s="1"/>
  <c r="S1028" i="61"/>
  <c r="S1035" i="61" s="1"/>
  <c r="S1024" i="61"/>
  <c r="S1042" i="61" s="1"/>
  <c r="S382" i="75"/>
  <c r="S389" i="75" s="1"/>
  <c r="S378" i="75"/>
  <c r="S396" i="75" s="1"/>
  <c r="T224" i="75"/>
  <c r="T91" i="27" s="1"/>
  <c r="S252" i="33"/>
  <c r="S270" i="33" s="1"/>
  <c r="S256" i="33"/>
  <c r="S263" i="33" s="1"/>
  <c r="R245" i="78"/>
  <c r="R245" i="79"/>
  <c r="S277" i="49"/>
  <c r="S284" i="49" s="1"/>
  <c r="S273" i="49"/>
  <c r="S291" i="49" s="1"/>
  <c r="S256" i="77"/>
  <c r="S263" i="77" s="1"/>
  <c r="S252" i="77"/>
  <c r="S270" i="77" s="1"/>
  <c r="T394" i="19"/>
  <c r="T69" i="27" s="1"/>
  <c r="R340" i="18"/>
  <c r="S552" i="49"/>
  <c r="S559" i="49" s="1"/>
  <c r="S548" i="49"/>
  <c r="S566" i="49" s="1"/>
  <c r="Q264" i="27"/>
  <c r="Q266" i="27"/>
  <c r="Q265" i="27"/>
  <c r="R258" i="79"/>
  <c r="R258" i="78"/>
  <c r="S326" i="29"/>
  <c r="S333" i="29" s="1"/>
  <c r="S322" i="29"/>
  <c r="S340" i="29" s="1"/>
  <c r="S566" i="41"/>
  <c r="S573" i="41" s="1"/>
  <c r="S562" i="41"/>
  <c r="S580" i="41" s="1"/>
  <c r="S339" i="18"/>
  <c r="S258" i="27" s="1"/>
  <c r="T373" i="37"/>
  <c r="T73" i="27" s="1"/>
  <c r="S552" i="19"/>
  <c r="S559" i="19" s="1"/>
  <c r="S548" i="19"/>
  <c r="S566" i="19" s="1"/>
  <c r="T133" i="57"/>
  <c r="T82" i="27" s="1"/>
  <c r="S518" i="61"/>
  <c r="S525" i="61" s="1"/>
  <c r="S514" i="61"/>
  <c r="S532" i="61" s="1"/>
  <c r="S823" i="19"/>
  <c r="S841" i="19" s="1"/>
  <c r="S827" i="19"/>
  <c r="S834" i="19" s="1"/>
  <c r="R257" i="78"/>
  <c r="R257" i="79"/>
  <c r="T415" i="57"/>
  <c r="T83" i="27" s="1"/>
  <c r="S337" i="18"/>
  <c r="S256" i="27" s="1"/>
  <c r="S334" i="18"/>
  <c r="S253" i="27" s="1"/>
  <c r="S552" i="45"/>
  <c r="S559" i="45" s="1"/>
  <c r="S548" i="45"/>
  <c r="S566" i="45" s="1"/>
  <c r="R254" i="78"/>
  <c r="R254" i="79"/>
  <c r="T360" i="61"/>
  <c r="T85" i="27" s="1"/>
  <c r="T615" i="61"/>
  <c r="T86" i="27" s="1"/>
  <c r="T669" i="19"/>
  <c r="T71" i="27" s="1"/>
  <c r="S573" i="57"/>
  <c r="S580" i="57" s="1"/>
  <c r="S569" i="57"/>
  <c r="S587" i="57" s="1"/>
  <c r="Q350" i="18"/>
  <c r="Q351" i="18"/>
  <c r="S531" i="37"/>
  <c r="S538" i="37" s="1"/>
  <c r="S527" i="37"/>
  <c r="S545" i="37" s="1"/>
  <c r="Q248" i="79"/>
  <c r="Q266" i="79" s="1"/>
  <c r="S277" i="19"/>
  <c r="S284" i="19" s="1"/>
  <c r="S273" i="19"/>
  <c r="S291" i="19" s="1"/>
  <c r="Q252" i="79"/>
  <c r="Q259" i="79" s="1"/>
  <c r="Q259" i="27"/>
  <c r="Q252" i="78"/>
  <c r="Q259" i="78" s="1"/>
  <c r="S511" i="69"/>
  <c r="S518" i="69" s="1"/>
  <c r="S507" i="69"/>
  <c r="S525" i="69" s="1"/>
  <c r="R246" i="78"/>
  <c r="R246" i="79"/>
  <c r="R243" i="78"/>
  <c r="R243" i="79"/>
  <c r="K135" i="79" l="1"/>
  <c r="K190" i="79"/>
  <c r="K113" i="79"/>
  <c r="K136" i="79"/>
  <c r="K155" i="79"/>
  <c r="K133" i="79"/>
  <c r="K196" i="79"/>
  <c r="K192" i="79"/>
  <c r="K193" i="79"/>
  <c r="K194" i="79"/>
  <c r="K189" i="79"/>
  <c r="K195" i="79"/>
  <c r="K125" i="79"/>
  <c r="K186" i="79"/>
  <c r="K154" i="79"/>
  <c r="K187" i="79"/>
  <c r="K134" i="79"/>
  <c r="J69" i="84"/>
  <c r="K188" i="79"/>
  <c r="K142" i="79"/>
  <c r="K144" i="79"/>
  <c r="K191" i="79"/>
  <c r="L210" i="18"/>
  <c r="L230" i="18"/>
  <c r="L235" i="18"/>
  <c r="L215" i="18"/>
  <c r="L231" i="18"/>
  <c r="L211" i="18"/>
  <c r="L229" i="18"/>
  <c r="L209" i="18"/>
  <c r="L225" i="18"/>
  <c r="L205" i="18"/>
  <c r="L236" i="18"/>
  <c r="L216" i="18"/>
  <c r="L283" i="18"/>
  <c r="L297" i="18" s="1"/>
  <c r="L279" i="18"/>
  <c r="L346" i="18" s="1"/>
  <c r="L217" i="18"/>
  <c r="L237" i="18"/>
  <c r="L233" i="18"/>
  <c r="L213" i="18"/>
  <c r="L227" i="18"/>
  <c r="L207" i="18"/>
  <c r="L204" i="18"/>
  <c r="L224" i="18"/>
  <c r="L66" i="78"/>
  <c r="L66" i="79"/>
  <c r="L212" i="18"/>
  <c r="L232" i="18"/>
  <c r="L228" i="18"/>
  <c r="L208" i="18"/>
  <c r="L206" i="18"/>
  <c r="L226" i="18"/>
  <c r="L329" i="18"/>
  <c r="L347" i="18" s="1"/>
  <c r="L333" i="18"/>
  <c r="L340" i="18" s="1"/>
  <c r="L198" i="18"/>
  <c r="L345" i="18" s="1"/>
  <c r="L222" i="18"/>
  <c r="L202" i="18"/>
  <c r="L223" i="18"/>
  <c r="L203" i="18"/>
  <c r="L234" i="18"/>
  <c r="L214" i="18"/>
  <c r="J248" i="78"/>
  <c r="J266" i="78" s="1"/>
  <c r="J248" i="79"/>
  <c r="J266" i="79" s="1"/>
  <c r="J117" i="78"/>
  <c r="J101" i="79"/>
  <c r="J117" i="79" s="1"/>
  <c r="K242" i="78"/>
  <c r="K242" i="79"/>
  <c r="K184" i="78"/>
  <c r="K198" i="27"/>
  <c r="K265" i="27" s="1"/>
  <c r="J350" i="18"/>
  <c r="J351" i="18"/>
  <c r="J252" i="78"/>
  <c r="J259" i="78" s="1"/>
  <c r="J252" i="79"/>
  <c r="J259" i="79" s="1"/>
  <c r="J259" i="27"/>
  <c r="K101" i="78"/>
  <c r="K117" i="27"/>
  <c r="K264" i="27" s="1"/>
  <c r="K255" i="79"/>
  <c r="K255" i="78"/>
  <c r="K258" i="78"/>
  <c r="K258" i="79"/>
  <c r="K253" i="78"/>
  <c r="K253" i="79"/>
  <c r="K297" i="18"/>
  <c r="K202" i="27"/>
  <c r="K216" i="27" s="1"/>
  <c r="K244" i="79"/>
  <c r="K244" i="78"/>
  <c r="K247" i="79"/>
  <c r="K247" i="78"/>
  <c r="K245" i="79"/>
  <c r="K245" i="78"/>
  <c r="K243" i="78"/>
  <c r="K243" i="79"/>
  <c r="K248" i="27"/>
  <c r="K266" i="27" s="1"/>
  <c r="K241" i="78"/>
  <c r="K241" i="79"/>
  <c r="K33" i="84"/>
  <c r="K46" i="84" s="1"/>
  <c r="K109" i="79"/>
  <c r="K246" i="79"/>
  <c r="K246" i="78"/>
  <c r="J137" i="27"/>
  <c r="J121" i="78"/>
  <c r="J198" i="78"/>
  <c r="J265" i="78" s="1"/>
  <c r="J184" i="79"/>
  <c r="J198" i="79" s="1"/>
  <c r="J265" i="79" s="1"/>
  <c r="K121" i="27"/>
  <c r="K218" i="18"/>
  <c r="K256" i="79"/>
  <c r="K256" i="78"/>
  <c r="K254" i="79"/>
  <c r="K254" i="78"/>
  <c r="K252" i="27"/>
  <c r="K340" i="18"/>
  <c r="K129" i="79"/>
  <c r="K37" i="84"/>
  <c r="K257" i="78"/>
  <c r="K257" i="79"/>
  <c r="J157" i="27"/>
  <c r="J141" i="78"/>
  <c r="K238" i="18"/>
  <c r="K141" i="27"/>
  <c r="J50" i="84"/>
  <c r="J41" i="84"/>
  <c r="Q198" i="79"/>
  <c r="Q265" i="79" s="1"/>
  <c r="R142" i="79"/>
  <c r="R211" i="79"/>
  <c r="R144" i="79"/>
  <c r="R143" i="79"/>
  <c r="R147" i="79"/>
  <c r="R145" i="79"/>
  <c r="R152" i="79"/>
  <c r="R149" i="79"/>
  <c r="S113" i="79"/>
  <c r="R146" i="79"/>
  <c r="R125" i="79"/>
  <c r="R150" i="79"/>
  <c r="S109" i="79"/>
  <c r="R129" i="79"/>
  <c r="P137" i="79"/>
  <c r="P157" i="79"/>
  <c r="P269" i="79" s="1"/>
  <c r="S403" i="61"/>
  <c r="S231" i="29"/>
  <c r="S343" i="29" s="1"/>
  <c r="S210" i="53"/>
  <c r="S322" i="53" s="1"/>
  <c r="S423" i="61"/>
  <c r="S535" i="61" s="1"/>
  <c r="S437" i="19"/>
  <c r="S437" i="49"/>
  <c r="S146" i="61"/>
  <c r="S211" i="29"/>
  <c r="S127" i="27"/>
  <c r="S127" i="78" s="1"/>
  <c r="S127" i="79" s="1"/>
  <c r="S147" i="27"/>
  <c r="S147" i="78" s="1"/>
  <c r="T148" i="77"/>
  <c r="T128" i="77"/>
  <c r="T152" i="77"/>
  <c r="T132" i="77"/>
  <c r="T155" i="37"/>
  <c r="T175" i="37"/>
  <c r="T181" i="37"/>
  <c r="T161" i="37"/>
  <c r="S128" i="27"/>
  <c r="S128" i="78" s="1"/>
  <c r="S128" i="79" s="1"/>
  <c r="T155" i="69"/>
  <c r="T135" i="69"/>
  <c r="T152" i="69"/>
  <c r="T132" i="69"/>
  <c r="T922" i="61"/>
  <c r="T902" i="61"/>
  <c r="T927" i="61"/>
  <c r="T907" i="61"/>
  <c r="T152" i="61"/>
  <c r="T132" i="61"/>
  <c r="T160" i="61"/>
  <c r="T140" i="61"/>
  <c r="T451" i="45"/>
  <c r="T431" i="45"/>
  <c r="T449" i="45"/>
  <c r="T429" i="45"/>
  <c r="T665" i="61"/>
  <c r="T645" i="61"/>
  <c r="T671" i="61"/>
  <c r="T651" i="61"/>
  <c r="T416" i="61"/>
  <c r="T396" i="61"/>
  <c r="T412" i="61"/>
  <c r="T392" i="61"/>
  <c r="T663" i="69"/>
  <c r="T683" i="69"/>
  <c r="T682" i="69"/>
  <c r="T662" i="69"/>
  <c r="S131" i="27"/>
  <c r="S131" i="78" s="1"/>
  <c r="S131" i="79" s="1"/>
  <c r="T509" i="53"/>
  <c r="T489" i="53"/>
  <c r="T504" i="53"/>
  <c r="T484" i="53"/>
  <c r="S913" i="61"/>
  <c r="T447" i="49"/>
  <c r="T427" i="49"/>
  <c r="T431" i="49"/>
  <c r="T451" i="49"/>
  <c r="T166" i="49"/>
  <c r="T146" i="49"/>
  <c r="T142" i="49"/>
  <c r="T289" i="49" s="1"/>
  <c r="I289" i="49" s="1"/>
  <c r="K82" i="4" s="1"/>
  <c r="M82" i="4" s="1"/>
  <c r="T173" i="49"/>
  <c r="T153" i="49"/>
  <c r="T465" i="41"/>
  <c r="T445" i="41"/>
  <c r="T470" i="41"/>
  <c r="T450" i="41"/>
  <c r="T235" i="18"/>
  <c r="T215" i="18"/>
  <c r="T114" i="27"/>
  <c r="T114" i="78" s="1"/>
  <c r="T114" i="79" s="1"/>
  <c r="T231" i="18"/>
  <c r="T211" i="18"/>
  <c r="T110" i="27"/>
  <c r="T110" i="78" s="1"/>
  <c r="T110" i="79" s="1"/>
  <c r="T384" i="69"/>
  <c r="T404" i="69"/>
  <c r="T400" i="69"/>
  <c r="T376" i="69"/>
  <c r="T523" i="69" s="1"/>
  <c r="I523" i="69" s="1"/>
  <c r="K148" i="4" s="1"/>
  <c r="M148" i="4" s="1"/>
  <c r="T380" i="69"/>
  <c r="T729" i="19"/>
  <c r="T709" i="19"/>
  <c r="T726" i="19"/>
  <c r="T706" i="19"/>
  <c r="T426" i="37"/>
  <c r="T406" i="37"/>
  <c r="T427" i="37"/>
  <c r="T407" i="37"/>
  <c r="T472" i="57"/>
  <c r="T452" i="57"/>
  <c r="T470" i="57"/>
  <c r="T450" i="57"/>
  <c r="T450" i="19"/>
  <c r="T430" i="19"/>
  <c r="T445" i="19"/>
  <c r="T425" i="19"/>
  <c r="T276" i="75"/>
  <c r="T256" i="75"/>
  <c r="T281" i="75"/>
  <c r="T261" i="75"/>
  <c r="S182" i="49"/>
  <c r="S294" i="49" s="1"/>
  <c r="S451" i="41"/>
  <c r="S134" i="27"/>
  <c r="S134" i="78" s="1"/>
  <c r="S134" i="79" s="1"/>
  <c r="T218" i="29"/>
  <c r="T198" i="29"/>
  <c r="T215" i="29"/>
  <c r="T195" i="29"/>
  <c r="T191" i="29"/>
  <c r="T338" i="29" s="1"/>
  <c r="I338" i="29" s="1"/>
  <c r="K16" i="4" s="1"/>
  <c r="M16" i="4" s="1"/>
  <c r="T180" i="19"/>
  <c r="T160" i="19"/>
  <c r="T172" i="19"/>
  <c r="T152" i="19"/>
  <c r="S684" i="69"/>
  <c r="S797" i="69" s="1"/>
  <c r="S161" i="77"/>
  <c r="S273" i="77" s="1"/>
  <c r="S149" i="27"/>
  <c r="S149" i="78" s="1"/>
  <c r="T201" i="45"/>
  <c r="T181" i="45"/>
  <c r="T193" i="45"/>
  <c r="T173" i="45"/>
  <c r="T181" i="41"/>
  <c r="T161" i="41"/>
  <c r="T173" i="41"/>
  <c r="T153" i="41"/>
  <c r="T160" i="33"/>
  <c r="T140" i="33"/>
  <c r="T153" i="33"/>
  <c r="T133" i="33"/>
  <c r="T194" i="57"/>
  <c r="T174" i="57"/>
  <c r="T188" i="57"/>
  <c r="T168" i="57"/>
  <c r="T198" i="53"/>
  <c r="T178" i="53"/>
  <c r="T195" i="53"/>
  <c r="T175" i="53"/>
  <c r="T147" i="77"/>
  <c r="T127" i="77"/>
  <c r="T146" i="77"/>
  <c r="T126" i="77"/>
  <c r="T147" i="37"/>
  <c r="T167" i="37"/>
  <c r="T172" i="37"/>
  <c r="T152" i="37"/>
  <c r="S148" i="27"/>
  <c r="S148" i="78" s="1"/>
  <c r="S148" i="79" s="1"/>
  <c r="S176" i="57"/>
  <c r="T160" i="69"/>
  <c r="T140" i="69"/>
  <c r="T157" i="69"/>
  <c r="T137" i="69"/>
  <c r="T932" i="61"/>
  <c r="T912" i="61"/>
  <c r="T929" i="61"/>
  <c r="T909" i="61"/>
  <c r="T157" i="61"/>
  <c r="T137" i="61"/>
  <c r="T158" i="61"/>
  <c r="T138" i="61"/>
  <c r="T448" i="45"/>
  <c r="T428" i="45"/>
  <c r="T445" i="45"/>
  <c r="T425" i="45"/>
  <c r="T662" i="61"/>
  <c r="T642" i="61"/>
  <c r="T638" i="61"/>
  <c r="T785" i="61" s="1"/>
  <c r="I785" i="61" s="1"/>
  <c r="K130" i="4" s="1"/>
  <c r="M130" i="4" s="1"/>
  <c r="T668" i="61"/>
  <c r="T648" i="61"/>
  <c r="T422" i="61"/>
  <c r="T402" i="61"/>
  <c r="T414" i="61"/>
  <c r="T394" i="61"/>
  <c r="T681" i="69"/>
  <c r="T661" i="69"/>
  <c r="T679" i="69"/>
  <c r="T659" i="69"/>
  <c r="S678" i="61"/>
  <c r="S790" i="61" s="1"/>
  <c r="S151" i="27"/>
  <c r="S151" i="78" s="1"/>
  <c r="S151" i="79" s="1"/>
  <c r="T506" i="53"/>
  <c r="T486" i="53"/>
  <c r="T501" i="53"/>
  <c r="T481" i="53"/>
  <c r="S933" i="61"/>
  <c r="S1045" i="61" s="1"/>
  <c r="T441" i="49"/>
  <c r="T421" i="49"/>
  <c r="T417" i="49"/>
  <c r="T564" i="49" s="1"/>
  <c r="I564" i="49" s="1"/>
  <c r="K88" i="4" s="1"/>
  <c r="M88" i="4" s="1"/>
  <c r="T443" i="49"/>
  <c r="T423" i="49"/>
  <c r="T181" i="49"/>
  <c r="T161" i="49"/>
  <c r="T170" i="49"/>
  <c r="T150" i="49"/>
  <c r="T463" i="41"/>
  <c r="T443" i="41"/>
  <c r="T458" i="41"/>
  <c r="T438" i="41"/>
  <c r="T208" i="18"/>
  <c r="T107" i="27"/>
  <c r="T107" i="78" s="1"/>
  <c r="T107" i="79" s="1"/>
  <c r="T228" i="18"/>
  <c r="T229" i="18"/>
  <c r="T209" i="18"/>
  <c r="T108" i="27"/>
  <c r="T108" i="78" s="1"/>
  <c r="T108" i="79" s="1"/>
  <c r="T409" i="69"/>
  <c r="T389" i="69"/>
  <c r="T412" i="69"/>
  <c r="T392" i="69"/>
  <c r="T723" i="19"/>
  <c r="T703" i="19"/>
  <c r="T722" i="19"/>
  <c r="T702" i="19"/>
  <c r="T423" i="37"/>
  <c r="T403" i="37"/>
  <c r="T424" i="37"/>
  <c r="T404" i="37"/>
  <c r="T469" i="57"/>
  <c r="T449" i="57"/>
  <c r="T467" i="57"/>
  <c r="T447" i="57"/>
  <c r="T443" i="19"/>
  <c r="T423" i="19"/>
  <c r="T442" i="19"/>
  <c r="T422" i="19"/>
  <c r="T278" i="75"/>
  <c r="T258" i="75"/>
  <c r="T273" i="75"/>
  <c r="T253" i="75"/>
  <c r="S471" i="41"/>
  <c r="S584" i="41" s="1"/>
  <c r="S154" i="27"/>
  <c r="S154" i="78" s="1"/>
  <c r="S154" i="79" s="1"/>
  <c r="T226" i="29"/>
  <c r="T206" i="29"/>
  <c r="T227" i="29"/>
  <c r="T207" i="29"/>
  <c r="T177" i="19"/>
  <c r="T157" i="19"/>
  <c r="T169" i="19"/>
  <c r="T149" i="19"/>
  <c r="S664" i="69"/>
  <c r="S141" i="77"/>
  <c r="T200" i="45"/>
  <c r="T180" i="45"/>
  <c r="T196" i="45"/>
  <c r="T176" i="45"/>
  <c r="T178" i="41"/>
  <c r="T158" i="41"/>
  <c r="T170" i="41"/>
  <c r="T150" i="41"/>
  <c r="T158" i="33"/>
  <c r="T138" i="33"/>
  <c r="T150" i="33"/>
  <c r="T130" i="33"/>
  <c r="S132" i="27"/>
  <c r="S132" i="78" s="1"/>
  <c r="S132" i="79" s="1"/>
  <c r="T187" i="57"/>
  <c r="T167" i="57"/>
  <c r="T180" i="57"/>
  <c r="T160" i="57"/>
  <c r="T156" i="57"/>
  <c r="S712" i="19"/>
  <c r="T196" i="53"/>
  <c r="T176" i="53"/>
  <c r="T201" i="53"/>
  <c r="T181" i="53"/>
  <c r="S457" i="19"/>
  <c r="S569" i="19" s="1"/>
  <c r="S457" i="49"/>
  <c r="S569" i="49" s="1"/>
  <c r="S166" i="61"/>
  <c r="S279" i="61" s="1"/>
  <c r="T155" i="77"/>
  <c r="T135" i="77"/>
  <c r="T157" i="77"/>
  <c r="T137" i="77"/>
  <c r="T168" i="37"/>
  <c r="T148" i="37"/>
  <c r="T169" i="37"/>
  <c r="T149" i="37"/>
  <c r="S117" i="27"/>
  <c r="S101" i="78"/>
  <c r="S196" i="57"/>
  <c r="S309" i="57" s="1"/>
  <c r="T148" i="69"/>
  <c r="T128" i="69"/>
  <c r="T154" i="69"/>
  <c r="T134" i="69"/>
  <c r="T925" i="61"/>
  <c r="T905" i="61"/>
  <c r="T930" i="61"/>
  <c r="T910" i="61"/>
  <c r="T154" i="61"/>
  <c r="T134" i="61"/>
  <c r="T165" i="61"/>
  <c r="T145" i="61"/>
  <c r="T450" i="45"/>
  <c r="T430" i="45"/>
  <c r="T443" i="45"/>
  <c r="T423" i="45"/>
  <c r="T666" i="61"/>
  <c r="T646" i="61"/>
  <c r="T673" i="61"/>
  <c r="T653" i="61"/>
  <c r="T419" i="61"/>
  <c r="T399" i="61"/>
  <c r="T411" i="61"/>
  <c r="T391" i="61"/>
  <c r="T670" i="69"/>
  <c r="T650" i="69"/>
  <c r="T673" i="69"/>
  <c r="T653" i="69"/>
  <c r="S267" i="75"/>
  <c r="T483" i="53"/>
  <c r="T503" i="53"/>
  <c r="T498" i="53"/>
  <c r="T478" i="53"/>
  <c r="S493" i="53"/>
  <c r="S123" i="27"/>
  <c r="S123" i="78" s="1"/>
  <c r="S123" i="79" s="1"/>
  <c r="T446" i="49"/>
  <c r="T426" i="49"/>
  <c r="T449" i="49"/>
  <c r="T429" i="49"/>
  <c r="T178" i="49"/>
  <c r="T158" i="49"/>
  <c r="T167" i="49"/>
  <c r="T147" i="49"/>
  <c r="T456" i="41"/>
  <c r="T436" i="41"/>
  <c r="T466" i="41"/>
  <c r="T446" i="41"/>
  <c r="T225" i="18"/>
  <c r="T205" i="18"/>
  <c r="T104" i="27"/>
  <c r="T104" i="78" s="1"/>
  <c r="T104" i="79" s="1"/>
  <c r="T226" i="18"/>
  <c r="T206" i="18"/>
  <c r="T105" i="27"/>
  <c r="T105" i="78" s="1"/>
  <c r="T105" i="79" s="1"/>
  <c r="T403" i="69"/>
  <c r="T383" i="69"/>
  <c r="T406" i="69"/>
  <c r="T386" i="69"/>
  <c r="T730" i="19"/>
  <c r="T710" i="19"/>
  <c r="T720" i="19"/>
  <c r="T700" i="19"/>
  <c r="T420" i="37"/>
  <c r="T400" i="37"/>
  <c r="T396" i="37"/>
  <c r="T543" i="37" s="1"/>
  <c r="T421" i="37"/>
  <c r="T401" i="37"/>
  <c r="T475" i="57"/>
  <c r="T455" i="57"/>
  <c r="T477" i="57"/>
  <c r="T457" i="57"/>
  <c r="T451" i="19"/>
  <c r="T431" i="19"/>
  <c r="T455" i="19"/>
  <c r="T435" i="19"/>
  <c r="T282" i="75"/>
  <c r="T262" i="75"/>
  <c r="T274" i="75"/>
  <c r="T254" i="75"/>
  <c r="T203" i="29"/>
  <c r="T223" i="29"/>
  <c r="T220" i="29"/>
  <c r="T200" i="29"/>
  <c r="T174" i="19"/>
  <c r="T154" i="19"/>
  <c r="T166" i="19"/>
  <c r="T146" i="19"/>
  <c r="T142" i="19"/>
  <c r="T289" i="19" s="1"/>
  <c r="I289" i="19" s="1"/>
  <c r="K28" i="4" s="1"/>
  <c r="M28" i="4" s="1"/>
  <c r="R101" i="79"/>
  <c r="R117" i="79" s="1"/>
  <c r="R117" i="78"/>
  <c r="Q137" i="78"/>
  <c r="Q121" i="79"/>
  <c r="T198" i="45"/>
  <c r="T178" i="45"/>
  <c r="T190" i="45"/>
  <c r="T170" i="45"/>
  <c r="T175" i="41"/>
  <c r="T155" i="41"/>
  <c r="T167" i="41"/>
  <c r="T147" i="41"/>
  <c r="T155" i="33"/>
  <c r="T135" i="33"/>
  <c r="T147" i="33"/>
  <c r="T127" i="33"/>
  <c r="S416" i="69"/>
  <c r="S528" i="69" s="1"/>
  <c r="S152" i="27"/>
  <c r="S152" i="78" s="1"/>
  <c r="T190" i="57"/>
  <c r="T170" i="57"/>
  <c r="T192" i="57"/>
  <c r="T172" i="57"/>
  <c r="S732" i="19"/>
  <c r="S844" i="19" s="1"/>
  <c r="T203" i="53"/>
  <c r="T183" i="53"/>
  <c r="T206" i="53"/>
  <c r="T186" i="53"/>
  <c r="T149" i="77"/>
  <c r="T129" i="77"/>
  <c r="T151" i="77"/>
  <c r="T131" i="77"/>
  <c r="T166" i="37"/>
  <c r="T146" i="37"/>
  <c r="T142" i="37"/>
  <c r="T289" i="37" s="1"/>
  <c r="I289" i="37" s="1"/>
  <c r="K46" i="4" s="1"/>
  <c r="M46" i="4" s="1"/>
  <c r="T179" i="37"/>
  <c r="T159" i="37"/>
  <c r="T146" i="69"/>
  <c r="T126" i="69"/>
  <c r="T151" i="69"/>
  <c r="T131" i="69"/>
  <c r="T928" i="61"/>
  <c r="T908" i="61"/>
  <c r="T920" i="61"/>
  <c r="T900" i="61"/>
  <c r="T133" i="61"/>
  <c r="T153" i="61"/>
  <c r="T162" i="61"/>
  <c r="T142" i="61"/>
  <c r="T447" i="45"/>
  <c r="T427" i="45"/>
  <c r="T455" i="45"/>
  <c r="T435" i="45"/>
  <c r="T652" i="61"/>
  <c r="T672" i="61"/>
  <c r="T670" i="61"/>
  <c r="T650" i="61"/>
  <c r="T417" i="61"/>
  <c r="T397" i="61"/>
  <c r="T409" i="61"/>
  <c r="T389" i="61"/>
  <c r="T674" i="69"/>
  <c r="T654" i="69"/>
  <c r="T680" i="69"/>
  <c r="T660" i="69"/>
  <c r="S287" i="75"/>
  <c r="S400" i="75" s="1"/>
  <c r="T500" i="53"/>
  <c r="T480" i="53"/>
  <c r="T499" i="53"/>
  <c r="T479" i="53"/>
  <c r="S416" i="37"/>
  <c r="S513" i="53"/>
  <c r="S625" i="53" s="1"/>
  <c r="S143" i="27"/>
  <c r="S143" i="78" s="1"/>
  <c r="T436" i="49"/>
  <c r="T456" i="49"/>
  <c r="T442" i="49"/>
  <c r="T422" i="49"/>
  <c r="T174" i="49"/>
  <c r="T154" i="49"/>
  <c r="T175" i="49"/>
  <c r="T155" i="49"/>
  <c r="T462" i="41"/>
  <c r="T442" i="41"/>
  <c r="T467" i="41"/>
  <c r="T447" i="41"/>
  <c r="T115" i="27"/>
  <c r="T115" i="78" s="1"/>
  <c r="T115" i="79" s="1"/>
  <c r="T236" i="18"/>
  <c r="T216" i="18"/>
  <c r="T222" i="18"/>
  <c r="T202" i="18"/>
  <c r="T198" i="18"/>
  <c r="T345" i="18" s="1"/>
  <c r="T101" i="27"/>
  <c r="T407" i="69"/>
  <c r="T387" i="69"/>
  <c r="T388" i="69"/>
  <c r="T408" i="69"/>
  <c r="T731" i="19"/>
  <c r="T711" i="19"/>
  <c r="T719" i="19"/>
  <c r="T699" i="19"/>
  <c r="T434" i="37"/>
  <c r="T414" i="37"/>
  <c r="T435" i="37"/>
  <c r="T415" i="37"/>
  <c r="T474" i="57"/>
  <c r="T454" i="57"/>
  <c r="T466" i="57"/>
  <c r="T446" i="57"/>
  <c r="T441" i="19"/>
  <c r="T421" i="19"/>
  <c r="T417" i="19"/>
  <c r="T564" i="19" s="1"/>
  <c r="I564" i="19" s="1"/>
  <c r="K34" i="4" s="1"/>
  <c r="M34" i="4" s="1"/>
  <c r="T444" i="19"/>
  <c r="T424" i="19"/>
  <c r="T284" i="75"/>
  <c r="T264" i="75"/>
  <c r="T280" i="75"/>
  <c r="T260" i="75"/>
  <c r="S478" i="57"/>
  <c r="S591" i="57" s="1"/>
  <c r="S162" i="41"/>
  <c r="T217" i="29"/>
  <c r="T197" i="29"/>
  <c r="T221" i="29"/>
  <c r="T201" i="29"/>
  <c r="T171" i="19"/>
  <c r="T151" i="19"/>
  <c r="T179" i="19"/>
  <c r="T159" i="19"/>
  <c r="S141" i="69"/>
  <c r="S126" i="27"/>
  <c r="S126" i="78" s="1"/>
  <c r="S126" i="79" s="1"/>
  <c r="T195" i="45"/>
  <c r="T175" i="45"/>
  <c r="T187" i="45"/>
  <c r="T167" i="45"/>
  <c r="T163" i="45"/>
  <c r="T310" i="45" s="1"/>
  <c r="I310" i="45" s="1"/>
  <c r="K70" i="4" s="1"/>
  <c r="M70" i="4" s="1"/>
  <c r="T168" i="41"/>
  <c r="T148" i="41"/>
  <c r="T172" i="41"/>
  <c r="T152" i="41"/>
  <c r="T157" i="33"/>
  <c r="T137" i="33"/>
  <c r="T149" i="33"/>
  <c r="T129" i="33"/>
  <c r="T195" i="57"/>
  <c r="T175" i="57"/>
  <c r="T186" i="57"/>
  <c r="T166" i="57"/>
  <c r="T197" i="53"/>
  <c r="T177" i="53"/>
  <c r="T200" i="53"/>
  <c r="T180" i="53"/>
  <c r="S125" i="27"/>
  <c r="S125" i="78" s="1"/>
  <c r="T145" i="77"/>
  <c r="T125" i="77"/>
  <c r="T121" i="77"/>
  <c r="T268" i="77" s="1"/>
  <c r="I268" i="77" s="1"/>
  <c r="K166" i="4" s="1"/>
  <c r="M166" i="4" s="1"/>
  <c r="T154" i="77"/>
  <c r="T134" i="77"/>
  <c r="T174" i="37"/>
  <c r="T154" i="37"/>
  <c r="T178" i="37"/>
  <c r="T158" i="37"/>
  <c r="S218" i="18"/>
  <c r="S121" i="27"/>
  <c r="T150" i="69"/>
  <c r="T130" i="69"/>
  <c r="T156" i="69"/>
  <c r="T136" i="69"/>
  <c r="T924" i="61"/>
  <c r="T904" i="61"/>
  <c r="T918" i="61"/>
  <c r="T898" i="61"/>
  <c r="T164" i="61"/>
  <c r="T144" i="61"/>
  <c r="T141" i="61"/>
  <c r="T161" i="61"/>
  <c r="T442" i="45"/>
  <c r="T422" i="45"/>
  <c r="T432" i="45"/>
  <c r="T452" i="45"/>
  <c r="T669" i="61"/>
  <c r="T649" i="61"/>
  <c r="T647" i="61"/>
  <c r="T667" i="61"/>
  <c r="T407" i="61"/>
  <c r="T387" i="61"/>
  <c r="T383" i="61"/>
  <c r="T530" i="61" s="1"/>
  <c r="I530" i="61" s="1"/>
  <c r="K124" i="4" s="1"/>
  <c r="M124" i="4" s="1"/>
  <c r="T413" i="61"/>
  <c r="T393" i="61"/>
  <c r="T675" i="69"/>
  <c r="T655" i="69"/>
  <c r="T676" i="69"/>
  <c r="T656" i="69"/>
  <c r="R137" i="27"/>
  <c r="R121" i="78"/>
  <c r="S150" i="27"/>
  <c r="S150" i="78" s="1"/>
  <c r="T497" i="53"/>
  <c r="T477" i="53"/>
  <c r="T473" i="53"/>
  <c r="T620" i="53" s="1"/>
  <c r="I620" i="53" s="1"/>
  <c r="K100" i="4" s="1"/>
  <c r="M100" i="4" s="1"/>
  <c r="T511" i="53"/>
  <c r="T491" i="53"/>
  <c r="S437" i="45"/>
  <c r="S436" i="37"/>
  <c r="S549" i="37" s="1"/>
  <c r="R157" i="27"/>
  <c r="R141" i="78"/>
  <c r="S142" i="27"/>
  <c r="S142" i="78" s="1"/>
  <c r="T454" i="49"/>
  <c r="T434" i="49"/>
  <c r="T445" i="49"/>
  <c r="T425" i="49"/>
  <c r="T171" i="49"/>
  <c r="T151" i="49"/>
  <c r="T172" i="49"/>
  <c r="T152" i="49"/>
  <c r="T457" i="41"/>
  <c r="T437" i="41"/>
  <c r="T459" i="41"/>
  <c r="T439" i="41"/>
  <c r="T233" i="18"/>
  <c r="T213" i="18"/>
  <c r="T112" i="27"/>
  <c r="T112" i="78" s="1"/>
  <c r="T112" i="79" s="1"/>
  <c r="T237" i="18"/>
  <c r="T217" i="18"/>
  <c r="T116" i="27"/>
  <c r="T116" i="78" s="1"/>
  <c r="T116" i="79" s="1"/>
  <c r="T411" i="69"/>
  <c r="T391" i="69"/>
  <c r="T402" i="69"/>
  <c r="T382" i="69"/>
  <c r="T727" i="19"/>
  <c r="T707" i="19"/>
  <c r="T716" i="19"/>
  <c r="T696" i="19"/>
  <c r="T692" i="19"/>
  <c r="T839" i="19" s="1"/>
  <c r="I839" i="19" s="1"/>
  <c r="K40" i="4" s="1"/>
  <c r="M40" i="4" s="1"/>
  <c r="T431" i="37"/>
  <c r="T411" i="37"/>
  <c r="T432" i="37"/>
  <c r="T412" i="37"/>
  <c r="T471" i="57"/>
  <c r="T451" i="57"/>
  <c r="T463" i="57"/>
  <c r="T443" i="57"/>
  <c r="T452" i="19"/>
  <c r="T432" i="19"/>
  <c r="T447" i="19"/>
  <c r="T427" i="19"/>
  <c r="T272" i="75"/>
  <c r="T252" i="75"/>
  <c r="T279" i="75"/>
  <c r="T259" i="75"/>
  <c r="S135" i="27"/>
  <c r="S135" i="78" s="1"/>
  <c r="S135" i="79" s="1"/>
  <c r="S458" i="57"/>
  <c r="S182" i="41"/>
  <c r="S295" i="41" s="1"/>
  <c r="T228" i="29"/>
  <c r="T208" i="29"/>
  <c r="T225" i="29"/>
  <c r="T205" i="29"/>
  <c r="T168" i="19"/>
  <c r="T148" i="19"/>
  <c r="T176" i="19"/>
  <c r="T156" i="19"/>
  <c r="S161" i="69"/>
  <c r="S274" i="69" s="1"/>
  <c r="S183" i="45"/>
  <c r="T202" i="45"/>
  <c r="T182" i="45"/>
  <c r="T194" i="45"/>
  <c r="T174" i="45"/>
  <c r="T180" i="41"/>
  <c r="T160" i="41"/>
  <c r="T169" i="41"/>
  <c r="T149" i="41"/>
  <c r="T154" i="33"/>
  <c r="T134" i="33"/>
  <c r="T146" i="33"/>
  <c r="T126" i="33"/>
  <c r="S396" i="69"/>
  <c r="S136" i="27"/>
  <c r="S136" i="78" s="1"/>
  <c r="S136" i="79" s="1"/>
  <c r="T181" i="57"/>
  <c r="T161" i="57"/>
  <c r="T191" i="57"/>
  <c r="T171" i="57"/>
  <c r="S124" i="27"/>
  <c r="S124" i="78" s="1"/>
  <c r="S124" i="79" s="1"/>
  <c r="T209" i="53"/>
  <c r="T189" i="53"/>
  <c r="T194" i="53"/>
  <c r="T174" i="53"/>
  <c r="T170" i="53"/>
  <c r="T317" i="53" s="1"/>
  <c r="I317" i="53" s="1"/>
  <c r="K94" i="4" s="1"/>
  <c r="M94" i="4" s="1"/>
  <c r="S145" i="27"/>
  <c r="S145" i="78" s="1"/>
  <c r="S190" i="53"/>
  <c r="T159" i="77"/>
  <c r="T139" i="77"/>
  <c r="T160" i="77"/>
  <c r="T140" i="77"/>
  <c r="T176" i="37"/>
  <c r="T156" i="37"/>
  <c r="T180" i="37"/>
  <c r="T160" i="37"/>
  <c r="S238" i="18"/>
  <c r="S141" i="27"/>
  <c r="T139" i="69"/>
  <c r="T159" i="69"/>
  <c r="T145" i="69"/>
  <c r="T125" i="69"/>
  <c r="T121" i="69"/>
  <c r="T268" i="69" s="1"/>
  <c r="I268" i="69" s="1"/>
  <c r="K142" i="4" s="1"/>
  <c r="M142" i="4" s="1"/>
  <c r="T926" i="61"/>
  <c r="T906" i="61"/>
  <c r="T923" i="61"/>
  <c r="T903" i="61"/>
  <c r="T150" i="61"/>
  <c r="T130" i="61"/>
  <c r="T126" i="61"/>
  <c r="T273" i="61" s="1"/>
  <c r="I273" i="61" s="1"/>
  <c r="K118" i="4" s="1"/>
  <c r="M118" i="4" s="1"/>
  <c r="T156" i="61"/>
  <c r="T136" i="61"/>
  <c r="T453" i="45"/>
  <c r="T433" i="45"/>
  <c r="T454" i="45"/>
  <c r="T434" i="45"/>
  <c r="T676" i="61"/>
  <c r="T656" i="61"/>
  <c r="T674" i="61"/>
  <c r="T654" i="61"/>
  <c r="T421" i="61"/>
  <c r="T401" i="61"/>
  <c r="T410" i="61"/>
  <c r="T390" i="61"/>
  <c r="T669" i="69"/>
  <c r="T649" i="69"/>
  <c r="T678" i="69"/>
  <c r="T658" i="69"/>
  <c r="T510" i="53"/>
  <c r="T490" i="53"/>
  <c r="T508" i="53"/>
  <c r="T488" i="53"/>
  <c r="S457" i="45"/>
  <c r="S569" i="45" s="1"/>
  <c r="S122" i="27"/>
  <c r="S122" i="78" s="1"/>
  <c r="S122" i="79" s="1"/>
  <c r="T452" i="49"/>
  <c r="T432" i="49"/>
  <c r="T455" i="49"/>
  <c r="T435" i="49"/>
  <c r="T168" i="49"/>
  <c r="T148" i="49"/>
  <c r="T179" i="49"/>
  <c r="T159" i="49"/>
  <c r="T455" i="41"/>
  <c r="T435" i="41"/>
  <c r="T431" i="41"/>
  <c r="T578" i="41" s="1"/>
  <c r="I578" i="41" s="1"/>
  <c r="K64" i="4" s="1"/>
  <c r="M64" i="4" s="1"/>
  <c r="T461" i="41"/>
  <c r="T441" i="41"/>
  <c r="T230" i="18"/>
  <c r="T210" i="18"/>
  <c r="T109" i="27"/>
  <c r="T109" i="78" s="1"/>
  <c r="T234" i="18"/>
  <c r="T214" i="18"/>
  <c r="T113" i="27"/>
  <c r="T113" i="78" s="1"/>
  <c r="T410" i="69"/>
  <c r="T390" i="69"/>
  <c r="T414" i="69"/>
  <c r="T394" i="69"/>
  <c r="T724" i="19"/>
  <c r="T704" i="19"/>
  <c r="T728" i="19"/>
  <c r="T708" i="19"/>
  <c r="T428" i="37"/>
  <c r="T408" i="37"/>
  <c r="T429" i="37"/>
  <c r="T409" i="37"/>
  <c r="T448" i="57"/>
  <c r="T468" i="57"/>
  <c r="T464" i="57"/>
  <c r="T444" i="57"/>
  <c r="T454" i="19"/>
  <c r="T434" i="19"/>
  <c r="T449" i="19"/>
  <c r="T429" i="19"/>
  <c r="T271" i="75"/>
  <c r="T247" i="75"/>
  <c r="T394" i="75" s="1"/>
  <c r="I394" i="75" s="1"/>
  <c r="K160" i="4" s="1"/>
  <c r="M160" i="4" s="1"/>
  <c r="T251" i="75"/>
  <c r="T263" i="75"/>
  <c r="T283" i="75"/>
  <c r="S155" i="27"/>
  <c r="S155" i="78" s="1"/>
  <c r="S155" i="79" s="1"/>
  <c r="S133" i="27"/>
  <c r="S133" i="78" s="1"/>
  <c r="S133" i="79" s="1"/>
  <c r="T229" i="29"/>
  <c r="T209" i="29"/>
  <c r="T219" i="29"/>
  <c r="T199" i="29"/>
  <c r="T181" i="19"/>
  <c r="T161" i="19"/>
  <c r="T173" i="19"/>
  <c r="T153" i="19"/>
  <c r="S203" i="45"/>
  <c r="S315" i="45" s="1"/>
  <c r="S146" i="27"/>
  <c r="S146" i="78" s="1"/>
  <c r="T199" i="45"/>
  <c r="T179" i="45"/>
  <c r="T191" i="45"/>
  <c r="T171" i="45"/>
  <c r="T177" i="41"/>
  <c r="T157" i="41"/>
  <c r="T166" i="41"/>
  <c r="T146" i="41"/>
  <c r="T142" i="41"/>
  <c r="T289" i="41" s="1"/>
  <c r="I289" i="41" s="1"/>
  <c r="K58" i="4" s="1"/>
  <c r="M58" i="4" s="1"/>
  <c r="T151" i="33"/>
  <c r="T131" i="33"/>
  <c r="T152" i="33"/>
  <c r="T132" i="33"/>
  <c r="S156" i="27"/>
  <c r="S156" i="78" s="1"/>
  <c r="S156" i="79" s="1"/>
  <c r="T183" i="57"/>
  <c r="T163" i="57"/>
  <c r="T185" i="57"/>
  <c r="T165" i="57"/>
  <c r="S144" i="27"/>
  <c r="S144" i="78" s="1"/>
  <c r="T208" i="53"/>
  <c r="T188" i="53"/>
  <c r="T199" i="53"/>
  <c r="T179" i="53"/>
  <c r="T153" i="77"/>
  <c r="T133" i="77"/>
  <c r="T156" i="77"/>
  <c r="T136" i="77"/>
  <c r="T173" i="37"/>
  <c r="T153" i="37"/>
  <c r="T177" i="37"/>
  <c r="T157" i="37"/>
  <c r="Q157" i="78"/>
  <c r="Q141" i="79"/>
  <c r="T127" i="69"/>
  <c r="T147" i="69"/>
  <c r="T158" i="69"/>
  <c r="T138" i="69"/>
  <c r="T931" i="61"/>
  <c r="T911" i="61"/>
  <c r="T919" i="61"/>
  <c r="T899" i="61"/>
  <c r="T159" i="61"/>
  <c r="T139" i="61"/>
  <c r="T151" i="61"/>
  <c r="T131" i="61"/>
  <c r="T441" i="45"/>
  <c r="T421" i="45"/>
  <c r="T417" i="45"/>
  <c r="T564" i="45" s="1"/>
  <c r="I564" i="45" s="1"/>
  <c r="K76" i="4" s="1"/>
  <c r="M76" i="4" s="1"/>
  <c r="T444" i="45"/>
  <c r="T424" i="45"/>
  <c r="T655" i="61"/>
  <c r="T675" i="61"/>
  <c r="T677" i="61"/>
  <c r="T657" i="61"/>
  <c r="T418" i="61"/>
  <c r="T398" i="61"/>
  <c r="T388" i="61"/>
  <c r="T408" i="61"/>
  <c r="T668" i="69"/>
  <c r="T644" i="69"/>
  <c r="T791" i="69" s="1"/>
  <c r="I791" i="69" s="1"/>
  <c r="K154" i="4" s="1"/>
  <c r="M154" i="4" s="1"/>
  <c r="T648" i="69"/>
  <c r="T677" i="69"/>
  <c r="T657" i="69"/>
  <c r="S130" i="27"/>
  <c r="S130" i="78" s="1"/>
  <c r="S130" i="79" s="1"/>
  <c r="T507" i="53"/>
  <c r="T487" i="53"/>
  <c r="T505" i="53"/>
  <c r="T485" i="53"/>
  <c r="T428" i="49"/>
  <c r="T448" i="49"/>
  <c r="T444" i="49"/>
  <c r="T424" i="49"/>
  <c r="T180" i="49"/>
  <c r="T160" i="49"/>
  <c r="T176" i="49"/>
  <c r="T156" i="49"/>
  <c r="T469" i="41"/>
  <c r="T449" i="41"/>
  <c r="T460" i="41"/>
  <c r="T440" i="41"/>
  <c r="T224" i="18"/>
  <c r="T103" i="27"/>
  <c r="T103" i="78" s="1"/>
  <c r="T103" i="79" s="1"/>
  <c r="T204" i="18"/>
  <c r="T223" i="18"/>
  <c r="T203" i="18"/>
  <c r="T102" i="27"/>
  <c r="T102" i="78" s="1"/>
  <c r="T102" i="79" s="1"/>
  <c r="T405" i="69"/>
  <c r="T385" i="69"/>
  <c r="T415" i="69"/>
  <c r="T395" i="69"/>
  <c r="T718" i="19"/>
  <c r="T698" i="19"/>
  <c r="T717" i="19"/>
  <c r="T697" i="19"/>
  <c r="T425" i="37"/>
  <c r="T405" i="37"/>
  <c r="T433" i="37"/>
  <c r="T413" i="37"/>
  <c r="T465" i="57"/>
  <c r="T445" i="57"/>
  <c r="T456" i="57"/>
  <c r="T476" i="57"/>
  <c r="T456" i="19"/>
  <c r="T436" i="19"/>
  <c r="T446" i="19"/>
  <c r="T426" i="19"/>
  <c r="T286" i="75"/>
  <c r="T266" i="75"/>
  <c r="T255" i="75"/>
  <c r="T275" i="75"/>
  <c r="S162" i="19"/>
  <c r="S153" i="27"/>
  <c r="S153" i="78" s="1"/>
  <c r="S153" i="79" s="1"/>
  <c r="T202" i="29"/>
  <c r="T222" i="29"/>
  <c r="T230" i="29"/>
  <c r="T210" i="29"/>
  <c r="T178" i="19"/>
  <c r="T158" i="19"/>
  <c r="T170" i="19"/>
  <c r="T150" i="19"/>
  <c r="T188" i="45"/>
  <c r="T168" i="45"/>
  <c r="T192" i="45"/>
  <c r="T172" i="45"/>
  <c r="T174" i="41"/>
  <c r="T154" i="41"/>
  <c r="T176" i="41"/>
  <c r="T156" i="41"/>
  <c r="T148" i="33"/>
  <c r="T128" i="33"/>
  <c r="T159" i="33"/>
  <c r="T139" i="33"/>
  <c r="S141" i="33"/>
  <c r="S182" i="37"/>
  <c r="S294" i="37" s="1"/>
  <c r="T189" i="57"/>
  <c r="T169" i="57"/>
  <c r="T193" i="57"/>
  <c r="T173" i="57"/>
  <c r="T202" i="53"/>
  <c r="T182" i="53"/>
  <c r="T204" i="53"/>
  <c r="T184" i="53"/>
  <c r="T150" i="77"/>
  <c r="T130" i="77"/>
  <c r="T158" i="77"/>
  <c r="T138" i="77"/>
  <c r="T171" i="37"/>
  <c r="T151" i="37"/>
  <c r="T170" i="37"/>
  <c r="T150" i="37"/>
  <c r="T153" i="69"/>
  <c r="T133" i="69"/>
  <c r="T149" i="69"/>
  <c r="T129" i="69"/>
  <c r="T917" i="61"/>
  <c r="T897" i="61"/>
  <c r="T893" i="61"/>
  <c r="T1040" i="61" s="1"/>
  <c r="I1040" i="61" s="1"/>
  <c r="K136" i="4" s="1"/>
  <c r="M136" i="4" s="1"/>
  <c r="T921" i="61"/>
  <c r="T901" i="61"/>
  <c r="T163" i="61"/>
  <c r="T143" i="61"/>
  <c r="T155" i="61"/>
  <c r="T135" i="61"/>
  <c r="T436" i="45"/>
  <c r="T456" i="45"/>
  <c r="T446" i="45"/>
  <c r="T426" i="45"/>
  <c r="T664" i="61"/>
  <c r="T644" i="61"/>
  <c r="T663" i="61"/>
  <c r="T643" i="61"/>
  <c r="T415" i="61"/>
  <c r="T395" i="61"/>
  <c r="T420" i="61"/>
  <c r="T400" i="61"/>
  <c r="T671" i="69"/>
  <c r="T651" i="69"/>
  <c r="T672" i="69"/>
  <c r="T652" i="69"/>
  <c r="S658" i="61"/>
  <c r="T512" i="53"/>
  <c r="T492" i="53"/>
  <c r="T502" i="53"/>
  <c r="T482" i="53"/>
  <c r="T450" i="49"/>
  <c r="T430" i="49"/>
  <c r="T453" i="49"/>
  <c r="T433" i="49"/>
  <c r="T169" i="49"/>
  <c r="T149" i="49"/>
  <c r="T177" i="49"/>
  <c r="T157" i="49"/>
  <c r="T464" i="41"/>
  <c r="T444" i="41"/>
  <c r="T468" i="41"/>
  <c r="T448" i="41"/>
  <c r="T227" i="18"/>
  <c r="T207" i="18"/>
  <c r="T106" i="27"/>
  <c r="T106" i="78" s="1"/>
  <c r="T106" i="79" s="1"/>
  <c r="T232" i="18"/>
  <c r="T212" i="18"/>
  <c r="T111" i="27"/>
  <c r="T111" i="78" s="1"/>
  <c r="T111" i="79" s="1"/>
  <c r="T413" i="69"/>
  <c r="T393" i="69"/>
  <c r="T401" i="69"/>
  <c r="T381" i="69"/>
  <c r="T725" i="19"/>
  <c r="T705" i="19"/>
  <c r="T721" i="19"/>
  <c r="T701" i="19"/>
  <c r="T422" i="37"/>
  <c r="T402" i="37"/>
  <c r="T430" i="37"/>
  <c r="T410" i="37"/>
  <c r="T462" i="57"/>
  <c r="T442" i="57"/>
  <c r="T438" i="57"/>
  <c r="T585" i="57" s="1"/>
  <c r="I585" i="57" s="1"/>
  <c r="K112" i="4" s="1"/>
  <c r="M112" i="4" s="1"/>
  <c r="T473" i="57"/>
  <c r="T453" i="57"/>
  <c r="T453" i="19"/>
  <c r="T433" i="19"/>
  <c r="T448" i="19"/>
  <c r="T428" i="19"/>
  <c r="T285" i="75"/>
  <c r="T265" i="75"/>
  <c r="T257" i="75"/>
  <c r="T277" i="75"/>
  <c r="S162" i="49"/>
  <c r="S182" i="19"/>
  <c r="S294" i="19" s="1"/>
  <c r="T216" i="29"/>
  <c r="T196" i="29"/>
  <c r="T224" i="29"/>
  <c r="T204" i="29"/>
  <c r="T175" i="19"/>
  <c r="T155" i="19"/>
  <c r="T167" i="19"/>
  <c r="T147" i="19"/>
  <c r="S129" i="27"/>
  <c r="S129" i="78" s="1"/>
  <c r="T197" i="45"/>
  <c r="T177" i="45"/>
  <c r="T189" i="45"/>
  <c r="T169" i="45"/>
  <c r="T171" i="41"/>
  <c r="T151" i="41"/>
  <c r="T179" i="41"/>
  <c r="T159" i="41"/>
  <c r="T145" i="33"/>
  <c r="T125" i="33"/>
  <c r="T121" i="33"/>
  <c r="T268" i="33" s="1"/>
  <c r="I268" i="33" s="1"/>
  <c r="K22" i="4" s="1"/>
  <c r="M22" i="4" s="1"/>
  <c r="T156" i="33"/>
  <c r="T136" i="33"/>
  <c r="S161" i="33"/>
  <c r="S274" i="33" s="1"/>
  <c r="S162" i="37"/>
  <c r="T184" i="57"/>
  <c r="T164" i="57"/>
  <c r="T182" i="57"/>
  <c r="T162" i="57"/>
  <c r="T207" i="53"/>
  <c r="T187" i="53"/>
  <c r="T205" i="53"/>
  <c r="T185" i="53"/>
  <c r="P264" i="79"/>
  <c r="P68" i="84"/>
  <c r="Q264" i="78"/>
  <c r="R69" i="84"/>
  <c r="O268" i="79"/>
  <c r="P216" i="79"/>
  <c r="Q202" i="79"/>
  <c r="R209" i="79"/>
  <c r="R210" i="79"/>
  <c r="R207" i="79"/>
  <c r="R208" i="79"/>
  <c r="R205" i="79"/>
  <c r="R212" i="79"/>
  <c r="R203" i="79"/>
  <c r="R206" i="79"/>
  <c r="R204" i="79"/>
  <c r="S252" i="27"/>
  <c r="T242" i="27"/>
  <c r="T246" i="27"/>
  <c r="T243" i="27"/>
  <c r="T241" i="27"/>
  <c r="T247" i="27"/>
  <c r="T245" i="27"/>
  <c r="T244" i="27"/>
  <c r="S202" i="27"/>
  <c r="T189" i="27"/>
  <c r="T189" i="78" s="1"/>
  <c r="T194" i="27"/>
  <c r="T194" i="78" s="1"/>
  <c r="T186" i="27"/>
  <c r="T186" i="78" s="1"/>
  <c r="T192" i="27"/>
  <c r="T192" i="78" s="1"/>
  <c r="T190" i="27"/>
  <c r="T190" i="78" s="1"/>
  <c r="T188" i="27"/>
  <c r="T188" i="78" s="1"/>
  <c r="T187" i="27"/>
  <c r="T187" i="78" s="1"/>
  <c r="T196" i="27"/>
  <c r="T196" i="78" s="1"/>
  <c r="T195" i="27"/>
  <c r="T195" i="78" s="1"/>
  <c r="T185" i="27"/>
  <c r="T185" i="78" s="1"/>
  <c r="T191" i="27"/>
  <c r="T191" i="78" s="1"/>
  <c r="T193" i="27"/>
  <c r="T193" i="78" s="1"/>
  <c r="T197" i="27"/>
  <c r="T197" i="78" s="1"/>
  <c r="T184" i="27"/>
  <c r="T184" i="78" s="1"/>
  <c r="T78" i="78"/>
  <c r="T78" i="79"/>
  <c r="T85" i="79"/>
  <c r="T85" i="78"/>
  <c r="T67" i="78"/>
  <c r="T67" i="79"/>
  <c r="T88" i="78"/>
  <c r="T88" i="79"/>
  <c r="T94" i="27"/>
  <c r="T66" i="78"/>
  <c r="T66" i="79"/>
  <c r="T83" i="79"/>
  <c r="T83" i="78"/>
  <c r="T87" i="78"/>
  <c r="T87" i="79"/>
  <c r="T75" i="79"/>
  <c r="T75" i="78"/>
  <c r="T81" i="78"/>
  <c r="T81" i="79"/>
  <c r="T89" i="78"/>
  <c r="T89" i="79"/>
  <c r="T82" i="78"/>
  <c r="T82" i="79"/>
  <c r="T84" i="78"/>
  <c r="T84" i="79"/>
  <c r="T91" i="79"/>
  <c r="T91" i="78"/>
  <c r="T74" i="79"/>
  <c r="T74" i="78"/>
  <c r="T80" i="79"/>
  <c r="T80" i="78"/>
  <c r="T69" i="79"/>
  <c r="T69" i="78"/>
  <c r="T92" i="78"/>
  <c r="T92" i="79"/>
  <c r="T90" i="79"/>
  <c r="T90" i="78"/>
  <c r="S94" i="79"/>
  <c r="T73" i="78"/>
  <c r="T73" i="79"/>
  <c r="T71" i="78"/>
  <c r="T71" i="79"/>
  <c r="T76" i="79"/>
  <c r="T76" i="78"/>
  <c r="T72" i="79"/>
  <c r="T72" i="78"/>
  <c r="T68" i="78"/>
  <c r="T68" i="79"/>
  <c r="T79" i="79"/>
  <c r="T79" i="78"/>
  <c r="S94" i="78"/>
  <c r="T86" i="78"/>
  <c r="T86" i="79"/>
  <c r="T70" i="78"/>
  <c r="T70" i="79"/>
  <c r="T77" i="79"/>
  <c r="T77" i="78"/>
  <c r="O269" i="79"/>
  <c r="Q216" i="78"/>
  <c r="S211" i="78"/>
  <c r="S204" i="78"/>
  <c r="S209" i="78"/>
  <c r="R202" i="78"/>
  <c r="S210" i="78"/>
  <c r="S213" i="78"/>
  <c r="S213" i="79" s="1"/>
  <c r="S214" i="78"/>
  <c r="S214" i="79" s="1"/>
  <c r="S215" i="78"/>
  <c r="S215" i="79" s="1"/>
  <c r="S208" i="78"/>
  <c r="S206" i="78"/>
  <c r="S207" i="78"/>
  <c r="S205" i="78"/>
  <c r="S203" i="78"/>
  <c r="S212" i="78"/>
  <c r="S187" i="79"/>
  <c r="S196" i="79"/>
  <c r="S186" i="79"/>
  <c r="S197" i="79"/>
  <c r="S189" i="79"/>
  <c r="S194" i="79"/>
  <c r="S188" i="79"/>
  <c r="S185" i="79"/>
  <c r="S191" i="79"/>
  <c r="S192" i="79"/>
  <c r="S193" i="79"/>
  <c r="S190" i="79"/>
  <c r="S195" i="79"/>
  <c r="T303" i="57"/>
  <c r="I303" i="57" s="1"/>
  <c r="K106" i="4" s="1"/>
  <c r="M106" i="4" s="1"/>
  <c r="T289" i="18"/>
  <c r="T208" i="27" s="1"/>
  <c r="T286" i="18"/>
  <c r="T205" i="27" s="1"/>
  <c r="T974" i="61"/>
  <c r="T1041" i="61" s="1"/>
  <c r="I1041" i="61" s="1"/>
  <c r="K137" i="4" s="1"/>
  <c r="M137" i="4" s="1"/>
  <c r="T978" i="61"/>
  <c r="T992" i="61" s="1"/>
  <c r="T202" i="69"/>
  <c r="T269" i="69" s="1"/>
  <c r="I269" i="69" s="1"/>
  <c r="K143" i="4" s="1"/>
  <c r="M143" i="4" s="1"/>
  <c r="T206" i="69"/>
  <c r="T220" i="69" s="1"/>
  <c r="R216" i="27"/>
  <c r="T291" i="18"/>
  <c r="T210" i="27" s="1"/>
  <c r="T292" i="18"/>
  <c r="T211" i="27" s="1"/>
  <c r="T206" i="77"/>
  <c r="T220" i="77" s="1"/>
  <c r="T202" i="77"/>
  <c r="T269" i="77" s="1"/>
  <c r="I269" i="77" s="1"/>
  <c r="K167" i="4" s="1"/>
  <c r="M167" i="4" s="1"/>
  <c r="T288" i="18"/>
  <c r="T207" i="27" s="1"/>
  <c r="T207" i="61"/>
  <c r="T274" i="61" s="1"/>
  <c r="I274" i="61" s="1"/>
  <c r="K119" i="4" s="1"/>
  <c r="M119" i="4" s="1"/>
  <c r="T211" i="61"/>
  <c r="T225" i="61" s="1"/>
  <c r="T464" i="61"/>
  <c r="T531" i="61" s="1"/>
  <c r="I531" i="61" s="1"/>
  <c r="K125" i="4" s="1"/>
  <c r="M125" i="4" s="1"/>
  <c r="T468" i="61"/>
  <c r="T482" i="61" s="1"/>
  <c r="T777" i="19"/>
  <c r="T791" i="19" s="1"/>
  <c r="T773" i="19"/>
  <c r="T840" i="19" s="1"/>
  <c r="I840" i="19" s="1"/>
  <c r="K41" i="4" s="1"/>
  <c r="M41" i="4" s="1"/>
  <c r="T558" i="53"/>
  <c r="T572" i="53" s="1"/>
  <c r="T554" i="53"/>
  <c r="T621" i="53" s="1"/>
  <c r="I621" i="53" s="1"/>
  <c r="K101" i="4" s="1"/>
  <c r="M101" i="4" s="1"/>
  <c r="T285" i="18"/>
  <c r="T204" i="27" s="1"/>
  <c r="T516" i="41"/>
  <c r="T530" i="41" s="1"/>
  <c r="T512" i="41"/>
  <c r="T579" i="41" s="1"/>
  <c r="I579" i="41" s="1"/>
  <c r="K65" i="4" s="1"/>
  <c r="M65" i="4" s="1"/>
  <c r="T227" i="49"/>
  <c r="T241" i="49" s="1"/>
  <c r="T223" i="49"/>
  <c r="T290" i="49" s="1"/>
  <c r="I290" i="49" s="1"/>
  <c r="K83" i="4" s="1"/>
  <c r="M83" i="4" s="1"/>
  <c r="T296" i="18"/>
  <c r="T215" i="27" s="1"/>
  <c r="T284" i="18"/>
  <c r="T203" i="27" s="1"/>
  <c r="R198" i="78"/>
  <c r="R265" i="78" s="1"/>
  <c r="R184" i="79"/>
  <c r="T241" i="57"/>
  <c r="T255" i="57" s="1"/>
  <c r="T237" i="57"/>
  <c r="T304" i="57" s="1"/>
  <c r="I304" i="57" s="1"/>
  <c r="K107" i="4" s="1"/>
  <c r="M107" i="4" s="1"/>
  <c r="T498" i="45"/>
  <c r="T565" i="45" s="1"/>
  <c r="I565" i="45" s="1"/>
  <c r="K77" i="4" s="1"/>
  <c r="M77" i="4" s="1"/>
  <c r="T502" i="45"/>
  <c r="T516" i="45" s="1"/>
  <c r="S198" i="27"/>
  <c r="T293" i="18"/>
  <c r="T212" i="27" s="1"/>
  <c r="T290" i="18"/>
  <c r="T209" i="27" s="1"/>
  <c r="T227" i="37"/>
  <c r="T241" i="37" s="1"/>
  <c r="T223" i="37"/>
  <c r="T290" i="37" s="1"/>
  <c r="I290" i="37" s="1"/>
  <c r="K47" i="4" s="1"/>
  <c r="M47" i="4" s="1"/>
  <c r="T502" i="49"/>
  <c r="T516" i="49" s="1"/>
  <c r="T498" i="49"/>
  <c r="T565" i="49" s="1"/>
  <c r="I565" i="49" s="1"/>
  <c r="K89" i="4" s="1"/>
  <c r="M89" i="4" s="1"/>
  <c r="T457" i="69"/>
  <c r="T524" i="69" s="1"/>
  <c r="I524" i="69" s="1"/>
  <c r="K149" i="4" s="1"/>
  <c r="M149" i="4" s="1"/>
  <c r="T461" i="69"/>
  <c r="T475" i="69" s="1"/>
  <c r="T223" i="41"/>
  <c r="T290" i="41" s="1"/>
  <c r="I290" i="41" s="1"/>
  <c r="K59" i="4" s="1"/>
  <c r="M59" i="4" s="1"/>
  <c r="T227" i="41"/>
  <c r="T241" i="41" s="1"/>
  <c r="T255" i="53"/>
  <c r="T269" i="53" s="1"/>
  <c r="T251" i="53"/>
  <c r="T318" i="53" s="1"/>
  <c r="I318" i="53" s="1"/>
  <c r="K95" i="4" s="1"/>
  <c r="M95" i="4" s="1"/>
  <c r="T723" i="61"/>
  <c r="T737" i="61" s="1"/>
  <c r="T719" i="61"/>
  <c r="T786" i="61" s="1"/>
  <c r="I786" i="61" s="1"/>
  <c r="K131" i="4" s="1"/>
  <c r="M131" i="4" s="1"/>
  <c r="T294" i="18"/>
  <c r="T213" i="27" s="1"/>
  <c r="T287" i="18"/>
  <c r="T206" i="27" s="1"/>
  <c r="T206" i="33"/>
  <c r="T220" i="33" s="1"/>
  <c r="T202" i="33"/>
  <c r="T269" i="33" s="1"/>
  <c r="I269" i="33" s="1"/>
  <c r="K23" i="4" s="1"/>
  <c r="M23" i="4" s="1"/>
  <c r="T523" i="57"/>
  <c r="T537" i="57" s="1"/>
  <c r="T519" i="57"/>
  <c r="T586" i="57" s="1"/>
  <c r="I586" i="57" s="1"/>
  <c r="K113" i="4" s="1"/>
  <c r="M113" i="4" s="1"/>
  <c r="T328" i="75"/>
  <c r="T395" i="75" s="1"/>
  <c r="I395" i="75" s="1"/>
  <c r="K161" i="4" s="1"/>
  <c r="M161" i="4" s="1"/>
  <c r="T332" i="75"/>
  <c r="T346" i="75" s="1"/>
  <c r="T227" i="19"/>
  <c r="T241" i="19" s="1"/>
  <c r="T223" i="19"/>
  <c r="T290" i="19" s="1"/>
  <c r="I290" i="19" s="1"/>
  <c r="K29" i="4" s="1"/>
  <c r="M29" i="4" s="1"/>
  <c r="S297" i="18"/>
  <c r="T502" i="19"/>
  <c r="T516" i="19" s="1"/>
  <c r="T498" i="19"/>
  <c r="T565" i="19" s="1"/>
  <c r="I565" i="19" s="1"/>
  <c r="K35" i="4" s="1"/>
  <c r="M35" i="4" s="1"/>
  <c r="T248" i="45"/>
  <c r="T262" i="45" s="1"/>
  <c r="T244" i="45"/>
  <c r="T311" i="45" s="1"/>
  <c r="I311" i="45" s="1"/>
  <c r="K71" i="4" s="1"/>
  <c r="M71" i="4" s="1"/>
  <c r="T295" i="18"/>
  <c r="T214" i="27" s="1"/>
  <c r="T283" i="18"/>
  <c r="T279" i="18"/>
  <c r="T346" i="18" s="1"/>
  <c r="T272" i="29"/>
  <c r="T339" i="29" s="1"/>
  <c r="I339" i="29" s="1"/>
  <c r="K17" i="4" s="1"/>
  <c r="M17" i="4" s="1"/>
  <c r="T276" i="29"/>
  <c r="T290" i="29" s="1"/>
  <c r="T477" i="37"/>
  <c r="T544" i="37" s="1"/>
  <c r="T481" i="37"/>
  <c r="T495" i="37" s="1"/>
  <c r="T725" i="69"/>
  <c r="T792" i="69" s="1"/>
  <c r="I792" i="69" s="1"/>
  <c r="K155" i="4" s="1"/>
  <c r="M155" i="4" s="1"/>
  <c r="T729" i="69"/>
  <c r="T743" i="69" s="1"/>
  <c r="R1045" i="61"/>
  <c r="R274" i="77"/>
  <c r="R529" i="69"/>
  <c r="R279" i="61"/>
  <c r="R309" i="57"/>
  <c r="R295" i="49"/>
  <c r="R344" i="29"/>
  <c r="R797" i="69"/>
  <c r="R569" i="49"/>
  <c r="R295" i="37"/>
  <c r="R569" i="19"/>
  <c r="R590" i="57"/>
  <c r="R274" i="69"/>
  <c r="P268" i="78"/>
  <c r="R790" i="61"/>
  <c r="R323" i="53"/>
  <c r="R626" i="53"/>
  <c r="R844" i="19"/>
  <c r="R549" i="37"/>
  <c r="R316" i="45"/>
  <c r="R536" i="61"/>
  <c r="R584" i="41"/>
  <c r="R294" i="41"/>
  <c r="R400" i="75"/>
  <c r="R273" i="33"/>
  <c r="R295" i="19"/>
  <c r="R569" i="45"/>
  <c r="T298" i="45"/>
  <c r="T305" i="45" s="1"/>
  <c r="T294" i="45"/>
  <c r="T312" i="45" s="1"/>
  <c r="I312" i="45" s="1"/>
  <c r="K72" i="4" s="1"/>
  <c r="M72" i="4" s="1"/>
  <c r="S244" i="79"/>
  <c r="S244" i="78"/>
  <c r="T336" i="18"/>
  <c r="T255" i="27" s="1"/>
  <c r="T329" i="18"/>
  <c r="T347" i="18" s="1"/>
  <c r="T333" i="18"/>
  <c r="T608" i="53"/>
  <c r="T615" i="53" s="1"/>
  <c r="T604" i="53"/>
  <c r="T622" i="53" s="1"/>
  <c r="I622" i="53" s="1"/>
  <c r="K102" i="4" s="1"/>
  <c r="M102" i="4" s="1"/>
  <c r="S242" i="78"/>
  <c r="S242" i="79"/>
  <c r="T382" i="75"/>
  <c r="T389" i="75" s="1"/>
  <c r="T378" i="75"/>
  <c r="T396" i="75" s="1"/>
  <c r="I396" i="75" s="1"/>
  <c r="K162" i="4" s="1"/>
  <c r="M162" i="4" s="1"/>
  <c r="T514" i="61"/>
  <c r="T532" i="61" s="1"/>
  <c r="I532" i="61" s="1"/>
  <c r="K126" i="4" s="1"/>
  <c r="M126" i="4" s="1"/>
  <c r="T518" i="61"/>
  <c r="T525" i="61" s="1"/>
  <c r="S253" i="78"/>
  <c r="S253" i="79"/>
  <c r="S255" i="78"/>
  <c r="S255" i="79"/>
  <c r="T511" i="69"/>
  <c r="T518" i="69" s="1"/>
  <c r="T507" i="69"/>
  <c r="T525" i="69" s="1"/>
  <c r="I525" i="69" s="1"/>
  <c r="K150" i="4" s="1"/>
  <c r="M150" i="4" s="1"/>
  <c r="T277" i="49"/>
  <c r="T284" i="49" s="1"/>
  <c r="T273" i="49"/>
  <c r="T291" i="49" s="1"/>
  <c r="I291" i="49" s="1"/>
  <c r="K84" i="4" s="1"/>
  <c r="M84" i="4" s="1"/>
  <c r="T823" i="19"/>
  <c r="T841" i="19" s="1"/>
  <c r="I841" i="19" s="1"/>
  <c r="K42" i="4" s="1"/>
  <c r="M42" i="4" s="1"/>
  <c r="T827" i="19"/>
  <c r="T834" i="19" s="1"/>
  <c r="T322" i="29"/>
  <c r="T340" i="29" s="1"/>
  <c r="I340" i="29" s="1"/>
  <c r="K18" i="4" s="1"/>
  <c r="M18" i="4" s="1"/>
  <c r="T326" i="29"/>
  <c r="T333" i="29" s="1"/>
  <c r="T291" i="57"/>
  <c r="T298" i="57" s="1"/>
  <c r="T287" i="57"/>
  <c r="T305" i="57" s="1"/>
  <c r="I305" i="57" s="1"/>
  <c r="K108" i="4" s="1"/>
  <c r="M108" i="4" s="1"/>
  <c r="T548" i="19"/>
  <c r="T566" i="19" s="1"/>
  <c r="I566" i="19" s="1"/>
  <c r="K36" i="4" s="1"/>
  <c r="M36" i="4" s="1"/>
  <c r="T552" i="19"/>
  <c r="T559" i="19" s="1"/>
  <c r="T1028" i="61"/>
  <c r="T1035" i="61" s="1"/>
  <c r="T1024" i="61"/>
  <c r="T1042" i="61" s="1"/>
  <c r="I1042" i="61" s="1"/>
  <c r="K138" i="4" s="1"/>
  <c r="M138" i="4" s="1"/>
  <c r="T261" i="61"/>
  <c r="T268" i="61" s="1"/>
  <c r="T257" i="61"/>
  <c r="T275" i="61" s="1"/>
  <c r="I275" i="61" s="1"/>
  <c r="K120" i="4" s="1"/>
  <c r="M120" i="4" s="1"/>
  <c r="T334" i="18"/>
  <c r="T253" i="27" s="1"/>
  <c r="T273" i="19"/>
  <c r="T291" i="19" s="1"/>
  <c r="I291" i="19" s="1"/>
  <c r="K30" i="4" s="1"/>
  <c r="M30" i="4" s="1"/>
  <c r="T277" i="19"/>
  <c r="T284" i="19" s="1"/>
  <c r="S340" i="18"/>
  <c r="S254" i="78"/>
  <c r="S254" i="79"/>
  <c r="T335" i="18"/>
  <c r="T254" i="27" s="1"/>
  <c r="T337" i="18"/>
  <c r="T256" i="27" s="1"/>
  <c r="T552" i="45"/>
  <c r="T559" i="45" s="1"/>
  <c r="T548" i="45"/>
  <c r="T566" i="45" s="1"/>
  <c r="I566" i="45" s="1"/>
  <c r="K78" i="4" s="1"/>
  <c r="M78" i="4" s="1"/>
  <c r="T277" i="37"/>
  <c r="T284" i="37" s="1"/>
  <c r="T273" i="37"/>
  <c r="T291" i="37" s="1"/>
  <c r="I291" i="37" s="1"/>
  <c r="K48" i="4" s="1"/>
  <c r="M48" i="4" s="1"/>
  <c r="S246" i="78"/>
  <c r="S246" i="79"/>
  <c r="T566" i="41"/>
  <c r="T573" i="41" s="1"/>
  <c r="T562" i="41"/>
  <c r="T580" i="41" s="1"/>
  <c r="I580" i="41" s="1"/>
  <c r="K66" i="4" s="1"/>
  <c r="M66" i="4" s="1"/>
  <c r="T552" i="49"/>
  <c r="T559" i="49" s="1"/>
  <c r="T548" i="49"/>
  <c r="T566" i="49" s="1"/>
  <c r="I566" i="49" s="1"/>
  <c r="K90" i="4" s="1"/>
  <c r="M90" i="4" s="1"/>
  <c r="T277" i="41"/>
  <c r="T284" i="41" s="1"/>
  <c r="T273" i="41"/>
  <c r="T291" i="41" s="1"/>
  <c r="I291" i="41" s="1"/>
  <c r="K60" i="4" s="1"/>
  <c r="M60" i="4" s="1"/>
  <c r="S256" i="79"/>
  <c r="S256" i="78"/>
  <c r="T256" i="69"/>
  <c r="T263" i="69" s="1"/>
  <c r="T252" i="69"/>
  <c r="T270" i="69" s="1"/>
  <c r="I270" i="69" s="1"/>
  <c r="K144" i="4" s="1"/>
  <c r="M144" i="4" s="1"/>
  <c r="T531" i="37"/>
  <c r="T538" i="37" s="1"/>
  <c r="T527" i="37"/>
  <c r="T545" i="37" s="1"/>
  <c r="S258" i="78"/>
  <c r="S258" i="79"/>
  <c r="R252" i="79"/>
  <c r="R259" i="79" s="1"/>
  <c r="R252" i="78"/>
  <c r="R259" i="78" s="1"/>
  <c r="R259" i="27"/>
  <c r="S241" i="79"/>
  <c r="S248" i="27"/>
  <c r="S241" i="78"/>
  <c r="T305" i="53"/>
  <c r="T312" i="53" s="1"/>
  <c r="T301" i="53"/>
  <c r="T319" i="53" s="1"/>
  <c r="I319" i="53" s="1"/>
  <c r="K96" i="4" s="1"/>
  <c r="M96" i="4" s="1"/>
  <c r="S243" i="79"/>
  <c r="S243" i="78"/>
  <c r="T338" i="18"/>
  <c r="T257" i="27" s="1"/>
  <c r="R266" i="27"/>
  <c r="R265" i="27"/>
  <c r="R264" i="27"/>
  <c r="S257" i="79"/>
  <c r="S257" i="78"/>
  <c r="Q268" i="27"/>
  <c r="Q269" i="27"/>
  <c r="S247" i="78"/>
  <c r="S247" i="79"/>
  <c r="S245" i="78"/>
  <c r="S245" i="79"/>
  <c r="T256" i="77"/>
  <c r="T263" i="77" s="1"/>
  <c r="T252" i="77"/>
  <c r="T270" i="77" s="1"/>
  <c r="I270" i="77" s="1"/>
  <c r="K168" i="4" s="1"/>
  <c r="M168" i="4" s="1"/>
  <c r="R248" i="79"/>
  <c r="R266" i="79" s="1"/>
  <c r="T256" i="33"/>
  <c r="T263" i="33" s="1"/>
  <c r="T252" i="33"/>
  <c r="T270" i="33" s="1"/>
  <c r="I270" i="33" s="1"/>
  <c r="K24" i="4" s="1"/>
  <c r="M24" i="4" s="1"/>
  <c r="T339" i="18"/>
  <c r="T258" i="27" s="1"/>
  <c r="T779" i="69"/>
  <c r="T786" i="69" s="1"/>
  <c r="T775" i="69"/>
  <c r="T793" i="69" s="1"/>
  <c r="I793" i="69" s="1"/>
  <c r="K156" i="4" s="1"/>
  <c r="M156" i="4" s="1"/>
  <c r="T773" i="61"/>
  <c r="T780" i="61" s="1"/>
  <c r="T769" i="61"/>
  <c r="T787" i="61" s="1"/>
  <c r="I787" i="61" s="1"/>
  <c r="K132" i="4" s="1"/>
  <c r="M132" i="4" s="1"/>
  <c r="T573" i="57"/>
  <c r="T580" i="57" s="1"/>
  <c r="T569" i="57"/>
  <c r="T587" i="57" s="1"/>
  <c r="I587" i="57" s="1"/>
  <c r="K114" i="4" s="1"/>
  <c r="M114" i="4" s="1"/>
  <c r="R350" i="18"/>
  <c r="R351" i="18"/>
  <c r="R248" i="78"/>
  <c r="R266" i="78" s="1"/>
  <c r="K69" i="84" l="1"/>
  <c r="I346" i="18"/>
  <c r="K11" i="4" s="1"/>
  <c r="M11" i="4" s="1"/>
  <c r="I347" i="18"/>
  <c r="K12" i="4" s="1"/>
  <c r="M12" i="4" s="1"/>
  <c r="I345" i="18"/>
  <c r="K10" i="4" s="1"/>
  <c r="M10" i="4" s="1"/>
  <c r="L218" i="18"/>
  <c r="L238" i="18"/>
  <c r="K350" i="18"/>
  <c r="K351" i="18"/>
  <c r="K252" i="79"/>
  <c r="K259" i="79" s="1"/>
  <c r="K259" i="27"/>
  <c r="K252" i="78"/>
  <c r="K259" i="78" s="1"/>
  <c r="J137" i="78"/>
  <c r="J121" i="79"/>
  <c r="J137" i="79" s="1"/>
  <c r="K198" i="78"/>
  <c r="K265" i="78" s="1"/>
  <c r="K184" i="79"/>
  <c r="K198" i="79" s="1"/>
  <c r="K265" i="79" s="1"/>
  <c r="J157" i="78"/>
  <c r="J269" i="78" s="1"/>
  <c r="J141" i="79"/>
  <c r="K50" i="84"/>
  <c r="K41" i="84"/>
  <c r="K117" i="78"/>
  <c r="K101" i="79"/>
  <c r="K117" i="79" s="1"/>
  <c r="J269" i="27"/>
  <c r="J268" i="27"/>
  <c r="K137" i="27"/>
  <c r="K121" i="78"/>
  <c r="K248" i="79"/>
  <c r="K266" i="79" s="1"/>
  <c r="J68" i="84"/>
  <c r="J264" i="79"/>
  <c r="K157" i="27"/>
  <c r="K141" i="78"/>
  <c r="K248" i="78"/>
  <c r="K266" i="78" s="1"/>
  <c r="J32" i="84"/>
  <c r="J45" i="84" s="1"/>
  <c r="J264" i="78"/>
  <c r="R198" i="79"/>
  <c r="R265" i="79" s="1"/>
  <c r="S144" i="79"/>
  <c r="T113" i="79"/>
  <c r="S125" i="79"/>
  <c r="S147" i="79"/>
  <c r="S211" i="79"/>
  <c r="T109" i="79"/>
  <c r="S149" i="79"/>
  <c r="S145" i="79"/>
  <c r="S146" i="79"/>
  <c r="S142" i="79"/>
  <c r="S152" i="79"/>
  <c r="S150" i="79"/>
  <c r="S143" i="79"/>
  <c r="S129" i="79"/>
  <c r="Q137" i="79"/>
  <c r="Q157" i="79"/>
  <c r="Q269" i="79" s="1"/>
  <c r="T141" i="33"/>
  <c r="T458" i="57"/>
  <c r="T151" i="27"/>
  <c r="T151" i="78" s="1"/>
  <c r="T151" i="79" s="1"/>
  <c r="T131" i="27"/>
  <c r="T131" i="78" s="1"/>
  <c r="T131" i="79" s="1"/>
  <c r="T143" i="27"/>
  <c r="T143" i="78" s="1"/>
  <c r="T153" i="27"/>
  <c r="T153" i="78" s="1"/>
  <c r="T153" i="79" s="1"/>
  <c r="T471" i="41"/>
  <c r="T584" i="41" s="1"/>
  <c r="I584" i="41" s="1"/>
  <c r="K69" i="4" s="1"/>
  <c r="M69" i="4" s="1"/>
  <c r="T732" i="19"/>
  <c r="T845" i="19" s="1"/>
  <c r="T136" i="27"/>
  <c r="T136" i="78" s="1"/>
  <c r="T136" i="79" s="1"/>
  <c r="T183" i="45"/>
  <c r="T457" i="19"/>
  <c r="T570" i="19" s="1"/>
  <c r="T145" i="27"/>
  <c r="T145" i="78" s="1"/>
  <c r="T196" i="57"/>
  <c r="T309" i="57" s="1"/>
  <c r="I309" i="57" s="1"/>
  <c r="K111" i="4" s="1"/>
  <c r="M111" i="4" s="1"/>
  <c r="T162" i="41"/>
  <c r="T287" i="75"/>
  <c r="T399" i="75" s="1"/>
  <c r="T141" i="69"/>
  <c r="T156" i="27"/>
  <c r="T156" i="78" s="1"/>
  <c r="T156" i="79" s="1"/>
  <c r="T493" i="53"/>
  <c r="T203" i="45"/>
  <c r="T315" i="45" s="1"/>
  <c r="I315" i="45" s="1"/>
  <c r="K74" i="4" s="1"/>
  <c r="M74" i="4" s="1"/>
  <c r="T117" i="27"/>
  <c r="T101" i="78"/>
  <c r="T127" i="27"/>
  <c r="T127" i="78" s="1"/>
  <c r="T127" i="79" s="1"/>
  <c r="T658" i="61"/>
  <c r="T211" i="29"/>
  <c r="T161" i="33"/>
  <c r="T274" i="33" s="1"/>
  <c r="I274" i="33" s="1"/>
  <c r="K27" i="4" s="1"/>
  <c r="M27" i="4" s="1"/>
  <c r="T478" i="57"/>
  <c r="T591" i="57" s="1"/>
  <c r="I591" i="57" s="1"/>
  <c r="K117" i="4" s="1"/>
  <c r="M117" i="4" s="1"/>
  <c r="T437" i="45"/>
  <c r="T182" i="41"/>
  <c r="T294" i="41" s="1"/>
  <c r="T129" i="27"/>
  <c r="T129" i="78" s="1"/>
  <c r="T146" i="61"/>
  <c r="T161" i="69"/>
  <c r="T274" i="69" s="1"/>
  <c r="I274" i="69" s="1"/>
  <c r="K147" i="4" s="1"/>
  <c r="M147" i="4" s="1"/>
  <c r="T190" i="53"/>
  <c r="R157" i="78"/>
  <c r="R269" i="78" s="1"/>
  <c r="R141" i="79"/>
  <c r="T513" i="53"/>
  <c r="T626" i="53" s="1"/>
  <c r="T124" i="27"/>
  <c r="T124" i="78" s="1"/>
  <c r="T124" i="79" s="1"/>
  <c r="T678" i="61"/>
  <c r="T791" i="61" s="1"/>
  <c r="T231" i="29"/>
  <c r="T343" i="29" s="1"/>
  <c r="I343" i="29" s="1"/>
  <c r="K20" i="4" s="1"/>
  <c r="M20" i="4" s="1"/>
  <c r="T130" i="27"/>
  <c r="T130" i="78" s="1"/>
  <c r="T130" i="79" s="1"/>
  <c r="T126" i="27"/>
  <c r="T126" i="78" s="1"/>
  <c r="T126" i="79" s="1"/>
  <c r="T457" i="45"/>
  <c r="T569" i="45" s="1"/>
  <c r="I569" i="45" s="1"/>
  <c r="K80" i="4" s="1"/>
  <c r="M80" i="4" s="1"/>
  <c r="T149" i="27"/>
  <c r="T149" i="78" s="1"/>
  <c r="T166" i="61"/>
  <c r="T278" i="61" s="1"/>
  <c r="T210" i="53"/>
  <c r="T322" i="53" s="1"/>
  <c r="I322" i="53" s="1"/>
  <c r="K98" i="4" s="1"/>
  <c r="M98" i="4" s="1"/>
  <c r="T132" i="27"/>
  <c r="T132" i="78" s="1"/>
  <c r="T132" i="79" s="1"/>
  <c r="S137" i="27"/>
  <c r="S121" i="78"/>
  <c r="T218" i="18"/>
  <c r="T121" i="27"/>
  <c r="T162" i="37"/>
  <c r="T144" i="27"/>
  <c r="T144" i="78" s="1"/>
  <c r="T150" i="27"/>
  <c r="T150" i="78" s="1"/>
  <c r="T146" i="27"/>
  <c r="T146" i="78" s="1"/>
  <c r="T122" i="27"/>
  <c r="T122" i="78" s="1"/>
  <c r="T122" i="79" s="1"/>
  <c r="T664" i="69"/>
  <c r="T152" i="27"/>
  <c r="T152" i="78" s="1"/>
  <c r="R137" i="78"/>
  <c r="R121" i="79"/>
  <c r="T141" i="77"/>
  <c r="T141" i="27"/>
  <c r="T238" i="18"/>
  <c r="T182" i="37"/>
  <c r="T295" i="37" s="1"/>
  <c r="T416" i="37"/>
  <c r="S117" i="78"/>
  <c r="S101" i="79"/>
  <c r="S117" i="79" s="1"/>
  <c r="T396" i="69"/>
  <c r="T913" i="61"/>
  <c r="T142" i="27"/>
  <c r="T142" i="78" s="1"/>
  <c r="S157" i="27"/>
  <c r="S141" i="78"/>
  <c r="T403" i="61"/>
  <c r="T161" i="77"/>
  <c r="T274" i="77" s="1"/>
  <c r="T135" i="27"/>
  <c r="T135" i="78" s="1"/>
  <c r="T135" i="79" s="1"/>
  <c r="T162" i="19"/>
  <c r="T436" i="37"/>
  <c r="T548" i="37" s="1"/>
  <c r="T128" i="27"/>
  <c r="T128" i="78" s="1"/>
  <c r="T128" i="79" s="1"/>
  <c r="T437" i="49"/>
  <c r="T134" i="27"/>
  <c r="T134" i="78" s="1"/>
  <c r="T134" i="79" s="1"/>
  <c r="T933" i="61"/>
  <c r="T1045" i="61" s="1"/>
  <c r="I1045" i="61" s="1"/>
  <c r="K140" i="4" s="1"/>
  <c r="M140" i="4" s="1"/>
  <c r="T123" i="27"/>
  <c r="T123" i="78" s="1"/>
  <c r="T123" i="79" s="1"/>
  <c r="T684" i="69"/>
  <c r="T796" i="69" s="1"/>
  <c r="T423" i="61"/>
  <c r="T535" i="61" s="1"/>
  <c r="I535" i="61" s="1"/>
  <c r="K128" i="4" s="1"/>
  <c r="M128" i="4" s="1"/>
  <c r="T155" i="27"/>
  <c r="T155" i="78" s="1"/>
  <c r="T155" i="79" s="1"/>
  <c r="T182" i="19"/>
  <c r="T294" i="19" s="1"/>
  <c r="I294" i="19" s="1"/>
  <c r="K32" i="4" s="1"/>
  <c r="M32" i="4" s="1"/>
  <c r="T148" i="27"/>
  <c r="T148" i="78" s="1"/>
  <c r="T148" i="79" s="1"/>
  <c r="T457" i="49"/>
  <c r="T570" i="49" s="1"/>
  <c r="T416" i="69"/>
  <c r="T528" i="69" s="1"/>
  <c r="I528" i="69" s="1"/>
  <c r="K152" i="4" s="1"/>
  <c r="M152" i="4" s="1"/>
  <c r="T154" i="27"/>
  <c r="T154" i="78" s="1"/>
  <c r="T154" i="79" s="1"/>
  <c r="T162" i="49"/>
  <c r="T267" i="75"/>
  <c r="T133" i="27"/>
  <c r="T133" i="78" s="1"/>
  <c r="T133" i="79" s="1"/>
  <c r="T451" i="41"/>
  <c r="T712" i="19"/>
  <c r="T437" i="19"/>
  <c r="T125" i="27"/>
  <c r="T125" i="78" s="1"/>
  <c r="T176" i="57"/>
  <c r="T147" i="27"/>
  <c r="T147" i="78" s="1"/>
  <c r="T182" i="49"/>
  <c r="T295" i="49" s="1"/>
  <c r="Q264" i="79"/>
  <c r="Q68" i="84"/>
  <c r="R264" i="78"/>
  <c r="S69" i="84"/>
  <c r="P268" i="79"/>
  <c r="Q216" i="79"/>
  <c r="S209" i="79"/>
  <c r="S206" i="79"/>
  <c r="S204" i="79"/>
  <c r="S208" i="79"/>
  <c r="S207" i="79"/>
  <c r="S212" i="79"/>
  <c r="S203" i="79"/>
  <c r="S210" i="79"/>
  <c r="S205" i="79"/>
  <c r="R202" i="79"/>
  <c r="T252" i="27"/>
  <c r="T202" i="27"/>
  <c r="T94" i="79"/>
  <c r="T94" i="78"/>
  <c r="Q268" i="78"/>
  <c r="R216" i="78"/>
  <c r="T215" i="78"/>
  <c r="T215" i="79" s="1"/>
  <c r="T207" i="78"/>
  <c r="T208" i="78"/>
  <c r="T209" i="78"/>
  <c r="T211" i="78"/>
  <c r="T206" i="78"/>
  <c r="T212" i="78"/>
  <c r="T214" i="78"/>
  <c r="T214" i="79" s="1"/>
  <c r="T213" i="78"/>
  <c r="T213" i="79" s="1"/>
  <c r="S202" i="78"/>
  <c r="T203" i="78"/>
  <c r="T204" i="78"/>
  <c r="T210" i="78"/>
  <c r="T205" i="78"/>
  <c r="T197" i="79"/>
  <c r="T193" i="79"/>
  <c r="T195" i="79"/>
  <c r="T194" i="79"/>
  <c r="T189" i="79"/>
  <c r="T187" i="79"/>
  <c r="T185" i="79"/>
  <c r="T186" i="79"/>
  <c r="T192" i="79"/>
  <c r="T196" i="79"/>
  <c r="T188" i="79"/>
  <c r="T191" i="79"/>
  <c r="T190" i="79"/>
  <c r="T198" i="27"/>
  <c r="S216" i="27"/>
  <c r="T297" i="18"/>
  <c r="S198" i="78"/>
  <c r="S265" i="78" s="1"/>
  <c r="S184" i="79"/>
  <c r="Q269" i="78"/>
  <c r="S273" i="33"/>
  <c r="S570" i="19"/>
  <c r="S845" i="19"/>
  <c r="S278" i="61"/>
  <c r="S316" i="45"/>
  <c r="S295" i="19"/>
  <c r="S295" i="37"/>
  <c r="S273" i="69"/>
  <c r="S536" i="61"/>
  <c r="S295" i="49"/>
  <c r="S791" i="61"/>
  <c r="S583" i="41"/>
  <c r="S294" i="41"/>
  <c r="S570" i="45"/>
  <c r="S1046" i="61"/>
  <c r="S323" i="53"/>
  <c r="S590" i="57"/>
  <c r="S274" i="77"/>
  <c r="S626" i="53"/>
  <c r="S399" i="75"/>
  <c r="S529" i="69"/>
  <c r="S344" i="29"/>
  <c r="S570" i="49"/>
  <c r="S796" i="69"/>
  <c r="S308" i="57"/>
  <c r="S548" i="37"/>
  <c r="S248" i="78"/>
  <c r="S266" i="78" s="1"/>
  <c r="S248" i="79"/>
  <c r="S266" i="79" s="1"/>
  <c r="S350" i="18"/>
  <c r="S351" i="18"/>
  <c r="T241" i="79"/>
  <c r="T241" i="78"/>
  <c r="T248" i="27"/>
  <c r="S265" i="27"/>
  <c r="S264" i="27"/>
  <c r="S266" i="27"/>
  <c r="S252" i="79"/>
  <c r="S259" i="79" s="1"/>
  <c r="S259" i="27"/>
  <c r="S252" i="78"/>
  <c r="S259" i="78" s="1"/>
  <c r="T340" i="18"/>
  <c r="T258" i="78"/>
  <c r="T258" i="79"/>
  <c r="T243" i="79"/>
  <c r="T243" i="78"/>
  <c r="T247" i="78"/>
  <c r="T247" i="79"/>
  <c r="T257" i="78"/>
  <c r="T257" i="79"/>
  <c r="T246" i="78"/>
  <c r="T246" i="79"/>
  <c r="T254" i="78"/>
  <c r="T254" i="79"/>
  <c r="T242" i="78"/>
  <c r="T242" i="79"/>
  <c r="T253" i="78"/>
  <c r="T253" i="79"/>
  <c r="T244" i="78"/>
  <c r="T244" i="79"/>
  <c r="R269" i="27"/>
  <c r="R268" i="27"/>
  <c r="T245" i="79"/>
  <c r="T245" i="78"/>
  <c r="T255" i="78"/>
  <c r="T255" i="79"/>
  <c r="T256" i="78"/>
  <c r="T256" i="79"/>
  <c r="J157" i="79" l="1"/>
  <c r="J269" i="79" s="1"/>
  <c r="J36" i="84"/>
  <c r="J40" i="84" s="1"/>
  <c r="L350" i="18"/>
  <c r="L351" i="18"/>
  <c r="K157" i="78"/>
  <c r="K269" i="78" s="1"/>
  <c r="K141" i="79"/>
  <c r="K268" i="27"/>
  <c r="K269" i="27"/>
  <c r="K137" i="78"/>
  <c r="K121" i="79"/>
  <c r="K137" i="79" s="1"/>
  <c r="K68" i="84"/>
  <c r="K264" i="79"/>
  <c r="K32" i="84"/>
  <c r="K45" i="84" s="1"/>
  <c r="K264" i="78"/>
  <c r="T149" i="79"/>
  <c r="T144" i="79"/>
  <c r="T152" i="79"/>
  <c r="S198" i="79"/>
  <c r="S265" i="79" s="1"/>
  <c r="T125" i="79"/>
  <c r="T146" i="79"/>
  <c r="T143" i="79"/>
  <c r="T211" i="79"/>
  <c r="T142" i="79"/>
  <c r="T150" i="79"/>
  <c r="T145" i="79"/>
  <c r="T147" i="79"/>
  <c r="T129" i="79"/>
  <c r="R137" i="79"/>
  <c r="R157" i="79"/>
  <c r="R269" i="79" s="1"/>
  <c r="T157" i="27"/>
  <c r="T141" i="78"/>
  <c r="T137" i="27"/>
  <c r="T121" i="78"/>
  <c r="S137" i="78"/>
  <c r="S121" i="79"/>
  <c r="S157" i="78"/>
  <c r="S141" i="79"/>
  <c r="T117" i="78"/>
  <c r="T101" i="79"/>
  <c r="T117" i="79" s="1"/>
  <c r="R264" i="79"/>
  <c r="R68" i="84"/>
  <c r="S264" i="78"/>
  <c r="T69" i="84"/>
  <c r="Q268" i="79"/>
  <c r="R216" i="79"/>
  <c r="T212" i="79"/>
  <c r="T205" i="79"/>
  <c r="T206" i="79"/>
  <c r="T210" i="79"/>
  <c r="T204" i="79"/>
  <c r="T209" i="79"/>
  <c r="T203" i="79"/>
  <c r="T208" i="79"/>
  <c r="S202" i="79"/>
  <c r="T207" i="79"/>
  <c r="S216" i="78"/>
  <c r="T202" i="78"/>
  <c r="T216" i="27"/>
  <c r="T184" i="79"/>
  <c r="T198" i="78"/>
  <c r="I295" i="37"/>
  <c r="K51" i="4" s="1"/>
  <c r="M51" i="4" s="1"/>
  <c r="I278" i="61"/>
  <c r="K122" i="4" s="1"/>
  <c r="M122" i="4" s="1"/>
  <c r="I295" i="49"/>
  <c r="K87" i="4" s="1"/>
  <c r="M87" i="4" s="1"/>
  <c r="T400" i="75"/>
  <c r="I400" i="75" s="1"/>
  <c r="K165" i="4" s="1"/>
  <c r="M165" i="4" s="1"/>
  <c r="I845" i="19"/>
  <c r="K45" i="4" s="1"/>
  <c r="M45" i="4" s="1"/>
  <c r="I570" i="19"/>
  <c r="K39" i="4" s="1"/>
  <c r="M39" i="4" s="1"/>
  <c r="T1046" i="61"/>
  <c r="I1046" i="61" s="1"/>
  <c r="K141" i="4" s="1"/>
  <c r="M141" i="4" s="1"/>
  <c r="T279" i="61"/>
  <c r="I279" i="61" s="1"/>
  <c r="K123" i="4" s="1"/>
  <c r="M123" i="4" s="1"/>
  <c r="T344" i="29"/>
  <c r="I344" i="29" s="1"/>
  <c r="K21" i="4" s="1"/>
  <c r="M21" i="4" s="1"/>
  <c r="T529" i="69"/>
  <c r="I529" i="69" s="1"/>
  <c r="K153" i="4" s="1"/>
  <c r="M153" i="4" s="1"/>
  <c r="R268" i="78"/>
  <c r="T569" i="49"/>
  <c r="I569" i="49" s="1"/>
  <c r="K92" i="4" s="1"/>
  <c r="M92" i="4" s="1"/>
  <c r="T844" i="19"/>
  <c r="I844" i="19" s="1"/>
  <c r="K44" i="4" s="1"/>
  <c r="M44" i="4" s="1"/>
  <c r="I791" i="61"/>
  <c r="K135" i="4" s="1"/>
  <c r="M135" i="4" s="1"/>
  <c r="T790" i="61"/>
  <c r="I790" i="61" s="1"/>
  <c r="K134" i="4" s="1"/>
  <c r="M134" i="4" s="1"/>
  <c r="T549" i="37"/>
  <c r="T294" i="49"/>
  <c r="I294" i="49" s="1"/>
  <c r="K86" i="4" s="1"/>
  <c r="M86" i="4" s="1"/>
  <c r="T295" i="41"/>
  <c r="I295" i="41" s="1"/>
  <c r="K63" i="4" s="1"/>
  <c r="M63" i="4" s="1"/>
  <c r="T570" i="45"/>
  <c r="I570" i="45" s="1"/>
  <c r="K81" i="4" s="1"/>
  <c r="M81" i="4" s="1"/>
  <c r="T590" i="57"/>
  <c r="I590" i="57" s="1"/>
  <c r="K116" i="4" s="1"/>
  <c r="M116" i="4" s="1"/>
  <c r="T583" i="41"/>
  <c r="I583" i="41" s="1"/>
  <c r="K68" i="4" s="1"/>
  <c r="M68" i="4" s="1"/>
  <c r="T273" i="77"/>
  <c r="I273" i="77" s="1"/>
  <c r="K170" i="4" s="1"/>
  <c r="M170" i="4" s="1"/>
  <c r="T295" i="19"/>
  <c r="I295" i="19" s="1"/>
  <c r="K33" i="4" s="1"/>
  <c r="M33" i="4" s="1"/>
  <c r="I294" i="41"/>
  <c r="K62" i="4" s="1"/>
  <c r="M62" i="4" s="1"/>
  <c r="T569" i="19"/>
  <c r="I569" i="19" s="1"/>
  <c r="K38" i="4" s="1"/>
  <c r="M38" i="4" s="1"/>
  <c r="T536" i="61"/>
  <c r="I536" i="61" s="1"/>
  <c r="K129" i="4" s="1"/>
  <c r="M129" i="4" s="1"/>
  <c r="T273" i="33"/>
  <c r="I273" i="33" s="1"/>
  <c r="K26" i="4" s="1"/>
  <c r="M26" i="4" s="1"/>
  <c r="T323" i="53"/>
  <c r="I323" i="53" s="1"/>
  <c r="K99" i="4" s="1"/>
  <c r="M99" i="4" s="1"/>
  <c r="I796" i="69"/>
  <c r="K158" i="4" s="1"/>
  <c r="M158" i="4" s="1"/>
  <c r="I399" i="75"/>
  <c r="K164" i="4" s="1"/>
  <c r="M164" i="4" s="1"/>
  <c r="I274" i="77"/>
  <c r="K171" i="4" s="1"/>
  <c r="M171" i="4" s="1"/>
  <c r="T797" i="69"/>
  <c r="I797" i="69" s="1"/>
  <c r="K159" i="4" s="1"/>
  <c r="M159" i="4" s="1"/>
  <c r="T308" i="57"/>
  <c r="I308" i="57" s="1"/>
  <c r="K110" i="4" s="1"/>
  <c r="M110" i="4" s="1"/>
  <c r="T273" i="69"/>
  <c r="I273" i="69" s="1"/>
  <c r="K146" i="4" s="1"/>
  <c r="M146" i="4" s="1"/>
  <c r="I626" i="53"/>
  <c r="K105" i="4" s="1"/>
  <c r="M105" i="4" s="1"/>
  <c r="T316" i="45"/>
  <c r="I316" i="45" s="1"/>
  <c r="K75" i="4" s="1"/>
  <c r="M75" i="4" s="1"/>
  <c r="T294" i="37"/>
  <c r="I294" i="37" s="1"/>
  <c r="K50" i="4" s="1"/>
  <c r="M50" i="4" s="1"/>
  <c r="I570" i="49"/>
  <c r="K93" i="4" s="1"/>
  <c r="M93" i="4" s="1"/>
  <c r="T625" i="53"/>
  <c r="I625" i="53" s="1"/>
  <c r="K104" i="4" s="1"/>
  <c r="M104" i="4" s="1"/>
  <c r="S268" i="27"/>
  <c r="S269" i="27"/>
  <c r="T248" i="78"/>
  <c r="T264" i="27"/>
  <c r="T265" i="27"/>
  <c r="T266" i="27"/>
  <c r="T252" i="79"/>
  <c r="T259" i="79" s="1"/>
  <c r="T252" i="78"/>
  <c r="T259" i="78" s="1"/>
  <c r="T259" i="27"/>
  <c r="T248" i="79"/>
  <c r="T350" i="18"/>
  <c r="T351" i="18"/>
  <c r="J49" i="84" l="1"/>
  <c r="I350" i="18"/>
  <c r="K14" i="4" s="1"/>
  <c r="M14" i="4" s="1"/>
  <c r="K36" i="84"/>
  <c r="K49" i="84" s="1"/>
  <c r="K157" i="79"/>
  <c r="K269" i="79" s="1"/>
  <c r="I351" i="18"/>
  <c r="K15" i="4" s="1"/>
  <c r="M15" i="4" s="1"/>
  <c r="T198" i="79"/>
  <c r="T265" i="79" s="1"/>
  <c r="S137" i="79"/>
  <c r="S157" i="79"/>
  <c r="S269" i="79" s="1"/>
  <c r="T137" i="78"/>
  <c r="T121" i="79"/>
  <c r="T157" i="78"/>
  <c r="T269" i="78" s="1"/>
  <c r="T141" i="79"/>
  <c r="S264" i="79"/>
  <c r="S68" i="84"/>
  <c r="R268" i="79"/>
  <c r="S216" i="79"/>
  <c r="T202" i="79"/>
  <c r="S268" i="78"/>
  <c r="T216" i="78"/>
  <c r="T266" i="79"/>
  <c r="T266" i="78"/>
  <c r="S269" i="78"/>
  <c r="T265" i="78"/>
  <c r="T264" i="78"/>
  <c r="T269" i="27"/>
  <c r="T268" i="27"/>
  <c r="K40" i="84" l="1"/>
  <c r="T137" i="79"/>
  <c r="T157" i="79"/>
  <c r="T264" i="79"/>
  <c r="T68" i="84"/>
  <c r="S268" i="79"/>
  <c r="T216" i="79"/>
  <c r="T268" i="78"/>
  <c r="T269" i="79" l="1"/>
  <c r="T268" i="79"/>
  <c r="M350" i="37"/>
  <c r="M336" i="37" l="1"/>
  <c r="M41" i="27" s="1"/>
  <c r="M352" i="37"/>
  <c r="M364" i="37"/>
  <c r="M366" i="37" s="1"/>
  <c r="M357" i="37"/>
  <c r="M359" i="37" s="1"/>
  <c r="M62" i="27" l="1"/>
  <c r="M41" i="78"/>
  <c r="M62" i="78" s="1"/>
  <c r="M41" i="79"/>
  <c r="M62" i="79" s="1"/>
  <c r="M371" i="37"/>
  <c r="M384" i="37" l="1"/>
  <c r="M383" i="37"/>
  <c r="M387" i="37"/>
  <c r="M395" i="37"/>
  <c r="M394" i="37"/>
  <c r="M390" i="37"/>
  <c r="M382" i="37"/>
  <c r="M393" i="37"/>
  <c r="M385" i="37"/>
  <c r="M386" i="37"/>
  <c r="M388" i="37"/>
  <c r="M389" i="37"/>
  <c r="M391" i="37"/>
  <c r="M392" i="37"/>
  <c r="M381" i="37"/>
  <c r="M380" i="37"/>
  <c r="L336" i="37"/>
  <c r="L41" i="27" s="1"/>
  <c r="L357" i="37"/>
  <c r="L359" i="37" s="1"/>
  <c r="L364" i="37"/>
  <c r="L366" i="37" s="1"/>
  <c r="L350" i="37"/>
  <c r="M373" i="37"/>
  <c r="M73" i="27" s="1"/>
  <c r="M471" i="37"/>
  <c r="M192" i="27" s="1"/>
  <c r="M523" i="37"/>
  <c r="M244" i="27" s="1"/>
  <c r="M474" i="37"/>
  <c r="M195" i="27" s="1"/>
  <c r="M473" i="37"/>
  <c r="M194" i="27" s="1"/>
  <c r="M469" i="37"/>
  <c r="M190" i="27" s="1"/>
  <c r="M472" i="37"/>
  <c r="M193" i="27" s="1"/>
  <c r="M524" i="37"/>
  <c r="M245" i="27" s="1"/>
  <c r="M521" i="37"/>
  <c r="M242" i="27" s="1"/>
  <c r="M465" i="37"/>
  <c r="M186" i="27" s="1"/>
  <c r="M525" i="37"/>
  <c r="M246" i="27" s="1"/>
  <c r="M522" i="37"/>
  <c r="M243" i="27" s="1"/>
  <c r="M475" i="37"/>
  <c r="M196" i="27" s="1"/>
  <c r="M467" i="37"/>
  <c r="M188" i="27" s="1"/>
  <c r="M470" i="37"/>
  <c r="M191" i="27" s="1"/>
  <c r="M466" i="37"/>
  <c r="M187" i="27" s="1"/>
  <c r="M464" i="37"/>
  <c r="M185" i="27" s="1"/>
  <c r="M526" i="37"/>
  <c r="M247" i="27" s="1"/>
  <c r="M520" i="37"/>
  <c r="M241" i="27" s="1"/>
  <c r="M468" i="37"/>
  <c r="M189" i="27" s="1"/>
  <c r="M463" i="37"/>
  <c r="M184" i="27" s="1"/>
  <c r="M476" i="37"/>
  <c r="M197" i="27" s="1"/>
  <c r="M420" i="37" l="1"/>
  <c r="M400" i="37"/>
  <c r="M396" i="37"/>
  <c r="M543" i="37" s="1"/>
  <c r="M101" i="27"/>
  <c r="M433" i="37"/>
  <c r="M154" i="27" s="1"/>
  <c r="M154" i="78" s="1"/>
  <c r="M413" i="37"/>
  <c r="M134" i="27" s="1"/>
  <c r="M134" i="78" s="1"/>
  <c r="M114" i="27"/>
  <c r="M114" i="78" s="1"/>
  <c r="M114" i="79" s="1"/>
  <c r="M421" i="37"/>
  <c r="M142" i="27" s="1"/>
  <c r="M401" i="37"/>
  <c r="M122" i="27" s="1"/>
  <c r="M122" i="78" s="1"/>
  <c r="M122" i="79" s="1"/>
  <c r="M102" i="27"/>
  <c r="M422" i="37"/>
  <c r="M143" i="27" s="1"/>
  <c r="M402" i="37"/>
  <c r="M123" i="27" s="1"/>
  <c r="M123" i="78" s="1"/>
  <c r="M123" i="79" s="1"/>
  <c r="M103" i="27"/>
  <c r="M432" i="37"/>
  <c r="M153" i="27" s="1"/>
  <c r="M153" i="78" s="1"/>
  <c r="M153" i="79" s="1"/>
  <c r="M412" i="37"/>
  <c r="M133" i="27" s="1"/>
  <c r="M133" i="78" s="1"/>
  <c r="M113" i="27"/>
  <c r="M113" i="78" s="1"/>
  <c r="M430" i="37"/>
  <c r="M151" i="27" s="1"/>
  <c r="M410" i="37"/>
  <c r="M131" i="27" s="1"/>
  <c r="M131" i="78" s="1"/>
  <c r="M131" i="79" s="1"/>
  <c r="M111" i="27"/>
  <c r="M431" i="37"/>
  <c r="M152" i="27" s="1"/>
  <c r="M411" i="37"/>
  <c r="M132" i="27" s="1"/>
  <c r="M132" i="78" s="1"/>
  <c r="M132" i="79" s="1"/>
  <c r="M112" i="27"/>
  <c r="M434" i="37"/>
  <c r="M155" i="27" s="1"/>
  <c r="M155" i="78" s="1"/>
  <c r="M414" i="37"/>
  <c r="M135" i="27" s="1"/>
  <c r="M135" i="78" s="1"/>
  <c r="M115" i="27"/>
  <c r="M115" i="78" s="1"/>
  <c r="M115" i="79" s="1"/>
  <c r="M429" i="37"/>
  <c r="M150" i="27" s="1"/>
  <c r="M409" i="37"/>
  <c r="M130" i="27" s="1"/>
  <c r="M130" i="78" s="1"/>
  <c r="M130" i="79" s="1"/>
  <c r="M110" i="27"/>
  <c r="M435" i="37"/>
  <c r="M156" i="27" s="1"/>
  <c r="M156" i="78" s="1"/>
  <c r="M156" i="79" s="1"/>
  <c r="M415" i="37"/>
  <c r="M136" i="27" s="1"/>
  <c r="M136" i="78" s="1"/>
  <c r="M116" i="27"/>
  <c r="M116" i="78" s="1"/>
  <c r="M116" i="79" s="1"/>
  <c r="M428" i="37"/>
  <c r="M149" i="27" s="1"/>
  <c r="M408" i="37"/>
  <c r="M129" i="27" s="1"/>
  <c r="M129" i="78" s="1"/>
  <c r="M109" i="27"/>
  <c r="M427" i="37"/>
  <c r="M148" i="27" s="1"/>
  <c r="M407" i="37"/>
  <c r="M128" i="27" s="1"/>
  <c r="M128" i="78" s="1"/>
  <c r="M128" i="79" s="1"/>
  <c r="M108" i="27"/>
  <c r="M426" i="37"/>
  <c r="M147" i="27" s="1"/>
  <c r="M406" i="37"/>
  <c r="M127" i="27" s="1"/>
  <c r="M127" i="78" s="1"/>
  <c r="M127" i="79" s="1"/>
  <c r="M107" i="27"/>
  <c r="M423" i="37"/>
  <c r="M144" i="27" s="1"/>
  <c r="M403" i="37"/>
  <c r="M124" i="27" s="1"/>
  <c r="M124" i="78" s="1"/>
  <c r="M124" i="79" s="1"/>
  <c r="M104" i="27"/>
  <c r="M425" i="37"/>
  <c r="M146" i="27" s="1"/>
  <c r="M405" i="37"/>
  <c r="M126" i="27" s="1"/>
  <c r="M126" i="78" s="1"/>
  <c r="M126" i="79" s="1"/>
  <c r="M106" i="27"/>
  <c r="M424" i="37"/>
  <c r="M145" i="27" s="1"/>
  <c r="M404" i="37"/>
  <c r="M125" i="27" s="1"/>
  <c r="M125" i="78" s="1"/>
  <c r="M105" i="27"/>
  <c r="L62" i="27"/>
  <c r="L41" i="78"/>
  <c r="L62" i="78" s="1"/>
  <c r="L41" i="79"/>
  <c r="L62" i="79" s="1"/>
  <c r="M73" i="79"/>
  <c r="M94" i="79" s="1"/>
  <c r="M73" i="78"/>
  <c r="M94" i="78" s="1"/>
  <c r="M94" i="27"/>
  <c r="L371" i="37"/>
  <c r="L352" i="37"/>
  <c r="M492" i="37"/>
  <c r="M482" i="37"/>
  <c r="M536" i="37"/>
  <c r="M257" i="27" s="1"/>
  <c r="M490" i="37"/>
  <c r="M534" i="37"/>
  <c r="M255" i="27" s="1"/>
  <c r="M494" i="37"/>
  <c r="M533" i="37"/>
  <c r="M254" i="27" s="1"/>
  <c r="M486" i="37"/>
  <c r="M537" i="37"/>
  <c r="M258" i="27" s="1"/>
  <c r="M484" i="37"/>
  <c r="M485" i="37"/>
  <c r="M483" i="37"/>
  <c r="M487" i="37"/>
  <c r="M489" i="37"/>
  <c r="M535" i="37"/>
  <c r="M256" i="27" s="1"/>
  <c r="M481" i="37"/>
  <c r="M202" i="27" s="1"/>
  <c r="M477" i="37"/>
  <c r="M544" i="37" s="1"/>
  <c r="M531" i="37"/>
  <c r="M252" i="27" s="1"/>
  <c r="M527" i="37"/>
  <c r="M545" i="37" s="1"/>
  <c r="M488" i="37"/>
  <c r="M493" i="37"/>
  <c r="M532" i="37"/>
  <c r="M253" i="27" s="1"/>
  <c r="M491" i="37"/>
  <c r="M155" i="79" l="1"/>
  <c r="M154" i="79"/>
  <c r="M125" i="79"/>
  <c r="M135" i="79"/>
  <c r="M113" i="79"/>
  <c r="M133" i="79"/>
  <c r="M136" i="79"/>
  <c r="M134" i="79"/>
  <c r="M129" i="79"/>
  <c r="L395" i="37"/>
  <c r="L394" i="37"/>
  <c r="L380" i="37"/>
  <c r="L381" i="37"/>
  <c r="L383" i="37"/>
  <c r="L384" i="37"/>
  <c r="L386" i="37"/>
  <c r="L387" i="37"/>
  <c r="L390" i="37"/>
  <c r="L382" i="37"/>
  <c r="L393" i="37"/>
  <c r="L385" i="37"/>
  <c r="L389" i="37"/>
  <c r="L388" i="37"/>
  <c r="L392" i="37"/>
  <c r="L391" i="37"/>
  <c r="M117" i="27"/>
  <c r="M416" i="37"/>
  <c r="M121" i="27"/>
  <c r="M436" i="37"/>
  <c r="M141" i="27"/>
  <c r="M157" i="27" s="1"/>
  <c r="M206" i="27"/>
  <c r="M213" i="27"/>
  <c r="M209" i="27"/>
  <c r="M210" i="27"/>
  <c r="M205" i="27"/>
  <c r="M215" i="27"/>
  <c r="M208" i="27"/>
  <c r="M207" i="27"/>
  <c r="M212" i="27"/>
  <c r="M204" i="27"/>
  <c r="M214" i="27"/>
  <c r="M211" i="27"/>
  <c r="M203" i="27"/>
  <c r="L470" i="37"/>
  <c r="L191" i="27" s="1"/>
  <c r="L465" i="37"/>
  <c r="L186" i="27" s="1"/>
  <c r="L472" i="37"/>
  <c r="L193" i="27" s="1"/>
  <c r="L474" i="37"/>
  <c r="L195" i="27" s="1"/>
  <c r="L525" i="37"/>
  <c r="L246" i="27" s="1"/>
  <c r="L521" i="37"/>
  <c r="L242" i="27" s="1"/>
  <c r="L468" i="37"/>
  <c r="L189" i="27" s="1"/>
  <c r="L476" i="37"/>
  <c r="L197" i="27" s="1"/>
  <c r="L467" i="37"/>
  <c r="L188" i="27" s="1"/>
  <c r="L475" i="37"/>
  <c r="L196" i="27" s="1"/>
  <c r="L520" i="37"/>
  <c r="L241" i="27" s="1"/>
  <c r="L526" i="37"/>
  <c r="L247" i="27" s="1"/>
  <c r="L471" i="37"/>
  <c r="L192" i="27" s="1"/>
  <c r="L469" i="37"/>
  <c r="L190" i="27" s="1"/>
  <c r="L464" i="37"/>
  <c r="L185" i="27" s="1"/>
  <c r="L524" i="37"/>
  <c r="L245" i="27" s="1"/>
  <c r="L463" i="37"/>
  <c r="L184" i="27" s="1"/>
  <c r="L466" i="37"/>
  <c r="L187" i="27" s="1"/>
  <c r="L473" i="37"/>
  <c r="L194" i="27" s="1"/>
  <c r="L523" i="37"/>
  <c r="L244" i="27" s="1"/>
  <c r="L522" i="37"/>
  <c r="L243" i="27" s="1"/>
  <c r="L373" i="37"/>
  <c r="L73" i="27" s="1"/>
  <c r="M538" i="37"/>
  <c r="M247" i="79"/>
  <c r="M247" i="78"/>
  <c r="M258" i="79"/>
  <c r="M258" i="78"/>
  <c r="M255" i="78"/>
  <c r="M255" i="79"/>
  <c r="M257" i="78"/>
  <c r="M257" i="79"/>
  <c r="M253" i="78"/>
  <c r="M253" i="79"/>
  <c r="M242" i="79"/>
  <c r="M242" i="78"/>
  <c r="M198" i="27"/>
  <c r="M256" i="79"/>
  <c r="M256" i="78"/>
  <c r="M243" i="79"/>
  <c r="M243" i="78"/>
  <c r="M244" i="78"/>
  <c r="M244" i="79"/>
  <c r="M246" i="78"/>
  <c r="M246" i="79"/>
  <c r="M241" i="78"/>
  <c r="M241" i="79"/>
  <c r="M248" i="27"/>
  <c r="M495" i="37"/>
  <c r="M245" i="79"/>
  <c r="M245" i="78"/>
  <c r="M254" i="79"/>
  <c r="M254" i="78"/>
  <c r="L432" i="37" l="1"/>
  <c r="L153" i="27" s="1"/>
  <c r="L153" i="78" s="1"/>
  <c r="L153" i="79" s="1"/>
  <c r="L412" i="37"/>
  <c r="L133" i="27" s="1"/>
  <c r="L133" i="78" s="1"/>
  <c r="L113" i="27"/>
  <c r="L113" i="78" s="1"/>
  <c r="L426" i="37"/>
  <c r="L147" i="27" s="1"/>
  <c r="L147" i="78" s="1"/>
  <c r="L147" i="79" s="1"/>
  <c r="L406" i="37"/>
  <c r="L127" i="27" s="1"/>
  <c r="L127" i="78" s="1"/>
  <c r="L127" i="79" s="1"/>
  <c r="L107" i="27"/>
  <c r="L107" i="78" s="1"/>
  <c r="L107" i="79" s="1"/>
  <c r="L428" i="37"/>
  <c r="L149" i="27" s="1"/>
  <c r="L149" i="78" s="1"/>
  <c r="L149" i="79" s="1"/>
  <c r="L408" i="37"/>
  <c r="L129" i="27" s="1"/>
  <c r="L129" i="78" s="1"/>
  <c r="L109" i="27"/>
  <c r="L109" i="78" s="1"/>
  <c r="L424" i="37"/>
  <c r="L145" i="27" s="1"/>
  <c r="L145" i="78" s="1"/>
  <c r="L145" i="79" s="1"/>
  <c r="L404" i="37"/>
  <c r="L125" i="27" s="1"/>
  <c r="L125" i="78" s="1"/>
  <c r="L105" i="27"/>
  <c r="L105" i="78" s="1"/>
  <c r="L105" i="79" s="1"/>
  <c r="L429" i="37"/>
  <c r="L150" i="27" s="1"/>
  <c r="L150" i="78" s="1"/>
  <c r="L150" i="79" s="1"/>
  <c r="L409" i="37"/>
  <c r="L130" i="27" s="1"/>
  <c r="L130" i="78" s="1"/>
  <c r="L130" i="79" s="1"/>
  <c r="L110" i="27"/>
  <c r="L110" i="78" s="1"/>
  <c r="L110" i="79" s="1"/>
  <c r="L423" i="37"/>
  <c r="L144" i="27" s="1"/>
  <c r="L144" i="78" s="1"/>
  <c r="L403" i="37"/>
  <c r="L124" i="27" s="1"/>
  <c r="L124" i="78" s="1"/>
  <c r="L124" i="79" s="1"/>
  <c r="L104" i="27"/>
  <c r="L104" i="78" s="1"/>
  <c r="L104" i="79" s="1"/>
  <c r="L431" i="37"/>
  <c r="L152" i="27" s="1"/>
  <c r="L152" i="78" s="1"/>
  <c r="L152" i="79" s="1"/>
  <c r="L411" i="37"/>
  <c r="L132" i="27" s="1"/>
  <c r="L132" i="78" s="1"/>
  <c r="L132" i="79" s="1"/>
  <c r="L112" i="27"/>
  <c r="L112" i="78" s="1"/>
  <c r="L112" i="79" s="1"/>
  <c r="L425" i="37"/>
  <c r="L146" i="27" s="1"/>
  <c r="L146" i="78" s="1"/>
  <c r="L146" i="79" s="1"/>
  <c r="L405" i="37"/>
  <c r="L126" i="27" s="1"/>
  <c r="L126" i="78" s="1"/>
  <c r="L126" i="79" s="1"/>
  <c r="L106" i="27"/>
  <c r="L106" i="78" s="1"/>
  <c r="L106" i="79" s="1"/>
  <c r="L421" i="37"/>
  <c r="L142" i="27" s="1"/>
  <c r="L142" i="78" s="1"/>
  <c r="L401" i="37"/>
  <c r="L122" i="27" s="1"/>
  <c r="L122" i="78" s="1"/>
  <c r="L122" i="79" s="1"/>
  <c r="L102" i="27"/>
  <c r="L102" i="78" s="1"/>
  <c r="L102" i="79" s="1"/>
  <c r="M137" i="27"/>
  <c r="M121" i="78"/>
  <c r="L433" i="37"/>
  <c r="L154" i="27" s="1"/>
  <c r="L154" i="78" s="1"/>
  <c r="L413" i="37"/>
  <c r="L134" i="27" s="1"/>
  <c r="L134" i="78" s="1"/>
  <c r="L114" i="27"/>
  <c r="L114" i="78" s="1"/>
  <c r="L114" i="79" s="1"/>
  <c r="L420" i="37"/>
  <c r="L400" i="37"/>
  <c r="L396" i="37"/>
  <c r="L543" i="37" s="1"/>
  <c r="I543" i="37" s="1"/>
  <c r="K52" i="4" s="1"/>
  <c r="M52" i="4" s="1"/>
  <c r="L101" i="27"/>
  <c r="L427" i="37"/>
  <c r="L148" i="27" s="1"/>
  <c r="L148" i="78" s="1"/>
  <c r="L148" i="79" s="1"/>
  <c r="L407" i="37"/>
  <c r="L128" i="27" s="1"/>
  <c r="L128" i="78" s="1"/>
  <c r="L128" i="79" s="1"/>
  <c r="L108" i="27"/>
  <c r="L108" i="78" s="1"/>
  <c r="L108" i="79" s="1"/>
  <c r="L422" i="37"/>
  <c r="L143" i="27" s="1"/>
  <c r="L143" i="78" s="1"/>
  <c r="L143" i="79" s="1"/>
  <c r="L402" i="37"/>
  <c r="L123" i="27" s="1"/>
  <c r="L123" i="78" s="1"/>
  <c r="L123" i="79" s="1"/>
  <c r="L103" i="27"/>
  <c r="L103" i="78" s="1"/>
  <c r="L103" i="79" s="1"/>
  <c r="L434" i="37"/>
  <c r="L155" i="27" s="1"/>
  <c r="L155" i="78" s="1"/>
  <c r="L414" i="37"/>
  <c r="L135" i="27" s="1"/>
  <c r="L135" i="78" s="1"/>
  <c r="L115" i="27"/>
  <c r="L115" i="78" s="1"/>
  <c r="L115" i="79" s="1"/>
  <c r="L430" i="37"/>
  <c r="L151" i="27" s="1"/>
  <c r="L151" i="78" s="1"/>
  <c r="L151" i="79" s="1"/>
  <c r="L410" i="37"/>
  <c r="L131" i="27" s="1"/>
  <c r="L131" i="78" s="1"/>
  <c r="L131" i="79" s="1"/>
  <c r="L111" i="27"/>
  <c r="L111" i="78" s="1"/>
  <c r="L111" i="79" s="1"/>
  <c r="L435" i="37"/>
  <c r="L156" i="27" s="1"/>
  <c r="L156" i="78" s="1"/>
  <c r="L156" i="79" s="1"/>
  <c r="L415" i="37"/>
  <c r="L136" i="27" s="1"/>
  <c r="L136" i="78" s="1"/>
  <c r="L116" i="27"/>
  <c r="L116" i="78" s="1"/>
  <c r="L116" i="79" s="1"/>
  <c r="L73" i="79"/>
  <c r="L94" i="79" s="1"/>
  <c r="L73" i="78"/>
  <c r="L94" i="78" s="1"/>
  <c r="L94" i="27"/>
  <c r="L533" i="37"/>
  <c r="L254" i="27" s="1"/>
  <c r="L477" i="37"/>
  <c r="L544" i="37" s="1"/>
  <c r="I544" i="37" s="1"/>
  <c r="K53" i="4" s="1"/>
  <c r="M53" i="4" s="1"/>
  <c r="L481" i="37"/>
  <c r="L202" i="27" s="1"/>
  <c r="L535" i="37"/>
  <c r="L256" i="27" s="1"/>
  <c r="L531" i="37"/>
  <c r="L252" i="27" s="1"/>
  <c r="L527" i="37"/>
  <c r="L545" i="37" s="1"/>
  <c r="I545" i="37" s="1"/>
  <c r="K54" i="4" s="1"/>
  <c r="M54" i="4" s="1"/>
  <c r="L486" i="37"/>
  <c r="L189" i="78"/>
  <c r="L532" i="37"/>
  <c r="L253" i="27" s="1"/>
  <c r="L483" i="37"/>
  <c r="L186" i="78"/>
  <c r="L534" i="37"/>
  <c r="L255" i="27" s="1"/>
  <c r="L482" i="37"/>
  <c r="L185" i="78"/>
  <c r="L185" i="79" s="1"/>
  <c r="L493" i="37"/>
  <c r="L196" i="78"/>
  <c r="L536" i="37"/>
  <c r="L257" i="27" s="1"/>
  <c r="L488" i="37"/>
  <c r="L191" i="78"/>
  <c r="L491" i="37"/>
  <c r="L194" i="78"/>
  <c r="L487" i="37"/>
  <c r="L190" i="78"/>
  <c r="L485" i="37"/>
  <c r="L188" i="78"/>
  <c r="L492" i="37"/>
  <c r="L195" i="78"/>
  <c r="L484" i="37"/>
  <c r="L187" i="78"/>
  <c r="L489" i="37"/>
  <c r="L192" i="78"/>
  <c r="L537" i="37"/>
  <c r="L258" i="27" s="1"/>
  <c r="L494" i="37"/>
  <c r="L197" i="78"/>
  <c r="L197" i="79" s="1"/>
  <c r="L490" i="37"/>
  <c r="L193" i="78"/>
  <c r="M248" i="79"/>
  <c r="M266" i="79" s="1"/>
  <c r="M265" i="27"/>
  <c r="M264" i="27"/>
  <c r="M266" i="27"/>
  <c r="M248" i="78"/>
  <c r="M266" i="78" s="1"/>
  <c r="M216" i="27"/>
  <c r="M548" i="37"/>
  <c r="M549" i="37"/>
  <c r="M252" i="79"/>
  <c r="M259" i="79" s="1"/>
  <c r="M259" i="27"/>
  <c r="M252" i="78"/>
  <c r="M259" i="78" s="1"/>
  <c r="L196" i="79" l="1"/>
  <c r="L192" i="79"/>
  <c r="L190" i="79"/>
  <c r="L187" i="79"/>
  <c r="L194" i="79"/>
  <c r="L155" i="79"/>
  <c r="L125" i="79"/>
  <c r="L113" i="79"/>
  <c r="L188" i="79"/>
  <c r="L134" i="79"/>
  <c r="L189" i="79"/>
  <c r="L154" i="79"/>
  <c r="L135" i="79"/>
  <c r="L193" i="79"/>
  <c r="L136" i="79"/>
  <c r="L133" i="79"/>
  <c r="L195" i="79"/>
  <c r="L191" i="79"/>
  <c r="L186" i="79"/>
  <c r="L142" i="79"/>
  <c r="L109" i="79"/>
  <c r="L144" i="79"/>
  <c r="L129" i="79"/>
  <c r="L33" i="84"/>
  <c r="L46" i="84" s="1"/>
  <c r="M137" i="78"/>
  <c r="M121" i="79"/>
  <c r="M137" i="79" s="1"/>
  <c r="L117" i="27"/>
  <c r="L264" i="27" s="1"/>
  <c r="I264" i="27" s="1"/>
  <c r="K172" i="4" s="1"/>
  <c r="M172" i="4" s="1"/>
  <c r="L101" i="78"/>
  <c r="L416" i="37"/>
  <c r="L121" i="27"/>
  <c r="L436" i="37"/>
  <c r="L141" i="27"/>
  <c r="L205" i="27"/>
  <c r="L205" i="78" s="1"/>
  <c r="L207" i="27"/>
  <c r="L207" i="78" s="1"/>
  <c r="L211" i="27"/>
  <c r="L211" i="78" s="1"/>
  <c r="L211" i="79" s="1"/>
  <c r="L206" i="27"/>
  <c r="L206" i="78" s="1"/>
  <c r="L203" i="27"/>
  <c r="L203" i="78" s="1"/>
  <c r="L210" i="27"/>
  <c r="L210" i="78" s="1"/>
  <c r="L212" i="27"/>
  <c r="L212" i="78" s="1"/>
  <c r="L204" i="27"/>
  <c r="L204" i="78" s="1"/>
  <c r="L213" i="27"/>
  <c r="L213" i="78" s="1"/>
  <c r="L213" i="79" s="1"/>
  <c r="L214" i="27"/>
  <c r="L214" i="78" s="1"/>
  <c r="L214" i="79" s="1"/>
  <c r="L209" i="27"/>
  <c r="L209" i="78" s="1"/>
  <c r="L215" i="27"/>
  <c r="L215" i="78" s="1"/>
  <c r="L215" i="79" s="1"/>
  <c r="L208" i="27"/>
  <c r="L208" i="78" s="1"/>
  <c r="L244" i="78"/>
  <c r="L244" i="79"/>
  <c r="L253" i="78"/>
  <c r="L253" i="79"/>
  <c r="L495" i="37"/>
  <c r="L246" i="78"/>
  <c r="L246" i="79"/>
  <c r="L255" i="78"/>
  <c r="L255" i="79"/>
  <c r="L538" i="37"/>
  <c r="L245" i="79"/>
  <c r="L245" i="78"/>
  <c r="L247" i="79"/>
  <c r="L247" i="78"/>
  <c r="L257" i="78"/>
  <c r="L257" i="79"/>
  <c r="L256" i="79"/>
  <c r="L256" i="78"/>
  <c r="L243" i="78"/>
  <c r="L243" i="79"/>
  <c r="L258" i="78"/>
  <c r="L258" i="79"/>
  <c r="L242" i="79"/>
  <c r="L242" i="78"/>
  <c r="L248" i="27"/>
  <c r="L266" i="27" s="1"/>
  <c r="L241" i="78"/>
  <c r="L241" i="79"/>
  <c r="L184" i="78"/>
  <c r="L198" i="27"/>
  <c r="L265" i="27" s="1"/>
  <c r="L254" i="79"/>
  <c r="L254" i="78"/>
  <c r="M268" i="27"/>
  <c r="M269" i="27"/>
  <c r="L69" i="84" l="1"/>
  <c r="L137" i="27"/>
  <c r="L121" i="78"/>
  <c r="L117" i="78"/>
  <c r="L101" i="79"/>
  <c r="L117" i="79" s="1"/>
  <c r="L68" i="84" s="1"/>
  <c r="L157" i="27"/>
  <c r="L141" i="78"/>
  <c r="L204" i="79"/>
  <c r="L207" i="79"/>
  <c r="L205" i="79"/>
  <c r="L212" i="79"/>
  <c r="L210" i="79"/>
  <c r="L208" i="79"/>
  <c r="L203" i="79"/>
  <c r="L206" i="79"/>
  <c r="L209" i="79"/>
  <c r="L248" i="79"/>
  <c r="L266" i="79" s="1"/>
  <c r="L248" i="78"/>
  <c r="L266" i="78" s="1"/>
  <c r="L548" i="37"/>
  <c r="I548" i="37" s="1"/>
  <c r="K56" i="4" s="1"/>
  <c r="M56" i="4" s="1"/>
  <c r="L549" i="37"/>
  <c r="I549" i="37" s="1"/>
  <c r="K57" i="4" s="1"/>
  <c r="M57" i="4" s="1"/>
  <c r="L198" i="78"/>
  <c r="L265" i="78" s="1"/>
  <c r="L184" i="79"/>
  <c r="L252" i="78"/>
  <c r="L259" i="78" s="1"/>
  <c r="L252" i="79"/>
  <c r="L259" i="79" s="1"/>
  <c r="L259" i="27"/>
  <c r="L202" i="78"/>
  <c r="L216" i="27"/>
  <c r="L198" i="79" l="1"/>
  <c r="L265" i="79" s="1"/>
  <c r="L141" i="79"/>
  <c r="L157" i="78"/>
  <c r="L137" i="78"/>
  <c r="L121" i="79"/>
  <c r="L137" i="79" s="1"/>
  <c r="L264" i="79"/>
  <c r="L32" i="84"/>
  <c r="L45" i="84" s="1"/>
  <c r="L37" i="84"/>
  <c r="L41" i="84" s="1"/>
  <c r="L264" i="78"/>
  <c r="M174" i="4"/>
  <c r="G6" i="4" s="1"/>
  <c r="B2" i="2" s="1"/>
  <c r="L202" i="79"/>
  <c r="L216" i="78"/>
  <c r="L269" i="27"/>
  <c r="L268" i="27"/>
  <c r="L157" i="79" l="1"/>
  <c r="L269" i="79" s="1"/>
  <c r="L36" i="84"/>
  <c r="L40" i="84" s="1"/>
  <c r="L50" i="84"/>
  <c r="B2" i="84"/>
  <c r="L216" i="79"/>
  <c r="F6" i="4"/>
  <c r="B2" i="7"/>
  <c r="B2" i="4"/>
  <c r="B2" i="81"/>
  <c r="B2" i="18"/>
  <c r="B2" i="25"/>
  <c r="B2" i="19"/>
  <c r="B2" i="26"/>
  <c r="B2" i="29"/>
  <c r="B2" i="69"/>
  <c r="B2" i="17"/>
  <c r="B2" i="45"/>
  <c r="C11" i="15"/>
  <c r="B2" i="79"/>
  <c r="B2" i="78"/>
  <c r="C11" i="21"/>
  <c r="B2" i="23"/>
  <c r="B2" i="61"/>
  <c r="B2" i="37"/>
  <c r="C11" i="5"/>
  <c r="B2" i="75"/>
  <c r="C11" i="3"/>
  <c r="B2" i="80"/>
  <c r="B2" i="53"/>
  <c r="C11" i="16"/>
  <c r="B2" i="6"/>
  <c r="B2" i="82"/>
  <c r="B2" i="33"/>
  <c r="B2" i="41"/>
  <c r="B2" i="49"/>
  <c r="B2" i="57"/>
  <c r="B2" i="77"/>
  <c r="C11" i="24"/>
  <c r="B2" i="27"/>
  <c r="L268" i="78"/>
  <c r="L269" i="78"/>
  <c r="L49" i="84" l="1"/>
  <c r="L268" i="79"/>
  <c r="M37" i="81" l="1"/>
  <c r="M29" i="81"/>
  <c r="M36" i="81"/>
  <c r="M35" i="81"/>
  <c r="M34" i="81"/>
  <c r="M33" i="81"/>
  <c r="M40" i="81"/>
  <c r="M32" i="81"/>
  <c r="M39" i="81"/>
  <c r="M31" i="81"/>
  <c r="M38" i="81"/>
  <c r="M30" i="81"/>
  <c r="M104" i="78" l="1"/>
  <c r="M104" i="79" s="1"/>
  <c r="M72" i="81"/>
  <c r="M144" i="78" s="1"/>
  <c r="M112" i="78"/>
  <c r="M80" i="81"/>
  <c r="M152" i="78" s="1"/>
  <c r="M105" i="78"/>
  <c r="M105" i="79" s="1"/>
  <c r="M73" i="81"/>
  <c r="M145" i="78" s="1"/>
  <c r="M145" i="79" s="1"/>
  <c r="M102" i="78"/>
  <c r="M102" i="79" s="1"/>
  <c r="M70" i="81"/>
  <c r="M142" i="78" s="1"/>
  <c r="M74" i="81"/>
  <c r="M146" i="78" s="1"/>
  <c r="M146" i="79" s="1"/>
  <c r="M106" i="78"/>
  <c r="M106" i="79" s="1"/>
  <c r="M107" i="78"/>
  <c r="M107" i="79" s="1"/>
  <c r="M75" i="81"/>
  <c r="M147" i="78" s="1"/>
  <c r="M147" i="79" s="1"/>
  <c r="M110" i="78"/>
  <c r="M110" i="79" s="1"/>
  <c r="M78" i="81"/>
  <c r="M150" i="78" s="1"/>
  <c r="M76" i="81"/>
  <c r="M148" i="78" s="1"/>
  <c r="M148" i="79" s="1"/>
  <c r="M108" i="78"/>
  <c r="M108" i="79" s="1"/>
  <c r="M71" i="81"/>
  <c r="M143" i="78" s="1"/>
  <c r="M143" i="79" s="1"/>
  <c r="M103" i="78"/>
  <c r="M103" i="79" s="1"/>
  <c r="M101" i="78"/>
  <c r="M69" i="81"/>
  <c r="M45" i="81"/>
  <c r="M79" i="81"/>
  <c r="M151" i="78" s="1"/>
  <c r="M111" i="78"/>
  <c r="M111" i="79" s="1"/>
  <c r="M109" i="78"/>
  <c r="M77" i="81"/>
  <c r="M149" i="78" s="1"/>
  <c r="M37" i="84"/>
  <c r="M149" i="79" l="1"/>
  <c r="M109" i="79"/>
  <c r="M142" i="79"/>
  <c r="M144" i="79"/>
  <c r="M151" i="79"/>
  <c r="M112" i="79"/>
  <c r="M150" i="79"/>
  <c r="M152" i="79"/>
  <c r="M117" i="78"/>
  <c r="M101" i="79"/>
  <c r="M141" i="78"/>
  <c r="M85" i="81"/>
  <c r="M50" i="84"/>
  <c r="I37" i="84"/>
  <c r="M36" i="84"/>
  <c r="M117" i="79" l="1"/>
  <c r="M141" i="79"/>
  <c r="M157" i="78"/>
  <c r="S59" i="84"/>
  <c r="N59" i="84"/>
  <c r="J59" i="84"/>
  <c r="I50" i="84"/>
  <c r="Q59" i="84"/>
  <c r="T59" i="84"/>
  <c r="O59" i="84"/>
  <c r="M59" i="84"/>
  <c r="R59" i="84"/>
  <c r="P59" i="84"/>
  <c r="K59" i="84"/>
  <c r="L59" i="84"/>
  <c r="M33" i="84"/>
  <c r="M69" i="84"/>
  <c r="M49" i="84"/>
  <c r="I36" i="84"/>
  <c r="M157" i="79" l="1"/>
  <c r="M46" i="84"/>
  <c r="M41" i="84"/>
  <c r="I41" i="84" s="1"/>
  <c r="R58" i="84"/>
  <c r="R64" i="84" s="1"/>
  <c r="R72" i="84" s="1"/>
  <c r="S58" i="84"/>
  <c r="K58" i="84"/>
  <c r="K64" i="84" s="1"/>
  <c r="K72" i="84" s="1"/>
  <c r="J58" i="84"/>
  <c r="J64" i="84" s="1"/>
  <c r="J72" i="84" s="1"/>
  <c r="O58" i="84"/>
  <c r="O64" i="84" s="1"/>
  <c r="O72" i="84" s="1"/>
  <c r="N58" i="84"/>
  <c r="N64" i="84" s="1"/>
  <c r="N72" i="84" s="1"/>
  <c r="L58" i="84"/>
  <c r="L64" i="84" s="1"/>
  <c r="L72" i="84" s="1"/>
  <c r="P58" i="84"/>
  <c r="P64" i="84" s="1"/>
  <c r="P72" i="84" s="1"/>
  <c r="Q58" i="84"/>
  <c r="Q64" i="84" s="1"/>
  <c r="Q72" i="84" s="1"/>
  <c r="I49" i="84"/>
  <c r="T58" i="84"/>
  <c r="T64" i="84" s="1"/>
  <c r="T72" i="84" s="1"/>
  <c r="M58" i="84"/>
  <c r="M64" i="84" s="1"/>
  <c r="M32" i="84"/>
  <c r="M264" i="78"/>
  <c r="P65" i="84" l="1"/>
  <c r="P73" i="84" s="1"/>
  <c r="L65" i="84"/>
  <c r="L73" i="84" s="1"/>
  <c r="R65" i="84"/>
  <c r="R73" i="84" s="1"/>
  <c r="M65" i="84"/>
  <c r="M73" i="84" s="1"/>
  <c r="J65" i="84"/>
  <c r="J73" i="84" s="1"/>
  <c r="M68" i="84"/>
  <c r="M72" i="84" s="1"/>
  <c r="M264" i="79"/>
  <c r="S65" i="84"/>
  <c r="S73" i="84" s="1"/>
  <c r="S64" i="84"/>
  <c r="S72" i="84" s="1"/>
  <c r="T65" i="84"/>
  <c r="T73" i="84" s="1"/>
  <c r="M269" i="79"/>
  <c r="M269" i="78"/>
  <c r="O65" i="84"/>
  <c r="O73" i="84" s="1"/>
  <c r="K65" i="84"/>
  <c r="K73" i="84" s="1"/>
  <c r="M45" i="84"/>
  <c r="M40" i="84"/>
  <c r="I40" i="84" s="1"/>
  <c r="N65" i="84"/>
  <c r="N73" i="84" s="1"/>
  <c r="Q65" i="84"/>
  <c r="Q73" i="84" s="1"/>
  <c r="M197" i="78" l="1"/>
  <c r="M197" i="79" s="1"/>
  <c r="M189" i="78"/>
  <c r="M196" i="78"/>
  <c r="M188" i="78"/>
  <c r="M195" i="78"/>
  <c r="M187" i="78"/>
  <c r="M194" i="78"/>
  <c r="M186" i="78"/>
  <c r="M193" i="78"/>
  <c r="M185" i="78"/>
  <c r="M185" i="79" s="1"/>
  <c r="M192" i="78"/>
  <c r="M191" i="78"/>
  <c r="M190" i="78"/>
  <c r="M195" i="79" l="1"/>
  <c r="M192" i="79"/>
  <c r="M194" i="79"/>
  <c r="M188" i="79"/>
  <c r="M189" i="79"/>
  <c r="M191" i="79"/>
  <c r="M196" i="79"/>
  <c r="M193" i="79"/>
  <c r="M187" i="79"/>
  <c r="M190" i="79"/>
  <c r="M186" i="79"/>
  <c r="M209" i="78"/>
  <c r="M208" i="78"/>
  <c r="M215" i="78"/>
  <c r="M215" i="79" s="1"/>
  <c r="M207" i="78"/>
  <c r="M214" i="78"/>
  <c r="M214" i="79" s="1"/>
  <c r="M206" i="78"/>
  <c r="M213" i="78"/>
  <c r="M213" i="79" s="1"/>
  <c r="M205" i="78"/>
  <c r="M212" i="78"/>
  <c r="M204" i="78"/>
  <c r="M211" i="78"/>
  <c r="M211" i="79" s="1"/>
  <c r="M203" i="78"/>
  <c r="M210" i="78"/>
  <c r="M126" i="81"/>
  <c r="M184" i="78"/>
  <c r="M210" i="79" l="1"/>
  <c r="M203" i="79"/>
  <c r="M207" i="79"/>
  <c r="M204" i="79"/>
  <c r="M208" i="79"/>
  <c r="M209" i="79"/>
  <c r="M205" i="79"/>
  <c r="M206" i="79"/>
  <c r="M212" i="79"/>
  <c r="M144" i="81"/>
  <c r="M202" i="78"/>
  <c r="M198" i="78"/>
  <c r="M265" i="78" s="1"/>
  <c r="M184" i="79"/>
  <c r="M198" i="79" l="1"/>
  <c r="M265" i="79" s="1"/>
  <c r="M216" i="78"/>
  <c r="M268" i="78" s="1"/>
  <c r="M202" i="79"/>
  <c r="M216" i="79" l="1"/>
  <c r="M268" i="79" l="1"/>
  <c r="J141" i="81" l="1" a="1"/>
  <c r="J141" i="81" s="1"/>
  <c r="J213" i="78" s="1"/>
  <c r="J213" i="79" s="1"/>
  <c r="J133" i="81" a="1"/>
  <c r="J133" i="81" s="1"/>
  <c r="J205" i="78" s="1"/>
  <c r="J136" i="81" a="1"/>
  <c r="J136" i="81" s="1"/>
  <c r="J208" i="78" s="1"/>
  <c r="J138" i="81" a="1"/>
  <c r="J138" i="81" s="1"/>
  <c r="J210" i="78" s="1"/>
  <c r="J130" i="81" a="1"/>
  <c r="J130" i="81" s="1"/>
  <c r="J143" i="81" a="1"/>
  <c r="J143" i="81" s="1"/>
  <c r="J215" i="78" s="1"/>
  <c r="J215" i="79" s="1"/>
  <c r="J135" i="81" a="1"/>
  <c r="J135" i="81" s="1"/>
  <c r="J207" i="78" s="1"/>
  <c r="J140" i="81" a="1"/>
  <c r="J140" i="81" s="1"/>
  <c r="J212" i="78" s="1"/>
  <c r="J132" i="81" a="1"/>
  <c r="J132" i="81" s="1"/>
  <c r="J204" i="78" s="1"/>
  <c r="J137" i="81" a="1"/>
  <c r="J137" i="81" s="1"/>
  <c r="J209" i="78" s="1"/>
  <c r="J139" i="81" a="1"/>
  <c r="J139" i="81" s="1"/>
  <c r="J211" i="78" s="1"/>
  <c r="J211" i="79" s="1"/>
  <c r="J131" i="81" a="1"/>
  <c r="J131" i="81" s="1"/>
  <c r="J203" i="78" s="1"/>
  <c r="J142" i="81" a="1"/>
  <c r="J142" i="81" s="1"/>
  <c r="J214" i="78" s="1"/>
  <c r="J214" i="79" s="1"/>
  <c r="J134" i="81" a="1"/>
  <c r="J134" i="81" s="1"/>
  <c r="J206" i="78" s="1"/>
  <c r="J212" i="79" l="1"/>
  <c r="J210" i="79"/>
  <c r="J207" i="79"/>
  <c r="J208" i="79"/>
  <c r="J209" i="79"/>
  <c r="J205" i="79"/>
  <c r="J206" i="79"/>
  <c r="J204" i="79"/>
  <c r="J203" i="79"/>
  <c r="J144" i="81"/>
  <c r="J202" i="78"/>
  <c r="K141" i="81" a="1"/>
  <c r="K141" i="81" s="1"/>
  <c r="K213" i="78" s="1"/>
  <c r="K213" i="79" s="1"/>
  <c r="K138" i="81" a="1"/>
  <c r="K138" i="81" s="1"/>
  <c r="K210" i="78" s="1"/>
  <c r="K130" i="81" a="1"/>
  <c r="K130" i="81" s="1"/>
  <c r="K143" i="81" a="1"/>
  <c r="K143" i="81" s="1"/>
  <c r="K215" i="78" s="1"/>
  <c r="K215" i="79" s="1"/>
  <c r="K135" i="81" a="1"/>
  <c r="K135" i="81" s="1"/>
  <c r="K207" i="78" s="1"/>
  <c r="K140" i="81" a="1"/>
  <c r="K140" i="81" s="1"/>
  <c r="K212" i="78" s="1"/>
  <c r="K132" i="81" a="1"/>
  <c r="K132" i="81" s="1"/>
  <c r="K204" i="78" s="1"/>
  <c r="K142" i="81" a="1"/>
  <c r="K142" i="81" s="1"/>
  <c r="K214" i="78" s="1"/>
  <c r="K214" i="79" s="1"/>
  <c r="K134" i="81" a="1"/>
  <c r="K134" i="81" s="1"/>
  <c r="K206" i="78" s="1"/>
  <c r="K136" i="81" a="1"/>
  <c r="K136" i="81" s="1"/>
  <c r="K208" i="78" s="1"/>
  <c r="K133" i="81" a="1"/>
  <c r="K133" i="81" s="1"/>
  <c r="K205" i="78" s="1"/>
  <c r="K137" i="81" a="1"/>
  <c r="K137" i="81" s="1"/>
  <c r="K209" i="78" s="1"/>
  <c r="K139" i="81" a="1"/>
  <c r="K139" i="81" s="1"/>
  <c r="K211" i="78" s="1"/>
  <c r="K211" i="79" s="1"/>
  <c r="K131" i="81" a="1"/>
  <c r="K131" i="81" s="1"/>
  <c r="K203" i="78" s="1"/>
  <c r="K210" i="79" l="1"/>
  <c r="K209" i="79"/>
  <c r="K205" i="79"/>
  <c r="K208" i="79"/>
  <c r="K204" i="79"/>
  <c r="K206" i="79"/>
  <c r="K203" i="79"/>
  <c r="K207" i="79"/>
  <c r="K212" i="79"/>
  <c r="K144" i="81"/>
  <c r="K202" i="78"/>
  <c r="J202" i="79"/>
  <c r="J216" i="78"/>
  <c r="J268" i="78" s="1"/>
  <c r="J216" i="79" l="1"/>
  <c r="K202" i="79"/>
  <c r="K216" i="78"/>
  <c r="K268" i="78" s="1"/>
  <c r="K216" i="79" l="1"/>
  <c r="J268" i="79"/>
  <c r="K268" i="79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Kane Glenister</author>
  </authors>
  <commentList>
    <comment ref="I345" authorId="0" shapeId="0" xr:uid="{3C92E458-E211-4C72-9F96-8140C9EC3ED1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346" authorId="0" shapeId="0" xr:uid="{7A9B1977-2FF7-4DAE-B3FF-C5380302E2B4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347" authorId="0" shapeId="0" xr:uid="{5EC2759A-22CB-4745-9F2B-7557A4B833E7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348" authorId="0" shapeId="0" xr:uid="{F8C3CD70-36B7-4B6B-922E-96D70693EFFC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350" authorId="0" shapeId="0" xr:uid="{ABA962B3-D06A-4AD8-A07E-45770E76AB29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351" authorId="0" shapeId="0" xr:uid="{CA20C964-712E-4C1E-9426-801B5063B3A8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Kane Glenister</author>
  </authors>
  <commentList>
    <comment ref="I303" authorId="0" shapeId="0" xr:uid="{6B3E9A72-FDF4-463B-ACFB-EAC701B32BBB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304" authorId="0" shapeId="0" xr:uid="{4F68C245-C8E3-48BA-93FF-4485071DA3FE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305" authorId="0" shapeId="0" xr:uid="{B5C5F09A-F6B3-46C1-9CFC-3EF3D38FFF5D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306" authorId="0" shapeId="0" xr:uid="{CA37E505-053A-4C30-8F58-EED669253537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308" authorId="0" shapeId="0" xr:uid="{64BC45B5-52B9-47BA-8CE9-453C6AA3222E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309" authorId="0" shapeId="0" xr:uid="{6A287FBE-8B87-4106-B4E8-BA27E5AA8086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585" authorId="0" shapeId="0" xr:uid="{945664FE-D779-4747-9A0F-A99367D2A079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586" authorId="0" shapeId="0" xr:uid="{51424D69-D46C-4C8E-B24D-2DD525F89DB5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587" authorId="0" shapeId="0" xr:uid="{CD035DAC-ABC7-4F3F-BEB4-A3185FB5DF02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588" authorId="0" shapeId="0" xr:uid="{5EAE0129-9AD0-42BD-885C-AB42DB461B1D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590" authorId="0" shapeId="0" xr:uid="{D4C03118-1F57-4B97-8742-AE36F54A6BE0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591" authorId="0" shapeId="0" xr:uid="{7EC70425-71E9-4349-8C7B-9A95E59D24D8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Kane Glenister</author>
  </authors>
  <commentList>
    <comment ref="I273" authorId="0" shapeId="0" xr:uid="{6570FD14-50FF-44CF-9EEA-69E1949B35CE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274" authorId="0" shapeId="0" xr:uid="{6B392753-2927-49A4-9E24-A944A9D1BFB4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275" authorId="0" shapeId="0" xr:uid="{2BC78EEC-3DF2-434F-A104-AC79DF89F895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276" authorId="0" shapeId="0" xr:uid="{676CDF9B-9404-4675-91D2-4D4DBDD394A3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278" authorId="0" shapeId="0" xr:uid="{10BCC883-6927-4672-AC00-E334C91D5C39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279" authorId="0" shapeId="0" xr:uid="{707DFE07-ED93-4C57-8D42-D64922C1C57D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530" authorId="0" shapeId="0" xr:uid="{F035238A-DB31-4DBF-AB01-07C196734A70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531" authorId="0" shapeId="0" xr:uid="{C3EC5522-27B5-4E22-A87D-2536DE580886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532" authorId="0" shapeId="0" xr:uid="{2E0A1C0C-C479-4025-8843-740E827A20F2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533" authorId="0" shapeId="0" xr:uid="{F5AFF94A-DE11-489A-BC89-52792ABA92BC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535" authorId="0" shapeId="0" xr:uid="{495B0596-DC26-4EE7-BB97-684921F578C3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536" authorId="0" shapeId="0" xr:uid="{0D2B6C25-72EE-40E4-94B1-A3BDA0DEC446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785" authorId="0" shapeId="0" xr:uid="{EA05E03D-258F-4E91-BCF3-3134CF403683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786" authorId="0" shapeId="0" xr:uid="{B172B9C8-9B0D-4B24-8321-0EF8E3A43614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787" authorId="0" shapeId="0" xr:uid="{78AD42D9-5BD0-4C5C-B666-000E8AD4B6CA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788" authorId="0" shapeId="0" xr:uid="{31CE81DD-3379-40F5-B8E6-51DCD599F6E7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790" authorId="0" shapeId="0" xr:uid="{D6A49CCD-5F80-4EAD-8ACF-25549D0D7829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791" authorId="0" shapeId="0" xr:uid="{8FC78DA4-B753-4799-ADBA-07B976020EFD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1040" authorId="0" shapeId="0" xr:uid="{0EF1B2DE-A043-40E3-AC3E-DD532E1AC0B3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1041" authorId="0" shapeId="0" xr:uid="{F794305E-437B-44C6-8051-E315B104718F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1042" authorId="0" shapeId="0" xr:uid="{837B8211-8EB3-4B04-B395-97A32F48D3B1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1043" authorId="0" shapeId="0" xr:uid="{3535277F-12C0-4669-B964-18A73E7E7A93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1045" authorId="0" shapeId="0" xr:uid="{A129B159-08FB-47A4-A025-79A648B519B3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1046" authorId="0" shapeId="0" xr:uid="{D99F8DC6-274B-4BF2-94AA-202D11B7D0CA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Kane Glenister</author>
  </authors>
  <commentList>
    <comment ref="I268" authorId="0" shapeId="0" xr:uid="{3F2A31A2-3880-4CC9-8E86-2EE91870409D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269" authorId="0" shapeId="0" xr:uid="{3D13F584-BFF4-49C3-8708-611A2C8A4339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270" authorId="0" shapeId="0" xr:uid="{4E8AAC6E-CD3D-4397-8809-427A6AA48078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271" authorId="0" shapeId="0" xr:uid="{C8E5FE6B-EE4C-46E0-BAF7-E1A1C696807D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273" authorId="0" shapeId="0" xr:uid="{5322102D-C417-4B36-82D1-BAA3A20A8576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274" authorId="0" shapeId="0" xr:uid="{8A67AE22-CC92-4671-B96B-5C1FF3F8ECF7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523" authorId="0" shapeId="0" xr:uid="{E7E6F269-8D62-4113-AF7D-C1CD146F041A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524" authorId="0" shapeId="0" xr:uid="{B9F6BD8A-D7EB-4014-A39C-7E5BC7F2356C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525" authorId="0" shapeId="0" xr:uid="{E7B9B5E0-5232-46E5-8052-03D2B5F63038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526" authorId="0" shapeId="0" xr:uid="{E0C9F2EA-E400-4B96-9D5A-FB993054C3FE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528" authorId="0" shapeId="0" xr:uid="{567401A7-D80B-4A9D-B3FD-CE255622AE60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529" authorId="0" shapeId="0" xr:uid="{A30E2936-A453-4209-8C4B-ADF58F592178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791" authorId="0" shapeId="0" xr:uid="{49F3FDA7-751D-447E-B817-DA66C7951C25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792" authorId="0" shapeId="0" xr:uid="{F0A71E60-3C6D-4B3F-829B-546A532DAA12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793" authorId="0" shapeId="0" xr:uid="{6F76D676-0743-455C-836D-A39920895E1F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794" authorId="0" shapeId="0" xr:uid="{5E51002F-C2C0-4F43-BFD8-4680EC708B0F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796" authorId="0" shapeId="0" xr:uid="{2462BE4B-9F80-4D86-ACA0-DA91DEB0F554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797" authorId="0" shapeId="0" xr:uid="{4ED1F08D-6579-49DF-8A76-38F143794C61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Kane Glenister</author>
  </authors>
  <commentList>
    <comment ref="I394" authorId="0" shapeId="0" xr:uid="{32BC6536-767A-447C-9FB1-11B747978D35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395" authorId="0" shapeId="0" xr:uid="{D28E467A-48A9-4E44-9717-3E8C804810B9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396" authorId="0" shapeId="0" xr:uid="{269C9B1D-6460-4FFA-B332-52ECC35B34F0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397" authorId="0" shapeId="0" xr:uid="{0B6F94DE-5BA5-413F-B3B9-B6AC3FFDA917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399" authorId="0" shapeId="0" xr:uid="{6041D342-21B2-496E-899C-06A0711F78C4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400" authorId="0" shapeId="0" xr:uid="{5B0DF1C8-716D-4632-A9B2-3E9E9192B26D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Kane Glenister</author>
  </authors>
  <commentList>
    <comment ref="I268" authorId="0" shapeId="0" xr:uid="{F4DEBE2B-7A54-43AB-A06D-6518C003EE38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269" authorId="0" shapeId="0" xr:uid="{149291FD-2DAB-4D7F-AD57-7A951DC07DE0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270" authorId="0" shapeId="0" xr:uid="{3A49138F-D39F-40B4-876D-53316C607494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271" authorId="0" shapeId="0" xr:uid="{3C7EF45B-FD6F-4EBF-977D-38D3D7C426AA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273" authorId="0" shapeId="0" xr:uid="{C8F8EF5B-1B56-482A-B7BA-1D2DFA5F6CF6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274" authorId="0" shapeId="0" xr:uid="{122B8EA7-E9B3-458C-8BD2-27C651F13005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</commentList>
</comments>
</file>

<file path=xl/comments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Kane Glenister</author>
  </authors>
  <commentList>
    <comment ref="I264" authorId="0" shapeId="0" xr:uid="{7D92C6E4-4F4C-4619-89ED-BF0B8BBD0F58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Kane Glenister</author>
  </authors>
  <commentList>
    <comment ref="I338" authorId="0" shapeId="0" xr:uid="{B5C2E46A-54B2-4D64-8A68-7E58393CC1F9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339" authorId="0" shapeId="0" xr:uid="{C4C059E2-5E5B-4DAB-956A-DB7E6BA592EB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340" authorId="0" shapeId="0" xr:uid="{3BD58017-91F8-426C-8D6A-C8AF57770BFF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341" authorId="0" shapeId="0" xr:uid="{592439CF-A4AC-47A7-AE66-AA5DD5938A27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343" authorId="0" shapeId="0" xr:uid="{5A659197-56C4-49E2-B29C-050DF20E4E3C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344" authorId="0" shapeId="0" xr:uid="{8AF199C4-4B86-4D71-AC35-353021F449EB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Kane Glenister</author>
  </authors>
  <commentList>
    <comment ref="I268" authorId="0" shapeId="0" xr:uid="{7129572B-64EC-4B31-A884-9B698D022D33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269" authorId="0" shapeId="0" xr:uid="{B94CFE89-E16E-4520-946D-0AA3FED1B2F9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270" authorId="0" shapeId="0" xr:uid="{DFF23876-578B-4D04-8BAD-CD6E5929D8DB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271" authorId="0" shapeId="0" xr:uid="{0AB9CE07-7F23-40B6-ADDD-C7923075B395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273" authorId="0" shapeId="0" xr:uid="{9FDF7465-B049-4F15-980C-09AD01C047D9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274" authorId="0" shapeId="0" xr:uid="{BE16570F-D663-4A8C-8157-E42334BECE67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Kane Glenister</author>
  </authors>
  <commentList>
    <comment ref="I289" authorId="0" shapeId="0" xr:uid="{2CCF1509-67B9-4EFF-9ECF-A801F9DACABA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290" authorId="0" shapeId="0" xr:uid="{A7FAA010-E374-43FC-B289-CBD822BE5CF3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291" authorId="0" shapeId="0" xr:uid="{BCE52723-1FDE-42D4-B279-3FD8BF2F3E89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292" authorId="0" shapeId="0" xr:uid="{1F37B302-CF6C-4119-9B6E-D049E800FE34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294" authorId="0" shapeId="0" xr:uid="{86BE48E7-3F23-4121-88CF-7447ACD04815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295" authorId="0" shapeId="0" xr:uid="{C4E9CC38-543F-4022-BE59-16817133151C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564" authorId="0" shapeId="0" xr:uid="{F9D28260-DD91-421E-963D-5F0D66707415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565" authorId="0" shapeId="0" xr:uid="{0921F222-81FF-48AA-85AE-E02DAD4A0647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566" authorId="0" shapeId="0" xr:uid="{1E2B5F3F-F442-48EF-88B2-C3638B025AD4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567" authorId="0" shapeId="0" xr:uid="{D4008D22-2101-415B-BB73-7A5594320798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569" authorId="0" shapeId="0" xr:uid="{E24746FC-0F2E-4C89-B7D7-5537DC942776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570" authorId="0" shapeId="0" xr:uid="{D4FF4725-7AE7-45A5-804F-8E88BE788667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839" authorId="0" shapeId="0" xr:uid="{B6A711F1-5334-46DC-B975-0742B3650970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840" authorId="0" shapeId="0" xr:uid="{7B709A22-3E9B-4E00-ABDD-8A76E0F0C720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841" authorId="0" shapeId="0" xr:uid="{B18BB7E6-448F-4D09-B1E5-EB3483872DD1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842" authorId="0" shapeId="0" xr:uid="{B84DB302-DEBE-4B97-93F9-1EAFE722FAB0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844" authorId="0" shapeId="0" xr:uid="{77743F6A-0C56-4A2E-9351-B5F176218C5B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845" authorId="0" shapeId="0" xr:uid="{2E5A1E43-6344-4253-82C7-6F8FD544A5C7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Kane Glenister</author>
  </authors>
  <commentList>
    <comment ref="I289" authorId="0" shapeId="0" xr:uid="{EDF23BAC-93D1-49BD-AD3A-E43485DC3124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290" authorId="0" shapeId="0" xr:uid="{1F967B72-2DC6-4E7C-A497-6E36B149A71A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291" authorId="0" shapeId="0" xr:uid="{909C57B9-FA53-418B-A231-7E01FE062467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292" authorId="0" shapeId="0" xr:uid="{208CB198-166E-4379-8F0D-DF4A3C70EADC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294" authorId="0" shapeId="0" xr:uid="{CC0B1BA9-CB61-43CF-B699-2C62C04ABA82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295" authorId="0" shapeId="0" xr:uid="{974542A1-4E73-4B0E-AD5F-A9944E3208E2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543" authorId="0" shapeId="0" xr:uid="{204475E6-D56C-415D-BDB0-129424478573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544" authorId="0" shapeId="0" xr:uid="{A8FE6BC1-8EC4-4533-AD8D-4F11E073D36C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545" authorId="0" shapeId="0" xr:uid="{DED0AED0-B971-40FB-8DCD-F6554CC1D1A6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546" authorId="0" shapeId="0" xr:uid="{62A9B857-E7E8-4235-BF2A-12DC44BDEFE5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548" authorId="0" shapeId="0" xr:uid="{C7183236-26C7-410F-A31F-62A160FFE1D7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549" authorId="0" shapeId="0" xr:uid="{06A761BD-8A33-41AE-A5AB-29D646E7766C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Kane Glenister</author>
  </authors>
  <commentList>
    <comment ref="I289" authorId="0" shapeId="0" xr:uid="{37611C71-9D74-4871-B9B7-FEF584D9247B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290" authorId="0" shapeId="0" xr:uid="{BC970BA7-8749-4350-B19C-8022D7778BAE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291" authorId="0" shapeId="0" xr:uid="{3A329260-6900-457C-9CE3-12656D8FF26F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292" authorId="0" shapeId="0" xr:uid="{7C03D4F4-6E36-4248-85F2-58F68D1EF8F5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294" authorId="0" shapeId="0" xr:uid="{A396A0E6-B132-45FE-A51A-7C695C60D124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295" authorId="0" shapeId="0" xr:uid="{12F73EF7-0E87-4FF2-B452-E13E3240D40D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578" authorId="0" shapeId="0" xr:uid="{260F5344-D8BD-4AF1-A4DD-8701F99B0B85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579" authorId="0" shapeId="0" xr:uid="{946F0416-9451-4601-9691-74F4F66CB805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580" authorId="0" shapeId="0" xr:uid="{918BAC9B-5465-4E1B-9A23-2C05B3B4997F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581" authorId="0" shapeId="0" xr:uid="{EB3BEC37-22EF-4978-B3AE-B51DBD29ECEA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583" authorId="0" shapeId="0" xr:uid="{A747509B-9A73-4D12-ADD0-CF3561329A5A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584" authorId="0" shapeId="0" xr:uid="{D6A0170D-A379-43C9-9850-469F0F349531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Kane Glenister</author>
  </authors>
  <commentList>
    <comment ref="I310" authorId="0" shapeId="0" xr:uid="{7F368523-FB68-4F1D-974B-41CF51C9E921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311" authorId="0" shapeId="0" xr:uid="{C60F1F93-5DAF-436B-9752-11B0D0FC7E83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312" authorId="0" shapeId="0" xr:uid="{A1E1F326-E73F-49CE-B08A-CF37521D2684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313" authorId="0" shapeId="0" xr:uid="{BA0BED8E-B2EC-410B-A358-D875784BB552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315" authorId="0" shapeId="0" xr:uid="{3E78FE85-4486-4DFD-B90A-0D2FD29FF978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316" authorId="0" shapeId="0" xr:uid="{98AD19CC-0285-4E75-B1AA-41474E0122F3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564" authorId="0" shapeId="0" xr:uid="{EAD5DC00-E39C-46A0-8B89-39DE9D217232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565" authorId="0" shapeId="0" xr:uid="{E1E41920-5F9F-4D0B-A638-1C4527484471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566" authorId="0" shapeId="0" xr:uid="{62977E4D-E3D0-4ABD-B63E-D720291FB17A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567" authorId="0" shapeId="0" xr:uid="{A52F14C7-2384-4980-B3D5-88910D5BA6F0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569" authorId="0" shapeId="0" xr:uid="{A18E4109-91A3-4C95-B805-7AD12D13B6DE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570" authorId="0" shapeId="0" xr:uid="{D5965627-97B7-47D4-82FA-6C56E4F7857A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Kane Glenister</author>
  </authors>
  <commentList>
    <comment ref="I289" authorId="0" shapeId="0" xr:uid="{D2FCF508-F753-460D-91C6-78B9048F38D2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290" authorId="0" shapeId="0" xr:uid="{8615BD4F-9310-4945-B09C-18C05B7E684F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291" authorId="0" shapeId="0" xr:uid="{DD08165F-0F6A-4619-A8B0-D456C6BB2950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292" authorId="0" shapeId="0" xr:uid="{B11B40AD-BCD8-47A4-B7C7-F098B98ADF6E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294" authorId="0" shapeId="0" xr:uid="{3F9C9F13-4D37-4ACB-948C-799C2412FACF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295" authorId="0" shapeId="0" xr:uid="{B0C426F1-FEE4-4A69-85BB-DF634172F4B2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564" authorId="0" shapeId="0" xr:uid="{9C3829E2-1776-44D6-99F0-F293B3AD074B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565" authorId="0" shapeId="0" xr:uid="{3E896EC1-5D48-432D-A8A6-BE5D05AB0476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566" authorId="0" shapeId="0" xr:uid="{1D5D4BAC-8CB0-4AA4-8667-D69A0C55D03A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567" authorId="0" shapeId="0" xr:uid="{C031D09E-2EBA-4197-B860-E63508929C3F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569" authorId="0" shapeId="0" xr:uid="{A4B710E2-2755-4652-BBE7-C7BD4FD1C3BE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570" authorId="0" shapeId="0" xr:uid="{D3678642-F22D-4273-9F32-C70F510426C6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Kane Glenister</author>
  </authors>
  <commentList>
    <comment ref="I317" authorId="0" shapeId="0" xr:uid="{A53F2BD8-512F-42EC-9A18-B9399ED532A8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318" authorId="0" shapeId="0" xr:uid="{C962E989-7C4B-4F29-AFD5-32C537302107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319" authorId="0" shapeId="0" xr:uid="{2E192358-5DC2-4A59-B38A-AF38136E4841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320" authorId="0" shapeId="0" xr:uid="{28AA94DD-ED41-4123-AFB0-4DAFCC9DB379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322" authorId="0" shapeId="0" xr:uid="{2314F0CF-C846-49A6-818E-4B893A5434CC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323" authorId="0" shapeId="0" xr:uid="{2408B88A-4EFB-4F5B-B4DC-42D8C6E3CC27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620" authorId="0" shapeId="0" xr:uid="{A916586D-EB88-4FA2-9789-079507E4EE3C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621" authorId="0" shapeId="0" xr:uid="{28AB1B06-6571-4819-A3AB-5FF7B9E03F38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622" authorId="0" shapeId="0" xr:uid="{B7B2407D-C056-48FB-BEBC-02BD1AD1EB52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623" authorId="0" shapeId="0" xr:uid="{2FD0ECC0-EA12-4114-A301-CA9EEFA7044C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625" authorId="0" shapeId="0" xr:uid="{622E68BE-F1DF-4C1B-A1DE-5CEF9169FDAC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626" authorId="0" shapeId="0" xr:uid="{2073A96E-3B59-4E12-953D-B644B588ACDE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<sst xmlns="http://schemas.openxmlformats.org/spreadsheetml/2006/main" count="2498" uniqueCount="494">
  <si>
    <t>Primary Developer:  Kane Glenister</t>
  </si>
  <si>
    <t>Notes</t>
  </si>
  <si>
    <t>[Insert overview note]</t>
  </si>
  <si>
    <t>Table of Contents</t>
  </si>
  <si>
    <t>Section Cover Notes:</t>
  </si>
  <si>
    <t>[Insert section cover note 1]</t>
  </si>
  <si>
    <t>[Insert section cover note 2]</t>
  </si>
  <si>
    <t>[Insert section cover note 3]</t>
  </si>
  <si>
    <t>Go to Table of Contents</t>
  </si>
  <si>
    <t>ç</t>
  </si>
  <si>
    <t>Appendices</t>
  </si>
  <si>
    <t>±</t>
  </si>
  <si>
    <t>Error Checks</t>
  </si>
  <si>
    <t>Check</t>
  </si>
  <si>
    <t>Include?</t>
  </si>
  <si>
    <t>Flag</t>
  </si>
  <si>
    <t>Total Errors:</t>
  </si>
  <si>
    <t>Yes</t>
  </si>
  <si>
    <t>Summary:</t>
  </si>
  <si>
    <t>Checks</t>
  </si>
  <si>
    <t>Sensitivity Checks</t>
  </si>
  <si>
    <t>Total Sensitivities:</t>
  </si>
  <si>
    <t>Alert Checks</t>
  </si>
  <si>
    <t>Total Alerts:</t>
  </si>
  <si>
    <t>è</t>
  </si>
  <si>
    <t>Assumptions</t>
  </si>
  <si>
    <t>x</t>
  </si>
  <si>
    <t>Time Series</t>
  </si>
  <si>
    <t>Time Series - Assumptions</t>
  </si>
  <si>
    <t>Primary Periodicity</t>
  </si>
  <si>
    <t>Annual</t>
  </si>
  <si>
    <t>Term (Years)</t>
  </si>
  <si>
    <t>Model Start Date</t>
  </si>
  <si>
    <t>Model End Date</t>
  </si>
  <si>
    <t>Denomination</t>
  </si>
  <si>
    <t>$</t>
  </si>
  <si>
    <t>Denomination Conversion Factor</t>
  </si>
  <si>
    <t>Time Series - Lookups</t>
  </si>
  <si>
    <t>Month Days</t>
  </si>
  <si>
    <t>Names</t>
  </si>
  <si>
    <t>Month Day</t>
  </si>
  <si>
    <t>LU_Ts_Mth_Days</t>
  </si>
  <si>
    <t>Month Names</t>
  </si>
  <si>
    <t>Month Name</t>
  </si>
  <si>
    <t>LU_Ts_Mth_Names</t>
  </si>
  <si>
    <t>Periods In Periods</t>
  </si>
  <si>
    <t>Periods In Period</t>
  </si>
  <si>
    <t xml:space="preserve"> </t>
  </si>
  <si>
    <t>Ts_Secs_In_Min</t>
  </si>
  <si>
    <t>Ts_Mins_In_Hr</t>
  </si>
  <si>
    <t>Ts_Hrs_In_Day</t>
  </si>
  <si>
    <t>Ts_Days_In_Wk</t>
  </si>
  <si>
    <t>Ts_Mths_In_Qtr</t>
  </si>
  <si>
    <t>Ts_Mths_In_Half</t>
  </si>
  <si>
    <t>Ts_Mths_In_Yr</t>
  </si>
  <si>
    <t>Ts_Qtrs_In_Half</t>
  </si>
  <si>
    <t>Ts_Qtrs_In_Yr</t>
  </si>
  <si>
    <t>Ts_Halves_In_Yr</t>
  </si>
  <si>
    <t>Denominations</t>
  </si>
  <si>
    <t>LU_Ts_Denom</t>
  </si>
  <si>
    <t>Denomination Conversions</t>
  </si>
  <si>
    <t>Denomination Conversion</t>
  </si>
  <si>
    <t>LU_Ts_Denom_Conv</t>
  </si>
  <si>
    <t>Ts_Thousand</t>
  </si>
  <si>
    <t>Ts_Million</t>
  </si>
  <si>
    <t>Ts_Billion</t>
  </si>
  <si>
    <t>Section 1.</t>
  </si>
  <si>
    <t>a.</t>
  </si>
  <si>
    <t>Section 2.</t>
  </si>
  <si>
    <t>b.</t>
  </si>
  <si>
    <t>-</t>
  </si>
  <si>
    <t>Lookups</t>
  </si>
  <si>
    <t>Counter</t>
  </si>
  <si>
    <t>c.</t>
  </si>
  <si>
    <t>Period Ending</t>
  </si>
  <si>
    <t>Stub Period Length (Months)</t>
  </si>
  <si>
    <t>Current Reg Period</t>
  </si>
  <si>
    <t>Year End</t>
  </si>
  <si>
    <t>Start Year</t>
  </si>
  <si>
    <t>Stub Period</t>
  </si>
  <si>
    <t>Stub Period Start Date</t>
  </si>
  <si>
    <t>Stub Period End Date</t>
  </si>
  <si>
    <t>Forecast Reg Period</t>
  </si>
  <si>
    <t>Forecast Reg Period Start Date</t>
  </si>
  <si>
    <t>Forecast Reg Period Length (Years)</t>
  </si>
  <si>
    <t>Forecast Reg Period End Date</t>
  </si>
  <si>
    <t>Total Term</t>
  </si>
  <si>
    <t>Months in Period</t>
  </si>
  <si>
    <t>Reg Period</t>
  </si>
  <si>
    <t>2023-2028</t>
  </si>
  <si>
    <t>CPI Period</t>
  </si>
  <si>
    <t>Actual / Forecast</t>
  </si>
  <si>
    <t>Applies to Year</t>
  </si>
  <si>
    <t>CPI movement - 8 Capital Cities</t>
  </si>
  <si>
    <t>Actual</t>
  </si>
  <si>
    <t>Forecast</t>
  </si>
  <si>
    <t>Current Reg Period Counter</t>
  </si>
  <si>
    <t>Stub Period Counter</t>
  </si>
  <si>
    <t>Forecast Reg Period Counter</t>
  </si>
  <si>
    <t>CPI</t>
  </si>
  <si>
    <t>Year</t>
  </si>
  <si>
    <t>Period Start</t>
  </si>
  <si>
    <t>Period End</t>
  </si>
  <si>
    <t>Labour - Internal</t>
  </si>
  <si>
    <t>Labour - External</t>
  </si>
  <si>
    <t>Overhead Rates</t>
  </si>
  <si>
    <t>Network</t>
  </si>
  <si>
    <t>IT</t>
  </si>
  <si>
    <t>Other</t>
  </si>
  <si>
    <t>Sub-Section Cover Notes:</t>
  </si>
  <si>
    <t>[Insert sub-section cover note 1]</t>
  </si>
  <si>
    <t>[Insert sub-section cover note 2]</t>
  </si>
  <si>
    <t>[Insert sub-section cover note 3]</t>
  </si>
  <si>
    <t>Sub-Section 1.1.</t>
  </si>
  <si>
    <t>1.1.</t>
  </si>
  <si>
    <t>Sub-Section 1.2.</t>
  </si>
  <si>
    <t>1.2.</t>
  </si>
  <si>
    <t>General Assumptions</t>
  </si>
  <si>
    <t>Unit Rates</t>
  </si>
  <si>
    <t>Volumes</t>
  </si>
  <si>
    <t>CPI % - 8 cities</t>
  </si>
  <si>
    <t xml:space="preserve">CPI Factor - 8 cities </t>
  </si>
  <si>
    <t>Global Controls</t>
  </si>
  <si>
    <t>Capex Items Category 2</t>
  </si>
  <si>
    <t>Capex Items Category 5</t>
  </si>
  <si>
    <t>Capex Items Category 6</t>
  </si>
  <si>
    <t>Outputs</t>
  </si>
  <si>
    <t>Section 3.</t>
  </si>
  <si>
    <t>Internal Labour</t>
  </si>
  <si>
    <t>External Labour</t>
  </si>
  <si>
    <t>Materials</t>
  </si>
  <si>
    <t>Supply Regulators / Valve Stations</t>
  </si>
  <si>
    <t>Meters</t>
  </si>
  <si>
    <t>SCADA and remote control</t>
  </si>
  <si>
    <t>Buildings</t>
  </si>
  <si>
    <t>Other - IT</t>
  </si>
  <si>
    <t>Other - non IT</t>
  </si>
  <si>
    <t>Land</t>
  </si>
  <si>
    <t>RAB Categories</t>
  </si>
  <si>
    <t>Mains replacement</t>
  </si>
  <si>
    <t>Residential new customer connections</t>
  </si>
  <si>
    <t>Commercial and industrial new customer connections</t>
  </si>
  <si>
    <t>Residential meter replacement</t>
  </si>
  <si>
    <t>Commercial and industrial meter replacement</t>
  </si>
  <si>
    <t>Augmentation</t>
  </si>
  <si>
    <t>IT capex</t>
  </si>
  <si>
    <t>SCADA</t>
  </si>
  <si>
    <t>Gas Extensions - Energy for the Regions</t>
  </si>
  <si>
    <t>Gas Extensions - Other</t>
  </si>
  <si>
    <t>Customer contributions</t>
  </si>
  <si>
    <t>Government contributions</t>
  </si>
  <si>
    <t>RIN Categories</t>
  </si>
  <si>
    <t>Tax Categories</t>
  </si>
  <si>
    <t>Mains &amp; Services</t>
  </si>
  <si>
    <t>Meters Domestic</t>
  </si>
  <si>
    <t>Meters Industrial &amp; Commercial</t>
  </si>
  <si>
    <t>Other Assets</t>
  </si>
  <si>
    <t>Repairs</t>
  </si>
  <si>
    <t>Work Code</t>
  </si>
  <si>
    <t>Work Code Name</t>
  </si>
  <si>
    <t>Capex Category</t>
  </si>
  <si>
    <t>Non-IT</t>
  </si>
  <si>
    <t>Low Pressure Replacement - Planned</t>
  </si>
  <si>
    <t>Low Pressure Replacement - Ad Hoc</t>
  </si>
  <si>
    <t>Medium Pressure Replacement - Planned</t>
  </si>
  <si>
    <t>Medium Pressure Replacement - Ad Hoc</t>
  </si>
  <si>
    <t>High Pressure Replacement - Planned</t>
  </si>
  <si>
    <t>High Pressure Replacement - Ad Hoc</t>
  </si>
  <si>
    <t>Domestic Meters - Planned</t>
  </si>
  <si>
    <t>Domestic Meters - Ad Hoc</t>
  </si>
  <si>
    <t>Industrial &amp; Commercial Meters - Planned</t>
  </si>
  <si>
    <t>Industrial &amp; Commercial Meters - Ad Hoc</t>
  </si>
  <si>
    <t>Network Regulators - Planned</t>
  </si>
  <si>
    <t>Network Regulators - Ad Hoc</t>
  </si>
  <si>
    <t>Customer Regulators - Planned</t>
  </si>
  <si>
    <t>Customer Regulators - Ad Hoc</t>
  </si>
  <si>
    <t>Cathodic Protection</t>
  </si>
  <si>
    <t>Other Non-Demand</t>
  </si>
  <si>
    <t>Residential Connections</t>
  </si>
  <si>
    <t>Industrial &amp; Commercial Connections</t>
  </si>
  <si>
    <t>Industrial &amp; Commercial (Tariff D)</t>
  </si>
  <si>
    <t>Major Alterations</t>
  </si>
  <si>
    <t>Extensions - New Towns</t>
  </si>
  <si>
    <t>Extensions - Other</t>
  </si>
  <si>
    <t xml:space="preserve">City Gate Security Fence Upgrades </t>
  </si>
  <si>
    <t>Other Non-IT</t>
  </si>
  <si>
    <t>BA_Ts_WorkCodeName</t>
  </si>
  <si>
    <t>BA_Ts_WorkCode</t>
  </si>
  <si>
    <t>3001 - Inputs</t>
  </si>
  <si>
    <t>3001 - Assumptions</t>
  </si>
  <si>
    <t>3002 - Inputs</t>
  </si>
  <si>
    <t>3002 - Assumptions</t>
  </si>
  <si>
    <t>Units</t>
  </si>
  <si>
    <t>Total</t>
  </si>
  <si>
    <t>Capex Split</t>
  </si>
  <si>
    <t>RAB Category Allocation</t>
  </si>
  <si>
    <t>RIN Category Allocation</t>
  </si>
  <si>
    <t>Total RIN Categories</t>
  </si>
  <si>
    <t>$/meter</t>
  </si>
  <si>
    <t>Global Controls - CPI</t>
  </si>
  <si>
    <t>Sub-Section 1.3.</t>
  </si>
  <si>
    <t>1.3.</t>
  </si>
  <si>
    <t>Global Controls - Rates</t>
  </si>
  <si>
    <t>Escalation Rates</t>
  </si>
  <si>
    <t>Escalation Factors</t>
  </si>
  <si>
    <t>Last Actual Year</t>
  </si>
  <si>
    <t>Actual Period</t>
  </si>
  <si>
    <t>Forecast Period</t>
  </si>
  <si>
    <t>Forecast Counter</t>
  </si>
  <si>
    <t>Global Controls - Assumptions</t>
  </si>
  <si>
    <t>Work Codes Assumptions</t>
  </si>
  <si>
    <t>30/09/2016</t>
  </si>
  <si>
    <t>30/06/2017</t>
  </si>
  <si>
    <t>Escalation</t>
  </si>
  <si>
    <t>Overhead Rate</t>
  </si>
  <si>
    <t>Direct Costs</t>
  </si>
  <si>
    <t>Direct Costs + Overheads</t>
  </si>
  <si>
    <t>Total Direct Capex including Escalation (Non CPI)</t>
  </si>
  <si>
    <t>d.</t>
  </si>
  <si>
    <t>e.</t>
  </si>
  <si>
    <t>3003 - Assumptions</t>
  </si>
  <si>
    <t>3003 - Inputs</t>
  </si>
  <si>
    <t>f.</t>
  </si>
  <si>
    <t>g.</t>
  </si>
  <si>
    <t>h.</t>
  </si>
  <si>
    <t>i.</t>
  </si>
  <si>
    <t>j.</t>
  </si>
  <si>
    <t>k.</t>
  </si>
  <si>
    <t>l.</t>
  </si>
  <si>
    <t>m.</t>
  </si>
  <si>
    <t>n.</t>
  </si>
  <si>
    <t>3004 - Assumptions</t>
  </si>
  <si>
    <t>3004 - Inputs</t>
  </si>
  <si>
    <t>3005 - Assumptions</t>
  </si>
  <si>
    <t>3005 - Inputs</t>
  </si>
  <si>
    <t>3006 - Assumptions</t>
  </si>
  <si>
    <t>3006 - Inputs</t>
  </si>
  <si>
    <t>3007 - Assumptions</t>
  </si>
  <si>
    <t>3007 - Inputs</t>
  </si>
  <si>
    <t>3008 - Assumptions</t>
  </si>
  <si>
    <t>3008 - Inputs</t>
  </si>
  <si>
    <t>3009 - Assumptions</t>
  </si>
  <si>
    <t>3009 - Inputs</t>
  </si>
  <si>
    <t>3010 - Assumptions</t>
  </si>
  <si>
    <t>3010 - Inputs</t>
  </si>
  <si>
    <t>3011 - Assumptions</t>
  </si>
  <si>
    <t>3011 - Inputs</t>
  </si>
  <si>
    <t>3012 - Assumptions</t>
  </si>
  <si>
    <t>3012 - Inputs</t>
  </si>
  <si>
    <t>3013 - Assumptions</t>
  </si>
  <si>
    <t>3013 - Inputs</t>
  </si>
  <si>
    <t>3014 - Assumptions</t>
  </si>
  <si>
    <t>3014 - Inputs</t>
  </si>
  <si>
    <t>3015 - Assumptions</t>
  </si>
  <si>
    <t>3015 - Inputs</t>
  </si>
  <si>
    <t>3016 - Assumptions</t>
  </si>
  <si>
    <t>3016 - Inputs</t>
  </si>
  <si>
    <t>3017 - Assumptions</t>
  </si>
  <si>
    <t>3017 - Inputs</t>
  </si>
  <si>
    <t>3018 - Assumptions</t>
  </si>
  <si>
    <t>3018 - Inputs</t>
  </si>
  <si>
    <t>3019 - Assumptions</t>
  </si>
  <si>
    <t>3019 - Inputs</t>
  </si>
  <si>
    <t>3020 - Assumptions</t>
  </si>
  <si>
    <t>3020 - Inputs</t>
  </si>
  <si>
    <t>3021 - Assumptions</t>
  </si>
  <si>
    <t>3021 - Inputs</t>
  </si>
  <si>
    <t>3022 - Assumptions</t>
  </si>
  <si>
    <t>3022 - Inputs</t>
  </si>
  <si>
    <t>3023 - Assumptions</t>
  </si>
  <si>
    <t>3023 - Inputs</t>
  </si>
  <si>
    <t>3024 - Assumptions</t>
  </si>
  <si>
    <t>3024 - Inputs</t>
  </si>
  <si>
    <t>3025 - Assumptions</t>
  </si>
  <si>
    <t>3025 - Inputs</t>
  </si>
  <si>
    <t>Total RAB Categories</t>
  </si>
  <si>
    <t>Rates</t>
  </si>
  <si>
    <t>Low Pressure</t>
  </si>
  <si>
    <t>Medium Pressure</t>
  </si>
  <si>
    <t>High Pressure</t>
  </si>
  <si>
    <t>AdHoc Mains &amp; Replacement</t>
  </si>
  <si>
    <t>Minor Replacement - Mains Renewal &lt;20m)</t>
  </si>
  <si>
    <t>Minor Replacement - Alter / Lower Mains</t>
  </si>
  <si>
    <t>Minor Replacement - Service Renewals</t>
  </si>
  <si>
    <t>Minor Replacement - Alter / Lower Services</t>
  </si>
  <si>
    <t>Domestic Meters</t>
  </si>
  <si>
    <t>Customer Connections</t>
  </si>
  <si>
    <t>Customer Regulators</t>
  </si>
  <si>
    <t>Industrial &amp; Commercial Meters</t>
  </si>
  <si>
    <t>New Towns</t>
  </si>
  <si>
    <t>Network Regulators</t>
  </si>
  <si>
    <t>Direct Capex including Non-CPI Escalation</t>
  </si>
  <si>
    <t>Global Controls - Capex Summary $Nominal</t>
  </si>
  <si>
    <t>Global Controls - Capex Summary $FY23</t>
  </si>
  <si>
    <t>Global Controls - CapexSum $Nominal + $FY23</t>
  </si>
  <si>
    <t>Cathodic Protection &amp; SCADA</t>
  </si>
  <si>
    <t>In-Service Compliance Testing</t>
  </si>
  <si>
    <t>Time Expired</t>
  </si>
  <si>
    <t>"No Access" Non-Compliant</t>
  </si>
  <si>
    <t>"No Access" - backlog from prior years</t>
  </si>
  <si>
    <t>Meter Faults - Domestic</t>
  </si>
  <si>
    <t>I &amp; C Time expired</t>
  </si>
  <si>
    <t>Miscellaneous network regulator capital works</t>
  </si>
  <si>
    <t>Tariff D Connections</t>
  </si>
  <si>
    <t>High Pressure Mains Replacement</t>
  </si>
  <si>
    <t>City Gate - New</t>
  </si>
  <si>
    <t>City Gate - Capacity Upgrade</t>
  </si>
  <si>
    <t>Field Regulator - New</t>
  </si>
  <si>
    <t>Field Regulator - Capacity Upgrade</t>
  </si>
  <si>
    <t>Network Reinforcement - Distribution</t>
  </si>
  <si>
    <t>Network Reinforcement - Transmission</t>
  </si>
  <si>
    <t>Tax Category Allocation</t>
  </si>
  <si>
    <t>Total Tax Categories</t>
  </si>
  <si>
    <t>Direct Costs +  Overheads</t>
  </si>
  <si>
    <t>City Gate Site Relocation</t>
  </si>
  <si>
    <t>Transmission Pipelines - Integrity Programs</t>
  </si>
  <si>
    <t>New Heaters</t>
  </si>
  <si>
    <t>Portable City Gate/heater</t>
  </si>
  <si>
    <t>Other Works</t>
  </si>
  <si>
    <t>Capex Inputs</t>
  </si>
  <si>
    <t>Corporate</t>
  </si>
  <si>
    <t>Information Management</t>
  </si>
  <si>
    <t>Information Security</t>
  </si>
  <si>
    <t>Network Management</t>
  </si>
  <si>
    <t>Works &amp; Asset Management</t>
  </si>
  <si>
    <t>EAM / ERP</t>
  </si>
  <si>
    <t>Metering &amp; Customer Services</t>
  </si>
  <si>
    <t>Information Technology</t>
  </si>
  <si>
    <t>Comms</t>
  </si>
  <si>
    <t>Turbine</t>
  </si>
  <si>
    <t>Capex Summary $Nominal</t>
  </si>
  <si>
    <t>Replaced I/C with TEMP</t>
  </si>
  <si>
    <t>Obsolete Dival (say 100 sites)</t>
  </si>
  <si>
    <t>SCADA Category 2</t>
  </si>
  <si>
    <t>Residential Connections Category 2</t>
  </si>
  <si>
    <t>Major Alterations Category 2</t>
  </si>
  <si>
    <t>New Towns Category 2</t>
  </si>
  <si>
    <t>Other Extensions Category 2</t>
  </si>
  <si>
    <t>City Gate Fence Upgrades Category 1</t>
  </si>
  <si>
    <t>City Gate Fence Upgrades Category 2</t>
  </si>
  <si>
    <t>City Gate Fence Upgrades Category 3</t>
  </si>
  <si>
    <t>City Gate Fence Upgrades Category 4</t>
  </si>
  <si>
    <t>Corporate Enablement</t>
  </si>
  <si>
    <t>Corporate Communications</t>
  </si>
  <si>
    <t>Customer Information Systems</t>
  </si>
  <si>
    <t>Cyber Security</t>
  </si>
  <si>
    <t>IT Category 20</t>
  </si>
  <si>
    <t>IT Capex</t>
  </si>
  <si>
    <t>Other Non-IT Category 2</t>
  </si>
  <si>
    <t>Work Code v RAB Category Direct Check</t>
  </si>
  <si>
    <t>Work Code v RIN Category Direct Check</t>
  </si>
  <si>
    <t>Work Code v Tax Category Direct Check</t>
  </si>
  <si>
    <t>RAB v RIN Direct + Overhead Check</t>
  </si>
  <si>
    <t>RAB Vv Tax Direct + Overhead Check</t>
  </si>
  <si>
    <t>Direct Capex (Unescalated)</t>
  </si>
  <si>
    <t>3027 - Assumptions</t>
  </si>
  <si>
    <t>3027 - Inputs</t>
  </si>
  <si>
    <t>3031 - Assumptions</t>
  </si>
  <si>
    <t>3031 - Inputs</t>
  </si>
  <si>
    <t>Other Capex</t>
  </si>
  <si>
    <t>Escalation Factor</t>
  </si>
  <si>
    <t>Capex by Workcode</t>
  </si>
  <si>
    <t>Capex Summary $FY2023</t>
  </si>
  <si>
    <t>CapexSum $Nominal + $FY2023</t>
  </si>
  <si>
    <t>Overheads</t>
  </si>
  <si>
    <t>Capitalised Leases</t>
  </si>
  <si>
    <t>Parwan &amp; Lara City Gate</t>
  </si>
  <si>
    <t>Customer Contributions</t>
  </si>
  <si>
    <t>Customer Contributions Category 1</t>
  </si>
  <si>
    <t>Shipper: Residential Connections FY21-</t>
  </si>
  <si>
    <t>Shipper: Residential Connections</t>
  </si>
  <si>
    <t>New Estates - Residential</t>
  </si>
  <si>
    <t>New Estates - Residential FY21-</t>
  </si>
  <si>
    <t>Residential Meter Installs FY21-</t>
  </si>
  <si>
    <t>Shippers: Industrial &amp; Commercial FY21-</t>
  </si>
  <si>
    <t>Shippers: Industrial and Commercial</t>
  </si>
  <si>
    <t>New Estates I&amp;C</t>
  </si>
  <si>
    <t>New Estates - Industrial &amp; Commercial</t>
  </si>
  <si>
    <t>Shippers: Tarrif D FY21-</t>
  </si>
  <si>
    <t>Shippers: Tarrif D</t>
  </si>
  <si>
    <t>Lovely Banks City Gate</t>
  </si>
  <si>
    <t xml:space="preserve">Parwan City Gate             </t>
  </si>
  <si>
    <t>Shipper: Major Alterations FY21-</t>
  </si>
  <si>
    <t>Shipper: Major Alterations</t>
  </si>
  <si>
    <t>Global Controls - Historical Capex</t>
  </si>
  <si>
    <t>Historical Capex $Nominal</t>
  </si>
  <si>
    <t>$Nominal to $FY2023</t>
  </si>
  <si>
    <t>$Nominal to $FY23</t>
  </si>
  <si>
    <t>Global Controls - Scenarios</t>
  </si>
  <si>
    <t>Base Case</t>
  </si>
  <si>
    <t>Future of Gas Scenario 1</t>
  </si>
  <si>
    <t>Scenarios</t>
  </si>
  <si>
    <t>Future of Gas Scenarios 1</t>
  </si>
  <si>
    <t>To Use:</t>
  </si>
  <si>
    <t>$Nominal to $2017</t>
  </si>
  <si>
    <t>$2017 to $Nominal</t>
  </si>
  <si>
    <t>$2020/21 to $Nominal</t>
  </si>
  <si>
    <t>Capex Items Category 12</t>
  </si>
  <si>
    <t>Capex Items Category 13</t>
  </si>
  <si>
    <t>LP mains replacement program - Ascot Vale</t>
  </si>
  <si>
    <t>LP mains replacement program - Geelong West</t>
  </si>
  <si>
    <t>LP mains replacement program - Geelong</t>
  </si>
  <si>
    <t>LP mains replacement program - Colac</t>
  </si>
  <si>
    <t>LP mains replacement program - Warrnambool</t>
  </si>
  <si>
    <t>LP mains replacement program - Hamilton</t>
  </si>
  <si>
    <t>LP mains replacement program - Portland</t>
  </si>
  <si>
    <t>LP mains replacement program - Ballarat</t>
  </si>
  <si>
    <t>LP mains replacement program - Ararat</t>
  </si>
  <si>
    <t>LP mains replacement program - Stawell</t>
  </si>
  <si>
    <t>LP mains replacement program - Horsham</t>
  </si>
  <si>
    <t>LP mains replacement program - Bendigo</t>
  </si>
  <si>
    <t>MP mains replacement program - Altona North</t>
  </si>
  <si>
    <t>MP mains replacement program - Braybrook</t>
  </si>
  <si>
    <t>MP mains replacement program - Deer Park</t>
  </si>
  <si>
    <t>MP mains replacement program - Ardeer</t>
  </si>
  <si>
    <t>MP mains replacement program - Footscray</t>
  </si>
  <si>
    <t>MP mains replacement program - St Albans</t>
  </si>
  <si>
    <t>MP mains replacement program - Maidstone</t>
  </si>
  <si>
    <t>MP mains replacement program - Yarraville</t>
  </si>
  <si>
    <t xml:space="preserve">MP mains replacement program - Newport </t>
  </si>
  <si>
    <t>MP mains replacement program - Williamstown</t>
  </si>
  <si>
    <t>Meter rebuild</t>
  </si>
  <si>
    <t>Old Inline Datalogger or Flow Corrector Sites</t>
  </si>
  <si>
    <t>Capex Items Category 7</t>
  </si>
  <si>
    <t>Rotary Meters</t>
  </si>
  <si>
    <t>Large Diaphragm Meters (AL2300 and AL5000)</t>
  </si>
  <si>
    <t>Other Diaphragm Meters</t>
  </si>
  <si>
    <t>Datalogger Sites</t>
  </si>
  <si>
    <t>Flow Corrector Sites</t>
  </si>
  <si>
    <t>Replace Reliance 1813</t>
  </si>
  <si>
    <t>Misc Actuator Replacement</t>
  </si>
  <si>
    <t>Obsolete Dival</t>
  </si>
  <si>
    <t>Replace Reliance 1813 regulators</t>
  </si>
  <si>
    <t>Any other sites (faults)</t>
  </si>
  <si>
    <t>Residential sites (faults) reduced by Temp replacement</t>
  </si>
  <si>
    <t>Capex Items Category 9</t>
  </si>
  <si>
    <t>New CPU Installation (Small 2 Amps)</t>
  </si>
  <si>
    <t>Small Anode Bed Replacement</t>
  </si>
  <si>
    <t>Large Anode Bed Replacement</t>
  </si>
  <si>
    <t>New sacrificial anode</t>
  </si>
  <si>
    <t>Replace Expiring Sacrificial Anode</t>
  </si>
  <si>
    <t>CP UNIT Remote Monitoring</t>
  </si>
  <si>
    <t>City Gate Remote Potential survey</t>
  </si>
  <si>
    <t>Miscellaneous CPS</t>
  </si>
  <si>
    <t>Fringe RTU Installation</t>
  </si>
  <si>
    <t>Fringe RTU Relocation</t>
  </si>
  <si>
    <t>Kingfisher PC-1 Replacement</t>
  </si>
  <si>
    <t>Moore Temperature Transmitter Replacement</t>
  </si>
  <si>
    <t>Dossier Replacement</t>
  </si>
  <si>
    <t>Slamshut Switch Replacement</t>
  </si>
  <si>
    <t>Cabinet Replacement</t>
  </si>
  <si>
    <t>Remote Pressure Monitoring Unit</t>
  </si>
  <si>
    <t>2018-23</t>
  </si>
  <si>
    <t>CG Regulator Replacement</t>
  </si>
  <si>
    <t>CG Heater Replacement</t>
  </si>
  <si>
    <t>Actuator Replacement</t>
  </si>
  <si>
    <t>Security Fencing</t>
  </si>
  <si>
    <t>Capex Items Category X</t>
  </si>
  <si>
    <t>.</t>
  </si>
  <si>
    <t>Capex Summary $FY2022</t>
  </si>
  <si>
    <t>Capex Summary $FY22</t>
  </si>
  <si>
    <t>$2021/22 to $Nominal</t>
  </si>
  <si>
    <t>$FY2022 to $FY2023</t>
  </si>
  <si>
    <t>Workforce collaboration</t>
  </si>
  <si>
    <t>TAM Apps</t>
  </si>
  <si>
    <t>TAM Infra</t>
  </si>
  <si>
    <t>Intelligent Networks</t>
  </si>
  <si>
    <t>Smart Metering</t>
  </si>
  <si>
    <t>Digital Meters trial</t>
  </si>
  <si>
    <t>Renewable Gas Augmentation</t>
  </si>
  <si>
    <t>MP mains replacement program - Sunshine</t>
  </si>
  <si>
    <t>3032 Ancilliary</t>
  </si>
  <si>
    <t>Field Regulator Replacement</t>
  </si>
  <si>
    <t>Global Controls - Overheads</t>
  </si>
  <si>
    <t>Direct Capex ($Nominal)</t>
  </si>
  <si>
    <t>Overheads ($Nominal)</t>
  </si>
  <si>
    <t>Actual Overheads</t>
  </si>
  <si>
    <t>Forecast Overheads</t>
  </si>
  <si>
    <t>Direct Capex ($FY2023)</t>
  </si>
  <si>
    <t>Overheads ($FY2023)</t>
  </si>
  <si>
    <t>Actual + 4 Year Average ($)</t>
  </si>
  <si>
    <t>Year Fraction</t>
  </si>
  <si>
    <t>less Capitalised OH converted to Opex</t>
  </si>
  <si>
    <t>Overhead %</t>
  </si>
  <si>
    <t>Distribution pipelines - post 1998</t>
  </si>
  <si>
    <t>Cathodic protection - post 1998</t>
  </si>
  <si>
    <t>Service pipes - post 1998</t>
  </si>
  <si>
    <t>Transmission pipelines - post 1998</t>
  </si>
  <si>
    <t>Transmission pipelines</t>
  </si>
  <si>
    <t>Distribution pipelines</t>
  </si>
  <si>
    <t>Service pipes</t>
  </si>
  <si>
    <t>Cathodic protection</t>
  </si>
  <si>
    <t>AusNet</t>
  </si>
  <si>
    <t>Confidential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</si>
</sst>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0">
    <numFmt numFmtId="164" formatCode="_(&quot;$&quot;* #,##0_);_(&quot;$&quot;* \(#,##0\);_(&quot;$&quot;* &quot;-&quot;_);_(@_)"/>
    <numFmt numFmtId="165" formatCode="_(* #,##0_);_(* \(#,##0\);_(* &quot;-&quot;_);_(@_)"/>
    <numFmt numFmtId="166" formatCode="_(&quot;$&quot;* #,##0.00_);_(&quot;$&quot;* \(#,##0.00\);_(&quot;$&quot;* &quot;-&quot;??_);_(@_)"/>
    <numFmt numFmtId="167" formatCode="_(* #,##0.00_);_(* \(#,##0.00\);_(* &quot;-&quot;??_);_(@_)"/>
    <numFmt numFmtId="168" formatCode="_(###0_);\(###0\);_(&quot;-&quot;_);_)@_)"/>
    <numFmt numFmtId="169" formatCode="_)d\-mmm\-yy_);_)d\-mmm\-yy_);_)&quot;-&quot;_);_)@_)"/>
    <numFmt numFmtId="170" formatCode="_(#,##0.0_);\(#,##0.0\);_(&quot;-&quot;_);_)@_)"/>
    <numFmt numFmtId="171" formatCode="_(#,##0.0%_);\(#,##0.0%\);_(&quot;-&quot;_);_)@_)"/>
    <numFmt numFmtId="172" formatCode="_(#,##0.0\x_);\(#,##0.0\x\);_(&quot;-&quot;_);_)@_)"/>
    <numFmt numFmtId="173" formatCode="_(&quot;$&quot;#,##0.0_);\(&quot;$&quot;#,##0.0\);_(&quot;-&quot;_);_)@_)"/>
    <numFmt numFmtId="174" formatCode="."/>
    <numFmt numFmtId="175" formatCode="_(#,##0_);\(#,##0\);_(&quot;-&quot;_);_)@_)"/>
    <numFmt numFmtId="176" formatCode="#,##0."/>
    <numFmt numFmtId="177" formatCode="mmm\-yyyy"/>
    <numFmt numFmtId="178" formatCode="_(#,##0.00%_);\(#,##0.00%\);_(&quot;-&quot;_);_)@_)"/>
    <numFmt numFmtId="179" formatCode="_)mmm\-yyyy_);_)mmm\-yyyy_);_)&quot;-&quot;_);_)@_)"/>
    <numFmt numFmtId="180" formatCode="_(#,##0%_);\(#,##0%\);_(&quot;-&quot;_);_)@_)"/>
    <numFmt numFmtId="181" formatCode="_(#,##0.000%_);\(#,##0.000%\);_(&quot;-&quot;_);_)@_)"/>
    <numFmt numFmtId="182" formatCode="_(#,##0.0000_);\(#,##0.0000\);_(&quot;-&quot;_);_)@_)"/>
    <numFmt numFmtId="183" formatCode="_(&quot;$&quot;#,##0_);\(&quot;$&quot;#,##0\);_(&quot;-&quot;_);_)@_)"/>
    <numFmt numFmtId="184" formatCode="_(#,##0.00_);\(#,##0.00\);_(&quot;-&quot;_);_)@_)"/>
    <numFmt numFmtId="185" formatCode="_-* #,##0.0_-;\-* #,##0.0_-;_-* &quot;-&quot;??_-;_-@_-"/>
    <numFmt numFmtId="186" formatCode="[$$-C09]#,##0.00;[Red]&quot;-&quot;[$$-C09]#,##0.00"/>
    <numFmt numFmtId="187" formatCode="0.0%"/>
    <numFmt numFmtId="188" formatCode="_([$€-2]* #,##0.00_);_([$€-2]* \(#,##0.00\);_([$€-2]* &quot;-&quot;??_)"/>
    <numFmt numFmtId="189" formatCode="_-* #,##0.00_-;[Red]\(#,##0.00\)_-;_-* &quot;-&quot;??_-;_-@_-"/>
    <numFmt numFmtId="190" formatCode="mm/dd/yy"/>
    <numFmt numFmtId="191" formatCode="0_);[Red]\(0\)"/>
    <numFmt numFmtId="192" formatCode="_(* #,##0.0_);_(* \(#,##0.0\);_(* &quot;-&quot;?_);_(@_)"/>
    <numFmt numFmtId="193" formatCode="_(* #,##0_);_(* \(#,##0\);_(* &quot;-&quot;?_);_(@_)"/>
    <numFmt numFmtId="194" formatCode="#,##0.000_ ;[Red]\-#,##0.000\ "/>
    <numFmt numFmtId="195" formatCode="#,##0.0_);\(#,##0.0\)"/>
    <numFmt numFmtId="196" formatCode="#,##0_ ;\-#,##0\ "/>
    <numFmt numFmtId="197" formatCode="#,##0;[Red]\(#,##0.0\)"/>
    <numFmt numFmtId="198" formatCode="#,##0_ ;[Red]\(#,##0\)\ "/>
    <numFmt numFmtId="199" formatCode="#,##0.00;\(#,##0.00\)"/>
    <numFmt numFmtId="200" formatCode="_)d\-mmm\-yy_)"/>
    <numFmt numFmtId="201" formatCode="_(#,##0.0_);\(#,##0.0\);_(&quot;-&quot;_)"/>
    <numFmt numFmtId="202" formatCode="_(###0_);\(###0\);_(###0_)"/>
    <numFmt numFmtId="203" formatCode="#,##0.0000_);[Red]\(#,##0.0000\)"/>
  </numFmts>
  <fonts count="131">
    <font>
      <sz val="9"/>
      <color theme="1" tint="0.2499465926084170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b/>
      <sz val="11"/>
      <color theme="1" tint="0.24994659260841701"/>
      <name val="Arial"/>
      <family val="2"/>
      <scheme val="major"/>
    </font>
    <font>
      <b/>
      <sz val="10"/>
      <color theme="1" tint="0.24994659260841701"/>
      <name val="Arial"/>
      <family val="2"/>
      <scheme val="major"/>
    </font>
    <font>
      <sz val="9"/>
      <color theme="0"/>
      <name val="Arial"/>
      <family val="2"/>
      <scheme val="major"/>
    </font>
    <font>
      <b/>
      <sz val="9"/>
      <color theme="4" tint="-0.49995422223578601"/>
      <name val="Arial"/>
      <family val="2"/>
      <scheme val="major"/>
    </font>
    <font>
      <b/>
      <sz val="9"/>
      <color theme="1" tint="0.24994659260841701"/>
      <name val="Arial"/>
      <family val="2"/>
      <scheme val="major"/>
    </font>
    <font>
      <sz val="9"/>
      <color theme="1" tint="0.24994659260841701"/>
      <name val="Arial"/>
      <family val="2"/>
      <scheme val="major"/>
    </font>
    <font>
      <sz val="9"/>
      <color theme="1" tint="0.24994659260841701"/>
      <name val="Arial"/>
      <family val="2"/>
      <scheme val="minor"/>
    </font>
    <font>
      <sz val="9"/>
      <color theme="0"/>
      <name val="Arial"/>
      <family val="2"/>
      <scheme val="minor"/>
    </font>
    <font>
      <b/>
      <sz val="9"/>
      <color theme="1" tint="0.24994659260841701"/>
      <name val="Arial"/>
      <family val="2"/>
      <scheme val="minor"/>
    </font>
    <font>
      <u/>
      <sz val="9"/>
      <color theme="11"/>
      <name val="Arial"/>
      <family val="2"/>
      <scheme val="minor"/>
    </font>
    <font>
      <sz val="9"/>
      <color theme="11"/>
      <name val="Wingdings"/>
      <charset val="2"/>
    </font>
    <font>
      <b/>
      <u/>
      <sz val="9"/>
      <color theme="11"/>
      <name val="Arial"/>
      <family val="2"/>
      <scheme val="minor"/>
    </font>
    <font>
      <sz val="9"/>
      <color theme="11"/>
      <name val="Arial"/>
      <family val="2"/>
      <scheme val="minor"/>
    </font>
    <font>
      <b/>
      <sz val="10"/>
      <color theme="4" tint="-0.49995422223578601"/>
      <name val="Arial"/>
      <family val="2"/>
      <scheme val="major"/>
    </font>
    <font>
      <b/>
      <sz val="11"/>
      <color theme="4" tint="-0.49995422223578601"/>
      <name val="Arial"/>
      <family val="2"/>
      <scheme val="major"/>
    </font>
    <font>
      <sz val="9"/>
      <color theme="4" tint="-0.49995422223578601"/>
      <name val="Arial"/>
      <family val="2"/>
      <scheme val="major"/>
    </font>
    <font>
      <sz val="9"/>
      <color theme="9" tint="-0.49995422223578601"/>
      <name val="Arial"/>
      <family val="2"/>
      <scheme val="minor"/>
    </font>
    <font>
      <b/>
      <sz val="9"/>
      <color theme="9" tint="-0.49995422223578601"/>
      <name val="Arial"/>
      <family val="2"/>
      <scheme val="minor"/>
    </font>
    <font>
      <sz val="9"/>
      <color theme="4" tint="-0.49995422223578601"/>
      <name val="Arial"/>
      <family val="2"/>
      <scheme val="minor"/>
    </font>
    <font>
      <sz val="9"/>
      <color theme="9" tint="-0.49995422223578601"/>
      <name val="Arial"/>
      <family val="2"/>
      <scheme val="major"/>
    </font>
    <font>
      <b/>
      <sz val="9"/>
      <color theme="9" tint="-0.49995422223578601"/>
      <name val="Arial"/>
      <family val="2"/>
      <scheme val="major"/>
    </font>
    <font>
      <b/>
      <sz val="10"/>
      <color theme="9" tint="-0.49995422223578601"/>
      <name val="Arial"/>
      <family val="2"/>
      <scheme val="major"/>
    </font>
    <font>
      <sz val="9"/>
      <color rgb="FFFFFFFF"/>
      <name val="Arial"/>
      <family val="2"/>
      <scheme val="minor"/>
    </font>
    <font>
      <b/>
      <sz val="9"/>
      <color theme="4" tint="-0.49995422223578601"/>
      <name val="Arial"/>
      <family val="2"/>
      <scheme val="minor"/>
    </font>
    <font>
      <b/>
      <sz val="9"/>
      <color theme="0"/>
      <name val="Arial"/>
      <family val="2"/>
      <scheme val="minor"/>
    </font>
    <font>
      <b/>
      <sz val="9"/>
      <color theme="0"/>
      <name val="Arial"/>
      <family val="2"/>
      <scheme val="major"/>
    </font>
    <font>
      <u/>
      <sz val="9"/>
      <color theme="10"/>
      <name val="Arial"/>
      <family val="2"/>
      <scheme val="minor"/>
    </font>
    <font>
      <b/>
      <sz val="11"/>
      <color theme="0"/>
      <name val="Arial"/>
      <family val="2"/>
      <scheme val="maj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8"/>
      <color theme="3"/>
      <name val="Arial"/>
      <family val="2"/>
      <scheme val="major"/>
    </font>
    <font>
      <b/>
      <sz val="15"/>
      <color theme="3"/>
      <name val="Arial"/>
      <family val="2"/>
      <scheme val="minor"/>
    </font>
    <font>
      <b/>
      <sz val="13"/>
      <color theme="3"/>
      <name val="Arial"/>
      <family val="2"/>
      <scheme val="minor"/>
    </font>
    <font>
      <b/>
      <sz val="11"/>
      <color theme="3"/>
      <name val="Arial"/>
      <family val="2"/>
      <scheme val="minor"/>
    </font>
    <font>
      <sz val="11"/>
      <color rgb="FF006100"/>
      <name val="Arial"/>
      <family val="2"/>
      <scheme val="minor"/>
    </font>
    <font>
      <sz val="11"/>
      <color rgb="FF9C0006"/>
      <name val="Arial"/>
      <family val="2"/>
      <scheme val="minor"/>
    </font>
    <font>
      <sz val="11"/>
      <color rgb="FF9C5700"/>
      <name val="Arial"/>
      <family val="2"/>
      <scheme val="minor"/>
    </font>
    <font>
      <sz val="11"/>
      <color rgb="FF3F3F76"/>
      <name val="Arial"/>
      <family val="2"/>
      <scheme val="minor"/>
    </font>
    <font>
      <b/>
      <sz val="11"/>
      <color rgb="FF3F3F3F"/>
      <name val="Arial"/>
      <family val="2"/>
      <scheme val="minor"/>
    </font>
    <font>
      <b/>
      <sz val="11"/>
      <color rgb="FFFA7D00"/>
      <name val="Arial"/>
      <family val="2"/>
      <scheme val="minor"/>
    </font>
    <font>
      <sz val="11"/>
      <color rgb="FFFA7D00"/>
      <name val="Arial"/>
      <family val="2"/>
      <scheme val="minor"/>
    </font>
    <font>
      <b/>
      <sz val="11"/>
      <color theme="0"/>
      <name val="Arial"/>
      <family val="2"/>
      <scheme val="minor"/>
    </font>
    <font>
      <sz val="11"/>
      <color rgb="FFFF0000"/>
      <name val="Arial"/>
      <family val="2"/>
      <scheme val="minor"/>
    </font>
    <font>
      <i/>
      <sz val="11"/>
      <color rgb="FF7F7F7F"/>
      <name val="Arial"/>
      <family val="2"/>
      <scheme val="minor"/>
    </font>
    <font>
      <b/>
      <sz val="11"/>
      <color theme="1"/>
      <name val="Arial"/>
      <family val="2"/>
      <scheme val="minor"/>
    </font>
    <font>
      <sz val="11"/>
      <color theme="0"/>
      <name val="Arial"/>
      <family val="2"/>
      <scheme val="minor"/>
    </font>
    <font>
      <sz val="9"/>
      <color theme="1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9"/>
      <name val="Arial"/>
      <family val="2"/>
    </font>
    <font>
      <sz val="8"/>
      <name val="Arial"/>
      <family val="2"/>
      <scheme val="major"/>
    </font>
    <font>
      <sz val="8"/>
      <name val="Arial"/>
      <family val="2"/>
    </font>
    <font>
      <sz val="10"/>
      <color rgb="FF000000"/>
      <name val="Arial"/>
      <family val="2"/>
    </font>
    <font>
      <sz val="11"/>
      <name val="Calibri"/>
      <family val="2"/>
    </font>
    <font>
      <sz val="10"/>
      <name val="Times New Roman"/>
      <family val="1"/>
    </font>
    <font>
      <sz val="10"/>
      <color theme="1"/>
      <name val="Arial"/>
      <family val="2"/>
    </font>
    <font>
      <sz val="11"/>
      <color theme="1"/>
      <name val="Arial"/>
      <family val="2"/>
    </font>
    <font>
      <i/>
      <sz val="8"/>
      <color indexed="8"/>
      <name val="FrnkGothITC Bk BT"/>
    </font>
    <font>
      <sz val="9"/>
      <name val="Franklin Gothic Book"/>
      <family val="2"/>
    </font>
    <font>
      <sz val="8"/>
      <name val="FrnkGothITC Bk BT"/>
    </font>
    <font>
      <b/>
      <sz val="8"/>
      <color indexed="8"/>
      <name val="FrnkGothITC Bk BT"/>
    </font>
    <font>
      <b/>
      <sz val="10"/>
      <name val="Arial"/>
      <family val="2"/>
    </font>
    <font>
      <sz val="7"/>
      <color indexed="8"/>
      <name val="FrnkGothITC Bk BT"/>
    </font>
    <font>
      <b/>
      <sz val="14"/>
      <name val="Arial"/>
      <family val="2"/>
    </font>
    <font>
      <b/>
      <i/>
      <sz val="16"/>
      <color theme="1"/>
      <name val="Arial"/>
      <family val="2"/>
    </font>
    <font>
      <b/>
      <i/>
      <sz val="16"/>
      <color rgb="FF000000"/>
      <name val="Arial"/>
      <family val="2"/>
    </font>
    <font>
      <u/>
      <sz val="10"/>
      <color indexed="12"/>
      <name val="Arial"/>
      <family val="2"/>
    </font>
    <font>
      <u/>
      <sz val="11"/>
      <color theme="10"/>
      <name val="Arial"/>
      <family val="2"/>
      <scheme val="minor"/>
    </font>
    <font>
      <u/>
      <sz val="11"/>
      <color theme="10"/>
      <name val="Arial"/>
      <family val="2"/>
    </font>
    <font>
      <sz val="9"/>
      <name val="Arial Narrow"/>
      <family val="2"/>
    </font>
    <font>
      <sz val="10"/>
      <name val="MS Sans Serif"/>
      <family val="2"/>
    </font>
    <font>
      <b/>
      <i/>
      <u/>
      <sz val="10"/>
      <color rgb="FF000000"/>
      <name val="Arial"/>
      <family val="2"/>
    </font>
    <font>
      <b/>
      <i/>
      <u/>
      <sz val="11"/>
      <color theme="1"/>
      <name val="Arial"/>
      <family val="2"/>
    </font>
    <font>
      <b/>
      <sz val="8"/>
      <name val="Arial"/>
      <family val="2"/>
    </font>
    <font>
      <b/>
      <sz val="12"/>
      <name val="Arial"/>
      <family val="2"/>
    </font>
    <font>
      <sz val="10"/>
      <name val="Helv"/>
      <charset val="204"/>
    </font>
    <font>
      <sz val="14"/>
      <name val="System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9"/>
      <name val="AGaramond"/>
    </font>
    <font>
      <sz val="11"/>
      <color indexed="20"/>
      <name val="Calibri"/>
      <family val="2"/>
    </font>
    <font>
      <sz val="10"/>
      <name val="Helvetica"/>
      <family val="2"/>
    </font>
    <font>
      <sz val="10"/>
      <color indexed="12"/>
      <name val="Helvetica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0"/>
      <name val="Verdana"/>
      <family val="2"/>
    </font>
    <font>
      <sz val="10"/>
      <color theme="1"/>
      <name val="Verdana"/>
      <family val="2"/>
    </font>
    <font>
      <sz val="10"/>
      <color indexed="24"/>
      <name val="Arial"/>
      <family val="2"/>
    </font>
    <font>
      <b/>
      <sz val="11"/>
      <color indexed="8"/>
      <name val="Calibri"/>
      <family val="2"/>
    </font>
    <font>
      <i/>
      <sz val="11"/>
      <color indexed="23"/>
      <name val="Calibri"/>
      <family val="2"/>
    </font>
    <font>
      <sz val="9"/>
      <name val="GillSans"/>
      <family val="2"/>
    </font>
    <font>
      <sz val="9"/>
      <name val="GillSans Light"/>
      <family val="2"/>
    </font>
    <font>
      <sz val="11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b/>
      <sz val="8.5"/>
      <name val="Univers 65"/>
      <family val="2"/>
    </font>
    <font>
      <u/>
      <sz val="11"/>
      <color indexed="12"/>
      <name val="Calibri"/>
      <family val="2"/>
    </font>
    <font>
      <u/>
      <sz val="10"/>
      <color indexed="12"/>
      <name val="MS Sans Serif"/>
      <family val="2"/>
    </font>
    <font>
      <b/>
      <sz val="10"/>
      <color indexed="56"/>
      <name val="Wingdings"/>
      <charset val="2"/>
    </font>
    <font>
      <b/>
      <u/>
      <sz val="8"/>
      <color indexed="56"/>
      <name val="Arial"/>
      <family val="2"/>
    </font>
    <font>
      <sz val="11"/>
      <color indexed="62"/>
      <name val="Calibri"/>
      <family val="2"/>
    </font>
    <font>
      <b/>
      <sz val="9"/>
      <color indexed="9"/>
      <name val="Arial"/>
      <family val="2"/>
    </font>
    <font>
      <sz val="11"/>
      <color indexed="52"/>
      <name val="Calibri"/>
      <family val="2"/>
    </font>
    <font>
      <sz val="12"/>
      <color indexed="14"/>
      <name val="Arial"/>
      <family val="2"/>
    </font>
    <font>
      <sz val="11"/>
      <color indexed="60"/>
      <name val="Calibri"/>
      <family val="2"/>
    </font>
    <font>
      <sz val="8"/>
      <name val="Palatino"/>
      <family val="1"/>
    </font>
    <font>
      <b/>
      <sz val="11"/>
      <color indexed="63"/>
      <name val="Calibri"/>
      <family val="2"/>
    </font>
    <font>
      <sz val="8.5"/>
      <name val="Univers 55"/>
      <family val="2"/>
    </font>
    <font>
      <sz val="10"/>
      <color indexed="18"/>
      <name val="Times New Roman"/>
      <family val="1"/>
    </font>
    <font>
      <b/>
      <sz val="10"/>
      <name val="MS Sans Serif"/>
      <family val="2"/>
    </font>
    <font>
      <b/>
      <sz val="18"/>
      <color indexed="62"/>
      <name val="Cambria"/>
      <family val="2"/>
    </font>
    <font>
      <b/>
      <sz val="16"/>
      <color indexed="9"/>
      <name val="Arial"/>
      <family val="2"/>
    </font>
    <font>
      <sz val="9"/>
      <color indexed="21"/>
      <name val="Helvetica-Black"/>
    </font>
    <font>
      <sz val="9"/>
      <color indexed="21"/>
      <name val="Helvetica-Black"/>
      <family val="2"/>
    </font>
    <font>
      <b/>
      <sz val="9"/>
      <name val="Palatino"/>
      <family val="1"/>
    </font>
    <font>
      <sz val="7"/>
      <name val="Palatino"/>
      <family val="1"/>
    </font>
    <font>
      <b/>
      <sz val="12"/>
      <color theme="0"/>
      <name val="Arial"/>
      <family val="2"/>
      <scheme val="minor"/>
    </font>
    <font>
      <sz val="12"/>
      <name val="Palatino"/>
      <family val="1"/>
    </font>
    <font>
      <sz val="11"/>
      <name val="Helvetica-Black"/>
    </font>
    <font>
      <sz val="11"/>
      <name val="Helvetica-Black"/>
      <family val="2"/>
    </font>
    <font>
      <sz val="12"/>
      <color indexed="12"/>
      <name val="Arial MT"/>
    </font>
    <font>
      <b/>
      <u/>
      <sz val="9.5"/>
      <color indexed="56"/>
      <name val="Arial"/>
      <family val="2"/>
    </font>
    <font>
      <u/>
      <sz val="8"/>
      <color indexed="56"/>
      <name val="Arial"/>
      <family val="2"/>
    </font>
    <font>
      <sz val="11"/>
      <color indexed="10"/>
      <name val="Calibri"/>
      <family val="2"/>
    </font>
    <font>
      <b/>
      <sz val="12"/>
      <color theme="0"/>
      <name val="Arial"/>
      <family val="2"/>
    </font>
    <font>
      <u/>
      <sz val="11"/>
      <name val="Arial"/>
      <family val="2"/>
      <scheme val="minor"/>
    </font>
  </fonts>
  <fills count="82">
    <fill>
      <patternFill patternType="none"/>
    </fill>
    <fill>
      <patternFill patternType="gray125"/>
    </fill>
    <fill>
      <patternFill patternType="solid">
        <fgColor theme="4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1" tint="0.4999542222357860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 tint="-0.49995422223578601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1" tint="0.3499557481612597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E9E7E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9"/>
      </patternFill>
    </fill>
    <fill>
      <patternFill patternType="solid">
        <fgColor indexed="20"/>
        <bgColor indexed="64"/>
      </patternFill>
    </fill>
    <fill>
      <patternFill patternType="solid">
        <fgColor indexed="38"/>
      </patternFill>
    </fill>
    <fill>
      <patternFill patternType="solid">
        <fgColor indexed="47"/>
      </patternFill>
    </fill>
    <fill>
      <patternFill patternType="solid">
        <fgColor indexed="26"/>
      </patternFill>
    </fill>
    <fill>
      <patternFill patternType="solid">
        <fgColor indexed="27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44"/>
      </patternFill>
    </fill>
    <fill>
      <patternFill patternType="solid">
        <fgColor indexed="49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10"/>
      </patternFill>
    </fill>
    <fill>
      <patternFill patternType="solid">
        <fgColor indexed="42"/>
        <bgColor indexed="42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27"/>
        <bgColor indexed="27"/>
      </patternFill>
    </fill>
    <fill>
      <patternFill patternType="solid">
        <fgColor indexed="47"/>
        <bgColor indexed="47"/>
      </patternFill>
    </fill>
    <fill>
      <patternFill patternType="solid">
        <fgColor indexed="53"/>
      </patternFill>
    </fill>
    <fill>
      <patternFill patternType="solid">
        <fgColor indexed="45"/>
      </patternFill>
    </fill>
    <fill>
      <patternFill patternType="solid">
        <fgColor indexed="22"/>
        <bgColor indexed="64"/>
      </patternFill>
    </fill>
    <fill>
      <patternFill patternType="solid">
        <fgColor indexed="55"/>
      </patternFill>
    </fill>
    <fill>
      <patternFill patternType="solid">
        <fgColor indexed="42"/>
      </patternFill>
    </fill>
    <fill>
      <patternFill patternType="solid">
        <fgColor indexed="26"/>
        <bgColor indexed="64"/>
      </patternFill>
    </fill>
    <fill>
      <patternFill patternType="solid">
        <fgColor indexed="27"/>
        <bgColor indexed="64"/>
      </patternFill>
    </fill>
    <fill>
      <patternFill patternType="gray0625">
        <bgColor indexed="44"/>
      </patternFill>
    </fill>
    <fill>
      <patternFill patternType="solid">
        <fgColor rgb="FFFFFFCC"/>
        <bgColor indexed="64"/>
      </patternFill>
    </fill>
    <fill>
      <patternFill patternType="solid">
        <fgColor indexed="62"/>
        <bgColor indexed="64"/>
      </patternFill>
    </fill>
    <fill>
      <patternFill patternType="mediumGray">
        <fgColor indexed="22"/>
      </patternFill>
    </fill>
    <fill>
      <patternFill patternType="solid">
        <fgColor theme="4" tint="-0.499984740745262"/>
        <bgColor indexed="64"/>
      </patternFill>
    </fill>
    <fill>
      <patternFill patternType="solid">
        <fgColor indexed="8"/>
        <bgColor indexed="64"/>
      </patternFill>
    </fill>
  </fills>
  <borders count="4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theme="4" tint="-0.49995422223578601"/>
      </bottom>
      <diagonal/>
    </border>
    <border>
      <left style="thin">
        <color theme="4" tint="0.39997558519241921"/>
      </left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ashed">
        <color indexed="64"/>
      </right>
      <top style="dashed">
        <color indexed="64"/>
      </top>
      <bottom style="dashed">
        <color indexed="64"/>
      </bottom>
      <diagonal/>
    </border>
    <border>
      <left/>
      <right/>
      <top style="thin">
        <color theme="4" tint="0.39997558519241921"/>
      </top>
      <bottom/>
      <diagonal/>
    </border>
    <border>
      <left/>
      <right/>
      <top/>
      <bottom style="thin">
        <color theme="4" tint="0.39997558519241921"/>
      </bottom>
      <diagonal/>
    </border>
    <border>
      <left/>
      <right style="thin">
        <color indexed="64"/>
      </right>
      <top/>
      <bottom/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dashed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4" tint="0.39997558519241921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/>
      <top/>
      <bottom style="thin">
        <color indexed="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38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8"/>
      </bottom>
      <diagonal/>
    </border>
    <border>
      <left/>
      <right/>
      <top/>
      <bottom style="medium">
        <color indexed="49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medium">
        <color indexed="64"/>
      </left>
      <right style="medium">
        <color indexed="64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thin">
        <color indexed="49"/>
      </top>
      <bottom style="double">
        <color indexed="49"/>
      </bottom>
      <diagonal/>
    </border>
  </borders>
  <cellStyleXfs count="1095">
    <xf numFmtId="0" fontId="0" fillId="0" borderId="0" applyFill="0" applyBorder="0">
      <alignment vertical="center"/>
    </xf>
    <xf numFmtId="0" fontId="4" fillId="0" borderId="0" applyFill="0" applyBorder="0">
      <alignment vertical="center"/>
    </xf>
    <xf numFmtId="0" fontId="5" fillId="0" borderId="0" applyFill="0" applyBorder="0">
      <alignment vertical="center"/>
    </xf>
    <xf numFmtId="0" fontId="5" fillId="0" borderId="0" applyFill="0" applyBorder="0">
      <alignment vertical="center"/>
    </xf>
    <xf numFmtId="0" fontId="6" fillId="2" borderId="0" applyBorder="0">
      <alignment vertical="center"/>
    </xf>
    <xf numFmtId="0" fontId="7" fillId="3" borderId="2">
      <alignment vertical="center"/>
    </xf>
    <xf numFmtId="0" fontId="8" fillId="0" borderId="0" applyFill="0" applyBorder="0">
      <alignment vertical="center"/>
    </xf>
    <xf numFmtId="0" fontId="9" fillId="0" borderId="0" applyFill="0" applyBorder="0">
      <alignment vertical="center"/>
    </xf>
    <xf numFmtId="0" fontId="9" fillId="0" borderId="0" applyFill="0" applyBorder="0">
      <alignment vertical="center"/>
      <protection locked="0"/>
    </xf>
    <xf numFmtId="0" fontId="10" fillId="4" borderId="3">
      <alignment vertical="center"/>
      <protection locked="0"/>
    </xf>
    <xf numFmtId="168" fontId="10" fillId="4" borderId="3">
      <alignment vertical="center"/>
      <protection locked="0"/>
    </xf>
    <xf numFmtId="169" fontId="10" fillId="4" borderId="3">
      <alignment vertical="center"/>
      <protection locked="0"/>
    </xf>
    <xf numFmtId="170" fontId="10" fillId="4" borderId="3">
      <alignment vertical="center"/>
      <protection locked="0"/>
    </xf>
    <xf numFmtId="171" fontId="10" fillId="4" borderId="3">
      <alignment vertical="center"/>
      <protection locked="0"/>
    </xf>
    <xf numFmtId="172" fontId="10" fillId="4" borderId="3">
      <alignment vertical="center"/>
      <protection locked="0"/>
    </xf>
    <xf numFmtId="173" fontId="10" fillId="4" borderId="3">
      <alignment vertical="center"/>
      <protection locked="0"/>
    </xf>
    <xf numFmtId="0" fontId="3" fillId="0" borderId="0" applyNumberFormat="0" applyFont="0" applyFill="0" applyBorder="0">
      <alignment horizontal="center" vertical="center"/>
      <protection locked="0"/>
    </xf>
    <xf numFmtId="168" fontId="10" fillId="0" borderId="0" applyFill="0" applyBorder="0">
      <alignment vertical="center"/>
    </xf>
    <xf numFmtId="169" fontId="10" fillId="0" borderId="0" applyFill="0" applyBorder="0">
      <alignment vertical="center"/>
    </xf>
    <xf numFmtId="170" fontId="10" fillId="0" borderId="0" applyFill="0" applyBorder="0">
      <alignment vertical="center"/>
    </xf>
    <xf numFmtId="171" fontId="10" fillId="0" borderId="0" applyFill="0" applyBorder="0">
      <alignment vertical="center"/>
    </xf>
    <xf numFmtId="172" fontId="10" fillId="0" borderId="0" applyFill="0" applyBorder="0">
      <alignment vertical="center"/>
    </xf>
    <xf numFmtId="173" fontId="10" fillId="0" borderId="0" applyFill="0" applyBorder="0">
      <alignment vertical="center"/>
    </xf>
    <xf numFmtId="0" fontId="11" fillId="5" borderId="0" applyBorder="0">
      <alignment vertical="center"/>
    </xf>
    <xf numFmtId="0" fontId="12" fillId="0" borderId="4" applyFill="0">
      <alignment horizontal="center" vertical="center"/>
    </xf>
    <xf numFmtId="170" fontId="10" fillId="0" borderId="4" applyFill="0">
      <alignment horizontal="center" vertical="center"/>
    </xf>
    <xf numFmtId="0" fontId="10" fillId="0" borderId="4" applyFill="0">
      <alignment horizontal="center" vertical="center"/>
    </xf>
    <xf numFmtId="0" fontId="13" fillId="0" borderId="0" applyFill="0" applyBorder="0">
      <alignment vertical="center"/>
    </xf>
    <xf numFmtId="0" fontId="14" fillId="0" borderId="0" applyFill="0" applyBorder="0">
      <alignment horizontal="center" vertical="center"/>
    </xf>
    <xf numFmtId="0" fontId="14" fillId="0" borderId="0" applyFill="0" applyBorder="0">
      <alignment horizontal="center" vertical="center"/>
    </xf>
    <xf numFmtId="0" fontId="15" fillId="0" borderId="0" applyFill="0" applyBorder="0">
      <alignment vertical="center"/>
    </xf>
    <xf numFmtId="0" fontId="13" fillId="0" borderId="0" applyFill="0" applyBorder="0">
      <alignment vertical="center"/>
    </xf>
    <xf numFmtId="0" fontId="16" fillId="0" borderId="0" applyFill="0" applyBorder="0">
      <alignment vertical="center"/>
    </xf>
    <xf numFmtId="0" fontId="16" fillId="0" borderId="0" applyFill="0" applyBorder="0">
      <alignment vertical="center"/>
    </xf>
    <xf numFmtId="0" fontId="4" fillId="0" borderId="0" applyFill="0" applyBorder="0">
      <alignment vertical="center"/>
    </xf>
    <xf numFmtId="0" fontId="5" fillId="0" borderId="0" applyFill="0" applyBorder="0">
      <alignment vertical="center"/>
    </xf>
    <xf numFmtId="0" fontId="5" fillId="0" borderId="0" applyFill="0" applyBorder="0">
      <alignment vertical="center"/>
    </xf>
    <xf numFmtId="0" fontId="6" fillId="2" borderId="0" applyBorder="0">
      <alignment vertical="center"/>
    </xf>
    <xf numFmtId="0" fontId="7" fillId="3" borderId="2">
      <alignment vertical="center"/>
    </xf>
    <xf numFmtId="0" fontId="8" fillId="0" borderId="0" applyFill="0" applyBorder="0">
      <alignment vertical="center"/>
    </xf>
    <xf numFmtId="0" fontId="9" fillId="0" borderId="0" applyFill="0" applyBorder="0">
      <alignment vertical="center"/>
    </xf>
    <xf numFmtId="0" fontId="9" fillId="0" borderId="0" applyFill="0" applyBorder="0">
      <alignment vertical="center"/>
      <protection locked="0"/>
    </xf>
    <xf numFmtId="170" fontId="10" fillId="0" borderId="0" applyFill="0" applyBorder="0">
      <alignment vertical="center"/>
    </xf>
    <xf numFmtId="171" fontId="10" fillId="0" borderId="0" applyFill="0" applyBorder="0">
      <alignment vertical="center"/>
    </xf>
    <xf numFmtId="172" fontId="10" fillId="0" borderId="0" applyFill="0" applyBorder="0">
      <alignment vertical="center"/>
    </xf>
    <xf numFmtId="173" fontId="10" fillId="0" borderId="0" applyFill="0" applyBorder="0">
      <alignment vertical="center"/>
    </xf>
    <xf numFmtId="168" fontId="10" fillId="0" borderId="0" applyFill="0" applyBorder="0">
      <alignment vertical="center"/>
    </xf>
    <xf numFmtId="169" fontId="10" fillId="0" borderId="0" applyFill="0" applyBorder="0">
      <alignment vertical="center"/>
    </xf>
    <xf numFmtId="0" fontId="11" fillId="5" borderId="0" applyBorder="0">
      <alignment vertical="center"/>
    </xf>
    <xf numFmtId="0" fontId="13" fillId="0" borderId="0" applyFill="0" applyBorder="0">
      <alignment vertical="center"/>
    </xf>
    <xf numFmtId="0" fontId="14" fillId="0" borderId="0" applyFill="0" applyBorder="0">
      <alignment horizontal="center" vertical="center"/>
    </xf>
    <xf numFmtId="0" fontId="14" fillId="0" borderId="0" applyFill="0" applyBorder="0">
      <alignment horizontal="center" vertical="center"/>
    </xf>
    <xf numFmtId="0" fontId="15" fillId="0" borderId="0" applyFill="0" applyBorder="0">
      <alignment vertical="center"/>
    </xf>
    <xf numFmtId="0" fontId="13" fillId="0" borderId="0" applyFill="0" applyBorder="0">
      <alignment vertical="center"/>
    </xf>
    <xf numFmtId="0" fontId="16" fillId="0" borderId="0" applyFill="0" applyBorder="0">
      <alignment vertical="center"/>
    </xf>
    <xf numFmtId="0" fontId="16" fillId="0" borderId="0" applyFill="0" applyBorder="0">
      <alignment vertical="center"/>
    </xf>
    <xf numFmtId="0" fontId="10" fillId="0" borderId="0" applyFill="0" applyBorder="0">
      <alignment vertical="center"/>
    </xf>
    <xf numFmtId="0" fontId="30" fillId="0" borderId="0" applyNumberFormat="0" applyFill="0" applyBorder="0" applyAlignment="0" applyProtection="0">
      <alignment vertical="center"/>
    </xf>
    <xf numFmtId="166" fontId="10" fillId="0" borderId="0" applyFont="0" applyFill="0" applyBorder="0" applyAlignment="0" applyProtection="0"/>
    <xf numFmtId="0" fontId="13" fillId="0" borderId="0" applyNumberFormat="0" applyFill="0" applyBorder="0" applyAlignment="0" applyProtection="0">
      <alignment vertical="center"/>
    </xf>
    <xf numFmtId="167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16" applyNumberFormat="0" applyFill="0" applyAlignment="0" applyProtection="0"/>
    <xf numFmtId="0" fontId="36" fillId="0" borderId="17" applyNumberFormat="0" applyFill="0" applyAlignment="0" applyProtection="0"/>
    <xf numFmtId="0" fontId="37" fillId="0" borderId="18" applyNumberFormat="0" applyFill="0" applyAlignment="0" applyProtection="0"/>
    <xf numFmtId="0" fontId="37" fillId="0" borderId="0" applyNumberFormat="0" applyFill="0" applyBorder="0" applyAlignment="0" applyProtection="0"/>
    <xf numFmtId="0" fontId="38" fillId="9" borderId="0" applyNumberFormat="0" applyBorder="0" applyAlignment="0" applyProtection="0"/>
    <xf numFmtId="0" fontId="39" fillId="10" borderId="0" applyNumberFormat="0" applyBorder="0" applyAlignment="0" applyProtection="0"/>
    <xf numFmtId="0" fontId="40" fillId="11" borderId="0" applyNumberFormat="0" applyBorder="0" applyAlignment="0" applyProtection="0"/>
    <xf numFmtId="0" fontId="41" fillId="12" borderId="19" applyNumberFormat="0" applyAlignment="0" applyProtection="0"/>
    <xf numFmtId="0" fontId="42" fillId="13" borderId="20" applyNumberFormat="0" applyAlignment="0" applyProtection="0"/>
    <xf numFmtId="0" fontId="43" fillId="13" borderId="19" applyNumberFormat="0" applyAlignment="0" applyProtection="0"/>
    <xf numFmtId="0" fontId="44" fillId="0" borderId="21" applyNumberFormat="0" applyFill="0" applyAlignment="0" applyProtection="0"/>
    <xf numFmtId="0" fontId="45" fillId="14" borderId="22" applyNumberFormat="0" applyAlignment="0" applyProtection="0"/>
    <xf numFmtId="0" fontId="46" fillId="0" borderId="0" applyNumberFormat="0" applyFill="0" applyBorder="0" applyAlignment="0" applyProtection="0"/>
    <xf numFmtId="0" fontId="10" fillId="15" borderId="23" applyNumberFormat="0" applyFont="0" applyAlignment="0" applyProtection="0"/>
    <xf numFmtId="0" fontId="47" fillId="0" borderId="0" applyNumberFormat="0" applyFill="0" applyBorder="0" applyAlignment="0" applyProtection="0"/>
    <xf numFmtId="0" fontId="48" fillId="0" borderId="24" applyNumberFormat="0" applyFill="0" applyAlignment="0" applyProtection="0"/>
    <xf numFmtId="0" fontId="49" fillId="16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49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49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49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49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49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50" fillId="0" borderId="0"/>
    <xf numFmtId="9" fontId="50" fillId="0" borderId="0" applyFont="0" applyFill="0" applyBorder="0" applyAlignment="0" applyProtection="0"/>
    <xf numFmtId="0" fontId="52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54" fillId="0" borderId="0" applyFill="0" applyBorder="0">
      <alignment vertical="center"/>
    </xf>
    <xf numFmtId="0" fontId="52" fillId="0" borderId="0"/>
    <xf numFmtId="167" fontId="52" fillId="0" borderId="0" applyFont="0" applyFill="0" applyBorder="0" applyAlignment="0" applyProtection="0"/>
    <xf numFmtId="9" fontId="55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56" fillId="0" borderId="0"/>
    <xf numFmtId="0" fontId="56" fillId="0" borderId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185" fontId="52" fillId="0" borderId="29" applyNumberFormat="0" applyAlignment="0">
      <alignment horizontal="center"/>
    </xf>
    <xf numFmtId="185" fontId="52" fillId="45" borderId="29" applyNumberFormat="0" applyAlignment="0">
      <alignment horizontal="center"/>
    </xf>
    <xf numFmtId="0" fontId="52" fillId="46" borderId="0">
      <protection locked="0"/>
    </xf>
    <xf numFmtId="0" fontId="52" fillId="46" borderId="0">
      <protection locked="0"/>
    </xf>
    <xf numFmtId="0" fontId="52" fillId="47" borderId="25">
      <alignment horizontal="center" vertical="center"/>
      <protection locked="0"/>
    </xf>
    <xf numFmtId="0" fontId="52" fillId="47" borderId="25">
      <alignment horizontal="center" vertical="center"/>
      <protection locked="0"/>
    </xf>
    <xf numFmtId="0" fontId="61" fillId="48" borderId="30">
      <alignment horizontal="right"/>
    </xf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62" fillId="0" borderId="0" applyFont="0" applyFill="0" applyBorder="0" applyAlignment="0" applyProtection="0"/>
    <xf numFmtId="167" fontId="1" fillId="0" borderId="0" applyFont="0" applyFill="0" applyBorder="0" applyAlignment="0" applyProtection="0"/>
    <xf numFmtId="37" fontId="63" fillId="48" borderId="0">
      <alignment horizontal="right"/>
    </xf>
    <xf numFmtId="37" fontId="64" fillId="48" borderId="0">
      <alignment horizontal="right"/>
    </xf>
    <xf numFmtId="37" fontId="61" fillId="48" borderId="0">
      <alignment horizontal="right"/>
    </xf>
    <xf numFmtId="37" fontId="63" fillId="48" borderId="0">
      <alignment horizontal="right"/>
    </xf>
    <xf numFmtId="0" fontId="52" fillId="49" borderId="0">
      <protection locked="0"/>
    </xf>
    <xf numFmtId="0" fontId="65" fillId="47" borderId="0">
      <alignment vertical="center"/>
      <protection locked="0"/>
    </xf>
    <xf numFmtId="0" fontId="65" fillId="0" borderId="0">
      <protection locked="0"/>
    </xf>
    <xf numFmtId="0" fontId="66" fillId="48" borderId="0">
      <alignment horizontal="left"/>
    </xf>
    <xf numFmtId="0" fontId="67" fillId="0" borderId="0">
      <protection locked="0"/>
    </xf>
    <xf numFmtId="0" fontId="35" fillId="0" borderId="16" applyNumberFormat="0" applyFill="0" applyAlignment="0" applyProtection="0"/>
    <xf numFmtId="0" fontId="68" fillId="0" borderId="0">
      <alignment horizontal="center"/>
    </xf>
    <xf numFmtId="0" fontId="69" fillId="0" borderId="0" applyNumberFormat="0" applyFill="0" applyBorder="0" applyProtection="0">
      <alignment horizontal="center" textRotation="90"/>
    </xf>
    <xf numFmtId="0" fontId="68" fillId="0" borderId="0">
      <alignment horizontal="center" textRotation="90"/>
    </xf>
    <xf numFmtId="0" fontId="52" fillId="46" borderId="0">
      <protection locked="0"/>
    </xf>
    <xf numFmtId="0" fontId="70" fillId="0" borderId="0" applyNumberFormat="0" applyFill="0" applyBorder="0" applyAlignment="0" applyProtection="0">
      <alignment vertical="top"/>
      <protection locked="0"/>
    </xf>
    <xf numFmtId="0" fontId="71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57" fillId="0" borderId="0"/>
    <xf numFmtId="0" fontId="5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3" fillId="0" borderId="0"/>
    <xf numFmtId="0" fontId="1" fillId="0" borderId="0"/>
    <xf numFmtId="0" fontId="1" fillId="0" borderId="0"/>
    <xf numFmtId="0" fontId="52" fillId="0" borderId="0"/>
    <xf numFmtId="0" fontId="52" fillId="0" borderId="0">
      <protection locked="0"/>
    </xf>
    <xf numFmtId="0" fontId="62" fillId="0" borderId="0"/>
    <xf numFmtId="0" fontId="1" fillId="0" borderId="0"/>
    <xf numFmtId="0" fontId="1" fillId="0" borderId="0"/>
    <xf numFmtId="0" fontId="52" fillId="0" borderId="0"/>
    <xf numFmtId="0" fontId="1" fillId="0" borderId="0"/>
    <xf numFmtId="0" fontId="74" fillId="0" borderId="0"/>
    <xf numFmtId="0" fontId="1" fillId="0" borderId="0"/>
    <xf numFmtId="0" fontId="52" fillId="0" borderId="0"/>
    <xf numFmtId="0" fontId="59" fillId="0" borderId="0"/>
    <xf numFmtId="0" fontId="5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0" borderId="0"/>
    <xf numFmtId="0" fontId="5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5" borderId="23" applyNumberFormat="0" applyFont="0" applyAlignment="0" applyProtection="0"/>
    <xf numFmtId="0" fontId="1" fillId="15" borderId="23" applyNumberFormat="0" applyFont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75" fillId="0" borderId="0" applyNumberFormat="0" applyFill="0" applyBorder="0" applyAlignment="0" applyProtection="0"/>
    <xf numFmtId="0" fontId="76" fillId="0" borderId="0"/>
    <xf numFmtId="186" fontId="75" fillId="0" borderId="0" applyFill="0" applyBorder="0" applyAlignment="0" applyProtection="0"/>
    <xf numFmtId="186" fontId="76" fillId="0" borderId="0"/>
    <xf numFmtId="0" fontId="52" fillId="47" borderId="27">
      <alignment vertical="center"/>
      <protection locked="0"/>
    </xf>
    <xf numFmtId="0" fontId="52" fillId="47" borderId="27">
      <alignment vertical="center"/>
      <protection locked="0"/>
    </xf>
    <xf numFmtId="0" fontId="61" fillId="48" borderId="0">
      <alignment horizontal="right"/>
    </xf>
    <xf numFmtId="0" fontId="63" fillId="48" borderId="0">
      <alignment horizontal="left"/>
    </xf>
    <xf numFmtId="0" fontId="64" fillId="48" borderId="0">
      <alignment horizontal="left"/>
    </xf>
    <xf numFmtId="0" fontId="61" fillId="48" borderId="0">
      <alignment horizontal="left"/>
    </xf>
    <xf numFmtId="0" fontId="63" fillId="48" borderId="0">
      <alignment horizontal="left"/>
    </xf>
    <xf numFmtId="0" fontId="77" fillId="0" borderId="0">
      <alignment horizontal="left"/>
    </xf>
    <xf numFmtId="0" fontId="55" fillId="0" borderId="0">
      <alignment horizontal="left"/>
    </xf>
    <xf numFmtId="0" fontId="55" fillId="0" borderId="0">
      <alignment horizontal="center" vertical="center" wrapText="1"/>
    </xf>
    <xf numFmtId="0" fontId="55" fillId="0" borderId="0">
      <alignment horizontal="left" vertical="center" wrapText="1"/>
    </xf>
    <xf numFmtId="0" fontId="55" fillId="0" borderId="0">
      <alignment horizontal="right"/>
    </xf>
    <xf numFmtId="0" fontId="78" fillId="0" borderId="0">
      <protection locked="0"/>
    </xf>
    <xf numFmtId="0" fontId="52" fillId="0" borderId="0"/>
    <xf numFmtId="0" fontId="52" fillId="0" borderId="0"/>
    <xf numFmtId="0" fontId="52" fillId="0" borderId="0"/>
    <xf numFmtId="188" fontId="52" fillId="0" borderId="0"/>
    <xf numFmtId="188" fontId="52" fillId="0" borderId="0"/>
    <xf numFmtId="0" fontId="79" fillId="0" borderId="0"/>
    <xf numFmtId="0" fontId="79" fillId="0" borderId="0"/>
    <xf numFmtId="0" fontId="52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52" fillId="0" borderId="0"/>
    <xf numFmtId="0" fontId="52" fillId="0" borderId="0"/>
    <xf numFmtId="0" fontId="52" fillId="0" borderId="0"/>
    <xf numFmtId="189" fontId="55" fillId="0" borderId="0"/>
    <xf numFmtId="189" fontId="55" fillId="0" borderId="0"/>
    <xf numFmtId="0" fontId="81" fillId="50" borderId="0" applyNumberFormat="0" applyBorder="0" applyAlignment="0" applyProtection="0"/>
    <xf numFmtId="0" fontId="81" fillId="48" borderId="0" applyNumberFormat="0" applyBorder="0" applyAlignment="0" applyProtection="0"/>
    <xf numFmtId="0" fontId="1" fillId="17" borderId="0" applyNumberFormat="0" applyBorder="0" applyAlignment="0" applyProtection="0"/>
    <xf numFmtId="0" fontId="81" fillId="50" borderId="0" applyNumberFormat="0" applyBorder="0" applyAlignment="0" applyProtection="0"/>
    <xf numFmtId="0" fontId="81" fillId="53" borderId="0" applyNumberFormat="0" applyBorder="0" applyAlignment="0" applyProtection="0"/>
    <xf numFmtId="0" fontId="81" fillId="50" borderId="0" applyNumberFormat="0" applyBorder="0" applyAlignment="0" applyProtection="0"/>
    <xf numFmtId="0" fontId="81" fillId="54" borderId="0" applyNumberFormat="0" applyBorder="0" applyAlignment="0" applyProtection="0"/>
    <xf numFmtId="0" fontId="1" fillId="18" borderId="0" applyNumberFormat="0" applyBorder="0" applyAlignment="0" applyProtection="0"/>
    <xf numFmtId="0" fontId="81" fillId="50" borderId="0" applyNumberFormat="0" applyBorder="0" applyAlignment="0" applyProtection="0"/>
    <xf numFmtId="0" fontId="81" fillId="56" borderId="0" applyNumberFormat="0" applyBorder="0" applyAlignment="0" applyProtection="0"/>
    <xf numFmtId="0" fontId="82" fillId="50" borderId="0" applyNumberFormat="0" applyBorder="0" applyAlignment="0" applyProtection="0"/>
    <xf numFmtId="0" fontId="82" fillId="57" borderId="0" applyNumberFormat="0" applyBorder="0" applyAlignment="0" applyProtection="0"/>
    <xf numFmtId="0" fontId="82" fillId="51" borderId="0" applyNumberFormat="0" applyBorder="0" applyAlignment="0" applyProtection="0"/>
    <xf numFmtId="0" fontId="82" fillId="55" borderId="0" applyNumberFormat="0" applyBorder="0" applyAlignment="0" applyProtection="0"/>
    <xf numFmtId="0" fontId="82" fillId="54" borderId="0" applyNumberFormat="0" applyBorder="0" applyAlignment="0" applyProtection="0"/>
    <xf numFmtId="0" fontId="82" fillId="50" borderId="0" applyNumberFormat="0" applyBorder="0" applyAlignment="0" applyProtection="0"/>
    <xf numFmtId="0" fontId="82" fillId="57" borderId="0" applyNumberFormat="0" applyBorder="0" applyAlignment="0" applyProtection="0"/>
    <xf numFmtId="0" fontId="82" fillId="51" borderId="0" applyNumberFormat="0" applyBorder="0" applyAlignment="0" applyProtection="0"/>
    <xf numFmtId="0" fontId="81" fillId="58" borderId="0" applyNumberFormat="0" applyBorder="0" applyAlignment="0" applyProtection="0"/>
    <xf numFmtId="0" fontId="81" fillId="58" borderId="0" applyNumberFormat="0" applyBorder="0" applyAlignment="0" applyProtection="0"/>
    <xf numFmtId="0" fontId="82" fillId="59" borderId="0" applyNumberFormat="0" applyBorder="0" applyAlignment="0" applyProtection="0"/>
    <xf numFmtId="0" fontId="82" fillId="57" borderId="0" applyNumberFormat="0" applyBorder="0" applyAlignment="0" applyProtection="0"/>
    <xf numFmtId="0" fontId="82" fillId="57" borderId="0" applyNumberFormat="0" applyBorder="0" applyAlignment="0" applyProtection="0"/>
    <xf numFmtId="0" fontId="82" fillId="57" borderId="0" applyNumberFormat="0" applyBorder="0" applyAlignment="0" applyProtection="0"/>
    <xf numFmtId="0" fontId="82" fillId="57" borderId="0" applyNumberFormat="0" applyBorder="0" applyAlignment="0" applyProtection="0"/>
    <xf numFmtId="0" fontId="81" fillId="60" borderId="0" applyNumberFormat="0" applyBorder="0" applyAlignment="0" applyProtection="0"/>
    <xf numFmtId="0" fontId="81" fillId="61" borderId="0" applyNumberFormat="0" applyBorder="0" applyAlignment="0" applyProtection="0"/>
    <xf numFmtId="0" fontId="82" fillId="62" borderId="0" applyNumberFormat="0" applyBorder="0" applyAlignment="0" applyProtection="0"/>
    <xf numFmtId="0" fontId="82" fillId="63" borderId="0" applyNumberFormat="0" applyBorder="0" applyAlignment="0" applyProtection="0"/>
    <xf numFmtId="0" fontId="82" fillId="63" borderId="0" applyNumberFormat="0" applyBorder="0" applyAlignment="0" applyProtection="0"/>
    <xf numFmtId="0" fontId="82" fillId="63" borderId="0" applyNumberFormat="0" applyBorder="0" applyAlignment="0" applyProtection="0"/>
    <xf numFmtId="0" fontId="82" fillId="63" borderId="0" applyNumberFormat="0" applyBorder="0" applyAlignment="0" applyProtection="0"/>
    <xf numFmtId="0" fontId="81" fillId="60" borderId="0" applyNumberFormat="0" applyBorder="0" applyAlignment="0" applyProtection="0"/>
    <xf numFmtId="0" fontId="81" fillId="64" borderId="0" applyNumberFormat="0" applyBorder="0" applyAlignment="0" applyProtection="0"/>
    <xf numFmtId="0" fontId="82" fillId="61" borderId="0" applyNumberFormat="0" applyBorder="0" applyAlignment="0" applyProtection="0"/>
    <xf numFmtId="0" fontId="82" fillId="65" borderId="0" applyNumberFormat="0" applyBorder="0" applyAlignment="0" applyProtection="0"/>
    <xf numFmtId="0" fontId="82" fillId="65" borderId="0" applyNumberFormat="0" applyBorder="0" applyAlignment="0" applyProtection="0"/>
    <xf numFmtId="0" fontId="82" fillId="65" borderId="0" applyNumberFormat="0" applyBorder="0" applyAlignment="0" applyProtection="0"/>
    <xf numFmtId="0" fontId="82" fillId="65" borderId="0" applyNumberFormat="0" applyBorder="0" applyAlignment="0" applyProtection="0"/>
    <xf numFmtId="0" fontId="81" fillId="58" borderId="0" applyNumberFormat="0" applyBorder="0" applyAlignment="0" applyProtection="0"/>
    <xf numFmtId="0" fontId="81" fillId="61" borderId="0" applyNumberFormat="0" applyBorder="0" applyAlignment="0" applyProtection="0"/>
    <xf numFmtId="0" fontId="82" fillId="61" borderId="0" applyNumberFormat="0" applyBorder="0" applyAlignment="0" applyProtection="0"/>
    <xf numFmtId="0" fontId="82" fillId="66" borderId="0" applyNumberFormat="0" applyBorder="0" applyAlignment="0" applyProtection="0"/>
    <xf numFmtId="0" fontId="82" fillId="66" borderId="0" applyNumberFormat="0" applyBorder="0" applyAlignment="0" applyProtection="0"/>
    <xf numFmtId="0" fontId="82" fillId="66" borderId="0" applyNumberFormat="0" applyBorder="0" applyAlignment="0" applyProtection="0"/>
    <xf numFmtId="0" fontId="82" fillId="66" borderId="0" applyNumberFormat="0" applyBorder="0" applyAlignment="0" applyProtection="0"/>
    <xf numFmtId="0" fontId="81" fillId="67" borderId="0" applyNumberFormat="0" applyBorder="0" applyAlignment="0" applyProtection="0"/>
    <xf numFmtId="0" fontId="81" fillId="58" borderId="0" applyNumberFormat="0" applyBorder="0" applyAlignment="0" applyProtection="0"/>
    <xf numFmtId="0" fontId="82" fillId="59" borderId="0" applyNumberFormat="0" applyBorder="0" applyAlignment="0" applyProtection="0"/>
    <xf numFmtId="0" fontId="82" fillId="57" borderId="0" applyNumberFormat="0" applyBorder="0" applyAlignment="0" applyProtection="0"/>
    <xf numFmtId="0" fontId="82" fillId="57" borderId="0" applyNumberFormat="0" applyBorder="0" applyAlignment="0" applyProtection="0"/>
    <xf numFmtId="0" fontId="82" fillId="57" borderId="0" applyNumberFormat="0" applyBorder="0" applyAlignment="0" applyProtection="0"/>
    <xf numFmtId="0" fontId="82" fillId="57" borderId="0" applyNumberFormat="0" applyBorder="0" applyAlignment="0" applyProtection="0"/>
    <xf numFmtId="0" fontId="81" fillId="60" borderId="0" applyNumberFormat="0" applyBorder="0" applyAlignment="0" applyProtection="0"/>
    <xf numFmtId="0" fontId="81" fillId="68" borderId="0" applyNumberFormat="0" applyBorder="0" applyAlignment="0" applyProtection="0"/>
    <xf numFmtId="0" fontId="82" fillId="68" borderId="0" applyNumberFormat="0" applyBorder="0" applyAlignment="0" applyProtection="0"/>
    <xf numFmtId="0" fontId="82" fillId="69" borderId="0" applyNumberFormat="0" applyBorder="0" applyAlignment="0" applyProtection="0"/>
    <xf numFmtId="0" fontId="82" fillId="69" borderId="0" applyNumberFormat="0" applyBorder="0" applyAlignment="0" applyProtection="0"/>
    <xf numFmtId="0" fontId="82" fillId="69" borderId="0" applyNumberFormat="0" applyBorder="0" applyAlignment="0" applyProtection="0"/>
    <xf numFmtId="0" fontId="82" fillId="69" borderId="0" applyNumberFormat="0" applyBorder="0" applyAlignment="0" applyProtection="0"/>
    <xf numFmtId="0" fontId="83" fillId="0" borderId="0"/>
    <xf numFmtId="164" fontId="58" fillId="0" borderId="0" applyFont="0" applyFill="0" applyBorder="0" applyAlignment="0" applyProtection="0"/>
    <xf numFmtId="0" fontId="84" fillId="70" borderId="0" applyNumberFormat="0" applyBorder="0" applyAlignment="0" applyProtection="0"/>
    <xf numFmtId="0" fontId="85" fillId="0" borderId="0" applyNumberFormat="0" applyFill="0" applyBorder="0" applyAlignment="0"/>
    <xf numFmtId="165" fontId="52" fillId="71" borderId="0" applyNumberFormat="0" applyFont="0" applyBorder="0" applyAlignment="0">
      <alignment horizontal="right"/>
    </xf>
    <xf numFmtId="165" fontId="52" fillId="71" borderId="0" applyNumberFormat="0" applyFont="0" applyBorder="0" applyAlignment="0">
      <alignment horizontal="right"/>
    </xf>
    <xf numFmtId="165" fontId="52" fillId="71" borderId="0" applyNumberFormat="0" applyFont="0" applyBorder="0" applyAlignment="0">
      <alignment horizontal="right"/>
    </xf>
    <xf numFmtId="165" fontId="52" fillId="71" borderId="0" applyNumberFormat="0" applyFont="0" applyBorder="0" applyAlignment="0">
      <alignment horizontal="right"/>
    </xf>
    <xf numFmtId="165" fontId="52" fillId="71" borderId="0" applyNumberFormat="0" applyFont="0" applyBorder="0" applyAlignment="0">
      <alignment horizontal="right"/>
    </xf>
    <xf numFmtId="0" fontId="86" fillId="0" borderId="0" applyNumberFormat="0" applyFill="0" applyBorder="0" applyAlignment="0">
      <protection locked="0"/>
    </xf>
    <xf numFmtId="0" fontId="87" fillId="48" borderId="31" applyNumberFormat="0" applyAlignment="0" applyProtection="0"/>
    <xf numFmtId="0" fontId="87" fillId="48" borderId="31" applyNumberFormat="0" applyAlignment="0" applyProtection="0"/>
    <xf numFmtId="0" fontId="87" fillId="48" borderId="31" applyNumberFormat="0" applyAlignment="0" applyProtection="0"/>
    <xf numFmtId="0" fontId="87" fillId="48" borderId="31" applyNumberFormat="0" applyAlignment="0" applyProtection="0"/>
    <xf numFmtId="0" fontId="87" fillId="48" borderId="31" applyNumberFormat="0" applyAlignment="0" applyProtection="0"/>
    <xf numFmtId="0" fontId="87" fillId="48" borderId="31" applyNumberFormat="0" applyAlignment="0" applyProtection="0"/>
    <xf numFmtId="0" fontId="87" fillId="48" borderId="31" applyNumberFormat="0" applyAlignment="0" applyProtection="0"/>
    <xf numFmtId="0" fontId="87" fillId="48" borderId="31" applyNumberFormat="0" applyAlignment="0" applyProtection="0"/>
    <xf numFmtId="0" fontId="87" fillId="48" borderId="31" applyNumberFormat="0" applyAlignment="0" applyProtection="0"/>
    <xf numFmtId="0" fontId="87" fillId="48" borderId="31" applyNumberFormat="0" applyAlignment="0" applyProtection="0"/>
    <xf numFmtId="0" fontId="87" fillId="48" borderId="31" applyNumberFormat="0" applyAlignment="0" applyProtection="0"/>
    <xf numFmtId="0" fontId="87" fillId="48" borderId="31" applyNumberFormat="0" applyAlignment="0" applyProtection="0"/>
    <xf numFmtId="0" fontId="87" fillId="48" borderId="31" applyNumberFormat="0" applyAlignment="0" applyProtection="0"/>
    <xf numFmtId="0" fontId="87" fillId="48" borderId="31" applyNumberFormat="0" applyAlignment="0" applyProtection="0"/>
    <xf numFmtId="0" fontId="87" fillId="48" borderId="31" applyNumberFormat="0" applyAlignment="0" applyProtection="0"/>
    <xf numFmtId="0" fontId="87" fillId="48" borderId="31" applyNumberFormat="0" applyAlignment="0" applyProtection="0"/>
    <xf numFmtId="0" fontId="87" fillId="48" borderId="31" applyNumberFormat="0" applyAlignment="0" applyProtection="0"/>
    <xf numFmtId="0" fontId="87" fillId="48" borderId="31" applyNumberFormat="0" applyAlignment="0" applyProtection="0"/>
    <xf numFmtId="0" fontId="87" fillId="48" borderId="31" applyNumberFormat="0" applyAlignment="0" applyProtection="0"/>
    <xf numFmtId="0" fontId="87" fillId="48" borderId="31" applyNumberFormat="0" applyAlignment="0" applyProtection="0"/>
    <xf numFmtId="0" fontId="87" fillId="48" borderId="31" applyNumberFormat="0" applyAlignment="0" applyProtection="0"/>
    <xf numFmtId="0" fontId="87" fillId="48" borderId="31" applyNumberFormat="0" applyAlignment="0" applyProtection="0"/>
    <xf numFmtId="0" fontId="87" fillId="48" borderId="31" applyNumberFormat="0" applyAlignment="0" applyProtection="0"/>
    <xf numFmtId="0" fontId="87" fillId="48" borderId="31" applyNumberFormat="0" applyAlignment="0" applyProtection="0"/>
    <xf numFmtId="0" fontId="87" fillId="48" borderId="31" applyNumberFormat="0" applyAlignment="0" applyProtection="0"/>
    <xf numFmtId="0" fontId="87" fillId="48" borderId="31" applyNumberFormat="0" applyAlignment="0" applyProtection="0"/>
    <xf numFmtId="0" fontId="87" fillId="48" borderId="31" applyNumberFormat="0" applyAlignment="0" applyProtection="0"/>
    <xf numFmtId="0" fontId="87" fillId="48" borderId="31" applyNumberFormat="0" applyAlignment="0" applyProtection="0"/>
    <xf numFmtId="0" fontId="87" fillId="48" borderId="31" applyNumberFormat="0" applyAlignment="0" applyProtection="0"/>
    <xf numFmtId="0" fontId="88" fillId="72" borderId="32" applyNumberFormat="0" applyAlignment="0" applyProtection="0"/>
    <xf numFmtId="0" fontId="88" fillId="72" borderId="32" applyNumberFormat="0" applyAlignment="0" applyProtection="0"/>
    <xf numFmtId="0" fontId="88" fillId="72" borderId="32" applyNumberFormat="0" applyAlignment="0" applyProtection="0"/>
    <xf numFmtId="0" fontId="88" fillId="72" borderId="32" applyNumberFormat="0" applyAlignment="0" applyProtection="0"/>
    <xf numFmtId="165" fontId="52" fillId="0" borderId="0" applyFont="0" applyFill="0" applyBorder="0" applyAlignment="0" applyProtection="0"/>
    <xf numFmtId="0" fontId="74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81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167" fontId="89" fillId="0" borderId="0" applyFont="0" applyFill="0" applyBorder="0" applyAlignment="0" applyProtection="0"/>
    <xf numFmtId="167" fontId="89" fillId="0" borderId="0" applyFont="0" applyFill="0" applyBorder="0" applyAlignment="0" applyProtection="0"/>
    <xf numFmtId="167" fontId="89" fillId="0" borderId="0" applyFont="0" applyFill="0" applyBorder="0" applyAlignment="0" applyProtection="0"/>
    <xf numFmtId="0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90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3" fontId="91" fillId="0" borderId="0" applyFont="0" applyFill="0" applyBorder="0" applyAlignment="0" applyProtection="0"/>
    <xf numFmtId="166" fontId="52" fillId="0" borderId="0" applyFont="0" applyFill="0" applyBorder="0" applyAlignment="0" applyProtection="0"/>
    <xf numFmtId="166" fontId="52" fillId="0" borderId="0" applyFont="0" applyFill="0" applyBorder="0" applyAlignment="0" applyProtection="0"/>
    <xf numFmtId="166" fontId="52" fillId="0" borderId="0" applyFont="0" applyFill="0" applyBorder="0" applyAlignment="0" applyProtection="0"/>
    <xf numFmtId="166" fontId="52" fillId="0" borderId="0" applyFont="0" applyFill="0" applyBorder="0" applyAlignment="0" applyProtection="0"/>
    <xf numFmtId="166" fontId="52" fillId="0" borderId="0" applyFont="0" applyFill="0" applyBorder="0" applyAlignment="0" applyProtection="0"/>
    <xf numFmtId="166" fontId="52" fillId="0" borderId="0" applyFont="0" applyFill="0" applyBorder="0" applyAlignment="0" applyProtection="0"/>
    <xf numFmtId="166" fontId="52" fillId="0" borderId="0" applyFont="0" applyFill="0" applyBorder="0" applyAlignment="0" applyProtection="0"/>
    <xf numFmtId="166" fontId="52" fillId="0" borderId="0" applyFont="0" applyFill="0" applyBorder="0" applyAlignment="0" applyProtection="0"/>
    <xf numFmtId="166" fontId="52" fillId="0" borderId="0" applyFont="0" applyFill="0" applyBorder="0" applyAlignment="0" applyProtection="0"/>
    <xf numFmtId="166" fontId="5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4" fontId="52" fillId="0" borderId="0" applyFont="0" applyFill="0" applyBorder="0" applyAlignment="0" applyProtection="0"/>
    <xf numFmtId="190" fontId="52" fillId="0" borderId="0" applyFont="0" applyFill="0" applyBorder="0" applyAlignment="0" applyProtection="0"/>
    <xf numFmtId="190" fontId="52" fillId="0" borderId="0" applyFont="0" applyFill="0" applyBorder="0" applyAlignment="0" applyProtection="0"/>
    <xf numFmtId="188" fontId="81" fillId="0" borderId="0" applyFont="0" applyFill="0" applyBorder="0" applyAlignment="0" applyProtection="0"/>
    <xf numFmtId="0" fontId="93" fillId="0" borderId="0" applyNumberFormat="0" applyFill="0" applyBorder="0" applyAlignment="0" applyProtection="0"/>
    <xf numFmtId="191" fontId="52" fillId="0" borderId="0" applyFont="0" applyFill="0" applyBorder="0" applyAlignment="0" applyProtection="0"/>
    <xf numFmtId="191" fontId="52" fillId="0" borderId="0" applyFont="0" applyFill="0" applyBorder="0" applyAlignment="0" applyProtection="0"/>
    <xf numFmtId="0" fontId="94" fillId="0" borderId="0"/>
    <xf numFmtId="0" fontId="95" fillId="0" borderId="0"/>
    <xf numFmtId="0" fontId="96" fillId="73" borderId="0" applyNumberFormat="0" applyBorder="0" applyAlignment="0" applyProtection="0"/>
    <xf numFmtId="0" fontId="65" fillId="0" borderId="0" applyFill="0" applyBorder="0">
      <alignment vertical="center"/>
    </xf>
    <xf numFmtId="0" fontId="97" fillId="0" borderId="33" applyNumberFormat="0" applyFill="0" applyAlignment="0" applyProtection="0"/>
    <xf numFmtId="0" fontId="65" fillId="0" borderId="0" applyFill="0" applyBorder="0">
      <alignment vertical="center"/>
    </xf>
    <xf numFmtId="0" fontId="53" fillId="0" borderId="0" applyFill="0" applyBorder="0">
      <alignment vertical="center"/>
    </xf>
    <xf numFmtId="0" fontId="98" fillId="0" borderId="34" applyNumberFormat="0" applyFill="0" applyAlignment="0" applyProtection="0"/>
    <xf numFmtId="0" fontId="98" fillId="0" borderId="35" applyNumberFormat="0" applyFill="0" applyAlignment="0" applyProtection="0"/>
    <xf numFmtId="0" fontId="53" fillId="0" borderId="0" applyFill="0" applyBorder="0">
      <alignment vertical="center"/>
    </xf>
    <xf numFmtId="0" fontId="99" fillId="0" borderId="36" applyNumberFormat="0" applyFill="0" applyAlignment="0" applyProtection="0"/>
    <xf numFmtId="0" fontId="99" fillId="0" borderId="36" applyNumberFormat="0" applyFill="0" applyAlignment="0" applyProtection="0"/>
    <xf numFmtId="0" fontId="99" fillId="0" borderId="36" applyNumberFormat="0" applyFill="0" applyAlignment="0" applyProtection="0"/>
    <xf numFmtId="0" fontId="99" fillId="0" borderId="36" applyNumberFormat="0" applyFill="0" applyAlignment="0" applyProtection="0"/>
    <xf numFmtId="0" fontId="99" fillId="0" borderId="36" applyNumberFormat="0" applyFill="0" applyAlignment="0" applyProtection="0"/>
    <xf numFmtId="0" fontId="99" fillId="0" borderId="36" applyNumberFormat="0" applyFill="0" applyAlignment="0" applyProtection="0"/>
    <xf numFmtId="0" fontId="99" fillId="0" borderId="36" applyNumberFormat="0" applyFill="0" applyAlignment="0" applyProtection="0"/>
    <xf numFmtId="0" fontId="99" fillId="0" borderId="36" applyNumberFormat="0" applyFill="0" applyAlignment="0" applyProtection="0"/>
    <xf numFmtId="0" fontId="99" fillId="0" borderId="36" applyNumberFormat="0" applyFill="0" applyAlignment="0" applyProtection="0"/>
    <xf numFmtId="0" fontId="99" fillId="0" borderId="36" applyNumberFormat="0" applyFill="0" applyAlignment="0" applyProtection="0"/>
    <xf numFmtId="0" fontId="99" fillId="0" borderId="37" applyNumberFormat="0" applyFill="0" applyAlignment="0" applyProtection="0"/>
    <xf numFmtId="0" fontId="99" fillId="0" borderId="36" applyNumberFormat="0" applyFill="0" applyAlignment="0" applyProtection="0"/>
    <xf numFmtId="0" fontId="99" fillId="0" borderId="36" applyNumberFormat="0" applyFill="0" applyAlignment="0" applyProtection="0"/>
    <xf numFmtId="0" fontId="99" fillId="0" borderId="36" applyNumberFormat="0" applyFill="0" applyAlignment="0" applyProtection="0"/>
    <xf numFmtId="0" fontId="99" fillId="0" borderId="36" applyNumberFormat="0" applyFill="0" applyAlignment="0" applyProtection="0"/>
    <xf numFmtId="0" fontId="99" fillId="0" borderId="36" applyNumberFormat="0" applyFill="0" applyAlignment="0" applyProtection="0"/>
    <xf numFmtId="0" fontId="99" fillId="0" borderId="36" applyNumberFormat="0" applyFill="0" applyAlignment="0" applyProtection="0"/>
    <xf numFmtId="0" fontId="99" fillId="0" borderId="36" applyNumberFormat="0" applyFill="0" applyAlignment="0" applyProtection="0"/>
    <xf numFmtId="0" fontId="99" fillId="0" borderId="36" applyNumberFormat="0" applyFill="0" applyAlignment="0" applyProtection="0"/>
    <xf numFmtId="0" fontId="99" fillId="0" borderId="36" applyNumberFormat="0" applyFill="0" applyAlignment="0" applyProtection="0"/>
    <xf numFmtId="0" fontId="99" fillId="0" borderId="36" applyNumberFormat="0" applyFill="0" applyAlignment="0" applyProtection="0"/>
    <xf numFmtId="0" fontId="99" fillId="0" borderId="36" applyNumberFormat="0" applyFill="0" applyAlignment="0" applyProtection="0"/>
    <xf numFmtId="0" fontId="99" fillId="0" borderId="36" applyNumberFormat="0" applyFill="0" applyAlignment="0" applyProtection="0"/>
    <xf numFmtId="0" fontId="99" fillId="0" borderId="36" applyNumberFormat="0" applyFill="0" applyAlignment="0" applyProtection="0"/>
    <xf numFmtId="0" fontId="99" fillId="0" borderId="36" applyNumberFormat="0" applyFill="0" applyAlignment="0" applyProtection="0"/>
    <xf numFmtId="0" fontId="99" fillId="0" borderId="36" applyNumberFormat="0" applyFill="0" applyAlignment="0" applyProtection="0"/>
    <xf numFmtId="0" fontId="99" fillId="0" borderId="37" applyNumberFormat="0" applyFill="0" applyAlignment="0" applyProtection="0"/>
    <xf numFmtId="0" fontId="77" fillId="0" borderId="0" applyFill="0" applyBorder="0">
      <alignment vertical="center"/>
    </xf>
    <xf numFmtId="0" fontId="99" fillId="0" borderId="37" applyNumberFormat="0" applyFill="0" applyAlignment="0" applyProtection="0"/>
    <xf numFmtId="0" fontId="99" fillId="0" borderId="36" applyNumberFormat="0" applyFill="0" applyAlignment="0" applyProtection="0"/>
    <xf numFmtId="0" fontId="99" fillId="0" borderId="36" applyNumberFormat="0" applyFill="0" applyAlignment="0" applyProtection="0"/>
    <xf numFmtId="0" fontId="99" fillId="0" borderId="36" applyNumberFormat="0" applyFill="0" applyAlignment="0" applyProtection="0"/>
    <xf numFmtId="0" fontId="99" fillId="0" borderId="36" applyNumberFormat="0" applyFill="0" applyAlignment="0" applyProtection="0"/>
    <xf numFmtId="0" fontId="99" fillId="0" borderId="36" applyNumberFormat="0" applyFill="0" applyAlignment="0" applyProtection="0"/>
    <xf numFmtId="0" fontId="99" fillId="0" borderId="36" applyNumberFormat="0" applyFill="0" applyAlignment="0" applyProtection="0"/>
    <xf numFmtId="0" fontId="99" fillId="0" borderId="36" applyNumberFormat="0" applyFill="0" applyAlignment="0" applyProtection="0"/>
    <xf numFmtId="0" fontId="99" fillId="0" borderId="36" applyNumberFormat="0" applyFill="0" applyAlignment="0" applyProtection="0"/>
    <xf numFmtId="0" fontId="99" fillId="0" borderId="36" applyNumberFormat="0" applyFill="0" applyAlignment="0" applyProtection="0"/>
    <xf numFmtId="0" fontId="99" fillId="0" borderId="36" applyNumberFormat="0" applyFill="0" applyAlignment="0" applyProtection="0"/>
    <xf numFmtId="0" fontId="99" fillId="0" borderId="36" applyNumberFormat="0" applyFill="0" applyAlignment="0" applyProtection="0"/>
    <xf numFmtId="0" fontId="99" fillId="0" borderId="36" applyNumberFormat="0" applyFill="0" applyAlignment="0" applyProtection="0"/>
    <xf numFmtId="0" fontId="99" fillId="0" borderId="36" applyNumberFormat="0" applyFill="0" applyAlignment="0" applyProtection="0"/>
    <xf numFmtId="0" fontId="99" fillId="0" borderId="36" applyNumberFormat="0" applyFill="0" applyAlignment="0" applyProtection="0"/>
    <xf numFmtId="0" fontId="99" fillId="0" borderId="36" applyNumberFormat="0" applyFill="0" applyAlignment="0" applyProtection="0"/>
    <xf numFmtId="0" fontId="99" fillId="0" borderId="36" applyNumberFormat="0" applyFill="0" applyAlignment="0" applyProtection="0"/>
    <xf numFmtId="0" fontId="99" fillId="0" borderId="36" applyNumberFormat="0" applyFill="0" applyAlignment="0" applyProtection="0"/>
    <xf numFmtId="0" fontId="99" fillId="0" borderId="36" applyNumberFormat="0" applyFill="0" applyAlignment="0" applyProtection="0"/>
    <xf numFmtId="0" fontId="99" fillId="0" borderId="36" applyNumberFormat="0" applyFill="0" applyAlignment="0" applyProtection="0"/>
    <xf numFmtId="0" fontId="99" fillId="0" borderId="36" applyNumberFormat="0" applyFill="0" applyAlignment="0" applyProtection="0"/>
    <xf numFmtId="0" fontId="99" fillId="0" borderId="36" applyNumberFormat="0" applyFill="0" applyAlignment="0" applyProtection="0"/>
    <xf numFmtId="0" fontId="99" fillId="0" borderId="36" applyNumberFormat="0" applyFill="0" applyAlignment="0" applyProtection="0"/>
    <xf numFmtId="0" fontId="99" fillId="0" borderId="36" applyNumberFormat="0" applyFill="0" applyAlignment="0" applyProtection="0"/>
    <xf numFmtId="0" fontId="99" fillId="0" borderId="37" applyNumberFormat="0" applyFill="0" applyAlignment="0" applyProtection="0"/>
    <xf numFmtId="0" fontId="77" fillId="0" borderId="0" applyFill="0" applyBorder="0">
      <alignment vertical="center"/>
    </xf>
    <xf numFmtId="0" fontId="55" fillId="0" borderId="0" applyFill="0" applyBorder="0">
      <alignment vertical="center"/>
    </xf>
    <xf numFmtId="0" fontId="99" fillId="0" borderId="0" applyNumberFormat="0" applyFill="0" applyBorder="0" applyAlignment="0" applyProtection="0"/>
    <xf numFmtId="0" fontId="55" fillId="0" borderId="0" applyFill="0" applyBorder="0">
      <alignment vertical="center"/>
    </xf>
    <xf numFmtId="187" fontId="100" fillId="0" borderId="0"/>
    <xf numFmtId="0" fontId="101" fillId="0" borderId="0" applyNumberFormat="0" applyFill="0" applyBorder="0" applyAlignment="0" applyProtection="0">
      <alignment vertical="top"/>
      <protection locked="0"/>
    </xf>
    <xf numFmtId="0" fontId="102" fillId="0" borderId="0" applyNumberFormat="0" applyFill="0" applyBorder="0" applyAlignment="0" applyProtection="0"/>
    <xf numFmtId="0" fontId="103" fillId="0" borderId="0" applyFill="0" applyBorder="0">
      <alignment horizontal="center" vertical="center"/>
      <protection locked="0"/>
    </xf>
    <xf numFmtId="0" fontId="104" fillId="0" borderId="0" applyFill="0" applyBorder="0">
      <alignment horizontal="left" vertical="center"/>
      <protection locked="0"/>
    </xf>
    <xf numFmtId="192" fontId="52" fillId="74" borderId="0" applyFont="0" applyBorder="0">
      <alignment horizontal="right"/>
    </xf>
    <xf numFmtId="187" fontId="52" fillId="74" borderId="0" applyFont="0" applyBorder="0" applyAlignment="0"/>
    <xf numFmtId="192" fontId="52" fillId="74" borderId="0" applyFont="0" applyBorder="0">
      <alignment horizontal="right"/>
    </xf>
    <xf numFmtId="0" fontId="105" fillId="51" borderId="31" applyNumberFormat="0" applyAlignment="0" applyProtection="0"/>
    <xf numFmtId="0" fontId="105" fillId="51" borderId="31" applyNumberFormat="0" applyAlignment="0" applyProtection="0"/>
    <xf numFmtId="0" fontId="105" fillId="51" borderId="31" applyNumberFormat="0" applyAlignment="0" applyProtection="0"/>
    <xf numFmtId="0" fontId="105" fillId="51" borderId="31" applyNumberFormat="0" applyAlignment="0" applyProtection="0"/>
    <xf numFmtId="0" fontId="105" fillId="51" borderId="31" applyNumberFormat="0" applyAlignment="0" applyProtection="0"/>
    <xf numFmtId="0" fontId="105" fillId="51" borderId="31" applyNumberFormat="0" applyAlignment="0" applyProtection="0"/>
    <xf numFmtId="0" fontId="105" fillId="51" borderId="31" applyNumberFormat="0" applyAlignment="0" applyProtection="0"/>
    <xf numFmtId="0" fontId="105" fillId="51" borderId="31" applyNumberFormat="0" applyAlignment="0" applyProtection="0"/>
    <xf numFmtId="0" fontId="105" fillId="51" borderId="31" applyNumberFormat="0" applyAlignment="0" applyProtection="0"/>
    <xf numFmtId="0" fontId="105" fillId="51" borderId="31" applyNumberFormat="0" applyAlignment="0" applyProtection="0"/>
    <xf numFmtId="0" fontId="105" fillId="51" borderId="31" applyNumberFormat="0" applyAlignment="0" applyProtection="0"/>
    <xf numFmtId="0" fontId="105" fillId="51" borderId="31" applyNumberFormat="0" applyAlignment="0" applyProtection="0"/>
    <xf numFmtId="0" fontId="105" fillId="51" borderId="31" applyNumberFormat="0" applyAlignment="0" applyProtection="0"/>
    <xf numFmtId="0" fontId="105" fillId="51" borderId="31" applyNumberFormat="0" applyAlignment="0" applyProtection="0"/>
    <xf numFmtId="0" fontId="105" fillId="51" borderId="31" applyNumberFormat="0" applyAlignment="0" applyProtection="0"/>
    <xf numFmtId="0" fontId="105" fillId="51" borderId="31" applyNumberFormat="0" applyAlignment="0" applyProtection="0"/>
    <xf numFmtId="0" fontId="105" fillId="51" borderId="31" applyNumberFormat="0" applyAlignment="0" applyProtection="0"/>
    <xf numFmtId="0" fontId="105" fillId="51" borderId="31" applyNumberFormat="0" applyAlignment="0" applyProtection="0"/>
    <xf numFmtId="0" fontId="105" fillId="51" borderId="31" applyNumberFormat="0" applyAlignment="0" applyProtection="0"/>
    <xf numFmtId="0" fontId="105" fillId="51" borderId="31" applyNumberFormat="0" applyAlignment="0" applyProtection="0"/>
    <xf numFmtId="0" fontId="105" fillId="51" borderId="31" applyNumberFormat="0" applyAlignment="0" applyProtection="0"/>
    <xf numFmtId="0" fontId="105" fillId="51" borderId="31" applyNumberFormat="0" applyAlignment="0" applyProtection="0"/>
    <xf numFmtId="0" fontId="105" fillId="51" borderId="31" applyNumberFormat="0" applyAlignment="0" applyProtection="0"/>
    <xf numFmtId="0" fontId="105" fillId="51" borderId="31" applyNumberFormat="0" applyAlignment="0" applyProtection="0"/>
    <xf numFmtId="0" fontId="105" fillId="51" borderId="31" applyNumberFormat="0" applyAlignment="0" applyProtection="0"/>
    <xf numFmtId="0" fontId="105" fillId="51" borderId="31" applyNumberFormat="0" applyAlignment="0" applyProtection="0"/>
    <xf numFmtId="0" fontId="105" fillId="51" borderId="31" applyNumberFormat="0" applyAlignment="0" applyProtection="0"/>
    <xf numFmtId="0" fontId="105" fillId="51" borderId="31" applyNumberFormat="0" applyAlignment="0" applyProtection="0"/>
    <xf numFmtId="0" fontId="105" fillId="51" borderId="31" applyNumberFormat="0" applyAlignment="0" applyProtection="0"/>
    <xf numFmtId="165" fontId="52" fillId="47" borderId="0" applyFont="0" applyBorder="0" applyAlignment="0">
      <alignment horizontal="right"/>
      <protection locked="0"/>
    </xf>
    <xf numFmtId="165" fontId="52" fillId="75" borderId="0" applyFont="0" applyBorder="0" applyAlignment="0">
      <alignment horizontal="right"/>
      <protection locked="0"/>
    </xf>
    <xf numFmtId="165" fontId="52" fillId="75" borderId="0" applyFont="0" applyBorder="0" applyAlignment="0">
      <alignment horizontal="right"/>
      <protection locked="0"/>
    </xf>
    <xf numFmtId="165" fontId="52" fillId="75" borderId="0" applyFont="0" applyBorder="0" applyAlignment="0">
      <alignment horizontal="right"/>
      <protection locked="0"/>
    </xf>
    <xf numFmtId="165" fontId="52" fillId="75" borderId="0" applyFont="0" applyBorder="0" applyAlignment="0">
      <alignment horizontal="right"/>
      <protection locked="0"/>
    </xf>
    <xf numFmtId="165" fontId="52" fillId="75" borderId="0" applyFont="0" applyBorder="0" applyAlignment="0">
      <alignment horizontal="right"/>
      <protection locked="0"/>
    </xf>
    <xf numFmtId="165" fontId="52" fillId="47" borderId="0" applyFont="0" applyBorder="0" applyAlignment="0">
      <alignment horizontal="right"/>
      <protection locked="0"/>
    </xf>
    <xf numFmtId="165" fontId="52" fillId="75" borderId="0" applyFont="0" applyBorder="0" applyAlignment="0">
      <alignment horizontal="right"/>
      <protection locked="0"/>
    </xf>
    <xf numFmtId="165" fontId="52" fillId="47" borderId="0" applyFont="0" applyBorder="0" applyAlignment="0">
      <alignment horizontal="right"/>
      <protection locked="0"/>
    </xf>
    <xf numFmtId="165" fontId="52" fillId="47" borderId="0" applyFont="0" applyBorder="0" applyAlignment="0">
      <alignment horizontal="right"/>
      <protection locked="0"/>
    </xf>
    <xf numFmtId="165" fontId="52" fillId="75" borderId="0" applyFont="0" applyBorder="0" applyAlignment="0">
      <alignment horizontal="right"/>
      <protection locked="0"/>
    </xf>
    <xf numFmtId="10" fontId="52" fillId="47" borderId="0" applyFont="0" applyBorder="0">
      <alignment horizontal="right"/>
      <protection locked="0"/>
    </xf>
    <xf numFmtId="165" fontId="52" fillId="47" borderId="0" applyFont="0" applyBorder="0" applyAlignment="0">
      <alignment horizontal="right"/>
      <protection locked="0"/>
    </xf>
    <xf numFmtId="3" fontId="52" fillId="76" borderId="0" applyFont="0" applyBorder="0">
      <protection locked="0"/>
    </xf>
    <xf numFmtId="187" fontId="53" fillId="76" borderId="0" applyBorder="0" applyAlignment="0">
      <protection locked="0"/>
    </xf>
    <xf numFmtId="193" fontId="52" fillId="41" borderId="0" applyFont="0" applyBorder="0">
      <alignment horizontal="right"/>
      <protection locked="0"/>
    </xf>
    <xf numFmtId="193" fontId="52" fillId="41" borderId="0" applyFont="0" applyBorder="0">
      <alignment horizontal="right"/>
      <protection locked="0"/>
    </xf>
    <xf numFmtId="193" fontId="52" fillId="41" borderId="0" applyFont="0" applyBorder="0">
      <alignment horizontal="right"/>
      <protection locked="0"/>
    </xf>
    <xf numFmtId="165" fontId="52" fillId="74" borderId="0" applyFont="0" applyBorder="0">
      <alignment horizontal="right"/>
      <protection locked="0"/>
    </xf>
    <xf numFmtId="165" fontId="52" fillId="74" borderId="0" applyFont="0" applyBorder="0">
      <alignment horizontal="right"/>
      <protection locked="0"/>
    </xf>
    <xf numFmtId="165" fontId="52" fillId="74" borderId="0" applyFont="0" applyBorder="0">
      <alignment horizontal="right"/>
      <protection locked="0"/>
    </xf>
    <xf numFmtId="165" fontId="52" fillId="74" borderId="0" applyFont="0" applyBorder="0">
      <alignment horizontal="right"/>
      <protection locked="0"/>
    </xf>
    <xf numFmtId="165" fontId="52" fillId="74" borderId="0" applyFont="0" applyBorder="0">
      <alignment horizontal="right"/>
      <protection locked="0"/>
    </xf>
    <xf numFmtId="165" fontId="52" fillId="74" borderId="0" applyFont="0" applyBorder="0">
      <alignment horizontal="right"/>
      <protection locked="0"/>
    </xf>
    <xf numFmtId="165" fontId="52" fillId="74" borderId="0" applyFont="0" applyBorder="0">
      <alignment horizontal="right"/>
      <protection locked="0"/>
    </xf>
    <xf numFmtId="194" fontId="1" fillId="77" borderId="38">
      <protection locked="0"/>
    </xf>
    <xf numFmtId="194" fontId="1" fillId="77" borderId="38">
      <protection locked="0"/>
    </xf>
    <xf numFmtId="194" fontId="1" fillId="77" borderId="38">
      <protection locked="0"/>
    </xf>
    <xf numFmtId="49" fontId="1" fillId="77" borderId="38" applyFont="0" applyAlignment="0">
      <alignment horizontal="left" vertical="center" wrapText="1"/>
      <protection locked="0"/>
    </xf>
    <xf numFmtId="49" fontId="1" fillId="77" borderId="38" applyFont="0" applyAlignment="0">
      <alignment horizontal="left" vertical="center" wrapText="1"/>
      <protection locked="0"/>
    </xf>
    <xf numFmtId="49" fontId="1" fillId="77" borderId="38" applyFont="0" applyAlignment="0">
      <alignment horizontal="left" vertical="center" wrapText="1"/>
      <protection locked="0"/>
    </xf>
    <xf numFmtId="187" fontId="106" fillId="78" borderId="0" applyBorder="0" applyAlignment="0"/>
    <xf numFmtId="0" fontId="55" fillId="71" borderId="0"/>
    <xf numFmtId="0" fontId="107" fillId="0" borderId="39" applyNumberFormat="0" applyFill="0" applyAlignment="0" applyProtection="0"/>
    <xf numFmtId="192" fontId="51" fillId="71" borderId="10" applyFont="0" applyBorder="0" applyAlignment="0"/>
    <xf numFmtId="187" fontId="53" fillId="71" borderId="0" applyFont="0" applyBorder="0" applyAlignment="0"/>
    <xf numFmtId="195" fontId="108" fillId="0" borderId="0"/>
    <xf numFmtId="0" fontId="78" fillId="0" borderId="0" applyFill="0" applyBorder="0">
      <alignment horizontal="left" vertical="center"/>
    </xf>
    <xf numFmtId="0" fontId="109" fillId="55" borderId="0" applyNumberFormat="0" applyBorder="0" applyAlignment="0" applyProtection="0"/>
    <xf numFmtId="194" fontId="1" fillId="43" borderId="38"/>
    <xf numFmtId="194" fontId="1" fillId="43" borderId="38"/>
    <xf numFmtId="194" fontId="1" fillId="43" borderId="38"/>
    <xf numFmtId="196" fontId="110" fillId="0" borderId="0"/>
    <xf numFmtId="0" fontId="52" fillId="0" borderId="0"/>
    <xf numFmtId="0" fontId="52" fillId="0" borderId="0"/>
    <xf numFmtId="0" fontId="52" fillId="0" borderId="0"/>
    <xf numFmtId="0" fontId="52" fillId="44" borderId="0"/>
    <xf numFmtId="0" fontId="1" fillId="0" borderId="0"/>
    <xf numFmtId="0" fontId="52" fillId="0" borderId="0" applyFill="0"/>
    <xf numFmtId="0" fontId="52" fillId="0" borderId="0" applyFill="0"/>
    <xf numFmtId="0" fontId="52" fillId="0" borderId="0"/>
    <xf numFmtId="0" fontId="52" fillId="0" borderId="0"/>
    <xf numFmtId="0" fontId="52" fillId="0" borderId="0"/>
    <xf numFmtId="0" fontId="5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0" borderId="0"/>
    <xf numFmtId="0" fontId="5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0" borderId="0"/>
    <xf numFmtId="0" fontId="52" fillId="0" borderId="0"/>
    <xf numFmtId="0" fontId="9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44" borderId="0"/>
    <xf numFmtId="0" fontId="52" fillId="44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0" borderId="0"/>
    <xf numFmtId="0" fontId="81" fillId="0" borderId="0"/>
    <xf numFmtId="0" fontId="81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 applyFill="0"/>
    <xf numFmtId="0" fontId="52" fillId="44" borderId="0"/>
    <xf numFmtId="0" fontId="5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0" borderId="0"/>
    <xf numFmtId="0" fontId="1" fillId="0" borderId="0"/>
    <xf numFmtId="0" fontId="1" fillId="0" borderId="0"/>
    <xf numFmtId="0" fontId="52" fillId="0" borderId="0"/>
    <xf numFmtId="0" fontId="52" fillId="44" borderId="0"/>
    <xf numFmtId="0" fontId="52" fillId="44" borderId="0"/>
    <xf numFmtId="0" fontId="52" fillId="0" borderId="0"/>
    <xf numFmtId="0" fontId="1" fillId="0" borderId="0"/>
    <xf numFmtId="0" fontId="1" fillId="0" borderId="0"/>
    <xf numFmtId="0" fontId="1" fillId="0" borderId="0"/>
    <xf numFmtId="0" fontId="52" fillId="0" borderId="0"/>
    <xf numFmtId="0" fontId="52" fillId="0" borderId="0"/>
    <xf numFmtId="0" fontId="52" fillId="0" borderId="0"/>
    <xf numFmtId="0" fontId="1" fillId="0" borderId="0"/>
    <xf numFmtId="0" fontId="1" fillId="0" borderId="0"/>
    <xf numFmtId="0" fontId="1" fillId="0" borderId="0">
      <protection locked="0"/>
    </xf>
    <xf numFmtId="0" fontId="1" fillId="0" borderId="0"/>
    <xf numFmtId="0" fontId="52" fillId="0" borderId="0"/>
    <xf numFmtId="0" fontId="52" fillId="44" borderId="0"/>
    <xf numFmtId="0" fontId="52" fillId="44" borderId="0"/>
    <xf numFmtId="0" fontId="52" fillId="44" borderId="0"/>
    <xf numFmtId="0" fontId="1" fillId="0" borderId="0"/>
    <xf numFmtId="0" fontId="52" fillId="0" borderId="0"/>
    <xf numFmtId="0" fontId="52" fillId="0" borderId="0"/>
    <xf numFmtId="0" fontId="5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0" borderId="0" applyFill="0"/>
    <xf numFmtId="0" fontId="52" fillId="0" borderId="0" applyFill="0"/>
    <xf numFmtId="0" fontId="52" fillId="0" borderId="0"/>
    <xf numFmtId="0" fontId="1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1" fillId="0" borderId="0"/>
    <xf numFmtId="0" fontId="52" fillId="0" borderId="0"/>
    <xf numFmtId="0" fontId="81" fillId="0" borderId="0"/>
    <xf numFmtId="0" fontId="58" fillId="0" borderId="0"/>
    <xf numFmtId="0" fontId="52" fillId="44" borderId="0"/>
    <xf numFmtId="0" fontId="5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0" borderId="0" applyFill="0"/>
    <xf numFmtId="0" fontId="52" fillId="0" borderId="0"/>
    <xf numFmtId="0" fontId="5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0" borderId="0"/>
    <xf numFmtId="0" fontId="52" fillId="0" borderId="0"/>
    <xf numFmtId="0" fontId="52" fillId="52" borderId="40" applyNumberFormat="0" applyFont="0" applyAlignment="0" applyProtection="0"/>
    <xf numFmtId="0" fontId="52" fillId="52" borderId="40" applyNumberFormat="0" applyFont="0" applyAlignment="0" applyProtection="0"/>
    <xf numFmtId="0" fontId="52" fillId="52" borderId="40" applyNumberFormat="0" applyFont="0" applyAlignment="0" applyProtection="0"/>
    <xf numFmtId="0" fontId="52" fillId="52" borderId="40" applyNumberFormat="0" applyFont="0" applyAlignment="0" applyProtection="0"/>
    <xf numFmtId="0" fontId="52" fillId="52" borderId="40" applyNumberFormat="0" applyFont="0" applyAlignment="0" applyProtection="0"/>
    <xf numFmtId="0" fontId="52" fillId="52" borderId="40" applyNumberFormat="0" applyFont="0" applyAlignment="0" applyProtection="0"/>
    <xf numFmtId="0" fontId="52" fillId="52" borderId="40" applyNumberFormat="0" applyFont="0" applyAlignment="0" applyProtection="0"/>
    <xf numFmtId="0" fontId="52" fillId="52" borderId="40" applyNumberFormat="0" applyFont="0" applyAlignment="0" applyProtection="0"/>
    <xf numFmtId="0" fontId="52" fillId="52" borderId="40" applyNumberFormat="0" applyFont="0" applyAlignment="0" applyProtection="0"/>
    <xf numFmtId="0" fontId="52" fillId="52" borderId="40" applyNumberFormat="0" applyFont="0" applyAlignment="0" applyProtection="0"/>
    <xf numFmtId="0" fontId="52" fillId="52" borderId="40" applyNumberFormat="0" applyFont="0" applyAlignment="0" applyProtection="0"/>
    <xf numFmtId="0" fontId="52" fillId="52" borderId="40" applyNumberFormat="0" applyFont="0" applyAlignment="0" applyProtection="0"/>
    <xf numFmtId="0" fontId="52" fillId="52" borderId="40" applyNumberFormat="0" applyFont="0" applyAlignment="0" applyProtection="0"/>
    <xf numFmtId="0" fontId="52" fillId="52" borderId="40" applyNumberFormat="0" applyFont="0" applyAlignment="0" applyProtection="0"/>
    <xf numFmtId="0" fontId="52" fillId="52" borderId="40" applyNumberFormat="0" applyFont="0" applyAlignment="0" applyProtection="0"/>
    <xf numFmtId="0" fontId="52" fillId="52" borderId="40" applyNumberFormat="0" applyFont="0" applyAlignment="0" applyProtection="0"/>
    <xf numFmtId="0" fontId="52" fillId="52" borderId="40" applyNumberFormat="0" applyFont="0" applyAlignment="0" applyProtection="0"/>
    <xf numFmtId="0" fontId="52" fillId="52" borderId="40" applyNumberFormat="0" applyFont="0" applyAlignment="0" applyProtection="0"/>
    <xf numFmtId="0" fontId="52" fillId="52" borderId="40" applyNumberFormat="0" applyFont="0" applyAlignment="0" applyProtection="0"/>
    <xf numFmtId="0" fontId="52" fillId="52" borderId="40" applyNumberFormat="0" applyFont="0" applyAlignment="0" applyProtection="0"/>
    <xf numFmtId="0" fontId="52" fillId="52" borderId="40" applyNumberFormat="0" applyFont="0" applyAlignment="0" applyProtection="0"/>
    <xf numFmtId="0" fontId="52" fillId="52" borderId="40" applyNumberFormat="0" applyFont="0" applyAlignment="0" applyProtection="0"/>
    <xf numFmtId="0" fontId="52" fillId="52" borderId="40" applyNumberFormat="0" applyFont="0" applyAlignment="0" applyProtection="0"/>
    <xf numFmtId="0" fontId="52" fillId="52" borderId="40" applyNumberFormat="0" applyFont="0" applyAlignment="0" applyProtection="0"/>
    <xf numFmtId="0" fontId="52" fillId="52" borderId="40" applyNumberFormat="0" applyFont="0" applyAlignment="0" applyProtection="0"/>
    <xf numFmtId="0" fontId="52" fillId="52" borderId="40" applyNumberFormat="0" applyFont="0" applyAlignment="0" applyProtection="0"/>
    <xf numFmtId="0" fontId="52" fillId="52" borderId="40" applyNumberFormat="0" applyFont="0" applyAlignment="0" applyProtection="0"/>
    <xf numFmtId="0" fontId="52" fillId="52" borderId="40" applyNumberFormat="0" applyFont="0" applyAlignment="0" applyProtection="0"/>
    <xf numFmtId="0" fontId="52" fillId="52" borderId="40" applyNumberFormat="0" applyFont="0" applyAlignment="0" applyProtection="0"/>
    <xf numFmtId="0" fontId="52" fillId="52" borderId="40" applyNumberFormat="0" applyFont="0" applyAlignment="0" applyProtection="0"/>
    <xf numFmtId="0" fontId="52" fillId="52" borderId="40" applyNumberFormat="0" applyFont="0" applyAlignment="0" applyProtection="0"/>
    <xf numFmtId="0" fontId="52" fillId="52" borderId="40" applyNumberFormat="0" applyFont="0" applyAlignment="0" applyProtection="0"/>
    <xf numFmtId="0" fontId="52" fillId="52" borderId="40" applyNumberFormat="0" applyFont="0" applyAlignment="0" applyProtection="0"/>
    <xf numFmtId="0" fontId="52" fillId="52" borderId="40" applyNumberFormat="0" applyFont="0" applyAlignment="0" applyProtection="0"/>
    <xf numFmtId="0" fontId="52" fillId="52" borderId="40" applyNumberFormat="0" applyFont="0" applyAlignment="0" applyProtection="0"/>
    <xf numFmtId="0" fontId="52" fillId="52" borderId="40" applyNumberFormat="0" applyFont="0" applyAlignment="0" applyProtection="0"/>
    <xf numFmtId="0" fontId="52" fillId="52" borderId="40" applyNumberFormat="0" applyFont="0" applyAlignment="0" applyProtection="0"/>
    <xf numFmtId="0" fontId="52" fillId="52" borderId="40" applyNumberFormat="0" applyFont="0" applyAlignment="0" applyProtection="0"/>
    <xf numFmtId="0" fontId="52" fillId="52" borderId="40" applyNumberFormat="0" applyFont="0" applyAlignment="0" applyProtection="0"/>
    <xf numFmtId="0" fontId="52" fillId="52" borderId="40" applyNumberFormat="0" applyFont="0" applyAlignment="0" applyProtection="0"/>
    <xf numFmtId="0" fontId="52" fillId="52" borderId="40" applyNumberFormat="0" applyFont="0" applyAlignment="0" applyProtection="0"/>
    <xf numFmtId="0" fontId="52" fillId="52" borderId="40" applyNumberFormat="0" applyFont="0" applyAlignment="0" applyProtection="0"/>
    <xf numFmtId="0" fontId="52" fillId="52" borderId="40" applyNumberFormat="0" applyFont="0" applyAlignment="0" applyProtection="0"/>
    <xf numFmtId="0" fontId="52" fillId="52" borderId="40" applyNumberFormat="0" applyFont="0" applyAlignment="0" applyProtection="0"/>
    <xf numFmtId="0" fontId="52" fillId="52" borderId="40" applyNumberFormat="0" applyFont="0" applyAlignment="0" applyProtection="0"/>
    <xf numFmtId="0" fontId="52" fillId="52" borderId="40" applyNumberFormat="0" applyFont="0" applyAlignment="0" applyProtection="0"/>
    <xf numFmtId="0" fontId="52" fillId="52" borderId="40" applyNumberFormat="0" applyFont="0" applyAlignment="0" applyProtection="0"/>
    <xf numFmtId="0" fontId="52" fillId="52" borderId="40" applyNumberFormat="0" applyFont="0" applyAlignment="0" applyProtection="0"/>
    <xf numFmtId="0" fontId="111" fillId="48" borderId="41" applyNumberFormat="0" applyAlignment="0" applyProtection="0"/>
    <xf numFmtId="0" fontId="111" fillId="48" borderId="41" applyNumberFormat="0" applyAlignment="0" applyProtection="0"/>
    <xf numFmtId="0" fontId="111" fillId="48" borderId="41" applyNumberFormat="0" applyAlignment="0" applyProtection="0"/>
    <xf numFmtId="0" fontId="111" fillId="48" borderId="41" applyNumberFormat="0" applyAlignment="0" applyProtection="0"/>
    <xf numFmtId="0" fontId="111" fillId="48" borderId="41" applyNumberFormat="0" applyAlignment="0" applyProtection="0"/>
    <xf numFmtId="0" fontId="111" fillId="48" borderId="41" applyNumberFormat="0" applyAlignment="0" applyProtection="0"/>
    <xf numFmtId="0" fontId="111" fillId="48" borderId="41" applyNumberFormat="0" applyAlignment="0" applyProtection="0"/>
    <xf numFmtId="0" fontId="111" fillId="48" borderId="41" applyNumberFormat="0" applyAlignment="0" applyProtection="0"/>
    <xf numFmtId="0" fontId="111" fillId="48" borderId="41" applyNumberFormat="0" applyAlignment="0" applyProtection="0"/>
    <xf numFmtId="0" fontId="111" fillId="48" borderId="41" applyNumberFormat="0" applyAlignment="0" applyProtection="0"/>
    <xf numFmtId="0" fontId="111" fillId="48" borderId="41" applyNumberFormat="0" applyAlignment="0" applyProtection="0"/>
    <xf numFmtId="0" fontId="111" fillId="48" borderId="41" applyNumberFormat="0" applyAlignment="0" applyProtection="0"/>
    <xf numFmtId="0" fontId="111" fillId="48" borderId="41" applyNumberFormat="0" applyAlignment="0" applyProtection="0"/>
    <xf numFmtId="0" fontId="111" fillId="48" borderId="41" applyNumberFormat="0" applyAlignment="0" applyProtection="0"/>
    <xf numFmtId="0" fontId="111" fillId="48" borderId="41" applyNumberFormat="0" applyAlignment="0" applyProtection="0"/>
    <xf numFmtId="0" fontId="111" fillId="48" borderId="41" applyNumberFormat="0" applyAlignment="0" applyProtection="0"/>
    <xf numFmtId="0" fontId="111" fillId="48" borderId="41" applyNumberFormat="0" applyAlignment="0" applyProtection="0"/>
    <xf numFmtId="0" fontId="111" fillId="48" borderId="41" applyNumberFormat="0" applyAlignment="0" applyProtection="0"/>
    <xf numFmtId="0" fontId="111" fillId="48" borderId="41" applyNumberFormat="0" applyAlignment="0" applyProtection="0"/>
    <xf numFmtId="0" fontId="111" fillId="48" borderId="41" applyNumberFormat="0" applyAlignment="0" applyProtection="0"/>
    <xf numFmtId="0" fontId="111" fillId="48" borderId="41" applyNumberFormat="0" applyAlignment="0" applyProtection="0"/>
    <xf numFmtId="0" fontId="111" fillId="48" borderId="41" applyNumberFormat="0" applyAlignment="0" applyProtection="0"/>
    <xf numFmtId="0" fontId="111" fillId="48" borderId="41" applyNumberFormat="0" applyAlignment="0" applyProtection="0"/>
    <xf numFmtId="0" fontId="111" fillId="48" borderId="41" applyNumberFormat="0" applyAlignment="0" applyProtection="0"/>
    <xf numFmtId="0" fontId="111" fillId="48" borderId="41" applyNumberFormat="0" applyAlignment="0" applyProtection="0"/>
    <xf numFmtId="0" fontId="111" fillId="48" borderId="41" applyNumberFormat="0" applyAlignment="0" applyProtection="0"/>
    <xf numFmtId="0" fontId="111" fillId="48" borderId="41" applyNumberFormat="0" applyAlignment="0" applyProtection="0"/>
    <xf numFmtId="0" fontId="111" fillId="48" borderId="41" applyNumberFormat="0" applyAlignment="0" applyProtection="0"/>
    <xf numFmtId="0" fontId="111" fillId="48" borderId="41" applyNumberFormat="0" applyAlignment="0" applyProtection="0"/>
    <xf numFmtId="0" fontId="111" fillId="48" borderId="41" applyNumberFormat="0" applyAlignment="0" applyProtection="0"/>
    <xf numFmtId="0" fontId="111" fillId="48" borderId="41" applyNumberFormat="0" applyAlignment="0" applyProtection="0"/>
    <xf numFmtId="0" fontId="111" fillId="48" borderId="41" applyNumberFormat="0" applyAlignment="0" applyProtection="0"/>
    <xf numFmtId="0" fontId="111" fillId="48" borderId="41" applyNumberFormat="0" applyAlignment="0" applyProtection="0"/>
    <xf numFmtId="0" fontId="111" fillId="48" borderId="41" applyNumberFormat="0" applyAlignment="0" applyProtection="0"/>
    <xf numFmtId="0" fontId="111" fillId="48" borderId="41" applyNumberFormat="0" applyAlignment="0" applyProtection="0"/>
    <xf numFmtId="0" fontId="111" fillId="48" borderId="41" applyNumberFormat="0" applyAlignment="0" applyProtection="0"/>
    <xf numFmtId="0" fontId="111" fillId="48" borderId="41" applyNumberFormat="0" applyAlignment="0" applyProtection="0"/>
    <xf numFmtId="0" fontId="111" fillId="48" borderId="41" applyNumberFormat="0" applyAlignment="0" applyProtection="0"/>
    <xf numFmtId="0" fontId="111" fillId="48" borderId="41" applyNumberFormat="0" applyAlignment="0" applyProtection="0"/>
    <xf numFmtId="0" fontId="111" fillId="48" borderId="41" applyNumberFormat="0" applyAlignment="0" applyProtection="0"/>
    <xf numFmtId="0" fontId="111" fillId="48" borderId="41" applyNumberFormat="0" applyAlignment="0" applyProtection="0"/>
    <xf numFmtId="0" fontId="111" fillId="48" borderId="41" applyNumberFormat="0" applyAlignment="0" applyProtection="0"/>
    <xf numFmtId="0" fontId="111" fillId="48" borderId="41" applyNumberFormat="0" applyAlignment="0" applyProtection="0"/>
    <xf numFmtId="0" fontId="111" fillId="48" borderId="41" applyNumberFormat="0" applyAlignment="0" applyProtection="0"/>
    <xf numFmtId="0" fontId="111" fillId="48" borderId="41" applyNumberFormat="0" applyAlignment="0" applyProtection="0"/>
    <xf numFmtId="0" fontId="111" fillId="48" borderId="41" applyNumberFormat="0" applyAlignment="0" applyProtection="0"/>
    <xf numFmtId="0" fontId="111" fillId="48" borderId="41" applyNumberFormat="0" applyAlignment="0" applyProtection="0"/>
    <xf numFmtId="0" fontId="111" fillId="48" borderId="41" applyNumberFormat="0" applyAlignment="0" applyProtection="0"/>
    <xf numFmtId="0" fontId="111" fillId="48" borderId="41" applyNumberFormat="0" applyAlignment="0" applyProtection="0"/>
    <xf numFmtId="0" fontId="111" fillId="48" borderId="41" applyNumberFormat="0" applyAlignment="0" applyProtection="0"/>
    <xf numFmtId="0" fontId="111" fillId="48" borderId="41" applyNumberFormat="0" applyAlignment="0" applyProtection="0"/>
    <xf numFmtId="0" fontId="111" fillId="48" borderId="41" applyNumberFormat="0" applyAlignment="0" applyProtection="0"/>
    <xf numFmtId="0" fontId="111" fillId="48" borderId="41" applyNumberFormat="0" applyAlignment="0" applyProtection="0"/>
    <xf numFmtId="0" fontId="111" fillId="48" borderId="41" applyNumberFormat="0" applyAlignment="0" applyProtection="0"/>
    <xf numFmtId="0" fontId="111" fillId="48" borderId="41" applyNumberFormat="0" applyAlignment="0" applyProtection="0"/>
    <xf numFmtId="0" fontId="111" fillId="48" borderId="41" applyNumberFormat="0" applyAlignment="0" applyProtection="0"/>
    <xf numFmtId="0" fontId="111" fillId="48" borderId="41" applyNumberFormat="0" applyAlignment="0" applyProtection="0"/>
    <xf numFmtId="0" fontId="111" fillId="48" borderId="41" applyNumberFormat="0" applyAlignment="0" applyProtection="0"/>
    <xf numFmtId="0" fontId="111" fillId="48" borderId="41" applyNumberFormat="0" applyAlignment="0" applyProtection="0"/>
    <xf numFmtId="0" fontId="111" fillId="48" borderId="41" applyNumberFormat="0" applyAlignment="0" applyProtection="0"/>
    <xf numFmtId="0" fontId="111" fillId="48" borderId="41" applyNumberFormat="0" applyAlignment="0" applyProtection="0"/>
    <xf numFmtId="0" fontId="111" fillId="48" borderId="41" applyNumberFormat="0" applyAlignment="0" applyProtection="0"/>
    <xf numFmtId="0" fontId="111" fillId="48" borderId="41" applyNumberFormat="0" applyAlignment="0" applyProtection="0"/>
    <xf numFmtId="0" fontId="111" fillId="48" borderId="41" applyNumberFormat="0" applyAlignment="0" applyProtection="0"/>
    <xf numFmtId="0" fontId="111" fillId="48" borderId="41" applyNumberFormat="0" applyAlignment="0" applyProtection="0"/>
    <xf numFmtId="0" fontId="111" fillId="48" borderId="41" applyNumberFormat="0" applyAlignment="0" applyProtection="0"/>
    <xf numFmtId="197" fontId="52" fillId="0" borderId="0" applyFill="0" applyBorder="0"/>
    <xf numFmtId="197" fontId="52" fillId="0" borderId="0" applyFill="0" applyBorder="0"/>
    <xf numFmtId="197" fontId="52" fillId="0" borderId="0" applyFill="0" applyBorder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187" fontId="112" fillId="0" borderId="0"/>
    <xf numFmtId="0" fontId="77" fillId="0" borderId="0" applyFill="0" applyBorder="0">
      <alignment vertical="center"/>
    </xf>
    <xf numFmtId="0" fontId="74" fillId="0" borderId="0" applyNumberFormat="0" applyFont="0" applyFill="0" applyBorder="0" applyAlignment="0" applyProtection="0">
      <alignment horizontal="left"/>
    </xf>
    <xf numFmtId="15" fontId="74" fillId="0" borderId="0" applyFont="0" applyFill="0" applyBorder="0" applyAlignment="0" applyProtection="0"/>
    <xf numFmtId="4" fontId="74" fillId="0" borderId="0" applyFont="0" applyFill="0" applyBorder="0" applyAlignment="0" applyProtection="0"/>
    <xf numFmtId="198" fontId="113" fillId="0" borderId="25"/>
    <xf numFmtId="198" fontId="113" fillId="0" borderId="25"/>
    <xf numFmtId="0" fontId="114" fillId="0" borderId="13">
      <alignment horizontal="center"/>
    </xf>
    <xf numFmtId="0" fontId="114" fillId="0" borderId="13">
      <alignment horizontal="center"/>
    </xf>
    <xf numFmtId="0" fontId="114" fillId="0" borderId="13">
      <alignment horizontal="center"/>
    </xf>
    <xf numFmtId="0" fontId="114" fillId="0" borderId="13">
      <alignment horizontal="center"/>
    </xf>
    <xf numFmtId="0" fontId="114" fillId="0" borderId="13">
      <alignment horizontal="center"/>
    </xf>
    <xf numFmtId="0" fontId="114" fillId="0" borderId="13">
      <alignment horizontal="center"/>
    </xf>
    <xf numFmtId="0" fontId="114" fillId="0" borderId="13">
      <alignment horizontal="center"/>
    </xf>
    <xf numFmtId="0" fontId="114" fillId="0" borderId="13">
      <alignment horizontal="center"/>
    </xf>
    <xf numFmtId="0" fontId="114" fillId="0" borderId="13">
      <alignment horizontal="center"/>
    </xf>
    <xf numFmtId="0" fontId="114" fillId="0" borderId="13">
      <alignment horizontal="center"/>
    </xf>
    <xf numFmtId="0" fontId="114" fillId="0" borderId="13">
      <alignment horizontal="center"/>
    </xf>
    <xf numFmtId="0" fontId="114" fillId="0" borderId="13">
      <alignment horizontal="center"/>
    </xf>
    <xf numFmtId="0" fontId="114" fillId="0" borderId="13">
      <alignment horizontal="center"/>
    </xf>
    <xf numFmtId="0" fontId="114" fillId="0" borderId="13">
      <alignment horizontal="center"/>
    </xf>
    <xf numFmtId="3" fontId="74" fillId="0" borderId="0" applyFont="0" applyFill="0" applyBorder="0" applyAlignment="0" applyProtection="0"/>
    <xf numFmtId="0" fontId="74" fillId="79" borderId="0" applyNumberFormat="0" applyFont="0" applyBorder="0" applyAlignment="0" applyProtection="0"/>
    <xf numFmtId="199" fontId="52" fillId="0" borderId="0"/>
    <xf numFmtId="199" fontId="52" fillId="0" borderId="0"/>
    <xf numFmtId="199" fontId="52" fillId="0" borderId="0"/>
    <xf numFmtId="200" fontId="55" fillId="0" borderId="0" applyFill="0" applyBorder="0">
      <alignment horizontal="right" vertical="center"/>
    </xf>
    <xf numFmtId="201" fontId="55" fillId="0" borderId="0" applyFill="0" applyBorder="0">
      <alignment horizontal="right" vertical="center"/>
    </xf>
    <xf numFmtId="202" fontId="55" fillId="0" borderId="0" applyFill="0" applyBorder="0">
      <alignment horizontal="right" vertical="center"/>
    </xf>
    <xf numFmtId="194" fontId="60" fillId="77" borderId="42">
      <alignment horizontal="right" indent="2"/>
      <protection locked="0"/>
    </xf>
    <xf numFmtId="0" fontId="52" fillId="52" borderId="0" applyNumberFormat="0" applyFont="0" applyBorder="0" applyAlignment="0" applyProtection="0"/>
    <xf numFmtId="0" fontId="52" fillId="52" borderId="0" applyNumberFormat="0" applyFont="0" applyBorder="0" applyAlignment="0" applyProtection="0"/>
    <xf numFmtId="0" fontId="52" fillId="48" borderId="0" applyNumberFormat="0" applyFont="0" applyBorder="0" applyAlignment="0" applyProtection="0"/>
    <xf numFmtId="0" fontId="52" fillId="48" borderId="0" applyNumberFormat="0" applyFont="0" applyBorder="0" applyAlignment="0" applyProtection="0"/>
    <xf numFmtId="0" fontId="52" fillId="54" borderId="0" applyNumberFormat="0" applyFont="0" applyBorder="0" applyAlignment="0" applyProtection="0"/>
    <xf numFmtId="0" fontId="52" fillId="54" borderId="0" applyNumberFormat="0" applyFont="0" applyBorder="0" applyAlignment="0" applyProtection="0"/>
    <xf numFmtId="0" fontId="52" fillId="0" borderId="0" applyNumberFormat="0" applyFont="0" applyFill="0" applyBorder="0" applyAlignment="0" applyProtection="0"/>
    <xf numFmtId="0" fontId="52" fillId="0" borderId="0" applyNumberFormat="0" applyFont="0" applyFill="0" applyBorder="0" applyAlignment="0" applyProtection="0"/>
    <xf numFmtId="0" fontId="52" fillId="54" borderId="0" applyNumberFormat="0" applyFont="0" applyBorder="0" applyAlignment="0" applyProtection="0"/>
    <xf numFmtId="0" fontId="52" fillId="54" borderId="0" applyNumberFormat="0" applyFont="0" applyBorder="0" applyAlignment="0" applyProtection="0"/>
    <xf numFmtId="0" fontId="52" fillId="0" borderId="0" applyNumberFormat="0" applyFont="0" applyFill="0" applyBorder="0" applyAlignment="0" applyProtection="0"/>
    <xf numFmtId="0" fontId="52" fillId="0" borderId="0" applyNumberFormat="0" applyFont="0" applyFill="0" applyBorder="0" applyAlignment="0" applyProtection="0"/>
    <xf numFmtId="0" fontId="52" fillId="0" borderId="0" applyNumberFormat="0" applyFont="0" applyBorder="0" applyAlignment="0" applyProtection="0"/>
    <xf numFmtId="0" fontId="52" fillId="0" borderId="0" applyNumberFormat="0" applyFont="0" applyBorder="0" applyAlignment="0" applyProtection="0"/>
    <xf numFmtId="0" fontId="115" fillId="0" borderId="0" applyNumberFormat="0" applyFill="0" applyBorder="0" applyAlignment="0" applyProtection="0"/>
    <xf numFmtId="0" fontId="116" fillId="8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15" fontId="52" fillId="0" borderId="0"/>
    <xf numFmtId="15" fontId="52" fillId="0" borderId="0"/>
    <xf numFmtId="10" fontId="52" fillId="0" borderId="0"/>
    <xf numFmtId="10" fontId="52" fillId="0" borderId="0"/>
    <xf numFmtId="0" fontId="117" fillId="81" borderId="1" applyBorder="0" applyProtection="0">
      <alignment horizontal="centerContinuous" vertical="center"/>
    </xf>
    <xf numFmtId="0" fontId="118" fillId="81" borderId="1" applyBorder="0" applyProtection="0">
      <alignment horizontal="centerContinuous" vertical="center"/>
    </xf>
    <xf numFmtId="0" fontId="118" fillId="81" borderId="1" applyBorder="0" applyProtection="0">
      <alignment horizontal="centerContinuous" vertical="center"/>
    </xf>
    <xf numFmtId="0" fontId="118" fillId="81" borderId="1" applyBorder="0" applyProtection="0">
      <alignment horizontal="centerContinuous" vertical="center"/>
    </xf>
    <xf numFmtId="0" fontId="118" fillId="81" borderId="1" applyBorder="0" applyProtection="0">
      <alignment horizontal="centerContinuous" vertical="center"/>
    </xf>
    <xf numFmtId="0" fontId="119" fillId="0" borderId="0" applyBorder="0" applyProtection="0">
      <alignment vertical="center"/>
    </xf>
    <xf numFmtId="0" fontId="120" fillId="0" borderId="0">
      <alignment horizontal="left"/>
    </xf>
    <xf numFmtId="0" fontId="120" fillId="0" borderId="26" applyFill="0" applyBorder="0" applyProtection="0">
      <alignment horizontal="left" vertical="top"/>
    </xf>
    <xf numFmtId="0" fontId="120" fillId="0" borderId="26" applyFill="0" applyBorder="0" applyProtection="0">
      <alignment horizontal="left" vertical="top"/>
    </xf>
    <xf numFmtId="0" fontId="116" fillId="7" borderId="0">
      <alignment horizontal="left" vertical="center"/>
      <protection locked="0"/>
    </xf>
    <xf numFmtId="0" fontId="121" fillId="42" borderId="0">
      <alignment vertical="center"/>
      <protection locked="0"/>
    </xf>
    <xf numFmtId="49" fontId="52" fillId="0" borderId="0" applyFont="0" applyFill="0" applyBorder="0" applyAlignment="0" applyProtection="0"/>
    <xf numFmtId="0" fontId="122" fillId="0" borderId="0"/>
    <xf numFmtId="49" fontId="52" fillId="0" borderId="0" applyFont="0" applyFill="0" applyBorder="0" applyAlignment="0" applyProtection="0"/>
    <xf numFmtId="0" fontId="123" fillId="0" borderId="0"/>
    <xf numFmtId="0" fontId="124" fillId="0" borderId="0"/>
    <xf numFmtId="0" fontId="123" fillId="0" borderId="0"/>
    <xf numFmtId="0" fontId="124" fillId="0" borderId="0"/>
    <xf numFmtId="0" fontId="122" fillId="0" borderId="0"/>
    <xf numFmtId="195" fontId="125" fillId="0" borderId="0"/>
    <xf numFmtId="0" fontId="115" fillId="0" borderId="0" applyNumberFormat="0" applyFill="0" applyBorder="0" applyAlignment="0" applyProtection="0"/>
    <xf numFmtId="0" fontId="126" fillId="0" borderId="0" applyFill="0" applyBorder="0">
      <alignment horizontal="left" vertical="center"/>
      <protection locked="0"/>
    </xf>
    <xf numFmtId="0" fontId="122" fillId="0" borderId="0"/>
    <xf numFmtId="0" fontId="127" fillId="0" borderId="0" applyFill="0" applyBorder="0">
      <alignment horizontal="left" vertical="center"/>
      <protection locked="0"/>
    </xf>
    <xf numFmtId="0" fontId="92" fillId="0" borderId="43" applyNumberFormat="0" applyFill="0" applyAlignment="0" applyProtection="0"/>
    <xf numFmtId="0" fontId="92" fillId="0" borderId="43" applyNumberFormat="0" applyFill="0" applyAlignment="0" applyProtection="0"/>
    <xf numFmtId="0" fontId="92" fillId="0" borderId="43" applyNumberFormat="0" applyFill="0" applyAlignment="0" applyProtection="0"/>
    <xf numFmtId="0" fontId="92" fillId="0" borderId="43" applyNumberFormat="0" applyFill="0" applyAlignment="0" applyProtection="0"/>
    <xf numFmtId="0" fontId="92" fillId="0" borderId="43" applyNumberFormat="0" applyFill="0" applyAlignment="0" applyProtection="0"/>
    <xf numFmtId="0" fontId="92" fillId="0" borderId="43" applyNumberFormat="0" applyFill="0" applyAlignment="0" applyProtection="0"/>
    <xf numFmtId="0" fontId="92" fillId="0" borderId="43" applyNumberFormat="0" applyFill="0" applyAlignment="0" applyProtection="0"/>
    <xf numFmtId="0" fontId="92" fillId="0" borderId="43" applyNumberFormat="0" applyFill="0" applyAlignment="0" applyProtection="0"/>
    <xf numFmtId="0" fontId="92" fillId="0" borderId="43" applyNumberFormat="0" applyFill="0" applyAlignment="0" applyProtection="0"/>
    <xf numFmtId="0" fontId="92" fillId="0" borderId="43" applyNumberFormat="0" applyFill="0" applyAlignment="0" applyProtection="0"/>
    <xf numFmtId="0" fontId="92" fillId="0" borderId="43" applyNumberFormat="0" applyFill="0" applyAlignment="0" applyProtection="0"/>
    <xf numFmtId="0" fontId="92" fillId="0" borderId="43" applyNumberFormat="0" applyFill="0" applyAlignment="0" applyProtection="0"/>
    <xf numFmtId="0" fontId="92" fillId="0" borderId="43" applyNumberFormat="0" applyFill="0" applyAlignment="0" applyProtection="0"/>
    <xf numFmtId="0" fontId="92" fillId="0" borderId="43" applyNumberFormat="0" applyFill="0" applyAlignment="0" applyProtection="0"/>
    <xf numFmtId="0" fontId="92" fillId="0" borderId="43" applyNumberFormat="0" applyFill="0" applyAlignment="0" applyProtection="0"/>
    <xf numFmtId="0" fontId="92" fillId="0" borderId="43" applyNumberFormat="0" applyFill="0" applyAlignment="0" applyProtection="0"/>
    <xf numFmtId="0" fontId="92" fillId="0" borderId="43" applyNumberFormat="0" applyFill="0" applyAlignment="0" applyProtection="0"/>
    <xf numFmtId="0" fontId="92" fillId="0" borderId="43" applyNumberFormat="0" applyFill="0" applyAlignment="0" applyProtection="0"/>
    <xf numFmtId="0" fontId="92" fillId="0" borderId="43" applyNumberFormat="0" applyFill="0" applyAlignment="0" applyProtection="0"/>
    <xf numFmtId="0" fontId="92" fillId="0" borderId="43" applyNumberFormat="0" applyFill="0" applyAlignment="0" applyProtection="0"/>
    <xf numFmtId="0" fontId="92" fillId="0" borderId="43" applyNumberFormat="0" applyFill="0" applyAlignment="0" applyProtection="0"/>
    <xf numFmtId="0" fontId="92" fillId="0" borderId="43" applyNumberFormat="0" applyFill="0" applyAlignment="0" applyProtection="0"/>
    <xf numFmtId="0" fontId="92" fillId="0" borderId="43" applyNumberFormat="0" applyFill="0" applyAlignment="0" applyProtection="0"/>
    <xf numFmtId="0" fontId="92" fillId="0" borderId="43" applyNumberFormat="0" applyFill="0" applyAlignment="0" applyProtection="0"/>
    <xf numFmtId="0" fontId="92" fillId="0" borderId="43" applyNumberFormat="0" applyFill="0" applyAlignment="0" applyProtection="0"/>
    <xf numFmtId="0" fontId="92" fillId="0" borderId="43" applyNumberFormat="0" applyFill="0" applyAlignment="0" applyProtection="0"/>
    <xf numFmtId="0" fontId="92" fillId="0" borderId="43" applyNumberFormat="0" applyFill="0" applyAlignment="0" applyProtection="0"/>
    <xf numFmtId="0" fontId="92" fillId="0" borderId="43" applyNumberFormat="0" applyFill="0" applyAlignment="0" applyProtection="0"/>
    <xf numFmtId="0" fontId="92" fillId="0" borderId="43" applyNumberFormat="0" applyFill="0" applyAlignment="0" applyProtection="0"/>
    <xf numFmtId="0" fontId="92" fillId="0" borderId="43" applyNumberFormat="0" applyFill="0" applyAlignment="0" applyProtection="0"/>
    <xf numFmtId="0" fontId="92" fillId="0" borderId="43" applyNumberFormat="0" applyFill="0" applyAlignment="0" applyProtection="0"/>
    <xf numFmtId="0" fontId="92" fillId="0" borderId="43" applyNumberFormat="0" applyFill="0" applyAlignment="0" applyProtection="0"/>
    <xf numFmtId="0" fontId="92" fillId="0" borderId="43" applyNumberFormat="0" applyFill="0" applyAlignment="0" applyProtection="0"/>
    <xf numFmtId="0" fontId="92" fillId="0" borderId="43" applyNumberFormat="0" applyFill="0" applyAlignment="0" applyProtection="0"/>
    <xf numFmtId="0" fontId="92" fillId="0" borderId="43" applyNumberFormat="0" applyFill="0" applyAlignment="0" applyProtection="0"/>
    <xf numFmtId="0" fontId="92" fillId="0" borderId="43" applyNumberFormat="0" applyFill="0" applyAlignment="0" applyProtection="0"/>
    <xf numFmtId="0" fontId="92" fillId="0" borderId="43" applyNumberFormat="0" applyFill="0" applyAlignment="0" applyProtection="0"/>
    <xf numFmtId="0" fontId="92" fillId="0" borderId="43" applyNumberFormat="0" applyFill="0" applyAlignment="0" applyProtection="0"/>
    <xf numFmtId="0" fontId="92" fillId="0" borderId="43" applyNumberFormat="0" applyFill="0" applyAlignment="0" applyProtection="0"/>
    <xf numFmtId="0" fontId="92" fillId="0" borderId="43" applyNumberFormat="0" applyFill="0" applyAlignment="0" applyProtection="0"/>
    <xf numFmtId="0" fontId="92" fillId="0" borderId="43" applyNumberFormat="0" applyFill="0" applyAlignment="0" applyProtection="0"/>
    <xf numFmtId="0" fontId="92" fillId="0" borderId="43" applyNumberFormat="0" applyFill="0" applyAlignment="0" applyProtection="0"/>
    <xf numFmtId="0" fontId="92" fillId="0" borderId="43" applyNumberFormat="0" applyFill="0" applyAlignment="0" applyProtection="0"/>
    <xf numFmtId="0" fontId="92" fillId="0" borderId="43" applyNumberFormat="0" applyFill="0" applyAlignment="0" applyProtection="0"/>
    <xf numFmtId="0" fontId="92" fillId="0" borderId="43" applyNumberFormat="0" applyFill="0" applyAlignment="0" applyProtection="0"/>
    <xf numFmtId="0" fontId="92" fillId="0" borderId="43" applyNumberFormat="0" applyFill="0" applyAlignment="0" applyProtection="0"/>
    <xf numFmtId="0" fontId="92" fillId="0" borderId="43" applyNumberFormat="0" applyFill="0" applyAlignment="0" applyProtection="0"/>
    <xf numFmtId="0" fontId="92" fillId="0" borderId="43" applyNumberFormat="0" applyFill="0" applyAlignment="0" applyProtection="0"/>
    <xf numFmtId="0" fontId="92" fillId="0" borderId="43" applyNumberFormat="0" applyFill="0" applyAlignment="0" applyProtection="0"/>
    <xf numFmtId="0" fontId="92" fillId="0" borderId="43" applyNumberFormat="0" applyFill="0" applyAlignment="0" applyProtection="0"/>
    <xf numFmtId="0" fontId="92" fillId="0" borderId="43" applyNumberFormat="0" applyFill="0" applyAlignment="0" applyProtection="0"/>
    <xf numFmtId="0" fontId="92" fillId="0" borderId="43" applyNumberFormat="0" applyFill="0" applyAlignment="0" applyProtection="0"/>
    <xf numFmtId="0" fontId="92" fillId="0" borderId="43" applyNumberFormat="0" applyFill="0" applyAlignment="0" applyProtection="0"/>
    <xf numFmtId="0" fontId="92" fillId="0" borderId="43" applyNumberFormat="0" applyFill="0" applyAlignment="0" applyProtection="0"/>
    <xf numFmtId="0" fontId="92" fillId="0" borderId="43" applyNumberFormat="0" applyFill="0" applyAlignment="0" applyProtection="0"/>
    <xf numFmtId="0" fontId="92" fillId="0" borderId="43" applyNumberFormat="0" applyFill="0" applyAlignment="0" applyProtection="0"/>
    <xf numFmtId="0" fontId="92" fillId="0" borderId="43" applyNumberFormat="0" applyFill="0" applyAlignment="0" applyProtection="0"/>
    <xf numFmtId="0" fontId="92" fillId="0" borderId="43" applyNumberFormat="0" applyFill="0" applyAlignment="0" applyProtection="0"/>
    <xf numFmtId="0" fontId="92" fillId="0" borderId="43" applyNumberFormat="0" applyFill="0" applyAlignment="0" applyProtection="0"/>
    <xf numFmtId="0" fontId="92" fillId="0" borderId="43" applyNumberFormat="0" applyFill="0" applyAlignment="0" applyProtection="0"/>
    <xf numFmtId="0" fontId="92" fillId="0" borderId="43" applyNumberFormat="0" applyFill="0" applyAlignment="0" applyProtection="0"/>
    <xf numFmtId="0" fontId="92" fillId="0" borderId="43" applyNumberFormat="0" applyFill="0" applyAlignment="0" applyProtection="0"/>
    <xf numFmtId="0" fontId="92" fillId="0" borderId="43" applyNumberFormat="0" applyFill="0" applyAlignment="0" applyProtection="0"/>
    <xf numFmtId="0" fontId="92" fillId="0" borderId="43" applyNumberFormat="0" applyFill="0" applyAlignment="0" applyProtection="0"/>
    <xf numFmtId="0" fontId="92" fillId="0" borderId="43" applyNumberFormat="0" applyFill="0" applyAlignment="0" applyProtection="0"/>
    <xf numFmtId="0" fontId="92" fillId="0" borderId="43" applyNumberFormat="0" applyFill="0" applyAlignment="0" applyProtection="0"/>
    <xf numFmtId="0" fontId="128" fillId="0" borderId="0" applyNumberFormat="0" applyFill="0" applyBorder="0" applyAlignment="0" applyProtection="0"/>
    <xf numFmtId="203" fontId="52" fillId="0" borderId="1" applyBorder="0" applyProtection="0">
      <alignment horizontal="right"/>
    </xf>
    <xf numFmtId="203" fontId="52" fillId="0" borderId="1" applyBorder="0" applyProtection="0">
      <alignment horizontal="right"/>
    </xf>
    <xf numFmtId="203" fontId="52" fillId="0" borderId="1" applyBorder="0" applyProtection="0">
      <alignment horizontal="right"/>
    </xf>
    <xf numFmtId="203" fontId="52" fillId="0" borderId="1" applyBorder="0" applyProtection="0">
      <alignment horizontal="right"/>
    </xf>
    <xf numFmtId="203" fontId="52" fillId="0" borderId="1" applyBorder="0" applyProtection="0">
      <alignment horizontal="right"/>
    </xf>
    <xf numFmtId="0" fontId="1" fillId="0" borderId="0" applyNumberFormat="0" applyFont="0" applyFill="0" applyBorder="0">
      <alignment horizontal="center" vertical="center"/>
      <protection locked="0"/>
    </xf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29" fillId="42" borderId="28">
      <alignment vertical="center"/>
    </xf>
    <xf numFmtId="0" fontId="130" fillId="0" borderId="0" applyNumberFormat="0" applyFill="0" applyBorder="0" applyAlignment="0" applyProtection="0"/>
  </cellStyleXfs>
  <cellXfs count="257">
    <xf numFmtId="0" fontId="0" fillId="0" borderId="0" xfId="0">
      <alignment vertical="center"/>
    </xf>
    <xf numFmtId="0" fontId="7" fillId="0" borderId="0" xfId="6" applyFont="1" applyAlignment="1">
      <alignment horizontal="left" vertical="center"/>
    </xf>
    <xf numFmtId="0" fontId="6" fillId="2" borderId="0" xfId="4">
      <alignment vertical="center"/>
    </xf>
    <xf numFmtId="0" fontId="6" fillId="2" borderId="0" xfId="4" applyAlignment="1">
      <alignment horizontal="left" vertical="center"/>
    </xf>
    <xf numFmtId="174" fontId="19" fillId="0" borderId="0" xfId="7" applyNumberFormat="1" applyFont="1" applyAlignment="1">
      <alignment horizontal="center" vertical="top"/>
    </xf>
    <xf numFmtId="0" fontId="19" fillId="0" borderId="0" xfId="7" applyFont="1" applyAlignment="1">
      <alignment horizontal="left" vertical="top"/>
    </xf>
    <xf numFmtId="0" fontId="18" fillId="0" borderId="0" xfId="1" quotePrefix="1" applyFont="1">
      <alignment vertical="center"/>
    </xf>
    <xf numFmtId="0" fontId="5" fillId="0" borderId="0" xfId="3" applyFont="1">
      <alignment vertical="center"/>
    </xf>
    <xf numFmtId="0" fontId="14" fillId="0" borderId="0" xfId="28" applyAlignment="1">
      <alignment horizontal="right" vertical="center"/>
    </xf>
    <xf numFmtId="0" fontId="17" fillId="0" borderId="0" xfId="2" applyFont="1">
      <alignment vertical="center"/>
    </xf>
    <xf numFmtId="0" fontId="14" fillId="0" borderId="0" xfId="28" applyAlignment="1">
      <alignment horizontal="center" vertical="center"/>
    </xf>
    <xf numFmtId="0" fontId="7" fillId="0" borderId="1" xfId="6" applyFont="1" applyBorder="1" applyAlignment="1">
      <alignment horizontal="left" vertical="center"/>
    </xf>
    <xf numFmtId="0" fontId="0" fillId="0" borderId="1" xfId="0" applyBorder="1">
      <alignment vertical="center"/>
    </xf>
    <xf numFmtId="0" fontId="7" fillId="0" borderId="1" xfId="6" applyFont="1" applyBorder="1" applyAlignment="1">
      <alignment horizontal="center" vertical="center"/>
    </xf>
    <xf numFmtId="175" fontId="20" fillId="0" borderId="0" xfId="19" applyNumberFormat="1" applyFont="1" applyAlignment="1">
      <alignment horizontal="center" vertical="center"/>
    </xf>
    <xf numFmtId="175" fontId="21" fillId="0" borderId="5" xfId="19" applyNumberFormat="1" applyFont="1" applyBorder="1" applyAlignment="1">
      <alignment horizontal="center" vertical="center"/>
    </xf>
    <xf numFmtId="0" fontId="22" fillId="0" borderId="5" xfId="16" applyFont="1" applyBorder="1" applyAlignment="1">
      <alignment horizontal="center" vertical="center"/>
      <protection locked="0"/>
    </xf>
    <xf numFmtId="0" fontId="23" fillId="0" borderId="4" xfId="7" applyFont="1" applyBorder="1" applyAlignment="1">
      <alignment horizontal="center" vertical="center"/>
    </xf>
    <xf numFmtId="0" fontId="19" fillId="0" borderId="0" xfId="7" applyFont="1" applyAlignment="1">
      <alignment horizontal="left" vertical="center"/>
    </xf>
    <xf numFmtId="175" fontId="12" fillId="0" borderId="6" xfId="19" applyNumberFormat="1" applyFont="1" applyBorder="1" applyAlignment="1">
      <alignment horizontal="center" vertical="center"/>
    </xf>
    <xf numFmtId="175" fontId="24" fillId="0" borderId="7" xfId="7" applyNumberFormat="1" applyFont="1" applyBorder="1" applyAlignment="1">
      <alignment horizontal="left" vertical="center"/>
    </xf>
    <xf numFmtId="0" fontId="25" fillId="0" borderId="0" xfId="3" applyFont="1">
      <alignment vertical="center"/>
    </xf>
    <xf numFmtId="0" fontId="14" fillId="0" borderId="0" xfId="28" applyAlignment="1">
      <alignment horizontal="left" vertical="center"/>
    </xf>
    <xf numFmtId="0" fontId="14" fillId="0" borderId="0" xfId="29" applyAlignment="1">
      <alignment horizontal="center" vertical="center"/>
    </xf>
    <xf numFmtId="0" fontId="19" fillId="0" borderId="0" xfId="7" applyFont="1">
      <alignment vertical="center"/>
    </xf>
    <xf numFmtId="0" fontId="7" fillId="3" borderId="2" xfId="5">
      <alignment vertical="center"/>
    </xf>
    <xf numFmtId="0" fontId="27" fillId="0" borderId="4" xfId="24" applyFont="1">
      <alignment horizontal="center" vertical="center"/>
    </xf>
    <xf numFmtId="0" fontId="10" fillId="0" borderId="4" xfId="26" applyFont="1">
      <alignment horizontal="center" vertical="center"/>
    </xf>
    <xf numFmtId="0" fontId="20" fillId="0" borderId="4" xfId="26" applyFont="1">
      <alignment horizontal="center" vertical="center"/>
    </xf>
    <xf numFmtId="0" fontId="19" fillId="0" borderId="0" xfId="7" quotePrefix="1" applyFont="1">
      <alignment vertical="center"/>
    </xf>
    <xf numFmtId="0" fontId="22" fillId="0" borderId="0" xfId="0" applyFont="1">
      <alignment vertical="center"/>
    </xf>
    <xf numFmtId="0" fontId="22" fillId="0" borderId="4" xfId="26" applyFont="1">
      <alignment horizontal="center" vertical="center"/>
    </xf>
    <xf numFmtId="170" fontId="22" fillId="0" borderId="4" xfId="25" applyFont="1">
      <alignment horizontal="center" vertical="center"/>
    </xf>
    <xf numFmtId="176" fontId="15" fillId="0" borderId="0" xfId="30" applyNumberFormat="1" applyAlignment="1">
      <alignment horizontal="right" vertical="center"/>
    </xf>
    <xf numFmtId="0" fontId="16" fillId="0" borderId="0" xfId="32" quotePrefix="1" applyAlignment="1">
      <alignment horizontal="right" vertical="center"/>
    </xf>
    <xf numFmtId="0" fontId="16" fillId="0" borderId="0" xfId="33" applyFont="1" applyAlignment="1">
      <alignment horizontal="center" vertical="center"/>
    </xf>
    <xf numFmtId="169" fontId="10" fillId="0" borderId="0" xfId="18" applyFont="1" applyAlignment="1">
      <alignment horizontal="center" vertical="center"/>
    </xf>
    <xf numFmtId="0" fontId="8" fillId="0" borderId="0" xfId="39">
      <alignment vertical="center"/>
    </xf>
    <xf numFmtId="0" fontId="20" fillId="0" borderId="0" xfId="0" applyFont="1" applyAlignment="1">
      <alignment horizontal="center" vertical="center"/>
    </xf>
    <xf numFmtId="175" fontId="0" fillId="0" borderId="0" xfId="0" applyNumberFormat="1" applyFont="1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0" fillId="0" borderId="0" xfId="0" applyFill="1">
      <alignment vertical="center"/>
    </xf>
    <xf numFmtId="0" fontId="22" fillId="0" borderId="0" xfId="0" applyFont="1" applyFill="1">
      <alignment vertical="center"/>
    </xf>
    <xf numFmtId="0" fontId="19" fillId="0" borderId="0" xfId="7" applyFont="1" applyFill="1">
      <alignment vertical="center"/>
    </xf>
    <xf numFmtId="0" fontId="0" fillId="0" borderId="0" xfId="0" applyFont="1" applyFill="1" applyAlignment="1">
      <alignment horizontal="center" vertical="center"/>
    </xf>
    <xf numFmtId="175" fontId="22" fillId="0" borderId="0" xfId="0" applyNumberFormat="1" applyFont="1" applyAlignment="1">
      <alignment horizontal="center" vertical="center"/>
    </xf>
    <xf numFmtId="175" fontId="22" fillId="0" borderId="0" xfId="0" applyNumberFormat="1" applyFont="1" applyFill="1" applyAlignment="1">
      <alignment horizontal="center" vertical="center"/>
    </xf>
    <xf numFmtId="0" fontId="6" fillId="2" borderId="0" xfId="4" applyFill="1">
      <alignment vertical="center"/>
    </xf>
    <xf numFmtId="0" fontId="7" fillId="0" borderId="0" xfId="6" applyFont="1" applyFill="1">
      <alignment vertical="center"/>
    </xf>
    <xf numFmtId="0" fontId="26" fillId="0" borderId="0" xfId="16" applyFont="1" applyFill="1">
      <alignment horizontal="center" vertical="center"/>
      <protection locked="0"/>
    </xf>
    <xf numFmtId="0" fontId="8" fillId="0" borderId="0" xfId="39" applyFill="1">
      <alignment vertical="center"/>
    </xf>
    <xf numFmtId="0" fontId="9" fillId="0" borderId="0" xfId="40">
      <alignment vertical="center"/>
    </xf>
    <xf numFmtId="0" fontId="9" fillId="0" borderId="0" xfId="40" applyFill="1">
      <alignment vertical="center"/>
    </xf>
    <xf numFmtId="0" fontId="13" fillId="0" borderId="0" xfId="31" applyAlignment="1">
      <alignment horizontal="right" vertical="center"/>
    </xf>
    <xf numFmtId="178" fontId="22" fillId="4" borderId="3" xfId="13" applyNumberFormat="1" applyFont="1" applyFill="1">
      <alignment vertical="center"/>
      <protection locked="0"/>
    </xf>
    <xf numFmtId="0" fontId="22" fillId="4" borderId="3" xfId="9" applyFont="1" applyFill="1" applyAlignment="1">
      <alignment horizontal="center" vertical="center"/>
      <protection locked="0"/>
    </xf>
    <xf numFmtId="0" fontId="4" fillId="0" borderId="0" xfId="1" applyFont="1">
      <alignment vertical="center"/>
    </xf>
    <xf numFmtId="0" fontId="8" fillId="0" borderId="0" xfId="39" applyAlignment="1">
      <alignment horizontal="center" vertical="center" wrapText="1"/>
    </xf>
    <xf numFmtId="0" fontId="7" fillId="0" borderId="0" xfId="6" applyFont="1">
      <alignment vertical="center"/>
    </xf>
    <xf numFmtId="0" fontId="9" fillId="0" borderId="0" xfId="7" applyFont="1">
      <alignment vertical="center"/>
    </xf>
    <xf numFmtId="0" fontId="4" fillId="0" borderId="0" xfId="1" applyFont="1" applyFill="1">
      <alignment vertical="center"/>
    </xf>
    <xf numFmtId="0" fontId="9" fillId="0" borderId="0" xfId="7" applyFont="1" applyFill="1">
      <alignment vertical="center"/>
    </xf>
    <xf numFmtId="0" fontId="22" fillId="4" borderId="3" xfId="9" applyFont="1" applyAlignment="1">
      <alignment horizontal="center" vertical="center"/>
      <protection locked="0"/>
    </xf>
    <xf numFmtId="0" fontId="10" fillId="4" borderId="3" xfId="9" applyAlignment="1">
      <alignment horizontal="center" vertical="center"/>
      <protection locked="0"/>
    </xf>
    <xf numFmtId="180" fontId="22" fillId="4" borderId="3" xfId="13" applyNumberFormat="1" applyFont="1" applyAlignment="1">
      <alignment horizontal="center" vertical="center"/>
      <protection locked="0"/>
    </xf>
    <xf numFmtId="180" fontId="10" fillId="0" borderId="0" xfId="20" applyNumberFormat="1" applyFont="1" applyAlignment="1">
      <alignment horizontal="center" vertical="center"/>
    </xf>
    <xf numFmtId="173" fontId="22" fillId="0" borderId="0" xfId="22" applyFont="1">
      <alignment vertical="center"/>
    </xf>
    <xf numFmtId="175" fontId="22" fillId="0" borderId="0" xfId="19" applyNumberFormat="1" applyFont="1">
      <alignment vertical="center"/>
    </xf>
    <xf numFmtId="175" fontId="22" fillId="0" borderId="0" xfId="19" applyNumberFormat="1" applyFont="1" applyAlignment="1">
      <alignment horizontal="center" vertical="center"/>
    </xf>
    <xf numFmtId="0" fontId="8" fillId="0" borderId="0" xfId="39" applyFill="1" applyAlignment="1">
      <alignment horizontal="center" vertical="center" wrapText="1"/>
    </xf>
    <xf numFmtId="175" fontId="22" fillId="0" borderId="0" xfId="19" applyNumberFormat="1" applyFont="1" applyFill="1" applyAlignment="1">
      <alignment horizontal="center" vertical="center"/>
    </xf>
    <xf numFmtId="180" fontId="10" fillId="0" borderId="0" xfId="20" applyNumberFormat="1" applyFont="1" applyFill="1" applyAlignment="1">
      <alignment horizontal="center" vertical="center"/>
    </xf>
    <xf numFmtId="180" fontId="22" fillId="4" borderId="3" xfId="13" applyNumberFormat="1" applyFont="1" applyFill="1" applyAlignment="1">
      <alignment horizontal="center" vertical="center"/>
      <protection locked="0"/>
    </xf>
    <xf numFmtId="0" fontId="0" fillId="0" borderId="10" xfId="0" applyBorder="1">
      <alignment vertical="center"/>
    </xf>
    <xf numFmtId="0" fontId="0" fillId="0" borderId="10" xfId="0" applyFill="1" applyBorder="1">
      <alignment vertical="center"/>
    </xf>
    <xf numFmtId="175" fontId="22" fillId="0" borderId="0" xfId="19" applyNumberFormat="1" applyFont="1" applyFill="1">
      <alignment vertical="center"/>
    </xf>
    <xf numFmtId="0" fontId="4" fillId="0" borderId="0" xfId="39" applyFont="1" applyFill="1">
      <alignment vertical="center"/>
    </xf>
    <xf numFmtId="0" fontId="4" fillId="0" borderId="0" xfId="39" applyFont="1">
      <alignment vertical="center"/>
    </xf>
    <xf numFmtId="173" fontId="27" fillId="0" borderId="0" xfId="22" applyFont="1">
      <alignment vertical="center"/>
    </xf>
    <xf numFmtId="173" fontId="27" fillId="0" borderId="0" xfId="22" applyFont="1" applyFill="1">
      <alignment vertical="center"/>
    </xf>
    <xf numFmtId="175" fontId="10" fillId="0" borderId="0" xfId="19" applyNumberFormat="1" applyFont="1" applyFill="1">
      <alignment vertical="center"/>
    </xf>
    <xf numFmtId="175" fontId="10" fillId="0" borderId="0" xfId="19" applyNumberFormat="1" applyFont="1">
      <alignment vertical="center"/>
    </xf>
    <xf numFmtId="175" fontId="12" fillId="0" borderId="12" xfId="19" applyNumberFormat="1" applyFont="1" applyBorder="1">
      <alignment vertical="center"/>
    </xf>
    <xf numFmtId="169" fontId="10" fillId="0" borderId="0" xfId="18" applyFont="1" applyFill="1" applyAlignment="1">
      <alignment horizontal="center" vertical="center"/>
    </xf>
    <xf numFmtId="0" fontId="22" fillId="4" borderId="3" xfId="9" applyFont="1" applyFill="1" applyAlignment="1">
      <alignment horizontal="center" vertical="center"/>
      <protection locked="0"/>
    </xf>
    <xf numFmtId="0" fontId="10" fillId="4" borderId="3" xfId="9" applyFill="1" applyAlignment="1">
      <alignment horizontal="center" vertical="center"/>
      <protection locked="0"/>
    </xf>
    <xf numFmtId="0" fontId="7" fillId="0" borderId="0" xfId="6" applyFont="1" applyFill="1">
      <alignment vertical="center"/>
    </xf>
    <xf numFmtId="175" fontId="20" fillId="0" borderId="0" xfId="19" applyNumberFormat="1" applyFont="1" applyFill="1" applyAlignment="1">
      <alignment horizontal="center" vertical="center"/>
    </xf>
    <xf numFmtId="0" fontId="20" fillId="0" borderId="0" xfId="0" applyFont="1" applyFill="1" applyAlignment="1">
      <alignment horizontal="center" vertical="center"/>
    </xf>
    <xf numFmtId="175" fontId="0" fillId="0" borderId="0" xfId="0" applyNumberFormat="1" applyFont="1" applyFill="1" applyAlignment="1">
      <alignment horizontal="center" vertical="center"/>
    </xf>
    <xf numFmtId="181" fontId="22" fillId="4" borderId="3" xfId="13" applyNumberFormat="1" applyFont="1" applyFill="1">
      <alignment vertical="center"/>
      <protection locked="0"/>
    </xf>
    <xf numFmtId="182" fontId="10" fillId="0" borderId="0" xfId="19" applyNumberFormat="1" applyFont="1" applyFill="1">
      <alignment vertical="center"/>
    </xf>
    <xf numFmtId="182" fontId="10" fillId="0" borderId="0" xfId="19" applyNumberFormat="1" applyFont="1">
      <alignment vertical="center"/>
    </xf>
    <xf numFmtId="0" fontId="8" fillId="0" borderId="12" xfId="39" applyBorder="1">
      <alignment vertical="center"/>
    </xf>
    <xf numFmtId="0" fontId="0" fillId="0" borderId="13" xfId="0" applyBorder="1">
      <alignment vertical="center"/>
    </xf>
    <xf numFmtId="177" fontId="28" fillId="5" borderId="0" xfId="18" applyNumberFormat="1" applyFont="1" applyFill="1" applyAlignment="1">
      <alignment horizontal="center" vertical="center"/>
    </xf>
    <xf numFmtId="177" fontId="28" fillId="5" borderId="0" xfId="47" applyNumberFormat="1" applyFont="1" applyFill="1" applyAlignment="1">
      <alignment horizontal="center" vertical="center"/>
    </xf>
    <xf numFmtId="0" fontId="28" fillId="6" borderId="0" xfId="0" applyFont="1" applyFill="1" applyAlignment="1">
      <alignment horizontal="center" vertical="center"/>
    </xf>
    <xf numFmtId="168" fontId="28" fillId="6" borderId="0" xfId="46" applyFont="1" applyFill="1" applyAlignment="1">
      <alignment horizontal="center" vertical="center"/>
    </xf>
    <xf numFmtId="170" fontId="22" fillId="4" borderId="3" xfId="12" applyNumberFormat="1" applyFont="1">
      <alignment vertical="center"/>
      <protection locked="0"/>
    </xf>
    <xf numFmtId="178" fontId="10" fillId="0" borderId="0" xfId="20" applyNumberFormat="1" applyFont="1">
      <alignment vertical="center"/>
    </xf>
    <xf numFmtId="175" fontId="12" fillId="0" borderId="12" xfId="19" applyNumberFormat="1" applyFont="1" applyFill="1" applyBorder="1">
      <alignment vertical="center"/>
    </xf>
    <xf numFmtId="0" fontId="9" fillId="0" borderId="0" xfId="7" applyFont="1">
      <alignment vertical="center"/>
    </xf>
    <xf numFmtId="0" fontId="9" fillId="0" borderId="0" xfId="7" applyFont="1" applyFill="1">
      <alignment vertical="center"/>
    </xf>
    <xf numFmtId="0" fontId="0" fillId="0" borderId="13" xfId="0" applyFill="1" applyBorder="1">
      <alignment vertical="center"/>
    </xf>
    <xf numFmtId="0" fontId="19" fillId="0" borderId="0" xfId="7" applyFont="1">
      <alignment vertical="center"/>
    </xf>
    <xf numFmtId="0" fontId="30" fillId="0" borderId="0" xfId="57">
      <alignment vertical="center"/>
    </xf>
    <xf numFmtId="0" fontId="8" fillId="0" borderId="0" xfId="39" applyAlignment="1">
      <alignment horizontal="center" vertical="center"/>
    </xf>
    <xf numFmtId="170" fontId="10" fillId="0" borderId="0" xfId="19" applyFont="1">
      <alignment vertical="center"/>
    </xf>
    <xf numFmtId="0" fontId="0" fillId="0" borderId="1" xfId="0" applyFill="1" applyBorder="1">
      <alignment vertical="center"/>
    </xf>
    <xf numFmtId="0" fontId="31" fillId="2" borderId="0" xfId="4" applyFont="1">
      <alignment vertical="center"/>
    </xf>
    <xf numFmtId="0" fontId="31" fillId="2" borderId="0" xfId="4" applyFont="1" applyFill="1">
      <alignment vertical="center"/>
    </xf>
    <xf numFmtId="0" fontId="9" fillId="0" borderId="0" xfId="40" applyFill="1" applyAlignment="1">
      <alignment horizontal="center" vertical="center"/>
    </xf>
    <xf numFmtId="0" fontId="28" fillId="7" borderId="0" xfId="0" applyFont="1" applyFill="1">
      <alignment vertical="center"/>
    </xf>
    <xf numFmtId="0" fontId="28" fillId="7" borderId="0" xfId="0" applyFont="1" applyFill="1" applyAlignment="1">
      <alignment horizontal="center" vertical="center"/>
    </xf>
    <xf numFmtId="0" fontId="29" fillId="7" borderId="0" xfId="7" applyFont="1" applyFill="1" applyAlignment="1">
      <alignment horizontal="center" vertical="center"/>
    </xf>
    <xf numFmtId="0" fontId="28" fillId="5" borderId="0" xfId="23" applyFont="1" applyBorder="1">
      <alignment vertical="center"/>
    </xf>
    <xf numFmtId="0" fontId="28" fillId="7" borderId="14" xfId="0" applyFont="1" applyFill="1" applyBorder="1">
      <alignment vertical="center"/>
    </xf>
    <xf numFmtId="0" fontId="11" fillId="5" borderId="0" xfId="23" applyBorder="1">
      <alignment vertical="center"/>
    </xf>
    <xf numFmtId="179" fontId="28" fillId="5" borderId="0" xfId="23" applyNumberFormat="1" applyFont="1" applyBorder="1" applyAlignment="1">
      <alignment horizontal="center" vertical="center"/>
    </xf>
    <xf numFmtId="0" fontId="28" fillId="7" borderId="14" xfId="0" applyFont="1" applyFill="1" applyBorder="1" applyAlignment="1">
      <alignment horizontal="center" vertical="center"/>
    </xf>
    <xf numFmtId="179" fontId="28" fillId="5" borderId="0" xfId="0" applyNumberFormat="1" applyFont="1" applyFill="1" applyBorder="1" applyAlignment="1">
      <alignment horizontal="center" vertical="center"/>
    </xf>
    <xf numFmtId="178" fontId="10" fillId="0" borderId="0" xfId="20" applyNumberFormat="1" applyFont="1" applyFill="1">
      <alignment vertical="center"/>
    </xf>
    <xf numFmtId="0" fontId="8" fillId="0" borderId="0" xfId="39" applyFill="1" applyAlignment="1">
      <alignment horizontal="center" vertical="center"/>
    </xf>
    <xf numFmtId="173" fontId="22" fillId="0" borderId="0" xfId="22" applyFont="1" applyFill="1">
      <alignment vertical="center"/>
    </xf>
    <xf numFmtId="183" fontId="22" fillId="4" borderId="3" xfId="15" applyNumberFormat="1" applyFont="1">
      <alignment vertical="center"/>
      <protection locked="0"/>
    </xf>
    <xf numFmtId="183" fontId="22" fillId="4" borderId="3" xfId="15" applyNumberFormat="1" applyFont="1" applyFill="1">
      <alignment vertical="center"/>
      <protection locked="0"/>
    </xf>
    <xf numFmtId="170" fontId="22" fillId="4" borderId="3" xfId="12" applyNumberFormat="1" applyFont="1" applyFill="1">
      <alignment vertical="center"/>
      <protection locked="0"/>
    </xf>
    <xf numFmtId="170" fontId="20" fillId="4" borderId="3" xfId="12" applyNumberFormat="1" applyFont="1">
      <alignment vertical="center"/>
      <protection locked="0"/>
    </xf>
    <xf numFmtId="0" fontId="10" fillId="0" borderId="0" xfId="19" applyNumberFormat="1" applyFont="1" applyAlignment="1">
      <alignment horizontal="center" vertical="center"/>
    </xf>
    <xf numFmtId="175" fontId="12" fillId="0" borderId="10" xfId="19" applyNumberFormat="1" applyFont="1" applyBorder="1">
      <alignment vertical="center"/>
    </xf>
    <xf numFmtId="175" fontId="10" fillId="0" borderId="0" xfId="19" applyNumberFormat="1" applyFont="1" applyAlignment="1">
      <alignment horizontal="center" vertical="center"/>
    </xf>
    <xf numFmtId="0" fontId="22" fillId="0" borderId="0" xfId="16" applyFont="1" applyAlignment="1">
      <alignment horizontal="center" vertical="center"/>
      <protection locked="0"/>
    </xf>
    <xf numFmtId="166" fontId="0" fillId="0" borderId="0" xfId="0" applyNumberFormat="1" applyFill="1">
      <alignment vertical="center"/>
    </xf>
    <xf numFmtId="0" fontId="10" fillId="0" borderId="0" xfId="19" applyNumberFormat="1" applyFont="1" applyFill="1" applyAlignment="1">
      <alignment horizontal="center" vertical="center"/>
    </xf>
    <xf numFmtId="175" fontId="0" fillId="0" borderId="0" xfId="0" applyNumberFormat="1" applyFill="1">
      <alignment vertical="center"/>
    </xf>
    <xf numFmtId="175" fontId="0" fillId="0" borderId="0" xfId="0" applyNumberFormat="1">
      <alignment vertical="center"/>
    </xf>
    <xf numFmtId="175" fontId="0" fillId="0" borderId="0" xfId="0" applyNumberFormat="1" applyFill="1" applyAlignment="1">
      <alignment horizontal="center" vertical="center"/>
    </xf>
    <xf numFmtId="175" fontId="0" fillId="0" borderId="0" xfId="0" applyNumberFormat="1" applyAlignment="1">
      <alignment horizontal="center" vertical="center"/>
    </xf>
    <xf numFmtId="0" fontId="8" fillId="0" borderId="10" xfId="39" applyBorder="1" applyAlignment="1">
      <alignment horizontal="center" vertical="center" wrapText="1"/>
    </xf>
    <xf numFmtId="0" fontId="8" fillId="0" borderId="10" xfId="39" applyFill="1" applyBorder="1" applyAlignment="1">
      <alignment horizontal="center" vertical="center" wrapText="1"/>
    </xf>
    <xf numFmtId="175" fontId="0" fillId="0" borderId="0" xfId="0" applyNumberFormat="1" applyFill="1" applyBorder="1" applyAlignment="1">
      <alignment horizontal="center" vertical="center"/>
    </xf>
    <xf numFmtId="175" fontId="0" fillId="0" borderId="0" xfId="0" applyNumberFormat="1" applyBorder="1" applyAlignment="1">
      <alignment horizontal="center" vertical="center"/>
    </xf>
    <xf numFmtId="0" fontId="9" fillId="0" borderId="0" xfId="7" applyFont="1">
      <alignment vertical="center"/>
    </xf>
    <xf numFmtId="0" fontId="0" fillId="0" borderId="9" xfId="0" applyFill="1" applyBorder="1">
      <alignment vertical="center"/>
    </xf>
    <xf numFmtId="0" fontId="0" fillId="0" borderId="9" xfId="0" applyBorder="1">
      <alignment vertical="center"/>
    </xf>
    <xf numFmtId="180" fontId="22" fillId="4" borderId="11" xfId="13" applyNumberFormat="1" applyFont="1" applyFill="1" applyBorder="1" applyAlignment="1">
      <alignment horizontal="center" vertical="center"/>
      <protection locked="0"/>
    </xf>
    <xf numFmtId="180" fontId="22" fillId="4" borderId="11" xfId="13" applyNumberFormat="1" applyFont="1" applyBorder="1" applyAlignment="1">
      <alignment horizontal="center" vertical="center"/>
      <protection locked="0"/>
    </xf>
    <xf numFmtId="175" fontId="22" fillId="4" borderId="3" xfId="12" applyNumberFormat="1" applyFont="1">
      <alignment vertical="center"/>
      <protection locked="0"/>
    </xf>
    <xf numFmtId="0" fontId="28" fillId="8" borderId="0" xfId="0" applyFont="1" applyFill="1">
      <alignment vertical="center"/>
    </xf>
    <xf numFmtId="0" fontId="28" fillId="8" borderId="0" xfId="0" applyFont="1" applyFill="1" applyAlignment="1">
      <alignment horizontal="center" vertical="center"/>
    </xf>
    <xf numFmtId="0" fontId="29" fillId="8" borderId="0" xfId="7" applyFont="1" applyFill="1" applyAlignment="1">
      <alignment horizontal="center" vertical="center"/>
    </xf>
    <xf numFmtId="0" fontId="28" fillId="8" borderId="14" xfId="0" applyFont="1" applyFill="1" applyBorder="1">
      <alignment vertical="center"/>
    </xf>
    <xf numFmtId="0" fontId="28" fillId="8" borderId="14" xfId="0" applyFont="1" applyFill="1" applyBorder="1" applyAlignment="1">
      <alignment horizontal="center" vertical="center"/>
    </xf>
    <xf numFmtId="175" fontId="22" fillId="4" borderId="3" xfId="12" applyNumberFormat="1" applyFont="1" applyFill="1">
      <alignment vertical="center"/>
      <protection locked="0"/>
    </xf>
    <xf numFmtId="175" fontId="10" fillId="4" borderId="3" xfId="12" applyNumberFormat="1" applyFont="1" applyFill="1">
      <alignment vertical="center"/>
      <protection locked="0"/>
    </xf>
    <xf numFmtId="175" fontId="10" fillId="4" borderId="3" xfId="12" applyNumberFormat="1" applyFont="1">
      <alignment vertical="center"/>
      <protection locked="0"/>
    </xf>
    <xf numFmtId="175" fontId="12" fillId="0" borderId="0" xfId="19" applyNumberFormat="1" applyFont="1" applyFill="1">
      <alignment vertical="center"/>
    </xf>
    <xf numFmtId="170" fontId="12" fillId="0" borderId="0" xfId="19" applyFont="1" applyFill="1">
      <alignment vertical="center"/>
    </xf>
    <xf numFmtId="0" fontId="9" fillId="0" borderId="0" xfId="7" applyFont="1">
      <alignment vertical="center"/>
    </xf>
    <xf numFmtId="0" fontId="8" fillId="0" borderId="12" xfId="39" applyBorder="1">
      <alignment vertical="center"/>
    </xf>
    <xf numFmtId="0" fontId="9" fillId="0" borderId="0" xfId="7" applyFont="1">
      <alignment vertical="center"/>
    </xf>
    <xf numFmtId="170" fontId="10" fillId="4" borderId="3" xfId="12" applyFont="1">
      <alignment vertical="center"/>
      <protection locked="0"/>
    </xf>
    <xf numFmtId="170" fontId="22" fillId="4" borderId="3" xfId="12" applyFont="1">
      <alignment vertical="center"/>
      <protection locked="0"/>
    </xf>
    <xf numFmtId="170" fontId="20" fillId="4" borderId="3" xfId="12" applyFont="1">
      <alignment vertical="center"/>
      <protection locked="0"/>
    </xf>
    <xf numFmtId="184" fontId="22" fillId="4" borderId="3" xfId="12" applyNumberFormat="1" applyFont="1">
      <alignment vertical="center"/>
      <protection locked="0"/>
    </xf>
    <xf numFmtId="0" fontId="26" fillId="0" borderId="0" xfId="16" applyFont="1">
      <alignment horizontal="center" vertical="center"/>
      <protection locked="0"/>
    </xf>
    <xf numFmtId="0" fontId="22" fillId="4" borderId="3" xfId="9" applyFont="1" applyAlignment="1">
      <alignment horizontal="center" vertical="center"/>
      <protection locked="0"/>
    </xf>
    <xf numFmtId="0" fontId="9" fillId="0" borderId="0" xfId="7" applyFont="1">
      <alignment vertical="center"/>
    </xf>
    <xf numFmtId="169" fontId="22" fillId="0" borderId="0" xfId="18" applyFont="1" applyFill="1">
      <alignment vertical="center"/>
    </xf>
    <xf numFmtId="0" fontId="19" fillId="0" borderId="0" xfId="7" applyFont="1" applyFill="1" applyAlignment="1">
      <alignment horizontal="left" vertical="center"/>
    </xf>
    <xf numFmtId="170" fontId="20" fillId="0" borderId="0" xfId="19" applyFont="1" applyFill="1">
      <alignment vertical="center"/>
    </xf>
    <xf numFmtId="171" fontId="10" fillId="0" borderId="0" xfId="20" applyFont="1" applyFill="1">
      <alignment vertical="center"/>
    </xf>
    <xf numFmtId="171" fontId="22" fillId="4" borderId="3" xfId="13" applyFont="1" applyFill="1">
      <alignment vertical="center"/>
      <protection locked="0"/>
    </xf>
    <xf numFmtId="0" fontId="9" fillId="0" borderId="0" xfId="7" applyFont="1">
      <alignment vertical="center"/>
    </xf>
    <xf numFmtId="175" fontId="12" fillId="0" borderId="10" xfId="19" applyNumberFormat="1" applyFont="1" applyFill="1" applyBorder="1">
      <alignment vertical="center"/>
    </xf>
    <xf numFmtId="0" fontId="13" fillId="0" borderId="0" xfId="27">
      <alignment vertical="center"/>
    </xf>
    <xf numFmtId="0" fontId="9" fillId="0" borderId="0" xfId="7" applyFont="1">
      <alignment vertical="center"/>
    </xf>
    <xf numFmtId="183" fontId="22" fillId="4" borderId="3" xfId="15" applyNumberFormat="1" applyFont="1" applyProtection="1">
      <alignment vertical="center"/>
      <protection locked="0"/>
    </xf>
    <xf numFmtId="183" fontId="22" fillId="4" borderId="3" xfId="15" applyNumberFormat="1" applyFont="1" applyFill="1" applyProtection="1">
      <alignment vertical="center"/>
      <protection locked="0"/>
    </xf>
    <xf numFmtId="171" fontId="10" fillId="0" borderId="0" xfId="20" applyFont="1">
      <alignment vertical="center"/>
    </xf>
    <xf numFmtId="180" fontId="20" fillId="4" borderId="3" xfId="13" applyNumberFormat="1" applyFont="1" applyAlignment="1">
      <alignment horizontal="center" vertical="center"/>
      <protection locked="0"/>
    </xf>
    <xf numFmtId="180" fontId="10" fillId="4" borderId="3" xfId="13" applyNumberFormat="1" applyFont="1" applyAlignment="1">
      <alignment horizontal="center" vertical="center"/>
      <protection locked="0"/>
    </xf>
    <xf numFmtId="180" fontId="22" fillId="4" borderId="3" xfId="13" applyNumberFormat="1" applyFont="1" applyAlignment="1" applyProtection="1">
      <alignment horizontal="center" vertical="center"/>
      <protection locked="0"/>
    </xf>
    <xf numFmtId="170" fontId="20" fillId="0" borderId="0" xfId="19" applyFont="1">
      <alignment vertical="center"/>
    </xf>
    <xf numFmtId="175" fontId="22" fillId="4" borderId="3" xfId="12" applyNumberFormat="1" applyFont="1" applyProtection="1">
      <alignment vertical="center"/>
      <protection locked="0"/>
    </xf>
    <xf numFmtId="175" fontId="10" fillId="4" borderId="3" xfId="12" applyNumberFormat="1" applyFont="1" applyProtection="1">
      <alignment vertical="center"/>
      <protection locked="0"/>
    </xf>
    <xf numFmtId="178" fontId="10" fillId="4" borderId="3" xfId="13" applyNumberFormat="1" applyFont="1" applyFill="1">
      <alignment vertical="center"/>
      <protection locked="0"/>
    </xf>
    <xf numFmtId="171" fontId="10" fillId="0" borderId="0" xfId="43" applyFill="1">
      <alignment vertical="center"/>
    </xf>
    <xf numFmtId="178" fontId="22" fillId="0" borderId="0" xfId="20" applyNumberFormat="1" applyFont="1" applyFill="1">
      <alignment vertical="center"/>
    </xf>
    <xf numFmtId="0" fontId="10" fillId="4" borderId="3" xfId="9" applyFill="1" applyAlignment="1">
      <alignment horizontal="center" vertical="center"/>
      <protection locked="0"/>
    </xf>
    <xf numFmtId="0" fontId="7" fillId="0" borderId="0" xfId="6" applyFont="1" applyFill="1">
      <alignment vertical="center"/>
    </xf>
    <xf numFmtId="0" fontId="9" fillId="0" borderId="0" xfId="7" applyFont="1" applyFill="1">
      <alignment vertical="center"/>
    </xf>
    <xf numFmtId="183" fontId="22" fillId="4" borderId="3" xfId="12" applyNumberFormat="1" applyFont="1" applyProtection="1">
      <alignment vertical="center"/>
      <protection locked="0"/>
    </xf>
    <xf numFmtId="169" fontId="10" fillId="0" borderId="0" xfId="18" applyFont="1" applyFill="1" applyAlignment="1">
      <alignment horizontal="center" vertical="center"/>
    </xf>
    <xf numFmtId="0" fontId="28" fillId="40" borderId="0" xfId="23" applyFont="1" applyFill="1" applyBorder="1">
      <alignment vertical="center"/>
    </xf>
    <xf numFmtId="0" fontId="11" fillId="40" borderId="0" xfId="23" applyFill="1" applyBorder="1">
      <alignment vertical="center"/>
    </xf>
    <xf numFmtId="179" fontId="28" fillId="40" borderId="0" xfId="23" applyNumberFormat="1" applyFont="1" applyFill="1" applyBorder="1" applyAlignment="1">
      <alignment horizontal="center" vertical="center"/>
    </xf>
    <xf numFmtId="175" fontId="20" fillId="0" borderId="0" xfId="19" applyNumberFormat="1" applyFont="1" applyFill="1">
      <alignment vertical="center"/>
    </xf>
    <xf numFmtId="0" fontId="19" fillId="0" borderId="0" xfId="40" applyFont="1" applyFill="1">
      <alignment vertical="center"/>
    </xf>
    <xf numFmtId="0" fontId="10" fillId="4" borderId="3" xfId="9" applyFill="1" applyAlignment="1">
      <alignment horizontal="center" vertical="center"/>
      <protection locked="0"/>
    </xf>
    <xf numFmtId="0" fontId="7" fillId="0" borderId="0" xfId="6" applyFont="1" applyFill="1">
      <alignment vertical="center"/>
    </xf>
    <xf numFmtId="0" fontId="9" fillId="0" borderId="0" xfId="7" applyFont="1" applyFill="1">
      <alignment vertical="center"/>
    </xf>
    <xf numFmtId="0" fontId="22" fillId="4" borderId="3" xfId="9" applyFont="1" applyFill="1">
      <alignment vertical="center"/>
      <protection locked="0"/>
    </xf>
    <xf numFmtId="169" fontId="10" fillId="0" borderId="0" xfId="18" applyFont="1" applyFill="1" applyAlignment="1">
      <alignment horizontal="center" vertical="center"/>
    </xf>
    <xf numFmtId="0" fontId="9" fillId="0" borderId="0" xfId="7" applyFont="1" applyFill="1">
      <alignment vertical="center"/>
    </xf>
    <xf numFmtId="0" fontId="9" fillId="0" borderId="0" xfId="7" applyFont="1">
      <alignment vertical="center"/>
    </xf>
    <xf numFmtId="0" fontId="8" fillId="0" borderId="12" xfId="39" applyBorder="1">
      <alignment vertical="center"/>
    </xf>
    <xf numFmtId="175" fontId="12" fillId="0" borderId="12" xfId="42" applyNumberFormat="1" applyFont="1" applyBorder="1">
      <alignment vertical="center"/>
    </xf>
    <xf numFmtId="170" fontId="10" fillId="4" borderId="3" xfId="12">
      <alignment vertical="center"/>
      <protection locked="0"/>
    </xf>
    <xf numFmtId="175" fontId="12" fillId="0" borderId="0" xfId="19" applyNumberFormat="1" applyFont="1">
      <alignment vertical="center"/>
    </xf>
    <xf numFmtId="183" fontId="22" fillId="42" borderId="3" xfId="15" applyNumberFormat="1" applyFont="1" applyFill="1" applyProtection="1">
      <alignment vertical="center"/>
      <protection locked="0"/>
    </xf>
    <xf numFmtId="183" fontId="22" fillId="42" borderId="3" xfId="15" applyNumberFormat="1" applyFont="1" applyFill="1">
      <alignment vertical="center"/>
      <protection locked="0"/>
    </xf>
    <xf numFmtId="170" fontId="22" fillId="42" borderId="3" xfId="12" applyFont="1" applyFill="1">
      <alignment vertical="center"/>
      <protection locked="0"/>
    </xf>
    <xf numFmtId="170" fontId="10" fillId="42" borderId="3" xfId="12" applyFill="1">
      <alignment vertical="center"/>
      <protection locked="0"/>
    </xf>
    <xf numFmtId="170" fontId="20" fillId="42" borderId="3" xfId="12" applyFont="1" applyFill="1">
      <alignment vertical="center"/>
      <protection locked="0"/>
    </xf>
    <xf numFmtId="183" fontId="20" fillId="42" borderId="3" xfId="15" applyNumberFormat="1" applyFont="1" applyFill="1">
      <alignment vertical="center"/>
      <protection locked="0"/>
    </xf>
    <xf numFmtId="183" fontId="22" fillId="42" borderId="3" xfId="12" applyNumberFormat="1" applyFont="1" applyFill="1" applyProtection="1">
      <alignment vertical="center"/>
      <protection locked="0"/>
    </xf>
    <xf numFmtId="183" fontId="10" fillId="42" borderId="3" xfId="15" applyNumberFormat="1" applyFont="1" applyFill="1">
      <alignment vertical="center"/>
      <protection locked="0"/>
    </xf>
    <xf numFmtId="183" fontId="10" fillId="42" borderId="3" xfId="15" applyNumberFormat="1" applyFont="1" applyFill="1" applyProtection="1">
      <alignment vertical="center"/>
      <protection locked="0"/>
    </xf>
    <xf numFmtId="0" fontId="16" fillId="0" borderId="0" xfId="33">
      <alignment vertical="center"/>
    </xf>
    <xf numFmtId="0" fontId="16" fillId="0" borderId="0" xfId="32">
      <alignment vertical="center"/>
    </xf>
    <xf numFmtId="0" fontId="15" fillId="0" borderId="0" xfId="30">
      <alignment vertical="center"/>
    </xf>
    <xf numFmtId="0" fontId="13" fillId="0" borderId="0" xfId="31">
      <alignment vertical="center"/>
    </xf>
    <xf numFmtId="0" fontId="13" fillId="0" borderId="0" xfId="27">
      <alignment vertical="center"/>
    </xf>
    <xf numFmtId="0" fontId="22" fillId="4" borderId="3" xfId="9" applyFont="1" applyFill="1" applyAlignment="1">
      <alignment horizontal="center" vertical="center"/>
      <protection locked="0"/>
    </xf>
    <xf numFmtId="0" fontId="27" fillId="0" borderId="4" xfId="24" applyFont="1" applyFill="1">
      <alignment horizontal="center" vertical="center"/>
    </xf>
    <xf numFmtId="0" fontId="22" fillId="4" borderId="3" xfId="9" applyFont="1" applyFill="1">
      <alignment vertical="center"/>
      <protection locked="0"/>
    </xf>
    <xf numFmtId="0" fontId="19" fillId="0" borderId="0" xfId="7" applyFont="1" applyFill="1" applyAlignment="1">
      <alignment horizontal="center" vertical="center"/>
    </xf>
    <xf numFmtId="168" fontId="22" fillId="4" borderId="3" xfId="10" applyFont="1" applyFill="1" applyAlignment="1">
      <alignment horizontal="center" vertical="center"/>
      <protection locked="0"/>
    </xf>
    <xf numFmtId="175" fontId="22" fillId="4" borderId="3" xfId="12" applyNumberFormat="1" applyFont="1" applyFill="1" applyAlignment="1">
      <alignment horizontal="center" vertical="center"/>
      <protection locked="0"/>
    </xf>
    <xf numFmtId="169" fontId="10" fillId="0" borderId="8" xfId="18" applyFont="1" applyFill="1" applyBorder="1" applyAlignment="1">
      <alignment horizontal="center" vertical="center"/>
    </xf>
    <xf numFmtId="169" fontId="10" fillId="0" borderId="0" xfId="18" applyFont="1" applyFill="1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10" fillId="4" borderId="3" xfId="9" applyFill="1" applyAlignment="1">
      <alignment horizontal="center" vertical="center"/>
      <protection locked="0"/>
    </xf>
    <xf numFmtId="169" fontId="10" fillId="0" borderId="9" xfId="18" applyFont="1" applyFill="1" applyBorder="1" applyAlignment="1">
      <alignment horizontal="center" vertical="center"/>
    </xf>
    <xf numFmtId="175" fontId="10" fillId="4" borderId="3" xfId="12" applyNumberFormat="1" applyFill="1" applyAlignment="1">
      <alignment horizontal="center" vertical="center"/>
      <protection locked="0"/>
    </xf>
    <xf numFmtId="169" fontId="0" fillId="0" borderId="0" xfId="0" applyNumberFormat="1" applyFill="1" applyAlignment="1">
      <alignment horizontal="center" vertical="center"/>
    </xf>
    <xf numFmtId="175" fontId="10" fillId="0" borderId="0" xfId="19" applyNumberFormat="1" applyFont="1" applyFill="1" applyAlignment="1">
      <alignment horizontal="center" vertical="center"/>
    </xf>
    <xf numFmtId="168" fontId="22" fillId="4" borderId="3" xfId="10" applyFont="1" applyAlignment="1">
      <alignment horizontal="center" vertical="center"/>
      <protection locked="0"/>
    </xf>
    <xf numFmtId="0" fontId="7" fillId="0" borderId="0" xfId="6" applyFont="1" applyFill="1">
      <alignment vertical="center"/>
    </xf>
    <xf numFmtId="0" fontId="22" fillId="4" borderId="3" xfId="9" applyFont="1">
      <alignment vertical="center"/>
      <protection locked="0"/>
    </xf>
    <xf numFmtId="0" fontId="8" fillId="0" borderId="1" xfId="39" applyBorder="1" applyAlignment="1">
      <alignment horizontal="center" vertical="center"/>
    </xf>
    <xf numFmtId="0" fontId="8" fillId="0" borderId="1" xfId="39" applyFill="1" applyBorder="1" applyAlignment="1">
      <alignment horizontal="center" vertical="center"/>
    </xf>
    <xf numFmtId="0" fontId="12" fillId="0" borderId="1" xfId="0" applyFont="1" applyFill="1" applyBorder="1" applyAlignment="1">
      <alignment horizontal="center" vertical="center"/>
    </xf>
    <xf numFmtId="0" fontId="12" fillId="0" borderId="1" xfId="0" applyFont="1" applyBorder="1" applyAlignment="1">
      <alignment horizontal="center" vertical="center"/>
    </xf>
    <xf numFmtId="0" fontId="22" fillId="4" borderId="3" xfId="9" applyFont="1" applyProtection="1">
      <alignment vertical="center"/>
      <protection locked="0"/>
    </xf>
    <xf numFmtId="0" fontId="9" fillId="0" borderId="0" xfId="7" applyFont="1">
      <alignment vertical="center"/>
    </xf>
    <xf numFmtId="0" fontId="9" fillId="0" borderId="15" xfId="7" applyFont="1" applyBorder="1">
      <alignment vertical="center"/>
    </xf>
    <xf numFmtId="0" fontId="8" fillId="0" borderId="12" xfId="39" applyBorder="1">
      <alignment vertical="center"/>
    </xf>
    <xf numFmtId="0" fontId="8" fillId="0" borderId="12" xfId="39" applyFill="1" applyBorder="1">
      <alignment vertical="center"/>
    </xf>
    <xf numFmtId="0" fontId="9" fillId="0" borderId="0" xfId="7" applyFont="1" applyFill="1">
      <alignment vertical="center"/>
    </xf>
    <xf numFmtId="0" fontId="9" fillId="0" borderId="15" xfId="7" applyFont="1" applyFill="1" applyBorder="1">
      <alignment vertical="center"/>
    </xf>
    <xf numFmtId="0" fontId="28" fillId="42" borderId="0" xfId="0" applyFont="1" applyFill="1" applyAlignment="1">
      <alignment horizontal="center" vertical="center"/>
    </xf>
    <xf numFmtId="0" fontId="9" fillId="0" borderId="0" xfId="7" applyFont="1" applyFill="1" applyAlignment="1">
      <alignment horizontal="left" vertical="center"/>
    </xf>
    <xf numFmtId="0" fontId="8" fillId="0" borderId="12" xfId="39" applyFill="1" applyBorder="1" applyAlignment="1">
      <alignment horizontal="left" vertical="center"/>
    </xf>
    <xf numFmtId="0" fontId="7" fillId="3" borderId="2" xfId="5">
      <alignment vertical="center"/>
    </xf>
  </cellXfs>
  <cellStyles count="1095">
    <cellStyle name=" 1" xfId="236" xr:uid="{92202E3A-BED4-4988-A7EA-95D2955A3746}"/>
    <cellStyle name=" 1 2" xfId="237" xr:uid="{A6420278-ED72-41C1-A8E1-2A3158C65F63}"/>
    <cellStyle name=" 1 2 2" xfId="238" xr:uid="{51A9C77B-5AA4-4303-9FB0-B06A3DB8DF7A}"/>
    <cellStyle name=" 1 2 3" xfId="239" xr:uid="{34873252-0510-47EB-8D7E-246609B441F7}"/>
    <cellStyle name=" 1 3" xfId="240" xr:uid="{2338C948-D55F-4AB3-99EE-5423D18AC0D0}"/>
    <cellStyle name=" 1 3 2" xfId="241" xr:uid="{910ACFF5-B673-4BB7-9CEA-4A0B0EAB2408}"/>
    <cellStyle name=" 1 4" xfId="242" xr:uid="{7F7D8E69-C720-467D-B879-77CFA8BF0CBD}"/>
    <cellStyle name=" 1_29(d) - Gas extensions -tariffs" xfId="243" xr:uid="{CE48C6F7-D99C-4155-B418-67CCF226D06A}"/>
    <cellStyle name="_3GIS model v2.77_Distribution Business_Retail Fin Perform " xfId="244" xr:uid="{6F078DAD-6F4D-42DE-90B2-C924FAB77B1E}"/>
    <cellStyle name="_3GIS model v2.77_Fleet Overhead Costs 2_Retail Fin Perform " xfId="245" xr:uid="{DDF5C170-67E4-4F29-AB66-8076356EACCF}"/>
    <cellStyle name="_3GIS model v2.77_Fleet Overhead Costs_Retail Fin Perform " xfId="246" xr:uid="{75E34F8B-5C45-4D94-8494-E27EF1C1972A}"/>
    <cellStyle name="_3GIS model v2.77_Forecast 2_Retail Fin Perform " xfId="247" xr:uid="{88BDF102-B992-4F58-A1F3-34A73EC9A00D}"/>
    <cellStyle name="_3GIS model v2.77_Forecast_Retail Fin Perform " xfId="248" xr:uid="{551F7AE9-950D-465A-9AB8-7CC192AE318F}"/>
    <cellStyle name="_3GIS model v2.77_Funding &amp; Cashflow_1_Retail Fin Perform " xfId="249" xr:uid="{EBBC2F08-BAE8-478A-907D-22BED6762A19}"/>
    <cellStyle name="_3GIS model v2.77_Funding &amp; Cashflow_Retail Fin Perform " xfId="250" xr:uid="{077C9058-8BA0-4227-8578-5C9EAAE266FC}"/>
    <cellStyle name="_3GIS model v2.77_Group P&amp;L_1_Retail Fin Perform " xfId="251" xr:uid="{EBCE0256-E2B4-4684-B310-7839A02779E7}"/>
    <cellStyle name="_3GIS model v2.77_Group P&amp;L_Retail Fin Perform " xfId="252" xr:uid="{94F47058-6F56-4894-87DF-170C13970C7D}"/>
    <cellStyle name="_3GIS model v2.77_Opening  Detailed BS_Retail Fin Perform " xfId="253" xr:uid="{A314DD55-E3CE-4A0E-A2D2-2118987B7B80}"/>
    <cellStyle name="_3GIS model v2.77_OUTPUT DB_Retail Fin Perform " xfId="254" xr:uid="{82619CFA-06BA-4B9B-A46E-116A863A6FEF}"/>
    <cellStyle name="_3GIS model v2.77_OUTPUT EB_Retail Fin Perform " xfId="255" xr:uid="{C139EAB6-66A0-4E83-8144-0B02F96EC0C4}"/>
    <cellStyle name="_3GIS model v2.77_Report_Retail Fin Perform " xfId="256" xr:uid="{6C408F04-5FD6-45DB-A28D-BE767E0B6978}"/>
    <cellStyle name="_3GIS model v2.77_Retail Fin Perform " xfId="257" xr:uid="{A53B7AA3-B72F-4132-83AB-BA1054B251D9}"/>
    <cellStyle name="_3GIS model v2.77_Sheet2 2_Retail Fin Perform " xfId="258" xr:uid="{8B4DF73A-C173-48CB-9240-081E2485E546}"/>
    <cellStyle name="_3GIS model v2.77_Sheet2_Retail Fin Perform " xfId="259" xr:uid="{DC03E410-FEB2-4B1A-8F2C-84B94565A055}"/>
    <cellStyle name="_Capex" xfId="260" xr:uid="{D05F7594-8051-496F-997E-5112D1FA6F12}"/>
    <cellStyle name="_Capex 2" xfId="261" xr:uid="{CBE7D62B-A17A-4F20-A601-7164EDC24CDB}"/>
    <cellStyle name="_Capex_29(d) - Gas extensions -tariffs" xfId="262" xr:uid="{9EE3BF3A-F5D4-4803-9939-FA57509C5754}"/>
    <cellStyle name="_UED AMP 2009-14 Final 250309 Less PU" xfId="263" xr:uid="{88B38C10-F2E6-45C0-B212-E13922049C2A}"/>
    <cellStyle name="_UED AMP 2009-14 Final 250309 Less PU_1011 monthly" xfId="264" xr:uid="{B4061F26-7627-4F1B-A6C8-44D35DA61F69}"/>
    <cellStyle name="20% - Accent1" xfId="82" builtinId="30" customBuiltin="1"/>
    <cellStyle name="20% - Accent1 2" xfId="120" xr:uid="{F1030BEE-CE25-4CC8-83E3-63B9F656AEBC}"/>
    <cellStyle name="20% - Accent1 2 2" xfId="266" xr:uid="{2A0B8798-124D-456A-BF12-89956CCBE670}"/>
    <cellStyle name="20% - Accent1 2_Summary Forecast" xfId="265" xr:uid="{628EBA5A-7A68-4220-B984-3A500B429429}"/>
    <cellStyle name="20% - Accent1 3" xfId="267" xr:uid="{DA42E458-C163-4A88-BDAD-391AD89DF2FB}"/>
    <cellStyle name="20% - Accent2" xfId="86" builtinId="34" customBuiltin="1"/>
    <cellStyle name="20% - Accent2 2" xfId="121" xr:uid="{3A2D36F6-7D44-4C41-9770-B87F94C531F3}"/>
    <cellStyle name="20% - Accent3" xfId="90" builtinId="38" customBuiltin="1"/>
    <cellStyle name="20% - Accent3 2" xfId="122" xr:uid="{E69E6230-F4D2-4073-9249-5AB943C472C8}"/>
    <cellStyle name="20% - Accent4" xfId="94" builtinId="42" customBuiltin="1"/>
    <cellStyle name="20% - Accent4 2" xfId="123" xr:uid="{07AE7265-F47D-4DF0-A0CB-A6C0B01B8EEB}"/>
    <cellStyle name="20% - Accent5" xfId="98" builtinId="46" customBuiltin="1"/>
    <cellStyle name="20% - Accent5 2" xfId="124" xr:uid="{7A93B4B0-FDF2-48F9-8DDF-B23A52249627}"/>
    <cellStyle name="20% - Accent5 2 2" xfId="269" xr:uid="{D756AB1F-DCFE-442D-B7C8-DC3240C69F0D}"/>
    <cellStyle name="20% - Accent5 2_Summary Forecast" xfId="268" xr:uid="{7655028B-CF01-49A5-A000-8B22C2896D91}"/>
    <cellStyle name="20% - Accent6" xfId="102" builtinId="50" customBuiltin="1"/>
    <cellStyle name="20% - Accent6 2" xfId="125" xr:uid="{4C0894F3-162A-4C63-9413-76479E33BE9E}"/>
    <cellStyle name="40% - Accent1" xfId="83" builtinId="31" customBuiltin="1"/>
    <cellStyle name="40% - Accent1 2" xfId="126" xr:uid="{07978FD4-5D74-4218-852F-46E6CE4DA879}"/>
    <cellStyle name="40% - Accent1 2 2" xfId="271" xr:uid="{1FC598BE-55A0-4ADB-AF6C-219EF8B20C05}"/>
    <cellStyle name="40% - Accent1 2_Summary Forecast" xfId="270" xr:uid="{D472CE13-59D9-4030-8106-17334FE634EC}"/>
    <cellStyle name="40% - Accent1 3" xfId="272" xr:uid="{02997A16-CC84-408C-A416-6370C7E8AE31}"/>
    <cellStyle name="40% - Accent2" xfId="87" builtinId="35" customBuiltin="1"/>
    <cellStyle name="40% - Accent2 2" xfId="127" xr:uid="{5DB311C3-3423-4BA9-A224-4A2EB3BCE478}"/>
    <cellStyle name="40% - Accent3" xfId="91" builtinId="39" customBuiltin="1"/>
    <cellStyle name="40% - Accent3 2" xfId="128" xr:uid="{1F887118-7BB3-4AFF-BC9E-E3BCF24D899A}"/>
    <cellStyle name="40% - Accent4" xfId="95" builtinId="43" customBuiltin="1"/>
    <cellStyle name="40% - Accent4 2" xfId="129" xr:uid="{C1FAEC02-6F4B-486F-9FC1-399184B54443}"/>
    <cellStyle name="40% - Accent5" xfId="99" builtinId="47" customBuiltin="1"/>
    <cellStyle name="40% - Accent5 2" xfId="130" xr:uid="{C2297F99-2D9A-4854-A2FB-06E4A6D9A012}"/>
    <cellStyle name="40% - Accent5 2 2" xfId="274" xr:uid="{EB575325-A9B7-455C-AC9C-3477ECA84A6A}"/>
    <cellStyle name="40% - Accent5 2_Summary Forecast" xfId="273" xr:uid="{1AA7EA01-F9D4-4FF6-A77D-E36D251355EF}"/>
    <cellStyle name="40% - Accent6" xfId="103" builtinId="51" customBuiltin="1"/>
    <cellStyle name="40% - Accent6 2" xfId="131" xr:uid="{F4F8C339-854D-4934-9C3D-559D86C2C645}"/>
    <cellStyle name="60% - Accent1" xfId="84" builtinId="32" customBuiltin="1"/>
    <cellStyle name="60% - Accent1 2" xfId="275" xr:uid="{56CB3E57-5E73-4A5F-8D40-815268612876}"/>
    <cellStyle name="60% - Accent1 2 2" xfId="276" xr:uid="{8D187825-187D-45FF-9CB8-3C88815486ED}"/>
    <cellStyle name="60% - Accent2" xfId="88" builtinId="36" customBuiltin="1"/>
    <cellStyle name="60% - Accent2 2" xfId="277" xr:uid="{311C623B-0B03-422D-A35B-235581A6AA38}"/>
    <cellStyle name="60% - Accent3" xfId="92" builtinId="40" customBuiltin="1"/>
    <cellStyle name="60% - Accent3 2" xfId="278" xr:uid="{7595105D-018F-4B06-8479-7A63A1D364A5}"/>
    <cellStyle name="60% - Accent4" xfId="96" builtinId="44" customBuiltin="1"/>
    <cellStyle name="60% - Accent4 2" xfId="279" xr:uid="{C7EA2F3F-B125-4AD6-B7C4-8CBD2ABDCD7D}"/>
    <cellStyle name="60% - Accent5" xfId="100" builtinId="48" customBuiltin="1"/>
    <cellStyle name="60% - Accent5 2" xfId="280" xr:uid="{F1AD2DEF-B40B-4AC7-B500-BD0C30A73D56}"/>
    <cellStyle name="60% - Accent5 2 2" xfId="281" xr:uid="{E39A0969-FFCF-4EA5-8013-341B803A0438}"/>
    <cellStyle name="60% - Accent6" xfId="104" builtinId="52" customBuiltin="1"/>
    <cellStyle name="60% - Accent6 2" xfId="282" xr:uid="{B2BCBCC1-E098-4F0D-8F07-8F944DC2AA34}"/>
    <cellStyle name="Accent1" xfId="81" builtinId="29" customBuiltin="1"/>
    <cellStyle name="Accent1 - 20%" xfId="283" xr:uid="{EEF879A6-8847-469F-958E-9A06B3AA2C51}"/>
    <cellStyle name="Accent1 - 40%" xfId="284" xr:uid="{A4D81AE4-CC86-45FA-8BA1-7B54272F44D8}"/>
    <cellStyle name="Accent1 - 60%" xfId="285" xr:uid="{D8311A7F-60E2-4CEF-8236-D444BD36BEA3}"/>
    <cellStyle name="Accent1 2" xfId="286" xr:uid="{F26F9ED3-A14A-4529-9684-F2C97B78D144}"/>
    <cellStyle name="Accent1 3" xfId="287" xr:uid="{9A244537-DC93-466E-B1AC-97CDD8C20A5E}"/>
    <cellStyle name="Accent1 4" xfId="288" xr:uid="{BCBB062D-F4C7-4713-B97C-F697A18E658A}"/>
    <cellStyle name="Accent1 5" xfId="289" xr:uid="{3DF84BDF-1DD2-4A3A-9830-774FF141ECC8}"/>
    <cellStyle name="Accent2" xfId="85" builtinId="33" customBuiltin="1"/>
    <cellStyle name="Accent2 - 20%" xfId="290" xr:uid="{060D1807-CF6E-443F-A981-CDFE79E5DB05}"/>
    <cellStyle name="Accent2 - 40%" xfId="291" xr:uid="{E01EFA97-EFFE-4625-8D08-D43BBE6A9B53}"/>
    <cellStyle name="Accent2 - 60%" xfId="292" xr:uid="{7E76733D-FB79-42F0-A308-9446899720E4}"/>
    <cellStyle name="Accent2 2" xfId="293" xr:uid="{DCB95AA5-12EA-42F0-8560-F57353E89C93}"/>
    <cellStyle name="Accent2 3" xfId="294" xr:uid="{278AFE88-9273-43D8-B8BB-E1A0455C861E}"/>
    <cellStyle name="Accent2 4" xfId="295" xr:uid="{913ADB92-E136-42D7-BBCB-7FA34541BA60}"/>
    <cellStyle name="Accent2 5" xfId="296" xr:uid="{888A3A03-D794-4D50-9C37-AE29A14AE8BE}"/>
    <cellStyle name="Accent3" xfId="89" builtinId="37" customBuiltin="1"/>
    <cellStyle name="Accent3 - 20%" xfId="297" xr:uid="{52AF4718-27DF-4849-B857-D604F209E052}"/>
    <cellStyle name="Accent3 - 40%" xfId="298" xr:uid="{3E300658-B31D-4644-BDE5-678CE6365AA4}"/>
    <cellStyle name="Accent3 - 60%" xfId="299" xr:uid="{4C0F147C-4170-49D7-B424-726BCCE88334}"/>
    <cellStyle name="Accent3 2" xfId="300" xr:uid="{E6363901-70AB-4204-B012-FF098600B722}"/>
    <cellStyle name="Accent3 3" xfId="301" xr:uid="{92857066-BDA6-4F8B-95FD-53D06645F436}"/>
    <cellStyle name="Accent3 4" xfId="302" xr:uid="{777F8A8C-96D6-4FB2-9B4C-3187D6624AB6}"/>
    <cellStyle name="Accent3 5" xfId="303" xr:uid="{6D959AD6-2E9C-4757-9F3B-12308B8BF5E0}"/>
    <cellStyle name="Accent4" xfId="93" builtinId="41" customBuiltin="1"/>
    <cellStyle name="Accent4 - 20%" xfId="304" xr:uid="{371DCD61-C9A9-4587-857C-F5EC0150B975}"/>
    <cellStyle name="Accent4 - 40%" xfId="305" xr:uid="{E05A8615-2CC2-481C-BA2B-EE7E78C196E8}"/>
    <cellStyle name="Accent4 - 60%" xfId="306" xr:uid="{7DFF8BCB-4818-4A92-9B1F-2EC2D891C9D2}"/>
    <cellStyle name="Accent4 2" xfId="307" xr:uid="{23E7111B-21AC-4D7F-8E3D-87FE29121652}"/>
    <cellStyle name="Accent4 3" xfId="308" xr:uid="{E6BC570B-8C8C-4D29-9EBB-D7FE59A4BCDA}"/>
    <cellStyle name="Accent4 4" xfId="309" xr:uid="{A62D475E-9FE0-4AE5-A792-A0A0FBA8C838}"/>
    <cellStyle name="Accent4 5" xfId="310" xr:uid="{E3400255-D26D-4E1C-91A2-9B4696C92085}"/>
    <cellStyle name="Accent5" xfId="97" builtinId="45" customBuiltin="1"/>
    <cellStyle name="Accent5 - 20%" xfId="311" xr:uid="{9874D2FA-FBE9-459B-98AE-08FB3A353C13}"/>
    <cellStyle name="Accent5 - 40%" xfId="312" xr:uid="{B57F33A4-5687-4FB0-BA9E-3CBF45688D5A}"/>
    <cellStyle name="Accent5 - 60%" xfId="313" xr:uid="{A6E4F034-0459-41DA-A2B0-0E295EBA3D06}"/>
    <cellStyle name="Accent5 2" xfId="314" xr:uid="{1746390C-4B4B-4327-BCF7-717D11A1E758}"/>
    <cellStyle name="Accent5 3" xfId="315" xr:uid="{451631C1-2F51-4B84-B03C-FB0C70FE3CBE}"/>
    <cellStyle name="Accent5 4" xfId="316" xr:uid="{DC77CCF9-DDA3-4EC0-B73A-17116606905F}"/>
    <cellStyle name="Accent5 5" xfId="317" xr:uid="{D8413957-0666-4D22-A70A-6A920014E1CD}"/>
    <cellStyle name="Accent6" xfId="101" builtinId="49" customBuiltin="1"/>
    <cellStyle name="Accent6 - 20%" xfId="318" xr:uid="{A10525CD-2CBB-4B85-8ECF-1EDBAD3773FC}"/>
    <cellStyle name="Accent6 - 40%" xfId="319" xr:uid="{63D28D98-1CA3-430F-B8A3-1CC7DFABB306}"/>
    <cellStyle name="Accent6 - 60%" xfId="320" xr:uid="{3FF6E488-D5C2-4ED9-93E1-45880D975C1B}"/>
    <cellStyle name="Accent6 2" xfId="321" xr:uid="{0C000DAC-D0CC-40AD-8450-6526CDBC2CA7}"/>
    <cellStyle name="Accent6 3" xfId="322" xr:uid="{3BC31A25-1CEB-49B3-9A91-3A7CE619B895}"/>
    <cellStyle name="Accent6 4" xfId="323" xr:uid="{1CCE3EE7-713E-4993-9D6A-6DD9BF08873D}"/>
    <cellStyle name="Accent6 5" xfId="324" xr:uid="{6BCB9ECA-C846-4193-B345-445CFEA02FE2}"/>
    <cellStyle name="Agara" xfId="325" xr:uid="{B19DCA28-4A8C-4C84-89A8-6BD74546082B}"/>
    <cellStyle name="Assumption Currency." xfId="15" xr:uid="{40956E69-9797-4967-B602-D547EDBFE1C3}"/>
    <cellStyle name="Assumption Date." xfId="11" xr:uid="{4BE57474-EFC5-437D-B305-60373EFF74E5}"/>
    <cellStyle name="Assumption Heading." xfId="9" xr:uid="{874F4DDB-9C84-4BDF-AFF3-9C41E03CABBD}"/>
    <cellStyle name="Assumption Multiple." xfId="14" xr:uid="{6F5A7342-7CFB-4B14-B103-893B9C82436C}"/>
    <cellStyle name="Assumption Number." xfId="12" xr:uid="{406E6C93-AD54-437B-83BB-30C894FC311A}"/>
    <cellStyle name="Assumption Percentage." xfId="13" xr:uid="{C8BCC242-4CA8-4726-8829-267CAADD2C0E}"/>
    <cellStyle name="Assumption Year." xfId="10" xr:uid="{222182F0-7C82-4EDB-A15B-3D02E70CE2C6}"/>
    <cellStyle name="B79812_.wvu.PrintTitlest" xfId="326" xr:uid="{702F861C-3C98-42B8-A23F-FBAB77F6032D}"/>
    <cellStyle name="Bad" xfId="70" builtinId="27" customBuiltin="1"/>
    <cellStyle name="Bad 2" xfId="327" xr:uid="{7AB2A57A-5B05-4555-BA4E-3005522A0D78}"/>
    <cellStyle name="Black" xfId="328" xr:uid="{826AABAC-A37E-4C59-AFDE-79E74747F927}"/>
    <cellStyle name="Blockout" xfId="329" xr:uid="{811A05B2-BBED-4EFD-9A7D-03CC8CEFAE0E}"/>
    <cellStyle name="Blockout 2" xfId="330" xr:uid="{B9DD6C5B-BE22-4505-A154-F4C95C9AFAF1}"/>
    <cellStyle name="Blockout 2 2" xfId="331" xr:uid="{AC32285A-EF23-49F0-9130-7F3CB2CB0DD7}"/>
    <cellStyle name="Blockout 3" xfId="332" xr:uid="{0FE7C632-6312-4212-BBDF-068738F98CB5}"/>
    <cellStyle name="Blockout 4" xfId="333" xr:uid="{0275AD7F-E3F3-4A09-89E5-8FA4F561DE86}"/>
    <cellStyle name="Blue" xfId="334" xr:uid="{7E6A412F-3DED-4571-8204-29B2C6999EAF}"/>
    <cellStyle name="Calculation" xfId="74" builtinId="22" customBuiltin="1"/>
    <cellStyle name="Calculation 2" xfId="335" xr:uid="{F6EF5866-2334-45D4-9647-57A9F47486B6}"/>
    <cellStyle name="Calculation 2 2" xfId="336" xr:uid="{498645E1-B606-4649-8CBC-6529E6D94F52}"/>
    <cellStyle name="Calculation 2 2 2" xfId="337" xr:uid="{109D244E-46A1-4F88-AB20-39092FDAD61D}"/>
    <cellStyle name="Calculation 2 2 2 2" xfId="338" xr:uid="{5F41E40B-68B5-49B2-8228-B363357F2B7F}"/>
    <cellStyle name="Calculation 2 2 3" xfId="339" xr:uid="{9A0A8500-8520-4DBC-A32C-F97ECBA6A986}"/>
    <cellStyle name="Calculation 2 2 3 2" xfId="340" xr:uid="{5ED5C274-A136-403D-875E-6AAAACDEDA39}"/>
    <cellStyle name="Calculation 2 2 4" xfId="341" xr:uid="{49DA5E52-350E-4F79-81E2-92B12A712BF0}"/>
    <cellStyle name="Calculation 2 2 5" xfId="342" xr:uid="{E89A1E07-065E-4841-BF7E-28C45AF8A2DB}"/>
    <cellStyle name="Calculation 2 3" xfId="343" xr:uid="{05478EE3-9281-4A9F-BAA8-4222D86C1B17}"/>
    <cellStyle name="Calculation 2 3 2" xfId="344" xr:uid="{4A6DE0A2-9371-4273-A13D-2D99E378B8E1}"/>
    <cellStyle name="Calculation 2 3 2 2" xfId="345" xr:uid="{9DD150A7-7946-48FA-AAF1-6FE9F8507333}"/>
    <cellStyle name="Calculation 2 3 3" xfId="346" xr:uid="{1D294408-4821-4E05-B7B0-1138ED6E161B}"/>
    <cellStyle name="Calculation 2 3 3 2" xfId="347" xr:uid="{4AC196B3-97C1-49EE-A149-314297901EA0}"/>
    <cellStyle name="Calculation 2 3 4" xfId="348" xr:uid="{48D7F22C-37EE-4421-86AD-953863235DF0}"/>
    <cellStyle name="Calculation 2 3 5" xfId="349" xr:uid="{99B2C4C0-4AED-4A08-AD41-A9700171F724}"/>
    <cellStyle name="Calculation 2 4" xfId="350" xr:uid="{A4484E56-EFF3-4DD7-A085-287A98AA6A00}"/>
    <cellStyle name="Calculation 2 4 2" xfId="351" xr:uid="{2D2BBBC5-FB25-4E12-B896-452DA80E9611}"/>
    <cellStyle name="Calculation 2 4 2 2" xfId="352" xr:uid="{D6BC2155-4FF4-4AD7-AC07-41F90062CA3B}"/>
    <cellStyle name="Calculation 2 4 3" xfId="353" xr:uid="{9C7B2A16-EE72-44E3-9844-B986D1C243B5}"/>
    <cellStyle name="Calculation 2 4 3 2" xfId="354" xr:uid="{75847220-B045-4E5E-80E8-307D42FAFD0D}"/>
    <cellStyle name="Calculation 2 4 4" xfId="355" xr:uid="{1B667888-5C1B-49E3-9B26-218F1E2A829D}"/>
    <cellStyle name="Calculation 2 5" xfId="356" xr:uid="{4381AB29-0127-48EF-8E9E-A5B3CF58F93C}"/>
    <cellStyle name="Calculation 2 5 2" xfId="357" xr:uid="{49330555-6B2B-4512-8A29-3BA00BBCB13C}"/>
    <cellStyle name="Calculation 2 5 2 2" xfId="358" xr:uid="{323D0531-D7CF-4D6A-8BE9-7E06291A3AAF}"/>
    <cellStyle name="Calculation 2 5 3" xfId="359" xr:uid="{D7A0FB27-06BC-41D9-8730-87303C49E5EA}"/>
    <cellStyle name="Calculation 2 5 3 2" xfId="360" xr:uid="{35E8901C-95EF-4CC4-9002-672C62F0B23B}"/>
    <cellStyle name="Calculation 2 5 4" xfId="361" xr:uid="{554AF777-C3B0-49D0-A954-EDB0C0827210}"/>
    <cellStyle name="Calculation 2 6" xfId="362" xr:uid="{2B42FC26-27ED-4179-A702-1C5338EF1FB7}"/>
    <cellStyle name="Calculation 2 7" xfId="363" xr:uid="{FDF23782-3DEE-4DBB-B45E-F085C40BEBA7}"/>
    <cellStyle name="Cell Link." xfId="16" xr:uid="{AC326888-FAFE-48D2-B2FB-FD56DA14AB59}"/>
    <cellStyle name="Cell Link. 2" xfId="1088" xr:uid="{7AA7360E-47BF-4CF9-9026-FF36A1AC4358}"/>
    <cellStyle name="CellNum" xfId="132" xr:uid="{2F4F0BBB-1FB8-485E-91C8-4199FDD55844}"/>
    <cellStyle name="CellNumalt" xfId="133" xr:uid="{A369FAD5-F3B9-4AE9-8BAC-E7FF1A7498D4}"/>
    <cellStyle name="cells" xfId="134" xr:uid="{F0EEBEB2-9852-4300-B601-3337C8C10ED9}"/>
    <cellStyle name="cells 2" xfId="135" xr:uid="{9C94BD2D-8218-4196-A9D6-B98AE85A6ECD}"/>
    <cellStyle name="Check Cell" xfId="76" builtinId="23" customBuiltin="1"/>
    <cellStyle name="Check Cell 2" xfId="364" xr:uid="{F234FCED-9CC8-489F-83C2-ABB85E94A9EF}"/>
    <cellStyle name="Check Cell 2 2" xfId="365" xr:uid="{9858C170-E078-4936-989F-941805509704}"/>
    <cellStyle name="Check Cell 2 2 2" xfId="366" xr:uid="{B6C4C061-806F-4247-91C5-A26DB180A42B}"/>
    <cellStyle name="Check Cell 2 2 2 2" xfId="367" xr:uid="{7B368765-C45A-4703-8F10-4C34F7786F0D}"/>
    <cellStyle name="column field" xfId="136" xr:uid="{FA75D850-B403-4C32-AE50-61D4087B5959}"/>
    <cellStyle name="column field 2" xfId="137" xr:uid="{7E6AC6C0-31ED-4C38-9E3C-40FCE13C9DDF}"/>
    <cellStyle name="Column Head" xfId="138" xr:uid="{B32F7CFA-2236-4D66-964D-A285542E081C}"/>
    <cellStyle name="Comma" xfId="60" builtinId="3" customBuiltin="1"/>
    <cellStyle name="Comma [0]" xfId="61" builtinId="6" customBuiltin="1"/>
    <cellStyle name="Comma [0]7Z_87C" xfId="368" xr:uid="{26C36420-1CAB-4ABE-ABC3-81E9FC626580}"/>
    <cellStyle name="Comma 0" xfId="369" xr:uid="{37DF3880-BC76-4864-9109-D77B9EA6FF06}"/>
    <cellStyle name="Comma 1" xfId="370" xr:uid="{DE0CEE22-41BE-4D82-B52D-7D386EF3B300}"/>
    <cellStyle name="Comma 1 2" xfId="371" xr:uid="{F28E0D4E-F336-4663-B23E-9C5A3DFAF6C4}"/>
    <cellStyle name="Comma 10" xfId="372" xr:uid="{806F87EE-8540-4E12-A2B9-FB917B234E86}"/>
    <cellStyle name="Comma 11" xfId="373" xr:uid="{0E4B566F-128B-45BA-B255-6A46C53FB871}"/>
    <cellStyle name="Comma 12" xfId="111" xr:uid="{1B720D7E-F568-4E18-B9A0-55D3EEE617D1}"/>
    <cellStyle name="Comma 13" xfId="117" xr:uid="{BCC25287-DCF1-4396-A814-076DE00C329C}"/>
    <cellStyle name="Comma 14" xfId="1090" xr:uid="{719AA32C-3522-4EA8-936A-1CA7C1EF06FE}"/>
    <cellStyle name="Comma 2" xfId="139" xr:uid="{1575F2AE-50C6-456B-BF7D-FD9396730536}"/>
    <cellStyle name="Comma 2 2" xfId="140" xr:uid="{4DC9AD86-F809-4574-8F59-9188B746360E}"/>
    <cellStyle name="Comma 2 2 2" xfId="114" xr:uid="{A69F79BF-E78D-49AB-BEA6-66B23B02D509}"/>
    <cellStyle name="Comma 2 2 3" xfId="374" xr:uid="{474B0191-4674-4A57-900F-54FA3989A38B}"/>
    <cellStyle name="Comma 2 3" xfId="141" xr:uid="{72FA7ADC-29C5-4024-A905-5F698F0ED183}"/>
    <cellStyle name="Comma 2 3 2" xfId="376" xr:uid="{E5D3B6FF-060D-4923-A9EA-BEC89E2B3245}"/>
    <cellStyle name="Comma 2 3_Summary Forecast" xfId="375" xr:uid="{389CC3E0-E96C-496E-86D8-27BA58833F07}"/>
    <cellStyle name="Comma 2 4" xfId="377" xr:uid="{8CD99341-BEDD-437F-9C48-D83D349A7316}"/>
    <cellStyle name="Comma 2 5" xfId="378" xr:uid="{E334EDCE-77A8-4ABC-B32E-B8BA36A6135B}"/>
    <cellStyle name="Comma 2 5 2" xfId="379" xr:uid="{5F43B609-E128-4178-9B32-59BB7777EE99}"/>
    <cellStyle name="Comma 2 6" xfId="380" xr:uid="{0FD3AC03-0D19-410E-AA4D-2B96857A398F}"/>
    <cellStyle name="Comma 2_Summary Forecast" xfId="1089" xr:uid="{C56CE87C-9FA6-4602-AA23-AC577F449600}"/>
    <cellStyle name="Comma 3" xfId="142" xr:uid="{E5E0D791-85B5-4639-9F93-1F999CD61E87}"/>
    <cellStyle name="Comma 3 2" xfId="143" xr:uid="{31553C81-26E5-4312-825C-A3AFFC01686E}"/>
    <cellStyle name="Comma 3 2 2" xfId="383" xr:uid="{B87F9ABB-9A83-41BB-A644-A28DF5BBD40A}"/>
    <cellStyle name="Comma 3 2_Summary Forecast" xfId="382" xr:uid="{78A5E8B3-84A0-4ECD-9530-839319857AD3}"/>
    <cellStyle name="Comma 3 3" xfId="384" xr:uid="{88278A99-0983-4B94-A277-4B48DBFA206C}"/>
    <cellStyle name="Comma 3 3 2" xfId="385" xr:uid="{EAB5067C-4BD3-48D9-A182-FFD967287DFA}"/>
    <cellStyle name="Comma 3 4" xfId="386" xr:uid="{DFCA0DCD-9151-4757-B262-4FB448B29CFF}"/>
    <cellStyle name="Comma 3 5" xfId="387" xr:uid="{3181DB35-B6D3-4594-B711-6D1B39743113}"/>
    <cellStyle name="Comma 3 6" xfId="388" xr:uid="{A1F896F2-1EE0-41C1-BF63-92997CFC5630}"/>
    <cellStyle name="Comma 3_Summary Forecast" xfId="381" xr:uid="{CDE24DD0-2A69-401B-8F39-88D46B849ED2}"/>
    <cellStyle name="Comma 4" xfId="144" xr:uid="{7B2860A4-9C82-47DB-BDE7-462A1ACA1C0D}"/>
    <cellStyle name="Comma 4 2" xfId="145" xr:uid="{93F0F3FD-4B53-412E-B4C9-6D4EA38BB247}"/>
    <cellStyle name="Comma 4_Summary Forecast" xfId="389" xr:uid="{45CE5F12-358A-41D3-8677-AE5A87DF7359}"/>
    <cellStyle name="Comma 5" xfId="146" xr:uid="{693C2F13-70CB-4B5F-A595-56FE20AE0E51}"/>
    <cellStyle name="Comma 5 2" xfId="391" xr:uid="{BAFF7DBA-DE61-4941-96E5-6D083047DEFC}"/>
    <cellStyle name="Comma 5_Summary Forecast" xfId="390" xr:uid="{4DD12302-1886-459D-A232-824C70D20661}"/>
    <cellStyle name="Comma 6" xfId="147" xr:uid="{6802482B-02C3-4DD9-A220-C04BDAAE936B}"/>
    <cellStyle name="Comma 7" xfId="148" xr:uid="{41F6DA71-9AEE-44CD-AE85-3AEA5ED4897D}"/>
    <cellStyle name="Comma 8" xfId="392" xr:uid="{426FF9F5-DD90-4A23-878D-60A8DC03839B}"/>
    <cellStyle name="Comma 9" xfId="393" xr:uid="{2B46BF2D-3CD2-4B8E-9BA5-5C7F79A8EFF7}"/>
    <cellStyle name="Comma 9 2" xfId="394" xr:uid="{D0FFB838-EF4F-4365-B469-27781FFED4BD}"/>
    <cellStyle name="Comma 9 3" xfId="395" xr:uid="{B5E51540-8730-4666-BA83-AD00477EB3B5}"/>
    <cellStyle name="Comma0" xfId="396" xr:uid="{D8823B3B-8A0F-4C2F-8C06-2D6DD886304B}"/>
    <cellStyle name="Currency" xfId="58" builtinId="4" customBuiltin="1"/>
    <cellStyle name="Currency [0]" xfId="62" builtinId="7" customBuiltin="1"/>
    <cellStyle name="Currency 11" xfId="397" xr:uid="{8ED3AB79-E3CF-46DB-97AD-829BCA2ACB24}"/>
    <cellStyle name="Currency 11 2" xfId="398" xr:uid="{BEEA9644-A46A-4BA1-90A2-8F48BC902B55}"/>
    <cellStyle name="Currency 2" xfId="399" xr:uid="{AACB7C79-9AC3-49BB-9D25-BC4F6612F541}"/>
    <cellStyle name="Currency 2 2" xfId="400" xr:uid="{8E7BAF80-B82C-4DA4-8750-B5EC0C9C746F}"/>
    <cellStyle name="Currency 2 3" xfId="401" xr:uid="{62498C48-8F82-45C4-8956-542D0A08F683}"/>
    <cellStyle name="Currency 3" xfId="402" xr:uid="{9F6D35C8-2B75-497D-9B41-4B32B239CD1D}"/>
    <cellStyle name="Currency 3 2" xfId="403" xr:uid="{6A9DF2AD-7DE0-48C6-B4E7-0F2BB9AA7669}"/>
    <cellStyle name="Currency 4" xfId="404" xr:uid="{7D2DA37F-8143-4A1D-9DCB-4F5225D14AE5}"/>
    <cellStyle name="Currency 4 2" xfId="405" xr:uid="{F801002B-F84F-476D-93DF-6E9CFC1C07CC}"/>
    <cellStyle name="Currency 5" xfId="406" xr:uid="{3340ABA6-0301-4F31-A9E0-16D258FF1078}"/>
    <cellStyle name="Currency 5 2" xfId="407" xr:uid="{C9AA3B3F-43BF-46DF-AFDF-5D4D12B8AE49}"/>
    <cellStyle name="Currency 6" xfId="408" xr:uid="{208341D4-28B4-48F1-A5C9-2AC115331C1C}"/>
    <cellStyle name="Currency 6 2" xfId="409" xr:uid="{ACBB65F9-C4EC-4D2F-A45A-0C7993F65A64}"/>
    <cellStyle name="Currency 6 3" xfId="410" xr:uid="{932AB309-BF5F-48CB-8455-FE8E2AEB3E08}"/>
    <cellStyle name="Currency 7" xfId="411" xr:uid="{A7FF1A3F-3EF6-46AC-99A5-24D2AD54D6E6}"/>
    <cellStyle name="Currency 8" xfId="106" xr:uid="{369FE9A5-21F0-44E6-99BA-8993F1905BCF}"/>
    <cellStyle name="Currency." xfId="22" xr:uid="{DA110AA3-212A-432F-9762-731B827C8A8E}"/>
    <cellStyle name="D4_B8B1_005004B79812_.wvu.PrintTitlest" xfId="412" xr:uid="{20096C0F-3FD9-4407-AD1E-5C8B3B7E4A95}"/>
    <cellStyle name="Data" xfId="149" xr:uid="{D0911067-1C40-4960-AA76-D5F89D0DC0EF}"/>
    <cellStyle name="Data Bold" xfId="150" xr:uid="{B7B18404-36FB-48CC-BAC6-0F74A9CB4096}"/>
    <cellStyle name="Data Italic" xfId="151" xr:uid="{69CE8E12-BF83-42FC-937A-3CB09FDA6369}"/>
    <cellStyle name="Data_B 01" xfId="152" xr:uid="{51D63A7B-97EE-4C07-92E7-CD2CA4FFF074}"/>
    <cellStyle name="Date" xfId="413" xr:uid="{A461BE2D-40D7-456A-A7A0-3FADF8CF9552}"/>
    <cellStyle name="Date 2" xfId="414" xr:uid="{8F33CD90-DEF6-423E-8387-8A84EA3B1EB1}"/>
    <cellStyle name="Date." xfId="18" xr:uid="{054289F0-C4C8-444D-867B-A2B133919918}"/>
    <cellStyle name="dms_1" xfId="1093" xr:uid="{6EC1E2FB-5C29-420E-804D-F1CA9C01D373}"/>
    <cellStyle name="Euro" xfId="415" xr:uid="{659B780D-A58E-4D3A-B631-5B242A9B3618}"/>
    <cellStyle name="Explanatory Text" xfId="79" builtinId="53" customBuiltin="1"/>
    <cellStyle name="Explanatory Text 2" xfId="416" xr:uid="{C3780C0F-2C50-4AB8-B3AF-8B4DF5601A82}"/>
    <cellStyle name="field" xfId="153" xr:uid="{AA1200AD-912D-4899-8103-0C459C6AFEF8}"/>
    <cellStyle name="field names" xfId="154" xr:uid="{10D549A4-F329-439F-A426-A1883635FADC}"/>
    <cellStyle name="Fixed" xfId="417" xr:uid="{8D88D7A5-C835-495B-9D91-0B555D739CD1}"/>
    <cellStyle name="Fixed 2" xfId="418" xr:uid="{BB45CE9A-FB6E-4309-8B02-8873DBB217D1}"/>
    <cellStyle name="Followed Hyperlink" xfId="59" builtinId="9" customBuiltin="1"/>
    <cellStyle name="footer" xfId="155" xr:uid="{A0346B2A-D86C-4899-9D8F-28C00D6F3A6B}"/>
    <cellStyle name="Footnote" xfId="156" xr:uid="{EF4B6FE3-6E08-41C9-A1A8-D1DBA2730F10}"/>
    <cellStyle name="Gilsans" xfId="419" xr:uid="{EBBC7768-1B90-4391-8CE5-4EA182265C41}"/>
    <cellStyle name="Gilsansl" xfId="420" xr:uid="{FE1EF450-7267-4B3B-AAB9-46E13ABEB6AA}"/>
    <cellStyle name="Good" xfId="69" builtinId="26" customBuiltin="1"/>
    <cellStyle name="Good 2" xfId="421" xr:uid="{9CFBA243-4E06-4B69-9605-4F60530FD201}"/>
    <cellStyle name="heading" xfId="157" xr:uid="{B9515B24-2C53-48F4-B6D2-4EA7AAA15ED1}"/>
    <cellStyle name="Heading 1" xfId="65" builtinId="16" customBuiltin="1"/>
    <cellStyle name="Heading 1 2" xfId="158" xr:uid="{B1579D11-FA55-4799-A50E-3305D63501F6}"/>
    <cellStyle name="Heading 1 2 2" xfId="423" xr:uid="{A4D74BC6-B940-4AD2-966C-127E4126B1EB}"/>
    <cellStyle name="Heading 1 2_Summary Forecast" xfId="422" xr:uid="{1F4D38C4-9EEF-42F5-9350-1F18B060DC0F}"/>
    <cellStyle name="Heading 1 3" xfId="424" xr:uid="{3A3933A9-620B-4FA5-9EE8-39ABD5095F00}"/>
    <cellStyle name="Heading 1." xfId="4" xr:uid="{DD53EE5B-CC86-452C-B1F4-B337B456C67C}"/>
    <cellStyle name="Heading 2" xfId="66" builtinId="17" customBuiltin="1"/>
    <cellStyle name="Heading 2 2" xfId="425" xr:uid="{E724D9B5-2D6A-48BB-AA12-6114C2D94B13}"/>
    <cellStyle name="Heading 2 2 2" xfId="426" xr:uid="{0F270707-124C-44E5-B5DD-C84CCF14C2FF}"/>
    <cellStyle name="Heading 2 2 3" xfId="427" xr:uid="{8F4D5980-BBEF-4595-9E3A-227FA8FD2FE2}"/>
    <cellStyle name="Heading 2 3" xfId="428" xr:uid="{4856E3BF-0EEE-4806-B2B7-F7C8C2686C3C}"/>
    <cellStyle name="Heading 2." xfId="5" xr:uid="{14BF7D55-CA11-4BB6-9E3C-A3FB06E426BF}"/>
    <cellStyle name="Heading 3" xfId="67" builtinId="18" customBuiltin="1"/>
    <cellStyle name="Heading 3 2" xfId="429" xr:uid="{201BCD28-7010-4D54-906F-310A026CBEF5}"/>
    <cellStyle name="Heading 3 2 2" xfId="430" xr:uid="{328939CF-E4FB-4B80-9257-618A0BC6AEF1}"/>
    <cellStyle name="Heading 3 2 2 2" xfId="431" xr:uid="{F2C19010-F540-43BB-BEF9-B42915EBB31C}"/>
    <cellStyle name="Heading 3 2 2 2 2" xfId="432" xr:uid="{67AD56BB-D8F6-4D83-8387-CDFFCE3C6AF3}"/>
    <cellStyle name="Heading 3 2 2 2 2 2" xfId="433" xr:uid="{FC62A76C-6AB0-4A2D-8F23-95B7B4E12FA0}"/>
    <cellStyle name="Heading 3 2 2 2 2 3" xfId="434" xr:uid="{B6F13385-3B67-495F-B06E-A1890B9427C2}"/>
    <cellStyle name="Heading 3 2 2 2 2 4" xfId="435" xr:uid="{64F2CCA9-40DD-466D-9C60-C5A1CE301822}"/>
    <cellStyle name="Heading 3 2 2 2 3" xfId="436" xr:uid="{C96B2BA2-7A76-40C8-9C07-9C8180D9B3E7}"/>
    <cellStyle name="Heading 3 2 2 2 4" xfId="437" xr:uid="{02CE33A5-A09E-4FE5-9795-683CA937AE01}"/>
    <cellStyle name="Heading 3 2 2 2 5" xfId="438" xr:uid="{05A17608-C124-4FA8-83AE-9E562C06DAEB}"/>
    <cellStyle name="Heading 3 2 2 2 6" xfId="439" xr:uid="{7C88106B-7102-4D99-A06B-B2B501D83CDD}"/>
    <cellStyle name="Heading 3 2 2 3" xfId="440" xr:uid="{D43F2FA3-4D9D-4EF7-86CA-77CB848CB76E}"/>
    <cellStyle name="Heading 3 2 2 3 2" xfId="441" xr:uid="{F4E4A614-4A98-4267-A23F-E57AE417FFA2}"/>
    <cellStyle name="Heading 3 2 2 3 2 2" xfId="442" xr:uid="{1DEBCC94-E69B-4B63-B3E1-282B94DE7955}"/>
    <cellStyle name="Heading 3 2 2 3 2 3" xfId="443" xr:uid="{5E5EFDFD-3B36-4D12-B81B-AEA56887E729}"/>
    <cellStyle name="Heading 3 2 2 3 2 4" xfId="444" xr:uid="{5E64A563-98CA-4286-97AC-747F83A3F89E}"/>
    <cellStyle name="Heading 3 2 2 3 3" xfId="445" xr:uid="{9222B59A-9428-4C8E-91D0-51E8D7D8DA38}"/>
    <cellStyle name="Heading 3 2 2 3 4" xfId="446" xr:uid="{CFD38F81-CB5B-446E-9D07-9A1B5AA5A4D3}"/>
    <cellStyle name="Heading 3 2 2 3 5" xfId="447" xr:uid="{1D032B79-9A2D-44C0-BE7D-5AEE3D95629D}"/>
    <cellStyle name="Heading 3 2 2 4" xfId="448" xr:uid="{7967FECB-5D86-4E32-8CE3-FABA9F9D35B7}"/>
    <cellStyle name="Heading 3 2 2 4 2" xfId="449" xr:uid="{38FD1C47-62CD-4EE4-A549-4B51F37B3DA3}"/>
    <cellStyle name="Heading 3 2 2 4 3" xfId="450" xr:uid="{7F2AA903-6C85-44DC-A7F0-4BD9E4AB24F1}"/>
    <cellStyle name="Heading 3 2 2 4 4" xfId="451" xr:uid="{FA24FF52-3583-4F55-AFBE-63998A0B837F}"/>
    <cellStyle name="Heading 3 2 2 5" xfId="452" xr:uid="{BEB40C94-0B34-44C6-ACFD-0037905F56BB}"/>
    <cellStyle name="Heading 3 2 2 5 2" xfId="453" xr:uid="{7E83454F-E363-4D2E-ADEE-E68FB48B46AA}"/>
    <cellStyle name="Heading 3 2 2 5 3" xfId="454" xr:uid="{0C9700A0-1DBB-46CB-9F52-348242D98295}"/>
    <cellStyle name="Heading 3 2 2 6" xfId="455" xr:uid="{96F77F83-E4EE-44BF-A96D-2DFA0EC37799}"/>
    <cellStyle name="Heading 3 2 3" xfId="456" xr:uid="{1C166D0E-DE8D-422B-A568-BE94E454A66D}"/>
    <cellStyle name="Heading 3 2 3 2" xfId="457" xr:uid="{F107446F-33D1-4CF5-8CB0-6C115E60CB6A}"/>
    <cellStyle name="Heading 3 2 4" xfId="458" xr:uid="{FBF8F460-0C82-4A69-A109-50D91F490F73}"/>
    <cellStyle name="Heading 3 2 4 2" xfId="459" xr:uid="{8A208011-9A85-4642-8D2C-FAEE35038AEB}"/>
    <cellStyle name="Heading 3 2 4 2 2" xfId="460" xr:uid="{F6640040-0DC4-44E8-B6D4-5F7857602280}"/>
    <cellStyle name="Heading 3 2 4 2 3" xfId="461" xr:uid="{D810491F-11C5-4776-AA54-E7F0102E0EF7}"/>
    <cellStyle name="Heading 3 2 4 2 4" xfId="462" xr:uid="{71552140-73BC-4482-A931-374CCEA56E24}"/>
    <cellStyle name="Heading 3 2 4 3" xfId="463" xr:uid="{F2B91F2F-650C-42DC-9988-FD73015E71FA}"/>
    <cellStyle name="Heading 3 2 4 4" xfId="464" xr:uid="{529E2F2F-8539-4AA6-A256-F9522ADE39D9}"/>
    <cellStyle name="Heading 3 2 4 5" xfId="465" xr:uid="{7C3096DC-693E-4DD9-98F7-2B97175E41F1}"/>
    <cellStyle name="Heading 3 2 5" xfId="466" xr:uid="{3B2CF97C-067B-43EB-8E09-A86C82CE384E}"/>
    <cellStyle name="Heading 3 2 5 2" xfId="467" xr:uid="{165BE0B7-520A-4621-A426-D312EA69EA96}"/>
    <cellStyle name="Heading 3 2 5 2 2" xfId="468" xr:uid="{D64F4C2C-9963-4773-844C-863A3E78A1EC}"/>
    <cellStyle name="Heading 3 2 5 2 3" xfId="469" xr:uid="{833EEA31-CD7B-425F-869B-C59A138080A0}"/>
    <cellStyle name="Heading 3 2 5 2 4" xfId="470" xr:uid="{B216C09F-5F31-45E8-BCE1-212EA0CC008C}"/>
    <cellStyle name="Heading 3 2 5 3" xfId="471" xr:uid="{016BBEC0-9FE5-4E32-A3B1-490D06ACA681}"/>
    <cellStyle name="Heading 3 2 5 4" xfId="472" xr:uid="{01428244-6D9D-4BC4-AABE-F14DA775642C}"/>
    <cellStyle name="Heading 3 2 5 5" xfId="473" xr:uid="{63FC079E-FBD7-4C84-89CA-8F5B3BBDA6B4}"/>
    <cellStyle name="Heading 3 2 6" xfId="474" xr:uid="{A159D2EF-D4DE-44B0-8FE1-462DA1852FCE}"/>
    <cellStyle name="Heading 3 2 6 2" xfId="475" xr:uid="{9B4ACC97-7FFF-462E-B3D5-CC471B8F54C9}"/>
    <cellStyle name="Heading 3 2 6 3" xfId="476" xr:uid="{184F9A13-666A-42BC-BADC-E1EA9A6588EB}"/>
    <cellStyle name="Heading 3 2 6 4" xfId="477" xr:uid="{09D16F66-7417-4EA5-B683-7A957700CA91}"/>
    <cellStyle name="Heading 3 2 7" xfId="478" xr:uid="{465BBDB8-0F1C-41D0-9A0A-0E85B2C99CCB}"/>
    <cellStyle name="Heading 3 2 7 2" xfId="479" xr:uid="{F5D7A98F-6E25-45EA-BD41-7F7F095E76EC}"/>
    <cellStyle name="Heading 3 2 7 3" xfId="480" xr:uid="{5D46C805-6628-4BA3-8D4B-307EF5EFDE9A}"/>
    <cellStyle name="Heading 3 2 8" xfId="481" xr:uid="{A93B9D84-39CB-4E9D-9007-5FE4E1AE16C2}"/>
    <cellStyle name="Heading 3 3" xfId="482" xr:uid="{78E92A11-0C0C-48B6-9A94-312F19290818}"/>
    <cellStyle name="Heading 3." xfId="6" xr:uid="{F4DF0F14-B905-4DDA-933B-724CC6E23465}"/>
    <cellStyle name="Heading 4" xfId="68" builtinId="19" customBuiltin="1"/>
    <cellStyle name="Heading 4 2" xfId="483" xr:uid="{01CC3F2F-9A98-4A25-83E1-A62CA3E0DAD4}"/>
    <cellStyle name="Heading 4 2 2" xfId="484" xr:uid="{764716D6-D0ED-49F9-9981-2DDA6EA012BA}"/>
    <cellStyle name="Heading 4 3" xfId="485" xr:uid="{B52F149E-6559-424C-AC08-9D2F55DAACDD}"/>
    <cellStyle name="Heading 4." xfId="7" xr:uid="{A1E556D7-F990-44C5-A07D-5760F564811E}"/>
    <cellStyle name="Heading 4. 2" xfId="112" xr:uid="{6D0A13EE-6C16-4D81-B5E5-892FA4F05AD4}"/>
    <cellStyle name="Heading 5" xfId="159" xr:uid="{08CB9E5A-57FE-4E6D-AC02-972217EC9051}"/>
    <cellStyle name="Heading(4)" xfId="486" xr:uid="{D31A7498-4ED0-422A-AF6E-864BCB4FEB83}"/>
    <cellStyle name="Heading1" xfId="160" xr:uid="{33271680-6965-44D9-990B-E98B8ADA536E}"/>
    <cellStyle name="Heading1 2" xfId="161" xr:uid="{F653F166-59A6-46E7-9729-D30CBE784B24}"/>
    <cellStyle name="Hyperlink" xfId="57" builtinId="8" customBuiltin="1"/>
    <cellStyle name="Hyperlink 2" xfId="162" xr:uid="{896DD8EA-9C19-4972-B5E1-734F93EE821A}"/>
    <cellStyle name="Hyperlink 2 2" xfId="163" xr:uid="{1830AECA-0A1B-44BF-9405-9DC92BDFAE3D}"/>
    <cellStyle name="Hyperlink 2 3" xfId="487" xr:uid="{B06ED220-02C3-484D-8379-DAACDF482C03}"/>
    <cellStyle name="Hyperlink 2_RIN E5" xfId="1094" xr:uid="{3E5329D0-59F5-4E69-8E85-82D5630F5D1F}"/>
    <cellStyle name="Hyperlink 3" xfId="164" xr:uid="{F945E83D-5F35-4A0A-B556-C79CA91B7822}"/>
    <cellStyle name="Hyperlink 3 2" xfId="488" xr:uid="{C7C661D9-9BCE-456F-A38F-B757A23F880B}"/>
    <cellStyle name="Hyperlink 4" xfId="165" xr:uid="{9F21C23F-F22A-437B-A5A2-A3A5D2F3EC62}"/>
    <cellStyle name="Hyperlink Arrow" xfId="489" xr:uid="{D0403D72-1E02-45EC-9253-C6C3420E14B3}"/>
    <cellStyle name="Hyperlink Arrow." xfId="28" xr:uid="{49738529-1040-4849-8ABA-56D46EA5CF23}"/>
    <cellStyle name="Hyperlink Check." xfId="29" xr:uid="{8AB80234-1E88-4F19-B35E-14C03ADB60A0}"/>
    <cellStyle name="Hyperlink Text" xfId="490" xr:uid="{087B2382-4DA7-4F1E-8EE2-5EFDB562B7B2}"/>
    <cellStyle name="Hyperlink Text." xfId="27" xr:uid="{8DEAB2C7-2DD7-4FC3-B425-A22570C85B06}"/>
    <cellStyle name="Hyperlink TOC 1." xfId="30" xr:uid="{95C1D5EE-EE9D-4D0E-B51A-BD223907A35C}"/>
    <cellStyle name="Hyperlink TOC 2." xfId="31" xr:uid="{AF30A56C-3AE5-49B7-9BC7-E10EA45C7C89}"/>
    <cellStyle name="Hyperlink TOC 3." xfId="32" xr:uid="{4E1AD178-66DF-48E5-B172-BF3D8299800A}"/>
    <cellStyle name="Hyperlink TOC 4." xfId="33" xr:uid="{EA882B79-B949-43E1-8D3A-B6995216EA11}"/>
    <cellStyle name="import" xfId="491" xr:uid="{4B801F05-043D-4670-A1BC-22F01E2E7DED}"/>
    <cellStyle name="import%" xfId="492" xr:uid="{D6C450F3-2CCE-4F44-9FC3-617213615B1F}"/>
    <cellStyle name="import_ICRC Electricity model 1-1  (1 Feb 2003) " xfId="493" xr:uid="{3D3722FA-6302-451E-B53F-A49E13067D83}"/>
    <cellStyle name="Input" xfId="72" builtinId="20" customBuiltin="1"/>
    <cellStyle name="Input 2" xfId="494" xr:uid="{BAC0ED74-52C3-4661-A45F-F928E2ACA8C3}"/>
    <cellStyle name="Input 2 2" xfId="495" xr:uid="{EA36F095-EEBC-4DE8-9146-5A71C19C0F5E}"/>
    <cellStyle name="Input 2 2 2" xfId="496" xr:uid="{726E8647-58ED-4862-A331-62C4A3B34E92}"/>
    <cellStyle name="Input 2 2 2 2" xfId="497" xr:uid="{6D84CE1C-D2AF-4A60-87FD-ED6954194E81}"/>
    <cellStyle name="Input 2 2 3" xfId="498" xr:uid="{DA7C6144-08A7-4B1F-8188-B5D58690BD18}"/>
    <cellStyle name="Input 2 2 3 2" xfId="499" xr:uid="{E7932C56-C4E0-4ECC-A94D-3967E898AF68}"/>
    <cellStyle name="Input 2 2 4" xfId="500" xr:uid="{0B8B6EA7-33E3-4492-A8DB-83E86D025343}"/>
    <cellStyle name="Input 2 2 5" xfId="501" xr:uid="{8AD97BBD-930A-42A7-A9DB-3ECA43744CFD}"/>
    <cellStyle name="Input 2 3" xfId="502" xr:uid="{D7A4454A-D475-48AC-9BC3-3F4828A88226}"/>
    <cellStyle name="Input 2 3 2" xfId="503" xr:uid="{03B1D9B7-63C9-4972-93D5-D4C01D7DEAA2}"/>
    <cellStyle name="Input 2 3 2 2" xfId="504" xr:uid="{3520E476-B6CD-4EFA-97FF-2CF4277AA63D}"/>
    <cellStyle name="Input 2 3 3" xfId="505" xr:uid="{5100BF2E-835E-4133-9ED9-E28A0C19DCEA}"/>
    <cellStyle name="Input 2 3 3 2" xfId="506" xr:uid="{078E407D-2FD9-451E-834B-01C8E525892D}"/>
    <cellStyle name="Input 2 3 4" xfId="507" xr:uid="{C8DF783A-68C6-42BB-8966-D61DE53A0265}"/>
    <cellStyle name="Input 2 3 5" xfId="508" xr:uid="{85DDE2C7-E41C-4D04-BD50-A426AB636D15}"/>
    <cellStyle name="Input 2 4" xfId="509" xr:uid="{B8E3B5B6-A3F3-4B83-AA90-59DA15FC4DA0}"/>
    <cellStyle name="Input 2 4 2" xfId="510" xr:uid="{07E3B72F-60A3-477B-861A-2BC1A1BF5EBF}"/>
    <cellStyle name="Input 2 4 2 2" xfId="511" xr:uid="{826F8F00-1C45-4472-92BD-474BCBCCC04C}"/>
    <cellStyle name="Input 2 4 3" xfId="512" xr:uid="{C21FAD73-5412-4144-A140-99193A19A1E3}"/>
    <cellStyle name="Input 2 4 3 2" xfId="513" xr:uid="{2E0D9A05-7D9B-4020-B4AE-633E67B410F3}"/>
    <cellStyle name="Input 2 4 4" xfId="514" xr:uid="{439F7E20-E5F4-494A-B095-314302A22EA5}"/>
    <cellStyle name="Input 2 5" xfId="515" xr:uid="{954F4400-4677-4814-A625-BA72F70F766D}"/>
    <cellStyle name="Input 2 5 2" xfId="516" xr:uid="{E180157E-47E9-42C4-8BD9-50C1F3849449}"/>
    <cellStyle name="Input 2 5 2 2" xfId="517" xr:uid="{D2481FB4-47C5-43ED-8CB1-5B3B1B3E2338}"/>
    <cellStyle name="Input 2 5 3" xfId="518" xr:uid="{362C197B-91AE-44BF-8206-940BDB02431A}"/>
    <cellStyle name="Input 2 5 3 2" xfId="519" xr:uid="{EB6EFD1F-ADFC-4F84-9EEB-B9F47A9A5329}"/>
    <cellStyle name="Input 2 5 4" xfId="520" xr:uid="{78B1911D-79E9-4092-81F0-1AF95C1A4671}"/>
    <cellStyle name="Input 2 6" xfId="521" xr:uid="{986921CF-A072-4B00-AFBD-11DEE357EBC5}"/>
    <cellStyle name="Input 2 7" xfId="522" xr:uid="{5657CBCD-8EC5-4625-B98F-ABD7D0F42820}"/>
    <cellStyle name="Input1" xfId="523" xr:uid="{4411516A-88F8-41F2-9627-222308E1159B}"/>
    <cellStyle name="Input1 2" xfId="524" xr:uid="{225F9CBF-38C2-41D6-B81E-128F561D1926}"/>
    <cellStyle name="Input1 2 2" xfId="525" xr:uid="{2DA30317-402B-448B-B0E9-02BDA747A450}"/>
    <cellStyle name="Input1 2 3" xfId="526" xr:uid="{427E52AA-6F14-468C-B173-270F45D54B96}"/>
    <cellStyle name="Input1 3" xfId="527" xr:uid="{60FB93F2-EC98-4BAB-B14D-29ACBDF88E6B}"/>
    <cellStyle name="Input1 3 2" xfId="528" xr:uid="{0A6A7B2A-AF71-4E79-BDFA-F90FFC75B429}"/>
    <cellStyle name="Input1 3 3" xfId="529" xr:uid="{18E2032C-B5F2-4432-9D25-A7FA4EA0F8B2}"/>
    <cellStyle name="Input1 4" xfId="530" xr:uid="{5A0A4220-CEBF-4C41-9095-47B8AF6C8842}"/>
    <cellStyle name="Input1 4 2" xfId="531" xr:uid="{94194617-34C1-45D1-B47E-0B75A93074BC}"/>
    <cellStyle name="Input1 5" xfId="532" xr:uid="{E317C9A7-7F4C-4CBA-A802-369C1E129DA0}"/>
    <cellStyle name="Input1 6" xfId="533" xr:uid="{13143C22-676F-456E-A046-473690B6AE94}"/>
    <cellStyle name="Input1%" xfId="534" xr:uid="{57BC9380-A165-45F9-8739-A8D59457527E}"/>
    <cellStyle name="Input1_ICRC Electricity model 1-1  (1 Feb 2003) " xfId="535" xr:uid="{3B22E77E-E5EF-43BB-9AF4-9C91691F40C7}"/>
    <cellStyle name="Input1default" xfId="536" xr:uid="{BDA1DA13-B147-40E9-AAFB-956F36A02B31}"/>
    <cellStyle name="Input1default%" xfId="537" xr:uid="{DD4B4312-10DE-4928-B503-F5D5424B9252}"/>
    <cellStyle name="Input2" xfId="538" xr:uid="{68D4E1B5-FD62-41C1-8BE2-FA23B5234EB9}"/>
    <cellStyle name="Input2 2" xfId="539" xr:uid="{552EC4CB-98C8-432F-AEAC-F062A7D1728B}"/>
    <cellStyle name="Input2 3" xfId="540" xr:uid="{FBD9006F-1D39-4DB8-BF0C-A989956C5909}"/>
    <cellStyle name="Input3" xfId="541" xr:uid="{61F03D35-1CE8-4218-9406-6063DAC3151E}"/>
    <cellStyle name="Input3 2" xfId="542" xr:uid="{3F43BBB8-71DA-4633-A013-A27259519032}"/>
    <cellStyle name="Input3 2 2" xfId="543" xr:uid="{93981447-132C-41BD-AFC9-A861B2BCB584}"/>
    <cellStyle name="Input3 3" xfId="544" xr:uid="{9A941F72-D77D-4D10-BC3B-656B2CA3E718}"/>
    <cellStyle name="Input3 3 2" xfId="545" xr:uid="{EE5E656C-D277-4DD0-83E6-B1C465B9EB35}"/>
    <cellStyle name="Input3 4" xfId="546" xr:uid="{E4AA1990-48B0-45B1-841C-679E05190D35}"/>
    <cellStyle name="Input3 5" xfId="547" xr:uid="{A71C25AC-F057-497C-8111-F74813832BED}"/>
    <cellStyle name="InputCell" xfId="548" xr:uid="{57A3F5DD-5EE4-4D7A-A92D-C93C67324191}"/>
    <cellStyle name="InputCell 2" xfId="549" xr:uid="{FF540894-4046-49D3-8074-1D16441C252C}"/>
    <cellStyle name="InputCell 3" xfId="550" xr:uid="{F4775BED-4B7A-4439-A6F7-04F85A92B915}"/>
    <cellStyle name="InputCellText" xfId="551" xr:uid="{3C9BC648-9FA3-404C-B43C-CE5FCC511203}"/>
    <cellStyle name="InputCellText 2" xfId="552" xr:uid="{15BA2D1D-6E24-49FD-8A95-287EF9017357}"/>
    <cellStyle name="InputCellText 3" xfId="553" xr:uid="{297CAE72-49B2-46C7-B5D2-4C5BF7D64E45}"/>
    <cellStyle name="key result" xfId="554" xr:uid="{E1C80316-A550-4E2F-8D4A-8E9D21C7C321}"/>
    <cellStyle name="Lines" xfId="555" xr:uid="{C9B7F0F1-0605-48FD-A2EC-D7EA759F5A4D}"/>
    <cellStyle name="Linked Cell" xfId="75" builtinId="24" customBuiltin="1"/>
    <cellStyle name="Linked Cell 2" xfId="556" xr:uid="{8EB6F70A-3563-4211-8692-68D2E02C60BB}"/>
    <cellStyle name="Local import" xfId="557" xr:uid="{32E82494-5DA6-482C-80FB-D7B201BADF87}"/>
    <cellStyle name="Local import %" xfId="558" xr:uid="{CF748DB4-0265-413B-99B3-30772E4CD14B}"/>
    <cellStyle name="Lookup Table Heading." xfId="24" xr:uid="{229ED6B0-891E-4589-9E09-07E6003587A3}"/>
    <cellStyle name="Lookup Table Label." xfId="26" xr:uid="{B5BC7C33-EEB2-4432-9119-3B7FB40F371D}"/>
    <cellStyle name="Lookup Table Number." xfId="25" xr:uid="{C9372D4D-ABCD-4063-A77A-030EBC8B9B02}"/>
    <cellStyle name="Mine" xfId="559" xr:uid="{6D268093-85F1-4A55-A520-D969821AEB03}"/>
    <cellStyle name="Model Name" xfId="560" xr:uid="{DBB9E450-2320-4001-8AC8-1F93ADD1566A}"/>
    <cellStyle name="Model Name." xfId="3" xr:uid="{02EC6B15-2493-4FC3-A698-26B8162FE972}"/>
    <cellStyle name="Multiple." xfId="21" xr:uid="{3E2A65C8-DEFD-4B8A-8C2A-F8081F19B687}"/>
    <cellStyle name="Neutral" xfId="71" builtinId="28" customBuiltin="1"/>
    <cellStyle name="Neutral 2" xfId="561" xr:uid="{329BF774-211E-470F-9341-B2CC6CFC5091}"/>
    <cellStyle name="NonInputCell" xfId="562" xr:uid="{161995F2-E5DC-42A1-B3B0-CB9825D56E19}"/>
    <cellStyle name="NonInputCell 2" xfId="563" xr:uid="{D7C33FB9-1F44-47A1-B29E-A18559180542}"/>
    <cellStyle name="NonInputCell 3" xfId="564" xr:uid="{A73368F8-AEB7-48CB-833F-D323519E812A}"/>
    <cellStyle name="Normal" xfId="0" builtinId="0" customBuiltin="1"/>
    <cellStyle name="Normal - Style1" xfId="565" xr:uid="{B75A3E77-5CA0-4C17-B431-B9F18BA34F84}"/>
    <cellStyle name="Normal 10" xfId="166" xr:uid="{34E91EB2-3B4E-4554-BB82-FBF41F3DB5FF}"/>
    <cellStyle name="Normal 10 2" xfId="167" xr:uid="{0E21BA99-50FF-471A-9BD6-487DA2E3C6A7}"/>
    <cellStyle name="Normal 10 2 2 2" xfId="568" xr:uid="{0717846C-E05F-48BC-B227-9D5600B1B207}"/>
    <cellStyle name="Normal 10 2_Summary Forecast" xfId="567" xr:uid="{95FE6B94-87B3-4F64-B2E1-30FADEB2A1C1}"/>
    <cellStyle name="Normal 10_Summary Forecast" xfId="566" xr:uid="{E6290CC8-3B74-4318-85CF-8172B4288B0C}"/>
    <cellStyle name="Normal 100" xfId="119" xr:uid="{34BF83C5-A1E1-48C4-94A9-AE14D04FED07}"/>
    <cellStyle name="Normal 11" xfId="168" xr:uid="{8EA18AB8-B000-4322-8A8F-21A6089BE988}"/>
    <cellStyle name="Normal 11 2" xfId="169" xr:uid="{DC9E9FA3-4247-4E06-858D-210D21582FF4}"/>
    <cellStyle name="Normal 11 3" xfId="569" xr:uid="{04DAC44D-BA44-4DD9-80FC-3C04E8872324}"/>
    <cellStyle name="Normal 11 4" xfId="570" xr:uid="{E42E611F-336E-4DC2-8E38-87D5FC08581F}"/>
    <cellStyle name="Normal 114" xfId="571" xr:uid="{2B045621-E1E7-40FF-A8B9-88B596F7F667}"/>
    <cellStyle name="Normal 114 2" xfId="572" xr:uid="{74B90F8D-6AEC-4FFD-94C8-1333A6938AF6}"/>
    <cellStyle name="Normal 115" xfId="118" xr:uid="{256EB563-9EF9-4B1E-91DD-DB1B5EBCDB4B}"/>
    <cellStyle name="Normal 12" xfId="170" xr:uid="{94196F13-8C17-428B-82A3-30B61A305376}"/>
    <cellStyle name="Normal 12 2" xfId="574" xr:uid="{F746FC63-63B9-455C-8481-54AFFCD1FAB3}"/>
    <cellStyle name="Normal 12_Summary Forecast" xfId="573" xr:uid="{ED575B81-5E14-46CE-9704-E318CCA7BBE9}"/>
    <cellStyle name="Normal 13" xfId="109" xr:uid="{F37E7E3E-AD8E-431B-B226-E82D86C4A26A}"/>
    <cellStyle name="Normal 13 2" xfId="171" xr:uid="{B7743301-ADA3-4462-8BA8-3175F1725183}"/>
    <cellStyle name="Normal 13_29(d) - Gas extensions -tariffs" xfId="575" xr:uid="{750C427D-50DA-4F4D-ADA2-E75B2B5F2F18}"/>
    <cellStyle name="Normal 14" xfId="172" xr:uid="{224F916D-FAC4-46CE-966C-8C83CE919C00}"/>
    <cellStyle name="Normal 14 2" xfId="576" xr:uid="{9DE1F226-48F5-4053-8F28-709FD8062243}"/>
    <cellStyle name="Normal 14 2 2" xfId="577" xr:uid="{EAC5C471-1B12-4A31-AD74-B349DDC43FFB}"/>
    <cellStyle name="Normal 14 3" xfId="578" xr:uid="{5425CF43-B186-4FA3-B38A-90F7D18045DB}"/>
    <cellStyle name="Normal 14 3 2" xfId="579" xr:uid="{5A34CCFC-6069-43B9-8768-7CE7BBBC152A}"/>
    <cellStyle name="Normal 14 3 3" xfId="580" xr:uid="{ACA91E76-20EC-473C-828C-A949AECFC39F}"/>
    <cellStyle name="Normal 14 4" xfId="581" xr:uid="{35CB99CE-DBAC-45C7-A30F-6268A5CFFB72}"/>
    <cellStyle name="Normal 14 5" xfId="582" xr:uid="{F81997F3-522D-4C0F-952C-F1381A141703}"/>
    <cellStyle name="Normal 14 6" xfId="583" xr:uid="{56C88F4E-3AA1-4D09-9A7C-BFBE4F07135A}"/>
    <cellStyle name="Normal 143" xfId="584" xr:uid="{B9F29896-2C88-41A0-B8D6-0613E8CDBD7F}"/>
    <cellStyle name="Normal 144" xfId="585" xr:uid="{66D3C0F8-2805-4BD5-9096-DAE6C8490CC7}"/>
    <cellStyle name="Normal 147" xfId="586" xr:uid="{AC4DAA31-FD19-4CF3-BFB5-958AFEDA035C}"/>
    <cellStyle name="Normal 148" xfId="587" xr:uid="{EFBEEBD7-93A8-4EE6-8803-C18416D77522}"/>
    <cellStyle name="Normal 149" xfId="588" xr:uid="{8B366485-B2A9-496E-93F0-CD59AF07DD4F}"/>
    <cellStyle name="Normal 15" xfId="173" xr:uid="{736C6581-C9DB-4303-B869-F945D22E6851}"/>
    <cellStyle name="Normal 15 2" xfId="590" xr:uid="{BE4F21DC-B32E-4202-9354-E2622A6B9F41}"/>
    <cellStyle name="Normal 15 3" xfId="591" xr:uid="{7AFF42A5-9071-43BC-86C5-A8841C3CC880}"/>
    <cellStyle name="Normal 15_Summary Forecast" xfId="589" xr:uid="{E8C6AE06-684A-47EF-B1D6-16EAF2A5BBDD}"/>
    <cellStyle name="Normal 150" xfId="592" xr:uid="{F4BD500E-6B62-4E08-8D3A-EF563DDE7987}"/>
    <cellStyle name="Normal 151" xfId="593" xr:uid="{54EAFD5A-785F-44CF-853C-5BF946C50770}"/>
    <cellStyle name="Normal 152" xfId="594" xr:uid="{3E129338-B215-4976-8D9A-61A8EA4B7418}"/>
    <cellStyle name="Normal 153" xfId="595" xr:uid="{BC5C5E16-900D-4F08-B2A1-AB2B25FB09C7}"/>
    <cellStyle name="Normal 154" xfId="596" xr:uid="{7D687409-E001-434B-8E24-F1DF780A70A5}"/>
    <cellStyle name="Normal 155" xfId="597" xr:uid="{0ED4885D-F250-4E99-B662-8163D05BF3BF}"/>
    <cellStyle name="Normal 156" xfId="598" xr:uid="{3A6DB9D3-047A-4E08-9D0C-7DB7BBD8BC50}"/>
    <cellStyle name="Normal 16" xfId="174" xr:uid="{9717F807-74C7-4DAB-B72B-AE91320BEA85}"/>
    <cellStyle name="Normal 16 2" xfId="600" xr:uid="{C17A4EA7-58AE-417B-9233-91D19BB7268A}"/>
    <cellStyle name="Normal 16 3" xfId="601" xr:uid="{9F1CECF6-CA0A-4C2E-A15C-5A7790EDC3DB}"/>
    <cellStyle name="Normal 16_Summary Forecast" xfId="599" xr:uid="{A7A27538-EB80-44CB-83A5-C1439720F21E}"/>
    <cellStyle name="Normal 161" xfId="602" xr:uid="{8B339927-6B2D-4AE9-9CEE-A44B965DD0DC}"/>
    <cellStyle name="Normal 162" xfId="603" xr:uid="{617F0D2F-1292-490F-8085-480F96A80984}"/>
    <cellStyle name="Normal 163" xfId="604" xr:uid="{72DC6BC9-B990-4AAF-AE3F-973A4D5A25D6}"/>
    <cellStyle name="Normal 164" xfId="605" xr:uid="{C06070F8-5446-4788-9178-3AB248FB4FB3}"/>
    <cellStyle name="Normal 169" xfId="606" xr:uid="{0A70436F-6DA1-4212-8228-03B2D8ABB3B1}"/>
    <cellStyle name="Normal 17" xfId="175" xr:uid="{6CC14587-EF4F-48A1-8B99-9B6DE091DFB2}"/>
    <cellStyle name="Normal 17 2" xfId="607" xr:uid="{4690AE2C-F128-48B8-8C00-D9CBFFC0659A}"/>
    <cellStyle name="Normal 17 2 2" xfId="608" xr:uid="{FE9C8418-0317-4D4C-9D9D-355A298A2672}"/>
    <cellStyle name="Normal 17 2 2 2" xfId="609" xr:uid="{32DC254D-75F2-482B-8262-28B9C0865593}"/>
    <cellStyle name="Normal 17 2 2 3" xfId="610" xr:uid="{603D5A9A-6187-4816-A80F-19BB0D0A09A5}"/>
    <cellStyle name="Normal 17 2 3" xfId="611" xr:uid="{DFB74833-6C12-44EF-A6FA-E4F6D2C427C3}"/>
    <cellStyle name="Normal 17 2 4" xfId="612" xr:uid="{7D283747-F4F5-4C1F-AF5A-2909EC72C794}"/>
    <cellStyle name="Normal 17 3" xfId="613" xr:uid="{4A8021BB-E672-40EB-ABDC-9705E9CCA989}"/>
    <cellStyle name="Normal 17 3 2" xfId="614" xr:uid="{98F2FBDF-A9CE-4C74-A0CC-2222809EB3C7}"/>
    <cellStyle name="Normal 17 3 2 2" xfId="615" xr:uid="{6FCAF672-1BAD-48D0-B0CC-A9A9F1DE8B85}"/>
    <cellStyle name="Normal 17 3 2 3" xfId="616" xr:uid="{FE0445C7-4A8C-45B0-8758-820F026EA2A4}"/>
    <cellStyle name="Normal 17 3 3" xfId="617" xr:uid="{2EB09005-4B22-423B-A238-25E068207595}"/>
    <cellStyle name="Normal 17 3 4" xfId="618" xr:uid="{304509C0-4BE3-4E39-82F0-3DF7842FBA88}"/>
    <cellStyle name="Normal 17 4" xfId="619" xr:uid="{114CF362-2650-4763-8D60-F1F3385D59DE}"/>
    <cellStyle name="Normal 17 4 2" xfId="620" xr:uid="{FDEDA81E-C9E6-4B76-B2F5-6EF56C27FB09}"/>
    <cellStyle name="Normal 17 4 3" xfId="621" xr:uid="{04682CEE-48C8-4E85-87BF-6C5A856C7EAD}"/>
    <cellStyle name="Normal 17 5" xfId="622" xr:uid="{B1E30EC1-CA5C-4BC8-BDC8-F2FC23B6B80F}"/>
    <cellStyle name="Normal 17 6" xfId="623" xr:uid="{C206973B-748B-45B8-A959-F96059958244}"/>
    <cellStyle name="Normal 170" xfId="624" xr:uid="{4B4AD544-EAFE-4A88-99C1-E80CEE5558DB}"/>
    <cellStyle name="Normal 171" xfId="625" xr:uid="{2EB7D6FC-172E-404E-B1F8-534078FCAC4F}"/>
    <cellStyle name="Normal 172" xfId="626" xr:uid="{3FB7BE04-25EA-4C8B-86D6-73BFEB46679B}"/>
    <cellStyle name="Normal 177" xfId="627" xr:uid="{CC4722EC-9F57-43A1-83DA-A49458DD34A7}"/>
    <cellStyle name="Normal 178" xfId="628" xr:uid="{CCBD566D-A261-42CE-9AC6-BE6EA9A985D8}"/>
    <cellStyle name="Normal 179" xfId="629" xr:uid="{C2A3CCCC-072C-4A9D-BA28-BF77927E648A}"/>
    <cellStyle name="Normal 18" xfId="176" xr:uid="{B7306153-7778-4492-9A9E-46C87A429C95}"/>
    <cellStyle name="Normal 18 2" xfId="631" xr:uid="{BC7AAB82-E11A-4EAE-84B5-6CDBD5FEA840}"/>
    <cellStyle name="Normal 18_Summary Forecast" xfId="630" xr:uid="{825156EA-09CF-47AB-8924-6BFD041AA3A8}"/>
    <cellStyle name="Normal 180" xfId="632" xr:uid="{E32572D5-D25C-428C-985D-C83E23E67B15}"/>
    <cellStyle name="Normal 181" xfId="633" xr:uid="{5CEC33FD-BB7B-4688-9227-D69678ED4E14}"/>
    <cellStyle name="Normal 182" xfId="634" xr:uid="{D3D97404-295B-4B90-BAA0-A7AFA0E30227}"/>
    <cellStyle name="Normal 183" xfId="635" xr:uid="{5CD6AB52-587E-42F2-B2B1-3CF3BE9B8B7B}"/>
    <cellStyle name="Normal 184" xfId="636" xr:uid="{502FB44E-AC83-47CE-86EC-F9970C3AE295}"/>
    <cellStyle name="Normal 185" xfId="637" xr:uid="{F61D40B3-0258-4CCA-BED7-DCE9BA8FAEEF}"/>
    <cellStyle name="Normal 186" xfId="638" xr:uid="{FD3DE48A-0206-45CB-988B-589CE921EE69}"/>
    <cellStyle name="Normal 187" xfId="639" xr:uid="{158FCABF-5146-43E2-A009-FDBF85A5167B}"/>
    <cellStyle name="Normal 188" xfId="640" xr:uid="{6A8978B3-70C6-4B6D-8C4D-ABBAB2A7818D}"/>
    <cellStyle name="Normal 189" xfId="641" xr:uid="{0D431FFD-23F3-4D89-993B-C86B112F0975}"/>
    <cellStyle name="Normal 19" xfId="177" xr:uid="{11F8CE10-45C6-4F88-872D-31468DC7B114}"/>
    <cellStyle name="Normal 190" xfId="642" xr:uid="{302F9989-F022-4D77-9904-B0BAD86CD173}"/>
    <cellStyle name="Normal 192" xfId="643" xr:uid="{9A1D8FCF-6F1D-4508-8DAE-7FA951E61A35}"/>
    <cellStyle name="Normal 193" xfId="644" xr:uid="{D8B8C2C6-47AA-41C4-9284-52F5BDB50327}"/>
    <cellStyle name="Normal 196" xfId="645" xr:uid="{7DC140A0-813A-43C5-8C43-60FEA6FB4227}"/>
    <cellStyle name="Normal 197" xfId="646" xr:uid="{B0020E06-3ED3-4217-BF54-95E384E28B60}"/>
    <cellStyle name="Normal 198" xfId="647" xr:uid="{3CD55C24-6251-443E-9223-A6425AE9C384}"/>
    <cellStyle name="Normal 199" xfId="648" xr:uid="{D8FB0404-883E-4F1A-80CE-F48B1FB88546}"/>
    <cellStyle name="Normal 2" xfId="178" xr:uid="{476B0EFF-A852-4610-99EC-80036D2B8DE7}"/>
    <cellStyle name="Normal 2 2" xfId="179" xr:uid="{D03F2EB6-108E-4F34-BE64-6E0E1A7AE672}"/>
    <cellStyle name="Normal 2 2 2" xfId="180" xr:uid="{5842AAFA-AE75-43BC-B551-D6A618BBFE60}"/>
    <cellStyle name="Normal 2 2 3" xfId="181" xr:uid="{9D6AF87E-66F7-4ECB-AE76-721D1A7E9BEE}"/>
    <cellStyle name="Normal 2 2 4" xfId="650" xr:uid="{13513288-C397-4AEE-853B-CC035E23993B}"/>
    <cellStyle name="Normal 2 2 5" xfId="651" xr:uid="{14E21A03-23E8-4B62-879E-ED1572723CBF}"/>
    <cellStyle name="Normal 2 2_Summary Forecast" xfId="649" xr:uid="{FFFF858B-0342-4ED0-8506-E9727EDF9E1A}"/>
    <cellStyle name="Normal 2 3" xfId="182" xr:uid="{746AD22C-38A5-4231-A66E-516291A0BABD}"/>
    <cellStyle name="Normal 2 3 2" xfId="652" xr:uid="{94EFBEF8-90AB-41ED-AC4D-169816241F5F}"/>
    <cellStyle name="Normal 2 3_29(d) - Gas extensions -tariffs" xfId="653" xr:uid="{EF247DB2-2FCA-4735-BF65-6DAD637A76ED}"/>
    <cellStyle name="Normal 2 4" xfId="183" xr:uid="{9BDB84F4-4082-4B71-A165-EA06EDF7AD0A}"/>
    <cellStyle name="Normal 2 4 2" xfId="655" xr:uid="{00EA2106-200C-4CEB-9D0D-33F4110D82AC}"/>
    <cellStyle name="Normal 2 4 3" xfId="656" xr:uid="{C5B1A06D-42FB-4265-B486-628994C96323}"/>
    <cellStyle name="Normal 2 4_Summary Forecast" xfId="654" xr:uid="{5F468663-EB54-4ADC-9097-8722CED54E66}"/>
    <cellStyle name="Normal 2 5" xfId="657" xr:uid="{2A408EFB-E7E6-4313-A8CA-0028CDC0F741}"/>
    <cellStyle name="Normal 2_29(d) - Gas extensions -tariffs" xfId="658" xr:uid="{BDA1DED8-CC89-4BE7-A082-70867070C620}"/>
    <cellStyle name="Normal 20" xfId="659" xr:uid="{D777CF84-F232-4749-8DAB-BDA99BD9F692}"/>
    <cellStyle name="Normal 20 2" xfId="660" xr:uid="{AEE9186C-936B-4DF5-B454-5D86895F10F2}"/>
    <cellStyle name="Normal 20 2 2" xfId="661" xr:uid="{6998CB69-7215-45C2-894B-3429787E998C}"/>
    <cellStyle name="Normal 20 3" xfId="662" xr:uid="{38F10D3C-6858-4508-BE25-83689FD9D083}"/>
    <cellStyle name="Normal 20 4" xfId="663" xr:uid="{8577E8DF-AAB9-4DA7-AE1B-31C7D8FB363B}"/>
    <cellStyle name="Normal 20 5" xfId="664" xr:uid="{9C8C0ACC-3DF9-43D8-AB4B-24F9899CE83D}"/>
    <cellStyle name="Normal 200" xfId="665" xr:uid="{70BE81A5-CC93-4D97-A544-EFE1147F1306}"/>
    <cellStyle name="Normal 201" xfId="666" xr:uid="{F898DE08-959B-428D-B086-D1D5A37014F9}"/>
    <cellStyle name="Normal 202" xfId="667" xr:uid="{76275A01-EB0C-41D8-B55D-1C8197717B07}"/>
    <cellStyle name="Normal 203" xfId="668" xr:uid="{A287B31F-353D-4753-8877-DF242B8F7CBD}"/>
    <cellStyle name="Normal 204" xfId="669" xr:uid="{9E5AA72B-49D0-47FF-ACAF-ADF5C53FD2E7}"/>
    <cellStyle name="Normal 205" xfId="670" xr:uid="{E9170469-B5EB-4D38-B90B-39457CAAFC9E}"/>
    <cellStyle name="Normal 206" xfId="107" xr:uid="{D8BEEFE3-07CC-4B84-8468-75932A297FD8}"/>
    <cellStyle name="Normal 207" xfId="671" xr:uid="{31981171-4240-4630-8AED-CAC420CAF12E}"/>
    <cellStyle name="Normal 208" xfId="672" xr:uid="{DD748512-CFBB-4AE0-B6EB-BA2D356FBC9A}"/>
    <cellStyle name="Normal 209" xfId="673" xr:uid="{A8EC2504-6791-44E2-B515-DFFF36879F60}"/>
    <cellStyle name="Normal 21" xfId="674" xr:uid="{4F116C5A-4248-4F1F-A843-968193D1E7E5}"/>
    <cellStyle name="Normal 21 2" xfId="675" xr:uid="{5BE15A92-AFBC-4E88-9091-904A51270E4D}"/>
    <cellStyle name="Normal 21 3" xfId="676" xr:uid="{F727CBAE-8B86-4023-BB1B-CB52D95AB5F7}"/>
    <cellStyle name="Normal 210" xfId="677" xr:uid="{73082B95-A0BB-4F3B-B5F2-BD13170289C5}"/>
    <cellStyle name="Normal 211" xfId="678" xr:uid="{33576C22-76EC-462C-BE54-5ED083B2BB49}"/>
    <cellStyle name="Normal 212" xfId="679" xr:uid="{58FE1F57-915B-4D29-9A20-0F0152FE08E9}"/>
    <cellStyle name="Normal 213" xfId="680" xr:uid="{83249D05-4081-425B-BB0A-9296DB036506}"/>
    <cellStyle name="Normal 214" xfId="681" xr:uid="{55F8D2CC-A7DD-4616-9A11-6C80938C6AD4}"/>
    <cellStyle name="Normal 215" xfId="682" xr:uid="{28F0450B-0DD9-4A32-A73B-1CAC939FE101}"/>
    <cellStyle name="Normal 216" xfId="683" xr:uid="{44AE8DFF-DC11-4146-9B7D-BAA81231F17F}"/>
    <cellStyle name="Normal 22" xfId="684" xr:uid="{3ACF19E6-FB36-43AA-A5D8-9948EC86A2FC}"/>
    <cellStyle name="Normal 23" xfId="685" xr:uid="{F7E6EB21-1314-48F4-AED8-DF38E19264BA}"/>
    <cellStyle name="Normal 23 2" xfId="686" xr:uid="{15F7E1FA-6E70-4C0E-8065-FC5D0611218E}"/>
    <cellStyle name="Normal 23 2 2" xfId="687" xr:uid="{813745F1-5A9A-4599-9D2B-557BCCFDE172}"/>
    <cellStyle name="Normal 23 3" xfId="688" xr:uid="{5B96B735-10A1-4D76-90BB-DE3E740A5354}"/>
    <cellStyle name="Normal 23 4" xfId="689" xr:uid="{25E398E2-425A-4D1B-B640-94BE90E7D912}"/>
    <cellStyle name="Normal 24" xfId="690" xr:uid="{F79C9E20-7BD8-45D4-95E4-CD6BA3963CD6}"/>
    <cellStyle name="Normal 24 2" xfId="691" xr:uid="{4685D59C-D238-4FFC-8FDF-99F40A9087D2}"/>
    <cellStyle name="Normal 24 2 2" xfId="692" xr:uid="{1E7B9569-0CD5-447C-B379-585152164559}"/>
    <cellStyle name="Normal 24 3" xfId="693" xr:uid="{94DF842D-410D-4CBC-8F0B-4919CBD36FF2}"/>
    <cellStyle name="Normal 24 4" xfId="694" xr:uid="{22E11723-5036-486A-9791-E89B93EC1623}"/>
    <cellStyle name="Normal 25" xfId="695" xr:uid="{4118742C-5DFE-4F34-862B-D9731109B147}"/>
    <cellStyle name="Normal 25 2" xfId="696" xr:uid="{CCFF68EE-956B-4F9F-B2CE-81DB12C8A864}"/>
    <cellStyle name="Normal 25 2 2" xfId="697" xr:uid="{2255F65C-B862-434D-84D0-31F4156F7FC8}"/>
    <cellStyle name="Normal 25 3" xfId="698" xr:uid="{7B8D6BE2-223A-412E-BEE3-652801FE4FF4}"/>
    <cellStyle name="Normal 25 4" xfId="699" xr:uid="{5ECB05F6-19FD-412E-BB92-1374AB135516}"/>
    <cellStyle name="Normal 26" xfId="700" xr:uid="{5B9C55B5-E491-4779-8C01-FE92E4F6D45A}"/>
    <cellStyle name="Normal 26 2" xfId="701" xr:uid="{46315CF6-228F-4BD5-A8EA-F9406BB0654D}"/>
    <cellStyle name="Normal 26 2 2" xfId="702" xr:uid="{917ED0D9-49AB-4B82-9747-D9D3223B9ED7}"/>
    <cellStyle name="Normal 26 3" xfId="703" xr:uid="{617D57FC-1C92-4DAF-9E1D-FEC38FC4B5B9}"/>
    <cellStyle name="Normal 26 4" xfId="704" xr:uid="{4D9A838C-D9EF-4796-B4A6-9FC8AD173F13}"/>
    <cellStyle name="Normal 27" xfId="705" xr:uid="{10875621-8405-469B-BA1A-9D45C0E0BD6B}"/>
    <cellStyle name="Normal 28" xfId="706" xr:uid="{D916CE6E-32C3-4F74-A276-67736FD4B9D7}"/>
    <cellStyle name="Normal 28 2" xfId="707" xr:uid="{99435584-3DCF-4724-A156-9B66F6811448}"/>
    <cellStyle name="Normal 29" xfId="708" xr:uid="{3924187F-819D-46A7-8F68-868FC9FBDC75}"/>
    <cellStyle name="Normal 3" xfId="184" xr:uid="{AACB58AB-2EA9-4B4B-94E3-C8FB8C07F5EF}"/>
    <cellStyle name="Normal 3 2" xfId="113" xr:uid="{911DF96C-CBDC-429C-8278-E0A6F2D669BC}"/>
    <cellStyle name="Normal 3 3" xfId="185" xr:uid="{7FAF3B05-3969-45D0-B4DC-D0825DDDFD16}"/>
    <cellStyle name="Normal 3 3 2" xfId="710" xr:uid="{665B782C-B6FC-46D2-AB5A-5D77E4A84D26}"/>
    <cellStyle name="Normal 3 3 3" xfId="711" xr:uid="{19711972-548F-4F4B-8790-43F037CB579B}"/>
    <cellStyle name="Normal 3 3_Summary Forecast" xfId="709" xr:uid="{08B1ECFB-E0DF-4CE9-AFAB-BF5A84BAC85F}"/>
    <cellStyle name="Normal 3 4" xfId="186" xr:uid="{659520F3-15FF-488A-8BA2-402F484933B1}"/>
    <cellStyle name="Normal 3 5" xfId="712" xr:uid="{0C2DEF65-D165-45EF-9A50-54D45EEA1B33}"/>
    <cellStyle name="Normal 3 5 2" xfId="713" xr:uid="{57C049C2-D5BD-4115-8CEF-54FAE54A8EA8}"/>
    <cellStyle name="Normal 3 5 3" xfId="714" xr:uid="{16D7FEBD-EDE9-4002-BE0C-670B774B1628}"/>
    <cellStyle name="Normal 3_29(d) - Gas extensions -tariffs" xfId="715" xr:uid="{6610AD22-4EA2-4F67-9FFE-BCFD506CBB99}"/>
    <cellStyle name="Normal 30" xfId="716" xr:uid="{161935CC-4472-4874-B47A-2F15F010B109}"/>
    <cellStyle name="Normal 31" xfId="717" xr:uid="{B501586B-7143-433A-884A-736269FF8516}"/>
    <cellStyle name="Normal 32" xfId="718" xr:uid="{E4CEBA0D-6126-4AE5-9FEB-D74B075EF9EF}"/>
    <cellStyle name="Normal 32 2" xfId="719" xr:uid="{EE810C93-A216-48A4-8227-6EA9D621A17C}"/>
    <cellStyle name="Normal 33" xfId="720" xr:uid="{9094576C-261D-4735-BF80-1EE9A3335E64}"/>
    <cellStyle name="Normal 34" xfId="721" xr:uid="{5F869E79-17E4-476E-998F-C5B3339767DF}"/>
    <cellStyle name="Normal 34 2" xfId="722" xr:uid="{27ED38A7-674F-4E1A-8F5C-8857BADBBFD6}"/>
    <cellStyle name="Normal 35" xfId="723" xr:uid="{3CA41842-22C7-4E39-B13A-EB5CED883602}"/>
    <cellStyle name="Normal 36" xfId="724" xr:uid="{7A241DE3-1DBB-4D06-9401-59BEA9381304}"/>
    <cellStyle name="Normal 37" xfId="725" xr:uid="{34B046BA-7D05-4445-8029-49811EDC9AA7}"/>
    <cellStyle name="Normal 37 2" xfId="726" xr:uid="{151EFE9A-FCF9-40D4-9FA6-BD3030B513E9}"/>
    <cellStyle name="Normal 38" xfId="727" xr:uid="{B1ACD223-3C34-43F3-BD4E-8B2503320A38}"/>
    <cellStyle name="Normal 38 2" xfId="728" xr:uid="{D87B13F6-E82C-49C5-8239-1DC6B9506BC9}"/>
    <cellStyle name="Normal 38_29(d) - Gas extensions -tariffs" xfId="729" xr:uid="{ACABB3B1-6524-44E0-9530-250017F97E72}"/>
    <cellStyle name="Normal 39" xfId="730" xr:uid="{BCE11474-636E-4C94-B880-DEE01065E046}"/>
    <cellStyle name="Normal 4" xfId="187" xr:uid="{85164EBD-586E-421D-B090-94C2B5464E7E}"/>
    <cellStyle name="Normal 4 2" xfId="188" xr:uid="{3883E9F4-11E1-4C58-8B8D-9AA577C8B4E1}"/>
    <cellStyle name="Normal 4 2 2" xfId="189" xr:uid="{ABA35CF7-768B-4DF3-8EA2-293CC89B96E3}"/>
    <cellStyle name="Normal 4 2 2 2" xfId="732" xr:uid="{BA09B42B-4591-456B-9727-B4BDA0A2E8DF}"/>
    <cellStyle name="Normal 4 2 2 2 2" xfId="733" xr:uid="{A075952A-8B98-461A-943D-74DF03E1EF3B}"/>
    <cellStyle name="Normal 4 2 2 2 3" xfId="734" xr:uid="{B2F22013-3455-4FF7-BEC3-E7CA8A0662F3}"/>
    <cellStyle name="Normal 4 2 2 3" xfId="735" xr:uid="{C3D64CD0-C924-48FF-A6F7-F8968A27FC95}"/>
    <cellStyle name="Normal 4 2 2 4" xfId="736" xr:uid="{8881D7A2-4530-4D8F-981F-22B7695E50A2}"/>
    <cellStyle name="Normal 4 2 3" xfId="737" xr:uid="{D840E83F-3757-4248-8E86-F376EFC6C92E}"/>
    <cellStyle name="Normal 4 2 3 2" xfId="738" xr:uid="{0E8498F0-0637-45DA-80D6-93A1A78C2D3F}"/>
    <cellStyle name="Normal 4 2 3 2 2" xfId="739" xr:uid="{B6AAF8DE-86ED-4A1F-95C0-AD786587AA1A}"/>
    <cellStyle name="Normal 4 2 3 2 3" xfId="740" xr:uid="{E205FC13-19A6-4B76-8CD4-DEE5C00F3DAC}"/>
    <cellStyle name="Normal 4 2 3 3" xfId="741" xr:uid="{28BB24ED-166F-42CF-9E9E-EF2C0855CD9A}"/>
    <cellStyle name="Normal 4 2 3 4" xfId="742" xr:uid="{36E6C315-0E61-4746-9D96-CF890CE3797F}"/>
    <cellStyle name="Normal 4 2_Summary Forecast" xfId="731" xr:uid="{26CB5A4F-C9BA-40C2-A70C-33F278287F38}"/>
    <cellStyle name="Normal 4 3" xfId="743" xr:uid="{FC8CD929-3745-4146-9146-C09343FE847D}"/>
    <cellStyle name="Normal 4 3 2" xfId="744" xr:uid="{8F6E3029-9258-485D-B633-1278978DE8A0}"/>
    <cellStyle name="Normal 4 3 2 2" xfId="745" xr:uid="{7B683128-880B-4FBA-AD3E-06A931D3C61E}"/>
    <cellStyle name="Normal 4 3 2 3" xfId="746" xr:uid="{527FB821-C497-402D-8FE3-29079B0FD5AC}"/>
    <cellStyle name="Normal 4 3 3" xfId="747" xr:uid="{13FC9D40-32FE-46FD-AF81-222667F57B2C}"/>
    <cellStyle name="Normal 4 3 3 2" xfId="748" xr:uid="{D278E692-DB3D-4479-8A68-81513D3876F9}"/>
    <cellStyle name="Normal 4 3 4" xfId="749" xr:uid="{EAF822C0-3D1F-4CB7-9CF9-60A7E2F03976}"/>
    <cellStyle name="Normal 4 3 5" xfId="750" xr:uid="{E9204C41-6AE0-42CB-A2C0-796FDC162603}"/>
    <cellStyle name="Normal 4 4" xfId="751" xr:uid="{4C7039E0-7D13-4918-BD43-35A5D0247347}"/>
    <cellStyle name="Normal 4 5" xfId="752" xr:uid="{BF9A1FC8-4AF5-461A-81CC-87EEDE37B096}"/>
    <cellStyle name="Normal 4 6" xfId="753" xr:uid="{3C3AB15F-0CE5-4CF4-9D13-BB67B377ACFB}"/>
    <cellStyle name="Normal 4_29(d) - Gas extensions -tariffs" xfId="754" xr:uid="{C286D01F-38F3-4C45-89A5-933A6E14C8B0}"/>
    <cellStyle name="Normal 40" xfId="755" xr:uid="{CE90D4AA-E3A6-4EA1-8106-B6EA89336183}"/>
    <cellStyle name="Normal 40 2" xfId="756" xr:uid="{605856BC-F17C-41D9-9649-525598FC113E}"/>
    <cellStyle name="Normal 40_29(d) - Gas extensions -tariffs" xfId="757" xr:uid="{C50295B2-6891-4FE7-BCD0-2F4FA7048FEB}"/>
    <cellStyle name="Normal 41" xfId="758" xr:uid="{9DD636E0-25CD-4012-B2CC-C0EB2C0660CA}"/>
    <cellStyle name="Normal 42" xfId="105" xr:uid="{6B566B28-77E1-4FF9-89BD-75C9B475E776}"/>
    <cellStyle name="Normal 43" xfId="1092" xr:uid="{A6F8AFC1-3529-4931-A262-5884212B4E9A}"/>
    <cellStyle name="Normal 5" xfId="190" xr:uid="{6D68C77F-310D-4F96-AAA2-50450E0D3C94}"/>
    <cellStyle name="Normal 5 2" xfId="191" xr:uid="{BBC0FE6F-9719-4524-B032-73373F674E9F}"/>
    <cellStyle name="Normal 5 2 2" xfId="760" xr:uid="{0FEA054A-9D1A-4AA9-A1FC-D45915A52D21}"/>
    <cellStyle name="Normal 5 2_Summary Forecast" xfId="759" xr:uid="{7AAD0BF1-1D3C-4A37-BD07-2240B7A14B5D}"/>
    <cellStyle name="Normal 5 3" xfId="192" xr:uid="{967F9AF1-B73A-4C44-8693-10145AECF865}"/>
    <cellStyle name="Normal 5 4" xfId="193" xr:uid="{C1E8F0A3-31D1-4108-8B7E-C4866BC29782}"/>
    <cellStyle name="Normal 5 4 2" xfId="194" xr:uid="{CDA2B685-3F29-4E07-837D-F5A6D1B5CB02}"/>
    <cellStyle name="Normal 59" xfId="116" xr:uid="{F8F81AA9-C257-4D94-888F-CAD23AE5BFB4}"/>
    <cellStyle name="Normal 6" xfId="195" xr:uid="{828B1B36-1835-4F47-9909-5FE69DFA449E}"/>
    <cellStyle name="Normal 6 2" xfId="196" xr:uid="{5F3F0FE5-AE95-4D6E-8BEB-A76A26FD721E}"/>
    <cellStyle name="Normal 6 2 2" xfId="197" xr:uid="{7121EE29-B5E5-4DEA-8D4F-7ED82D58FD78}"/>
    <cellStyle name="Normal 6 2_Summary Forecast" xfId="762" xr:uid="{49CF602F-0D6D-4BB5-9F3B-6A1985D1A323}"/>
    <cellStyle name="Normal 6 3" xfId="198" xr:uid="{C9EFC742-A69D-4C47-BF49-BA1E57F8C069}"/>
    <cellStyle name="Normal 6_Summary Forecast" xfId="761" xr:uid="{2C1ACE4A-0944-4BFE-A081-08AC5A4B5C4D}"/>
    <cellStyle name="Normal 7" xfId="199" xr:uid="{F5ED1CB6-4A0B-4C5F-83B2-D972F53B4647}"/>
    <cellStyle name="Normal 7 2" xfId="200" xr:uid="{C98D7E53-C3A8-4C46-B134-57E010193BF1}"/>
    <cellStyle name="Normal 7 2 2" xfId="765" xr:uid="{3DAC9490-E8E9-4AA4-B7EB-C6422C9FD9BC}"/>
    <cellStyle name="Normal 7 2 2 2" xfId="766" xr:uid="{03C2B0A9-7611-4E4B-A1E1-A662E9B817AE}"/>
    <cellStyle name="Normal 7 2 2 3" xfId="767" xr:uid="{FCD8D066-F6E1-494B-B2A7-89824B55AD65}"/>
    <cellStyle name="Normal 7 2 3" xfId="768" xr:uid="{FD54F3AA-D2E5-4611-A8D1-49D38D4B9699}"/>
    <cellStyle name="Normal 7 2 4" xfId="769" xr:uid="{8CE87F98-0AE2-4FF0-B1AD-13D9D8AD13E3}"/>
    <cellStyle name="Normal 7 2_Summary Forecast" xfId="764" xr:uid="{E51F3617-ECFD-44A8-8D74-29D0A22BE734}"/>
    <cellStyle name="Normal 7 3" xfId="770" xr:uid="{45021B1F-89F5-443C-8C91-CEE94CE87893}"/>
    <cellStyle name="Normal 7_Summary Forecast" xfId="763" xr:uid="{512C24A6-04A3-4F77-AF46-83DB33BA8079}"/>
    <cellStyle name="Normal 8" xfId="201" xr:uid="{E1E72CE0-9BE6-4FF3-902B-727D6D145EE5}"/>
    <cellStyle name="Normal 8 2" xfId="202" xr:uid="{0141A02D-C5D7-49FB-8ED3-6D7ADA11E039}"/>
    <cellStyle name="Normal 8 2 2" xfId="772" xr:uid="{06E2494A-3AA1-4CB9-959F-B18CE0D631F8}"/>
    <cellStyle name="Normal 8 2 3" xfId="773" xr:uid="{3C8168CC-01C4-4ECC-A4AD-0938061F729A}"/>
    <cellStyle name="Normal 8 2 3 2" xfId="774" xr:uid="{9404FA3B-76A3-4BCC-B93A-0CED86FE89C8}"/>
    <cellStyle name="Normal 8 2 3 3" xfId="775" xr:uid="{DA884A49-E248-4406-9C25-045CA882BD25}"/>
    <cellStyle name="Normal 8 2 4" xfId="776" xr:uid="{93CF55D9-0281-4150-9990-D4744209CC00}"/>
    <cellStyle name="Normal 8_Summary Forecast" xfId="771" xr:uid="{04BD6FA3-7794-459E-919E-E4CA1A9E7BF4}"/>
    <cellStyle name="Normal 9" xfId="203" xr:uid="{2A0B461C-95B5-48D7-A5AF-F5EF7D706DC6}"/>
    <cellStyle name="Normal 9 2" xfId="204" xr:uid="{4499BB87-2822-4C28-98BB-33396510B78A}"/>
    <cellStyle name="Normal 9 2 2" xfId="205" xr:uid="{CA670397-3B40-4472-88B8-B4A2C4C69CF5}"/>
    <cellStyle name="Normal 9 2_Summary Forecast" xfId="778" xr:uid="{3480D126-29F9-4BFE-A126-15860D2AF07A}"/>
    <cellStyle name="Normal 9_Summary Forecast" xfId="777" xr:uid="{942D3520-3383-4C35-9EA0-BF2FC362B97C}"/>
    <cellStyle name="Note" xfId="78" builtinId="10" customBuiltin="1"/>
    <cellStyle name="Note 2" xfId="206" xr:uid="{345893FD-E78F-409B-9DE7-D61382BC83BE}"/>
    <cellStyle name="Note 2 2" xfId="207" xr:uid="{05413892-AFEA-4DB2-9128-B49F9730054C}"/>
    <cellStyle name="Note 2 2 2" xfId="781" xr:uid="{7C693450-E9B7-48DF-858D-3EF6D81D21E3}"/>
    <cellStyle name="Note 2 2 2 2" xfId="782" xr:uid="{FA794AC4-5E0E-49A4-91F0-A85B0CD552D4}"/>
    <cellStyle name="Note 2 2 2 3" xfId="783" xr:uid="{560ED174-7D07-4F4B-ACEA-340E9A8117B0}"/>
    <cellStyle name="Note 2 2 3" xfId="784" xr:uid="{943A37E7-06F8-48E0-8175-D655BC430929}"/>
    <cellStyle name="Note 2 2 4" xfId="785" xr:uid="{D2FCBD5B-BEF8-45D5-92EB-DAAF7FAE604A}"/>
    <cellStyle name="Note 2 2 5" xfId="786" xr:uid="{1A53BD1B-1071-482B-B608-D288DA1833B9}"/>
    <cellStyle name="Note 2 2_Summary Forecast" xfId="780" xr:uid="{DD349A8D-1317-4FFF-9BCC-DE721F0A2DB2}"/>
    <cellStyle name="Note 2 3" xfId="787" xr:uid="{5089D6DB-BBB6-4004-A297-58B82A0031C3}"/>
    <cellStyle name="Note 2 3 2" xfId="788" xr:uid="{EBE83396-7FBC-4BC2-8B5A-880AA08DFEC1}"/>
    <cellStyle name="Note 2 3 2 2" xfId="789" xr:uid="{F655E079-E4C6-4CC1-B483-F41E85ADB895}"/>
    <cellStyle name="Note 2 3 2 3" xfId="790" xr:uid="{16858C10-8F5D-48B9-92D8-9C0D079E8F1D}"/>
    <cellStyle name="Note 2 3 3" xfId="791" xr:uid="{A230F33C-4D8B-455E-A54B-DBC3C1B61F1B}"/>
    <cellStyle name="Note 2 3 4" xfId="792" xr:uid="{5C16BDC0-8D94-4FDC-AECF-AE84B8CB4D4B}"/>
    <cellStyle name="Note 2 3 5" xfId="793" xr:uid="{AC2AB4C6-8887-495C-AB77-13C2D20F822F}"/>
    <cellStyle name="Note 2 4" xfId="794" xr:uid="{E9E5CC7C-9A2B-4953-894F-FE3D0393AF8D}"/>
    <cellStyle name="Note 2 4 2" xfId="795" xr:uid="{637765DD-0BD0-4F13-BA0A-096E69DC1BCF}"/>
    <cellStyle name="Note 2 4 2 2" xfId="796" xr:uid="{A4885D32-6C54-4A74-8224-ED6FA8F9DC8F}"/>
    <cellStyle name="Note 2 4 2 3" xfId="797" xr:uid="{B6B7FB3A-B687-4773-A39F-914FE3AB1C57}"/>
    <cellStyle name="Note 2 4 3" xfId="798" xr:uid="{F7D9F4C7-7294-4ABE-9A2F-96A4FDAEDFBF}"/>
    <cellStyle name="Note 2 4 4" xfId="799" xr:uid="{2DDB89EF-5C9B-405A-A383-C6420BE7FE3B}"/>
    <cellStyle name="Note 2 5" xfId="800" xr:uid="{3761E879-94EC-4D50-8752-CFDDCCA455DD}"/>
    <cellStyle name="Note 2 5 2" xfId="801" xr:uid="{926DA887-591D-4AEE-9403-5F0830FF4B22}"/>
    <cellStyle name="Note 2 5 2 2" xfId="802" xr:uid="{52BAF258-AB38-4142-83B7-2C84EE2380CD}"/>
    <cellStyle name="Note 2 5 2 3" xfId="803" xr:uid="{7AB1B839-7AB7-4456-A121-76E237B0C5A2}"/>
    <cellStyle name="Note 2 5 3" xfId="804" xr:uid="{555844F8-6FD8-42B6-9203-99E2A144E215}"/>
    <cellStyle name="Note 2 5 4" xfId="805" xr:uid="{42979930-116C-4928-9DB3-764B257735C8}"/>
    <cellStyle name="Note 2 6" xfId="806" xr:uid="{C95B81F6-D6E6-4C83-889A-D7CB1CA5139D}"/>
    <cellStyle name="Note 2 6 2" xfId="807" xr:uid="{3A7A1989-29F3-4BE9-80B6-445BC3D5F198}"/>
    <cellStyle name="Note 2 6 2 2" xfId="808" xr:uid="{FE2FE05D-49DC-443D-B942-693BF4CA5B94}"/>
    <cellStyle name="Note 2 6 2 3" xfId="809" xr:uid="{1059AB1E-6101-48CD-98BA-8AE181AA942C}"/>
    <cellStyle name="Note 2 6 3" xfId="810" xr:uid="{EDB40933-2FD6-497E-86B0-9C03881006CD}"/>
    <cellStyle name="Note 2 6 4" xfId="811" xr:uid="{D4662091-9998-43B4-87CC-DDE74740E482}"/>
    <cellStyle name="Note 2 7" xfId="812" xr:uid="{4560988C-C8EB-48AE-B5E3-264CE8979FB6}"/>
    <cellStyle name="Note 2 8" xfId="813" xr:uid="{31BE8CCD-CAA7-4988-9BBE-182203828EF1}"/>
    <cellStyle name="Note 2 9" xfId="814" xr:uid="{0673BA5A-5F19-4FD1-8834-C03D99CEF091}"/>
    <cellStyle name="Note 2_Summary Forecast" xfId="779" xr:uid="{33C115D6-0D46-44E2-903C-E78F4B958162}"/>
    <cellStyle name="Note 3" xfId="815" xr:uid="{9E965F1F-AE41-4366-9871-A03E8F0B6671}"/>
    <cellStyle name="Note 3 2" xfId="816" xr:uid="{A3AE967A-EA5D-4EDE-BE09-441FA979087C}"/>
    <cellStyle name="Note 3 2 2" xfId="817" xr:uid="{F68A8A3A-0A4C-43F5-A644-A4618D13A397}"/>
    <cellStyle name="Note 3 3" xfId="818" xr:uid="{99CD36FE-278E-40E1-908E-408D1AD1D3AE}"/>
    <cellStyle name="Note 3 3 2" xfId="819" xr:uid="{F24F2A8F-8A11-4E18-B60D-8C74761FE709}"/>
    <cellStyle name="Note 3 4" xfId="820" xr:uid="{0AC44F9E-7224-4636-957E-2426FCC2BA35}"/>
    <cellStyle name="Note 4" xfId="821" xr:uid="{3D9365DC-2EF8-497F-82E8-67ACABFDB0D6}"/>
    <cellStyle name="Note 4 2" xfId="822" xr:uid="{1751B40D-2AC4-4561-8A27-73333BD631B0}"/>
    <cellStyle name="Note 4 2 2" xfId="823" xr:uid="{1B97585C-B13E-4F8F-9B4F-B66D12EEAF88}"/>
    <cellStyle name="Note 4 3" xfId="824" xr:uid="{88062AEA-C16C-4641-BCEF-7FBF65511F50}"/>
    <cellStyle name="Note 4 3 2" xfId="825" xr:uid="{A5DC02DD-0AA3-438B-8AC3-76452867F260}"/>
    <cellStyle name="Note 4 4" xfId="826" xr:uid="{39F1E219-C04C-45D7-8451-B7A50241860C}"/>
    <cellStyle name="Number." xfId="19" xr:uid="{466D6628-760B-4D08-B5BF-CFEDDFEA5261}"/>
    <cellStyle name="Output" xfId="73" builtinId="21" customBuiltin="1"/>
    <cellStyle name="Output 2" xfId="827" xr:uid="{CA5EC4EB-ECAC-44C4-9530-59140799E9E8}"/>
    <cellStyle name="Output 2 10" xfId="828" xr:uid="{9EFA8C53-2F6D-490D-8FC2-E744FB171B7E}"/>
    <cellStyle name="Output 2 11" xfId="829" xr:uid="{84A4B3EB-3C39-4ED7-8E47-1A41643BEAD8}"/>
    <cellStyle name="Output 2 12" xfId="830" xr:uid="{C8A202F5-BE65-4166-958E-D2E9DFCB95B1}"/>
    <cellStyle name="Output 2 2" xfId="831" xr:uid="{52CD348A-1EBC-4A49-ABEF-1B3E71FFEA3B}"/>
    <cellStyle name="Output 2 2 2" xfId="832" xr:uid="{3EAF9C22-4671-4AB2-88E3-CC8EAF35FC8E}"/>
    <cellStyle name="Output 2 2 2 2" xfId="833" xr:uid="{760CE8CE-C102-422E-8CFC-73DF23341D3B}"/>
    <cellStyle name="Output 2 2 2 3" xfId="834" xr:uid="{6B72205A-D7A2-42BD-A95A-C55DF971462E}"/>
    <cellStyle name="Output 2 2 3" xfId="835" xr:uid="{19114F12-FD8A-4904-A69B-486B60A3C6C5}"/>
    <cellStyle name="Output 2 2 3 2" xfId="836" xr:uid="{B1D2DCDD-DC9F-49F7-806A-6BDA533EA1D0}"/>
    <cellStyle name="Output 2 2 3 3" xfId="837" xr:uid="{C3568776-4B50-42DF-95D6-17BE2559F534}"/>
    <cellStyle name="Output 2 2 4" xfId="838" xr:uid="{9CDC8BDF-595E-432F-B518-3FEA8ECA2AB9}"/>
    <cellStyle name="Output 2 2 5" xfId="839" xr:uid="{D22ACEA4-55FF-43A3-9689-81C14A24D3E4}"/>
    <cellStyle name="Output 2 2 6" xfId="840" xr:uid="{28B55DC0-D585-4F4A-8A41-7FF7806961F5}"/>
    <cellStyle name="Output 2 3" xfId="841" xr:uid="{F8AC862D-E845-430F-B13B-26126CC5A363}"/>
    <cellStyle name="Output 2 3 2" xfId="842" xr:uid="{A9D954BB-859B-4DE6-B96A-C760808534B6}"/>
    <cellStyle name="Output 2 3 2 2" xfId="843" xr:uid="{6D3D7ED4-C48D-4D4A-83F5-BBC90ECEDC88}"/>
    <cellStyle name="Output 2 3 2 3" xfId="844" xr:uid="{C1968D47-3077-45F7-91EB-4750F4B4E7B7}"/>
    <cellStyle name="Output 2 3 3" xfId="845" xr:uid="{29BE4F4B-3EB6-44D3-B1A9-54B69B6241ED}"/>
    <cellStyle name="Output 2 3 3 2" xfId="846" xr:uid="{E080BA78-2E6F-4E76-98EA-DBFBAE0A7092}"/>
    <cellStyle name="Output 2 3 3 3" xfId="847" xr:uid="{24963D65-966F-462C-8A3D-DF304AAB091F}"/>
    <cellStyle name="Output 2 3 4" xfId="848" xr:uid="{F2E11C47-C4AD-4B3E-953B-864AD8A2E3D7}"/>
    <cellStyle name="Output 2 3 5" xfId="849" xr:uid="{FBC5933C-A6FB-49A5-A93D-C9FB3F52A1E8}"/>
    <cellStyle name="Output 2 3 6" xfId="850" xr:uid="{CA75DE00-6DF0-464B-9012-4FED14E6408D}"/>
    <cellStyle name="Output 2 4" xfId="851" xr:uid="{B9D44640-9083-489E-9820-15AFDC1BE5DD}"/>
    <cellStyle name="Output 2 4 2" xfId="852" xr:uid="{48B7BD76-923E-4AFC-85AE-F8DC54ED0E14}"/>
    <cellStyle name="Output 2 4 2 2" xfId="853" xr:uid="{0BA52299-2714-4B0F-A502-81AD5FA71226}"/>
    <cellStyle name="Output 2 4 2 3" xfId="854" xr:uid="{29554A05-83EE-427D-BF33-4152B2C83AE3}"/>
    <cellStyle name="Output 2 4 3" xfId="855" xr:uid="{293971DD-EBB5-4D65-BFCC-2989FC6C2840}"/>
    <cellStyle name="Output 2 4 3 2" xfId="856" xr:uid="{5401AB9C-3E07-4464-8342-38A1B9C42808}"/>
    <cellStyle name="Output 2 4 3 3" xfId="857" xr:uid="{4E63B546-4667-4C7C-A839-0CC8933B9243}"/>
    <cellStyle name="Output 2 4 4" xfId="858" xr:uid="{6929C82B-7FBA-44EF-8816-F4285FA2E0FA}"/>
    <cellStyle name="Output 2 4 5" xfId="859" xr:uid="{B80D7C59-634C-4EBD-897D-AEA7337F8D61}"/>
    <cellStyle name="Output 2 5" xfId="860" xr:uid="{CBA72BB0-0DFD-46EF-BA4B-CF9EDAB5B2F1}"/>
    <cellStyle name="Output 2 5 2" xfId="861" xr:uid="{90C2369D-1871-47C7-B621-31B1E57E9C05}"/>
    <cellStyle name="Output 2 5 2 2" xfId="862" xr:uid="{768A226E-2597-4B08-934F-1BC62B642BF8}"/>
    <cellStyle name="Output 2 5 2 3" xfId="863" xr:uid="{6BE57E06-EE70-4EB0-B734-AA9915C2604F}"/>
    <cellStyle name="Output 2 5 3" xfId="864" xr:uid="{037BD815-5B47-4B59-97A9-22BAAEBFE2F6}"/>
    <cellStyle name="Output 2 5 3 2" xfId="865" xr:uid="{41AF86A1-688A-45FB-A466-9EFD6C8ADA70}"/>
    <cellStyle name="Output 2 5 3 3" xfId="866" xr:uid="{76137281-14CE-458B-A22B-3B2B2740BC17}"/>
    <cellStyle name="Output 2 5 4" xfId="867" xr:uid="{6065A1D5-6AB4-4CD5-85DA-27600A7C3170}"/>
    <cellStyle name="Output 2 5 5" xfId="868" xr:uid="{A1C66B2A-9EB7-4D53-A9DF-9695CE38080D}"/>
    <cellStyle name="Output 2 6" xfId="869" xr:uid="{BDD6780C-4B82-43A0-B1D4-19BE838F2811}"/>
    <cellStyle name="Output 2 6 2" xfId="870" xr:uid="{0119F035-C118-4C27-BC24-52073CE39FE5}"/>
    <cellStyle name="Output 2 6 2 2" xfId="871" xr:uid="{598B096D-0A53-4454-B4AD-25504F6D63E5}"/>
    <cellStyle name="Output 2 6 2 3" xfId="872" xr:uid="{8F5666C8-6934-4A13-9E83-DAB4F3E11142}"/>
    <cellStyle name="Output 2 6 3" xfId="873" xr:uid="{C22C84F1-1D5B-4B6F-B4D9-9F9C6A17D2D3}"/>
    <cellStyle name="Output 2 6 3 2" xfId="874" xr:uid="{643CED52-5C3D-4AB3-967E-34188ACE9030}"/>
    <cellStyle name="Output 2 6 3 3" xfId="875" xr:uid="{D7075F5D-E7F7-45ED-A179-4958B67B0CEB}"/>
    <cellStyle name="Output 2 6 4" xfId="876" xr:uid="{D891BF9D-7FC2-4CCF-A39A-7C731FE68F18}"/>
    <cellStyle name="Output 2 6 5" xfId="877" xr:uid="{C2595F4C-ECD4-40D5-9098-5F1248632256}"/>
    <cellStyle name="Output 2 7" xfId="878" xr:uid="{B8C6D30E-10DE-408B-A129-1D3552D04984}"/>
    <cellStyle name="Output 2 7 2" xfId="879" xr:uid="{84C1EC89-7F7D-4ED6-9D63-9D76911C3644}"/>
    <cellStyle name="Output 2 7 2 2" xfId="880" xr:uid="{5F43FFFC-9960-48F2-9966-C427B649E7AF}"/>
    <cellStyle name="Output 2 7 2 3" xfId="881" xr:uid="{AABAAE2A-B85A-439B-8D5D-2B15FAFDFDA8}"/>
    <cellStyle name="Output 2 7 3" xfId="882" xr:uid="{482F1583-161C-48AC-9E53-3891A612074C}"/>
    <cellStyle name="Output 2 7 3 2" xfId="883" xr:uid="{C98192A3-A471-4F48-A646-8FCC83442976}"/>
    <cellStyle name="Output 2 7 3 3" xfId="884" xr:uid="{CEA0A4BE-AC60-489F-A273-E0F4C5C4B131}"/>
    <cellStyle name="Output 2 7 4" xfId="885" xr:uid="{3B42DD69-8D14-4FAB-AA94-A6A94C020A0C}"/>
    <cellStyle name="Output 2 7 5" xfId="886" xr:uid="{58A7B5FC-4587-4125-AF7C-9FEC64BFA747}"/>
    <cellStyle name="Output 2 8" xfId="887" xr:uid="{3412204C-8C0C-4F6F-862D-945D8C0BC3A6}"/>
    <cellStyle name="Output 2 8 2" xfId="888" xr:uid="{54BF8E06-631A-4A57-B875-91ADE85019B3}"/>
    <cellStyle name="Output 2 8 3" xfId="889" xr:uid="{FF887595-3061-4C4F-B7DE-224878EC16A2}"/>
    <cellStyle name="Output 2 9" xfId="890" xr:uid="{F001E5A8-281A-4AD7-A77E-55AEFD2F3E90}"/>
    <cellStyle name="Output 2 9 2" xfId="891" xr:uid="{36C4C6D3-6D63-4EB0-BD09-82D5A41D27AF}"/>
    <cellStyle name="Output 2 9 3" xfId="892" xr:uid="{3279810B-979F-4898-B1AB-41D9AED129A0}"/>
    <cellStyle name="Percent" xfId="63" builtinId="5" customBuiltin="1"/>
    <cellStyle name="Percent [2]" xfId="893" xr:uid="{FF5B455C-DEE9-4DA6-B12A-BD352DF0470E}"/>
    <cellStyle name="Percent [2] 2" xfId="894" xr:uid="{4447FECD-5DA0-49E3-B2FF-BFDEB2C36DA0}"/>
    <cellStyle name="Percent [2]_29(d) - Gas extensions -tariffs" xfId="895" xr:uid="{7FC50070-447B-493D-B9AB-2E440DC16AFF}"/>
    <cellStyle name="Percent 10" xfId="896" xr:uid="{A154949B-8FB6-4D08-84F1-9A08FC2458B1}"/>
    <cellStyle name="Percent 11" xfId="897" xr:uid="{59186563-2567-4F7A-826F-37CE4EF03FCB}"/>
    <cellStyle name="Percent 12" xfId="898" xr:uid="{AC59E15F-FF1C-4072-81F6-31CE4BD2428D}"/>
    <cellStyle name="Percent 12 2" xfId="899" xr:uid="{A277BBAA-3D53-4EFB-8AB6-8E4D3F7A5709}"/>
    <cellStyle name="Percent 12 2 2" xfId="900" xr:uid="{654B5D35-1B58-47FE-A22B-01BC73F4B37D}"/>
    <cellStyle name="Percent 12 3" xfId="901" xr:uid="{85C7A562-FCC3-435D-B214-61C8983731C5}"/>
    <cellStyle name="Percent 12 4" xfId="902" xr:uid="{0A9E481C-C19E-4937-BE5B-02CE8F0C87C9}"/>
    <cellStyle name="Percent 125" xfId="108" xr:uid="{248C780C-07A7-419E-9082-A886724E08E6}"/>
    <cellStyle name="Percent 13" xfId="110" xr:uid="{A23CF18F-77F4-40ED-B12E-BF1A78F11793}"/>
    <cellStyle name="Percent 14" xfId="1091" xr:uid="{865CD4A6-A90B-4EA6-A50E-595037E82FF2}"/>
    <cellStyle name="Percent 2" xfId="208" xr:uid="{CD74C1DC-3F78-472E-AC28-AD2572DF787D}"/>
    <cellStyle name="Percent 2 2" xfId="209" xr:uid="{42BA6A04-C1B7-40CA-BC4C-57F19204BD5B}"/>
    <cellStyle name="Percent 2 2 2" xfId="903" xr:uid="{99B6C577-A9CD-42D8-AC48-6BB2896DB4AC}"/>
    <cellStyle name="Percent 2 2 2 2" xfId="904" xr:uid="{E9DE0046-51F5-42D2-A61F-C7496A057DBC}"/>
    <cellStyle name="Percent 2 2 2 2 2" xfId="905" xr:uid="{AF80F041-D85C-4E69-9AB6-C6FF35D0369C}"/>
    <cellStyle name="Percent 2 2 2 2 3" xfId="906" xr:uid="{FAFC4FE4-171E-425B-88ED-11D600142F87}"/>
    <cellStyle name="Percent 2 2 2 3" xfId="907" xr:uid="{423F2A29-5795-44C2-A216-2D2CB3C0AF1F}"/>
    <cellStyle name="Percent 2 2 2 4" xfId="908" xr:uid="{B8553F43-8C74-41E3-8830-2129DF5C412F}"/>
    <cellStyle name="Percent 2 2 3" xfId="909" xr:uid="{35B16EBA-62CA-4B9E-B014-7829F5A84152}"/>
    <cellStyle name="Percent 2 2 3 2" xfId="910" xr:uid="{AA563984-8DFF-4C36-9E2D-44526FA55F80}"/>
    <cellStyle name="Percent 2 2 3 2 2" xfId="911" xr:uid="{594E3C39-123B-43CB-BC04-BC62EF41C259}"/>
    <cellStyle name="Percent 2 2 3 2 3" xfId="912" xr:uid="{715B2F77-0DD2-4095-BE8E-CA34C9146477}"/>
    <cellStyle name="Percent 2 2 3 3" xfId="913" xr:uid="{B09FD43A-704E-4558-BB6F-84795B55FA31}"/>
    <cellStyle name="Percent 2 2 3 4" xfId="914" xr:uid="{ACB6F250-BAEC-46C6-B270-1A244333B8AC}"/>
    <cellStyle name="Percent 2 3" xfId="915" xr:uid="{1A2BA71C-094B-49AF-AC91-20B3010FDD25}"/>
    <cellStyle name="Percent 2 3 2" xfId="916" xr:uid="{B987B2FB-CB2D-4E43-918A-22C39601209F}"/>
    <cellStyle name="Percent 2 3 2 2" xfId="917" xr:uid="{ED32109B-175B-473D-BD32-49A0C169A697}"/>
    <cellStyle name="Percent 2 3 2 3" xfId="918" xr:uid="{9CF2404D-D75B-459B-94DC-271085C7BAF4}"/>
    <cellStyle name="Percent 2 3 3" xfId="919" xr:uid="{A4101090-4C4D-46F3-8633-5C580ED3FCD6}"/>
    <cellStyle name="Percent 2 3 4" xfId="920" xr:uid="{EB8B94B2-29F8-4F81-971A-1621749D68DF}"/>
    <cellStyle name="Percent 2 4" xfId="921" xr:uid="{65EEFAB0-A920-40A5-8B4C-245C227FFF66}"/>
    <cellStyle name="Percent 2 4 2" xfId="922" xr:uid="{981F08DD-A446-4F6F-B69A-3F4001BADA5B}"/>
    <cellStyle name="Percent 2 4 2 2" xfId="923" xr:uid="{2964A8F2-ECEC-49D4-B244-5DFBB7600C41}"/>
    <cellStyle name="Percent 2 4 2 3" xfId="924" xr:uid="{88C42720-358B-4EDE-B685-EAED44507EEC}"/>
    <cellStyle name="Percent 2 4 3" xfId="925" xr:uid="{2CDCC629-9EDD-4310-B930-C245D55EA221}"/>
    <cellStyle name="Percent 2 4 4" xfId="926" xr:uid="{BE744AA0-2BFA-41EF-AC59-199FC13AC2E2}"/>
    <cellStyle name="Percent 3" xfId="210" xr:uid="{AD9E61BD-1AEA-4546-A3DF-15616D79DAB8}"/>
    <cellStyle name="Percent 3 2" xfId="927" xr:uid="{199E36F2-937D-47DD-BDDD-E2EBEE69F834}"/>
    <cellStyle name="Percent 3 3" xfId="928" xr:uid="{24C180EF-9B4C-41E3-A5D5-83B47BEAF8A3}"/>
    <cellStyle name="Percent 3 3 4" xfId="115" xr:uid="{EBBFA8FE-EF41-4AE3-BD58-A3120DB4A72F}"/>
    <cellStyle name="Percent 3 4" xfId="929" xr:uid="{5B151D29-8161-491E-90FC-D1A5E10666C5}"/>
    <cellStyle name="Percent 3 4 2" xfId="930" xr:uid="{076206A2-20C2-4BF7-A9E9-A011DEA35E7D}"/>
    <cellStyle name="Percent 3 4 3" xfId="931" xr:uid="{CD611929-DBB7-4BAD-A54A-E6159251F461}"/>
    <cellStyle name="Percent 4" xfId="211" xr:uid="{407375FC-0BA6-4C65-BEF9-FA17589ED66C}"/>
    <cellStyle name="Percent 4 2" xfId="212" xr:uid="{29C6A234-BF03-4014-9F3A-1CA48E09838E}"/>
    <cellStyle name="Percent 5" xfId="213" xr:uid="{C2EC505B-DC58-440A-A00B-59FBF6876F7A}"/>
    <cellStyle name="Percent 5 2" xfId="214" xr:uid="{D85415CB-D1A1-4E3B-8937-A179F8F46BAE}"/>
    <cellStyle name="Percent 5 2 2" xfId="215" xr:uid="{45579EC6-F4E9-412C-A889-3AE4F30AAD1F}"/>
    <cellStyle name="Percent 5 3" xfId="216" xr:uid="{CE62BD2E-8FD9-47E0-BD54-AA8498485673}"/>
    <cellStyle name="Percent 6" xfId="217" xr:uid="{169DDD46-D5F0-4A8B-8930-F38C88EB9F92}"/>
    <cellStyle name="Percent 7" xfId="218" xr:uid="{0EEA45D4-4898-40A1-8848-E7DD26808B45}"/>
    <cellStyle name="Percent 8" xfId="932" xr:uid="{ED9407C7-AA56-40C4-BC8A-5EFBF1397972}"/>
    <cellStyle name="Percent 9" xfId="933" xr:uid="{CB66EF50-2F57-47D8-A167-635923851C64}"/>
    <cellStyle name="Percentage" xfId="934" xr:uid="{0D0A9AEF-2706-4F3A-9B47-512B9EE9599B}"/>
    <cellStyle name="Percentage." xfId="20" xr:uid="{E5955600-AB20-4069-9DA0-56044657B638}"/>
    <cellStyle name="Period Title" xfId="935" xr:uid="{C6DD7AB0-E458-4C80-B653-CDB69DD9EED3}"/>
    <cellStyle name="Period Title." xfId="23" xr:uid="{EA6FF7D8-039C-42EE-AC03-E37D2EB107C9}"/>
    <cellStyle name="Presentation Currency." xfId="45" xr:uid="{9BC75E86-A178-4636-9BE7-F4F585C48FCD}"/>
    <cellStyle name="Presentation Date." xfId="47" xr:uid="{0ABCB727-42A3-40E3-B59B-FE1FCE829C1D}"/>
    <cellStyle name="Presentation Heading 1." xfId="37" xr:uid="{0E29EEC4-6FBD-47D5-8C8B-51FB33C5EDE4}"/>
    <cellStyle name="Presentation Heading 2." xfId="38" xr:uid="{97E7019B-DA0B-419E-8927-0A12EE4B93A3}"/>
    <cellStyle name="Presentation Heading 3." xfId="39" xr:uid="{54C3D5B7-7B52-4638-8BDF-4A468C04EAFF}"/>
    <cellStyle name="Presentation Heading 4." xfId="40" xr:uid="{2408D1FE-18B8-425D-A21F-6F258F8C37EC}"/>
    <cellStyle name="Presentation Hyperlink Arrow." xfId="50" xr:uid="{2F154767-1494-4A75-8DD1-065E37636332}"/>
    <cellStyle name="Presentation Hyperlink Check." xfId="51" xr:uid="{DC281271-91F4-4E30-950F-736660D27B20}"/>
    <cellStyle name="Presentation Hyperlink Text." xfId="49" xr:uid="{5D522113-9226-46F0-B2DF-7A985BBA1851}"/>
    <cellStyle name="Presentation Model Name." xfId="36" xr:uid="{3D5B6403-2C40-43D0-8553-DBABAD5010E1}"/>
    <cellStyle name="Presentation Multiple." xfId="44" xr:uid="{36EBFA3E-3787-4D65-883B-542C99257965}"/>
    <cellStyle name="Presentation Normal." xfId="56" xr:uid="{706DA33E-1A8C-4924-98A7-BFDB37EB4FA5}"/>
    <cellStyle name="Presentation Number." xfId="42" xr:uid="{25F36615-76D0-4FEA-B009-78F155D5916C}"/>
    <cellStyle name="Presentation Percentage." xfId="43" xr:uid="{757118E9-D5CE-4B27-8EE0-F55DD49021E5}"/>
    <cellStyle name="Presentation Period Title." xfId="48" xr:uid="{A959D1E0-08A6-420E-8BF0-8EA3F6461131}"/>
    <cellStyle name="Presentation Section Number." xfId="35" xr:uid="{BF444ACC-4DAF-4FF7-A84F-283229A40D34}"/>
    <cellStyle name="Presentation Sheet Title." xfId="34" xr:uid="{4AF62D5A-3854-46E7-A028-CADA64219AA7}"/>
    <cellStyle name="Presentation Sub Total." xfId="41" xr:uid="{AD37B7EB-D94C-4B5B-8C03-5CD78E489FC6}"/>
    <cellStyle name="Presentation TOC 1." xfId="52" xr:uid="{4CA96295-3A71-489E-B902-A5DFF1AEFE89}"/>
    <cellStyle name="Presentation TOC 2." xfId="53" xr:uid="{FBE57C1A-20C9-4E57-B8A2-49476F14E814}"/>
    <cellStyle name="Presentation TOC 3." xfId="54" xr:uid="{152A4CFC-CE84-48A5-86C2-45845E046EBC}"/>
    <cellStyle name="Presentation TOC 4." xfId="55" xr:uid="{13F57564-BDDB-4D65-AD6D-ED4855026E42}"/>
    <cellStyle name="Presentation Year." xfId="46" xr:uid="{75348323-AA1F-4394-8BF9-B888C2099FC7}"/>
    <cellStyle name="PSChar" xfId="936" xr:uid="{8DD74AA1-7CA4-404D-ABC7-164C99563458}"/>
    <cellStyle name="PSDate" xfId="937" xr:uid="{C822A270-D4D8-44B0-BC22-AC20BE96B205}"/>
    <cellStyle name="PSDec" xfId="938" xr:uid="{119D596F-1ED7-4DC7-9C03-C0EF2C443728}"/>
    <cellStyle name="PSDetail" xfId="939" xr:uid="{029AB3B8-0FC9-4DF1-A8E7-FA3494E029D9}"/>
    <cellStyle name="PSDetail 2" xfId="940" xr:uid="{8722D28B-D3F3-4EE4-8D6D-D8BDF9595968}"/>
    <cellStyle name="PSHeading" xfId="941" xr:uid="{FBB509E5-FBA1-4F58-9AB9-696506DD0274}"/>
    <cellStyle name="PSHeading 2" xfId="942" xr:uid="{49366CAD-2EE6-4C74-9E91-EBEDEFB7F9CB}"/>
    <cellStyle name="PSHeading 2 2" xfId="943" xr:uid="{7349EBCE-60AC-41F9-A3FF-9E06383232B5}"/>
    <cellStyle name="PSHeading 2 2 2" xfId="944" xr:uid="{C9C5700A-8268-4E4E-B609-46D197528D42}"/>
    <cellStyle name="PSHeading 2 3" xfId="945" xr:uid="{285568D7-DE49-4BA3-97BB-04BE069BD077}"/>
    <cellStyle name="PSHeading 3" xfId="946" xr:uid="{E1961815-4D2E-4095-993C-18543F072DA0}"/>
    <cellStyle name="PSHeading 3 2" xfId="947" xr:uid="{74C15F7F-B0DF-4960-90A4-030BF9ADB527}"/>
    <cellStyle name="PSHeading 3 2 2" xfId="948" xr:uid="{27D5CE97-E216-4BF1-BEAC-115069C27BB0}"/>
    <cellStyle name="PSHeading 3 2 2 2" xfId="949" xr:uid="{33BAE7E8-6F40-42C7-A3E7-AF9BDEC22810}"/>
    <cellStyle name="PSHeading 3 2 3" xfId="950" xr:uid="{DBFAD24C-CD64-4AD5-89CD-BFE04A75C884}"/>
    <cellStyle name="PSHeading 3 3" xfId="951" xr:uid="{A5D091DA-3BE3-4C45-8205-6DD4A4837AF5}"/>
    <cellStyle name="PSHeading 4" xfId="952" xr:uid="{48A133AB-D3B3-42BF-817F-C86AA14C25D9}"/>
    <cellStyle name="PSHeading 4 2" xfId="953" xr:uid="{B7C8E04D-7CC3-4A7C-B9E6-54AE8EEFDFDF}"/>
    <cellStyle name="PSHeading 5" xfId="954" xr:uid="{6E4152C8-5028-4CC3-8CCE-F56CA29CA915}"/>
    <cellStyle name="PSInt" xfId="955" xr:uid="{C9786E74-C769-41DB-A2BE-1FABAD4D334A}"/>
    <cellStyle name="PSSpacer" xfId="956" xr:uid="{6D987996-D552-49E2-8A23-99DA270D38E3}"/>
    <cellStyle name="Ratio" xfId="957" xr:uid="{900346C2-2450-4AD8-BCB7-B0F04105B8C2}"/>
    <cellStyle name="Ratio 2" xfId="958" xr:uid="{4116E892-A010-4788-B060-8A2C90458DD3}"/>
    <cellStyle name="Ratio_29(d) - Gas extensions -tariffs" xfId="959" xr:uid="{452D1415-5A64-40AD-9742-E509F3C5EE21}"/>
    <cellStyle name="Result" xfId="219" xr:uid="{D12FCD8D-7378-4FC2-B8C6-6939F322B3F1}"/>
    <cellStyle name="Result 2" xfId="220" xr:uid="{EA8B34FF-F5C7-4E99-A363-A580D5D74755}"/>
    <cellStyle name="Result2" xfId="221" xr:uid="{D2CE0B3B-2D9C-4248-990B-B429FF17392C}"/>
    <cellStyle name="Result2 2" xfId="222" xr:uid="{DDB9570E-85FE-4C0C-B1B4-C12708757AC6}"/>
    <cellStyle name="Right Date" xfId="960" xr:uid="{FAA902C9-71A3-4F13-8298-349840DE2AFB}"/>
    <cellStyle name="Right Number" xfId="961" xr:uid="{D9EA3034-5F28-4717-B43B-0053746612B6}"/>
    <cellStyle name="Right Year" xfId="962" xr:uid="{40B24E1D-6BA1-46DD-87BD-D82EE34F4D55}"/>
    <cellStyle name="RIN_Input$_3dp" xfId="963" xr:uid="{814B5DF8-3EA8-401A-809C-A18268E7D208}"/>
    <cellStyle name="rowfield" xfId="223" xr:uid="{54F8BF83-07BC-47E4-829A-B23AD4F00FB5}"/>
    <cellStyle name="rowfield 2" xfId="224" xr:uid="{3D8DE5B3-C89B-49D3-AA77-0F89F4246D02}"/>
    <cellStyle name="SAPError" xfId="964" xr:uid="{409F47F5-E1BA-4EF0-B4E6-DEA35255734C}"/>
    <cellStyle name="SAPError 2" xfId="965" xr:uid="{08AA7346-8C74-4397-9E9A-666E86675DB9}"/>
    <cellStyle name="SAPKey" xfId="966" xr:uid="{E2933505-1771-4838-9896-F8F2B8C1148D}"/>
    <cellStyle name="SAPKey 2" xfId="967" xr:uid="{7F6A6052-9642-4E6A-A94F-C993E507B94F}"/>
    <cellStyle name="SAPLocked" xfId="968" xr:uid="{D73C2A54-54C2-4725-8E1F-4C2414D9317E}"/>
    <cellStyle name="SAPLocked 2" xfId="969" xr:uid="{8F4A0D8C-B315-444A-8AC6-7111AFB63198}"/>
    <cellStyle name="SAPOutput" xfId="970" xr:uid="{3E673790-AEE8-4CBD-A990-6799C69009FF}"/>
    <cellStyle name="SAPOutput 2" xfId="971" xr:uid="{C60072A3-73AB-4D8F-88AA-FA9D76096584}"/>
    <cellStyle name="SAPSpace" xfId="972" xr:uid="{B64E2D93-79FB-44CF-B89A-BF9568EE8E01}"/>
    <cellStyle name="SAPSpace 2" xfId="973" xr:uid="{BE807A19-F77A-4097-804E-547002A3F808}"/>
    <cellStyle name="SAPText" xfId="974" xr:uid="{527E375A-8FD4-418D-B08D-E09740DF1FF6}"/>
    <cellStyle name="SAPText 2" xfId="975" xr:uid="{2E30360A-EE59-48DF-94E8-F5FA2679F2CE}"/>
    <cellStyle name="SAPUnLocked" xfId="976" xr:uid="{C9544ADC-DB1C-498D-B026-1BFE64F9B066}"/>
    <cellStyle name="SAPUnLocked 2" xfId="977" xr:uid="{9235F029-B517-46EF-9CE7-9A69B4C562D9}"/>
    <cellStyle name="Section Number." xfId="2" xr:uid="{47B32B88-FE55-4B1C-ACAB-A789A6B15D16}"/>
    <cellStyle name="Sheet Title" xfId="978" xr:uid="{91F69F92-BE53-4DFB-B6FE-892C88280274}"/>
    <cellStyle name="Sheet Title." xfId="1" xr:uid="{A6D9F5D5-692E-4965-B72F-1065A9DB9E79}"/>
    <cellStyle name="SheetHeader1" xfId="979" xr:uid="{B8E538FB-495E-4AC2-83C8-51F8A2DD7B24}"/>
    <cellStyle name="Standard" xfId="225" xr:uid="{C0C4EE77-E48F-475C-BCC0-60EF99C4BC1C}"/>
    <cellStyle name="Stub" xfId="226" xr:uid="{D972F64A-3389-432C-960C-220C80644E4F}"/>
    <cellStyle name="Stub Bold" xfId="227" xr:uid="{54C37FA6-B869-4B8E-A97D-86F1239641EB}"/>
    <cellStyle name="Stub Italic" xfId="228" xr:uid="{33EECB80-EDA8-453B-9D22-2000584CA9A1}"/>
    <cellStyle name="Stub_B 01" xfId="229" xr:uid="{DFDB8DB3-96E2-4864-B3C0-52F1E48A2E86}"/>
    <cellStyle name="Style 1" xfId="980" xr:uid="{DA73FFD4-2F8E-4858-93F1-62B6C152BD72}"/>
    <cellStyle name="Style 1 2" xfId="981" xr:uid="{48530BAD-3578-4C6C-B1FC-2A518BCCB3A5}"/>
    <cellStyle name="Style 1 2 2" xfId="982" xr:uid="{AF7CCBEC-F97D-414F-B54B-9E87B9C5CF2E}"/>
    <cellStyle name="Style 1 3" xfId="983" xr:uid="{C671305E-63B5-45B1-A002-958C9A8F1659}"/>
    <cellStyle name="Style 1 3 2" xfId="984" xr:uid="{065FB9D5-0A55-4734-8916-26AA25A51F9A}"/>
    <cellStyle name="Style 1 3 3" xfId="985" xr:uid="{5CE6DA0A-51DE-420A-91F4-396AD20EA359}"/>
    <cellStyle name="Style 1 4" xfId="986" xr:uid="{80F96E28-4E2A-4223-A8A1-5A4D9DD18391}"/>
    <cellStyle name="Style 1_29(d) - Gas extensions -tariffs" xfId="987" xr:uid="{A578E86E-5545-4E41-BBAF-9F69CD58BF81}"/>
    <cellStyle name="Style1" xfId="230" xr:uid="{817B6CC9-28A4-4665-841E-A2E323C6EEEB}"/>
    <cellStyle name="Style2" xfId="231" xr:uid="{F54B0989-3B0E-4AED-8583-DAF135A29633}"/>
    <cellStyle name="Style3" xfId="232" xr:uid="{17F98293-C4E6-4044-9EB5-32ADF6860A71}"/>
    <cellStyle name="Style4" xfId="233" xr:uid="{06A917BF-7156-4C5C-B90E-337C5A26AEB1}"/>
    <cellStyle name="Style4 2" xfId="988" xr:uid="{0B731C68-E6E7-47F8-B5BE-A4E60F1175EE}"/>
    <cellStyle name="Style4_29(d) - Gas extensions -tariffs" xfId="989" xr:uid="{547153C0-E732-49A3-B513-9BDDEAB656DA}"/>
    <cellStyle name="Style5" xfId="234" xr:uid="{B29A1259-0F00-4611-B918-D6CCBFAB68DC}"/>
    <cellStyle name="Style5 2" xfId="990" xr:uid="{737DAFA5-22FA-439B-A856-5D05CA4BEEB6}"/>
    <cellStyle name="Style5_29(d) - Gas extensions -tariffs" xfId="991" xr:uid="{48225650-05E9-415A-91D9-8CB2CF3CDCE2}"/>
    <cellStyle name="Sub Total." xfId="8" xr:uid="{89821C9C-BFE3-4AA9-8E45-139816106A07}"/>
    <cellStyle name="Table Head Green" xfId="992" xr:uid="{276F0FA0-DB81-4E98-9C54-712104596021}"/>
    <cellStyle name="Table Head Green 2" xfId="993" xr:uid="{6AA3BC82-9727-4ED3-B3D8-FB7933E3FC99}"/>
    <cellStyle name="Table Head Green 2 2" xfId="994" xr:uid="{EB9468D2-8CE5-4059-A8D4-3E8A46818BD1}"/>
    <cellStyle name="Table Head Green 3" xfId="995" xr:uid="{F58B588D-D956-450C-9E7E-E7F502605330}"/>
    <cellStyle name="Table Head Green 4" xfId="996" xr:uid="{FFF46A0C-0AA9-4298-9F6B-33A12B926CBE}"/>
    <cellStyle name="Table Head_pldt" xfId="997" xr:uid="{473CD062-B5DA-4498-90FB-2AC2DEC7FA71}"/>
    <cellStyle name="Table Source" xfId="998" xr:uid="{BBD20AF0-BE26-4518-8BC9-EC8A4C102747}"/>
    <cellStyle name="Table Units" xfId="999" xr:uid="{A58B8830-A5AE-473F-90B8-5D590328C226}"/>
    <cellStyle name="Table Units 2" xfId="1000" xr:uid="{1C2F0342-3AE1-4E0E-850B-68C84015F660}"/>
    <cellStyle name="TableLvl2" xfId="1001" xr:uid="{4582DD65-C503-4E92-9F53-34DCEF82C2A4}"/>
    <cellStyle name="TableLvl3" xfId="1002" xr:uid="{B1C28E0A-3F5D-432B-AF54-788C54A8051E}"/>
    <cellStyle name="Test" xfId="235" xr:uid="{AD87471F-8BB9-414F-8397-B16EAAC86ECE}"/>
    <cellStyle name="Text" xfId="1003" xr:uid="{BB84A2D8-4722-47B4-A01D-C31641432AF3}"/>
    <cellStyle name="Text 2" xfId="1004" xr:uid="{0BADC88C-0823-4903-B834-F3E97BD2789C}"/>
    <cellStyle name="Text 3" xfId="1005" xr:uid="{FEFEB249-8E01-4A6E-8350-535BE5F8B658}"/>
    <cellStyle name="Text Head 1" xfId="1006" xr:uid="{8FFDAC7B-3D6A-45A6-BB71-3DBF41C3661E}"/>
    <cellStyle name="Text Head 1 2" xfId="1007" xr:uid="{E0E24930-AA26-4883-8040-494E23EC56C0}"/>
    <cellStyle name="Text Head 2" xfId="1008" xr:uid="{53E27A6E-68CA-4B62-A832-CD3C1B0D0ADB}"/>
    <cellStyle name="Text Head 2 2" xfId="1009" xr:uid="{BDE235BE-4E09-4D68-A34D-F3E14F29878D}"/>
    <cellStyle name="Text Indent 2" xfId="1010" xr:uid="{0103BA0E-ED92-45B0-990B-782630CEC4B7}"/>
    <cellStyle name="Theirs" xfId="1011" xr:uid="{5B65983F-0F8F-437B-A88A-7B296125DC4F}"/>
    <cellStyle name="Title" xfId="64" builtinId="15" customBuiltin="1"/>
    <cellStyle name="Title 2" xfId="1012" xr:uid="{5C8FBDBD-3F19-4A52-863E-00DABA01590F}"/>
    <cellStyle name="TOC 1" xfId="1013" xr:uid="{3E752B9F-DCB3-4C9E-A94C-CC46B50597C5}"/>
    <cellStyle name="TOC 2" xfId="1014" xr:uid="{580ABA1E-483E-4707-9B8B-656FB0653033}"/>
    <cellStyle name="TOC 3" xfId="1015" xr:uid="{F888C3B2-6A00-4F99-96CB-70E7B0CE864E}"/>
    <cellStyle name="Total" xfId="80" builtinId="25" customBuiltin="1"/>
    <cellStyle name="Total 2" xfId="1016" xr:uid="{025B083B-C6E8-412B-9300-E7D99F24625D}"/>
    <cellStyle name="Total 2 10" xfId="1017" xr:uid="{658F846F-3404-45B3-9DB6-85A040EBFD52}"/>
    <cellStyle name="Total 2 11" xfId="1018" xr:uid="{992D3D4A-5901-496C-A5C0-609EACEB19AA}"/>
    <cellStyle name="Total 2 12" xfId="1019" xr:uid="{3FE3E47D-E442-4C53-8AAD-9F97200C347A}"/>
    <cellStyle name="Total 2 2" xfId="1020" xr:uid="{4577D902-1906-4302-9C16-2C4F38866755}"/>
    <cellStyle name="Total 2 2 2" xfId="1021" xr:uid="{0CB5AFA2-9863-421C-BFC1-CB166675A970}"/>
    <cellStyle name="Total 2 2 2 2" xfId="1022" xr:uid="{AC2314A5-5858-46BB-A372-544AE836A945}"/>
    <cellStyle name="Total 2 2 2 3" xfId="1023" xr:uid="{813FA2A5-5F79-4773-A0B5-5F499FA8CEA2}"/>
    <cellStyle name="Total 2 2 3" xfId="1024" xr:uid="{7C85E80E-01D7-482A-9771-B565E0795AD2}"/>
    <cellStyle name="Total 2 2 3 2" xfId="1025" xr:uid="{CCC48C55-6DA5-4F8D-BAC9-B28D412AC0F4}"/>
    <cellStyle name="Total 2 2 3 3" xfId="1026" xr:uid="{D6B3078D-1AD4-4C03-BCF7-BEB4D1400A4D}"/>
    <cellStyle name="Total 2 2 4" xfId="1027" xr:uid="{3A61F5E1-FBB2-4F8F-A260-D947ACFD2767}"/>
    <cellStyle name="Total 2 2 5" xfId="1028" xr:uid="{922560E5-FAAD-43F9-9A6F-60BBC012CDF9}"/>
    <cellStyle name="Total 2 2 6" xfId="1029" xr:uid="{B753F296-B59F-405D-8EB5-34C14C92F8C4}"/>
    <cellStyle name="Total 2 3" xfId="1030" xr:uid="{CF36F133-3107-4D97-BAC1-759653952E39}"/>
    <cellStyle name="Total 2 3 2" xfId="1031" xr:uid="{C96DEC9E-C55F-4239-AF5E-D8D79109C01E}"/>
    <cellStyle name="Total 2 3 2 2" xfId="1032" xr:uid="{39F93BDD-5174-40F1-ACCF-8E3EC6935BB8}"/>
    <cellStyle name="Total 2 3 2 3" xfId="1033" xr:uid="{90F3B7BB-9F81-474E-98A0-F0271607EBC7}"/>
    <cellStyle name="Total 2 3 3" xfId="1034" xr:uid="{6BA20E95-B629-4AAA-85A6-F88AE0D20602}"/>
    <cellStyle name="Total 2 3 3 2" xfId="1035" xr:uid="{684FC3D2-AF6A-439B-964A-330B2E2E5EDE}"/>
    <cellStyle name="Total 2 3 3 3" xfId="1036" xr:uid="{31E14DC8-DC6A-4394-8267-7F3DA957FDDE}"/>
    <cellStyle name="Total 2 3 4" xfId="1037" xr:uid="{254582D0-B1F1-477A-A8FA-61F72AD7EFBA}"/>
    <cellStyle name="Total 2 3 5" xfId="1038" xr:uid="{46557C0F-A3FD-4E64-924B-CFC1D0220607}"/>
    <cellStyle name="Total 2 3 6" xfId="1039" xr:uid="{DC846921-7BA3-49B8-8846-30FD6BFF1402}"/>
    <cellStyle name="Total 2 4" xfId="1040" xr:uid="{98D3140B-D06A-480F-8FC8-CC1C5A668B2F}"/>
    <cellStyle name="Total 2 4 2" xfId="1041" xr:uid="{5210D8C4-93DE-4516-98E5-E6C598E3F172}"/>
    <cellStyle name="Total 2 4 2 2" xfId="1042" xr:uid="{278DBE5C-6FAF-4E68-A4D5-96A05AD29106}"/>
    <cellStyle name="Total 2 4 2 3" xfId="1043" xr:uid="{FD239A5B-F080-4978-A5D7-504119E1D82B}"/>
    <cellStyle name="Total 2 4 3" xfId="1044" xr:uid="{4EAD01DE-2BFB-4725-995D-23EAD258921F}"/>
    <cellStyle name="Total 2 4 3 2" xfId="1045" xr:uid="{D855BA13-B546-4B65-8332-7BA75C7F7E5B}"/>
    <cellStyle name="Total 2 4 3 3" xfId="1046" xr:uid="{20C608DE-37E9-4A05-8521-FBDE7108BA54}"/>
    <cellStyle name="Total 2 4 4" xfId="1047" xr:uid="{88CCB88D-809A-45FE-8A97-F2C5ED06CB3B}"/>
    <cellStyle name="Total 2 4 5" xfId="1048" xr:uid="{0CBAB49E-59A2-4C33-97BA-D51512C2BEE3}"/>
    <cellStyle name="Total 2 5" xfId="1049" xr:uid="{576CA021-1036-4F14-8D02-71183DF8D411}"/>
    <cellStyle name="Total 2 5 2" xfId="1050" xr:uid="{1B2E52E0-3E56-426B-B813-5F811362DD20}"/>
    <cellStyle name="Total 2 5 2 2" xfId="1051" xr:uid="{FE0DE702-590D-4987-BE1E-57AE5B0724F6}"/>
    <cellStyle name="Total 2 5 2 3" xfId="1052" xr:uid="{7E308F47-016F-4ABE-B1AE-6E341A28D0A3}"/>
    <cellStyle name="Total 2 5 3" xfId="1053" xr:uid="{685667CA-61D3-421B-B886-E7B2466FAF3E}"/>
    <cellStyle name="Total 2 5 3 2" xfId="1054" xr:uid="{B4D60209-4A53-46D4-B0DD-4897B87411BF}"/>
    <cellStyle name="Total 2 5 3 3" xfId="1055" xr:uid="{E5963C3D-CB16-4223-A30E-784A0847E635}"/>
    <cellStyle name="Total 2 5 4" xfId="1056" xr:uid="{2D32CB52-92F0-4381-A3AF-2942EDF01B4A}"/>
    <cellStyle name="Total 2 5 5" xfId="1057" xr:uid="{9D3F46AB-C64A-4B50-BC58-70CCBB673D5F}"/>
    <cellStyle name="Total 2 6" xfId="1058" xr:uid="{7FBEEE68-A6B1-4935-AF3B-07C690462C99}"/>
    <cellStyle name="Total 2 6 2" xfId="1059" xr:uid="{5784E2CE-9F1E-4113-A869-5E82C4AD3B1A}"/>
    <cellStyle name="Total 2 6 2 2" xfId="1060" xr:uid="{86F2B884-05FC-4DDF-9E28-EFFD00653946}"/>
    <cellStyle name="Total 2 6 2 3" xfId="1061" xr:uid="{548534F5-954B-41BA-8347-B5C1201E1449}"/>
    <cellStyle name="Total 2 6 3" xfId="1062" xr:uid="{B629D130-059A-4E20-A7AA-04B8903FFDC1}"/>
    <cellStyle name="Total 2 6 3 2" xfId="1063" xr:uid="{9DF8E670-9FE7-4536-BC15-BBEA64045D8C}"/>
    <cellStyle name="Total 2 6 3 3" xfId="1064" xr:uid="{4C2FDF9F-DEED-4834-9CE0-F4E904C947E6}"/>
    <cellStyle name="Total 2 6 4" xfId="1065" xr:uid="{F509A4FC-DD2C-458C-8ABB-34025B20A55E}"/>
    <cellStyle name="Total 2 6 5" xfId="1066" xr:uid="{76C94822-CF3D-43FC-A179-0A920B6BCBD2}"/>
    <cellStyle name="Total 2 7" xfId="1067" xr:uid="{F653EFD9-BA89-49E9-B77A-8F3BBF05CE96}"/>
    <cellStyle name="Total 2 7 2" xfId="1068" xr:uid="{2DE94548-0AD5-4630-AF39-174A69C0CEB9}"/>
    <cellStyle name="Total 2 7 2 2" xfId="1069" xr:uid="{A9A05CA0-2AC8-4F7E-9525-7DF387F90735}"/>
    <cellStyle name="Total 2 7 2 3" xfId="1070" xr:uid="{17F25EE9-69BC-41A6-A616-51FE9E3F3493}"/>
    <cellStyle name="Total 2 7 3" xfId="1071" xr:uid="{00D04C9F-8DA8-4AF6-BB98-8A8A828A8A9E}"/>
    <cellStyle name="Total 2 7 3 2" xfId="1072" xr:uid="{1751D500-D829-47BA-90E1-2C01BFF80D3D}"/>
    <cellStyle name="Total 2 7 3 3" xfId="1073" xr:uid="{A9EC7F4A-BA1E-42A6-A85F-7EC6D1D5FBAC}"/>
    <cellStyle name="Total 2 7 4" xfId="1074" xr:uid="{948E224A-1B42-425F-BA5F-8900C33FA3B0}"/>
    <cellStyle name="Total 2 7 5" xfId="1075" xr:uid="{F29466D1-8F33-432A-8E18-5F4D0DD4F1E9}"/>
    <cellStyle name="Total 2 8" xfId="1076" xr:uid="{D16079AE-6682-4DAE-A1E0-0916008D144D}"/>
    <cellStyle name="Total 2 8 2" xfId="1077" xr:uid="{40446785-5742-4BF7-BDE9-EFEB5B30873B}"/>
    <cellStyle name="Total 2 8 3" xfId="1078" xr:uid="{8C98F179-9A51-4A89-A940-9525A4EAAEB6}"/>
    <cellStyle name="Total 2 9" xfId="1079" xr:uid="{E256B449-07C8-487B-BC4F-7B222EECF3F2}"/>
    <cellStyle name="Total 2 9 2" xfId="1080" xr:uid="{A2350EBC-AD86-4517-9EB1-B5A6E791A4C7}"/>
    <cellStyle name="Total 2 9 3" xfId="1081" xr:uid="{B7084A61-8012-445B-9F95-AB9DE2C9AD5F}"/>
    <cellStyle name="Warning Text" xfId="77" builtinId="11" customBuiltin="1"/>
    <cellStyle name="Warning Text 2" xfId="1082" xr:uid="{4AACD997-333A-4DCA-B8DC-6E8FCE502399}"/>
    <cellStyle name="year" xfId="1083" xr:uid="{00150611-12E8-45F0-9B95-033F4B990B3A}"/>
    <cellStyle name="year 2" xfId="1084" xr:uid="{A0D47115-32AF-4F51-BE37-68EA7439D22A}"/>
    <cellStyle name="year 2 2" xfId="1085" xr:uid="{3512A684-BD41-49AC-BF6B-713DA352FBDA}"/>
    <cellStyle name="year 3" xfId="1086" xr:uid="{675791B2-BF2C-4B4B-AAE6-C118C4C6829C}"/>
    <cellStyle name="Year." xfId="17" xr:uid="{1FABB030-785C-4521-8A89-18AC93BDC94C}"/>
    <cellStyle name="year_29(d) - Gas extensions -tariffs" xfId="1087" xr:uid="{CE9BA574-52E3-46D1-AAA6-D88BB322BEA2}"/>
  </cellStyles>
  <dxfs count="984"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40404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E6E6E6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954F72"/>
      <rgbColor rgb="00339966"/>
      <rgbColor rgb="00CB2840"/>
      <rgbColor rgb="00375623"/>
      <rgbColor rgb="00203764"/>
      <rgbColor rgb="00993366"/>
      <rgbColor rgb="00FFFF78"/>
      <rgbColor rgb="00FFFFFF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4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theme" Target="theme/theme1.xml"/><Relationship Id="rId47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externalLink" Target="externalLinks/externalLink3.xml"/><Relationship Id="rId46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externalLink" Target="externalLinks/externalLink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2.xml"/><Relationship Id="rId40" Type="http://schemas.openxmlformats.org/officeDocument/2006/relationships/externalLink" Target="externalLinks/externalLink5.xml"/><Relationship Id="rId45" Type="http://schemas.openxmlformats.org/officeDocument/2006/relationships/sheetMetadata" Target="metadata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tyles" Target="styles.xml"/></Relationships>
</file>

<file path=xl/ctrlProps/ctrlProp1.xml><?xml version="1.0" encoding="utf-8"?>
<formControlPr xmlns="http://schemas.microsoft.com/office/spreadsheetml/2009/9/main" objectType="Drop" dropLines="20" dropStyle="combo" dx="22" fmlaLink="DD_Ts_Fin_Yr_End_Mth" fmlaRange="LU_Ts_Mth_Names" noThreeD="1" sel="12" val="0"/>
</file>

<file path=xl/ctrlProps/ctrlProp2.xml><?xml version="1.0" encoding="utf-8"?>
<formControlPr xmlns="http://schemas.microsoft.com/office/spreadsheetml/2009/9/main" objectType="Drop" dropLines="20" dropStyle="combo" dx="22" fmlaLink="DD_Ts_Denom" fmlaRange="LU_Ts_Denom" noThreeD="1" sel="2" val="0"/>
</file>

<file path=xl/ctrlProps/ctrlProp3.xml><?xml version="1.0" encoding="utf-8"?>
<formControlPr xmlns="http://schemas.microsoft.com/office/spreadsheetml/2009/9/main" objectType="Drop" dropLines="20" dropStyle="combo" dx="16" fmlaLink="DD_GC_Scenario" fmlaRange="$F$29:$F$30" noThreeD="1" sel="1" val="0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167449</xdr:colOff>
      <xdr:row>0</xdr:row>
      <xdr:rowOff>72390</xdr:rowOff>
    </xdr:from>
    <xdr:to>
      <xdr:col>13</xdr:col>
      <xdr:colOff>0</xdr:colOff>
      <xdr:row>2</xdr:row>
      <xdr:rowOff>72390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36629" y="72390"/>
          <a:ext cx="1249871" cy="3429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0</xdr:colOff>
          <xdr:row>9</xdr:row>
          <xdr:rowOff>0</xdr:rowOff>
        </xdr:from>
        <xdr:to>
          <xdr:col>9</xdr:col>
          <xdr:colOff>0</xdr:colOff>
          <xdr:row>10</xdr:row>
          <xdr:rowOff>0</xdr:rowOff>
        </xdr:to>
        <xdr:sp macro="" textlink="">
          <xdr:nvSpPr>
            <xdr:cNvPr id="2049" name="bpmDropDownTs1" hidden="1">
              <a:extLst>
                <a:ext uri="{63B3BB69-23CF-44E3-9099-C40C66FF867C}">
                  <a14:compatExt spid="_x0000_s2049"/>
                </a:ext>
                <a:ext uri="{FF2B5EF4-FFF2-40B4-BE49-F238E27FC236}">
                  <a16:creationId xmlns:a16="http://schemas.microsoft.com/office/drawing/2014/main" id="{00000000-0008-0000-0300-00000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0</xdr:colOff>
          <xdr:row>14</xdr:row>
          <xdr:rowOff>0</xdr:rowOff>
        </xdr:from>
        <xdr:to>
          <xdr:col>9</xdr:col>
          <xdr:colOff>0</xdr:colOff>
          <xdr:row>15</xdr:row>
          <xdr:rowOff>0</xdr:rowOff>
        </xdr:to>
        <xdr:sp macro="" textlink="">
          <xdr:nvSpPr>
            <xdr:cNvPr id="2050" name="bpmDropDownTs2" hidden="1">
              <a:extLst>
                <a:ext uri="{63B3BB69-23CF-44E3-9099-C40C66FF867C}">
                  <a14:compatExt spid="_x0000_s2050"/>
                </a:ext>
                <a:ext uri="{FF2B5EF4-FFF2-40B4-BE49-F238E27FC236}">
                  <a16:creationId xmlns:a16="http://schemas.microsoft.com/office/drawing/2014/main" id="{00000000-0008-0000-0300-00000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0</xdr:colOff>
          <xdr:row>26</xdr:row>
          <xdr:rowOff>0</xdr:rowOff>
        </xdr:from>
        <xdr:to>
          <xdr:col>7</xdr:col>
          <xdr:colOff>0</xdr:colOff>
          <xdr:row>27</xdr:row>
          <xdr:rowOff>0</xdr:rowOff>
        </xdr:to>
        <xdr:sp macro="" textlink="">
          <xdr:nvSpPr>
            <xdr:cNvPr id="57350" name="bpmDropDownGC6" hidden="1">
              <a:extLst>
                <a:ext uri="{63B3BB69-23CF-44E3-9099-C40C66FF867C}">
                  <a14:compatExt spid="_x0000_s57350"/>
                </a:ext>
                <a:ext uri="{FF2B5EF4-FFF2-40B4-BE49-F238E27FC236}">
                  <a16:creationId xmlns:a16="http://schemas.microsoft.com/office/drawing/2014/main" id="{00000000-0008-0000-0B00-000006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Regulation\Price%20Review\2023-27%20GAAR\4.0%202023%20GAAR%20-%20Modelling\Opex\Capitalised%20corporate%20overhead%202022_05_1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Regulation\Price%20Review\2023-27%20GAAR\4.0%202023%20GAAR%20-%20Modelling\Capex\Historical\Gas%20Capex%20Template%202018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Regulation\Price%20Review\2023-27%20GAAR\4.0%202023%20GAAR%20-%20Modelling\Capex\Historical\Gas%20Capex%20Template%202019%20-%20DC%20complete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Regulation\Price%20Review\2023-27%20GAAR\4.0%202023%20GAAR%20-%20Modelling\Capex\Historical\Gas%20Capex%20Template%202020_GL%20-%202021042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Regulation\Price%20Review\2023-27%20GAAR\4.0%202023%20GAAR%20-%20Modelling\Capex\Historical\Gas%20Capex%20Template%202021_GL%20-%2020220302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Regulation\Price%20Review\2023-27%20GAAR\4.0%202023%20GAAR%20-%20Modelling\Capex\AusNet%20Gas%20Distribution%20Workbook%201%20-%20Consolidated%20Information%20(Historical)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2">
          <cell r="G2">
            <v>4.4905183647164435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.Capex (2015)"/>
      <sheetName val="Capex Model"/>
      <sheetName val="2.Capex 2018"/>
      <sheetName val="Links Out"/>
      <sheetName val="2.4 Capex Overheads (2018)"/>
      <sheetName val="2.4 Capex Overheads (2015)"/>
      <sheetName val="Gas Capex (Update from Lauren)"/>
      <sheetName val="5.Cost Category (Capex)"/>
      <sheetName val="Sheet2"/>
    </sheetNames>
    <sheetDataSet>
      <sheetData sheetId="0"/>
      <sheetData sheetId="1"/>
      <sheetData sheetId="2"/>
      <sheetData sheetId="3">
        <row r="7">
          <cell r="F7" t="str">
            <v>Transmission Pipelines</v>
          </cell>
          <cell r="K7">
            <v>0</v>
          </cell>
          <cell r="L7">
            <v>0</v>
          </cell>
        </row>
        <row r="8">
          <cell r="F8" t="str">
            <v>Distribution Pipelines</v>
          </cell>
          <cell r="K8">
            <v>43777425.585992448</v>
          </cell>
          <cell r="L8">
            <v>2413019.590007544</v>
          </cell>
        </row>
        <row r="9">
          <cell r="F9" t="str">
            <v>Service Pipes</v>
          </cell>
          <cell r="K9">
            <v>24382843.142516576</v>
          </cell>
          <cell r="L9">
            <v>1343986.7094834277</v>
          </cell>
        </row>
        <row r="10">
          <cell r="F10" t="str">
            <v>Cathodic Protection</v>
          </cell>
          <cell r="K10">
            <v>94718.072755021945</v>
          </cell>
          <cell r="L10">
            <v>5220.8772449780481</v>
          </cell>
        </row>
        <row r="11">
          <cell r="F11" t="str">
            <v>Supply Regulators / Valve Stations</v>
          </cell>
          <cell r="K11">
            <v>1615221.6722513002</v>
          </cell>
          <cell r="L11">
            <v>89031.309748699394</v>
          </cell>
        </row>
        <row r="12">
          <cell r="F12" t="str">
            <v>Meters</v>
          </cell>
          <cell r="K12">
            <v>14880760.72623197</v>
          </cell>
          <cell r="L12">
            <v>820230.2137680304</v>
          </cell>
        </row>
        <row r="13">
          <cell r="F13" t="str">
            <v>SCADA and remote control</v>
          </cell>
          <cell r="K13">
            <v>286930.85931012052</v>
          </cell>
          <cell r="L13">
            <v>15815.68068987954</v>
          </cell>
        </row>
        <row r="14">
          <cell r="F14" t="str">
            <v>Other - IT</v>
          </cell>
          <cell r="K14">
            <v>8221381.4400000013</v>
          </cell>
          <cell r="L14">
            <v>599335.85000000009</v>
          </cell>
        </row>
        <row r="15">
          <cell r="F15" t="str">
            <v>Other - non IT</v>
          </cell>
          <cell r="K15">
            <v>707175.11990894924</v>
          </cell>
          <cell r="L15">
            <v>38979.62009105071</v>
          </cell>
        </row>
        <row r="16">
          <cell r="F16" t="str">
            <v>Capitalised Leases</v>
          </cell>
          <cell r="K16">
            <v>0</v>
          </cell>
        </row>
        <row r="17">
          <cell r="F17" t="str">
            <v>Capitalised Leases</v>
          </cell>
          <cell r="K17">
            <v>0</v>
          </cell>
        </row>
      </sheetData>
      <sheetData sheetId="4"/>
      <sheetData sheetId="5"/>
      <sheetData sheetId="6"/>
      <sheetData sheetId="7"/>
      <sheetData sheetId="8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ex Model"/>
      <sheetName val="2.Capex 2019"/>
      <sheetName val="Links Out"/>
      <sheetName val="2.Capex (2015)"/>
      <sheetName val="2.4 Capex Overheads (2019)"/>
      <sheetName val="2.4 Capex Overheads (2015)"/>
      <sheetName val="Gas Capex (Update from Lauren)"/>
      <sheetName val="5.Cost Category (Capex)"/>
      <sheetName val="1. All Capex Projects"/>
    </sheetNames>
    <sheetDataSet>
      <sheetData sheetId="0"/>
      <sheetData sheetId="1"/>
      <sheetData sheetId="2">
        <row r="7">
          <cell r="F7" t="str">
            <v>Transmission Pipelines</v>
          </cell>
          <cell r="I7">
            <v>0</v>
          </cell>
          <cell r="K7">
            <v>-4495.9271930200057</v>
          </cell>
          <cell r="L7">
            <v>-146.94480697999188</v>
          </cell>
        </row>
        <row r="8">
          <cell r="F8" t="str">
            <v>Distribution Pipelines</v>
          </cell>
          <cell r="I8">
            <v>0</v>
          </cell>
          <cell r="K8">
            <v>40640366.711034037</v>
          </cell>
          <cell r="L8">
            <v>1328289.0459659654</v>
          </cell>
        </row>
        <row r="9">
          <cell r="F9" t="str">
            <v>Service Pipes</v>
          </cell>
          <cell r="I9">
            <v>0</v>
          </cell>
          <cell r="K9">
            <v>34723791.029748268</v>
          </cell>
          <cell r="L9">
            <v>1134911.7882517339</v>
          </cell>
        </row>
        <row r="10">
          <cell r="F10" t="str">
            <v>Cathodic Protection</v>
          </cell>
          <cell r="I10">
            <v>0</v>
          </cell>
          <cell r="K10">
            <v>182909.31509421553</v>
          </cell>
          <cell r="L10">
            <v>5978.2049057844752</v>
          </cell>
        </row>
        <row r="11">
          <cell r="F11" t="str">
            <v>Supply Regulators / Valve Stations</v>
          </cell>
          <cell r="I11">
            <v>0</v>
          </cell>
          <cell r="K11">
            <v>590241.43122282578</v>
          </cell>
          <cell r="L11">
            <v>19291.440777174157</v>
          </cell>
        </row>
        <row r="12">
          <cell r="F12" t="str">
            <v>Meters</v>
          </cell>
          <cell r="I12">
            <v>0</v>
          </cell>
          <cell r="K12">
            <v>15082094.527111748</v>
          </cell>
          <cell r="L12">
            <v>492942.91788825375</v>
          </cell>
        </row>
        <row r="13">
          <cell r="F13" t="str">
            <v>SCADA and remote control</v>
          </cell>
          <cell r="I13">
            <v>0</v>
          </cell>
          <cell r="K13">
            <v>415527.53519299289</v>
          </cell>
          <cell r="L13">
            <v>13581.094807007126</v>
          </cell>
        </row>
        <row r="14">
          <cell r="F14" t="str">
            <v>Other - IT</v>
          </cell>
          <cell r="I14">
            <v>0</v>
          </cell>
          <cell r="K14">
            <v>7191495.790000001</v>
          </cell>
          <cell r="L14">
            <v>438304.14999999991</v>
          </cell>
        </row>
        <row r="15">
          <cell r="F15" t="str">
            <v>Other - non IT</v>
          </cell>
          <cell r="I15">
            <v>0</v>
          </cell>
          <cell r="K15">
            <v>254524.12778893881</v>
          </cell>
          <cell r="L15">
            <v>8318.8622110611614</v>
          </cell>
        </row>
        <row r="16">
          <cell r="F16" t="str">
            <v>Capitalised Leases</v>
          </cell>
          <cell r="I16">
            <v>0</v>
          </cell>
          <cell r="K16">
            <v>9576833.6300000008</v>
          </cell>
        </row>
        <row r="17">
          <cell r="F17" t="str">
            <v>Capitalised Leases</v>
          </cell>
          <cell r="I17">
            <v>0</v>
          </cell>
          <cell r="K17">
            <v>0</v>
          </cell>
        </row>
      </sheetData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ex Model"/>
      <sheetName val="Sheet1"/>
      <sheetName val="2.Capex 2020"/>
      <sheetName val="2.Capex (2015)"/>
      <sheetName val="Links Out"/>
      <sheetName val="2.4 Capex Overheads (2020)"/>
      <sheetName val="2.4 Capex Overheads (2015)"/>
      <sheetName val="Gas Capex (Update from Lauren)"/>
      <sheetName val="5.Cost Category (Capex)"/>
      <sheetName val="1. All Capex Projects"/>
      <sheetName val="Version Cont"/>
    </sheetNames>
    <sheetDataSet>
      <sheetData sheetId="0"/>
      <sheetData sheetId="1"/>
      <sheetData sheetId="2"/>
      <sheetData sheetId="3"/>
      <sheetData sheetId="4">
        <row r="7">
          <cell r="F7" t="str">
            <v>Transmission Pipelines</v>
          </cell>
          <cell r="H7">
            <v>0</v>
          </cell>
          <cell r="I7">
            <v>0</v>
          </cell>
          <cell r="K7">
            <v>3326300.281206029</v>
          </cell>
          <cell r="L7">
            <v>120141.19879397161</v>
          </cell>
        </row>
        <row r="8">
          <cell r="F8" t="str">
            <v>Distribution Pipelines</v>
          </cell>
          <cell r="H8">
            <v>-4238729.6780000003</v>
          </cell>
          <cell r="I8">
            <v>0</v>
          </cell>
          <cell r="K8">
            <v>36657301.86392808</v>
          </cell>
          <cell r="L8">
            <v>1324009.2048719116</v>
          </cell>
        </row>
        <row r="9">
          <cell r="F9" t="str">
            <v>Service Pipes</v>
          </cell>
          <cell r="H9">
            <v>-2596717.1289999997</v>
          </cell>
          <cell r="I9">
            <v>0</v>
          </cell>
          <cell r="K9">
            <v>35952700.101527527</v>
          </cell>
          <cell r="L9">
            <v>1298559.9990724714</v>
          </cell>
        </row>
        <row r="10">
          <cell r="F10" t="str">
            <v>Cathodic Protection</v>
          </cell>
          <cell r="H10">
            <v>0</v>
          </cell>
          <cell r="I10">
            <v>0</v>
          </cell>
          <cell r="K10">
            <v>140085.51207888353</v>
          </cell>
          <cell r="L10">
            <v>5059.6879211164696</v>
          </cell>
        </row>
        <row r="11">
          <cell r="F11" t="str">
            <v>Supply Regulators / Valve Stations</v>
          </cell>
          <cell r="H11">
            <v>0</v>
          </cell>
          <cell r="I11">
            <v>0</v>
          </cell>
          <cell r="K11">
            <v>1413403.7325182527</v>
          </cell>
          <cell r="L11">
            <v>51050.117081747339</v>
          </cell>
        </row>
        <row r="12">
          <cell r="F12" t="str">
            <v>Meters</v>
          </cell>
          <cell r="H12">
            <v>-886146.81299999997</v>
          </cell>
          <cell r="I12">
            <v>0</v>
          </cell>
          <cell r="K12">
            <v>11844663.511139749</v>
          </cell>
          <cell r="L12">
            <v>427812.26986025093</v>
          </cell>
        </row>
        <row r="13">
          <cell r="F13" t="str">
            <v>SCADA and remote control</v>
          </cell>
          <cell r="H13">
            <v>0</v>
          </cell>
          <cell r="I13">
            <v>0</v>
          </cell>
          <cell r="K13">
            <v>362372.76508955518</v>
          </cell>
          <cell r="L13">
            <v>13088.384910444842</v>
          </cell>
        </row>
        <row r="14">
          <cell r="F14" t="str">
            <v>Other - IT</v>
          </cell>
          <cell r="H14">
            <v>0</v>
          </cell>
          <cell r="I14">
            <v>0</v>
          </cell>
          <cell r="K14">
            <v>5733648.04</v>
          </cell>
          <cell r="L14">
            <v>375127.92</v>
          </cell>
        </row>
        <row r="15">
          <cell r="F15" t="str">
            <v>Other - non IT</v>
          </cell>
          <cell r="H15">
            <v>0</v>
          </cell>
          <cell r="I15">
            <v>-600</v>
          </cell>
          <cell r="K15">
            <v>-275241.05748808506</v>
          </cell>
          <cell r="L15">
            <v>-9941.3125119147353</v>
          </cell>
        </row>
        <row r="16">
          <cell r="F16" t="str">
            <v>Capitalised Leases</v>
          </cell>
          <cell r="H16">
            <v>0</v>
          </cell>
          <cell r="I16">
            <v>-1837642.62</v>
          </cell>
          <cell r="K16">
            <v>-222007.08612884395</v>
          </cell>
        </row>
        <row r="17">
          <cell r="F17" t="str">
            <v>Capitalised Leases</v>
          </cell>
          <cell r="H17">
            <v>0</v>
          </cell>
          <cell r="I17">
            <v>0</v>
          </cell>
          <cell r="K17">
            <v>2579030.9814826129</v>
          </cell>
        </row>
        <row r="28">
          <cell r="F28" t="str">
            <v>Mains replacement</v>
          </cell>
          <cell r="H28">
            <v>24506351.370000005</v>
          </cell>
          <cell r="I28">
            <v>26450061.760000005</v>
          </cell>
          <cell r="J28">
            <v>19921550.27</v>
          </cell>
        </row>
        <row r="29">
          <cell r="F29" t="str">
            <v>Residential new customer connections</v>
          </cell>
          <cell r="H29">
            <v>41720742.220000006</v>
          </cell>
          <cell r="I29">
            <v>47533588.010000005</v>
          </cell>
          <cell r="J29">
            <v>48225423.68</v>
          </cell>
        </row>
        <row r="30">
          <cell r="F30" t="str">
            <v>Commercial and industrial new customer connections</v>
          </cell>
          <cell r="H30">
            <v>4507858.2789663905</v>
          </cell>
          <cell r="I30">
            <v>5750705.6399999997</v>
          </cell>
          <cell r="J30">
            <v>6162075.1300000018</v>
          </cell>
        </row>
        <row r="31">
          <cell r="F31" t="str">
            <v>Residential meter replacement</v>
          </cell>
          <cell r="H31">
            <v>7410801.6899999995</v>
          </cell>
          <cell r="I31">
            <v>7699045.4099999992</v>
          </cell>
          <cell r="J31">
            <v>5856175.96</v>
          </cell>
        </row>
        <row r="32">
          <cell r="F32" t="str">
            <v>Commercial and industrial meter replacement</v>
          </cell>
          <cell r="H32">
            <v>962128.48</v>
          </cell>
          <cell r="I32">
            <v>491485.69000000006</v>
          </cell>
          <cell r="J32">
            <v>219027.49</v>
          </cell>
        </row>
        <row r="33">
          <cell r="F33" t="str">
            <v>Augmentation</v>
          </cell>
          <cell r="H33">
            <v>356053.01</v>
          </cell>
          <cell r="I33">
            <v>1155693.1200000001</v>
          </cell>
          <cell r="J33">
            <v>4083285.25</v>
          </cell>
        </row>
        <row r="34">
          <cell r="F34" t="str">
            <v>IT capex</v>
          </cell>
          <cell r="H34">
            <v>8221381.4399999976</v>
          </cell>
          <cell r="I34">
            <v>7191495.7899999991</v>
          </cell>
          <cell r="J34">
            <v>5733648.04</v>
          </cell>
        </row>
        <row r="35">
          <cell r="F35" t="str">
            <v>SCADA</v>
          </cell>
          <cell r="H35">
            <v>607634.74</v>
          </cell>
          <cell r="I35">
            <v>394821.65</v>
          </cell>
          <cell r="J35">
            <v>312405.5</v>
          </cell>
        </row>
        <row r="36">
          <cell r="F36" t="str">
            <v>Other</v>
          </cell>
          <cell r="H36">
            <v>3960643.9699999993</v>
          </cell>
          <cell r="I36">
            <v>2402547.6700000004</v>
          </cell>
          <cell r="J36">
            <v>4641643.43</v>
          </cell>
        </row>
        <row r="37">
          <cell r="F37" t="str">
            <v>Capitalised Leases</v>
          </cell>
          <cell r="H37">
            <v>0</v>
          </cell>
          <cell r="I37">
            <v>8601645.3350000009</v>
          </cell>
          <cell r="J37">
            <v>0</v>
          </cell>
        </row>
        <row r="38">
          <cell r="F38" t="str">
            <v>Capitalised Leases</v>
          </cell>
          <cell r="H38"/>
          <cell r="I38"/>
          <cell r="J38">
            <v>2357023.895353769</v>
          </cell>
        </row>
        <row r="39">
          <cell r="F39" t="str">
            <v>Gas Extensions - Energy for the Regions</v>
          </cell>
          <cell r="H39">
            <v>1712861.4200000002</v>
          </cell>
          <cell r="I39">
            <v>7009.8</v>
          </cell>
          <cell r="J39">
            <v>0</v>
          </cell>
        </row>
        <row r="40">
          <cell r="F40" t="str">
            <v>Gas Extensions - Other</v>
          </cell>
          <cell r="H40">
            <v>0</v>
          </cell>
          <cell r="I40">
            <v>0</v>
          </cell>
          <cell r="J40">
            <v>0</v>
          </cell>
        </row>
        <row r="41">
          <cell r="F41" t="str">
            <v>Customer contributions</v>
          </cell>
          <cell r="H41">
            <v>0</v>
          </cell>
          <cell r="I41">
            <v>0</v>
          </cell>
          <cell r="J41">
            <v>0</v>
          </cell>
        </row>
        <row r="42">
          <cell r="F42" t="str">
            <v>Government contributions</v>
          </cell>
          <cell r="H42">
            <v>0</v>
          </cell>
          <cell r="I42">
            <v>0</v>
          </cell>
          <cell r="J42">
            <v>0</v>
          </cell>
        </row>
        <row r="50">
          <cell r="F50" t="str">
            <v>Mains replacement</v>
          </cell>
          <cell r="H50">
            <v>25826265.170000006</v>
          </cell>
          <cell r="I50">
            <v>27300766.600000005</v>
          </cell>
          <cell r="J50">
            <v>20686814.060000002</v>
          </cell>
        </row>
        <row r="51">
          <cell r="F51" t="str">
            <v>Residential new customer connections</v>
          </cell>
          <cell r="H51">
            <v>44143424.400000006</v>
          </cell>
          <cell r="I51">
            <v>49092500.600000009</v>
          </cell>
          <cell r="J51">
            <v>50100897.039999999</v>
          </cell>
        </row>
        <row r="52">
          <cell r="F52" t="str">
            <v>Commercial and industrial new customer connections</v>
          </cell>
          <cell r="H52">
            <v>4733222.91</v>
          </cell>
          <cell r="I52">
            <v>5950071.5</v>
          </cell>
          <cell r="J52">
            <v>6410869.1800000016</v>
          </cell>
        </row>
        <row r="53">
          <cell r="F53" t="str">
            <v>Residential meter replacement</v>
          </cell>
          <cell r="H53">
            <v>7711086.8999999994</v>
          </cell>
          <cell r="I53">
            <v>7944402.3699999992</v>
          </cell>
          <cell r="J53">
            <v>6007969.46</v>
          </cell>
        </row>
        <row r="54">
          <cell r="F54" t="str">
            <v>Commercial and industrial meter replacement</v>
          </cell>
          <cell r="H54">
            <v>1002007.98</v>
          </cell>
          <cell r="I54">
            <v>507055.18000000005</v>
          </cell>
          <cell r="J54">
            <v>227326.75</v>
          </cell>
        </row>
        <row r="55">
          <cell r="F55" t="str">
            <v>Augmentation</v>
          </cell>
          <cell r="H55">
            <v>375959.52</v>
          </cell>
          <cell r="I55">
            <v>1196332.9700000002</v>
          </cell>
          <cell r="J55">
            <v>4071745.96</v>
          </cell>
        </row>
        <row r="56">
          <cell r="F56" t="str">
            <v>IT capex</v>
          </cell>
          <cell r="H56">
            <v>8820717.2899999972</v>
          </cell>
          <cell r="I56">
            <v>7629799.9399999995</v>
          </cell>
          <cell r="J56">
            <v>6108775.96</v>
          </cell>
        </row>
        <row r="57">
          <cell r="F57" t="str">
            <v>SCADA</v>
          </cell>
          <cell r="H57">
            <v>650368.73</v>
          </cell>
          <cell r="I57">
            <v>412223.4</v>
          </cell>
          <cell r="J57">
            <v>331854.40999999997</v>
          </cell>
        </row>
        <row r="58">
          <cell r="F58" t="str">
            <v>Other</v>
          </cell>
          <cell r="H58">
            <v>4175181.6599999992</v>
          </cell>
          <cell r="I58">
            <v>2477582.8200000003</v>
          </cell>
          <cell r="J58">
            <v>4813889.3999999994</v>
          </cell>
        </row>
        <row r="59">
          <cell r="F59" t="str">
            <v>Capitalised Leases</v>
          </cell>
          <cell r="H59">
            <v>0</v>
          </cell>
          <cell r="I59">
            <v>0</v>
          </cell>
          <cell r="J59">
            <v>0</v>
          </cell>
        </row>
        <row r="60">
          <cell r="F60" t="str">
            <v>Capitalised Leases</v>
          </cell>
          <cell r="H60">
            <v>0</v>
          </cell>
          <cell r="I60">
            <v>9576833.6300000008</v>
          </cell>
          <cell r="J60">
            <v>2357023.895353769</v>
          </cell>
        </row>
        <row r="61">
          <cell r="F61" t="str">
            <v>Gas Extensions - Energy for the Regions</v>
          </cell>
          <cell r="H61">
            <v>1853841.9100000001</v>
          </cell>
          <cell r="I61">
            <v>7189.72</v>
          </cell>
          <cell r="J61">
            <v>0</v>
          </cell>
        </row>
        <row r="62">
          <cell r="F62" t="str">
            <v>Gas Extensions - Other</v>
          </cell>
          <cell r="H62">
            <v>0</v>
          </cell>
          <cell r="I62">
            <v>0</v>
          </cell>
          <cell r="J62">
            <v>0</v>
          </cell>
        </row>
        <row r="63">
          <cell r="F63" t="str">
            <v>Customer contributions</v>
          </cell>
          <cell r="H63">
            <v>0</v>
          </cell>
          <cell r="I63">
            <v>0</v>
          </cell>
          <cell r="J63">
            <v>0</v>
          </cell>
        </row>
        <row r="64">
          <cell r="F64" t="str">
            <v>Government contributions</v>
          </cell>
          <cell r="H64">
            <v>0</v>
          </cell>
          <cell r="I64">
            <v>0</v>
          </cell>
          <cell r="J64">
            <v>0</v>
          </cell>
        </row>
      </sheetData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ex Model"/>
      <sheetName val="Sheet1"/>
      <sheetName val="2.Capex 2021"/>
      <sheetName val="Links Out"/>
      <sheetName val="2.Capex (2015)"/>
      <sheetName val="2.4 Capex Overheads 2021"/>
      <sheetName val="2.4 Capex Overheads (2015)"/>
      <sheetName val="Gas Capex (Update from Lauren)"/>
      <sheetName val="5.Cost Category (Capex)"/>
      <sheetName val="1. All Capex Projects"/>
      <sheetName val="Version Cont"/>
      <sheetName val="Gas Capex Template 2021_GL - 20"/>
    </sheetNames>
    <sheetDataSet>
      <sheetData sheetId="0"/>
      <sheetData sheetId="1"/>
      <sheetData sheetId="2"/>
      <sheetData sheetId="3">
        <row r="7">
          <cell r="F7" t="str">
            <v>Transmission Pipelines</v>
          </cell>
          <cell r="J7">
            <v>0</v>
          </cell>
          <cell r="K7">
            <v>0</v>
          </cell>
          <cell r="M7">
            <v>4247217.95740127</v>
          </cell>
          <cell r="N7">
            <v>107148.46124316768</v>
          </cell>
        </row>
        <row r="8">
          <cell r="F8" t="str">
            <v>Distribution Pipelines</v>
          </cell>
          <cell r="J8">
            <v>-6545705.0862000007</v>
          </cell>
          <cell r="K8">
            <v>0</v>
          </cell>
          <cell r="M8">
            <v>37472427.866207406</v>
          </cell>
          <cell r="N8">
            <v>945351.29234724597</v>
          </cell>
        </row>
        <row r="9">
          <cell r="F9" t="str">
            <v>Service Pipes</v>
          </cell>
          <cell r="J9">
            <v>-2107659.7429999998</v>
          </cell>
          <cell r="K9">
            <v>0</v>
          </cell>
          <cell r="M9">
            <v>35443673.371927865</v>
          </cell>
          <cell r="N9">
            <v>894170.04276635079</v>
          </cell>
        </row>
        <row r="10">
          <cell r="F10" t="str">
            <v>Cathodic Protection</v>
          </cell>
          <cell r="J10">
            <v>0</v>
          </cell>
          <cell r="K10">
            <v>0</v>
          </cell>
          <cell r="M10">
            <v>113182.96394814715</v>
          </cell>
          <cell r="N10">
            <v>2855.3703971917716</v>
          </cell>
        </row>
        <row r="11">
          <cell r="F11" t="str">
            <v>Supply Regulators / Valve Stations</v>
          </cell>
          <cell r="J11">
            <v>-4340583.9327999996</v>
          </cell>
          <cell r="K11">
            <v>0</v>
          </cell>
          <cell r="M11">
            <v>5218228.7832809687</v>
          </cell>
          <cell r="N11">
            <v>131645.04156633222</v>
          </cell>
        </row>
        <row r="12">
          <cell r="F12" t="str">
            <v>Meters</v>
          </cell>
          <cell r="J12">
            <v>-658811.3280000001</v>
          </cell>
          <cell r="K12">
            <v>0</v>
          </cell>
          <cell r="M12">
            <v>16942542.22846856</v>
          </cell>
          <cell r="N12">
            <v>427425.04565001355</v>
          </cell>
        </row>
        <row r="13">
          <cell r="F13" t="str">
            <v>SCADA and remote control</v>
          </cell>
          <cell r="J13">
            <v>0</v>
          </cell>
          <cell r="K13">
            <v>0</v>
          </cell>
          <cell r="M13">
            <v>515518.14910206525</v>
          </cell>
          <cell r="N13">
            <v>13005.448972298524</v>
          </cell>
        </row>
        <row r="14">
          <cell r="F14" t="str">
            <v>Other - IT</v>
          </cell>
          <cell r="J14">
            <v>0</v>
          </cell>
          <cell r="K14">
            <v>0</v>
          </cell>
          <cell r="M14">
            <v>6770127.3438302651</v>
          </cell>
          <cell r="N14">
            <v>477940.18000000005</v>
          </cell>
        </row>
        <row r="15">
          <cell r="F15" t="str">
            <v>Other - non IT</v>
          </cell>
          <cell r="J15">
            <v>0</v>
          </cell>
          <cell r="K15">
            <v>-12722.32</v>
          </cell>
          <cell r="M15">
            <v>449555.43294260086</v>
          </cell>
          <cell r="N15">
            <v>11341.347057399154</v>
          </cell>
        </row>
        <row r="16">
          <cell r="F16" t="str">
            <v>Capitalised Leases</v>
          </cell>
          <cell r="J16">
            <v>0</v>
          </cell>
          <cell r="K16">
            <v>0</v>
          </cell>
          <cell r="M16">
            <v>222007.08612884395</v>
          </cell>
        </row>
        <row r="17">
          <cell r="F17" t="str">
            <v>Capitalised Leases</v>
          </cell>
          <cell r="J17">
            <v>0</v>
          </cell>
          <cell r="K17">
            <v>0</v>
          </cell>
          <cell r="M17">
            <v>-1571654.5284999935</v>
          </cell>
        </row>
        <row r="28">
          <cell r="F28" t="str">
            <v>Mains replacement</v>
          </cell>
          <cell r="K28">
            <v>22893951.110000003</v>
          </cell>
        </row>
        <row r="29">
          <cell r="F29" t="str">
            <v>Residential new customer connections</v>
          </cell>
          <cell r="K29">
            <v>44282932.260000005</v>
          </cell>
        </row>
        <row r="30">
          <cell r="F30" t="str">
            <v>Commercial and industrial new customer connections</v>
          </cell>
          <cell r="K30">
            <v>10879059.18</v>
          </cell>
        </row>
        <row r="31">
          <cell r="F31" t="str">
            <v>Residential meter replacement</v>
          </cell>
          <cell r="K31">
            <v>7351910.0499999998</v>
          </cell>
        </row>
        <row r="32">
          <cell r="F32" t="str">
            <v>Commercial and industrial meter replacement</v>
          </cell>
          <cell r="K32">
            <v>3571454.6300000004</v>
          </cell>
        </row>
        <row r="33">
          <cell r="F33" t="str">
            <v>Augmentation</v>
          </cell>
          <cell r="K33">
            <v>5382193.1299999999</v>
          </cell>
        </row>
        <row r="34">
          <cell r="F34" t="str">
            <v>IT capex</v>
          </cell>
          <cell r="K34">
            <v>6779190.4100000001</v>
          </cell>
        </row>
        <row r="35">
          <cell r="F35" t="str">
            <v>SCADA</v>
          </cell>
          <cell r="K35">
            <v>475093.34</v>
          </cell>
        </row>
        <row r="36">
          <cell r="F36" t="str">
            <v>Other</v>
          </cell>
          <cell r="K36">
            <v>5693888.1999999993</v>
          </cell>
        </row>
        <row r="37">
          <cell r="F37" t="str">
            <v>Capitalised Leases</v>
          </cell>
          <cell r="K37">
            <v>222007.08612884395</v>
          </cell>
        </row>
        <row r="38">
          <cell r="F38" t="str">
            <v>Capitalised Leases</v>
          </cell>
          <cell r="K38">
            <v>-1571654.5284999935</v>
          </cell>
        </row>
        <row r="39">
          <cell r="F39" t="str">
            <v>Gas Extensions - Energy for the Regions</v>
          </cell>
          <cell r="K39">
            <v>0</v>
          </cell>
        </row>
        <row r="40">
          <cell r="F40" t="str">
            <v>Gas Extensions - Other</v>
          </cell>
          <cell r="K40">
            <v>0</v>
          </cell>
        </row>
        <row r="41">
          <cell r="F41" t="str">
            <v>Customer contributions</v>
          </cell>
          <cell r="K41">
            <v>0</v>
          </cell>
        </row>
        <row r="42">
          <cell r="F42" t="str">
            <v>Government contributions</v>
          </cell>
          <cell r="K42">
            <v>0</v>
          </cell>
        </row>
        <row r="50">
          <cell r="F50" t="str">
            <v>Mains replacement</v>
          </cell>
          <cell r="K50">
            <v>23481348.089999996</v>
          </cell>
        </row>
        <row r="51">
          <cell r="F51" t="str">
            <v>Residential new customer connections</v>
          </cell>
          <cell r="K51">
            <v>45476540.800000004</v>
          </cell>
        </row>
        <row r="52">
          <cell r="F52" t="str">
            <v>Commercial and industrial new customer connections</v>
          </cell>
          <cell r="K52">
            <v>11128032.390000001</v>
          </cell>
        </row>
        <row r="53">
          <cell r="F53" t="str">
            <v>Residential meter replacement</v>
          </cell>
          <cell r="K53">
            <v>7533956.1499999994</v>
          </cell>
        </row>
        <row r="54">
          <cell r="F54" t="str">
            <v>Commercial and industrial meter replacement</v>
          </cell>
          <cell r="K54">
            <v>3598874.89</v>
          </cell>
        </row>
        <row r="55">
          <cell r="F55" t="str">
            <v>Augmentation</v>
          </cell>
          <cell r="K55">
            <v>5498970.8600000003</v>
          </cell>
        </row>
        <row r="56">
          <cell r="F56" t="str">
            <v>IT capex</v>
          </cell>
          <cell r="K56">
            <v>7257130.5899999999</v>
          </cell>
        </row>
        <row r="57">
          <cell r="F57" t="str">
            <v>SCADA</v>
          </cell>
          <cell r="K57">
            <v>507734.47000000003</v>
          </cell>
        </row>
        <row r="58">
          <cell r="F58" t="str">
            <v>Other</v>
          </cell>
          <cell r="K58">
            <v>5837966.2999999989</v>
          </cell>
        </row>
        <row r="59">
          <cell r="F59" t="str">
            <v>Capitalised Leases</v>
          </cell>
          <cell r="K59">
            <v>222007.08612884395</v>
          </cell>
        </row>
        <row r="60">
          <cell r="F60" t="str">
            <v>Capitalised Leases</v>
          </cell>
          <cell r="K60">
            <v>-1571654.5284999935</v>
          </cell>
        </row>
        <row r="61">
          <cell r="F61" t="str">
            <v>Gas Extensions - Energy for the Regions</v>
          </cell>
          <cell r="K61">
            <v>0</v>
          </cell>
        </row>
        <row r="62">
          <cell r="F62" t="str">
            <v>Gas Extensions - Other</v>
          </cell>
          <cell r="K62">
            <v>0</v>
          </cell>
        </row>
        <row r="63">
          <cell r="F63" t="str">
            <v>Customer contributions</v>
          </cell>
          <cell r="K63">
            <v>0</v>
          </cell>
        </row>
        <row r="64">
          <cell r="F64" t="str">
            <v>Government contributions</v>
          </cell>
          <cell r="K64">
            <v>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ER Sheet Heading"/>
      <sheetName val="AER CF"/>
      <sheetName val="AER NRs"/>
      <sheetName val="AER lookups"/>
      <sheetName val="AER ETL"/>
      <sheetName val="Instructions"/>
      <sheetName val="CONTENTS"/>
      <sheetName val="Business &amp; other details"/>
      <sheetName val="E1. Expenditure Summary"/>
      <sheetName val="E11. Labour"/>
      <sheetName val="E21. ARS"/>
      <sheetName val="N1. Demand"/>
      <sheetName val="N2. Network characteristics"/>
      <sheetName val="S1.1. Customer numbers"/>
      <sheetName val="S1.2. Customer numbers"/>
      <sheetName val="S10. Supply quality"/>
      <sheetName val="S11. Network reliability"/>
      <sheetName val="S14. Network integrity"/>
      <sheetName val="F1. Income"/>
      <sheetName val="F2. Capex"/>
      <sheetName val="F3. Revenue"/>
      <sheetName val="F4. Opex"/>
      <sheetName val="F6. Related party transactions"/>
      <sheetName val="F7. Provisions"/>
      <sheetName val="F9. Pass throughs"/>
      <sheetName val="F10. Assets"/>
      <sheetName val="Additional disclosur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12">
          <cell r="E12">
            <v>2175569.8034455199</v>
          </cell>
        </row>
        <row r="87">
          <cell r="J87">
            <v>0</v>
          </cell>
          <cell r="K87">
            <v>0</v>
          </cell>
        </row>
        <row r="88">
          <cell r="J88">
            <v>3558986.3020000001</v>
          </cell>
          <cell r="K88">
            <v>3411596.2239999999</v>
          </cell>
        </row>
        <row r="89">
          <cell r="J89">
            <v>1482923.6520000002</v>
          </cell>
          <cell r="K89">
            <v>3138494.0219999999</v>
          </cell>
        </row>
        <row r="90">
          <cell r="J90">
            <v>0</v>
          </cell>
          <cell r="K90">
            <v>0</v>
          </cell>
        </row>
        <row r="91">
          <cell r="J91">
            <v>433640.60000000003</v>
          </cell>
          <cell r="K91">
            <v>0</v>
          </cell>
        </row>
        <row r="92">
          <cell r="J92">
            <v>411747.89600000007</v>
          </cell>
          <cell r="K92">
            <v>1593261.4239999996</v>
          </cell>
        </row>
        <row r="93">
          <cell r="J93">
            <v>0</v>
          </cell>
          <cell r="K93">
            <v>0</v>
          </cell>
        </row>
        <row r="94">
          <cell r="J94">
            <v>0</v>
          </cell>
          <cell r="K94">
            <v>0</v>
          </cell>
        </row>
        <row r="95">
          <cell r="J95">
            <v>0</v>
          </cell>
          <cell r="K95">
            <v>0</v>
          </cell>
        </row>
        <row r="96">
          <cell r="J96">
            <v>0</v>
          </cell>
          <cell r="K96">
            <v>0</v>
          </cell>
        </row>
        <row r="97">
          <cell r="J97">
            <v>0</v>
          </cell>
          <cell r="K97">
            <v>0</v>
          </cell>
        </row>
        <row r="98">
          <cell r="J98">
            <v>0</v>
          </cell>
          <cell r="K98">
            <v>0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rgbClr val="000000"/>
      </a:dk1>
      <a:lt1>
        <a:srgbClr val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Arial" panose="020F0302020204030204"/>
        <a:ea typeface="Arial"/>
        <a:cs typeface="Arial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rial" panose="020F0502020204030204"/>
        <a:ea typeface="Arial"/>
        <a:cs typeface="Arial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9.bin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2.bin"/><Relationship Id="rId4" Type="http://schemas.openxmlformats.org/officeDocument/2006/relationships/ctrlProp" Target="../ctrlProps/ctrlProp3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0.bin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customProperty" Target="../customProperty11.bin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1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customProperty" Target="../customProperty12.bin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2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customProperty" Target="../customProperty13.bin"/><Relationship Id="rId1" Type="http://schemas.openxmlformats.org/officeDocument/2006/relationships/printerSettings" Target="../printerSettings/printerSettings16.bin"/><Relationship Id="rId4" Type="http://schemas.openxmlformats.org/officeDocument/2006/relationships/comments" Target="../comments3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customProperty" Target="../customProperty14.bin"/><Relationship Id="rId1" Type="http://schemas.openxmlformats.org/officeDocument/2006/relationships/printerSettings" Target="../printerSettings/printerSettings17.bin"/><Relationship Id="rId4" Type="http://schemas.openxmlformats.org/officeDocument/2006/relationships/comments" Target="../comments4.xm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customProperty" Target="../customProperty15.bin"/><Relationship Id="rId1" Type="http://schemas.openxmlformats.org/officeDocument/2006/relationships/printerSettings" Target="../printerSettings/printerSettings18.bin"/><Relationship Id="rId4" Type="http://schemas.openxmlformats.org/officeDocument/2006/relationships/comments" Target="../comments5.xm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customProperty" Target="../customProperty16.bin"/><Relationship Id="rId1" Type="http://schemas.openxmlformats.org/officeDocument/2006/relationships/printerSettings" Target="../printerSettings/printerSettings19.bin"/><Relationship Id="rId4" Type="http://schemas.openxmlformats.org/officeDocument/2006/relationships/comments" Target="../comments6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customProperty" Target="../customProperty17.bin"/><Relationship Id="rId1" Type="http://schemas.openxmlformats.org/officeDocument/2006/relationships/printerSettings" Target="../printerSettings/printerSettings20.bin"/><Relationship Id="rId4" Type="http://schemas.openxmlformats.org/officeDocument/2006/relationships/comments" Target="../comments7.xml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customProperty" Target="../customProperty18.bin"/><Relationship Id="rId1" Type="http://schemas.openxmlformats.org/officeDocument/2006/relationships/printerSettings" Target="../printerSettings/printerSettings21.bin"/><Relationship Id="rId4" Type="http://schemas.openxmlformats.org/officeDocument/2006/relationships/comments" Target="../comments8.xml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customProperty" Target="../customProperty19.bin"/><Relationship Id="rId1" Type="http://schemas.openxmlformats.org/officeDocument/2006/relationships/printerSettings" Target="../printerSettings/printerSettings22.bin"/><Relationship Id="rId4" Type="http://schemas.openxmlformats.org/officeDocument/2006/relationships/comments" Target="../comments9.xml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customProperty" Target="../customProperty20.bin"/><Relationship Id="rId1" Type="http://schemas.openxmlformats.org/officeDocument/2006/relationships/printerSettings" Target="../printerSettings/printerSettings23.bin"/><Relationship Id="rId4" Type="http://schemas.openxmlformats.org/officeDocument/2006/relationships/comments" Target="../comments10.xml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customProperty" Target="../customProperty21.bin"/><Relationship Id="rId1" Type="http://schemas.openxmlformats.org/officeDocument/2006/relationships/printerSettings" Target="../printerSettings/printerSettings24.bin"/><Relationship Id="rId4" Type="http://schemas.openxmlformats.org/officeDocument/2006/relationships/comments" Target="../comments11.xml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customProperty" Target="../customProperty22.bin"/><Relationship Id="rId1" Type="http://schemas.openxmlformats.org/officeDocument/2006/relationships/printerSettings" Target="../printerSettings/printerSettings25.bin"/><Relationship Id="rId4" Type="http://schemas.openxmlformats.org/officeDocument/2006/relationships/comments" Target="../comments12.xml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customProperty" Target="../customProperty23.bin"/><Relationship Id="rId1" Type="http://schemas.openxmlformats.org/officeDocument/2006/relationships/printerSettings" Target="../printerSettings/printerSettings26.bin"/><Relationship Id="rId4" Type="http://schemas.openxmlformats.org/officeDocument/2006/relationships/comments" Target="../comments13.xml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customProperty" Target="../customProperty24.bin"/><Relationship Id="rId1" Type="http://schemas.openxmlformats.org/officeDocument/2006/relationships/printerSettings" Target="../printerSettings/printerSettings27.bin"/><Relationship Id="rId4" Type="http://schemas.openxmlformats.org/officeDocument/2006/relationships/comments" Target="../comments14.xml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5.bin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customProperty" Target="../customProperty26.bin"/><Relationship Id="rId1" Type="http://schemas.openxmlformats.org/officeDocument/2006/relationships/printerSettings" Target="../printerSettings/printerSettings29.bin"/><Relationship Id="rId4" Type="http://schemas.openxmlformats.org/officeDocument/2006/relationships/comments" Target="../comments15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7.bin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8.bin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9.bin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0.bin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1.bin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2.bin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customProperty" Target="../customProperty4.bin"/><Relationship Id="rId1" Type="http://schemas.openxmlformats.org/officeDocument/2006/relationships/printerSettings" Target="../printerSettings/printerSettings4.bin"/><Relationship Id="rId6" Type="http://schemas.openxmlformats.org/officeDocument/2006/relationships/ctrlProp" Target="../ctrlProps/ctrlProp2.xml"/><Relationship Id="rId5" Type="http://schemas.openxmlformats.org/officeDocument/2006/relationships/ctrlProp" Target="../ctrlProps/ctrlProp1.xml"/><Relationship Id="rId4" Type="http://schemas.openxmlformats.org/officeDocument/2006/relationships/vmlDrawing" Target="../drawings/vmlDrawing1.v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5.bin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6.bin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7.bin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8.bin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D473C3-835C-4E41-AA5B-93E3E0EB30F8}">
  <sheetPr>
    <outlinePr summaryBelow="0"/>
    <pageSetUpPr autoPageBreaks="0"/>
  </sheetPr>
  <dimension ref="A1:L98"/>
  <sheetViews>
    <sheetView showGridLines="0" tabSelected="1" zoomScaleNormal="100" workbookViewId="0">
      <pane xSplit="1" ySplit="3" topLeftCell="B4" activePane="bottomRight" state="frozen"/>
      <selection activeCell="I248" sqref="I248"/>
      <selection pane="topRight" activeCell="I248" sqref="I248"/>
      <selection pane="bottomLeft" activeCell="I248" sqref="I248"/>
      <selection pane="bottomRight"/>
    </sheetView>
  </sheetViews>
  <sheetFormatPr defaultColWidth="11.59765625" defaultRowHeight="11.5" outlineLevelRow="2"/>
  <cols>
    <col min="1" max="6" width="3.59765625" customWidth="1"/>
  </cols>
  <sheetData>
    <row r="1" spans="1:12" ht="14">
      <c r="B1" s="6" t="s">
        <v>492</v>
      </c>
    </row>
    <row r="2" spans="1:12" ht="13">
      <c r="B2" s="21" t="str">
        <f ca="1">"GAAR Capex Forecast"&amp;Err_Chks_Msg&amp;Sens_Chks_Msg&amp;Alt_Chks_Msg</f>
        <v>GAAR Capex Forecast</v>
      </c>
    </row>
    <row r="3" spans="1:12">
      <c r="B3" s="1" t="s">
        <v>0</v>
      </c>
    </row>
    <row r="5" spans="1:12" s="2" customFormat="1">
      <c r="A5"/>
      <c r="B5" s="3" t="s">
        <v>1</v>
      </c>
    </row>
    <row r="6" spans="1:12" outlineLevel="1"/>
    <row r="7" spans="1:12" outlineLevel="1">
      <c r="B7" s="4">
        <v>1</v>
      </c>
      <c r="C7" s="5" t="s">
        <v>2</v>
      </c>
    </row>
    <row r="8" spans="1:12" outlineLevel="1">
      <c r="B8" s="4">
        <v>2</v>
      </c>
      <c r="C8" s="5" t="s">
        <v>2</v>
      </c>
    </row>
    <row r="9" spans="1:12" outlineLevel="1">
      <c r="B9" s="4">
        <v>3</v>
      </c>
      <c r="C9" s="5" t="s">
        <v>2</v>
      </c>
    </row>
    <row r="11" spans="1:12" s="2" customFormat="1">
      <c r="A11"/>
      <c r="B11" s="3" t="s">
        <v>3</v>
      </c>
    </row>
    <row r="13" spans="1:12" ht="12" customHeight="1">
      <c r="B13" s="33">
        <v>1</v>
      </c>
      <c r="C13" s="222" t="str">
        <f>Assumptions!C9</f>
        <v>Assumptions</v>
      </c>
      <c r="D13" s="222"/>
      <c r="E13" s="222"/>
      <c r="F13" s="222"/>
      <c r="G13" s="222"/>
      <c r="H13" s="222"/>
      <c r="I13" s="222"/>
      <c r="J13" s="222"/>
      <c r="K13" s="222"/>
      <c r="L13" s="222"/>
    </row>
    <row r="14" spans="1:12">
      <c r="C14" s="53" t="s">
        <v>114</v>
      </c>
      <c r="D14" s="223" t="str">
        <f>GA!C9</f>
        <v>General Assumptions</v>
      </c>
      <c r="E14" s="223"/>
      <c r="F14" s="223"/>
      <c r="G14" s="223"/>
      <c r="H14" s="223"/>
      <c r="I14" s="223"/>
      <c r="J14" s="223"/>
      <c r="K14" s="223"/>
      <c r="L14" s="223"/>
    </row>
    <row r="15" spans="1:12" outlineLevel="1">
      <c r="C15" s="34" t="s">
        <v>67</v>
      </c>
      <c r="D15" s="221" t="str">
        <f>Time!B1</f>
        <v>Time Series</v>
      </c>
      <c r="E15" s="221"/>
      <c r="F15" s="221"/>
      <c r="G15" s="221"/>
      <c r="H15" s="221"/>
      <c r="I15" s="221"/>
      <c r="J15" s="221"/>
      <c r="K15" s="221"/>
      <c r="L15" s="221"/>
    </row>
    <row r="16" spans="1:12">
      <c r="C16" s="53" t="s">
        <v>116</v>
      </c>
      <c r="D16" s="223" t="str">
        <f>Global!C9</f>
        <v>Global Controls</v>
      </c>
      <c r="E16" s="223"/>
      <c r="F16" s="223"/>
      <c r="G16" s="223"/>
      <c r="H16" s="223"/>
      <c r="I16" s="223"/>
      <c r="J16" s="223"/>
      <c r="K16" s="223"/>
      <c r="L16" s="223"/>
    </row>
    <row r="17" spans="3:12" outlineLevel="1">
      <c r="C17" s="34" t="s">
        <v>67</v>
      </c>
      <c r="D17" s="221" t="str">
        <f>GC!B1</f>
        <v>Global Controls</v>
      </c>
      <c r="E17" s="221"/>
      <c r="F17" s="221"/>
      <c r="G17" s="221"/>
      <c r="H17" s="221"/>
      <c r="I17" s="221"/>
      <c r="J17" s="221"/>
      <c r="K17" s="221"/>
      <c r="L17" s="221"/>
    </row>
    <row r="18" spans="3:12" outlineLevel="1">
      <c r="C18" s="34" t="s">
        <v>69</v>
      </c>
      <c r="D18" s="221" t="str">
        <f>CPI!B1</f>
        <v>CPI</v>
      </c>
      <c r="E18" s="221"/>
      <c r="F18" s="221"/>
      <c r="G18" s="221"/>
      <c r="H18" s="221"/>
      <c r="I18" s="221"/>
      <c r="J18" s="221"/>
      <c r="K18" s="221"/>
      <c r="L18" s="221"/>
    </row>
    <row r="19" spans="3:12" outlineLevel="1">
      <c r="C19" s="34" t="s">
        <v>73</v>
      </c>
      <c r="D19" s="221" t="str">
        <f>OH!B1</f>
        <v>Overheads</v>
      </c>
      <c r="E19" s="221"/>
      <c r="F19" s="221"/>
      <c r="G19" s="221"/>
      <c r="H19" s="221"/>
      <c r="I19" s="221"/>
      <c r="J19" s="221"/>
      <c r="K19" s="221"/>
      <c r="L19" s="221"/>
    </row>
    <row r="20" spans="3:12" outlineLevel="1">
      <c r="C20" s="34" t="s">
        <v>218</v>
      </c>
      <c r="D20" s="221" t="str">
        <f>Rates!B1</f>
        <v>Rates</v>
      </c>
      <c r="E20" s="221"/>
      <c r="F20" s="221"/>
      <c r="G20" s="221"/>
      <c r="H20" s="221"/>
      <c r="I20" s="221"/>
      <c r="J20" s="221"/>
      <c r="K20" s="221"/>
      <c r="L20" s="221"/>
    </row>
    <row r="21" spans="3:12" outlineLevel="1" collapsed="1">
      <c r="C21" s="34" t="s">
        <v>219</v>
      </c>
      <c r="D21" s="221" t="str">
        <f>Work_Codes!B1</f>
        <v>Work Codes Assumptions</v>
      </c>
      <c r="E21" s="221"/>
      <c r="F21" s="221"/>
      <c r="G21" s="221"/>
      <c r="H21" s="221"/>
      <c r="I21" s="221"/>
      <c r="J21" s="221"/>
      <c r="K21" s="221"/>
      <c r="L21" s="221"/>
    </row>
    <row r="22" spans="3:12" ht="11.5" hidden="1" customHeight="1" outlineLevel="2">
      <c r="D22" s="35" t="s">
        <v>70</v>
      </c>
      <c r="E22" s="220" t="str">
        <f>TOC_Hdg_16</f>
        <v>3001 - Assumptions</v>
      </c>
      <c r="F22" s="220"/>
      <c r="G22" s="220"/>
      <c r="H22" s="220"/>
      <c r="I22" s="220"/>
      <c r="J22" s="220"/>
      <c r="K22" s="220"/>
      <c r="L22" s="220"/>
    </row>
    <row r="23" spans="3:12" ht="11.5" hidden="1" customHeight="1" outlineLevel="2">
      <c r="D23" s="35" t="s">
        <v>70</v>
      </c>
      <c r="E23" s="220" t="str">
        <f>TOC_Hdg_17</f>
        <v>3002 - Assumptions</v>
      </c>
      <c r="F23" s="220"/>
      <c r="G23" s="220"/>
      <c r="H23" s="220"/>
      <c r="I23" s="220"/>
      <c r="J23" s="220"/>
      <c r="K23" s="220"/>
      <c r="L23" s="220"/>
    </row>
    <row r="24" spans="3:12" ht="11.5" hidden="1" customHeight="1" outlineLevel="2">
      <c r="D24" s="35" t="s">
        <v>70</v>
      </c>
      <c r="E24" s="220" t="str">
        <f>TOC_Hdg_9</f>
        <v>3003 - Assumptions</v>
      </c>
      <c r="F24" s="220"/>
      <c r="G24" s="220"/>
      <c r="H24" s="220"/>
      <c r="I24" s="220"/>
      <c r="J24" s="220"/>
      <c r="K24" s="220"/>
      <c r="L24" s="220"/>
    </row>
    <row r="25" spans="3:12" ht="11.5" hidden="1" customHeight="1" outlineLevel="2">
      <c r="D25" s="35" t="s">
        <v>70</v>
      </c>
      <c r="E25" s="220" t="str">
        <f>TOC_Hdg_14</f>
        <v>3004 - Assumptions</v>
      </c>
      <c r="F25" s="220"/>
      <c r="G25" s="220"/>
      <c r="H25" s="220"/>
      <c r="I25" s="220"/>
      <c r="J25" s="220"/>
      <c r="K25" s="220"/>
      <c r="L25" s="220"/>
    </row>
    <row r="26" spans="3:12" ht="11.5" hidden="1" customHeight="1" outlineLevel="2">
      <c r="D26" s="35" t="s">
        <v>70</v>
      </c>
      <c r="E26" s="220" t="str">
        <f>TOC_Hdg_18</f>
        <v>3005 - Assumptions</v>
      </c>
      <c r="F26" s="220"/>
      <c r="G26" s="220"/>
      <c r="H26" s="220"/>
      <c r="I26" s="220"/>
      <c r="J26" s="220"/>
      <c r="K26" s="220"/>
      <c r="L26" s="220"/>
    </row>
    <row r="27" spans="3:12" ht="11.5" hidden="1" customHeight="1" outlineLevel="2">
      <c r="D27" s="35" t="s">
        <v>70</v>
      </c>
      <c r="E27" s="220" t="str">
        <f>TOC_Hdg_20</f>
        <v>3006 - Assumptions</v>
      </c>
      <c r="F27" s="220"/>
      <c r="G27" s="220"/>
      <c r="H27" s="220"/>
      <c r="I27" s="220"/>
      <c r="J27" s="220"/>
      <c r="K27" s="220"/>
      <c r="L27" s="220"/>
    </row>
    <row r="28" spans="3:12" ht="11.5" hidden="1" customHeight="1" outlineLevel="2">
      <c r="D28" s="35" t="s">
        <v>70</v>
      </c>
      <c r="E28" s="220" t="str">
        <f>TOC_Hdg_22</f>
        <v>3007 - Assumptions</v>
      </c>
      <c r="F28" s="220"/>
      <c r="G28" s="220"/>
      <c r="H28" s="220"/>
      <c r="I28" s="220"/>
      <c r="J28" s="220"/>
      <c r="K28" s="220"/>
      <c r="L28" s="220"/>
    </row>
    <row r="29" spans="3:12" ht="11.5" hidden="1" customHeight="1" outlineLevel="2">
      <c r="D29" s="35" t="s">
        <v>70</v>
      </c>
      <c r="E29" s="220" t="str">
        <f>TOC_Hdg_24</f>
        <v>3008 - Assumptions</v>
      </c>
      <c r="F29" s="220"/>
      <c r="G29" s="220"/>
      <c r="H29" s="220"/>
      <c r="I29" s="220"/>
      <c r="J29" s="220"/>
      <c r="K29" s="220"/>
      <c r="L29" s="220"/>
    </row>
    <row r="30" spans="3:12" ht="11.5" hidden="1" customHeight="1" outlineLevel="2">
      <c r="D30" s="35" t="s">
        <v>70</v>
      </c>
      <c r="E30" s="220" t="str">
        <f>TOC_Hdg_26</f>
        <v>3009 - Assumptions</v>
      </c>
      <c r="F30" s="220"/>
      <c r="G30" s="220"/>
      <c r="H30" s="220"/>
      <c r="I30" s="220"/>
      <c r="J30" s="220"/>
      <c r="K30" s="220"/>
      <c r="L30" s="220"/>
    </row>
    <row r="31" spans="3:12" ht="11.5" hidden="1" customHeight="1" outlineLevel="2">
      <c r="D31" s="35" t="s">
        <v>70</v>
      </c>
      <c r="E31" s="220" t="str">
        <f>TOC_Hdg_28</f>
        <v>3010 - Assumptions</v>
      </c>
      <c r="F31" s="220"/>
      <c r="G31" s="220"/>
      <c r="H31" s="220"/>
      <c r="I31" s="220"/>
      <c r="J31" s="220"/>
      <c r="K31" s="220"/>
      <c r="L31" s="220"/>
    </row>
    <row r="32" spans="3:12" ht="11.5" hidden="1" customHeight="1" outlineLevel="2">
      <c r="D32" s="35" t="s">
        <v>70</v>
      </c>
      <c r="E32" s="220" t="str">
        <f>TOC_Hdg_30</f>
        <v>3011 - Assumptions</v>
      </c>
      <c r="F32" s="220"/>
      <c r="G32" s="220"/>
      <c r="H32" s="220"/>
      <c r="I32" s="220"/>
      <c r="J32" s="220"/>
      <c r="K32" s="220"/>
      <c r="L32" s="220"/>
    </row>
    <row r="33" spans="4:12" ht="11.5" hidden="1" customHeight="1" outlineLevel="2">
      <c r="D33" s="35" t="s">
        <v>70</v>
      </c>
      <c r="E33" s="220" t="str">
        <f>TOC_Hdg_32</f>
        <v>3012 - Assumptions</v>
      </c>
      <c r="F33" s="220"/>
      <c r="G33" s="220"/>
      <c r="H33" s="220"/>
      <c r="I33" s="220"/>
      <c r="J33" s="220"/>
      <c r="K33" s="220"/>
      <c r="L33" s="220"/>
    </row>
    <row r="34" spans="4:12" ht="11.5" hidden="1" customHeight="1" outlineLevel="2">
      <c r="D34" s="35" t="s">
        <v>70</v>
      </c>
      <c r="E34" s="220" t="str">
        <f>TOC_Hdg_34</f>
        <v>3013 - Assumptions</v>
      </c>
      <c r="F34" s="220"/>
      <c r="G34" s="220"/>
      <c r="H34" s="220"/>
      <c r="I34" s="220"/>
      <c r="J34" s="220"/>
      <c r="K34" s="220"/>
      <c r="L34" s="220"/>
    </row>
    <row r="35" spans="4:12" ht="11.5" hidden="1" customHeight="1" outlineLevel="2">
      <c r="D35" s="35" t="s">
        <v>70</v>
      </c>
      <c r="E35" s="220" t="str">
        <f>TOC_Hdg_36</f>
        <v>3014 - Assumptions</v>
      </c>
      <c r="F35" s="220"/>
      <c r="G35" s="220"/>
      <c r="H35" s="220"/>
      <c r="I35" s="220"/>
      <c r="J35" s="220"/>
      <c r="K35" s="220"/>
      <c r="L35" s="220"/>
    </row>
    <row r="36" spans="4:12" ht="11.5" hidden="1" customHeight="1" outlineLevel="2">
      <c r="D36" s="35" t="s">
        <v>70</v>
      </c>
      <c r="E36" s="220" t="str">
        <f>TOC_Hdg_38</f>
        <v>3015 - Assumptions</v>
      </c>
      <c r="F36" s="220"/>
      <c r="G36" s="220"/>
      <c r="H36" s="220"/>
      <c r="I36" s="220"/>
      <c r="J36" s="220"/>
      <c r="K36" s="220"/>
      <c r="L36" s="220"/>
    </row>
    <row r="37" spans="4:12" ht="11.5" hidden="1" customHeight="1" outlineLevel="2">
      <c r="D37" s="35" t="s">
        <v>70</v>
      </c>
      <c r="E37" s="220" t="str">
        <f>TOC_Hdg_40</f>
        <v>3016 - Assumptions</v>
      </c>
      <c r="F37" s="220"/>
      <c r="G37" s="220"/>
      <c r="H37" s="220"/>
      <c r="I37" s="220"/>
      <c r="J37" s="220"/>
      <c r="K37" s="220"/>
      <c r="L37" s="220"/>
    </row>
    <row r="38" spans="4:12" ht="11.5" hidden="1" customHeight="1" outlineLevel="2">
      <c r="D38" s="35" t="s">
        <v>70</v>
      </c>
      <c r="E38" s="220" t="str">
        <f>TOC_Hdg_42</f>
        <v>3017 - Assumptions</v>
      </c>
      <c r="F38" s="220"/>
      <c r="G38" s="220"/>
      <c r="H38" s="220"/>
      <c r="I38" s="220"/>
      <c r="J38" s="220"/>
      <c r="K38" s="220"/>
      <c r="L38" s="220"/>
    </row>
    <row r="39" spans="4:12" ht="11.5" hidden="1" customHeight="1" outlineLevel="2">
      <c r="D39" s="35" t="s">
        <v>70</v>
      </c>
      <c r="E39" s="220" t="str">
        <f>TOC_Hdg_44</f>
        <v>3018 - Assumptions</v>
      </c>
      <c r="F39" s="220"/>
      <c r="G39" s="220"/>
      <c r="H39" s="220"/>
      <c r="I39" s="220"/>
      <c r="J39" s="220"/>
      <c r="K39" s="220"/>
      <c r="L39" s="220"/>
    </row>
    <row r="40" spans="4:12" ht="11.5" hidden="1" customHeight="1" outlineLevel="2">
      <c r="D40" s="35" t="s">
        <v>70</v>
      </c>
      <c r="E40" s="220" t="str">
        <f>TOC_Hdg_46</f>
        <v>3019 - Assumptions</v>
      </c>
      <c r="F40" s="220"/>
      <c r="G40" s="220"/>
      <c r="H40" s="220"/>
      <c r="I40" s="220"/>
      <c r="J40" s="220"/>
      <c r="K40" s="220"/>
      <c r="L40" s="220"/>
    </row>
    <row r="41" spans="4:12" ht="11.5" hidden="1" customHeight="1" outlineLevel="2">
      <c r="D41" s="35" t="s">
        <v>70</v>
      </c>
      <c r="E41" s="220" t="str">
        <f>TOC_Hdg_48</f>
        <v>3020 - Assumptions</v>
      </c>
      <c r="F41" s="220"/>
      <c r="G41" s="220"/>
      <c r="H41" s="220"/>
      <c r="I41" s="220"/>
      <c r="J41" s="220"/>
      <c r="K41" s="220"/>
      <c r="L41" s="220"/>
    </row>
    <row r="42" spans="4:12" ht="11.5" hidden="1" customHeight="1" outlineLevel="2">
      <c r="D42" s="35" t="s">
        <v>70</v>
      </c>
      <c r="E42" s="220" t="str">
        <f>TOC_Hdg_50</f>
        <v>3021 - Assumptions</v>
      </c>
      <c r="F42" s="220"/>
      <c r="G42" s="220"/>
      <c r="H42" s="220"/>
      <c r="I42" s="220"/>
      <c r="J42" s="220"/>
      <c r="K42" s="220"/>
      <c r="L42" s="220"/>
    </row>
    <row r="43" spans="4:12" ht="11.5" hidden="1" customHeight="1" outlineLevel="2">
      <c r="D43" s="35" t="s">
        <v>70</v>
      </c>
      <c r="E43" s="220" t="str">
        <f>TOC_Hdg_52</f>
        <v>3022 - Assumptions</v>
      </c>
      <c r="F43" s="220"/>
      <c r="G43" s="220"/>
      <c r="H43" s="220"/>
      <c r="I43" s="220"/>
      <c r="J43" s="220"/>
      <c r="K43" s="220"/>
      <c r="L43" s="220"/>
    </row>
    <row r="44" spans="4:12" ht="11.5" hidden="1" customHeight="1" outlineLevel="2">
      <c r="D44" s="35" t="s">
        <v>70</v>
      </c>
      <c r="E44" s="220" t="str">
        <f>TOC_Hdg_54</f>
        <v>3023 - Assumptions</v>
      </c>
      <c r="F44" s="220"/>
      <c r="G44" s="220"/>
      <c r="H44" s="220"/>
      <c r="I44" s="220"/>
      <c r="J44" s="220"/>
      <c r="K44" s="220"/>
      <c r="L44" s="220"/>
    </row>
    <row r="45" spans="4:12" ht="11.5" hidden="1" customHeight="1" outlineLevel="2">
      <c r="D45" s="35" t="s">
        <v>70</v>
      </c>
      <c r="E45" s="220" t="str">
        <f>TOC_Hdg_56</f>
        <v>3024 - Assumptions</v>
      </c>
      <c r="F45" s="220"/>
      <c r="G45" s="220"/>
      <c r="H45" s="220"/>
      <c r="I45" s="220"/>
      <c r="J45" s="220"/>
      <c r="K45" s="220"/>
      <c r="L45" s="220"/>
    </row>
    <row r="46" spans="4:12" ht="11.5" hidden="1" customHeight="1" outlineLevel="2">
      <c r="D46" s="35" t="s">
        <v>70</v>
      </c>
      <c r="E46" s="220" t="str">
        <f>TOC_Hdg_58</f>
        <v>3025 - Assumptions</v>
      </c>
      <c r="F46" s="220"/>
      <c r="G46" s="220"/>
      <c r="H46" s="220"/>
      <c r="I46" s="220"/>
      <c r="J46" s="220"/>
      <c r="K46" s="220"/>
      <c r="L46" s="220"/>
    </row>
    <row r="47" spans="4:12" ht="11.5" hidden="1" customHeight="1" outlineLevel="2">
      <c r="D47" s="35" t="s">
        <v>70</v>
      </c>
      <c r="E47" s="220" t="str">
        <f>TOC_Hdg_60</f>
        <v>3027 - Assumptions</v>
      </c>
      <c r="F47" s="220"/>
      <c r="G47" s="220"/>
      <c r="H47" s="220"/>
      <c r="I47" s="220"/>
      <c r="J47" s="220"/>
      <c r="K47" s="220"/>
      <c r="L47" s="220"/>
    </row>
    <row r="48" spans="4:12" ht="11.5" hidden="1" customHeight="1" outlineLevel="2">
      <c r="D48" s="35" t="s">
        <v>70</v>
      </c>
      <c r="E48" s="220" t="str">
        <f>TOC_Hdg_62</f>
        <v>3031 - Assumptions</v>
      </c>
      <c r="F48" s="220"/>
      <c r="G48" s="220"/>
      <c r="H48" s="220"/>
      <c r="I48" s="220"/>
      <c r="J48" s="220"/>
      <c r="K48" s="220"/>
      <c r="L48" s="220"/>
    </row>
    <row r="49" spans="3:12" outlineLevel="1">
      <c r="C49" s="34" t="s">
        <v>222</v>
      </c>
      <c r="D49" s="221" t="str">
        <f>Historical!B1</f>
        <v>Historical Capex $Nominal</v>
      </c>
      <c r="E49" s="221"/>
      <c r="F49" s="221"/>
      <c r="G49" s="221"/>
      <c r="H49" s="221"/>
      <c r="I49" s="221"/>
      <c r="J49" s="221"/>
      <c r="K49" s="221"/>
      <c r="L49" s="221"/>
    </row>
    <row r="50" spans="3:12" outlineLevel="1">
      <c r="C50" s="34" t="s">
        <v>223</v>
      </c>
      <c r="D50" s="221" t="str">
        <f>Scenarios!B1</f>
        <v>Global Controls - Scenarios</v>
      </c>
      <c r="E50" s="221"/>
      <c r="F50" s="221"/>
      <c r="G50" s="221"/>
      <c r="H50" s="221"/>
      <c r="I50" s="221"/>
      <c r="J50" s="221"/>
      <c r="K50" s="221"/>
      <c r="L50" s="221"/>
    </row>
    <row r="51" spans="3:12">
      <c r="C51" s="53" t="s">
        <v>201</v>
      </c>
      <c r="D51" s="223" t="str">
        <f>Inputs!C9</f>
        <v>Capex Inputs</v>
      </c>
      <c r="E51" s="223"/>
      <c r="F51" s="223"/>
      <c r="G51" s="223"/>
      <c r="H51" s="223"/>
      <c r="I51" s="223"/>
      <c r="J51" s="223"/>
      <c r="K51" s="223"/>
      <c r="L51" s="223"/>
    </row>
    <row r="52" spans="3:12" outlineLevel="1">
      <c r="C52" s="34" t="s">
        <v>67</v>
      </c>
      <c r="D52" s="221" t="str">
        <f>Low_Press!B1</f>
        <v>Low Pressure</v>
      </c>
      <c r="E52" s="221"/>
      <c r="F52" s="221"/>
      <c r="G52" s="221"/>
      <c r="H52" s="221"/>
      <c r="I52" s="221"/>
      <c r="J52" s="221"/>
      <c r="K52" s="221"/>
      <c r="L52" s="221"/>
    </row>
    <row r="53" spans="3:12" outlineLevel="1">
      <c r="C53" s="34" t="s">
        <v>69</v>
      </c>
      <c r="D53" s="221" t="str">
        <f>Medium_Press!B1</f>
        <v>Medium Pressure</v>
      </c>
      <c r="E53" s="221"/>
      <c r="F53" s="221"/>
      <c r="G53" s="221"/>
      <c r="H53" s="221"/>
      <c r="I53" s="221"/>
      <c r="J53" s="221"/>
      <c r="K53" s="221"/>
      <c r="L53" s="221"/>
    </row>
    <row r="54" spans="3:12" outlineLevel="1">
      <c r="C54" s="34" t="s">
        <v>73</v>
      </c>
      <c r="D54" s="221" t="str">
        <f>High_Press!B1</f>
        <v>High Pressure</v>
      </c>
      <c r="E54" s="221"/>
      <c r="F54" s="221"/>
      <c r="G54" s="221"/>
      <c r="H54" s="221"/>
      <c r="I54" s="221"/>
      <c r="J54" s="221"/>
      <c r="K54" s="221"/>
      <c r="L54" s="221"/>
    </row>
    <row r="55" spans="3:12" outlineLevel="1" collapsed="1">
      <c r="C55" s="34" t="s">
        <v>218</v>
      </c>
      <c r="D55" s="221" t="str">
        <f>AdHoc!B1</f>
        <v>AdHoc Mains &amp; Replacement</v>
      </c>
      <c r="E55" s="221"/>
      <c r="F55" s="221"/>
      <c r="G55" s="221"/>
      <c r="H55" s="221"/>
      <c r="I55" s="221"/>
      <c r="J55" s="221"/>
      <c r="K55" s="221"/>
      <c r="L55" s="221"/>
    </row>
    <row r="56" spans="3:12" ht="11.5" hidden="1" customHeight="1" outlineLevel="2">
      <c r="D56" s="35" t="s">
        <v>70</v>
      </c>
      <c r="E56" s="220" t="str">
        <f>TOC_Hdg_13</f>
        <v>3002 - Inputs</v>
      </c>
      <c r="F56" s="220"/>
      <c r="G56" s="220"/>
      <c r="H56" s="220"/>
      <c r="I56" s="220"/>
      <c r="J56" s="220"/>
      <c r="K56" s="220"/>
      <c r="L56" s="220"/>
    </row>
    <row r="57" spans="3:12" ht="11.5" hidden="1" customHeight="1" outlineLevel="2">
      <c r="D57" s="35" t="s">
        <v>70</v>
      </c>
      <c r="E57" s="220" t="str">
        <f>TOC_Hdg_15</f>
        <v>3004 - Inputs</v>
      </c>
      <c r="F57" s="220"/>
      <c r="G57" s="220"/>
      <c r="H57" s="220"/>
      <c r="I57" s="220"/>
      <c r="J57" s="220"/>
      <c r="K57" s="220"/>
      <c r="L57" s="220"/>
    </row>
    <row r="58" spans="3:12" ht="11.5" hidden="1" customHeight="1" outlineLevel="2">
      <c r="D58" s="35" t="s">
        <v>70</v>
      </c>
      <c r="E58" s="220" t="str">
        <f>TOC_Hdg_21</f>
        <v>3006 - Inputs</v>
      </c>
      <c r="F58" s="220"/>
      <c r="G58" s="220"/>
      <c r="H58" s="220"/>
      <c r="I58" s="220"/>
      <c r="J58" s="220"/>
      <c r="K58" s="220"/>
      <c r="L58" s="220"/>
    </row>
    <row r="59" spans="3:12" outlineLevel="1" collapsed="1">
      <c r="C59" s="34" t="s">
        <v>219</v>
      </c>
      <c r="D59" s="221" t="str">
        <f>Dom_Meters!B1</f>
        <v>Domestic Meters</v>
      </c>
      <c r="E59" s="221"/>
      <c r="F59" s="221"/>
      <c r="G59" s="221"/>
      <c r="H59" s="221"/>
      <c r="I59" s="221"/>
      <c r="J59" s="221"/>
      <c r="K59" s="221"/>
      <c r="L59" s="221"/>
    </row>
    <row r="60" spans="3:12" ht="11.5" hidden="1" customHeight="1" outlineLevel="2">
      <c r="D60" s="35" t="s">
        <v>70</v>
      </c>
      <c r="E60" s="220" t="str">
        <f>TOC_Hdg_23</f>
        <v>3007 - Inputs</v>
      </c>
      <c r="F60" s="220"/>
      <c r="G60" s="220"/>
      <c r="H60" s="220"/>
      <c r="I60" s="220"/>
      <c r="J60" s="220"/>
      <c r="K60" s="220"/>
      <c r="L60" s="220"/>
    </row>
    <row r="61" spans="3:12" ht="11.5" hidden="1" customHeight="1" outlineLevel="2">
      <c r="D61" s="35" t="s">
        <v>70</v>
      </c>
      <c r="E61" s="220" t="str">
        <f>TOC_Hdg_25</f>
        <v>3008 - Inputs</v>
      </c>
      <c r="F61" s="220"/>
      <c r="G61" s="220"/>
      <c r="H61" s="220"/>
      <c r="I61" s="220"/>
      <c r="J61" s="220"/>
      <c r="K61" s="220"/>
      <c r="L61" s="220"/>
    </row>
    <row r="62" spans="3:12" outlineLevel="1" collapsed="1">
      <c r="C62" s="34" t="s">
        <v>222</v>
      </c>
      <c r="D62" s="221" t="str">
        <f>Com_Meters!B1</f>
        <v>Industrial &amp; Commercial Meters</v>
      </c>
      <c r="E62" s="221"/>
      <c r="F62" s="221"/>
      <c r="G62" s="221"/>
      <c r="H62" s="221"/>
      <c r="I62" s="221"/>
      <c r="J62" s="221"/>
      <c r="K62" s="221"/>
      <c r="L62" s="221"/>
    </row>
    <row r="63" spans="3:12" ht="11.5" hidden="1" customHeight="1" outlineLevel="2">
      <c r="D63" s="35" t="s">
        <v>70</v>
      </c>
      <c r="E63" s="220" t="str">
        <f>TOC_Hdg_27</f>
        <v>3009 - Inputs</v>
      </c>
      <c r="F63" s="220"/>
      <c r="G63" s="220"/>
      <c r="H63" s="220"/>
      <c r="I63" s="220"/>
      <c r="J63" s="220"/>
      <c r="K63" s="220"/>
      <c r="L63" s="220"/>
    </row>
    <row r="64" spans="3:12" ht="11.5" hidden="1" customHeight="1" outlineLevel="2">
      <c r="D64" s="35" t="s">
        <v>70</v>
      </c>
      <c r="E64" s="220" t="str">
        <f>TOC_Hdg_29</f>
        <v>3010 - Inputs</v>
      </c>
      <c r="F64" s="220"/>
      <c r="G64" s="220"/>
      <c r="H64" s="220"/>
      <c r="I64" s="220"/>
      <c r="J64" s="220"/>
      <c r="K64" s="220"/>
      <c r="L64" s="220"/>
    </row>
    <row r="65" spans="3:12" outlineLevel="1" collapsed="1">
      <c r="C65" s="34" t="s">
        <v>223</v>
      </c>
      <c r="D65" s="221" t="str">
        <f>Net_Reg!B1</f>
        <v>Network Regulators</v>
      </c>
      <c r="E65" s="221"/>
      <c r="F65" s="221"/>
      <c r="G65" s="221"/>
      <c r="H65" s="221"/>
      <c r="I65" s="221"/>
      <c r="J65" s="221"/>
      <c r="K65" s="221"/>
      <c r="L65" s="221"/>
    </row>
    <row r="66" spans="3:12" ht="11.5" hidden="1" customHeight="1" outlineLevel="2">
      <c r="D66" s="35" t="s">
        <v>70</v>
      </c>
      <c r="E66" s="220" t="str">
        <f>TOC_Hdg_31</f>
        <v>3011 - Inputs</v>
      </c>
      <c r="F66" s="220"/>
      <c r="G66" s="220"/>
      <c r="H66" s="220"/>
      <c r="I66" s="220"/>
      <c r="J66" s="220"/>
      <c r="K66" s="220"/>
      <c r="L66" s="220"/>
    </row>
    <row r="67" spans="3:12" ht="11.5" hidden="1" customHeight="1" outlineLevel="2">
      <c r="D67" s="35" t="s">
        <v>70</v>
      </c>
      <c r="E67" s="220" t="str">
        <f>TOC_Hdg_33</f>
        <v>3012 - Inputs</v>
      </c>
      <c r="F67" s="220"/>
      <c r="G67" s="220"/>
      <c r="H67" s="220"/>
      <c r="I67" s="220"/>
      <c r="J67" s="220"/>
      <c r="K67" s="220"/>
      <c r="L67" s="220"/>
    </row>
    <row r="68" spans="3:12" outlineLevel="1" collapsed="1">
      <c r="C68" s="34" t="s">
        <v>224</v>
      </c>
      <c r="D68" s="221" t="str">
        <f>Cust_Reg!B1</f>
        <v>Customer Regulators</v>
      </c>
      <c r="E68" s="221"/>
      <c r="F68" s="221"/>
      <c r="G68" s="221"/>
      <c r="H68" s="221"/>
      <c r="I68" s="221"/>
      <c r="J68" s="221"/>
      <c r="K68" s="221"/>
      <c r="L68" s="221"/>
    </row>
    <row r="69" spans="3:12" ht="11.5" hidden="1" customHeight="1" outlineLevel="2">
      <c r="D69" s="35" t="s">
        <v>70</v>
      </c>
      <c r="E69" s="220" t="str">
        <f>TOC_Hdg_35</f>
        <v>3013 - Inputs</v>
      </c>
      <c r="F69" s="220"/>
      <c r="G69" s="220"/>
      <c r="H69" s="220"/>
      <c r="I69" s="220"/>
      <c r="J69" s="220"/>
      <c r="K69" s="220"/>
      <c r="L69" s="220"/>
    </row>
    <row r="70" spans="3:12" ht="11.5" hidden="1" customHeight="1" outlineLevel="2">
      <c r="D70" s="35" t="s">
        <v>70</v>
      </c>
      <c r="E70" s="220" t="str">
        <f>TOC_Hdg_37</f>
        <v>3014 - Inputs</v>
      </c>
      <c r="F70" s="220"/>
      <c r="G70" s="220"/>
      <c r="H70" s="220"/>
      <c r="I70" s="220"/>
      <c r="J70" s="220"/>
      <c r="K70" s="220"/>
      <c r="L70" s="220"/>
    </row>
    <row r="71" spans="3:12" outlineLevel="1" collapsed="1">
      <c r="C71" s="34" t="s">
        <v>225</v>
      </c>
      <c r="D71" s="221" t="str">
        <f>CP_SCADA!B1</f>
        <v>Cathodic Protection &amp; SCADA</v>
      </c>
      <c r="E71" s="221"/>
      <c r="F71" s="221"/>
      <c r="G71" s="221"/>
      <c r="H71" s="221"/>
      <c r="I71" s="221"/>
      <c r="J71" s="221"/>
      <c r="K71" s="221"/>
      <c r="L71" s="221"/>
    </row>
    <row r="72" spans="3:12" ht="11.5" hidden="1" customHeight="1" outlineLevel="2">
      <c r="D72" s="35" t="s">
        <v>70</v>
      </c>
      <c r="E72" s="220" t="str">
        <f>TOC_Hdg_39</f>
        <v>3015 - Inputs</v>
      </c>
      <c r="F72" s="220"/>
      <c r="G72" s="220"/>
      <c r="H72" s="220"/>
      <c r="I72" s="220"/>
      <c r="J72" s="220"/>
      <c r="K72" s="220"/>
      <c r="L72" s="220"/>
    </row>
    <row r="73" spans="3:12" ht="11.5" hidden="1" customHeight="1" outlineLevel="2">
      <c r="D73" s="35" t="s">
        <v>70</v>
      </c>
      <c r="E73" s="220" t="str">
        <f>TOC_Hdg_41</f>
        <v>3016 - Inputs</v>
      </c>
      <c r="F73" s="220"/>
      <c r="G73" s="220"/>
      <c r="H73" s="220"/>
      <c r="I73" s="220"/>
      <c r="J73" s="220"/>
      <c r="K73" s="220"/>
      <c r="L73" s="220"/>
    </row>
    <row r="74" spans="3:12" outlineLevel="1" collapsed="1">
      <c r="C74" s="34" t="s">
        <v>226</v>
      </c>
      <c r="D74" s="221" t="str">
        <f>Aug!B1</f>
        <v>Augmentation</v>
      </c>
      <c r="E74" s="221"/>
      <c r="F74" s="221"/>
      <c r="G74" s="221"/>
      <c r="H74" s="221"/>
      <c r="I74" s="221"/>
      <c r="J74" s="221"/>
      <c r="K74" s="221"/>
      <c r="L74" s="221"/>
    </row>
    <row r="75" spans="3:12" ht="11.5" hidden="1" customHeight="1" outlineLevel="2">
      <c r="D75" s="35" t="s">
        <v>70</v>
      </c>
      <c r="E75" s="220" t="str">
        <f>TOC_Hdg_43</f>
        <v>3017 - Inputs</v>
      </c>
      <c r="F75" s="220"/>
      <c r="G75" s="220"/>
      <c r="H75" s="220"/>
      <c r="I75" s="220"/>
      <c r="J75" s="220"/>
      <c r="K75" s="220"/>
      <c r="L75" s="220"/>
    </row>
    <row r="76" spans="3:12" ht="11.5" hidden="1" customHeight="1" outlineLevel="2">
      <c r="D76" s="35" t="s">
        <v>70</v>
      </c>
      <c r="E76" s="220" t="str">
        <f>TOC_Hdg_45</f>
        <v>3018 - Inputs</v>
      </c>
      <c r="F76" s="220"/>
      <c r="G76" s="220"/>
      <c r="H76" s="220"/>
      <c r="I76" s="220"/>
      <c r="J76" s="220"/>
      <c r="K76" s="220"/>
      <c r="L76" s="220"/>
    </row>
    <row r="77" spans="3:12" outlineLevel="1" collapsed="1">
      <c r="C77" s="34" t="s">
        <v>227</v>
      </c>
      <c r="D77" s="221" t="str">
        <f>Cust_Conn!B1</f>
        <v>Customer Connections</v>
      </c>
      <c r="E77" s="221"/>
      <c r="F77" s="221"/>
      <c r="G77" s="221"/>
      <c r="H77" s="221"/>
      <c r="I77" s="221"/>
      <c r="J77" s="221"/>
      <c r="K77" s="221"/>
      <c r="L77" s="221"/>
    </row>
    <row r="78" spans="3:12" ht="11.5" hidden="1" customHeight="1" outlineLevel="2">
      <c r="D78" s="35" t="s">
        <v>70</v>
      </c>
      <c r="E78" s="220" t="str">
        <f>TOC_Hdg_47</f>
        <v>3019 - Inputs</v>
      </c>
      <c r="F78" s="220"/>
      <c r="G78" s="220"/>
      <c r="H78" s="220"/>
      <c r="I78" s="220"/>
      <c r="J78" s="220"/>
      <c r="K78" s="220"/>
      <c r="L78" s="220"/>
    </row>
    <row r="79" spans="3:12" ht="11.5" hidden="1" customHeight="1" outlineLevel="2">
      <c r="D79" s="35" t="s">
        <v>70</v>
      </c>
      <c r="E79" s="220" t="str">
        <f>TOC_Hdg_49</f>
        <v>3020 - Inputs</v>
      </c>
      <c r="F79" s="220"/>
      <c r="G79" s="220"/>
      <c r="H79" s="220"/>
      <c r="I79" s="220"/>
      <c r="J79" s="220"/>
      <c r="K79" s="220"/>
      <c r="L79" s="220"/>
    </row>
    <row r="80" spans="3:12" ht="11.5" hidden="1" customHeight="1" outlineLevel="2">
      <c r="D80" s="35" t="s">
        <v>70</v>
      </c>
      <c r="E80" s="220" t="str">
        <f>TOC_Hdg_51</f>
        <v>3021 - Inputs</v>
      </c>
      <c r="F80" s="220"/>
      <c r="G80" s="220"/>
      <c r="H80" s="220"/>
      <c r="I80" s="220"/>
      <c r="J80" s="220"/>
      <c r="K80" s="220"/>
      <c r="L80" s="220"/>
    </row>
    <row r="81" spans="2:12" ht="11.5" hidden="1" customHeight="1" outlineLevel="2">
      <c r="D81" s="35" t="s">
        <v>70</v>
      </c>
      <c r="E81" s="220" t="str">
        <f>TOC_Hdg_53</f>
        <v>3022 - Inputs</v>
      </c>
      <c r="F81" s="220"/>
      <c r="G81" s="220"/>
      <c r="H81" s="220"/>
      <c r="I81" s="220"/>
      <c r="J81" s="220"/>
      <c r="K81" s="220"/>
      <c r="L81" s="220"/>
    </row>
    <row r="82" spans="2:12" outlineLevel="1" collapsed="1">
      <c r="C82" s="34" t="s">
        <v>228</v>
      </c>
      <c r="D82" s="221" t="str">
        <f>New_Towns!B1</f>
        <v>New Towns</v>
      </c>
      <c r="E82" s="221"/>
      <c r="F82" s="221"/>
      <c r="G82" s="221"/>
      <c r="H82" s="221"/>
      <c r="I82" s="221"/>
      <c r="J82" s="221"/>
      <c r="K82" s="221"/>
      <c r="L82" s="221"/>
    </row>
    <row r="83" spans="2:12" ht="11.5" hidden="1" customHeight="1" outlineLevel="2">
      <c r="D83" s="35" t="s">
        <v>70</v>
      </c>
      <c r="E83" s="220" t="str">
        <f>TOC_Hdg_55</f>
        <v>3023 - Inputs</v>
      </c>
      <c r="F83" s="220"/>
      <c r="G83" s="220"/>
      <c r="H83" s="220"/>
      <c r="I83" s="220"/>
      <c r="J83" s="220"/>
      <c r="K83" s="220"/>
      <c r="L83" s="220"/>
    </row>
    <row r="84" spans="2:12" ht="11.5" hidden="1" customHeight="1" outlineLevel="2">
      <c r="D84" s="35" t="s">
        <v>70</v>
      </c>
      <c r="E84" s="220" t="str">
        <f>TOC_Hdg_57</f>
        <v>3024 - Inputs</v>
      </c>
      <c r="F84" s="220"/>
      <c r="G84" s="220"/>
      <c r="H84" s="220"/>
      <c r="I84" s="220"/>
      <c r="J84" s="220"/>
      <c r="K84" s="220"/>
      <c r="L84" s="220"/>
    </row>
    <row r="85" spans="2:12" ht="11.5" hidden="1" customHeight="1" outlineLevel="2">
      <c r="D85" s="35" t="s">
        <v>70</v>
      </c>
      <c r="E85" s="220" t="str">
        <f>TOC_Hdg_59</f>
        <v>3025 - Inputs</v>
      </c>
      <c r="F85" s="220"/>
      <c r="G85" s="220"/>
      <c r="H85" s="220"/>
      <c r="I85" s="220"/>
      <c r="J85" s="220"/>
      <c r="K85" s="220"/>
      <c r="L85" s="220"/>
    </row>
    <row r="86" spans="2:12" outlineLevel="1">
      <c r="C86" s="34" t="s">
        <v>229</v>
      </c>
      <c r="D86" s="221" t="str">
        <f>IT!B1</f>
        <v>IT Capex</v>
      </c>
      <c r="E86" s="221"/>
      <c r="F86" s="221"/>
      <c r="G86" s="221"/>
      <c r="H86" s="221"/>
      <c r="I86" s="221"/>
      <c r="J86" s="221"/>
      <c r="K86" s="221"/>
      <c r="L86" s="221"/>
    </row>
    <row r="87" spans="2:12" outlineLevel="1">
      <c r="C87" s="34" t="s">
        <v>230</v>
      </c>
      <c r="D87" s="221" t="str">
        <f>Other!B1</f>
        <v>Other Capex</v>
      </c>
      <c r="E87" s="221"/>
      <c r="F87" s="221"/>
      <c r="G87" s="221"/>
      <c r="H87" s="221"/>
      <c r="I87" s="221"/>
      <c r="J87" s="221"/>
      <c r="K87" s="221"/>
      <c r="L87" s="221"/>
    </row>
    <row r="88" spans="2:12" ht="12" customHeight="1">
      <c r="B88" s="33">
        <v>2</v>
      </c>
      <c r="C88" s="222" t="str">
        <f>Outputs!C9</f>
        <v>Outputs</v>
      </c>
      <c r="D88" s="222"/>
      <c r="E88" s="222"/>
      <c r="F88" s="222"/>
      <c r="G88" s="222"/>
      <c r="H88" s="222"/>
      <c r="I88" s="222"/>
      <c r="J88" s="222"/>
      <c r="K88" s="222"/>
      <c r="L88" s="222"/>
    </row>
    <row r="89" spans="2:12" outlineLevel="1">
      <c r="C89" s="34" t="s">
        <v>67</v>
      </c>
      <c r="D89" s="221" t="str">
        <f>'CapexSum$FY22'!B1</f>
        <v>Capex Summary $FY2022</v>
      </c>
      <c r="E89" s="221"/>
      <c r="F89" s="221"/>
      <c r="G89" s="221"/>
      <c r="H89" s="221"/>
      <c r="I89" s="221"/>
      <c r="J89" s="221"/>
      <c r="K89" s="221"/>
      <c r="L89" s="221"/>
    </row>
    <row r="90" spans="2:12" outlineLevel="1">
      <c r="C90" s="34" t="s">
        <v>69</v>
      </c>
      <c r="D90" s="221" t="str">
        <f>'CapexSum$Nom'!B1</f>
        <v>Capex Summary $Nominal</v>
      </c>
      <c r="E90" s="221"/>
      <c r="F90" s="221"/>
      <c r="G90" s="221"/>
      <c r="H90" s="221"/>
      <c r="I90" s="221"/>
      <c r="J90" s="221"/>
      <c r="K90" s="221"/>
      <c r="L90" s="221"/>
    </row>
    <row r="91" spans="2:12" outlineLevel="1">
      <c r="C91" s="34" t="s">
        <v>73</v>
      </c>
      <c r="D91" s="221" t="str">
        <f>'CapexSum$FY23'!B1</f>
        <v>Capex Summary $FY2023</v>
      </c>
      <c r="E91" s="221"/>
      <c r="F91" s="221"/>
      <c r="G91" s="221"/>
      <c r="H91" s="221"/>
      <c r="I91" s="221"/>
      <c r="J91" s="221"/>
      <c r="K91" s="221"/>
      <c r="L91" s="221"/>
    </row>
    <row r="92" spans="2:12" outlineLevel="1">
      <c r="C92" s="34" t="s">
        <v>218</v>
      </c>
      <c r="D92" s="221" t="str">
        <f>'CapexSum$Nom+$FY23'!B1</f>
        <v>CapexSum $Nominal + $FY2023</v>
      </c>
      <c r="E92" s="221"/>
      <c r="F92" s="221"/>
      <c r="G92" s="221"/>
      <c r="H92" s="221"/>
      <c r="I92" s="221"/>
      <c r="J92" s="221"/>
      <c r="K92" s="221"/>
      <c r="L92" s="221"/>
    </row>
    <row r="93" spans="2:12" ht="12" customHeight="1">
      <c r="B93" s="33">
        <v>3</v>
      </c>
      <c r="C93" s="222" t="str">
        <f>Appendices!C9</f>
        <v>Appendices</v>
      </c>
      <c r="D93" s="222"/>
      <c r="E93" s="222"/>
      <c r="F93" s="222"/>
      <c r="G93" s="222"/>
      <c r="H93" s="222"/>
      <c r="I93" s="222"/>
      <c r="J93" s="222"/>
      <c r="K93" s="222"/>
      <c r="L93" s="222"/>
    </row>
    <row r="94" spans="2:12" outlineLevel="1">
      <c r="C94" s="34" t="s">
        <v>67</v>
      </c>
      <c r="D94" s="221" t="str">
        <f>Lookups!B1</f>
        <v>Lookups</v>
      </c>
      <c r="E94" s="221"/>
      <c r="F94" s="221"/>
      <c r="G94" s="221"/>
      <c r="H94" s="221"/>
      <c r="I94" s="221"/>
      <c r="J94" s="221"/>
      <c r="K94" s="221"/>
      <c r="L94" s="221"/>
    </row>
    <row r="95" spans="2:12" outlineLevel="1" collapsed="1">
      <c r="C95" s="34" t="s">
        <v>69</v>
      </c>
      <c r="D95" s="221" t="str">
        <f>Checks!B1</f>
        <v>Checks</v>
      </c>
      <c r="E95" s="221"/>
      <c r="F95" s="221"/>
      <c r="G95" s="221"/>
      <c r="H95" s="221"/>
      <c r="I95" s="221"/>
      <c r="J95" s="221"/>
      <c r="K95" s="221"/>
      <c r="L95" s="221"/>
    </row>
    <row r="96" spans="2:12" ht="11.5" hidden="1" customHeight="1" outlineLevel="2">
      <c r="D96" s="35" t="s">
        <v>70</v>
      </c>
      <c r="E96" s="220" t="str">
        <f>TOC_Hdg_1</f>
        <v>Error Checks</v>
      </c>
      <c r="F96" s="220"/>
      <c r="G96" s="220"/>
      <c r="H96" s="220"/>
      <c r="I96" s="220"/>
      <c r="J96" s="220"/>
      <c r="K96" s="220"/>
      <c r="L96" s="220"/>
    </row>
    <row r="97" spans="4:12" ht="11.5" hidden="1" customHeight="1" outlineLevel="2">
      <c r="D97" s="35" t="s">
        <v>70</v>
      </c>
      <c r="E97" s="220" t="str">
        <f>TOC_Hdg_2</f>
        <v>Sensitivity Checks</v>
      </c>
      <c r="F97" s="220"/>
      <c r="G97" s="220"/>
      <c r="H97" s="220"/>
      <c r="I97" s="220"/>
      <c r="J97" s="220"/>
      <c r="K97" s="220"/>
      <c r="L97" s="220"/>
    </row>
    <row r="98" spans="4:12" ht="11.5" hidden="1" customHeight="1" outlineLevel="2">
      <c r="D98" s="35" t="s">
        <v>70</v>
      </c>
      <c r="E98" s="220" t="str">
        <f>TOC_Hdg_3</f>
        <v>Alert Checks</v>
      </c>
      <c r="F98" s="220"/>
      <c r="G98" s="220"/>
      <c r="H98" s="220"/>
      <c r="I98" s="220"/>
      <c r="J98" s="220"/>
      <c r="K98" s="220"/>
      <c r="L98" s="220"/>
    </row>
  </sheetData>
  <mergeCells count="86">
    <mergeCell ref="E24:L24"/>
    <mergeCell ref="D20:L20"/>
    <mergeCell ref="C13:L13"/>
    <mergeCell ref="D14:L14"/>
    <mergeCell ref="D16:L16"/>
    <mergeCell ref="D17:L17"/>
    <mergeCell ref="E23:L23"/>
    <mergeCell ref="E22:L22"/>
    <mergeCell ref="D15:L15"/>
    <mergeCell ref="D18:L18"/>
    <mergeCell ref="D19:L19"/>
    <mergeCell ref="D21:L21"/>
    <mergeCell ref="E34:L34"/>
    <mergeCell ref="E35:L35"/>
    <mergeCell ref="E41:L41"/>
    <mergeCell ref="E57:L57"/>
    <mergeCell ref="D53:L53"/>
    <mergeCell ref="D54:L54"/>
    <mergeCell ref="D49:L49"/>
    <mergeCell ref="E47:L47"/>
    <mergeCell ref="E42:L42"/>
    <mergeCell ref="E43:L43"/>
    <mergeCell ref="E44:L44"/>
    <mergeCell ref="D50:L50"/>
    <mergeCell ref="D51:L51"/>
    <mergeCell ref="E37:L37"/>
    <mergeCell ref="E56:L56"/>
    <mergeCell ref="E36:L36"/>
    <mergeCell ref="E25:L25"/>
    <mergeCell ref="E26:L26"/>
    <mergeCell ref="E33:L33"/>
    <mergeCell ref="E29:L29"/>
    <mergeCell ref="E30:L30"/>
    <mergeCell ref="E27:L27"/>
    <mergeCell ref="E28:L28"/>
    <mergeCell ref="E32:L32"/>
    <mergeCell ref="E31:L31"/>
    <mergeCell ref="E45:L45"/>
    <mergeCell ref="E46:L46"/>
    <mergeCell ref="E38:L38"/>
    <mergeCell ref="E39:L39"/>
    <mergeCell ref="E40:L40"/>
    <mergeCell ref="D86:L86"/>
    <mergeCell ref="E85:L85"/>
    <mergeCell ref="D87:L87"/>
    <mergeCell ref="C88:L88"/>
    <mergeCell ref="E63:L63"/>
    <mergeCell ref="E80:L80"/>
    <mergeCell ref="E69:L69"/>
    <mergeCell ref="E72:L72"/>
    <mergeCell ref="E75:L75"/>
    <mergeCell ref="E79:L79"/>
    <mergeCell ref="E78:L78"/>
    <mergeCell ref="D71:L71"/>
    <mergeCell ref="E73:L73"/>
    <mergeCell ref="E64:L64"/>
    <mergeCell ref="D65:L65"/>
    <mergeCell ref="E67:L67"/>
    <mergeCell ref="E66:L66"/>
    <mergeCell ref="E83:L83"/>
    <mergeCell ref="E48:L48"/>
    <mergeCell ref="D55:L55"/>
    <mergeCell ref="E58:L58"/>
    <mergeCell ref="D59:L59"/>
    <mergeCell ref="E61:L61"/>
    <mergeCell ref="E70:L70"/>
    <mergeCell ref="E60:L60"/>
    <mergeCell ref="D52:L52"/>
    <mergeCell ref="D62:L62"/>
    <mergeCell ref="D68:L68"/>
    <mergeCell ref="E98:L98"/>
    <mergeCell ref="D74:L74"/>
    <mergeCell ref="E76:L76"/>
    <mergeCell ref="D77:L77"/>
    <mergeCell ref="E81:L81"/>
    <mergeCell ref="D82:L82"/>
    <mergeCell ref="E97:L97"/>
    <mergeCell ref="D89:L89"/>
    <mergeCell ref="D90:L90"/>
    <mergeCell ref="E96:L96"/>
    <mergeCell ref="D94:L94"/>
    <mergeCell ref="D91:L91"/>
    <mergeCell ref="D92:L92"/>
    <mergeCell ref="C93:L93"/>
    <mergeCell ref="D95:L95"/>
    <mergeCell ref="E84:L84"/>
  </mergeCells>
  <hyperlinks>
    <hyperlink ref="B13" location="HL_Sheet_Main_4" tooltip="Go to Assumptions" display="HL_Sheet_Main_4" xr:uid="{B044A8C7-51BB-46E4-BE25-18C060E345A5}"/>
    <hyperlink ref="C13" location="HL_Sheet_Main_4" tooltip="Go to Assumptions" display="HL_Sheet_Main_4" xr:uid="{2441D1A3-2C58-49C1-8548-B0A707BEE326}"/>
    <hyperlink ref="C14" location="HL_Sheet_Main_13" tooltip="Go to General Assumptions" display="HL_Sheet_Main_13" xr:uid="{2B4D0B07-A46F-4B26-9F78-03FFEA50BE2C}"/>
    <hyperlink ref="D14" location="HL_Sheet_Main_13" tooltip="Go to General Assumptions" display="HL_Sheet_Main_13" xr:uid="{18606576-1589-47B8-92DC-2EB6DF3F258C}"/>
    <hyperlink ref="C15" location="HL_Sheet_Main_5" tooltip="Go to Time Series" display="HL_Sheet_Main_5" xr:uid="{482A07E7-B43C-4399-8C20-E0DC88D4BDAE}"/>
    <hyperlink ref="D15" location="HL_Sheet_Main_5" tooltip="Go to Time Series" display="HL_Sheet_Main_5" xr:uid="{294EBD36-2DF7-4F6F-BD77-F623B9DE7877}"/>
    <hyperlink ref="C16" location="HL_Sheet_Main_8" tooltip="Go to Global Controls" display="HL_Sheet_Main_8" xr:uid="{F20109B5-206C-4813-A198-80EA20C01F14}"/>
    <hyperlink ref="D16" location="HL_Sheet_Main_8" tooltip="Go to Global Controls" display="HL_Sheet_Main_8" xr:uid="{C433190A-1C12-4BFE-ACC8-8A147634869D}"/>
    <hyperlink ref="C17" location="HL_Sheet_Main_14" tooltip="Go to Global Controls" display="HL_Sheet_Main_14" xr:uid="{7ACD12DC-CDB7-466A-9EE8-28B32889CB29}"/>
    <hyperlink ref="D17" location="HL_Sheet_Main_14" tooltip="Go to Global Controls" display="HL_Sheet_Main_14" xr:uid="{88E9CD5B-E066-46D2-803C-24EA5816ADA7}"/>
    <hyperlink ref="C18" location="HL_Sheet_Main_9" tooltip="Go to CPI" display="HL_Sheet_Main_9" xr:uid="{BB645EBE-B1E9-468F-89E7-6A526FD8114E}"/>
    <hyperlink ref="D18" location="HL_Sheet_Main_9" tooltip="Go to CPI" display="HL_Sheet_Main_9" xr:uid="{2EC65F9E-EFA8-4E88-AD1C-F29BF456F546}"/>
    <hyperlink ref="C19" location="HL_Sheet_Main_26" tooltip="Go to Global Controls - Overheads" display="HL_Sheet_Main_26" xr:uid="{F94118F1-197C-437C-9BA7-E7CBBA006699}"/>
    <hyperlink ref="D19" location="HL_Sheet_Main_26" tooltip="Go to Global Controls - Overheads" display="HL_Sheet_Main_26" xr:uid="{F90F80A6-6177-41FF-975F-E6F92DDB07A3}"/>
    <hyperlink ref="C20" location="HL_Sheet_Main_11" tooltip="Go to Rates" display="HL_Sheet_Main_11" xr:uid="{4E1B8241-59DE-4F4B-AC71-D05B84A0ABBB}"/>
    <hyperlink ref="D20" location="HL_Sheet_Main_11" tooltip="Go to Rates" display="HL_Sheet_Main_11" xr:uid="{AA2C7F30-3215-48B5-8071-9830ED3B09A0}"/>
    <hyperlink ref="C21" location="HL_Sheet_Main_20" tooltip="Go to Work Codes Assumptions" display="HL_Sheet_Main_20" xr:uid="{2495B12A-E836-47A0-8946-A463A9E33CD4}"/>
    <hyperlink ref="D21" location="HL_Sheet_Main_20" tooltip="Go to Work Codes Assumptions" display="HL_Sheet_Main_20" xr:uid="{6D25A3E1-AC24-4331-90D1-09389F618F30}"/>
    <hyperlink ref="D22" location="HL_TOC_16" tooltip="Go to 3001 - Assumptions" display="HL_TOC_16" xr:uid="{79494B4E-E067-4C13-B01D-192D3B2E129D}"/>
    <hyperlink ref="E22" location="HL_TOC_16" tooltip="Go to 3001 - Assumptions" display="HL_TOC_16" xr:uid="{D5250C1B-7857-4AC1-BA3B-E14A74918E78}"/>
    <hyperlink ref="D23" location="HL_TOC_17" tooltip="Go to 3002 - Assumptions" display="HL_TOC_17" xr:uid="{3A01D927-CCEB-40F5-878C-4AF0F02FC169}"/>
    <hyperlink ref="E23" location="HL_TOC_17" tooltip="Go to 3002 - Assumptions" display="HL_TOC_17" xr:uid="{24A2AF03-9D29-47AF-BC25-28DC8D2B28DB}"/>
    <hyperlink ref="D24" location="HL_TOC_9" tooltip="Go to 3003 - Assumptions" display="HL_TOC_9" xr:uid="{DFE79582-91F7-4270-892F-8949A338EB53}"/>
    <hyperlink ref="E24" location="HL_TOC_9" tooltip="Go to 3003 - Assumptions" display="HL_TOC_9" xr:uid="{43B042D2-7FB8-4B13-BC89-0E929AAADFC5}"/>
    <hyperlink ref="D25" location="HL_TOC_14" tooltip="Go to 3004 - Assumptions" display="HL_TOC_14" xr:uid="{80351D80-6C6E-45D6-AB68-1B702EF7F80F}"/>
    <hyperlink ref="E25" location="HL_TOC_14" tooltip="Go to 3004 - Assumptions" display="HL_TOC_14" xr:uid="{ADC9CDAB-E774-480A-879C-D30D5457BEF7}"/>
    <hyperlink ref="D26" location="HL_TOC_18" tooltip="Go to 3005 - Assumptions" display="HL_TOC_18" xr:uid="{6C3044EF-38E6-40E9-9967-38B9A3C76FAA}"/>
    <hyperlink ref="E26" location="HL_TOC_18" tooltip="Go to 3005 - Assumptions" display="HL_TOC_18" xr:uid="{E7148DC5-2397-4B4A-B36A-9DB8D7EE7945}"/>
    <hyperlink ref="D27" location="HL_TOC_20" tooltip="Go to 3006 - Assumptions" display="HL_TOC_20" xr:uid="{A06E13EB-3133-4354-BEC5-BE88A95989AD}"/>
    <hyperlink ref="E27" location="HL_TOC_20" tooltip="Go to 3006 - Assumptions" display="HL_TOC_20" xr:uid="{1F639B6E-CD0F-4AC8-8B29-871CD8F6F531}"/>
    <hyperlink ref="D28" location="HL_TOC_22" tooltip="Go to 3007 - Assumptions" display="HL_TOC_22" xr:uid="{789A7A6D-5451-47BC-ACFB-D5FA9422C47C}"/>
    <hyperlink ref="E28" location="HL_TOC_22" tooltip="Go to 3007 - Assumptions" display="HL_TOC_22" xr:uid="{A1D4D12D-4797-43AF-ABCE-B89AAC8EEF44}"/>
    <hyperlink ref="D29" location="HL_TOC_24" tooltip="Go to 3008 - Assumptions" display="HL_TOC_24" xr:uid="{F15E6239-0015-4463-B4BE-C613E810B20B}"/>
    <hyperlink ref="E29" location="HL_TOC_24" tooltip="Go to 3008 - Assumptions" display="HL_TOC_24" xr:uid="{E0C187B3-6C94-4CA6-98B0-BF80B8735969}"/>
    <hyperlink ref="D30" location="HL_TOC_26" tooltip="Go to 3009 - Assumptions" display="HL_TOC_26" xr:uid="{CB7BCF08-581A-479E-966B-6841FE5823C2}"/>
    <hyperlink ref="E30" location="HL_TOC_26" tooltip="Go to 3009 - Assumptions" display="HL_TOC_26" xr:uid="{354C55E7-AC8F-4CAA-8B17-E72D3F3605E8}"/>
    <hyperlink ref="D31" location="HL_TOC_28" tooltip="Go to 3010 - Assumptions" display="HL_TOC_28" xr:uid="{34E194C4-B64F-47AE-B199-F9058642B83B}"/>
    <hyperlink ref="E31" location="HL_TOC_28" tooltip="Go to 3010 - Assumptions" display="HL_TOC_28" xr:uid="{60D9F734-08F1-4BF5-B70A-B82323E7325E}"/>
    <hyperlink ref="D32" location="HL_TOC_30" tooltip="Go to 3011 - Assumptions" display="HL_TOC_30" xr:uid="{32FFAABE-7BA4-4A52-8D65-8CA1A3D32CD2}"/>
    <hyperlink ref="E32" location="HL_TOC_30" tooltip="Go to 3011 - Assumptions" display="HL_TOC_30" xr:uid="{1CC843EE-326B-4242-9AA8-252CBC72863C}"/>
    <hyperlink ref="D33" location="HL_TOC_32" tooltip="Go to 3012 - Assumptions" display="HL_TOC_32" xr:uid="{84418426-78C6-450F-8925-7E03810CD75C}"/>
    <hyperlink ref="E33" location="HL_TOC_32" tooltip="Go to 3012 - Assumptions" display="HL_TOC_32" xr:uid="{E24012B9-03DE-4955-9E8E-C9B734229A42}"/>
    <hyperlink ref="D34" location="HL_TOC_34" tooltip="Go to 3013 - Assumptions" display="HL_TOC_34" xr:uid="{BAC14B35-0E50-42A8-BD9A-21693EE19EAA}"/>
    <hyperlink ref="E34" location="HL_TOC_34" tooltip="Go to 3013 - Assumptions" display="HL_TOC_34" xr:uid="{9D78AE59-0120-4FA3-8F23-4C6983048D79}"/>
    <hyperlink ref="D35" location="HL_TOC_36" tooltip="Go to 3014 - Assumptions" display="HL_TOC_36" xr:uid="{04EDD438-F02E-4579-9A6C-241740CF856E}"/>
    <hyperlink ref="E35" location="HL_TOC_36" tooltip="Go to 3014 - Assumptions" display="HL_TOC_36" xr:uid="{ABB601FB-4206-4F4B-86B4-55D035F002D6}"/>
    <hyperlink ref="D36" location="HL_TOC_38" tooltip="Go to 3015 - Assumptions" display="HL_TOC_38" xr:uid="{05E348E3-5AB4-4328-8D93-A2DA00D7ED08}"/>
    <hyperlink ref="E36" location="HL_TOC_38" tooltip="Go to 3015 - Assumptions" display="HL_TOC_38" xr:uid="{A7A4C5FD-3FDD-4727-92E9-0452E28B727E}"/>
    <hyperlink ref="D37" location="HL_TOC_40" tooltip="Go to 3016 - Assumptions" display="HL_TOC_40" xr:uid="{55818CB3-D9EC-412D-AB45-324FF17E690E}"/>
    <hyperlink ref="E37" location="HL_TOC_40" tooltip="Go to 3016 - Assumptions" display="HL_TOC_40" xr:uid="{9F57646D-BA8C-4EC4-84A7-92ECE6E4FC1A}"/>
    <hyperlink ref="D38" location="HL_TOC_42" tooltip="Go to 3017 - Assumptions" display="HL_TOC_42" xr:uid="{EE242E53-BC06-45D3-993F-1D1D3F1BF2EF}"/>
    <hyperlink ref="E38" location="HL_TOC_42" tooltip="Go to 3017 - Assumptions" display="HL_TOC_42" xr:uid="{8630B0D2-1301-42EB-A3B5-A06275BEB1DF}"/>
    <hyperlink ref="D39" location="HL_TOC_44" tooltip="Go to 3018 - Assumptions" display="HL_TOC_44" xr:uid="{9A202A5D-C3D1-4CD2-80DB-987CE47DE779}"/>
    <hyperlink ref="E39" location="HL_TOC_44" tooltip="Go to 3018 - Assumptions" display="HL_TOC_44" xr:uid="{B0F044D7-8CBC-41FF-B0A5-E9F153FD75C1}"/>
    <hyperlink ref="D40" location="HL_TOC_46" tooltip="Go to 3019 - Assumptions" display="HL_TOC_46" xr:uid="{89D1709D-EE24-448C-9504-6F629157D6B6}"/>
    <hyperlink ref="E40" location="HL_TOC_46" tooltip="Go to 3019 - Assumptions" display="HL_TOC_46" xr:uid="{FC50395E-1368-4978-9836-8D6F7F1961A2}"/>
    <hyperlink ref="D41" location="HL_TOC_48" tooltip="Go to 3020 - Assumptions" display="HL_TOC_48" xr:uid="{63591636-5D72-401E-ABAC-F7FFE8947A0B}"/>
    <hyperlink ref="E41" location="HL_TOC_48" tooltip="Go to 3020 - Assumptions" display="HL_TOC_48" xr:uid="{B2993AB0-8565-4C95-9BEE-2CF1A2F61B88}"/>
    <hyperlink ref="D42" location="HL_TOC_50" tooltip="Go to 3021 - Assumptions" display="HL_TOC_50" xr:uid="{E3C9A000-FDDA-464F-838D-E775C3F62B31}"/>
    <hyperlink ref="E42" location="HL_TOC_50" tooltip="Go to 3021 - Assumptions" display="HL_TOC_50" xr:uid="{ACFF99DC-5A0E-4771-85B3-4873EBD1A27C}"/>
    <hyperlink ref="D43" location="HL_TOC_52" tooltip="Go to 3022 - Assumptions" display="HL_TOC_52" xr:uid="{939485B5-0CCC-489C-A84E-667E9231CD14}"/>
    <hyperlink ref="E43" location="HL_TOC_52" tooltip="Go to 3022 - Assumptions" display="HL_TOC_52" xr:uid="{5CD69B60-84E4-4AE4-845F-952AA2678D08}"/>
    <hyperlink ref="D44" location="HL_TOC_54" tooltip="Go to 3023 - Assumptions" display="HL_TOC_54" xr:uid="{DCE29AA6-D6D8-4332-812D-2420854ACE6F}"/>
    <hyperlink ref="E44" location="HL_TOC_54" tooltip="Go to 3023 - Assumptions" display="HL_TOC_54" xr:uid="{5FF42FB0-CF36-4164-9516-050AEB6CB6BD}"/>
    <hyperlink ref="D45" location="HL_TOC_56" tooltip="Go to 3024 - Assumptions" display="HL_TOC_56" xr:uid="{973BABCA-5665-4A7B-8154-7A20329D4C45}"/>
    <hyperlink ref="E45" location="HL_TOC_56" tooltip="Go to 3024 - Assumptions" display="HL_TOC_56" xr:uid="{ED7B5DB6-F4D4-48D0-90EF-8EA4787DC048}"/>
    <hyperlink ref="D46" location="HL_TOC_58" tooltip="Go to 3025 - Assumptions" display="HL_TOC_58" xr:uid="{1C81C629-5D80-4D17-AC3E-3A10367154BD}"/>
    <hyperlink ref="E46" location="HL_TOC_58" tooltip="Go to 3025 - Assumptions" display="HL_TOC_58" xr:uid="{3CC68B44-6483-44C5-A4B8-73E285DE9C33}"/>
    <hyperlink ref="D47" location="HL_TOC_60" tooltip="Go to 3027 - Assumptions" display="HL_TOC_60" xr:uid="{29EBBFFE-E155-4E95-8005-5C0B80EDEA5E}"/>
    <hyperlink ref="E47" location="HL_TOC_60" tooltip="Go to 3027 - Assumptions" display="HL_TOC_60" xr:uid="{11FFBEAF-4EC1-4B19-A6D8-4ACFECED3C18}"/>
    <hyperlink ref="D48" location="HL_TOC_62" tooltip="Go to 3031 - Assumptions" display="HL_TOC_62" xr:uid="{8871A364-9D64-4ABC-A636-04F7C60828AB}"/>
    <hyperlink ref="E48" location="HL_TOC_62" tooltip="Go to 3031 - Assumptions" display="HL_TOC_62" xr:uid="{87386A45-7906-4DB4-B0B4-FEC0781B4325}"/>
    <hyperlink ref="C49" location="HL_Sheet_Main_22" tooltip="Go to Historical Capex $Nominal" display="HL_Sheet_Main_22" xr:uid="{92210954-4985-483E-9001-381E629641F8}"/>
    <hyperlink ref="D49" location="HL_Sheet_Main_22" tooltip="Go to Historical Capex $Nominal" display="HL_Sheet_Main_22" xr:uid="{11A12365-DDE6-42C3-BA44-21A93C663C65}"/>
    <hyperlink ref="C50" location="HL_Sheet_Main_24" tooltip="Go to Global Controls - Scenarios" display="HL_Sheet_Main_24" xr:uid="{299F3BF7-2EAB-4169-8058-598CDE59A78C}"/>
    <hyperlink ref="D50" location="HL_Sheet_Main_24" tooltip="Go to Global Controls - Scenarios" display="HL_Sheet_Main_24" xr:uid="{489BF4A8-6556-4132-9A21-E4AF9FBC6AF7}"/>
    <hyperlink ref="C51" location="HL_Sheet_Main_12" tooltip="Go to Capex Inputs" display="HL_Sheet_Main_12" xr:uid="{97E3ED00-9A25-459E-9E22-B20D1D9B312D}"/>
    <hyperlink ref="D51" location="HL_Sheet_Main_12" tooltip="Go to Capex Inputs" display="HL_Sheet_Main_12" xr:uid="{E1B92D21-92B7-4CF9-BF57-969D59E43B46}"/>
    <hyperlink ref="C52" location="HL_Sheet_Main_15" tooltip="Go to Low Pressure" display="HL_Sheet_Main_15" xr:uid="{8F07F745-6CC7-454F-A90C-1914837092AB}"/>
    <hyperlink ref="D52" location="HL_Sheet_Main_15" tooltip="Go to Low Pressure" display="HL_Sheet_Main_15" xr:uid="{26935274-9984-4F81-9F91-BD94BD0AA59A}"/>
    <hyperlink ref="C53" location="HL_Sheet_Main_17" tooltip="Go to Medium Pressure" display="HL_Sheet_Main_17" xr:uid="{C3863892-760E-46FA-B861-8D1CA6F1CD2D}"/>
    <hyperlink ref="D53" location="HL_Sheet_Main_17" tooltip="Go to Medium Pressure" display="HL_Sheet_Main_17" xr:uid="{5F11CEF4-95E5-495B-B13B-B8F0BA572D00}"/>
    <hyperlink ref="C54" location="HL_Sheet_Main_23" tooltip="Go to High Pressure" display="HL_Sheet_Main_23" xr:uid="{30E00B95-CF63-485D-AFD4-FE2C1A022ACE}"/>
    <hyperlink ref="D54" location="HL_Sheet_Main_23" tooltip="Go to High Pressure" display="HL_Sheet_Main_23" xr:uid="{E12F0959-A5A2-40F6-A918-4704981B7C6A}"/>
    <hyperlink ref="C55" location="HL_Sheet_Main_16" tooltip="Go to AdHoc Mains &amp; Replacement" display="HL_Sheet_Main_16" xr:uid="{BA9A213F-AF94-41EC-B3F3-E5718050EB90}"/>
    <hyperlink ref="D55" location="HL_Sheet_Main_16" tooltip="Go to AdHoc Mains &amp; Replacement" display="HL_Sheet_Main_16" xr:uid="{334D3114-7A99-46C7-B367-17E45D4CC3F5}"/>
    <hyperlink ref="D56" location="HL_TOC_13" tooltip="Go to 3002 - Inputs" display="HL_TOC_13" xr:uid="{F7B2A401-FDBE-4A98-AE01-EB2B35B0555D}"/>
    <hyperlink ref="E56" location="HL_TOC_13" tooltip="Go to 3002 - Inputs" display="HL_TOC_13" xr:uid="{1AF979F5-F061-47C6-849A-32368A0FD737}"/>
    <hyperlink ref="D57" location="HL_TOC_15" tooltip="Go to 3004 - Inputs" display="HL_TOC_15" xr:uid="{6E86A449-AD58-4800-B30C-21F5B834C4F1}"/>
    <hyperlink ref="E57" location="HL_TOC_15" tooltip="Go to 3004 - Inputs" display="HL_TOC_15" xr:uid="{AD80EAD9-9F40-42D3-B823-4C593D489599}"/>
    <hyperlink ref="D58" location="HL_TOC_21" tooltip="Go to 3006 - Inputs" display="HL_TOC_21" xr:uid="{AEC2E2B3-8CC1-456D-B30B-59ACA309618F}"/>
    <hyperlink ref="E58" location="HL_TOC_21" tooltip="Go to 3006 - Inputs" display="HL_TOC_21" xr:uid="{F127D799-F839-4878-806F-96D2A52649D0}"/>
    <hyperlink ref="C59" location="HL_Sheet_Main_27" tooltip="Go to Domestic Meters" display="HL_Sheet_Main_27" xr:uid="{48257AD2-12CB-4526-8392-73C7D21211F4}"/>
    <hyperlink ref="D59" location="HL_Sheet_Main_27" tooltip="Go to Domestic Meters" display="HL_Sheet_Main_27" xr:uid="{BF07FFE4-5CC3-44C5-8CCF-3AAF81F0EA73}"/>
    <hyperlink ref="D60" location="HL_TOC_23" tooltip="Go to 3007 - Inputs" display="HL_TOC_23" xr:uid="{F0D71802-CC80-48A3-B62F-5BDCD89D2677}"/>
    <hyperlink ref="E60" location="HL_TOC_23" tooltip="Go to 3007 - Inputs" display="HL_TOC_23" xr:uid="{2216E7D8-FEE4-437A-8EE7-073B32ADEEA3}"/>
    <hyperlink ref="D61" location="HL_TOC_25" tooltip="Go to 3008 - Inputs" display="HL_TOC_25" xr:uid="{D1261BA0-682D-4F74-95D4-2E33129237F6}"/>
    <hyperlink ref="E61" location="HL_TOC_25" tooltip="Go to 3008 - Inputs" display="HL_TOC_25" xr:uid="{12A2B295-80F2-4FB2-A23E-D0A41C0AC26D}"/>
    <hyperlink ref="C62" location="HL_Sheet_Main_31" tooltip="Go to Industrial &amp; Commercial Meters" display="HL_Sheet_Main_31" xr:uid="{86754477-F169-42FB-BF23-198494D432C7}"/>
    <hyperlink ref="D62" location="HL_Sheet_Main_31" tooltip="Go to Industrial &amp; Commercial Meters" display="HL_Sheet_Main_31" xr:uid="{F5E2DAB6-44FF-41E0-BECE-CA103BAC55EE}"/>
    <hyperlink ref="D63" location="HL_TOC_27" tooltip="Go to 3009 - Inputs" display="HL_TOC_27" xr:uid="{59BAA780-3A9E-464F-858A-273857A119B5}"/>
    <hyperlink ref="E63" location="HL_TOC_27" tooltip="Go to 3009 - Inputs" display="HL_TOC_27" xr:uid="{0435D963-3FA0-44C3-B132-DAB95C026557}"/>
    <hyperlink ref="D64" location="HL_TOC_29" tooltip="Go to 3010 - Inputs" display="HL_TOC_29" xr:uid="{0860E0A9-5444-457B-A0DA-F3FB7D95BC4C}"/>
    <hyperlink ref="E64" location="HL_TOC_29" tooltip="Go to 3010 - Inputs" display="HL_TOC_29" xr:uid="{CBBECF96-8CB4-4FB4-A2D5-AA92EC8843FE}"/>
    <hyperlink ref="C65" location="HL_Sheet_Main_35" tooltip="Go to Network Regulators" display="HL_Sheet_Main_35" xr:uid="{260B525F-9D4C-4842-9F99-C869202ED73C}"/>
    <hyperlink ref="D65" location="HL_Sheet_Main_35" tooltip="Go to Network Regulators" display="HL_Sheet_Main_35" xr:uid="{7D414DC4-06CE-4D0D-AD0E-699CC5C4C099}"/>
    <hyperlink ref="D66" location="HL_TOC_31" tooltip="Go to 3011 - Inputs" display="HL_TOC_31" xr:uid="{6B5628FB-76E2-47A0-9B6A-28FEE6C251E1}"/>
    <hyperlink ref="E66" location="HL_TOC_31" tooltip="Go to 3011 - Inputs" display="HL_TOC_31" xr:uid="{72C8D2FC-EE70-40EC-98F6-172D381D321D}"/>
    <hyperlink ref="D67" location="HL_TOC_33" tooltip="Go to 3012 - Inputs" display="HL_TOC_33" xr:uid="{29A80E19-A9BD-4421-9BB9-8596D7B58DA1}"/>
    <hyperlink ref="E67" location="HL_TOC_33" tooltip="Go to 3012 - Inputs" display="HL_TOC_33" xr:uid="{DA19A23F-C28E-443A-B0B4-128B8B5A2832}"/>
    <hyperlink ref="C68" location="HL_Sheet_Main_39" tooltip="Go to Customer Regulators" display="HL_Sheet_Main_39" xr:uid="{80BDACF8-BAB0-4077-A7B1-C2CA2CB9DA9A}"/>
    <hyperlink ref="D68" location="HL_Sheet_Main_39" tooltip="Go to Customer Regulators" display="HL_Sheet_Main_39" xr:uid="{6880B2D6-DA09-478B-9EA2-E90F18F73B36}"/>
    <hyperlink ref="D69" location="HL_TOC_35" tooltip="Go to 3013 - Inputs" display="HL_TOC_35" xr:uid="{FBCE7324-BC84-404A-A1D9-97F9C4BEBD03}"/>
    <hyperlink ref="E69" location="HL_TOC_35" tooltip="Go to 3013 - Inputs" display="HL_TOC_35" xr:uid="{DC5DED30-141F-4203-B528-E02BAB938173}"/>
    <hyperlink ref="D70" location="HL_TOC_37" tooltip="Go to 3014 - Inputs" display="HL_TOC_37" xr:uid="{E4FE95C4-93BA-415A-A59F-1F7740130249}"/>
    <hyperlink ref="E70" location="HL_TOC_37" tooltip="Go to 3014 - Inputs" display="HL_TOC_37" xr:uid="{71B44839-A1D9-486D-9F21-0FD9AF2A0107}"/>
    <hyperlink ref="C71" location="HL_Sheet_Main_43" tooltip="Go to Cathodic Protection &amp; SCADA" display="HL_Sheet_Main_43" xr:uid="{E0290CC3-CA2E-4129-B178-656813C22423}"/>
    <hyperlink ref="D71" location="HL_Sheet_Main_43" tooltip="Go to Cathodic Protection &amp; SCADA" display="HL_Sheet_Main_43" xr:uid="{78A8217C-B43F-42FA-B417-E3A5BA0DBC30}"/>
    <hyperlink ref="D72" location="HL_TOC_39" tooltip="Go to 3015 - Inputs" display="HL_TOC_39" xr:uid="{47212EE4-AFC5-485B-B280-6B602FA05F9B}"/>
    <hyperlink ref="E72" location="HL_TOC_39" tooltip="Go to 3015 - Inputs" display="HL_TOC_39" xr:uid="{30A849BE-FB53-40CE-BE86-D56C50F4440D}"/>
    <hyperlink ref="D73" location="HL_TOC_41" tooltip="Go to 3016 - Inputs" display="HL_TOC_41" xr:uid="{47F2A6F1-8C5A-4FF0-B045-D800E67E6ADD}"/>
    <hyperlink ref="E73" location="HL_TOC_41" tooltip="Go to 3016 - Inputs" display="HL_TOC_41" xr:uid="{31E0AA40-746C-414D-B8F1-A5CEFB0044B5}"/>
    <hyperlink ref="C74" location="HL_Sheet_Main_47" tooltip="Go to Augmentation" display="HL_Sheet_Main_47" xr:uid="{1B037ECF-CFDE-4581-9C39-C58A380B19DF}"/>
    <hyperlink ref="D74" location="HL_Sheet_Main_47" tooltip="Go to Augmentation" display="HL_Sheet_Main_47" xr:uid="{444F185F-CF8C-4669-A0F6-73C1A07B0B5C}"/>
    <hyperlink ref="D75" location="HL_TOC_43" tooltip="Go to 3017 - Inputs" display="HL_TOC_43" xr:uid="{15F1CAA5-11CF-4D56-83CD-26EB49CDCC03}"/>
    <hyperlink ref="E75" location="HL_TOC_43" tooltip="Go to 3017 - Inputs" display="HL_TOC_43" xr:uid="{074071C0-6E00-4689-AA79-2C0CD4DE7FE8}"/>
    <hyperlink ref="D76" location="HL_TOC_45" tooltip="Go to 3018 - Inputs" display="HL_TOC_45" xr:uid="{04A65C65-93D5-49C3-930E-4C912C5C9FD1}"/>
    <hyperlink ref="E76" location="HL_TOC_45" tooltip="Go to 3018 - Inputs" display="HL_TOC_45" xr:uid="{936871C7-75BF-48B2-BF73-0690B44705D1}"/>
    <hyperlink ref="C77" location="HL_Sheet_Main_51" tooltip="Go to Customer Connections" display="HL_Sheet_Main_51" xr:uid="{F2C60F4B-B99C-4F77-94A4-32D2B5EA0EB4}"/>
    <hyperlink ref="D77" location="HL_Sheet_Main_51" tooltip="Go to Customer Connections" display="HL_Sheet_Main_51" xr:uid="{AEE9A912-67CC-4A45-AB36-89D1E8B177FD}"/>
    <hyperlink ref="D78" location="HL_TOC_47" tooltip="Go to 3019 - Inputs" display="HL_TOC_47" xr:uid="{5DF6D1DD-2D15-4702-903C-EF36CEAC2DA0}"/>
    <hyperlink ref="E78" location="HL_TOC_47" tooltip="Go to 3019 - Inputs" display="HL_TOC_47" xr:uid="{7829F18C-1D79-487B-9074-C3E6573B6902}"/>
    <hyperlink ref="D79" location="HL_TOC_49" tooltip="Go to 3020 - Inputs" display="HL_TOC_49" xr:uid="{117DA810-DC80-4899-BA78-37E9C7D49E72}"/>
    <hyperlink ref="E79" location="HL_TOC_49" tooltip="Go to 3020 - Inputs" display="HL_TOC_49" xr:uid="{DBBABF1C-D4B3-418A-9FEC-99AA11084670}"/>
    <hyperlink ref="D80" location="HL_TOC_51" tooltip="Go to 3021 - Inputs" display="HL_TOC_51" xr:uid="{3A2CE197-BF19-45A3-984F-703EC2E45175}"/>
    <hyperlink ref="E80" location="HL_TOC_51" tooltip="Go to 3021 - Inputs" display="HL_TOC_51" xr:uid="{1215E5BC-4B9C-4E77-9AAC-B21AFCB07390}"/>
    <hyperlink ref="D81" location="HL_TOC_53" tooltip="Go to 3022 - Inputs" display="HL_TOC_53" xr:uid="{181299A9-95E1-4F23-862F-077B10F1AC99}"/>
    <hyperlink ref="E81" location="HL_TOC_53" tooltip="Go to 3022 - Inputs" display="HL_TOC_53" xr:uid="{9D76A8EB-DBF4-490C-928B-3B4F4E362752}"/>
    <hyperlink ref="C82" location="HL_Sheet_Main_59" tooltip="Go to New Towns" display="HL_Sheet_Main_59" xr:uid="{AA3AB683-E257-414E-80F6-F5285D8DF757}"/>
    <hyperlink ref="D82" location="HL_Sheet_Main_59" tooltip="Go to New Towns" display="HL_Sheet_Main_59" xr:uid="{671C6BDD-93F7-4A8E-9B70-8F0B1A4421F7}"/>
    <hyperlink ref="D83" location="HL_TOC_55" tooltip="Go to 3023 - Inputs" display="HL_TOC_55" xr:uid="{0A9C9B01-B6DD-4CEE-8B20-4F1C8B506966}"/>
    <hyperlink ref="E83" location="HL_TOC_55" tooltip="Go to 3023 - Inputs" display="HL_TOC_55" xr:uid="{59754A93-236A-498D-8C19-AECBA1647776}"/>
    <hyperlink ref="D84" location="HL_TOC_57" tooltip="Go to 3024 - Inputs" display="HL_TOC_57" xr:uid="{E2BC1C6C-A190-4948-853E-515F6EB393A5}"/>
    <hyperlink ref="E84" location="HL_TOC_57" tooltip="Go to 3024 - Inputs" display="HL_TOC_57" xr:uid="{0A2C274F-8190-4B7C-A592-A234A71CF397}"/>
    <hyperlink ref="D85" location="HL_TOC_59" tooltip="Go to 3025 - Inputs" display="HL_TOC_59" xr:uid="{DFF317C1-DE38-40D5-AF96-18BFA1205D7E}"/>
    <hyperlink ref="E85" location="HL_TOC_59" tooltip="Go to 3025 - Inputs" display="HL_TOC_59" xr:uid="{E9E92F12-48DD-418A-A32E-F8D1CD9E0F45}"/>
    <hyperlink ref="C86" location="HL_Sheet_Main_65" tooltip="Go to IT Capex" display="HL_Sheet_Main_65" xr:uid="{10764211-4EA5-4E85-958F-3C000398970B}"/>
    <hyperlink ref="D86" location="HL_Sheet_Main_65" tooltip="Go to IT Capex" display="HL_Sheet_Main_65" xr:uid="{2D599955-2B04-4507-8AD9-730DA31B1EDC}"/>
    <hyperlink ref="C87" location="HL_Sheet_Main_67" tooltip="Go to Other Capex" display="HL_Sheet_Main_67" xr:uid="{EA64A711-5281-4ACC-87AE-ED72207B81A3}"/>
    <hyperlink ref="D87" location="HL_Sheet_Main_67" tooltip="Go to Other Capex" display="HL_Sheet_Main_67" xr:uid="{9522251F-9902-4EE0-A760-85E59D7690F0}"/>
    <hyperlink ref="B88" location="HL_Sheet_Main_18" tooltip="Go to Outputs" display="HL_Sheet_Main_18" xr:uid="{93631691-C73B-4059-82BC-2212E7FCE81D}"/>
    <hyperlink ref="C88" location="HL_Sheet_Main_18" tooltip="Go to Outputs" display="HL_Sheet_Main_18" xr:uid="{52CE441B-AB98-4AD6-AF08-030AF217C587}"/>
    <hyperlink ref="C89" location="HL_Sheet_Main_7" tooltip="Go to Capex Summary $FY2022" display="HL_Sheet_Main_7" xr:uid="{8540080A-733D-41C8-AB1E-7EAE96CB0896}"/>
    <hyperlink ref="D89" location="HL_Sheet_Main_7" tooltip="Go to Capex Summary $FY2022" display="HL_Sheet_Main_7" xr:uid="{3F9ECB47-1B91-4050-B651-FE18697C3F1C}"/>
    <hyperlink ref="C90" location="HL_Sheet_Main_10" tooltip="Go to Capex Summary $Nominal" display="HL_Sheet_Main_10" xr:uid="{312A263F-F582-4FD7-B592-5A2A0584ACD5}"/>
    <hyperlink ref="D90" location="HL_Sheet_Main_10" tooltip="Go to Capex Summary $Nominal" display="HL_Sheet_Main_10" xr:uid="{207A0063-83CA-4AA9-8AFF-C6A76FA0647F}"/>
    <hyperlink ref="C91" location="HL_Sheet_Main_19" tooltip="Go to Capex Summary $FY2023" display="HL_Sheet_Main_19" xr:uid="{571F14ED-6D2B-434F-9DCB-124A61DCFBE5}"/>
    <hyperlink ref="D91" location="HL_Sheet_Main_19" tooltip="Go to Capex Summary $FY2023" display="HL_Sheet_Main_19" xr:uid="{6A0017C9-623E-4ACA-890C-91ADF0D13826}"/>
    <hyperlink ref="C92" location="HL_Sheet_Main_21" tooltip="Go to CapexSum $Nominal + $FY2023" display="HL_Sheet_Main_21" xr:uid="{A9A6DEF7-5684-4083-8CD8-8383486959E1}"/>
    <hyperlink ref="D92" location="HL_Sheet_Main_21" tooltip="Go to CapexSum $Nominal + $FY2023" display="HL_Sheet_Main_21" xr:uid="{C5BC6866-A10C-4D92-9210-03C9192779D0}"/>
    <hyperlink ref="B93" location="HL_Sheet_Main_2" tooltip="Go to Appendices" display="HL_Sheet_Main_2" xr:uid="{1EF2DF05-C202-4C1C-BE9B-7716929AC863}"/>
    <hyperlink ref="C93" location="HL_Sheet_Main_2" tooltip="Go to Appendices" display="HL_Sheet_Main_2" xr:uid="{7744BEC3-F228-41AA-A703-6465FCD88943}"/>
    <hyperlink ref="C94" location="HL_Sheet_Main_6" tooltip="Go to Lookups" display="HL_Sheet_Main_6" xr:uid="{E40C7EF4-064C-4E56-9D8E-146694AF970E}"/>
    <hyperlink ref="D94" location="HL_Sheet_Main_6" tooltip="Go to Lookups" display="HL_Sheet_Main_6" xr:uid="{3C529C2A-35C7-4AD8-B02D-8F76FDC381BB}"/>
    <hyperlink ref="C95" location="HL_Sheet_Main_3" tooltip="Go to Checks" display="HL_Sheet_Main_3" xr:uid="{216525BB-8C0E-475F-AB12-362E0A5E35BD}"/>
    <hyperlink ref="D95" location="HL_Sheet_Main_3" tooltip="Go to Checks" display="HL_Sheet_Main_3" xr:uid="{014ABA8E-C1BA-45F3-A157-6E3C917FFE6A}"/>
    <hyperlink ref="D96" location="HL_TOC_1" tooltip="Go to Error Checks" display="HL_TOC_1" xr:uid="{7BF8DC3A-52AB-4190-BAF6-FD1455A8DFF4}"/>
    <hyperlink ref="E96" location="HL_TOC_1" tooltip="Go to Error Checks" display="HL_TOC_1" xr:uid="{FB5FB8AE-C860-4D25-9BD1-1BEF631C66EE}"/>
    <hyperlink ref="D97" location="HL_TOC_2" tooltip="Go to Sensitivity Checks" display="HL_TOC_2" xr:uid="{6071E141-D04A-4B03-83B5-1E74874B1C0D}"/>
    <hyperlink ref="E97" location="HL_TOC_2" tooltip="Go to Sensitivity Checks" display="HL_TOC_2" xr:uid="{F1227E73-E353-4446-81F2-EB582E86CA0A}"/>
    <hyperlink ref="D98" location="HL_TOC_3" tooltip="Go to Alert Checks" display="HL_TOC_3" xr:uid="{45200332-04BA-4B92-9E24-9EEC61B4A905}"/>
    <hyperlink ref="E98" location="HL_TOC_3" tooltip="Go to Alert Checks" display="HL_TOC_3" xr:uid="{2C69CEBE-2CC9-453E-90C2-B61FB60F543F}"/>
  </hyperlinks>
  <pageMargins left="0.39370078740157499" right="0.39370078740157499" top="0.59055118110236204" bottom="0.98425196850393704" header="0" footer="0.31496062992126"/>
  <pageSetup paperSize="9" orientation="landscape" r:id="rId1"/>
  <customProperties>
    <customPr name="EpmWorksheetKeyString_GUID" r:id="rId2"/>
  </customProperties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DA8A59-51C6-4E0D-AAB7-9F0E7756ADB5}">
  <sheetPr>
    <pageSetUpPr autoPageBreaks="0"/>
  </sheetPr>
  <dimension ref="A1:AX514"/>
  <sheetViews>
    <sheetView showGridLines="0" zoomScaleNormal="100" workbookViewId="0">
      <pane xSplit="7" ySplit="2" topLeftCell="H3" activePane="bottomRight" state="frozen"/>
      <selection pane="topRight" activeCell="H1" sqref="H1"/>
      <selection pane="bottomLeft" activeCell="A3" sqref="A3"/>
      <selection pane="bottomRight" activeCell="AM459" sqref="AM459"/>
    </sheetView>
  </sheetViews>
  <sheetFormatPr defaultColWidth="11.59765625" defaultRowHeight="11.5" outlineLevelRow="2" outlineLevelCol="1"/>
  <cols>
    <col min="1" max="5" width="3.59765625" customWidth="1"/>
    <col min="6" max="7" width="18.59765625" customWidth="1"/>
    <col min="8" max="8" width="1.59765625" customWidth="1"/>
    <col min="9" max="11" width="11.59765625" customWidth="1"/>
    <col min="12" max="12" width="1.59765625" customWidth="1"/>
    <col min="13" max="13" width="1.59765625" customWidth="1" outlineLevel="1"/>
    <col min="14" max="26" width="13.59765625" customWidth="1" outlineLevel="1"/>
    <col min="27" max="27" width="1.59765625" customWidth="1"/>
    <col min="28" max="28" width="1.59765625" customWidth="1" outlineLevel="1"/>
    <col min="29" max="41" width="13.59765625" customWidth="1" outlineLevel="1"/>
    <col min="42" max="42" width="1.59765625" customWidth="1"/>
    <col min="43" max="43" width="1.59765625" customWidth="1" outlineLevel="1"/>
    <col min="44" max="50" width="11.59765625" customWidth="1" outlineLevel="1"/>
    <col min="51" max="51" width="1.59765625" customWidth="1"/>
  </cols>
  <sheetData>
    <row r="1" spans="1:50" ht="14">
      <c r="A1" s="10" t="s">
        <v>11</v>
      </c>
      <c r="B1" s="6" t="s">
        <v>210</v>
      </c>
    </row>
    <row r="2" spans="1:50" ht="13">
      <c r="A2" s="23" t="s">
        <v>26</v>
      </c>
      <c r="B2" s="7" t="str">
        <f ca="1">Model_Name</f>
        <v>GAAR Capex Forecast</v>
      </c>
    </row>
    <row r="3" spans="1:50" s="41" customFormat="1"/>
    <row r="4" spans="1:50" s="47" customFormat="1">
      <c r="A4" s="41"/>
      <c r="B4" s="47" t="s">
        <v>189</v>
      </c>
    </row>
    <row r="5" spans="1:50" s="41" customFormat="1" ht="5.9" customHeight="1"/>
    <row r="6" spans="1:50" s="41" customFormat="1" ht="14">
      <c r="C6" s="76" t="str">
        <f>Low_Press!B25</f>
        <v>Low Pressure Replacement - Planned</v>
      </c>
      <c r="I6" s="50" t="str">
        <f>GC!H8</f>
        <v>Network</v>
      </c>
    </row>
    <row r="7" spans="1:50" s="41" customFormat="1" ht="5.9" customHeight="1" outlineLevel="1"/>
    <row r="8" spans="1:50" s="41" customFormat="1" outlineLevel="1">
      <c r="I8" s="243" t="s">
        <v>194</v>
      </c>
      <c r="J8" s="243"/>
      <c r="K8" s="243"/>
      <c r="L8" s="74"/>
      <c r="N8" s="243" t="s">
        <v>195</v>
      </c>
      <c r="O8" s="243"/>
      <c r="P8" s="243"/>
      <c r="Q8" s="243"/>
      <c r="R8" s="243"/>
      <c r="S8" s="243"/>
      <c r="T8" s="243"/>
      <c r="U8" s="243"/>
      <c r="V8" s="243"/>
      <c r="W8" s="243"/>
      <c r="X8" s="243"/>
      <c r="Y8" s="243"/>
      <c r="Z8" s="243"/>
      <c r="AA8" s="74"/>
      <c r="AC8" s="244" t="s">
        <v>196</v>
      </c>
      <c r="AD8" s="244"/>
      <c r="AE8" s="244"/>
      <c r="AF8" s="244"/>
      <c r="AG8" s="244"/>
      <c r="AH8" s="244"/>
      <c r="AI8" s="244"/>
      <c r="AJ8" s="244"/>
      <c r="AK8" s="244"/>
      <c r="AL8" s="244"/>
      <c r="AM8" s="244"/>
      <c r="AN8" s="244"/>
      <c r="AO8" s="244"/>
      <c r="AP8" s="74"/>
      <c r="AR8" s="243" t="s">
        <v>311</v>
      </c>
      <c r="AS8" s="243"/>
      <c r="AT8" s="243"/>
      <c r="AU8" s="243"/>
      <c r="AV8" s="243"/>
      <c r="AW8" s="243"/>
      <c r="AX8" s="243"/>
    </row>
    <row r="9" spans="1:50" s="41" customFormat="1" ht="46" outlineLevel="1">
      <c r="D9" s="50" t="s">
        <v>160</v>
      </c>
      <c r="I9" s="69" t="s">
        <v>128</v>
      </c>
      <c r="J9" s="69" t="s">
        <v>129</v>
      </c>
      <c r="K9" s="69" t="s">
        <v>130</v>
      </c>
      <c r="L9" s="74"/>
      <c r="N9" s="69" t="str" cm="1">
        <f t="array" aca="1" ref="N9" ca="1">OFFSET(Low_Press!$E181,N10,,,)</f>
        <v>Transmission pipelines - post 1998</v>
      </c>
      <c r="O9" s="69" t="str">
        <f ca="1">OFFSET(Low_Press!$E181,O10,,,)</f>
        <v>Distribution pipelines - post 1998</v>
      </c>
      <c r="P9" s="69" t="str">
        <f ca="1">OFFSET(Low_Press!$E181,P10,,,)</f>
        <v>Service pipes - post 1998</v>
      </c>
      <c r="Q9" s="69" t="str">
        <f ca="1">OFFSET(Low_Press!$E181,Q10,,,)</f>
        <v>Cathodic protection - post 1998</v>
      </c>
      <c r="R9" s="69" t="str">
        <f ca="1">OFFSET(Low_Press!$E181,R10,,,)</f>
        <v>Supply Regulators / Valve Stations</v>
      </c>
      <c r="S9" s="69" t="str">
        <f ca="1">OFFSET(Low_Press!$E181,S10,,,)</f>
        <v>Meters</v>
      </c>
      <c r="T9" s="69" t="str">
        <f ca="1">OFFSET(Low_Press!$E181,T10,,,)</f>
        <v>SCADA and remote control</v>
      </c>
      <c r="U9" s="69" t="str">
        <f ca="1">OFFSET(Low_Press!$E181,U10,,,)</f>
        <v>Buildings</v>
      </c>
      <c r="V9" s="69" t="str">
        <f ca="1">OFFSET(Low_Press!$E181,V10,,,)</f>
        <v>Other - IT</v>
      </c>
      <c r="W9" s="69" t="str">
        <f ca="1">OFFSET(Low_Press!$E181,W10,,,)</f>
        <v>Other - non IT</v>
      </c>
      <c r="X9" s="69" t="str">
        <f ca="1">OFFSET(Low_Press!$E181,X10,,,)</f>
        <v>Land</v>
      </c>
      <c r="Y9" s="69" t="str">
        <f ca="1">OFFSET(Low_Press!$E181,Y10,,,)</f>
        <v>Capitalised Leases</v>
      </c>
      <c r="AA9" s="140"/>
      <c r="AC9" s="69" t="str">
        <f ca="1">OFFSET(Low_Press!$E264,AC10,,,)</f>
        <v>Mains replacement</v>
      </c>
      <c r="AD9" s="69" t="str">
        <f ca="1">OFFSET(Low_Press!$E264,AD10,,,)</f>
        <v>Residential new customer connections</v>
      </c>
      <c r="AE9" s="69" t="str">
        <f ca="1">OFFSET(Low_Press!$E264,AE10,,,)</f>
        <v>Commercial and industrial new customer connections</v>
      </c>
      <c r="AF9" s="69" t="str">
        <f ca="1">OFFSET(Low_Press!$E264,AF10,,,)</f>
        <v>Residential meter replacement</v>
      </c>
      <c r="AG9" s="69" t="str">
        <f ca="1">OFFSET(Low_Press!$E264,AG10,,,)</f>
        <v>Commercial and industrial meter replacement</v>
      </c>
      <c r="AH9" s="69" t="str">
        <f ca="1">OFFSET(Low_Press!$E264,AH10,,,)</f>
        <v>Augmentation</v>
      </c>
      <c r="AI9" s="69" t="str">
        <f ca="1">OFFSET(Low_Press!$E264,AI10,,,)</f>
        <v>IT capex</v>
      </c>
      <c r="AJ9" s="69" t="str">
        <f ca="1">OFFSET(Low_Press!$E264,AJ10,,,)</f>
        <v>SCADA</v>
      </c>
      <c r="AK9" s="69" t="str">
        <f ca="1">OFFSET(Low_Press!$E264,AK10,,,)</f>
        <v>Other</v>
      </c>
      <c r="AL9" s="69" t="str">
        <f ca="1">OFFSET(Low_Press!$E264,AL10,,,)</f>
        <v>Capitalised Leases</v>
      </c>
      <c r="AM9" s="69" t="str">
        <f ca="1">OFFSET(Low_Press!$E264,AM10,,,)</f>
        <v>Gas Extensions - Energy for the Regions</v>
      </c>
      <c r="AN9" s="69" t="str">
        <f ca="1">OFFSET(Low_Press!$E264,AN10,,,)</f>
        <v>Gas Extensions - Other</v>
      </c>
      <c r="AO9" s="69" t="str">
        <f ca="1">OFFSET(Low_Press!$E264,AO10,,,)</f>
        <v>Customer contributions</v>
      </c>
      <c r="AP9" s="74"/>
      <c r="AR9" s="69" t="str">
        <f ca="1">OFFSET(Low_Press!$E321,AR10,,,)</f>
        <v>Mains &amp; Services</v>
      </c>
      <c r="AS9" s="69" t="str">
        <f ca="1">OFFSET(Low_Press!$E321,AS10,,,)</f>
        <v>Meters Domestic</v>
      </c>
      <c r="AT9" s="69" t="str">
        <f ca="1">OFFSET(Low_Press!$E321,AT10,,,)</f>
        <v>Meters Industrial &amp; Commercial</v>
      </c>
      <c r="AU9" s="69" t="str">
        <f ca="1">OFFSET(Low_Press!$E321,AU10,,,)</f>
        <v>Buildings</v>
      </c>
      <c r="AV9" s="69" t="str">
        <f ca="1">OFFSET(Low_Press!$E321,AV10,,,)</f>
        <v>Other Assets</v>
      </c>
      <c r="AW9" s="69" t="str">
        <f ca="1">OFFSET(Low_Press!$E321,AW10,,,)</f>
        <v>Repairs</v>
      </c>
      <c r="AX9" s="69" t="str">
        <f ca="1">OFFSET(Low_Press!$E321,AX10,,,)</f>
        <v>Land</v>
      </c>
    </row>
    <row r="10" spans="1:50" s="41" customFormat="1" hidden="1" outlineLevel="2">
      <c r="L10" s="74"/>
      <c r="N10" s="70">
        <v>13</v>
      </c>
      <c r="O10" s="70">
        <v>14</v>
      </c>
      <c r="P10" s="70">
        <v>15</v>
      </c>
      <c r="Q10" s="70">
        <v>16</v>
      </c>
      <c r="R10" s="70">
        <v>5</v>
      </c>
      <c r="S10" s="70">
        <v>6</v>
      </c>
      <c r="T10" s="70">
        <v>7</v>
      </c>
      <c r="U10" s="70">
        <v>8</v>
      </c>
      <c r="V10" s="70">
        <v>9</v>
      </c>
      <c r="W10" s="70">
        <v>10</v>
      </c>
      <c r="X10" s="70">
        <v>11</v>
      </c>
      <c r="Y10" s="141">
        <v>12</v>
      </c>
      <c r="AA10" s="74"/>
      <c r="AC10" s="70">
        <v>1</v>
      </c>
      <c r="AD10" s="70">
        <v>2</v>
      </c>
      <c r="AE10" s="70">
        <v>3</v>
      </c>
      <c r="AF10" s="70">
        <v>4</v>
      </c>
      <c r="AG10" s="70">
        <v>5</v>
      </c>
      <c r="AH10" s="70">
        <v>6</v>
      </c>
      <c r="AI10" s="70">
        <v>7</v>
      </c>
      <c r="AJ10" s="70">
        <v>8</v>
      </c>
      <c r="AK10" s="70">
        <v>9</v>
      </c>
      <c r="AL10" s="75">
        <v>10</v>
      </c>
      <c r="AM10" s="75">
        <v>11</v>
      </c>
      <c r="AN10" s="135">
        <v>12</v>
      </c>
      <c r="AO10" s="75">
        <v>13</v>
      </c>
      <c r="AP10" s="74"/>
      <c r="AR10" s="70">
        <v>1</v>
      </c>
      <c r="AS10" s="70">
        <v>2</v>
      </c>
      <c r="AT10" s="70">
        <v>3</v>
      </c>
      <c r="AU10" s="70">
        <v>4</v>
      </c>
      <c r="AV10" s="70">
        <v>5</v>
      </c>
      <c r="AW10" s="70">
        <v>6</v>
      </c>
      <c r="AX10" s="137">
        <v>7</v>
      </c>
    </row>
    <row r="11" spans="1:50" s="41" customFormat="1" ht="5.9" customHeight="1" outlineLevel="1" collapsed="1">
      <c r="L11" s="74"/>
      <c r="Y11" s="144"/>
      <c r="AA11" s="74"/>
      <c r="AP11" s="74"/>
    </row>
    <row r="12" spans="1:50" s="41" customFormat="1" outlineLevel="1">
      <c r="D12" s="227" t="s">
        <v>399</v>
      </c>
      <c r="E12" s="227"/>
      <c r="F12" s="227"/>
      <c r="G12" s="227"/>
      <c r="I12" s="72">
        <v>0.04</v>
      </c>
      <c r="J12" s="72">
        <v>0.76</v>
      </c>
      <c r="K12" s="71">
        <f t="shared" ref="K12:K24" si="0">1-SUM(I12:J12)</f>
        <v>0.19999999999999996</v>
      </c>
      <c r="L12" s="74"/>
      <c r="N12" s="72">
        <v>0</v>
      </c>
      <c r="O12" s="72">
        <v>0.5</v>
      </c>
      <c r="P12" s="72">
        <v>0.5</v>
      </c>
      <c r="Q12" s="72">
        <v>0</v>
      </c>
      <c r="R12" s="72">
        <v>0</v>
      </c>
      <c r="S12" s="72">
        <v>0</v>
      </c>
      <c r="T12" s="72">
        <v>0</v>
      </c>
      <c r="U12" s="72">
        <v>0</v>
      </c>
      <c r="V12" s="72">
        <v>0</v>
      </c>
      <c r="W12" s="72">
        <v>0</v>
      </c>
      <c r="X12" s="72">
        <v>0</v>
      </c>
      <c r="Y12" s="72">
        <v>0</v>
      </c>
      <c r="AA12" s="74"/>
      <c r="AC12" s="72">
        <v>1</v>
      </c>
      <c r="AD12" s="72">
        <v>0</v>
      </c>
      <c r="AE12" s="72">
        <v>0</v>
      </c>
      <c r="AF12" s="72">
        <v>0</v>
      </c>
      <c r="AG12" s="72">
        <v>0</v>
      </c>
      <c r="AH12" s="72">
        <v>0</v>
      </c>
      <c r="AI12" s="72">
        <v>0</v>
      </c>
      <c r="AJ12" s="72">
        <v>0</v>
      </c>
      <c r="AK12" s="72">
        <v>0</v>
      </c>
      <c r="AL12" s="72">
        <v>0</v>
      </c>
      <c r="AM12" s="72">
        <v>0</v>
      </c>
      <c r="AN12" s="72">
        <v>0</v>
      </c>
      <c r="AO12" s="146">
        <v>0</v>
      </c>
      <c r="AP12" s="74"/>
      <c r="AR12" s="72">
        <v>1</v>
      </c>
      <c r="AS12" s="72">
        <v>0</v>
      </c>
      <c r="AT12" s="72">
        <v>0</v>
      </c>
      <c r="AU12" s="72">
        <v>0</v>
      </c>
      <c r="AV12" s="72">
        <v>0</v>
      </c>
      <c r="AW12" s="72">
        <v>0</v>
      </c>
      <c r="AX12" s="72">
        <v>0</v>
      </c>
    </row>
    <row r="13" spans="1:50" s="41" customFormat="1" outlineLevel="1">
      <c r="D13" s="227" t="s">
        <v>400</v>
      </c>
      <c r="E13" s="227"/>
      <c r="F13" s="227"/>
      <c r="G13" s="227"/>
      <c r="I13" s="72">
        <v>0.04</v>
      </c>
      <c r="J13" s="72">
        <v>0.76</v>
      </c>
      <c r="K13" s="71">
        <f t="shared" si="0"/>
        <v>0.19999999999999996</v>
      </c>
      <c r="L13" s="74"/>
      <c r="N13" s="72">
        <v>0</v>
      </c>
      <c r="O13" s="72">
        <v>0.5</v>
      </c>
      <c r="P13" s="72">
        <v>0.5</v>
      </c>
      <c r="Q13" s="72">
        <v>0</v>
      </c>
      <c r="R13" s="72">
        <v>0</v>
      </c>
      <c r="S13" s="72">
        <v>0</v>
      </c>
      <c r="T13" s="72">
        <v>0</v>
      </c>
      <c r="U13" s="72">
        <v>0</v>
      </c>
      <c r="V13" s="72">
        <v>0</v>
      </c>
      <c r="W13" s="72">
        <v>0</v>
      </c>
      <c r="X13" s="72">
        <v>0</v>
      </c>
      <c r="Y13" s="72">
        <v>0</v>
      </c>
      <c r="AA13" s="74"/>
      <c r="AC13" s="72">
        <v>1</v>
      </c>
      <c r="AD13" s="72">
        <v>0</v>
      </c>
      <c r="AE13" s="72">
        <v>0</v>
      </c>
      <c r="AF13" s="72">
        <v>0</v>
      </c>
      <c r="AG13" s="72">
        <v>0</v>
      </c>
      <c r="AH13" s="72">
        <v>0</v>
      </c>
      <c r="AI13" s="72">
        <v>0</v>
      </c>
      <c r="AJ13" s="72">
        <v>0</v>
      </c>
      <c r="AK13" s="72">
        <v>0</v>
      </c>
      <c r="AL13" s="72">
        <v>0</v>
      </c>
      <c r="AM13" s="72">
        <v>0</v>
      </c>
      <c r="AN13" s="72">
        <v>0</v>
      </c>
      <c r="AO13" s="72">
        <v>0</v>
      </c>
      <c r="AP13" s="74"/>
      <c r="AR13" s="72">
        <v>1</v>
      </c>
      <c r="AS13" s="72">
        <v>0</v>
      </c>
      <c r="AT13" s="72">
        <v>0</v>
      </c>
      <c r="AU13" s="72">
        <v>0</v>
      </c>
      <c r="AV13" s="72">
        <v>0</v>
      </c>
      <c r="AW13" s="72">
        <v>0</v>
      </c>
      <c r="AX13" s="72">
        <v>0</v>
      </c>
    </row>
    <row r="14" spans="1:50" s="41" customFormat="1" outlineLevel="1">
      <c r="D14" s="227" t="s">
        <v>401</v>
      </c>
      <c r="E14" s="227"/>
      <c r="F14" s="227"/>
      <c r="G14" s="227"/>
      <c r="I14" s="72">
        <v>0.04</v>
      </c>
      <c r="J14" s="72">
        <v>0.76</v>
      </c>
      <c r="K14" s="71">
        <f t="shared" si="0"/>
        <v>0.19999999999999996</v>
      </c>
      <c r="L14" s="74"/>
      <c r="N14" s="72">
        <v>0</v>
      </c>
      <c r="O14" s="72">
        <v>0.5</v>
      </c>
      <c r="P14" s="72">
        <v>0.5</v>
      </c>
      <c r="Q14" s="72">
        <v>0</v>
      </c>
      <c r="R14" s="72">
        <v>0</v>
      </c>
      <c r="S14" s="72">
        <v>0</v>
      </c>
      <c r="T14" s="72">
        <v>0</v>
      </c>
      <c r="U14" s="72">
        <v>0</v>
      </c>
      <c r="V14" s="72">
        <v>0</v>
      </c>
      <c r="W14" s="72">
        <v>0</v>
      </c>
      <c r="X14" s="72">
        <v>0</v>
      </c>
      <c r="Y14" s="72">
        <v>0</v>
      </c>
      <c r="AA14" s="74"/>
      <c r="AC14" s="72">
        <v>1</v>
      </c>
      <c r="AD14" s="72">
        <v>0</v>
      </c>
      <c r="AE14" s="72">
        <v>0</v>
      </c>
      <c r="AF14" s="72">
        <v>0</v>
      </c>
      <c r="AG14" s="72">
        <v>0</v>
      </c>
      <c r="AH14" s="72">
        <v>0</v>
      </c>
      <c r="AI14" s="72">
        <v>0</v>
      </c>
      <c r="AJ14" s="72">
        <v>0</v>
      </c>
      <c r="AK14" s="72">
        <v>0</v>
      </c>
      <c r="AL14" s="72">
        <v>0</v>
      </c>
      <c r="AM14" s="72">
        <v>0</v>
      </c>
      <c r="AN14" s="72">
        <v>0</v>
      </c>
      <c r="AO14" s="72">
        <v>0</v>
      </c>
      <c r="AP14" s="74"/>
      <c r="AR14" s="72">
        <v>1</v>
      </c>
      <c r="AS14" s="72">
        <v>0</v>
      </c>
      <c r="AT14" s="72">
        <v>0</v>
      </c>
      <c r="AU14" s="72">
        <v>0</v>
      </c>
      <c r="AV14" s="72">
        <v>0</v>
      </c>
      <c r="AW14" s="72">
        <v>0</v>
      </c>
      <c r="AX14" s="72">
        <v>0</v>
      </c>
    </row>
    <row r="15" spans="1:50" s="41" customFormat="1" outlineLevel="1">
      <c r="D15" s="227" t="s">
        <v>402</v>
      </c>
      <c r="E15" s="227"/>
      <c r="F15" s="227"/>
      <c r="G15" s="227"/>
      <c r="I15" s="72">
        <v>0.04</v>
      </c>
      <c r="J15" s="72">
        <v>0.76</v>
      </c>
      <c r="K15" s="71">
        <f t="shared" si="0"/>
        <v>0.19999999999999996</v>
      </c>
      <c r="L15" s="74"/>
      <c r="N15" s="72">
        <v>0</v>
      </c>
      <c r="O15" s="72">
        <v>0.5</v>
      </c>
      <c r="P15" s="72">
        <v>0.5</v>
      </c>
      <c r="Q15" s="72">
        <v>0</v>
      </c>
      <c r="R15" s="72">
        <v>0</v>
      </c>
      <c r="S15" s="72">
        <v>0</v>
      </c>
      <c r="T15" s="72">
        <v>0</v>
      </c>
      <c r="U15" s="72">
        <v>0</v>
      </c>
      <c r="V15" s="72">
        <v>0</v>
      </c>
      <c r="W15" s="72">
        <v>0</v>
      </c>
      <c r="X15" s="72">
        <v>0</v>
      </c>
      <c r="Y15" s="72">
        <v>0</v>
      </c>
      <c r="AA15" s="74"/>
      <c r="AC15" s="72">
        <v>1</v>
      </c>
      <c r="AD15" s="72">
        <v>0</v>
      </c>
      <c r="AE15" s="72">
        <v>0</v>
      </c>
      <c r="AF15" s="72">
        <v>0</v>
      </c>
      <c r="AG15" s="72">
        <v>0</v>
      </c>
      <c r="AH15" s="72">
        <v>0</v>
      </c>
      <c r="AI15" s="72">
        <v>0</v>
      </c>
      <c r="AJ15" s="72">
        <v>0</v>
      </c>
      <c r="AK15" s="72">
        <v>0</v>
      </c>
      <c r="AL15" s="72">
        <v>0</v>
      </c>
      <c r="AM15" s="72">
        <v>0</v>
      </c>
      <c r="AN15" s="72">
        <v>0</v>
      </c>
      <c r="AO15" s="72">
        <v>0</v>
      </c>
      <c r="AP15" s="74"/>
      <c r="AR15" s="72">
        <v>1</v>
      </c>
      <c r="AS15" s="72">
        <v>0</v>
      </c>
      <c r="AT15" s="72">
        <v>0</v>
      </c>
      <c r="AU15" s="72">
        <v>0</v>
      </c>
      <c r="AV15" s="72">
        <v>0</v>
      </c>
      <c r="AW15" s="72">
        <v>0</v>
      </c>
      <c r="AX15" s="72">
        <v>0</v>
      </c>
    </row>
    <row r="16" spans="1:50" s="41" customFormat="1" outlineLevel="1">
      <c r="D16" s="227" t="s">
        <v>403</v>
      </c>
      <c r="E16" s="227"/>
      <c r="F16" s="227"/>
      <c r="G16" s="227"/>
      <c r="I16" s="72">
        <v>0.04</v>
      </c>
      <c r="J16" s="72">
        <v>0.76</v>
      </c>
      <c r="K16" s="71">
        <f t="shared" si="0"/>
        <v>0.19999999999999996</v>
      </c>
      <c r="L16" s="74"/>
      <c r="N16" s="72">
        <v>0</v>
      </c>
      <c r="O16" s="72">
        <v>0.5</v>
      </c>
      <c r="P16" s="72">
        <v>0.5</v>
      </c>
      <c r="Q16" s="72">
        <v>0</v>
      </c>
      <c r="R16" s="72">
        <v>0</v>
      </c>
      <c r="S16" s="72">
        <v>0</v>
      </c>
      <c r="T16" s="72">
        <v>0</v>
      </c>
      <c r="U16" s="72">
        <v>0</v>
      </c>
      <c r="V16" s="72">
        <v>0</v>
      </c>
      <c r="W16" s="72">
        <v>0</v>
      </c>
      <c r="X16" s="72">
        <v>0</v>
      </c>
      <c r="Y16" s="72">
        <v>0</v>
      </c>
      <c r="AA16" s="74"/>
      <c r="AC16" s="72">
        <v>1</v>
      </c>
      <c r="AD16" s="72">
        <v>0</v>
      </c>
      <c r="AE16" s="72">
        <v>0</v>
      </c>
      <c r="AF16" s="72">
        <v>0</v>
      </c>
      <c r="AG16" s="72">
        <v>0</v>
      </c>
      <c r="AH16" s="72">
        <v>0</v>
      </c>
      <c r="AI16" s="72">
        <v>0</v>
      </c>
      <c r="AJ16" s="72">
        <v>0</v>
      </c>
      <c r="AK16" s="72">
        <v>0</v>
      </c>
      <c r="AL16" s="72">
        <v>0</v>
      </c>
      <c r="AM16" s="72">
        <v>0</v>
      </c>
      <c r="AN16" s="72">
        <v>0</v>
      </c>
      <c r="AO16" s="72">
        <v>0</v>
      </c>
      <c r="AP16" s="74"/>
      <c r="AR16" s="72">
        <v>1</v>
      </c>
      <c r="AS16" s="72">
        <v>0</v>
      </c>
      <c r="AT16" s="72">
        <v>0</v>
      </c>
      <c r="AU16" s="72">
        <v>0</v>
      </c>
      <c r="AV16" s="72">
        <v>0</v>
      </c>
      <c r="AW16" s="72">
        <v>0</v>
      </c>
      <c r="AX16" s="72">
        <v>0</v>
      </c>
    </row>
    <row r="17" spans="1:50" s="41" customFormat="1" outlineLevel="1">
      <c r="D17" s="227" t="s">
        <v>404</v>
      </c>
      <c r="E17" s="227"/>
      <c r="F17" s="227"/>
      <c r="G17" s="227"/>
      <c r="I17" s="72">
        <v>0.04</v>
      </c>
      <c r="J17" s="72">
        <v>0.76</v>
      </c>
      <c r="K17" s="71">
        <f t="shared" si="0"/>
        <v>0.19999999999999996</v>
      </c>
      <c r="L17" s="74"/>
      <c r="N17" s="72">
        <v>0</v>
      </c>
      <c r="O17" s="72">
        <v>0.5</v>
      </c>
      <c r="P17" s="72">
        <v>0.5</v>
      </c>
      <c r="Q17" s="72">
        <v>0</v>
      </c>
      <c r="R17" s="72">
        <v>0</v>
      </c>
      <c r="S17" s="72">
        <v>0</v>
      </c>
      <c r="T17" s="72">
        <v>0</v>
      </c>
      <c r="U17" s="72">
        <v>0</v>
      </c>
      <c r="V17" s="72">
        <v>0</v>
      </c>
      <c r="W17" s="72">
        <v>0</v>
      </c>
      <c r="X17" s="72">
        <v>0</v>
      </c>
      <c r="Y17" s="72">
        <v>0</v>
      </c>
      <c r="AA17" s="74"/>
      <c r="AC17" s="72">
        <v>1</v>
      </c>
      <c r="AD17" s="72">
        <v>0</v>
      </c>
      <c r="AE17" s="72">
        <v>0</v>
      </c>
      <c r="AF17" s="72">
        <v>0</v>
      </c>
      <c r="AG17" s="72">
        <v>0</v>
      </c>
      <c r="AH17" s="72">
        <v>0</v>
      </c>
      <c r="AI17" s="72">
        <v>0</v>
      </c>
      <c r="AJ17" s="72">
        <v>0</v>
      </c>
      <c r="AK17" s="72">
        <v>0</v>
      </c>
      <c r="AL17" s="72">
        <v>0</v>
      </c>
      <c r="AM17" s="72">
        <v>0</v>
      </c>
      <c r="AN17" s="72">
        <v>0</v>
      </c>
      <c r="AO17" s="72">
        <v>0</v>
      </c>
      <c r="AP17" s="74"/>
      <c r="AR17" s="72">
        <v>1</v>
      </c>
      <c r="AS17" s="72">
        <v>0</v>
      </c>
      <c r="AT17" s="72">
        <v>0</v>
      </c>
      <c r="AU17" s="72">
        <v>0</v>
      </c>
      <c r="AV17" s="72">
        <v>0</v>
      </c>
      <c r="AW17" s="72">
        <v>0</v>
      </c>
      <c r="AX17" s="72">
        <v>0</v>
      </c>
    </row>
    <row r="18" spans="1:50" s="41" customFormat="1" outlineLevel="1">
      <c r="D18" s="227" t="s">
        <v>405</v>
      </c>
      <c r="E18" s="227"/>
      <c r="F18" s="227"/>
      <c r="G18" s="227"/>
      <c r="I18" s="72">
        <v>0.04</v>
      </c>
      <c r="J18" s="72">
        <v>0.76</v>
      </c>
      <c r="K18" s="71">
        <f t="shared" si="0"/>
        <v>0.19999999999999996</v>
      </c>
      <c r="L18" s="74"/>
      <c r="N18" s="72">
        <v>0</v>
      </c>
      <c r="O18" s="72">
        <v>0.5</v>
      </c>
      <c r="P18" s="72">
        <v>0.5</v>
      </c>
      <c r="Q18" s="72">
        <v>0</v>
      </c>
      <c r="R18" s="72">
        <v>0</v>
      </c>
      <c r="S18" s="72">
        <v>0</v>
      </c>
      <c r="T18" s="72">
        <v>0</v>
      </c>
      <c r="U18" s="72">
        <v>0</v>
      </c>
      <c r="V18" s="72">
        <v>0</v>
      </c>
      <c r="W18" s="72">
        <v>0</v>
      </c>
      <c r="X18" s="72">
        <v>0</v>
      </c>
      <c r="Y18" s="72">
        <v>0</v>
      </c>
      <c r="AA18" s="74"/>
      <c r="AC18" s="72">
        <v>1</v>
      </c>
      <c r="AD18" s="72">
        <v>0</v>
      </c>
      <c r="AE18" s="72">
        <v>0</v>
      </c>
      <c r="AF18" s="72">
        <v>0</v>
      </c>
      <c r="AG18" s="72">
        <v>0</v>
      </c>
      <c r="AH18" s="72">
        <v>0</v>
      </c>
      <c r="AI18" s="72">
        <v>0</v>
      </c>
      <c r="AJ18" s="72">
        <v>0</v>
      </c>
      <c r="AK18" s="72">
        <v>0</v>
      </c>
      <c r="AL18" s="72">
        <v>0</v>
      </c>
      <c r="AM18" s="72">
        <v>0</v>
      </c>
      <c r="AN18" s="72">
        <v>0</v>
      </c>
      <c r="AO18" s="72">
        <v>0</v>
      </c>
      <c r="AP18" s="74"/>
      <c r="AR18" s="72">
        <v>1</v>
      </c>
      <c r="AS18" s="72">
        <v>0</v>
      </c>
      <c r="AT18" s="72">
        <v>0</v>
      </c>
      <c r="AU18" s="72">
        <v>0</v>
      </c>
      <c r="AV18" s="72">
        <v>0</v>
      </c>
      <c r="AW18" s="72">
        <v>0</v>
      </c>
      <c r="AX18" s="72">
        <v>0</v>
      </c>
    </row>
    <row r="19" spans="1:50" s="41" customFormat="1" outlineLevel="1">
      <c r="D19" s="227" t="s">
        <v>406</v>
      </c>
      <c r="E19" s="227"/>
      <c r="F19" s="227"/>
      <c r="G19" s="227"/>
      <c r="I19" s="72">
        <v>0.04</v>
      </c>
      <c r="J19" s="72">
        <v>0.76</v>
      </c>
      <c r="K19" s="71">
        <f t="shared" si="0"/>
        <v>0.19999999999999996</v>
      </c>
      <c r="L19" s="74"/>
      <c r="N19" s="72">
        <v>0</v>
      </c>
      <c r="O19" s="72">
        <v>0.5</v>
      </c>
      <c r="P19" s="72">
        <v>0.5</v>
      </c>
      <c r="Q19" s="72">
        <v>0</v>
      </c>
      <c r="R19" s="72">
        <v>0</v>
      </c>
      <c r="S19" s="72">
        <v>0</v>
      </c>
      <c r="T19" s="72">
        <v>0</v>
      </c>
      <c r="U19" s="72">
        <v>0</v>
      </c>
      <c r="V19" s="72">
        <v>0</v>
      </c>
      <c r="W19" s="72">
        <v>0</v>
      </c>
      <c r="X19" s="72">
        <v>0</v>
      </c>
      <c r="Y19" s="72">
        <v>0</v>
      </c>
      <c r="AA19" s="74"/>
      <c r="AC19" s="72">
        <v>1</v>
      </c>
      <c r="AD19" s="72">
        <v>0</v>
      </c>
      <c r="AE19" s="72">
        <v>0</v>
      </c>
      <c r="AF19" s="72">
        <v>0</v>
      </c>
      <c r="AG19" s="72">
        <v>0</v>
      </c>
      <c r="AH19" s="72">
        <v>0</v>
      </c>
      <c r="AI19" s="72">
        <v>0</v>
      </c>
      <c r="AJ19" s="72">
        <v>0</v>
      </c>
      <c r="AK19" s="72">
        <v>0</v>
      </c>
      <c r="AL19" s="72">
        <v>0</v>
      </c>
      <c r="AM19" s="72">
        <v>0</v>
      </c>
      <c r="AN19" s="72">
        <v>0</v>
      </c>
      <c r="AO19" s="72">
        <v>0</v>
      </c>
      <c r="AP19" s="74"/>
      <c r="AR19" s="72">
        <v>1</v>
      </c>
      <c r="AS19" s="72">
        <v>0</v>
      </c>
      <c r="AT19" s="72">
        <v>0</v>
      </c>
      <c r="AU19" s="72">
        <v>0</v>
      </c>
      <c r="AV19" s="72">
        <v>0</v>
      </c>
      <c r="AW19" s="72">
        <v>0</v>
      </c>
      <c r="AX19" s="72">
        <v>0</v>
      </c>
    </row>
    <row r="20" spans="1:50" s="41" customFormat="1" outlineLevel="1">
      <c r="D20" s="227" t="s">
        <v>407</v>
      </c>
      <c r="E20" s="227"/>
      <c r="F20" s="227"/>
      <c r="G20" s="227"/>
      <c r="I20" s="72">
        <v>0.04</v>
      </c>
      <c r="J20" s="72">
        <v>0.76</v>
      </c>
      <c r="K20" s="71">
        <f t="shared" si="0"/>
        <v>0.19999999999999996</v>
      </c>
      <c r="L20" s="74"/>
      <c r="N20" s="72">
        <v>0</v>
      </c>
      <c r="O20" s="72">
        <v>0.5</v>
      </c>
      <c r="P20" s="72">
        <v>0.5</v>
      </c>
      <c r="Q20" s="72">
        <v>0</v>
      </c>
      <c r="R20" s="72">
        <v>0</v>
      </c>
      <c r="S20" s="72">
        <v>0</v>
      </c>
      <c r="T20" s="72">
        <v>0</v>
      </c>
      <c r="U20" s="72">
        <v>0</v>
      </c>
      <c r="V20" s="72">
        <v>0</v>
      </c>
      <c r="W20" s="72">
        <v>0</v>
      </c>
      <c r="X20" s="72">
        <v>0</v>
      </c>
      <c r="Y20" s="72">
        <v>0</v>
      </c>
      <c r="AA20" s="74"/>
      <c r="AC20" s="72">
        <v>1</v>
      </c>
      <c r="AD20" s="72">
        <v>0</v>
      </c>
      <c r="AE20" s="72">
        <v>0</v>
      </c>
      <c r="AF20" s="72">
        <v>0</v>
      </c>
      <c r="AG20" s="72">
        <v>0</v>
      </c>
      <c r="AH20" s="72">
        <v>0</v>
      </c>
      <c r="AI20" s="72">
        <v>0</v>
      </c>
      <c r="AJ20" s="72">
        <v>0</v>
      </c>
      <c r="AK20" s="72">
        <v>0</v>
      </c>
      <c r="AL20" s="72">
        <v>0</v>
      </c>
      <c r="AM20" s="72">
        <v>0</v>
      </c>
      <c r="AN20" s="72">
        <v>0</v>
      </c>
      <c r="AO20" s="72">
        <v>0</v>
      </c>
      <c r="AP20" s="74"/>
      <c r="AR20" s="72">
        <v>1</v>
      </c>
      <c r="AS20" s="72">
        <v>0</v>
      </c>
      <c r="AT20" s="72">
        <v>0</v>
      </c>
      <c r="AU20" s="72">
        <v>0</v>
      </c>
      <c r="AV20" s="72">
        <v>0</v>
      </c>
      <c r="AW20" s="72">
        <v>0</v>
      </c>
      <c r="AX20" s="72">
        <v>0</v>
      </c>
    </row>
    <row r="21" spans="1:50" s="41" customFormat="1" outlineLevel="1">
      <c r="D21" s="227" t="s">
        <v>408</v>
      </c>
      <c r="E21" s="227"/>
      <c r="F21" s="227"/>
      <c r="G21" s="227"/>
      <c r="I21" s="72">
        <v>0.04</v>
      </c>
      <c r="J21" s="72">
        <v>0.76</v>
      </c>
      <c r="K21" s="71">
        <f t="shared" si="0"/>
        <v>0.19999999999999996</v>
      </c>
      <c r="L21" s="74"/>
      <c r="N21" s="72">
        <v>0</v>
      </c>
      <c r="O21" s="72">
        <v>0.5</v>
      </c>
      <c r="P21" s="72">
        <v>0.5</v>
      </c>
      <c r="Q21" s="72">
        <v>0</v>
      </c>
      <c r="R21" s="72">
        <v>0</v>
      </c>
      <c r="S21" s="72">
        <v>0</v>
      </c>
      <c r="T21" s="72">
        <v>0</v>
      </c>
      <c r="U21" s="72">
        <v>0</v>
      </c>
      <c r="V21" s="72">
        <v>0</v>
      </c>
      <c r="W21" s="72">
        <v>0</v>
      </c>
      <c r="X21" s="72">
        <v>0</v>
      </c>
      <c r="Y21" s="72">
        <v>0</v>
      </c>
      <c r="AA21" s="74"/>
      <c r="AC21" s="72">
        <v>1</v>
      </c>
      <c r="AD21" s="72">
        <v>0</v>
      </c>
      <c r="AE21" s="72">
        <v>0</v>
      </c>
      <c r="AF21" s="72">
        <v>0</v>
      </c>
      <c r="AG21" s="72">
        <v>0</v>
      </c>
      <c r="AH21" s="72">
        <v>0</v>
      </c>
      <c r="AI21" s="72">
        <v>0</v>
      </c>
      <c r="AJ21" s="72">
        <v>0</v>
      </c>
      <c r="AK21" s="72">
        <v>0</v>
      </c>
      <c r="AL21" s="72">
        <v>0</v>
      </c>
      <c r="AM21" s="72">
        <v>0</v>
      </c>
      <c r="AN21" s="72">
        <v>0</v>
      </c>
      <c r="AO21" s="72">
        <v>0</v>
      </c>
      <c r="AP21" s="74"/>
      <c r="AR21" s="72">
        <v>1</v>
      </c>
      <c r="AS21" s="72">
        <v>0</v>
      </c>
      <c r="AT21" s="72">
        <v>0</v>
      </c>
      <c r="AU21" s="72">
        <v>0</v>
      </c>
      <c r="AV21" s="72">
        <v>0</v>
      </c>
      <c r="AW21" s="72">
        <v>0</v>
      </c>
      <c r="AX21" s="72">
        <v>0</v>
      </c>
    </row>
    <row r="22" spans="1:50" s="41" customFormat="1" outlineLevel="1">
      <c r="D22" s="227" t="s">
        <v>409</v>
      </c>
      <c r="E22" s="227"/>
      <c r="F22" s="227"/>
      <c r="G22" s="227"/>
      <c r="I22" s="72">
        <v>0.04</v>
      </c>
      <c r="J22" s="72">
        <v>0.76</v>
      </c>
      <c r="K22" s="71">
        <f t="shared" si="0"/>
        <v>0.19999999999999996</v>
      </c>
      <c r="L22" s="74"/>
      <c r="N22" s="72">
        <v>0</v>
      </c>
      <c r="O22" s="72">
        <v>0.5</v>
      </c>
      <c r="P22" s="72">
        <v>0.5</v>
      </c>
      <c r="Q22" s="72">
        <v>0</v>
      </c>
      <c r="R22" s="72">
        <v>0</v>
      </c>
      <c r="S22" s="72">
        <v>0</v>
      </c>
      <c r="T22" s="72">
        <v>0</v>
      </c>
      <c r="U22" s="72">
        <v>0</v>
      </c>
      <c r="V22" s="72">
        <v>0</v>
      </c>
      <c r="W22" s="72">
        <v>0</v>
      </c>
      <c r="X22" s="72">
        <v>0</v>
      </c>
      <c r="Y22" s="72">
        <v>0</v>
      </c>
      <c r="AA22" s="74"/>
      <c r="AC22" s="72">
        <v>1</v>
      </c>
      <c r="AD22" s="72">
        <v>0</v>
      </c>
      <c r="AE22" s="72">
        <v>0</v>
      </c>
      <c r="AF22" s="72">
        <v>0</v>
      </c>
      <c r="AG22" s="72">
        <v>0</v>
      </c>
      <c r="AH22" s="72">
        <v>0</v>
      </c>
      <c r="AI22" s="72">
        <v>0</v>
      </c>
      <c r="AJ22" s="72">
        <v>0</v>
      </c>
      <c r="AK22" s="72">
        <v>0</v>
      </c>
      <c r="AL22" s="72">
        <v>0</v>
      </c>
      <c r="AM22" s="72">
        <v>0</v>
      </c>
      <c r="AN22" s="72">
        <v>0</v>
      </c>
      <c r="AO22" s="72">
        <v>0</v>
      </c>
      <c r="AP22" s="74"/>
      <c r="AR22" s="72">
        <v>1</v>
      </c>
      <c r="AS22" s="72">
        <v>0</v>
      </c>
      <c r="AT22" s="72">
        <v>0</v>
      </c>
      <c r="AU22" s="72">
        <v>0</v>
      </c>
      <c r="AV22" s="72">
        <v>0</v>
      </c>
      <c r="AW22" s="72">
        <v>0</v>
      </c>
      <c r="AX22" s="72">
        <v>0</v>
      </c>
    </row>
    <row r="23" spans="1:50" s="41" customFormat="1" outlineLevel="1">
      <c r="D23" s="227" t="s">
        <v>410</v>
      </c>
      <c r="E23" s="227"/>
      <c r="F23" s="227"/>
      <c r="G23" s="227"/>
      <c r="I23" s="72">
        <v>0.04</v>
      </c>
      <c r="J23" s="72">
        <v>0.76</v>
      </c>
      <c r="K23" s="71">
        <f t="shared" si="0"/>
        <v>0.19999999999999996</v>
      </c>
      <c r="L23" s="74"/>
      <c r="N23" s="72">
        <v>0</v>
      </c>
      <c r="O23" s="72">
        <v>0.5</v>
      </c>
      <c r="P23" s="72">
        <v>0.5</v>
      </c>
      <c r="Q23" s="72">
        <v>0</v>
      </c>
      <c r="R23" s="72">
        <v>0</v>
      </c>
      <c r="S23" s="72">
        <v>0</v>
      </c>
      <c r="T23" s="72">
        <v>0</v>
      </c>
      <c r="U23" s="72">
        <v>0</v>
      </c>
      <c r="V23" s="72">
        <v>0</v>
      </c>
      <c r="W23" s="72">
        <v>0</v>
      </c>
      <c r="X23" s="72">
        <v>0</v>
      </c>
      <c r="Y23" s="72">
        <v>0</v>
      </c>
      <c r="AA23" s="74"/>
      <c r="AC23" s="72">
        <v>1</v>
      </c>
      <c r="AD23" s="72">
        <v>0</v>
      </c>
      <c r="AE23" s="72">
        <v>0</v>
      </c>
      <c r="AF23" s="72">
        <v>0</v>
      </c>
      <c r="AG23" s="72">
        <v>0</v>
      </c>
      <c r="AH23" s="72">
        <v>0</v>
      </c>
      <c r="AI23" s="72">
        <v>0</v>
      </c>
      <c r="AJ23" s="72">
        <v>0</v>
      </c>
      <c r="AK23" s="72">
        <v>0</v>
      </c>
      <c r="AL23" s="72">
        <v>0</v>
      </c>
      <c r="AM23" s="72">
        <v>0</v>
      </c>
      <c r="AN23" s="72">
        <v>0</v>
      </c>
      <c r="AO23" s="72">
        <v>0</v>
      </c>
      <c r="AP23" s="74"/>
      <c r="AR23" s="72">
        <v>1</v>
      </c>
      <c r="AS23" s="72">
        <v>0</v>
      </c>
      <c r="AT23" s="72">
        <v>0</v>
      </c>
      <c r="AU23" s="72">
        <v>0</v>
      </c>
      <c r="AV23" s="72">
        <v>0</v>
      </c>
      <c r="AW23" s="72">
        <v>0</v>
      </c>
      <c r="AX23" s="72">
        <v>0</v>
      </c>
    </row>
    <row r="24" spans="1:50" s="41" customFormat="1" outlineLevel="1">
      <c r="D24" s="227" t="s">
        <v>398</v>
      </c>
      <c r="E24" s="227"/>
      <c r="F24" s="227"/>
      <c r="G24" s="227"/>
      <c r="I24" s="72">
        <v>0.04</v>
      </c>
      <c r="J24" s="72">
        <v>0.76</v>
      </c>
      <c r="K24" s="71">
        <f t="shared" si="0"/>
        <v>0.19999999999999996</v>
      </c>
      <c r="L24" s="74"/>
      <c r="N24" s="72">
        <v>0</v>
      </c>
      <c r="O24" s="72">
        <v>0.5</v>
      </c>
      <c r="P24" s="72">
        <v>0.5</v>
      </c>
      <c r="Q24" s="72">
        <v>0</v>
      </c>
      <c r="R24" s="72">
        <v>0</v>
      </c>
      <c r="S24" s="72">
        <v>0</v>
      </c>
      <c r="T24" s="72">
        <v>0</v>
      </c>
      <c r="U24" s="72">
        <v>0</v>
      </c>
      <c r="V24" s="72">
        <v>0</v>
      </c>
      <c r="W24" s="72">
        <v>0</v>
      </c>
      <c r="X24" s="72">
        <v>0</v>
      </c>
      <c r="Y24" s="72">
        <v>0</v>
      </c>
      <c r="AA24" s="74"/>
      <c r="AC24" s="72">
        <v>1</v>
      </c>
      <c r="AD24" s="72">
        <v>0</v>
      </c>
      <c r="AE24" s="72">
        <v>0</v>
      </c>
      <c r="AF24" s="72">
        <v>0</v>
      </c>
      <c r="AG24" s="72">
        <v>0</v>
      </c>
      <c r="AH24" s="72">
        <v>0</v>
      </c>
      <c r="AI24" s="72">
        <v>0</v>
      </c>
      <c r="AJ24" s="72">
        <v>0</v>
      </c>
      <c r="AK24" s="72">
        <v>0</v>
      </c>
      <c r="AL24" s="72">
        <v>0</v>
      </c>
      <c r="AM24" s="72">
        <v>0</v>
      </c>
      <c r="AN24" s="72">
        <v>0</v>
      </c>
      <c r="AO24" s="146">
        <v>0</v>
      </c>
      <c r="AP24" s="74"/>
      <c r="AR24" s="72">
        <v>1</v>
      </c>
      <c r="AS24" s="72">
        <v>0</v>
      </c>
      <c r="AT24" s="72">
        <v>0</v>
      </c>
      <c r="AU24" s="72">
        <v>0</v>
      </c>
      <c r="AV24" s="72">
        <v>0</v>
      </c>
      <c r="AW24" s="72">
        <v>0</v>
      </c>
      <c r="AX24" s="72">
        <v>0</v>
      </c>
    </row>
    <row r="25" spans="1:50" s="41" customFormat="1" outlineLevel="1">
      <c r="L25" s="74"/>
      <c r="AA25" s="74"/>
      <c r="AC25" s="43" t="s">
        <v>458</v>
      </c>
      <c r="AP25" s="74"/>
    </row>
    <row r="26" spans="1:50" s="41" customFormat="1" outlineLevel="1">
      <c r="C26" s="50" t="s">
        <v>367</v>
      </c>
      <c r="L26" s="74"/>
      <c r="AA26" s="74"/>
      <c r="AP26" s="74"/>
    </row>
    <row r="27" spans="1:50" s="41" customFormat="1" ht="5.9" customHeight="1" outlineLevel="1">
      <c r="L27" s="74"/>
      <c r="AA27" s="74"/>
      <c r="AP27" s="74"/>
    </row>
    <row r="28" spans="1:50" s="41" customFormat="1" outlineLevel="1">
      <c r="D28" s="227" t="s">
        <v>368</v>
      </c>
      <c r="E28" s="227"/>
      <c r="F28" s="227"/>
      <c r="G28" s="227"/>
      <c r="L28" s="74"/>
      <c r="N28" s="72">
        <v>0</v>
      </c>
      <c r="O28" s="72">
        <v>0</v>
      </c>
      <c r="P28" s="72">
        <v>0</v>
      </c>
      <c r="Q28" s="72">
        <v>0</v>
      </c>
      <c r="R28" s="72">
        <v>0</v>
      </c>
      <c r="S28" s="72">
        <v>0</v>
      </c>
      <c r="T28" s="72">
        <v>0</v>
      </c>
      <c r="U28" s="72">
        <v>0</v>
      </c>
      <c r="V28" s="72">
        <v>0</v>
      </c>
      <c r="W28" s="72">
        <v>0</v>
      </c>
      <c r="X28" s="72">
        <v>0</v>
      </c>
      <c r="Y28" s="72">
        <v>0</v>
      </c>
      <c r="AA28" s="74"/>
      <c r="AC28" s="72">
        <v>0</v>
      </c>
      <c r="AD28" s="72">
        <v>0</v>
      </c>
      <c r="AE28" s="72">
        <v>0</v>
      </c>
      <c r="AF28" s="72">
        <v>0</v>
      </c>
      <c r="AG28" s="72">
        <v>0</v>
      </c>
      <c r="AH28" s="72">
        <v>0</v>
      </c>
      <c r="AI28" s="72">
        <v>0</v>
      </c>
      <c r="AJ28" s="72">
        <v>0</v>
      </c>
      <c r="AK28" s="72">
        <v>0</v>
      </c>
      <c r="AL28" s="72">
        <v>0</v>
      </c>
      <c r="AM28" s="72">
        <v>0</v>
      </c>
      <c r="AN28" s="72">
        <v>0</v>
      </c>
      <c r="AO28" s="146">
        <v>0</v>
      </c>
      <c r="AP28" s="74"/>
      <c r="AR28" s="72">
        <v>0</v>
      </c>
      <c r="AS28" s="72">
        <v>0</v>
      </c>
      <c r="AT28" s="72">
        <v>0</v>
      </c>
      <c r="AU28" s="72">
        <v>0</v>
      </c>
      <c r="AV28" s="72">
        <v>0</v>
      </c>
      <c r="AW28" s="72">
        <v>0</v>
      </c>
      <c r="AX28" s="72">
        <v>0</v>
      </c>
    </row>
    <row r="29" spans="1:50" s="41" customFormat="1"/>
    <row r="30" spans="1:50" s="47" customFormat="1">
      <c r="A30" s="41"/>
      <c r="B30" s="47" t="s">
        <v>191</v>
      </c>
    </row>
    <row r="31" spans="1:50" s="41" customFormat="1" ht="5.9" customHeight="1"/>
    <row r="32" spans="1:50" s="41" customFormat="1" ht="14">
      <c r="C32" s="76" t="str">
        <f>AdHoc!B25</f>
        <v>Low Pressure Replacement - Ad Hoc</v>
      </c>
      <c r="I32" s="50" t="str">
        <f>GC!H9</f>
        <v>Network</v>
      </c>
    </row>
    <row r="33" spans="1:50" s="41" customFormat="1" ht="5.9" customHeight="1" outlineLevel="1"/>
    <row r="34" spans="1:50" s="41" customFormat="1" outlineLevel="1">
      <c r="I34" s="243" t="s">
        <v>194</v>
      </c>
      <c r="J34" s="243"/>
      <c r="K34" s="243"/>
      <c r="L34" s="73"/>
      <c r="N34" s="242" t="s">
        <v>195</v>
      </c>
      <c r="O34" s="242"/>
      <c r="P34" s="242"/>
      <c r="Q34" s="242"/>
      <c r="R34" s="242"/>
      <c r="S34" s="242"/>
      <c r="T34" s="242"/>
      <c r="U34" s="242"/>
      <c r="V34" s="242"/>
      <c r="W34" s="242"/>
      <c r="X34" s="242"/>
      <c r="Y34" s="242"/>
      <c r="Z34" s="242"/>
      <c r="AA34" s="74"/>
      <c r="AC34" s="244" t="s">
        <v>196</v>
      </c>
      <c r="AD34" s="244"/>
      <c r="AE34" s="244"/>
      <c r="AF34" s="244"/>
      <c r="AG34" s="244"/>
      <c r="AH34" s="244"/>
      <c r="AI34" s="244"/>
      <c r="AJ34" s="244"/>
      <c r="AK34" s="244"/>
      <c r="AL34" s="244"/>
      <c r="AM34" s="244"/>
      <c r="AN34" s="244"/>
      <c r="AO34" s="244"/>
      <c r="AP34" s="74"/>
      <c r="AR34" s="243" t="s">
        <v>311</v>
      </c>
      <c r="AS34" s="243"/>
      <c r="AT34" s="243"/>
      <c r="AU34" s="243"/>
      <c r="AV34" s="243"/>
      <c r="AW34" s="243"/>
      <c r="AX34" s="243"/>
    </row>
    <row r="35" spans="1:50" s="41" customFormat="1" ht="46" outlineLevel="1">
      <c r="D35" s="50" t="s">
        <v>160</v>
      </c>
      <c r="I35" s="69" t="s">
        <v>128</v>
      </c>
      <c r="J35" s="69" t="s">
        <v>129</v>
      </c>
      <c r="K35" s="69" t="s">
        <v>130</v>
      </c>
      <c r="L35" s="73"/>
      <c r="N35" s="69" t="str">
        <f ca="1">OFFSET(AdHoc!$E125,N36,,,)</f>
        <v>Transmission pipelines - post 1998</v>
      </c>
      <c r="O35" s="69" t="str">
        <f ca="1">OFFSET(AdHoc!$E125,O36,,,)</f>
        <v>Distribution pipelines - post 1998</v>
      </c>
      <c r="P35" s="69" t="str">
        <f ca="1">OFFSET(AdHoc!$E125,P36,,,)</f>
        <v>Service pipes - post 1998</v>
      </c>
      <c r="Q35" s="69" t="str">
        <f ca="1">OFFSET(AdHoc!$E125,Q36,,,)</f>
        <v>Cathodic protection - post 1998</v>
      </c>
      <c r="R35" s="69" t="str">
        <f ca="1">OFFSET(AdHoc!$E125,R36,,,)</f>
        <v>Supply Regulators / Valve Stations</v>
      </c>
      <c r="S35" s="69" t="str">
        <f ca="1">OFFSET(AdHoc!$E125,S36,,,)</f>
        <v>Meters</v>
      </c>
      <c r="T35" s="69" t="str">
        <f ca="1">OFFSET(AdHoc!$E125,T36,,,)</f>
        <v>SCADA and remote control</v>
      </c>
      <c r="U35" s="69" t="str">
        <f ca="1">OFFSET(AdHoc!$E125,U36,,,)</f>
        <v>Buildings</v>
      </c>
      <c r="V35" s="69" t="str">
        <f ca="1">OFFSET(AdHoc!$E125,V36,,,)</f>
        <v>Other - IT</v>
      </c>
      <c r="W35" s="69" t="str">
        <f ca="1">OFFSET(AdHoc!$E125,W36,,,)</f>
        <v>Other - non IT</v>
      </c>
      <c r="X35" s="69" t="str">
        <f ca="1">OFFSET(AdHoc!$E125,X36,,,)</f>
        <v>Land</v>
      </c>
      <c r="Y35" s="57" t="str">
        <f ca="1">OFFSET(AdHoc!$E125,Y36,,,)</f>
        <v>Capitalised Leases</v>
      </c>
      <c r="Z35"/>
      <c r="AA35" s="140"/>
      <c r="AC35" s="69" t="str">
        <f ca="1">OFFSET(AdHoc!$E208,AC36,,,)</f>
        <v>Mains replacement</v>
      </c>
      <c r="AD35" s="69" t="str">
        <f ca="1">OFFSET(AdHoc!$E208,AD36,,,)</f>
        <v>Residential new customer connections</v>
      </c>
      <c r="AE35" s="69" t="str">
        <f ca="1">OFFSET(AdHoc!$E208,AE36,,,)</f>
        <v>Commercial and industrial new customer connections</v>
      </c>
      <c r="AF35" s="69" t="str">
        <f ca="1">OFFSET(AdHoc!$E208,AF36,,,)</f>
        <v>Residential meter replacement</v>
      </c>
      <c r="AG35" s="69" t="str">
        <f ca="1">OFFSET(AdHoc!$E208,AG36,,,)</f>
        <v>Commercial and industrial meter replacement</v>
      </c>
      <c r="AH35" s="69" t="str">
        <f ca="1">OFFSET(AdHoc!$E208,AH36,,,)</f>
        <v>Augmentation</v>
      </c>
      <c r="AI35" s="69" t="str">
        <f ca="1">OFFSET(AdHoc!$E208,AI36,,,)</f>
        <v>IT capex</v>
      </c>
      <c r="AJ35" s="69" t="str">
        <f ca="1">OFFSET(AdHoc!$E208,AJ36,,,)</f>
        <v>SCADA</v>
      </c>
      <c r="AK35" s="69" t="str">
        <f ca="1">OFFSET(AdHoc!$E208,AK36,,,)</f>
        <v>Other</v>
      </c>
      <c r="AL35" s="69" t="str">
        <f ca="1">OFFSET(AdHoc!$E208,AL36,,,)</f>
        <v>Capitalised Leases</v>
      </c>
      <c r="AM35" s="69" t="str">
        <f ca="1">OFFSET(AdHoc!$E208,AM36,,,)</f>
        <v>Gas Extensions - Energy for the Regions</v>
      </c>
      <c r="AN35" s="69" t="str">
        <f ca="1">OFFSET(AdHoc!$E208,AN36,,,)</f>
        <v>Gas Extensions - Other</v>
      </c>
      <c r="AO35" s="69" t="str">
        <f ca="1">OFFSET(AdHoc!$E208,AO36,,,)</f>
        <v>Customer contributions</v>
      </c>
      <c r="AP35" s="74"/>
      <c r="AR35" s="69" t="str">
        <f ca="1">OFFSET(AdHoc!$E265,AR36,,,)</f>
        <v>Mains &amp; Services</v>
      </c>
      <c r="AS35" s="69" t="str">
        <f ca="1">OFFSET(AdHoc!$E265,AS36,,,)</f>
        <v>Meters Domestic</v>
      </c>
      <c r="AT35" s="69" t="str">
        <f ca="1">OFFSET(AdHoc!$E265,AT36,,,)</f>
        <v>Meters Industrial &amp; Commercial</v>
      </c>
      <c r="AU35" s="69" t="str">
        <f ca="1">OFFSET(AdHoc!$E265,AU36,,,)</f>
        <v>Buildings</v>
      </c>
      <c r="AV35" s="69" t="str">
        <f ca="1">OFFSET(AdHoc!$E265,AV36,,,)</f>
        <v>Other Assets</v>
      </c>
      <c r="AW35" s="69" t="str">
        <f ca="1">OFFSET(AdHoc!$E265,AW36,,,)</f>
        <v>Repairs</v>
      </c>
      <c r="AX35" s="69" t="str">
        <f ca="1">OFFSET(AdHoc!$E265,AX36,,,)</f>
        <v>Land</v>
      </c>
    </row>
    <row r="36" spans="1:50" s="41" customFormat="1" hidden="1" outlineLevel="2">
      <c r="L36" s="73"/>
      <c r="N36" s="70">
        <v>13</v>
      </c>
      <c r="O36" s="70">
        <v>14</v>
      </c>
      <c r="P36" s="70">
        <v>15</v>
      </c>
      <c r="Q36" s="70">
        <v>16</v>
      </c>
      <c r="R36" s="70">
        <v>5</v>
      </c>
      <c r="S36" s="70">
        <v>6</v>
      </c>
      <c r="T36" s="70">
        <v>7</v>
      </c>
      <c r="U36" s="70">
        <v>8</v>
      </c>
      <c r="V36" s="70">
        <v>9</v>
      </c>
      <c r="W36" s="70">
        <v>10</v>
      </c>
      <c r="X36" s="70">
        <v>11</v>
      </c>
      <c r="Y36" s="141">
        <v>12</v>
      </c>
      <c r="Z36"/>
      <c r="AA36" s="74"/>
      <c r="AC36" s="70">
        <v>1</v>
      </c>
      <c r="AD36" s="70">
        <v>2</v>
      </c>
      <c r="AE36" s="70">
        <v>3</v>
      </c>
      <c r="AF36" s="70">
        <v>4</v>
      </c>
      <c r="AG36" s="70">
        <v>5</v>
      </c>
      <c r="AH36" s="70">
        <v>6</v>
      </c>
      <c r="AI36" s="70">
        <v>7</v>
      </c>
      <c r="AJ36" s="70">
        <v>8</v>
      </c>
      <c r="AK36" s="70">
        <v>9</v>
      </c>
      <c r="AL36" s="75">
        <v>10</v>
      </c>
      <c r="AM36" s="75">
        <v>11</v>
      </c>
      <c r="AN36" s="135">
        <v>12</v>
      </c>
      <c r="AO36" s="75">
        <v>13</v>
      </c>
      <c r="AP36" s="74"/>
      <c r="AR36" s="70">
        <v>1</v>
      </c>
      <c r="AS36" s="70">
        <v>2</v>
      </c>
      <c r="AT36" s="70">
        <v>3</v>
      </c>
      <c r="AU36" s="70">
        <v>4</v>
      </c>
      <c r="AV36" s="70">
        <v>5</v>
      </c>
      <c r="AW36" s="70">
        <v>6</v>
      </c>
      <c r="AX36" s="137">
        <v>7</v>
      </c>
    </row>
    <row r="37" spans="1:50" s="41" customFormat="1" ht="5.9" customHeight="1" outlineLevel="1" collapsed="1">
      <c r="L37" s="73"/>
      <c r="Y37" s="144"/>
      <c r="Z37"/>
      <c r="AA37" s="74"/>
      <c r="AP37" s="74"/>
    </row>
    <row r="38" spans="1:50" s="41" customFormat="1" outlineLevel="1">
      <c r="D38" s="227" t="s">
        <v>281</v>
      </c>
      <c r="E38" s="227"/>
      <c r="F38" s="227"/>
      <c r="G38" s="227"/>
      <c r="I38" s="72">
        <v>0.04</v>
      </c>
      <c r="J38" s="72">
        <v>0.76</v>
      </c>
      <c r="K38" s="71">
        <f>1-SUM(I38:J38)</f>
        <v>0.19999999999999996</v>
      </c>
      <c r="L38" s="73"/>
      <c r="N38" s="64">
        <v>0</v>
      </c>
      <c r="O38" s="64">
        <v>1</v>
      </c>
      <c r="P38" s="64">
        <v>0</v>
      </c>
      <c r="Q38" s="64">
        <v>0</v>
      </c>
      <c r="R38" s="64">
        <v>0</v>
      </c>
      <c r="S38" s="64">
        <v>0</v>
      </c>
      <c r="T38" s="64">
        <v>0</v>
      </c>
      <c r="U38" s="64">
        <v>0</v>
      </c>
      <c r="V38" s="64">
        <v>0</v>
      </c>
      <c r="W38" s="64">
        <v>0</v>
      </c>
      <c r="X38" s="64">
        <v>0</v>
      </c>
      <c r="Y38" s="64">
        <v>0</v>
      </c>
      <c r="Z38"/>
      <c r="AA38" s="73"/>
      <c r="AC38" s="72">
        <v>1</v>
      </c>
      <c r="AD38" s="72">
        <v>0</v>
      </c>
      <c r="AE38" s="72">
        <v>0</v>
      </c>
      <c r="AF38" s="72">
        <v>0</v>
      </c>
      <c r="AG38" s="72">
        <v>0</v>
      </c>
      <c r="AH38" s="72">
        <v>0</v>
      </c>
      <c r="AI38" s="72">
        <v>0</v>
      </c>
      <c r="AJ38" s="72">
        <v>0</v>
      </c>
      <c r="AK38" s="72">
        <v>0</v>
      </c>
      <c r="AL38" s="72">
        <v>0</v>
      </c>
      <c r="AM38" s="72">
        <v>0</v>
      </c>
      <c r="AN38" s="72">
        <v>0</v>
      </c>
      <c r="AO38" s="146">
        <v>0</v>
      </c>
      <c r="AP38" s="73"/>
      <c r="AR38" s="72">
        <v>1</v>
      </c>
      <c r="AS38" s="72">
        <v>0</v>
      </c>
      <c r="AT38" s="72">
        <v>0</v>
      </c>
      <c r="AU38" s="72">
        <v>0</v>
      </c>
      <c r="AV38" s="72">
        <v>0</v>
      </c>
      <c r="AW38" s="72">
        <v>0</v>
      </c>
      <c r="AX38" s="72">
        <v>0</v>
      </c>
    </row>
    <row r="39" spans="1:50" s="41" customFormat="1" outlineLevel="1">
      <c r="D39" s="227" t="s">
        <v>282</v>
      </c>
      <c r="E39" s="227"/>
      <c r="F39" s="227"/>
      <c r="G39" s="227"/>
      <c r="I39" s="72">
        <v>0.04</v>
      </c>
      <c r="J39" s="72">
        <v>0.76</v>
      </c>
      <c r="K39" s="71">
        <f>1-SUM(I39:J39)</f>
        <v>0.19999999999999996</v>
      </c>
      <c r="L39" s="73"/>
      <c r="N39" s="64">
        <v>0</v>
      </c>
      <c r="O39" s="64">
        <v>1</v>
      </c>
      <c r="P39" s="64">
        <v>0</v>
      </c>
      <c r="Q39" s="64">
        <v>0</v>
      </c>
      <c r="R39" s="64">
        <v>0</v>
      </c>
      <c r="S39" s="64">
        <v>0</v>
      </c>
      <c r="T39" s="64">
        <v>0</v>
      </c>
      <c r="U39" s="64">
        <v>0</v>
      </c>
      <c r="V39" s="64">
        <v>0</v>
      </c>
      <c r="W39" s="64">
        <v>0</v>
      </c>
      <c r="X39" s="64">
        <v>0</v>
      </c>
      <c r="Y39" s="64">
        <v>0</v>
      </c>
      <c r="Z39"/>
      <c r="AA39" s="73"/>
      <c r="AC39" s="72">
        <v>1</v>
      </c>
      <c r="AD39" s="72">
        <v>0</v>
      </c>
      <c r="AE39" s="72">
        <v>0</v>
      </c>
      <c r="AF39" s="72">
        <v>0</v>
      </c>
      <c r="AG39" s="72">
        <v>0</v>
      </c>
      <c r="AH39" s="72">
        <v>0</v>
      </c>
      <c r="AI39" s="72">
        <v>0</v>
      </c>
      <c r="AJ39" s="72">
        <v>0</v>
      </c>
      <c r="AK39" s="72">
        <v>0</v>
      </c>
      <c r="AL39" s="72">
        <v>0</v>
      </c>
      <c r="AM39" s="72">
        <v>0</v>
      </c>
      <c r="AN39" s="72">
        <v>0</v>
      </c>
      <c r="AO39" s="146">
        <v>0</v>
      </c>
      <c r="AP39" s="73"/>
      <c r="AR39" s="72">
        <v>1</v>
      </c>
      <c r="AS39" s="72">
        <v>0</v>
      </c>
      <c r="AT39" s="72">
        <v>0</v>
      </c>
      <c r="AU39" s="72">
        <v>0</v>
      </c>
      <c r="AV39" s="72">
        <v>0</v>
      </c>
      <c r="AW39" s="72">
        <v>0</v>
      </c>
      <c r="AX39" s="72">
        <v>0</v>
      </c>
    </row>
    <row r="40" spans="1:50" s="41" customFormat="1" outlineLevel="1">
      <c r="D40" s="227" t="s">
        <v>283</v>
      </c>
      <c r="E40" s="227"/>
      <c r="F40" s="227"/>
      <c r="G40" s="227"/>
      <c r="I40" s="72">
        <v>0.04</v>
      </c>
      <c r="J40" s="72">
        <v>0.76</v>
      </c>
      <c r="K40" s="71">
        <f>1-SUM(I40:J40)</f>
        <v>0.19999999999999996</v>
      </c>
      <c r="L40" s="73"/>
      <c r="N40" s="64">
        <v>0</v>
      </c>
      <c r="O40" s="64">
        <v>0</v>
      </c>
      <c r="P40" s="64">
        <v>1</v>
      </c>
      <c r="Q40" s="64">
        <v>0</v>
      </c>
      <c r="R40" s="64">
        <v>0</v>
      </c>
      <c r="S40" s="64">
        <v>0</v>
      </c>
      <c r="T40" s="64">
        <v>0</v>
      </c>
      <c r="U40" s="64">
        <v>0</v>
      </c>
      <c r="V40" s="64">
        <v>0</v>
      </c>
      <c r="W40" s="64">
        <v>0</v>
      </c>
      <c r="X40" s="64">
        <v>0</v>
      </c>
      <c r="Y40" s="64">
        <v>0</v>
      </c>
      <c r="Z40"/>
      <c r="AA40" s="73"/>
      <c r="AC40" s="72">
        <v>1</v>
      </c>
      <c r="AD40" s="72">
        <v>0</v>
      </c>
      <c r="AE40" s="72">
        <v>0</v>
      </c>
      <c r="AF40" s="72">
        <v>0</v>
      </c>
      <c r="AG40" s="72">
        <v>0</v>
      </c>
      <c r="AH40" s="72">
        <v>0</v>
      </c>
      <c r="AI40" s="72">
        <v>0</v>
      </c>
      <c r="AJ40" s="72">
        <v>0</v>
      </c>
      <c r="AK40" s="72">
        <v>0</v>
      </c>
      <c r="AL40" s="72">
        <v>0</v>
      </c>
      <c r="AM40" s="72">
        <v>0</v>
      </c>
      <c r="AN40" s="72">
        <v>0</v>
      </c>
      <c r="AO40" s="146">
        <v>0</v>
      </c>
      <c r="AP40" s="73"/>
      <c r="AR40" s="72">
        <v>1</v>
      </c>
      <c r="AS40" s="72">
        <v>0</v>
      </c>
      <c r="AT40" s="72">
        <v>0</v>
      </c>
      <c r="AU40" s="72">
        <v>0</v>
      </c>
      <c r="AV40" s="72">
        <v>0</v>
      </c>
      <c r="AW40" s="72">
        <v>0</v>
      </c>
      <c r="AX40" s="72">
        <v>0</v>
      </c>
    </row>
    <row r="41" spans="1:50" s="41" customFormat="1" outlineLevel="1">
      <c r="D41" s="227" t="s">
        <v>284</v>
      </c>
      <c r="E41" s="227"/>
      <c r="F41" s="227"/>
      <c r="G41" s="227"/>
      <c r="I41" s="72">
        <v>0.04</v>
      </c>
      <c r="J41" s="72">
        <v>0.76</v>
      </c>
      <c r="K41" s="71">
        <f>1-SUM(I41:J41)</f>
        <v>0.19999999999999996</v>
      </c>
      <c r="L41" s="73"/>
      <c r="N41" s="64">
        <v>0</v>
      </c>
      <c r="O41" s="64">
        <v>0</v>
      </c>
      <c r="P41" s="64">
        <v>1</v>
      </c>
      <c r="Q41" s="64">
        <v>0</v>
      </c>
      <c r="R41" s="64">
        <v>0</v>
      </c>
      <c r="S41" s="64">
        <v>0</v>
      </c>
      <c r="T41" s="64">
        <v>0</v>
      </c>
      <c r="U41" s="64">
        <v>0</v>
      </c>
      <c r="V41" s="64">
        <v>0</v>
      </c>
      <c r="W41" s="64">
        <v>0</v>
      </c>
      <c r="X41" s="64">
        <v>0</v>
      </c>
      <c r="Y41" s="64">
        <v>0</v>
      </c>
      <c r="Z41"/>
      <c r="AA41" s="73"/>
      <c r="AC41" s="72">
        <v>1</v>
      </c>
      <c r="AD41" s="72">
        <v>0</v>
      </c>
      <c r="AE41" s="72">
        <v>0</v>
      </c>
      <c r="AF41" s="72">
        <v>0</v>
      </c>
      <c r="AG41" s="72">
        <v>0</v>
      </c>
      <c r="AH41" s="72">
        <v>0</v>
      </c>
      <c r="AI41" s="72">
        <v>0</v>
      </c>
      <c r="AJ41" s="72">
        <v>0</v>
      </c>
      <c r="AK41" s="72">
        <v>0</v>
      </c>
      <c r="AL41" s="72">
        <v>0</v>
      </c>
      <c r="AM41" s="72">
        <v>0</v>
      </c>
      <c r="AN41" s="72">
        <v>0</v>
      </c>
      <c r="AO41" s="146">
        <v>0</v>
      </c>
      <c r="AP41" s="73"/>
      <c r="AR41" s="72">
        <v>1</v>
      </c>
      <c r="AS41" s="72">
        <v>0</v>
      </c>
      <c r="AT41" s="72">
        <v>0</v>
      </c>
      <c r="AU41" s="72">
        <v>0</v>
      </c>
      <c r="AV41" s="72">
        <v>0</v>
      </c>
      <c r="AW41" s="72">
        <v>0</v>
      </c>
      <c r="AX41" s="72">
        <v>0</v>
      </c>
    </row>
    <row r="42" spans="1:50" s="41" customFormat="1" outlineLevel="1">
      <c r="D42" s="227" t="s">
        <v>124</v>
      </c>
      <c r="E42" s="227"/>
      <c r="F42" s="227"/>
      <c r="G42" s="227"/>
      <c r="I42" s="72">
        <v>0.04</v>
      </c>
      <c r="J42" s="72">
        <v>0.76</v>
      </c>
      <c r="K42" s="71">
        <f>1-SUM(I42:J42)</f>
        <v>0.19999999999999996</v>
      </c>
      <c r="L42" s="73"/>
      <c r="N42" s="64">
        <v>0</v>
      </c>
      <c r="O42" s="64">
        <v>0.5</v>
      </c>
      <c r="P42" s="64">
        <v>0.5</v>
      </c>
      <c r="Q42" s="64">
        <v>0</v>
      </c>
      <c r="R42" s="64">
        <v>0</v>
      </c>
      <c r="S42" s="64">
        <v>0</v>
      </c>
      <c r="T42" s="64">
        <v>0</v>
      </c>
      <c r="U42" s="64">
        <v>0</v>
      </c>
      <c r="V42" s="64">
        <v>0</v>
      </c>
      <c r="W42" s="64">
        <v>0</v>
      </c>
      <c r="X42" s="64">
        <v>0</v>
      </c>
      <c r="Y42" s="64">
        <v>0</v>
      </c>
      <c r="Z42"/>
      <c r="AA42" s="73"/>
      <c r="AC42" s="72">
        <v>1</v>
      </c>
      <c r="AD42" s="72">
        <v>0</v>
      </c>
      <c r="AE42" s="72">
        <v>0</v>
      </c>
      <c r="AF42" s="72">
        <v>0</v>
      </c>
      <c r="AG42" s="72">
        <v>0</v>
      </c>
      <c r="AH42" s="72">
        <v>0</v>
      </c>
      <c r="AI42" s="72">
        <v>0</v>
      </c>
      <c r="AJ42" s="72">
        <v>0</v>
      </c>
      <c r="AK42" s="72">
        <v>0</v>
      </c>
      <c r="AL42" s="72">
        <v>0</v>
      </c>
      <c r="AM42" s="72">
        <v>0</v>
      </c>
      <c r="AN42" s="72">
        <v>0</v>
      </c>
      <c r="AO42" s="146">
        <v>0</v>
      </c>
      <c r="AP42" s="73"/>
      <c r="AR42" s="72">
        <v>1</v>
      </c>
      <c r="AS42" s="72">
        <v>0</v>
      </c>
      <c r="AT42" s="72">
        <v>0</v>
      </c>
      <c r="AU42" s="72">
        <v>0</v>
      </c>
      <c r="AV42" s="72">
        <v>0</v>
      </c>
      <c r="AW42" s="72">
        <v>0</v>
      </c>
      <c r="AX42" s="72">
        <v>0</v>
      </c>
    </row>
    <row r="43" spans="1:50" s="41" customFormat="1" outlineLevel="1">
      <c r="I43"/>
      <c r="J43"/>
      <c r="L43" s="73"/>
      <c r="Z43"/>
      <c r="AA43" s="73"/>
      <c r="AC43" s="105" t="s">
        <v>458</v>
      </c>
      <c r="AP43" s="73"/>
    </row>
    <row r="44" spans="1:50" outlineLevel="1">
      <c r="C44" s="37" t="s">
        <v>367</v>
      </c>
      <c r="L44" s="73"/>
      <c r="AA44" s="73"/>
      <c r="AP44" s="73"/>
    </row>
    <row r="45" spans="1:50" ht="5.9" customHeight="1" outlineLevel="1">
      <c r="L45" s="73"/>
      <c r="AA45" s="73"/>
      <c r="AP45" s="73"/>
    </row>
    <row r="46" spans="1:50" outlineLevel="1">
      <c r="D46" s="241" t="s">
        <v>368</v>
      </c>
      <c r="E46" s="241"/>
      <c r="F46" s="241"/>
      <c r="G46" s="241"/>
      <c r="L46" s="73"/>
      <c r="N46" s="64">
        <v>0</v>
      </c>
      <c r="O46" s="64">
        <v>0</v>
      </c>
      <c r="P46" s="64">
        <v>0</v>
      </c>
      <c r="Q46" s="64">
        <v>0</v>
      </c>
      <c r="R46" s="64">
        <v>0</v>
      </c>
      <c r="S46" s="64">
        <v>0</v>
      </c>
      <c r="T46" s="64">
        <v>0</v>
      </c>
      <c r="U46" s="64">
        <v>0</v>
      </c>
      <c r="V46" s="64">
        <v>0</v>
      </c>
      <c r="W46" s="64">
        <v>0</v>
      </c>
      <c r="X46" s="64">
        <v>0</v>
      </c>
      <c r="Y46" s="64">
        <v>0</v>
      </c>
      <c r="AA46" s="73"/>
      <c r="AC46" s="64">
        <v>0</v>
      </c>
      <c r="AD46" s="64">
        <v>0</v>
      </c>
      <c r="AE46" s="64">
        <v>0</v>
      </c>
      <c r="AF46" s="64">
        <v>0</v>
      </c>
      <c r="AG46" s="64">
        <v>0</v>
      </c>
      <c r="AH46" s="64">
        <v>0</v>
      </c>
      <c r="AI46" s="64">
        <v>0</v>
      </c>
      <c r="AJ46" s="64">
        <v>0</v>
      </c>
      <c r="AK46" s="64">
        <v>0</v>
      </c>
      <c r="AL46" s="64">
        <v>0</v>
      </c>
      <c r="AM46" s="64">
        <v>0</v>
      </c>
      <c r="AN46" s="64">
        <v>0</v>
      </c>
      <c r="AO46" s="147">
        <v>0</v>
      </c>
      <c r="AP46" s="73"/>
      <c r="AR46" s="64">
        <v>0</v>
      </c>
      <c r="AS46" s="64">
        <v>0</v>
      </c>
      <c r="AT46" s="64">
        <v>0</v>
      </c>
      <c r="AU46" s="64">
        <v>0</v>
      </c>
      <c r="AV46" s="64">
        <v>0</v>
      </c>
      <c r="AW46" s="64">
        <v>0</v>
      </c>
      <c r="AX46" s="64">
        <v>0</v>
      </c>
    </row>
    <row r="48" spans="1:50" s="2" customFormat="1">
      <c r="A48"/>
      <c r="B48" s="2" t="s">
        <v>220</v>
      </c>
    </row>
    <row r="49" spans="3:50" ht="5.9" customHeight="1"/>
    <row r="50" spans="3:50" ht="14">
      <c r="C50" s="77" t="str">
        <f>Medium_Press!B25</f>
        <v>Medium Pressure Replacement - Planned</v>
      </c>
      <c r="I50" s="37" t="str">
        <f>GC!H10</f>
        <v>Network</v>
      </c>
    </row>
    <row r="51" spans="3:50" ht="5.9" customHeight="1" outlineLevel="1"/>
    <row r="52" spans="3:50" outlineLevel="1">
      <c r="I52" s="242" t="s">
        <v>194</v>
      </c>
      <c r="J52" s="242"/>
      <c r="K52" s="242"/>
      <c r="L52" s="73"/>
      <c r="N52" s="242" t="s">
        <v>195</v>
      </c>
      <c r="O52" s="242"/>
      <c r="P52" s="242"/>
      <c r="Q52" s="242"/>
      <c r="R52" s="242"/>
      <c r="S52" s="242"/>
      <c r="T52" s="242"/>
      <c r="U52" s="242"/>
      <c r="V52" s="242"/>
      <c r="W52" s="242"/>
      <c r="X52" s="242"/>
      <c r="Y52" s="242"/>
      <c r="Z52" s="242"/>
      <c r="AA52" s="73"/>
      <c r="AC52" s="245" t="s">
        <v>196</v>
      </c>
      <c r="AD52" s="245"/>
      <c r="AE52" s="245"/>
      <c r="AF52" s="245"/>
      <c r="AG52" s="245"/>
      <c r="AH52" s="245"/>
      <c r="AI52" s="245"/>
      <c r="AJ52" s="245"/>
      <c r="AK52" s="245"/>
      <c r="AL52" s="245"/>
      <c r="AM52" s="245"/>
      <c r="AN52" s="245"/>
      <c r="AO52" s="245"/>
      <c r="AP52" s="73"/>
      <c r="AR52" s="242" t="s">
        <v>311</v>
      </c>
      <c r="AS52" s="242"/>
      <c r="AT52" s="242"/>
      <c r="AU52" s="242"/>
      <c r="AV52" s="242"/>
      <c r="AW52" s="242"/>
      <c r="AX52" s="242"/>
    </row>
    <row r="53" spans="3:50" ht="46" outlineLevel="1">
      <c r="D53" s="37" t="s">
        <v>160</v>
      </c>
      <c r="I53" s="57" t="s">
        <v>128</v>
      </c>
      <c r="J53" s="57" t="s">
        <v>129</v>
      </c>
      <c r="K53" s="57" t="s">
        <v>130</v>
      </c>
      <c r="L53" s="73"/>
      <c r="N53" s="57" t="str">
        <f ca="1">OFFSET(Medium_Press!$E174,N54,,,)</f>
        <v>Transmission pipelines - post 1998</v>
      </c>
      <c r="O53" s="57" t="str">
        <f ca="1">OFFSET(Medium_Press!$E174,O54,,,)</f>
        <v>Distribution pipelines - post 1998</v>
      </c>
      <c r="P53" s="57" t="str">
        <f ca="1">OFFSET(Medium_Press!$E174,P54,,,)</f>
        <v>Service pipes - post 1998</v>
      </c>
      <c r="Q53" s="57" t="str">
        <f ca="1">OFFSET(Medium_Press!$E174,Q54,,,)</f>
        <v>Cathodic protection - post 1998</v>
      </c>
      <c r="R53" s="57" t="str">
        <f ca="1">OFFSET(Medium_Press!$E174,R54,,,)</f>
        <v>Supply Regulators / Valve Stations</v>
      </c>
      <c r="S53" s="57" t="str">
        <f ca="1">OFFSET(Medium_Press!$E174,S54,,,)</f>
        <v>Meters</v>
      </c>
      <c r="T53" s="57" t="str">
        <f ca="1">OFFSET(Medium_Press!$E174,T54,,,)</f>
        <v>SCADA and remote control</v>
      </c>
      <c r="U53" s="57" t="str">
        <f ca="1">OFFSET(Medium_Press!$E174,U54,,,)</f>
        <v>Buildings</v>
      </c>
      <c r="V53" s="57" t="str">
        <f ca="1">OFFSET(Medium_Press!$E174,V54,,,)</f>
        <v>Other - IT</v>
      </c>
      <c r="W53" s="57" t="str">
        <f ca="1">OFFSET(Medium_Press!$E174,W54,,,)</f>
        <v>Other - non IT</v>
      </c>
      <c r="X53" s="57" t="str">
        <f ca="1">OFFSET(Medium_Press!$E174,X54,,,)</f>
        <v>Land</v>
      </c>
      <c r="Y53" s="57" t="str">
        <f ca="1">OFFSET(Medium_Press!$E174,Y54,,,)</f>
        <v>Capitalised Leases</v>
      </c>
      <c r="AA53" s="139"/>
      <c r="AC53" s="57" t="str">
        <f ca="1">OFFSET(Medium_Press!$E257,AC54,,,)</f>
        <v>Mains replacement</v>
      </c>
      <c r="AD53" s="57" t="str">
        <f ca="1">OFFSET(Medium_Press!$E257,AD54,,,)</f>
        <v>Residential new customer connections</v>
      </c>
      <c r="AE53" s="57" t="str">
        <f ca="1">OFFSET(Medium_Press!$E257,AE54,,,)</f>
        <v>Commercial and industrial new customer connections</v>
      </c>
      <c r="AF53" s="57" t="str">
        <f ca="1">OFFSET(Medium_Press!$E257,AF54,,,)</f>
        <v>Residential meter replacement</v>
      </c>
      <c r="AG53" s="57" t="str">
        <f ca="1">OFFSET(Medium_Press!$E257,AG54,,,)</f>
        <v>Commercial and industrial meter replacement</v>
      </c>
      <c r="AH53" s="57" t="str">
        <f ca="1">OFFSET(Medium_Press!$E257,AH54,,,)</f>
        <v>Augmentation</v>
      </c>
      <c r="AI53" s="57" t="str">
        <f ca="1">OFFSET(Medium_Press!$E257,AI54,,,)</f>
        <v>IT capex</v>
      </c>
      <c r="AJ53" s="57" t="str">
        <f ca="1">OFFSET(Medium_Press!$E257,AJ54,,,)</f>
        <v>SCADA</v>
      </c>
      <c r="AK53" s="57" t="str">
        <f ca="1">OFFSET(Medium_Press!$E257,AK54,,,)</f>
        <v>Other</v>
      </c>
      <c r="AL53" s="57" t="str">
        <f ca="1">OFFSET(Medium_Press!$E257,AL54,,,)</f>
        <v>Capitalised Leases</v>
      </c>
      <c r="AM53" s="57" t="str">
        <f ca="1">OFFSET(Medium_Press!$E257,AM54,,,)</f>
        <v>Gas Extensions - Energy for the Regions</v>
      </c>
      <c r="AN53" s="57" t="str">
        <f ca="1">OFFSET(Medium_Press!$E257,AN54,,,)</f>
        <v>Gas Extensions - Other</v>
      </c>
      <c r="AO53" s="57" t="str">
        <f ca="1">OFFSET(Medium_Press!$E257,AO54,,,)</f>
        <v>Customer contributions</v>
      </c>
      <c r="AP53" s="73"/>
      <c r="AR53" s="57" t="str">
        <f ca="1">OFFSET(Medium_Press!$E314,AR54,,,)</f>
        <v>Mains &amp; Services</v>
      </c>
      <c r="AS53" s="57" t="str">
        <f ca="1">OFFSET(Medium_Press!$E314,AS54,,,)</f>
        <v>Meters Domestic</v>
      </c>
      <c r="AT53" s="57" t="str">
        <f ca="1">OFFSET(Medium_Press!$E314,AT54,,,)</f>
        <v>Meters Industrial &amp; Commercial</v>
      </c>
      <c r="AU53" s="57" t="str">
        <f ca="1">OFFSET(Medium_Press!$E314,AU54,,,)</f>
        <v>Buildings</v>
      </c>
      <c r="AV53" s="57" t="str">
        <f ca="1">OFFSET(Medium_Press!$E314,AV54,,,)</f>
        <v>Other Assets</v>
      </c>
      <c r="AW53" s="57" t="str">
        <f ca="1">OFFSET(Medium_Press!$E314,AW54,,,)</f>
        <v>Repairs</v>
      </c>
      <c r="AX53" s="57" t="str">
        <f ca="1">OFFSET(Medium_Press!$E314,AX54,,,)</f>
        <v>Land</v>
      </c>
    </row>
    <row r="54" spans="3:50" hidden="1" outlineLevel="2">
      <c r="L54" s="73"/>
      <c r="N54" s="68">
        <v>13</v>
      </c>
      <c r="O54" s="68">
        <v>14</v>
      </c>
      <c r="P54" s="68">
        <v>15</v>
      </c>
      <c r="Q54" s="68">
        <v>16</v>
      </c>
      <c r="R54" s="68">
        <v>5</v>
      </c>
      <c r="S54" s="68">
        <v>6</v>
      </c>
      <c r="T54" s="68">
        <v>7</v>
      </c>
      <c r="U54" s="68">
        <v>8</v>
      </c>
      <c r="V54" s="68">
        <v>9</v>
      </c>
      <c r="W54" s="68">
        <v>10</v>
      </c>
      <c r="X54" s="68">
        <v>11</v>
      </c>
      <c r="Y54" s="142">
        <v>12</v>
      </c>
      <c r="AA54" s="73"/>
      <c r="AC54" s="68">
        <v>1</v>
      </c>
      <c r="AD54" s="68">
        <v>2</v>
      </c>
      <c r="AE54" s="68">
        <v>3</v>
      </c>
      <c r="AF54" s="68">
        <v>4</v>
      </c>
      <c r="AG54" s="68">
        <v>5</v>
      </c>
      <c r="AH54" s="68">
        <v>6</v>
      </c>
      <c r="AI54" s="68">
        <v>7</v>
      </c>
      <c r="AJ54" s="68">
        <v>8</v>
      </c>
      <c r="AK54" s="68">
        <v>9</v>
      </c>
      <c r="AL54" s="67">
        <v>10</v>
      </c>
      <c r="AM54" s="67">
        <v>11</v>
      </c>
      <c r="AN54" s="136">
        <v>12</v>
      </c>
      <c r="AO54" s="67">
        <v>13</v>
      </c>
      <c r="AP54" s="73"/>
      <c r="AR54" s="68">
        <v>1</v>
      </c>
      <c r="AS54" s="68">
        <v>2</v>
      </c>
      <c r="AT54" s="68">
        <v>3</v>
      </c>
      <c r="AU54" s="68">
        <v>4</v>
      </c>
      <c r="AV54" s="68">
        <v>5</v>
      </c>
      <c r="AW54" s="68">
        <v>6</v>
      </c>
      <c r="AX54" s="138">
        <v>7</v>
      </c>
    </row>
    <row r="55" spans="3:50" ht="5.9" customHeight="1" outlineLevel="1" collapsed="1">
      <c r="L55" s="73"/>
      <c r="Y55" s="145"/>
      <c r="AA55" s="73"/>
      <c r="AP55" s="73"/>
    </row>
    <row r="56" spans="3:50" outlineLevel="1">
      <c r="D56" s="241" t="s">
        <v>411</v>
      </c>
      <c r="E56" s="241"/>
      <c r="F56" s="241"/>
      <c r="G56" s="241"/>
      <c r="I56" s="64">
        <v>0.04</v>
      </c>
      <c r="J56" s="64">
        <v>0.76</v>
      </c>
      <c r="K56" s="65">
        <f t="shared" ref="K56:K67" si="1">1-SUM(I56:J56)</f>
        <v>0.19999999999999996</v>
      </c>
      <c r="L56" s="73"/>
      <c r="N56" s="64">
        <v>0</v>
      </c>
      <c r="O56" s="64">
        <v>0.5</v>
      </c>
      <c r="P56" s="64">
        <v>0.5</v>
      </c>
      <c r="Q56" s="64">
        <v>0</v>
      </c>
      <c r="R56" s="64">
        <v>0</v>
      </c>
      <c r="S56" s="64">
        <v>0</v>
      </c>
      <c r="T56" s="64">
        <v>0</v>
      </c>
      <c r="U56" s="64">
        <v>0</v>
      </c>
      <c r="V56" s="64">
        <v>0</v>
      </c>
      <c r="W56" s="64">
        <v>0</v>
      </c>
      <c r="X56" s="64">
        <v>0</v>
      </c>
      <c r="Y56" s="64">
        <v>0</v>
      </c>
      <c r="AA56" s="73"/>
      <c r="AC56" s="64">
        <v>1</v>
      </c>
      <c r="AD56" s="64">
        <v>0</v>
      </c>
      <c r="AE56" s="64">
        <v>0</v>
      </c>
      <c r="AF56" s="64">
        <v>0</v>
      </c>
      <c r="AG56" s="64">
        <v>0</v>
      </c>
      <c r="AH56" s="64">
        <v>0</v>
      </c>
      <c r="AI56" s="64">
        <v>0</v>
      </c>
      <c r="AJ56" s="64">
        <v>0</v>
      </c>
      <c r="AK56" s="64">
        <v>0</v>
      </c>
      <c r="AL56" s="64">
        <v>0</v>
      </c>
      <c r="AM56" s="64">
        <v>0</v>
      </c>
      <c r="AN56" s="64">
        <v>0</v>
      </c>
      <c r="AO56" s="147">
        <v>0</v>
      </c>
      <c r="AP56" s="73"/>
      <c r="AR56" s="64">
        <v>1</v>
      </c>
      <c r="AS56" s="64">
        <v>0</v>
      </c>
      <c r="AT56" s="64">
        <v>0</v>
      </c>
      <c r="AU56" s="64">
        <v>0</v>
      </c>
      <c r="AV56" s="64">
        <v>0</v>
      </c>
      <c r="AW56" s="64">
        <v>0</v>
      </c>
      <c r="AX56" s="64">
        <v>0</v>
      </c>
    </row>
    <row r="57" spans="3:50" outlineLevel="1">
      <c r="D57" s="241" t="s">
        <v>412</v>
      </c>
      <c r="E57" s="241"/>
      <c r="F57" s="241"/>
      <c r="G57" s="241"/>
      <c r="I57" s="64">
        <v>0.04</v>
      </c>
      <c r="J57" s="64">
        <v>0.76</v>
      </c>
      <c r="K57" s="65">
        <f t="shared" si="1"/>
        <v>0.19999999999999996</v>
      </c>
      <c r="L57" s="73"/>
      <c r="N57" s="64">
        <v>0</v>
      </c>
      <c r="O57" s="64">
        <v>0.5</v>
      </c>
      <c r="P57" s="64">
        <v>0.5</v>
      </c>
      <c r="Q57" s="64">
        <v>0</v>
      </c>
      <c r="R57" s="64">
        <v>0</v>
      </c>
      <c r="S57" s="64">
        <v>0</v>
      </c>
      <c r="T57" s="64">
        <v>0</v>
      </c>
      <c r="U57" s="64">
        <v>0</v>
      </c>
      <c r="V57" s="64">
        <v>0</v>
      </c>
      <c r="W57" s="64">
        <v>0</v>
      </c>
      <c r="X57" s="64">
        <v>0</v>
      </c>
      <c r="Y57" s="64">
        <v>0</v>
      </c>
      <c r="AA57" s="73"/>
      <c r="AC57" s="64">
        <v>1</v>
      </c>
      <c r="AD57" s="64">
        <v>0</v>
      </c>
      <c r="AE57" s="64">
        <v>0</v>
      </c>
      <c r="AF57" s="64">
        <v>0</v>
      </c>
      <c r="AG57" s="64">
        <v>0</v>
      </c>
      <c r="AH57" s="64">
        <v>0</v>
      </c>
      <c r="AI57" s="64">
        <v>0</v>
      </c>
      <c r="AJ57" s="64">
        <v>0</v>
      </c>
      <c r="AK57" s="64">
        <v>0</v>
      </c>
      <c r="AL57" s="64">
        <v>0</v>
      </c>
      <c r="AM57" s="64">
        <v>0</v>
      </c>
      <c r="AN57" s="64">
        <v>0</v>
      </c>
      <c r="AO57" s="64">
        <v>0</v>
      </c>
      <c r="AP57" s="73"/>
      <c r="AR57" s="64">
        <v>1</v>
      </c>
      <c r="AS57" s="64">
        <v>0</v>
      </c>
      <c r="AT57" s="64">
        <v>0</v>
      </c>
      <c r="AU57" s="64">
        <v>0</v>
      </c>
      <c r="AV57" s="64">
        <v>0</v>
      </c>
      <c r="AW57" s="64">
        <v>0</v>
      </c>
      <c r="AX57" s="64">
        <v>0</v>
      </c>
    </row>
    <row r="58" spans="3:50" outlineLevel="1">
      <c r="D58" s="241" t="s">
        <v>470</v>
      </c>
      <c r="E58" s="241"/>
      <c r="F58" s="241"/>
      <c r="G58" s="241"/>
      <c r="I58" s="64">
        <v>0.04</v>
      </c>
      <c r="J58" s="64">
        <v>0.76</v>
      </c>
      <c r="K58" s="65">
        <f t="shared" si="1"/>
        <v>0.19999999999999996</v>
      </c>
      <c r="L58" s="73"/>
      <c r="N58" s="64">
        <v>0</v>
      </c>
      <c r="O58" s="64">
        <v>0.5</v>
      </c>
      <c r="P58" s="64">
        <v>0.5</v>
      </c>
      <c r="Q58" s="64">
        <v>0</v>
      </c>
      <c r="R58" s="64">
        <v>0</v>
      </c>
      <c r="S58" s="64">
        <v>0</v>
      </c>
      <c r="T58" s="64">
        <v>0</v>
      </c>
      <c r="U58" s="64">
        <v>0</v>
      </c>
      <c r="V58" s="64">
        <v>0</v>
      </c>
      <c r="W58" s="64">
        <v>0</v>
      </c>
      <c r="X58" s="64">
        <v>0</v>
      </c>
      <c r="Y58" s="64">
        <v>0</v>
      </c>
      <c r="AA58" s="73"/>
      <c r="AC58" s="64">
        <v>1</v>
      </c>
      <c r="AD58" s="64">
        <v>0</v>
      </c>
      <c r="AE58" s="64">
        <v>0</v>
      </c>
      <c r="AF58" s="64">
        <v>0</v>
      </c>
      <c r="AG58" s="64">
        <v>0</v>
      </c>
      <c r="AH58" s="64">
        <v>0</v>
      </c>
      <c r="AI58" s="64">
        <v>0</v>
      </c>
      <c r="AJ58" s="64">
        <v>0</v>
      </c>
      <c r="AK58" s="64">
        <v>0</v>
      </c>
      <c r="AL58" s="64">
        <v>0</v>
      </c>
      <c r="AM58" s="64">
        <v>0</v>
      </c>
      <c r="AN58" s="64">
        <v>0</v>
      </c>
      <c r="AO58" s="64">
        <v>0</v>
      </c>
      <c r="AP58" s="73"/>
      <c r="AR58" s="64">
        <v>1</v>
      </c>
      <c r="AS58" s="64">
        <v>0</v>
      </c>
      <c r="AT58" s="64">
        <v>0</v>
      </c>
      <c r="AU58" s="64">
        <v>0</v>
      </c>
      <c r="AV58" s="64">
        <v>0</v>
      </c>
      <c r="AW58" s="64">
        <v>0</v>
      </c>
      <c r="AX58" s="64">
        <v>0</v>
      </c>
    </row>
    <row r="59" spans="3:50" outlineLevel="1">
      <c r="D59" s="241" t="s">
        <v>413</v>
      </c>
      <c r="E59" s="241"/>
      <c r="F59" s="241"/>
      <c r="G59" s="241"/>
      <c r="I59" s="64">
        <v>0.04</v>
      </c>
      <c r="J59" s="64">
        <v>0.76</v>
      </c>
      <c r="K59" s="65">
        <f t="shared" si="1"/>
        <v>0.19999999999999996</v>
      </c>
      <c r="L59" s="73"/>
      <c r="N59" s="64">
        <v>0</v>
      </c>
      <c r="O59" s="64">
        <v>0.5</v>
      </c>
      <c r="P59" s="64">
        <v>0.5</v>
      </c>
      <c r="Q59" s="64">
        <v>0</v>
      </c>
      <c r="R59" s="64">
        <v>0</v>
      </c>
      <c r="S59" s="64">
        <v>0</v>
      </c>
      <c r="T59" s="64">
        <v>0</v>
      </c>
      <c r="U59" s="64">
        <v>0</v>
      </c>
      <c r="V59" s="64">
        <v>0</v>
      </c>
      <c r="W59" s="64">
        <v>0</v>
      </c>
      <c r="X59" s="64">
        <v>0</v>
      </c>
      <c r="Y59" s="64">
        <v>0</v>
      </c>
      <c r="AA59" s="73"/>
      <c r="AC59" s="64">
        <v>1</v>
      </c>
      <c r="AD59" s="64">
        <v>0</v>
      </c>
      <c r="AE59" s="64">
        <v>0</v>
      </c>
      <c r="AF59" s="64">
        <v>0</v>
      </c>
      <c r="AG59" s="64">
        <v>0</v>
      </c>
      <c r="AH59" s="64">
        <v>0</v>
      </c>
      <c r="AI59" s="64">
        <v>0</v>
      </c>
      <c r="AJ59" s="64">
        <v>0</v>
      </c>
      <c r="AK59" s="64">
        <v>0</v>
      </c>
      <c r="AL59" s="64">
        <v>0</v>
      </c>
      <c r="AM59" s="64">
        <v>0</v>
      </c>
      <c r="AN59" s="64">
        <v>0</v>
      </c>
      <c r="AO59" s="64">
        <v>0</v>
      </c>
      <c r="AP59" s="73"/>
      <c r="AR59" s="64">
        <v>1</v>
      </c>
      <c r="AS59" s="64">
        <v>0</v>
      </c>
      <c r="AT59" s="64">
        <v>0</v>
      </c>
      <c r="AU59" s="64">
        <v>0</v>
      </c>
      <c r="AV59" s="64">
        <v>0</v>
      </c>
      <c r="AW59" s="64">
        <v>0</v>
      </c>
      <c r="AX59" s="64">
        <v>0</v>
      </c>
    </row>
    <row r="60" spans="3:50" outlineLevel="1">
      <c r="D60" s="241" t="s">
        <v>414</v>
      </c>
      <c r="E60" s="241"/>
      <c r="F60" s="241"/>
      <c r="G60" s="241"/>
      <c r="I60" s="64">
        <v>0.04</v>
      </c>
      <c r="J60" s="64">
        <v>0.76</v>
      </c>
      <c r="K60" s="65">
        <f t="shared" si="1"/>
        <v>0.19999999999999996</v>
      </c>
      <c r="L60" s="73"/>
      <c r="N60" s="64">
        <v>0</v>
      </c>
      <c r="O60" s="64">
        <v>0.5</v>
      </c>
      <c r="P60" s="64">
        <v>0.5</v>
      </c>
      <c r="Q60" s="64">
        <v>0</v>
      </c>
      <c r="R60" s="64">
        <v>0</v>
      </c>
      <c r="S60" s="64">
        <v>0</v>
      </c>
      <c r="T60" s="64">
        <v>0</v>
      </c>
      <c r="U60" s="64">
        <v>0</v>
      </c>
      <c r="V60" s="64">
        <v>0</v>
      </c>
      <c r="W60" s="64">
        <v>0</v>
      </c>
      <c r="X60" s="64">
        <v>0</v>
      </c>
      <c r="Y60" s="64">
        <v>0</v>
      </c>
      <c r="AA60" s="73"/>
      <c r="AC60" s="64">
        <v>1</v>
      </c>
      <c r="AD60" s="64">
        <v>0</v>
      </c>
      <c r="AE60" s="64">
        <v>0</v>
      </c>
      <c r="AF60" s="64">
        <v>0</v>
      </c>
      <c r="AG60" s="64">
        <v>0</v>
      </c>
      <c r="AH60" s="64">
        <v>0</v>
      </c>
      <c r="AI60" s="64">
        <v>0</v>
      </c>
      <c r="AJ60" s="64">
        <v>0</v>
      </c>
      <c r="AK60" s="64">
        <v>0</v>
      </c>
      <c r="AL60" s="64">
        <v>0</v>
      </c>
      <c r="AM60" s="64">
        <v>0</v>
      </c>
      <c r="AN60" s="64">
        <v>0</v>
      </c>
      <c r="AO60" s="64">
        <v>0</v>
      </c>
      <c r="AP60" s="73"/>
      <c r="AR60" s="64">
        <v>1</v>
      </c>
      <c r="AS60" s="64">
        <v>0</v>
      </c>
      <c r="AT60" s="64">
        <v>0</v>
      </c>
      <c r="AU60" s="64">
        <v>0</v>
      </c>
      <c r="AV60" s="64">
        <v>0</v>
      </c>
      <c r="AW60" s="64">
        <v>0</v>
      </c>
      <c r="AX60" s="64">
        <v>0</v>
      </c>
    </row>
    <row r="61" spans="3:50" outlineLevel="1">
      <c r="D61" s="241" t="s">
        <v>415</v>
      </c>
      <c r="E61" s="241"/>
      <c r="F61" s="241"/>
      <c r="G61" s="241"/>
      <c r="I61" s="64">
        <v>0.04</v>
      </c>
      <c r="J61" s="64">
        <v>0.76</v>
      </c>
      <c r="K61" s="65">
        <f t="shared" si="1"/>
        <v>0.19999999999999996</v>
      </c>
      <c r="L61" s="73"/>
      <c r="N61" s="64">
        <v>0</v>
      </c>
      <c r="O61" s="64">
        <v>0.5</v>
      </c>
      <c r="P61" s="64">
        <v>0.5</v>
      </c>
      <c r="Q61" s="64">
        <v>0</v>
      </c>
      <c r="R61" s="64">
        <v>0</v>
      </c>
      <c r="S61" s="64">
        <v>0</v>
      </c>
      <c r="T61" s="64">
        <v>0</v>
      </c>
      <c r="U61" s="64">
        <v>0</v>
      </c>
      <c r="V61" s="64">
        <v>0</v>
      </c>
      <c r="W61" s="64">
        <v>0</v>
      </c>
      <c r="X61" s="64">
        <v>0</v>
      </c>
      <c r="Y61" s="64">
        <v>0</v>
      </c>
      <c r="AA61" s="73"/>
      <c r="AC61" s="64">
        <v>1</v>
      </c>
      <c r="AD61" s="64">
        <v>0</v>
      </c>
      <c r="AE61" s="64">
        <v>0</v>
      </c>
      <c r="AF61" s="64">
        <v>0</v>
      </c>
      <c r="AG61" s="64">
        <v>0</v>
      </c>
      <c r="AH61" s="64">
        <v>0</v>
      </c>
      <c r="AI61" s="64">
        <v>0</v>
      </c>
      <c r="AJ61" s="64">
        <v>0</v>
      </c>
      <c r="AK61" s="64">
        <v>0</v>
      </c>
      <c r="AL61" s="64">
        <v>0</v>
      </c>
      <c r="AM61" s="64">
        <v>0</v>
      </c>
      <c r="AN61" s="64">
        <v>0</v>
      </c>
      <c r="AO61" s="64">
        <v>0</v>
      </c>
      <c r="AP61" s="73"/>
      <c r="AR61" s="64">
        <v>1</v>
      </c>
      <c r="AS61" s="64">
        <v>0</v>
      </c>
      <c r="AT61" s="64">
        <v>0</v>
      </c>
      <c r="AU61" s="64">
        <v>0</v>
      </c>
      <c r="AV61" s="64">
        <v>0</v>
      </c>
      <c r="AW61" s="64">
        <v>0</v>
      </c>
      <c r="AX61" s="64">
        <v>0</v>
      </c>
    </row>
    <row r="62" spans="3:50" outlineLevel="1">
      <c r="D62" s="241" t="s">
        <v>416</v>
      </c>
      <c r="E62" s="241"/>
      <c r="F62" s="241"/>
      <c r="G62" s="241"/>
      <c r="I62" s="64">
        <v>0.04</v>
      </c>
      <c r="J62" s="64">
        <v>0.76</v>
      </c>
      <c r="K62" s="65">
        <f t="shared" si="1"/>
        <v>0.19999999999999996</v>
      </c>
      <c r="L62" s="73"/>
      <c r="N62" s="64">
        <v>0</v>
      </c>
      <c r="O62" s="64">
        <v>0.5</v>
      </c>
      <c r="P62" s="64">
        <v>0.5</v>
      </c>
      <c r="Q62" s="64">
        <v>0</v>
      </c>
      <c r="R62" s="64">
        <v>0</v>
      </c>
      <c r="S62" s="64">
        <v>0</v>
      </c>
      <c r="T62" s="64">
        <v>0</v>
      </c>
      <c r="U62" s="64">
        <v>0</v>
      </c>
      <c r="V62" s="64">
        <v>0</v>
      </c>
      <c r="W62" s="64">
        <v>0</v>
      </c>
      <c r="X62" s="64">
        <v>0</v>
      </c>
      <c r="Y62" s="64">
        <v>0</v>
      </c>
      <c r="AA62" s="73"/>
      <c r="AC62" s="64">
        <v>1</v>
      </c>
      <c r="AD62" s="64">
        <v>0</v>
      </c>
      <c r="AE62" s="64">
        <v>0</v>
      </c>
      <c r="AF62" s="64">
        <v>0</v>
      </c>
      <c r="AG62" s="64">
        <v>0</v>
      </c>
      <c r="AH62" s="64">
        <v>0</v>
      </c>
      <c r="AI62" s="64">
        <v>0</v>
      </c>
      <c r="AJ62" s="64">
        <v>0</v>
      </c>
      <c r="AK62" s="64">
        <v>0</v>
      </c>
      <c r="AL62" s="64">
        <v>0</v>
      </c>
      <c r="AM62" s="64">
        <v>0</v>
      </c>
      <c r="AN62" s="64">
        <v>0</v>
      </c>
      <c r="AO62" s="64">
        <v>0</v>
      </c>
      <c r="AP62" s="73"/>
      <c r="AR62" s="64">
        <v>1</v>
      </c>
      <c r="AS62" s="64">
        <v>0</v>
      </c>
      <c r="AT62" s="64">
        <v>0</v>
      </c>
      <c r="AU62" s="64">
        <v>0</v>
      </c>
      <c r="AV62" s="64">
        <v>0</v>
      </c>
      <c r="AW62" s="64">
        <v>0</v>
      </c>
      <c r="AX62" s="64">
        <v>0</v>
      </c>
    </row>
    <row r="63" spans="3:50" outlineLevel="1">
      <c r="D63" s="241" t="s">
        <v>417</v>
      </c>
      <c r="E63" s="241"/>
      <c r="F63" s="241"/>
      <c r="G63" s="241"/>
      <c r="I63" s="64">
        <v>0.04</v>
      </c>
      <c r="J63" s="64">
        <v>0.76</v>
      </c>
      <c r="K63" s="65">
        <f t="shared" si="1"/>
        <v>0.19999999999999996</v>
      </c>
      <c r="L63" s="73"/>
      <c r="N63" s="64">
        <v>0</v>
      </c>
      <c r="O63" s="64">
        <v>0.5</v>
      </c>
      <c r="P63" s="64">
        <v>0.5</v>
      </c>
      <c r="Q63" s="64">
        <v>0</v>
      </c>
      <c r="R63" s="64">
        <v>0</v>
      </c>
      <c r="S63" s="64">
        <v>0</v>
      </c>
      <c r="T63" s="64">
        <v>0</v>
      </c>
      <c r="U63" s="64">
        <v>0</v>
      </c>
      <c r="V63" s="64">
        <v>0</v>
      </c>
      <c r="W63" s="64">
        <v>0</v>
      </c>
      <c r="X63" s="64">
        <v>0</v>
      </c>
      <c r="Y63" s="64">
        <v>0</v>
      </c>
      <c r="AA63" s="73"/>
      <c r="AC63" s="64">
        <v>1</v>
      </c>
      <c r="AD63" s="64">
        <v>0</v>
      </c>
      <c r="AE63" s="64">
        <v>0</v>
      </c>
      <c r="AF63" s="64">
        <v>0</v>
      </c>
      <c r="AG63" s="64">
        <v>0</v>
      </c>
      <c r="AH63" s="64">
        <v>0</v>
      </c>
      <c r="AI63" s="64">
        <v>0</v>
      </c>
      <c r="AJ63" s="64">
        <v>0</v>
      </c>
      <c r="AK63" s="64">
        <v>0</v>
      </c>
      <c r="AL63" s="64">
        <v>0</v>
      </c>
      <c r="AM63" s="64">
        <v>0</v>
      </c>
      <c r="AN63" s="64">
        <v>0</v>
      </c>
      <c r="AO63" s="64">
        <v>0</v>
      </c>
      <c r="AP63" s="73"/>
      <c r="AR63" s="64">
        <v>1</v>
      </c>
      <c r="AS63" s="64">
        <v>0</v>
      </c>
      <c r="AT63" s="64">
        <v>0</v>
      </c>
      <c r="AU63" s="64">
        <v>0</v>
      </c>
      <c r="AV63" s="64">
        <v>0</v>
      </c>
      <c r="AW63" s="64">
        <v>0</v>
      </c>
      <c r="AX63" s="64">
        <v>0</v>
      </c>
    </row>
    <row r="64" spans="3:50" outlineLevel="1">
      <c r="D64" s="241" t="s">
        <v>418</v>
      </c>
      <c r="E64" s="241"/>
      <c r="F64" s="241"/>
      <c r="G64" s="241"/>
      <c r="I64" s="64">
        <v>0.04</v>
      </c>
      <c r="J64" s="64">
        <v>0.76</v>
      </c>
      <c r="K64" s="65">
        <f t="shared" si="1"/>
        <v>0.19999999999999996</v>
      </c>
      <c r="L64" s="73"/>
      <c r="N64" s="64">
        <v>0</v>
      </c>
      <c r="O64" s="64">
        <v>0.5</v>
      </c>
      <c r="P64" s="64">
        <v>0.5</v>
      </c>
      <c r="Q64" s="64">
        <v>0</v>
      </c>
      <c r="R64" s="64">
        <v>0</v>
      </c>
      <c r="S64" s="64">
        <v>0</v>
      </c>
      <c r="T64" s="64">
        <v>0</v>
      </c>
      <c r="U64" s="64">
        <v>0</v>
      </c>
      <c r="V64" s="64">
        <v>0</v>
      </c>
      <c r="W64" s="64">
        <v>0</v>
      </c>
      <c r="X64" s="64">
        <v>0</v>
      </c>
      <c r="Y64" s="64">
        <v>0</v>
      </c>
      <c r="AA64" s="73"/>
      <c r="AC64" s="64">
        <v>1</v>
      </c>
      <c r="AD64" s="64">
        <v>0</v>
      </c>
      <c r="AE64" s="64">
        <v>0</v>
      </c>
      <c r="AF64" s="64">
        <v>0</v>
      </c>
      <c r="AG64" s="64">
        <v>0</v>
      </c>
      <c r="AH64" s="64">
        <v>0</v>
      </c>
      <c r="AI64" s="64">
        <v>0</v>
      </c>
      <c r="AJ64" s="64">
        <v>0</v>
      </c>
      <c r="AK64" s="64">
        <v>0</v>
      </c>
      <c r="AL64" s="64">
        <v>0</v>
      </c>
      <c r="AM64" s="64">
        <v>0</v>
      </c>
      <c r="AN64" s="64">
        <v>0</v>
      </c>
      <c r="AO64" s="64">
        <v>0</v>
      </c>
      <c r="AP64" s="73"/>
      <c r="AR64" s="64">
        <v>1</v>
      </c>
      <c r="AS64" s="64">
        <v>0</v>
      </c>
      <c r="AT64" s="64">
        <v>0</v>
      </c>
      <c r="AU64" s="64">
        <v>0</v>
      </c>
      <c r="AV64" s="64">
        <v>0</v>
      </c>
      <c r="AW64" s="64">
        <v>0</v>
      </c>
      <c r="AX64" s="64">
        <v>0</v>
      </c>
    </row>
    <row r="65" spans="1:50" outlineLevel="1">
      <c r="D65" s="241" t="s">
        <v>419</v>
      </c>
      <c r="E65" s="241"/>
      <c r="F65" s="241"/>
      <c r="G65" s="241"/>
      <c r="I65" s="64">
        <v>0.04</v>
      </c>
      <c r="J65" s="64">
        <v>0.76</v>
      </c>
      <c r="K65" s="65">
        <f t="shared" si="1"/>
        <v>0.19999999999999996</v>
      </c>
      <c r="L65" s="73"/>
      <c r="N65" s="64">
        <v>0</v>
      </c>
      <c r="O65" s="64">
        <v>0.5</v>
      </c>
      <c r="P65" s="64">
        <v>0.5</v>
      </c>
      <c r="Q65" s="64">
        <v>0</v>
      </c>
      <c r="R65" s="64">
        <v>0</v>
      </c>
      <c r="S65" s="64">
        <v>0</v>
      </c>
      <c r="T65" s="64">
        <v>0</v>
      </c>
      <c r="U65" s="64">
        <v>0</v>
      </c>
      <c r="V65" s="64">
        <v>0</v>
      </c>
      <c r="W65" s="64">
        <v>0</v>
      </c>
      <c r="X65" s="64">
        <v>0</v>
      </c>
      <c r="Y65" s="64">
        <v>0</v>
      </c>
      <c r="AA65" s="73"/>
      <c r="AC65" s="64">
        <v>1</v>
      </c>
      <c r="AD65" s="64">
        <v>0</v>
      </c>
      <c r="AE65" s="64">
        <v>0</v>
      </c>
      <c r="AF65" s="64">
        <v>0</v>
      </c>
      <c r="AG65" s="64">
        <v>0</v>
      </c>
      <c r="AH65" s="64">
        <v>0</v>
      </c>
      <c r="AI65" s="64">
        <v>0</v>
      </c>
      <c r="AJ65" s="64">
        <v>0</v>
      </c>
      <c r="AK65" s="64">
        <v>0</v>
      </c>
      <c r="AL65" s="64">
        <v>0</v>
      </c>
      <c r="AM65" s="64">
        <v>0</v>
      </c>
      <c r="AN65" s="64">
        <v>0</v>
      </c>
      <c r="AO65" s="64">
        <v>0</v>
      </c>
      <c r="AP65" s="73"/>
      <c r="AR65" s="64">
        <v>1</v>
      </c>
      <c r="AS65" s="64">
        <v>0</v>
      </c>
      <c r="AT65" s="64">
        <v>0</v>
      </c>
      <c r="AU65" s="64">
        <v>0</v>
      </c>
      <c r="AV65" s="64">
        <v>0</v>
      </c>
      <c r="AW65" s="64">
        <v>0</v>
      </c>
      <c r="AX65" s="64">
        <v>0</v>
      </c>
    </row>
    <row r="66" spans="1:50" outlineLevel="1">
      <c r="D66" s="241" t="s">
        <v>420</v>
      </c>
      <c r="E66" s="241"/>
      <c r="F66" s="241"/>
      <c r="G66" s="241"/>
      <c r="I66" s="64">
        <v>0.04</v>
      </c>
      <c r="J66" s="64">
        <v>0.76</v>
      </c>
      <c r="K66" s="65">
        <f t="shared" si="1"/>
        <v>0.19999999999999996</v>
      </c>
      <c r="L66" s="73"/>
      <c r="N66" s="64">
        <v>0</v>
      </c>
      <c r="O66" s="64">
        <v>0.5</v>
      </c>
      <c r="P66" s="64">
        <v>0.5</v>
      </c>
      <c r="Q66" s="64">
        <v>0</v>
      </c>
      <c r="R66" s="64">
        <v>0</v>
      </c>
      <c r="S66" s="64">
        <v>0</v>
      </c>
      <c r="T66" s="64">
        <v>0</v>
      </c>
      <c r="U66" s="64">
        <v>0</v>
      </c>
      <c r="V66" s="64">
        <v>0</v>
      </c>
      <c r="W66" s="64">
        <v>0</v>
      </c>
      <c r="X66" s="64">
        <v>0</v>
      </c>
      <c r="Y66" s="64">
        <v>0</v>
      </c>
      <c r="AA66" s="73"/>
      <c r="AC66" s="64">
        <v>1</v>
      </c>
      <c r="AD66" s="64">
        <v>0</v>
      </c>
      <c r="AE66" s="64">
        <v>0</v>
      </c>
      <c r="AF66" s="64">
        <v>0</v>
      </c>
      <c r="AG66" s="64">
        <v>0</v>
      </c>
      <c r="AH66" s="64">
        <v>0</v>
      </c>
      <c r="AI66" s="64">
        <v>0</v>
      </c>
      <c r="AJ66" s="64">
        <v>0</v>
      </c>
      <c r="AK66" s="64">
        <v>0</v>
      </c>
      <c r="AL66" s="64">
        <v>0</v>
      </c>
      <c r="AM66" s="64">
        <v>0</v>
      </c>
      <c r="AN66" s="64">
        <v>0</v>
      </c>
      <c r="AO66" s="64">
        <v>0</v>
      </c>
      <c r="AP66" s="73"/>
      <c r="AR66" s="64">
        <v>1</v>
      </c>
      <c r="AS66" s="64">
        <v>0</v>
      </c>
      <c r="AT66" s="64">
        <v>0</v>
      </c>
      <c r="AU66" s="64">
        <v>0</v>
      </c>
      <c r="AV66" s="64">
        <v>0</v>
      </c>
      <c r="AW66" s="64">
        <v>0</v>
      </c>
      <c r="AX66" s="64">
        <v>0</v>
      </c>
    </row>
    <row r="67" spans="1:50" outlineLevel="1">
      <c r="D67" s="241" t="s">
        <v>397</v>
      </c>
      <c r="E67" s="241"/>
      <c r="F67" s="241"/>
      <c r="G67" s="241"/>
      <c r="I67" s="64">
        <v>0.04</v>
      </c>
      <c r="J67" s="64">
        <v>0.76</v>
      </c>
      <c r="K67" s="65">
        <f t="shared" si="1"/>
        <v>0.19999999999999996</v>
      </c>
      <c r="L67" s="73"/>
      <c r="N67" s="64">
        <v>0</v>
      </c>
      <c r="O67" s="64">
        <v>0.5</v>
      </c>
      <c r="P67" s="64">
        <v>0.5</v>
      </c>
      <c r="Q67" s="64">
        <v>0</v>
      </c>
      <c r="R67" s="64">
        <v>0</v>
      </c>
      <c r="S67" s="64">
        <v>0</v>
      </c>
      <c r="T67" s="64">
        <v>0</v>
      </c>
      <c r="U67" s="64">
        <v>0</v>
      </c>
      <c r="V67" s="64">
        <v>0</v>
      </c>
      <c r="W67" s="64">
        <v>0</v>
      </c>
      <c r="X67" s="64">
        <v>0</v>
      </c>
      <c r="Y67" s="64">
        <v>0</v>
      </c>
      <c r="AA67" s="73"/>
      <c r="AC67" s="64">
        <v>1</v>
      </c>
      <c r="AD67" s="64">
        <v>0</v>
      </c>
      <c r="AE67" s="64">
        <v>0</v>
      </c>
      <c r="AF67" s="64">
        <v>0</v>
      </c>
      <c r="AG67" s="64">
        <v>0</v>
      </c>
      <c r="AH67" s="64">
        <v>0</v>
      </c>
      <c r="AI67" s="64">
        <v>0</v>
      </c>
      <c r="AJ67" s="64">
        <v>0</v>
      </c>
      <c r="AK67" s="64">
        <v>0</v>
      </c>
      <c r="AL67" s="64">
        <v>0</v>
      </c>
      <c r="AM67" s="64">
        <v>0</v>
      </c>
      <c r="AN67" s="64">
        <v>0</v>
      </c>
      <c r="AO67" s="147">
        <v>0</v>
      </c>
      <c r="AP67" s="73"/>
      <c r="AR67" s="64">
        <v>1</v>
      </c>
      <c r="AS67" s="64">
        <v>0</v>
      </c>
      <c r="AT67" s="64">
        <v>0</v>
      </c>
      <c r="AU67" s="64">
        <v>0</v>
      </c>
      <c r="AV67" s="64">
        <v>0</v>
      </c>
      <c r="AW67" s="64">
        <v>0</v>
      </c>
      <c r="AX67" s="64">
        <v>0</v>
      </c>
    </row>
    <row r="68" spans="1:50" outlineLevel="1">
      <c r="L68" s="73"/>
      <c r="AA68" s="73"/>
      <c r="AC68" s="105" t="s">
        <v>458</v>
      </c>
      <c r="AP68" s="73"/>
    </row>
    <row r="69" spans="1:50" outlineLevel="1">
      <c r="C69" s="37" t="s">
        <v>367</v>
      </c>
      <c r="L69" s="73"/>
      <c r="AA69" s="73"/>
      <c r="AP69" s="73"/>
    </row>
    <row r="70" spans="1:50" ht="5.9" customHeight="1" outlineLevel="1">
      <c r="L70" s="73"/>
      <c r="AA70" s="73"/>
      <c r="AP70" s="73"/>
    </row>
    <row r="71" spans="1:50" outlineLevel="1">
      <c r="D71" s="241" t="s">
        <v>368</v>
      </c>
      <c r="E71" s="241"/>
      <c r="F71" s="241"/>
      <c r="G71" s="241"/>
      <c r="L71" s="73"/>
      <c r="N71" s="64">
        <v>0</v>
      </c>
      <c r="O71" s="64">
        <v>0</v>
      </c>
      <c r="P71" s="64">
        <v>0</v>
      </c>
      <c r="Q71" s="64">
        <v>0</v>
      </c>
      <c r="R71" s="64">
        <v>0</v>
      </c>
      <c r="S71" s="64">
        <v>0</v>
      </c>
      <c r="T71" s="64">
        <v>0</v>
      </c>
      <c r="U71" s="64">
        <v>0</v>
      </c>
      <c r="V71" s="64">
        <v>0</v>
      </c>
      <c r="W71" s="64">
        <v>0</v>
      </c>
      <c r="X71" s="64">
        <v>0</v>
      </c>
      <c r="Y71" s="64">
        <v>0</v>
      </c>
      <c r="AA71" s="73"/>
      <c r="AC71" s="64">
        <v>0</v>
      </c>
      <c r="AD71" s="64">
        <v>0</v>
      </c>
      <c r="AE71" s="64">
        <v>0</v>
      </c>
      <c r="AF71" s="64">
        <v>0</v>
      </c>
      <c r="AG71" s="64">
        <v>0</v>
      </c>
      <c r="AH71" s="64">
        <v>0</v>
      </c>
      <c r="AI71" s="64">
        <v>0</v>
      </c>
      <c r="AJ71" s="64">
        <v>0</v>
      </c>
      <c r="AK71" s="64">
        <v>0</v>
      </c>
      <c r="AL71" s="64">
        <v>0</v>
      </c>
      <c r="AM71" s="64">
        <v>0</v>
      </c>
      <c r="AN71" s="64">
        <v>0</v>
      </c>
      <c r="AO71" s="147">
        <v>0</v>
      </c>
      <c r="AP71" s="73"/>
      <c r="AR71" s="64">
        <v>0</v>
      </c>
      <c r="AS71" s="64">
        <v>0</v>
      </c>
      <c r="AT71" s="64">
        <v>0</v>
      </c>
      <c r="AU71" s="64">
        <v>0</v>
      </c>
      <c r="AV71" s="64">
        <v>0</v>
      </c>
      <c r="AW71" s="64">
        <v>0</v>
      </c>
      <c r="AX71" s="64">
        <v>0</v>
      </c>
    </row>
    <row r="73" spans="1:50" s="2" customFormat="1">
      <c r="A73"/>
      <c r="B73" s="2" t="s">
        <v>231</v>
      </c>
    </row>
    <row r="74" spans="1:50" ht="5.9" customHeight="1"/>
    <row r="75" spans="1:50" ht="14">
      <c r="C75" s="77" t="str">
        <f>AdHoc!B300</f>
        <v>Medium Pressure Replacement - Ad Hoc</v>
      </c>
      <c r="I75" s="37" t="str">
        <f>GC!H11</f>
        <v>Network</v>
      </c>
    </row>
    <row r="76" spans="1:50" ht="5.9" customHeight="1" outlineLevel="1"/>
    <row r="77" spans="1:50" outlineLevel="1">
      <c r="I77" s="242" t="s">
        <v>194</v>
      </c>
      <c r="J77" s="242"/>
      <c r="K77" s="242"/>
      <c r="L77" s="73"/>
      <c r="N77" s="242" t="s">
        <v>195</v>
      </c>
      <c r="O77" s="242"/>
      <c r="P77" s="242"/>
      <c r="Q77" s="242"/>
      <c r="R77" s="242"/>
      <c r="S77" s="242"/>
      <c r="T77" s="242"/>
      <c r="U77" s="242"/>
      <c r="V77" s="242"/>
      <c r="W77" s="242"/>
      <c r="X77" s="242"/>
      <c r="Y77" s="242"/>
      <c r="Z77" s="242"/>
      <c r="AA77" s="73"/>
      <c r="AC77" s="245" t="s">
        <v>196</v>
      </c>
      <c r="AD77" s="245"/>
      <c r="AE77" s="245"/>
      <c r="AF77" s="245"/>
      <c r="AG77" s="245"/>
      <c r="AH77" s="245"/>
      <c r="AI77" s="245"/>
      <c r="AJ77" s="245"/>
      <c r="AK77" s="245"/>
      <c r="AL77" s="245"/>
      <c r="AM77" s="245"/>
      <c r="AN77" s="245"/>
      <c r="AO77" s="245"/>
      <c r="AP77" s="73"/>
      <c r="AR77" s="242" t="s">
        <v>311</v>
      </c>
      <c r="AS77" s="242"/>
      <c r="AT77" s="242"/>
      <c r="AU77" s="242"/>
      <c r="AV77" s="242"/>
      <c r="AW77" s="242"/>
      <c r="AX77" s="242"/>
    </row>
    <row r="78" spans="1:50" ht="46" outlineLevel="1">
      <c r="D78" s="37" t="s">
        <v>160</v>
      </c>
      <c r="I78" s="57" t="s">
        <v>128</v>
      </c>
      <c r="J78" s="57" t="s">
        <v>129</v>
      </c>
      <c r="K78" s="57" t="s">
        <v>130</v>
      </c>
      <c r="L78" s="73"/>
      <c r="N78" s="57" t="str">
        <f ca="1">OFFSET(AdHoc!$E400,N79,,,)</f>
        <v>Transmission pipelines - post 1998</v>
      </c>
      <c r="O78" s="57" t="str">
        <f ca="1">OFFSET(AdHoc!$E400,O79,,,)</f>
        <v>Distribution pipelines - post 1998</v>
      </c>
      <c r="P78" s="57" t="str">
        <f ca="1">OFFSET(AdHoc!$E400,P79,,,)</f>
        <v>Service pipes - post 1998</v>
      </c>
      <c r="Q78" s="57" t="str">
        <f ca="1">OFFSET(AdHoc!$E400,Q79,,,)</f>
        <v>Cathodic protection - post 1998</v>
      </c>
      <c r="R78" s="57" t="str">
        <f ca="1">OFFSET(AdHoc!$E400,R79,,,)</f>
        <v>Supply Regulators / Valve Stations</v>
      </c>
      <c r="S78" s="57" t="str">
        <f ca="1">OFFSET(AdHoc!$E400,S79,,,)</f>
        <v>Meters</v>
      </c>
      <c r="T78" s="57" t="str">
        <f ca="1">OFFSET(AdHoc!$E400,T79,,,)</f>
        <v>SCADA and remote control</v>
      </c>
      <c r="U78" s="57" t="str">
        <f ca="1">OFFSET(AdHoc!$E400,U79,,,)</f>
        <v>Buildings</v>
      </c>
      <c r="V78" s="57" t="str">
        <f ca="1">OFFSET(AdHoc!$E400,V79,,,)</f>
        <v>Other - IT</v>
      </c>
      <c r="W78" s="57" t="str">
        <f ca="1">OFFSET(AdHoc!$E400,W79,,,)</f>
        <v>Other - non IT</v>
      </c>
      <c r="X78" s="57" t="str">
        <f ca="1">OFFSET(AdHoc!$E400,X79,,,)</f>
        <v>Land</v>
      </c>
      <c r="Y78" s="57" t="str">
        <f ca="1">OFFSET(AdHoc!$E400,Y79,,,)</f>
        <v>Capitalised Leases</v>
      </c>
      <c r="AA78" s="139"/>
      <c r="AC78" s="57" t="str">
        <f ca="1">OFFSET(AdHoc!$E483,AC79,,,)</f>
        <v>Mains replacement</v>
      </c>
      <c r="AD78" s="57" t="str">
        <f ca="1">OFFSET(AdHoc!$E483,AD79,,,)</f>
        <v>Residential new customer connections</v>
      </c>
      <c r="AE78" s="57" t="str">
        <f ca="1">OFFSET(AdHoc!$E483,AE79,,,)</f>
        <v>Commercial and industrial new customer connections</v>
      </c>
      <c r="AF78" s="57" t="str">
        <f ca="1">OFFSET(AdHoc!$E483,AF79,,,)</f>
        <v>Residential meter replacement</v>
      </c>
      <c r="AG78" s="57" t="str">
        <f ca="1">OFFSET(AdHoc!$E483,AG79,,,)</f>
        <v>Commercial and industrial meter replacement</v>
      </c>
      <c r="AH78" s="57" t="str">
        <f ca="1">OFFSET(AdHoc!$E483,AH79,,,)</f>
        <v>Augmentation</v>
      </c>
      <c r="AI78" s="57" t="str">
        <f ca="1">OFFSET(AdHoc!$E483,AI79,,,)</f>
        <v>IT capex</v>
      </c>
      <c r="AJ78" s="57" t="str">
        <f ca="1">OFFSET(AdHoc!$E483,AJ79,,,)</f>
        <v>SCADA</v>
      </c>
      <c r="AK78" s="57" t="str">
        <f ca="1">OFFSET(AdHoc!$E483,AK79,,,)</f>
        <v>Other</v>
      </c>
      <c r="AL78" s="57" t="str">
        <f ca="1">OFFSET(AdHoc!$E483,AL79,,,)</f>
        <v>Capitalised Leases</v>
      </c>
      <c r="AM78" s="57" t="str">
        <f ca="1">OFFSET(AdHoc!$E483,AM79,,,)</f>
        <v>Gas Extensions - Energy for the Regions</v>
      </c>
      <c r="AN78" s="57" t="str">
        <f ca="1">OFFSET(AdHoc!$E483,AN79,,,)</f>
        <v>Gas Extensions - Other</v>
      </c>
      <c r="AO78" s="57" t="str">
        <f ca="1">OFFSET(AdHoc!$E483,AO79,,,)</f>
        <v>Customer contributions</v>
      </c>
      <c r="AP78" s="73"/>
      <c r="AR78" s="57" t="str">
        <f ca="1">OFFSET(AdHoc!$E540,AR79,,,)</f>
        <v>Mains &amp; Services</v>
      </c>
      <c r="AS78" s="57" t="str">
        <f ca="1">OFFSET(AdHoc!$E540,AS79,,,)</f>
        <v>Meters Domestic</v>
      </c>
      <c r="AT78" s="57" t="str">
        <f ca="1">OFFSET(AdHoc!$E540,AT79,,,)</f>
        <v>Meters Industrial &amp; Commercial</v>
      </c>
      <c r="AU78" s="57" t="str">
        <f ca="1">OFFSET(AdHoc!$E540,AU79,,,)</f>
        <v>Buildings</v>
      </c>
      <c r="AV78" s="57" t="str">
        <f ca="1">OFFSET(AdHoc!$E540,AV79,,,)</f>
        <v>Other Assets</v>
      </c>
      <c r="AW78" s="57" t="str">
        <f ca="1">OFFSET(AdHoc!$E540,AW79,,,)</f>
        <v>Repairs</v>
      </c>
      <c r="AX78" s="57" t="str">
        <f ca="1">OFFSET(AdHoc!$E540,AX79,,,)</f>
        <v>Land</v>
      </c>
    </row>
    <row r="79" spans="1:50" hidden="1" outlineLevel="2">
      <c r="L79" s="73"/>
      <c r="N79" s="68">
        <v>13</v>
      </c>
      <c r="O79" s="68">
        <v>14</v>
      </c>
      <c r="P79" s="68">
        <v>15</v>
      </c>
      <c r="Q79" s="68">
        <v>16</v>
      </c>
      <c r="R79" s="68">
        <v>5</v>
      </c>
      <c r="S79" s="68">
        <v>6</v>
      </c>
      <c r="T79" s="68">
        <v>7</v>
      </c>
      <c r="U79" s="68">
        <v>8</v>
      </c>
      <c r="V79" s="68">
        <v>9</v>
      </c>
      <c r="W79" s="68">
        <v>10</v>
      </c>
      <c r="X79" s="68">
        <v>11</v>
      </c>
      <c r="Y79" s="142">
        <v>12</v>
      </c>
      <c r="AA79" s="73"/>
      <c r="AC79" s="68">
        <v>1</v>
      </c>
      <c r="AD79" s="68">
        <v>2</v>
      </c>
      <c r="AE79" s="68">
        <v>3</v>
      </c>
      <c r="AF79" s="68">
        <v>4</v>
      </c>
      <c r="AG79" s="68">
        <v>5</v>
      </c>
      <c r="AH79" s="68">
        <v>6</v>
      </c>
      <c r="AI79" s="68">
        <v>7</v>
      </c>
      <c r="AJ79" s="68">
        <v>8</v>
      </c>
      <c r="AK79" s="68">
        <v>9</v>
      </c>
      <c r="AL79" s="67">
        <v>10</v>
      </c>
      <c r="AM79" s="67">
        <v>11</v>
      </c>
      <c r="AN79" s="136">
        <v>12</v>
      </c>
      <c r="AO79" s="67">
        <v>13</v>
      </c>
      <c r="AP79" s="73"/>
      <c r="AR79" s="68">
        <v>1</v>
      </c>
      <c r="AS79" s="68">
        <v>2</v>
      </c>
      <c r="AT79" s="68">
        <v>3</v>
      </c>
      <c r="AU79" s="68">
        <v>4</v>
      </c>
      <c r="AV79" s="68">
        <v>5</v>
      </c>
      <c r="AW79" s="68">
        <v>6</v>
      </c>
      <c r="AX79" s="138">
        <v>7</v>
      </c>
    </row>
    <row r="80" spans="1:50" ht="5.9" customHeight="1" outlineLevel="1" collapsed="1">
      <c r="L80" s="73"/>
      <c r="Y80" s="145"/>
      <c r="AA80" s="73"/>
      <c r="AP80" s="73"/>
    </row>
    <row r="81" spans="1:50" outlineLevel="1">
      <c r="D81" s="241" t="s">
        <v>281</v>
      </c>
      <c r="E81" s="241"/>
      <c r="F81" s="241"/>
      <c r="G81" s="241"/>
      <c r="I81" s="64">
        <v>0.04</v>
      </c>
      <c r="J81" s="64">
        <v>0.76</v>
      </c>
      <c r="K81" s="65">
        <f>1-SUM(I81:J81)</f>
        <v>0.19999999999999996</v>
      </c>
      <c r="L81" s="73"/>
      <c r="N81" s="64">
        <v>0</v>
      </c>
      <c r="O81" s="64">
        <v>1</v>
      </c>
      <c r="P81" s="64">
        <v>0</v>
      </c>
      <c r="Q81" s="64">
        <v>0</v>
      </c>
      <c r="R81" s="64">
        <v>0</v>
      </c>
      <c r="S81" s="64">
        <v>0</v>
      </c>
      <c r="T81" s="64">
        <v>0</v>
      </c>
      <c r="U81" s="64">
        <v>0</v>
      </c>
      <c r="V81" s="64">
        <v>0</v>
      </c>
      <c r="W81" s="64">
        <v>0</v>
      </c>
      <c r="X81" s="64">
        <v>0</v>
      </c>
      <c r="Y81" s="64">
        <v>0</v>
      </c>
      <c r="AA81" s="73"/>
      <c r="AC81" s="64">
        <v>1</v>
      </c>
      <c r="AD81" s="64">
        <v>0</v>
      </c>
      <c r="AE81" s="64">
        <v>0</v>
      </c>
      <c r="AF81" s="64">
        <v>0</v>
      </c>
      <c r="AG81" s="64">
        <v>0</v>
      </c>
      <c r="AH81" s="64">
        <v>0</v>
      </c>
      <c r="AI81" s="64">
        <v>0</v>
      </c>
      <c r="AJ81" s="64">
        <v>0</v>
      </c>
      <c r="AK81" s="64">
        <v>0</v>
      </c>
      <c r="AL81" s="64">
        <v>0</v>
      </c>
      <c r="AM81" s="64">
        <v>0</v>
      </c>
      <c r="AN81" s="64">
        <v>0</v>
      </c>
      <c r="AO81" s="147">
        <v>0</v>
      </c>
      <c r="AP81" s="73"/>
      <c r="AR81" s="64">
        <v>1</v>
      </c>
      <c r="AS81" s="64">
        <v>0</v>
      </c>
      <c r="AT81" s="64">
        <v>0</v>
      </c>
      <c r="AU81" s="64">
        <v>0</v>
      </c>
      <c r="AV81" s="64">
        <v>0</v>
      </c>
      <c r="AW81" s="64">
        <v>0</v>
      </c>
      <c r="AX81" s="64">
        <v>0</v>
      </c>
    </row>
    <row r="82" spans="1:50" outlineLevel="1">
      <c r="D82" s="241" t="s">
        <v>282</v>
      </c>
      <c r="E82" s="241"/>
      <c r="F82" s="241"/>
      <c r="G82" s="241"/>
      <c r="I82" s="64">
        <v>0.04</v>
      </c>
      <c r="J82" s="64">
        <v>0.76</v>
      </c>
      <c r="K82" s="65">
        <f>1-SUM(I82:J82)</f>
        <v>0.19999999999999996</v>
      </c>
      <c r="L82" s="73"/>
      <c r="N82" s="64">
        <v>0</v>
      </c>
      <c r="O82" s="64">
        <v>1</v>
      </c>
      <c r="P82" s="64">
        <v>0</v>
      </c>
      <c r="Q82" s="64">
        <v>0</v>
      </c>
      <c r="R82" s="64">
        <v>0</v>
      </c>
      <c r="S82" s="64">
        <v>0</v>
      </c>
      <c r="T82" s="64">
        <v>0</v>
      </c>
      <c r="U82" s="64">
        <v>0</v>
      </c>
      <c r="V82" s="64">
        <v>0</v>
      </c>
      <c r="W82" s="64">
        <v>0</v>
      </c>
      <c r="X82" s="64">
        <v>0</v>
      </c>
      <c r="Y82" s="64">
        <v>0</v>
      </c>
      <c r="AA82" s="73"/>
      <c r="AC82" s="64">
        <v>1</v>
      </c>
      <c r="AD82" s="64">
        <v>0</v>
      </c>
      <c r="AE82" s="64">
        <v>0</v>
      </c>
      <c r="AF82" s="64">
        <v>0</v>
      </c>
      <c r="AG82" s="64">
        <v>0</v>
      </c>
      <c r="AH82" s="64">
        <v>0</v>
      </c>
      <c r="AI82" s="64">
        <v>0</v>
      </c>
      <c r="AJ82" s="64">
        <v>0</v>
      </c>
      <c r="AK82" s="64">
        <v>0</v>
      </c>
      <c r="AL82" s="64">
        <v>0</v>
      </c>
      <c r="AM82" s="64">
        <v>0</v>
      </c>
      <c r="AN82" s="64">
        <v>0</v>
      </c>
      <c r="AO82" s="147">
        <v>0</v>
      </c>
      <c r="AP82" s="73"/>
      <c r="AR82" s="64">
        <v>1</v>
      </c>
      <c r="AS82" s="64">
        <v>0</v>
      </c>
      <c r="AT82" s="64">
        <v>0</v>
      </c>
      <c r="AU82" s="64">
        <v>0</v>
      </c>
      <c r="AV82" s="64">
        <v>0</v>
      </c>
      <c r="AW82" s="64">
        <v>0</v>
      </c>
      <c r="AX82" s="64">
        <v>0</v>
      </c>
    </row>
    <row r="83" spans="1:50" outlineLevel="1">
      <c r="D83" s="241" t="s">
        <v>283</v>
      </c>
      <c r="E83" s="241"/>
      <c r="F83" s="241"/>
      <c r="G83" s="241"/>
      <c r="I83" s="64">
        <v>0.04</v>
      </c>
      <c r="J83" s="64">
        <v>0.76</v>
      </c>
      <c r="K83" s="65">
        <f>1-SUM(I83:J83)</f>
        <v>0.19999999999999996</v>
      </c>
      <c r="L83" s="73"/>
      <c r="N83" s="64">
        <v>0</v>
      </c>
      <c r="O83" s="64">
        <v>0</v>
      </c>
      <c r="P83" s="64">
        <v>1</v>
      </c>
      <c r="Q83" s="64">
        <v>0</v>
      </c>
      <c r="R83" s="64">
        <v>0</v>
      </c>
      <c r="S83" s="64">
        <v>0</v>
      </c>
      <c r="T83" s="64">
        <v>0</v>
      </c>
      <c r="U83" s="64">
        <v>0</v>
      </c>
      <c r="V83" s="64">
        <v>0</v>
      </c>
      <c r="W83" s="64">
        <v>0</v>
      </c>
      <c r="X83" s="64">
        <v>0</v>
      </c>
      <c r="Y83" s="64">
        <v>0</v>
      </c>
      <c r="AA83" s="73"/>
      <c r="AC83" s="64">
        <v>1</v>
      </c>
      <c r="AD83" s="64">
        <v>0</v>
      </c>
      <c r="AE83" s="64">
        <v>0</v>
      </c>
      <c r="AF83" s="64">
        <v>0</v>
      </c>
      <c r="AG83" s="64">
        <v>0</v>
      </c>
      <c r="AH83" s="64">
        <v>0</v>
      </c>
      <c r="AI83" s="64">
        <v>0</v>
      </c>
      <c r="AJ83" s="64">
        <v>0</v>
      </c>
      <c r="AK83" s="64">
        <v>0</v>
      </c>
      <c r="AL83" s="64">
        <v>0</v>
      </c>
      <c r="AM83" s="64">
        <v>0</v>
      </c>
      <c r="AN83" s="64">
        <v>0</v>
      </c>
      <c r="AO83" s="147">
        <v>0</v>
      </c>
      <c r="AP83" s="73"/>
      <c r="AR83" s="64">
        <v>1</v>
      </c>
      <c r="AS83" s="64">
        <v>0</v>
      </c>
      <c r="AT83" s="64">
        <v>0</v>
      </c>
      <c r="AU83" s="64">
        <v>0</v>
      </c>
      <c r="AV83" s="64">
        <v>0</v>
      </c>
      <c r="AW83" s="64">
        <v>0</v>
      </c>
      <c r="AX83" s="64">
        <v>0</v>
      </c>
    </row>
    <row r="84" spans="1:50" outlineLevel="1">
      <c r="D84" s="241" t="s">
        <v>284</v>
      </c>
      <c r="E84" s="241"/>
      <c r="F84" s="241"/>
      <c r="G84" s="241"/>
      <c r="I84" s="64">
        <v>0.04</v>
      </c>
      <c r="J84" s="64">
        <v>0.76</v>
      </c>
      <c r="K84" s="65">
        <f>1-SUM(I84:J84)</f>
        <v>0.19999999999999996</v>
      </c>
      <c r="L84" s="73"/>
      <c r="N84" s="64">
        <v>0</v>
      </c>
      <c r="O84" s="64">
        <v>0</v>
      </c>
      <c r="P84" s="64">
        <v>1</v>
      </c>
      <c r="Q84" s="64">
        <v>0</v>
      </c>
      <c r="R84" s="64">
        <v>0</v>
      </c>
      <c r="S84" s="64">
        <v>0</v>
      </c>
      <c r="T84" s="64">
        <v>0</v>
      </c>
      <c r="U84" s="64">
        <v>0</v>
      </c>
      <c r="V84" s="64">
        <v>0</v>
      </c>
      <c r="W84" s="64">
        <v>0</v>
      </c>
      <c r="X84" s="64">
        <v>0</v>
      </c>
      <c r="Y84" s="64">
        <v>0</v>
      </c>
      <c r="AA84" s="73"/>
      <c r="AC84" s="64">
        <v>1</v>
      </c>
      <c r="AD84" s="64">
        <v>0</v>
      </c>
      <c r="AE84" s="64">
        <v>0</v>
      </c>
      <c r="AF84" s="64">
        <v>0</v>
      </c>
      <c r="AG84" s="64">
        <v>0</v>
      </c>
      <c r="AH84" s="64">
        <v>0</v>
      </c>
      <c r="AI84" s="64">
        <v>0</v>
      </c>
      <c r="AJ84" s="64">
        <v>0</v>
      </c>
      <c r="AK84" s="64">
        <v>0</v>
      </c>
      <c r="AL84" s="64">
        <v>0</v>
      </c>
      <c r="AM84" s="64">
        <v>0</v>
      </c>
      <c r="AN84" s="64">
        <v>0</v>
      </c>
      <c r="AO84" s="147">
        <v>0</v>
      </c>
      <c r="AP84" s="73"/>
      <c r="AR84" s="64">
        <v>1</v>
      </c>
      <c r="AS84" s="64">
        <v>0</v>
      </c>
      <c r="AT84" s="64">
        <v>0</v>
      </c>
      <c r="AU84" s="64">
        <v>0</v>
      </c>
      <c r="AV84" s="64">
        <v>0</v>
      </c>
      <c r="AW84" s="64">
        <v>0</v>
      </c>
      <c r="AX84" s="64">
        <v>0</v>
      </c>
    </row>
    <row r="85" spans="1:50" outlineLevel="1">
      <c r="D85" s="241" t="s">
        <v>124</v>
      </c>
      <c r="E85" s="241"/>
      <c r="F85" s="241"/>
      <c r="G85" s="241"/>
      <c r="I85" s="64">
        <v>0.04</v>
      </c>
      <c r="J85" s="64">
        <v>0.76</v>
      </c>
      <c r="K85" s="65">
        <f>1-SUM(I85:J85)</f>
        <v>0.19999999999999996</v>
      </c>
      <c r="L85" s="73"/>
      <c r="N85" s="64">
        <v>0</v>
      </c>
      <c r="O85" s="64">
        <v>0.5</v>
      </c>
      <c r="P85" s="64">
        <v>0.5</v>
      </c>
      <c r="Q85" s="64">
        <v>0</v>
      </c>
      <c r="R85" s="64">
        <v>0</v>
      </c>
      <c r="S85" s="64">
        <v>0</v>
      </c>
      <c r="T85" s="64">
        <v>0</v>
      </c>
      <c r="U85" s="64">
        <v>0</v>
      </c>
      <c r="V85" s="64">
        <v>0</v>
      </c>
      <c r="W85" s="64">
        <v>0</v>
      </c>
      <c r="X85" s="64">
        <v>0</v>
      </c>
      <c r="Y85" s="64">
        <v>0</v>
      </c>
      <c r="AA85" s="73"/>
      <c r="AC85" s="64">
        <v>1</v>
      </c>
      <c r="AD85" s="64">
        <v>0</v>
      </c>
      <c r="AE85" s="64">
        <v>0</v>
      </c>
      <c r="AF85" s="64">
        <v>0</v>
      </c>
      <c r="AG85" s="64">
        <v>0</v>
      </c>
      <c r="AH85" s="64">
        <v>0</v>
      </c>
      <c r="AI85" s="64">
        <v>0</v>
      </c>
      <c r="AJ85" s="64">
        <v>0</v>
      </c>
      <c r="AK85" s="64">
        <v>0</v>
      </c>
      <c r="AL85" s="64">
        <v>0</v>
      </c>
      <c r="AM85" s="64">
        <v>0</v>
      </c>
      <c r="AN85" s="64">
        <v>0</v>
      </c>
      <c r="AO85" s="147">
        <v>0</v>
      </c>
      <c r="AP85" s="73"/>
      <c r="AR85" s="64">
        <v>1</v>
      </c>
      <c r="AS85" s="64">
        <v>0</v>
      </c>
      <c r="AT85" s="64">
        <v>0</v>
      </c>
      <c r="AU85" s="64">
        <v>0</v>
      </c>
      <c r="AV85" s="64">
        <v>0</v>
      </c>
      <c r="AW85" s="64">
        <v>0</v>
      </c>
      <c r="AX85" s="64">
        <v>0</v>
      </c>
    </row>
    <row r="86" spans="1:50" outlineLevel="1">
      <c r="L86" s="73"/>
      <c r="AA86" s="73"/>
      <c r="AC86" s="105" t="s">
        <v>458</v>
      </c>
      <c r="AP86" s="73"/>
    </row>
    <row r="87" spans="1:50" outlineLevel="1">
      <c r="C87" s="37" t="s">
        <v>367</v>
      </c>
      <c r="L87" s="73"/>
      <c r="AA87" s="73"/>
      <c r="AP87" s="73"/>
    </row>
    <row r="88" spans="1:50" ht="5.9" customHeight="1" outlineLevel="1">
      <c r="L88" s="73"/>
      <c r="AA88" s="73"/>
      <c r="AP88" s="73"/>
    </row>
    <row r="89" spans="1:50" outlineLevel="1">
      <c r="D89" s="241" t="s">
        <v>368</v>
      </c>
      <c r="E89" s="241"/>
      <c r="F89" s="241"/>
      <c r="G89" s="241"/>
      <c r="L89" s="73"/>
      <c r="N89" s="64">
        <v>0</v>
      </c>
      <c r="O89" s="64">
        <v>0</v>
      </c>
      <c r="P89" s="64">
        <v>0</v>
      </c>
      <c r="Q89" s="64">
        <v>0</v>
      </c>
      <c r="R89" s="64">
        <v>0</v>
      </c>
      <c r="S89" s="64">
        <v>0</v>
      </c>
      <c r="T89" s="64">
        <v>0</v>
      </c>
      <c r="U89" s="64">
        <v>0</v>
      </c>
      <c r="V89" s="64">
        <v>0</v>
      </c>
      <c r="W89" s="64">
        <v>0</v>
      </c>
      <c r="X89" s="64">
        <v>0</v>
      </c>
      <c r="Y89" s="64">
        <v>0</v>
      </c>
      <c r="AA89" s="73"/>
      <c r="AC89" s="64">
        <v>0</v>
      </c>
      <c r="AD89" s="64">
        <v>0</v>
      </c>
      <c r="AE89" s="64">
        <v>0</v>
      </c>
      <c r="AF89" s="64">
        <v>0</v>
      </c>
      <c r="AG89" s="64">
        <v>0</v>
      </c>
      <c r="AH89" s="64">
        <v>0</v>
      </c>
      <c r="AI89" s="64">
        <v>0</v>
      </c>
      <c r="AJ89" s="64">
        <v>0</v>
      </c>
      <c r="AK89" s="64">
        <v>0</v>
      </c>
      <c r="AL89" s="64">
        <v>0</v>
      </c>
      <c r="AM89" s="64">
        <v>0</v>
      </c>
      <c r="AN89" s="64">
        <v>0</v>
      </c>
      <c r="AO89" s="147">
        <v>0</v>
      </c>
      <c r="AP89" s="73"/>
      <c r="AR89" s="64">
        <v>0</v>
      </c>
      <c r="AS89" s="64">
        <v>0</v>
      </c>
      <c r="AT89" s="64">
        <v>0</v>
      </c>
      <c r="AU89" s="64">
        <v>0</v>
      </c>
      <c r="AV89" s="64">
        <v>0</v>
      </c>
      <c r="AW89" s="64">
        <v>0</v>
      </c>
      <c r="AX89" s="64">
        <v>0</v>
      </c>
    </row>
    <row r="91" spans="1:50" s="2" customFormat="1">
      <c r="A91"/>
      <c r="B91" s="2" t="s">
        <v>233</v>
      </c>
    </row>
    <row r="92" spans="1:50" ht="5.9" customHeight="1"/>
    <row r="93" spans="1:50" ht="14">
      <c r="C93" s="77" t="str">
        <f>High_Press!B25</f>
        <v>High Pressure Replacement - Planned</v>
      </c>
      <c r="I93" s="37" t="str">
        <f>GC!H12</f>
        <v>Network</v>
      </c>
    </row>
    <row r="94" spans="1:50" ht="5.9" customHeight="1" outlineLevel="1"/>
    <row r="95" spans="1:50" outlineLevel="1">
      <c r="I95" s="242" t="s">
        <v>194</v>
      </c>
      <c r="J95" s="242"/>
      <c r="K95" s="242"/>
      <c r="L95" s="73"/>
      <c r="N95" s="242" t="s">
        <v>195</v>
      </c>
      <c r="O95" s="242"/>
      <c r="P95" s="242"/>
      <c r="Q95" s="242"/>
      <c r="R95" s="242"/>
      <c r="S95" s="242"/>
      <c r="T95" s="242"/>
      <c r="U95" s="242"/>
      <c r="V95" s="242"/>
      <c r="W95" s="242"/>
      <c r="X95" s="242"/>
      <c r="Y95" s="242"/>
      <c r="Z95" s="242"/>
      <c r="AA95" s="73"/>
      <c r="AC95" s="245" t="s">
        <v>196</v>
      </c>
      <c r="AD95" s="245"/>
      <c r="AE95" s="245"/>
      <c r="AF95" s="245"/>
      <c r="AG95" s="245"/>
      <c r="AH95" s="245"/>
      <c r="AI95" s="245"/>
      <c r="AJ95" s="245"/>
      <c r="AK95" s="245"/>
      <c r="AL95" s="245"/>
      <c r="AM95" s="245"/>
      <c r="AN95" s="245"/>
      <c r="AO95" s="245"/>
      <c r="AP95" s="73"/>
      <c r="AR95" s="242" t="s">
        <v>311</v>
      </c>
      <c r="AS95" s="242"/>
      <c r="AT95" s="242"/>
      <c r="AU95" s="242"/>
      <c r="AV95" s="242"/>
      <c r="AW95" s="242"/>
      <c r="AX95" s="242"/>
    </row>
    <row r="96" spans="1:50" ht="46" outlineLevel="1">
      <c r="D96" s="37" t="s">
        <v>160</v>
      </c>
      <c r="I96" s="57" t="s">
        <v>128</v>
      </c>
      <c r="J96" s="57" t="s">
        <v>129</v>
      </c>
      <c r="K96" s="57" t="s">
        <v>130</v>
      </c>
      <c r="L96" s="73"/>
      <c r="N96" s="57" t="str">
        <f ca="1">OFFSET(High_Press!$E104,N97,,,)</f>
        <v>Transmission pipelines - post 1998</v>
      </c>
      <c r="O96" s="57" t="str">
        <f ca="1">OFFSET(High_Press!$E104,O97,,,)</f>
        <v>Distribution pipelines - post 1998</v>
      </c>
      <c r="P96" s="57" t="str">
        <f ca="1">OFFSET(High_Press!$E104,P97,,,)</f>
        <v>Service pipes - post 1998</v>
      </c>
      <c r="Q96" s="57" t="str">
        <f ca="1">OFFSET(High_Press!$E104,Q97,,,)</f>
        <v>Cathodic protection - post 1998</v>
      </c>
      <c r="R96" s="57" t="str">
        <f ca="1">OFFSET(High_Press!$E104,R97,,,)</f>
        <v>Supply Regulators / Valve Stations</v>
      </c>
      <c r="S96" s="57" t="str">
        <f ca="1">OFFSET(High_Press!$E104,S97,,,)</f>
        <v>Meters</v>
      </c>
      <c r="T96" s="57" t="str">
        <f ca="1">OFFSET(High_Press!$E104,T97,,,)</f>
        <v>SCADA and remote control</v>
      </c>
      <c r="U96" s="57" t="str">
        <f ca="1">OFFSET(High_Press!$E104,U97,,,)</f>
        <v>Buildings</v>
      </c>
      <c r="V96" s="57" t="str">
        <f ca="1">OFFSET(High_Press!$E104,V97,,,)</f>
        <v>Other - IT</v>
      </c>
      <c r="W96" s="57" t="str">
        <f ca="1">OFFSET(High_Press!$E104,W97,,,)</f>
        <v>Other - non IT</v>
      </c>
      <c r="X96" s="57" t="str">
        <f ca="1">OFFSET(High_Press!$E104,X97,,,)</f>
        <v>Land</v>
      </c>
      <c r="Y96" s="57" t="str">
        <f ca="1">OFFSET(High_Press!$E104,Y97,,,)</f>
        <v>Capitalised Leases</v>
      </c>
      <c r="AA96" s="139"/>
      <c r="AC96" s="57" t="str">
        <f ca="1">OFFSET(High_Press!$E187,AC97,,,)</f>
        <v>Mains replacement</v>
      </c>
      <c r="AD96" s="57" t="str">
        <f ca="1">OFFSET(High_Press!$E187,AD97,,,)</f>
        <v>Residential new customer connections</v>
      </c>
      <c r="AE96" s="57" t="str">
        <f ca="1">OFFSET(High_Press!$E187,AE97,,,)</f>
        <v>Commercial and industrial new customer connections</v>
      </c>
      <c r="AF96" s="57" t="str">
        <f ca="1">OFFSET(High_Press!$E187,AF97,,,)</f>
        <v>Residential meter replacement</v>
      </c>
      <c r="AG96" s="57" t="str">
        <f ca="1">OFFSET(High_Press!$E187,AG97,,,)</f>
        <v>Commercial and industrial meter replacement</v>
      </c>
      <c r="AH96" s="57" t="str">
        <f ca="1">OFFSET(High_Press!$E187,AH97,,,)</f>
        <v>Augmentation</v>
      </c>
      <c r="AI96" s="57" t="str">
        <f ca="1">OFFSET(High_Press!$E187,AI97,,,)</f>
        <v>IT capex</v>
      </c>
      <c r="AJ96" s="57" t="str">
        <f ca="1">OFFSET(High_Press!$E187,AJ97,,,)</f>
        <v>SCADA</v>
      </c>
      <c r="AK96" s="57" t="str">
        <f ca="1">OFFSET(High_Press!$E187,AK97,,,)</f>
        <v>Other</v>
      </c>
      <c r="AL96" s="57" t="str">
        <f ca="1">OFFSET(High_Press!$E187,AL97,,,)</f>
        <v>Capitalised Leases</v>
      </c>
      <c r="AM96" s="57" t="str">
        <f ca="1">OFFSET(High_Press!$E187,AM97,,,)</f>
        <v>Gas Extensions - Energy for the Regions</v>
      </c>
      <c r="AN96" s="57" t="str">
        <f ca="1">OFFSET(High_Press!$E187,AN97,,,)</f>
        <v>Gas Extensions - Other</v>
      </c>
      <c r="AO96" s="57" t="str">
        <f ca="1">OFFSET(High_Press!$E187,AO97,,,)</f>
        <v>Customer contributions</v>
      </c>
      <c r="AP96" s="73"/>
      <c r="AR96" s="57" t="str">
        <f ca="1">OFFSET(High_Press!$E244,AR97,,,)</f>
        <v>Mains &amp; Services</v>
      </c>
      <c r="AS96" s="57" t="str">
        <f ca="1">OFFSET(High_Press!$E244,AS97,,,)</f>
        <v>Meters Domestic</v>
      </c>
      <c r="AT96" s="57" t="str">
        <f ca="1">OFFSET(High_Press!$E244,AT97,,,)</f>
        <v>Meters Industrial &amp; Commercial</v>
      </c>
      <c r="AU96" s="57" t="str">
        <f ca="1">OFFSET(High_Press!$E244,AU97,,,)</f>
        <v>Buildings</v>
      </c>
      <c r="AV96" s="57" t="str">
        <f ca="1">OFFSET(High_Press!$E244,AV97,,,)</f>
        <v>Other Assets</v>
      </c>
      <c r="AW96" s="57" t="str">
        <f ca="1">OFFSET(High_Press!$E244,AW97,,,)</f>
        <v>Repairs</v>
      </c>
      <c r="AX96" s="57" t="str">
        <f ca="1">OFFSET(High_Press!$E244,AX97,,,)</f>
        <v>Land</v>
      </c>
    </row>
    <row r="97" spans="1:50" hidden="1" outlineLevel="2">
      <c r="L97" s="73"/>
      <c r="N97" s="68">
        <v>13</v>
      </c>
      <c r="O97" s="68">
        <v>14</v>
      </c>
      <c r="P97" s="68">
        <v>15</v>
      </c>
      <c r="Q97" s="68">
        <v>16</v>
      </c>
      <c r="R97" s="68">
        <v>5</v>
      </c>
      <c r="S97" s="68">
        <v>6</v>
      </c>
      <c r="T97" s="68">
        <v>7</v>
      </c>
      <c r="U97" s="68">
        <v>8</v>
      </c>
      <c r="V97" s="68">
        <v>9</v>
      </c>
      <c r="W97" s="68">
        <v>10</v>
      </c>
      <c r="X97" s="68">
        <v>11</v>
      </c>
      <c r="Y97" s="142">
        <v>12</v>
      </c>
      <c r="AA97" s="73"/>
      <c r="AC97" s="68">
        <v>1</v>
      </c>
      <c r="AD97" s="68">
        <v>2</v>
      </c>
      <c r="AE97" s="68">
        <v>3</v>
      </c>
      <c r="AF97" s="68">
        <v>4</v>
      </c>
      <c r="AG97" s="68">
        <v>5</v>
      </c>
      <c r="AH97" s="68">
        <v>6</v>
      </c>
      <c r="AI97" s="68">
        <v>7</v>
      </c>
      <c r="AJ97" s="68">
        <v>8</v>
      </c>
      <c r="AK97" s="68">
        <v>9</v>
      </c>
      <c r="AL97" s="67">
        <v>10</v>
      </c>
      <c r="AM97" s="67">
        <v>11</v>
      </c>
      <c r="AN97" s="136">
        <v>12</v>
      </c>
      <c r="AO97" s="67">
        <v>13</v>
      </c>
      <c r="AP97" s="73"/>
      <c r="AR97" s="68">
        <v>1</v>
      </c>
      <c r="AS97" s="68">
        <v>2</v>
      </c>
      <c r="AT97" s="68">
        <v>3</v>
      </c>
      <c r="AU97" s="68">
        <v>4</v>
      </c>
      <c r="AV97" s="68">
        <v>5</v>
      </c>
      <c r="AW97" s="68">
        <v>6</v>
      </c>
      <c r="AX97" s="138">
        <v>7</v>
      </c>
    </row>
    <row r="98" spans="1:50" ht="5.9" customHeight="1" outlineLevel="1" collapsed="1">
      <c r="L98" s="73"/>
      <c r="Y98" s="145"/>
      <c r="AA98" s="73"/>
      <c r="AP98" s="73"/>
    </row>
    <row r="99" spans="1:50" outlineLevel="1">
      <c r="D99" s="241" t="s">
        <v>304</v>
      </c>
      <c r="E99" s="241"/>
      <c r="F99" s="241"/>
      <c r="G99" s="241"/>
      <c r="I99" s="64">
        <v>0.04</v>
      </c>
      <c r="J99" s="64">
        <v>0.76</v>
      </c>
      <c r="K99" s="65">
        <f>1-SUM(I99:J99)</f>
        <v>0.19999999999999996</v>
      </c>
      <c r="L99" s="73"/>
      <c r="N99" s="64">
        <v>0</v>
      </c>
      <c r="O99" s="64">
        <v>0.5</v>
      </c>
      <c r="P99" s="64">
        <v>0.5</v>
      </c>
      <c r="Q99" s="64">
        <v>0</v>
      </c>
      <c r="R99" s="64">
        <v>0</v>
      </c>
      <c r="S99" s="64">
        <v>0</v>
      </c>
      <c r="T99" s="64">
        <v>0</v>
      </c>
      <c r="U99" s="64">
        <v>0</v>
      </c>
      <c r="V99" s="64">
        <v>0</v>
      </c>
      <c r="W99" s="64">
        <v>0</v>
      </c>
      <c r="X99" s="64">
        <v>0</v>
      </c>
      <c r="Y99" s="64">
        <v>0</v>
      </c>
      <c r="AA99" s="73"/>
      <c r="AC99" s="64">
        <v>1</v>
      </c>
      <c r="AD99" s="64">
        <v>0</v>
      </c>
      <c r="AE99" s="64">
        <v>0</v>
      </c>
      <c r="AF99" s="64">
        <v>0</v>
      </c>
      <c r="AG99" s="64">
        <v>0</v>
      </c>
      <c r="AH99" s="64">
        <v>0</v>
      </c>
      <c r="AI99" s="64">
        <v>0</v>
      </c>
      <c r="AJ99" s="64">
        <v>0</v>
      </c>
      <c r="AK99" s="64">
        <v>0</v>
      </c>
      <c r="AL99" s="64">
        <v>0</v>
      </c>
      <c r="AM99" s="64">
        <v>0</v>
      </c>
      <c r="AN99" s="64">
        <v>0</v>
      </c>
      <c r="AO99" s="147">
        <v>0</v>
      </c>
      <c r="AP99" s="73"/>
      <c r="AR99" s="64">
        <v>1</v>
      </c>
      <c r="AS99" s="64">
        <v>0</v>
      </c>
      <c r="AT99" s="64">
        <v>0</v>
      </c>
      <c r="AU99" s="64">
        <v>0</v>
      </c>
      <c r="AV99" s="64">
        <v>0</v>
      </c>
      <c r="AW99" s="64">
        <v>0</v>
      </c>
      <c r="AX99" s="64">
        <v>0</v>
      </c>
    </row>
    <row r="100" spans="1:50" outlineLevel="1">
      <c r="D100" s="241" t="s">
        <v>123</v>
      </c>
      <c r="E100" s="241"/>
      <c r="F100" s="241"/>
      <c r="G100" s="241"/>
      <c r="I100" s="64">
        <v>0.04</v>
      </c>
      <c r="J100" s="64">
        <v>0.76</v>
      </c>
      <c r="K100" s="65">
        <f>1-SUM(I100:J100)</f>
        <v>0.19999999999999996</v>
      </c>
      <c r="L100" s="73"/>
      <c r="N100" s="64">
        <v>0</v>
      </c>
      <c r="O100" s="64">
        <v>0.5</v>
      </c>
      <c r="P100" s="64">
        <v>0.5</v>
      </c>
      <c r="Q100" s="64">
        <v>0</v>
      </c>
      <c r="R100" s="64">
        <v>0</v>
      </c>
      <c r="S100" s="64">
        <v>0</v>
      </c>
      <c r="T100" s="64">
        <v>0</v>
      </c>
      <c r="U100" s="64">
        <v>0</v>
      </c>
      <c r="V100" s="64">
        <v>0</v>
      </c>
      <c r="W100" s="64">
        <v>0</v>
      </c>
      <c r="X100" s="64">
        <v>0</v>
      </c>
      <c r="Y100" s="64">
        <v>0</v>
      </c>
      <c r="AA100" s="73"/>
      <c r="AC100" s="64">
        <v>1</v>
      </c>
      <c r="AD100" s="64">
        <v>0</v>
      </c>
      <c r="AE100" s="64">
        <v>0</v>
      </c>
      <c r="AF100" s="64">
        <v>0</v>
      </c>
      <c r="AG100" s="64">
        <v>0</v>
      </c>
      <c r="AH100" s="64">
        <v>0</v>
      </c>
      <c r="AI100" s="64">
        <v>0</v>
      </c>
      <c r="AJ100" s="64">
        <v>0</v>
      </c>
      <c r="AK100" s="64">
        <v>0</v>
      </c>
      <c r="AL100" s="64">
        <v>0</v>
      </c>
      <c r="AM100" s="64">
        <v>0</v>
      </c>
      <c r="AN100" s="64">
        <v>0</v>
      </c>
      <c r="AO100" s="147">
        <v>0</v>
      </c>
      <c r="AP100" s="73"/>
      <c r="AR100" s="64">
        <v>1</v>
      </c>
      <c r="AS100" s="64">
        <v>0</v>
      </c>
      <c r="AT100" s="64">
        <v>0</v>
      </c>
      <c r="AU100" s="64">
        <v>0</v>
      </c>
      <c r="AV100" s="64">
        <v>0</v>
      </c>
      <c r="AW100" s="64">
        <v>0</v>
      </c>
      <c r="AX100" s="64">
        <v>0</v>
      </c>
    </row>
    <row r="101" spans="1:50" outlineLevel="1">
      <c r="L101" s="73"/>
      <c r="AA101" s="73"/>
      <c r="AC101" s="105" t="s">
        <v>458</v>
      </c>
      <c r="AP101" s="73"/>
    </row>
    <row r="102" spans="1:50" outlineLevel="1">
      <c r="C102" s="37" t="s">
        <v>367</v>
      </c>
      <c r="L102" s="73"/>
      <c r="AA102" s="73"/>
      <c r="AP102" s="73"/>
    </row>
    <row r="103" spans="1:50" ht="5.9" customHeight="1" outlineLevel="1">
      <c r="L103" s="73"/>
      <c r="AA103" s="73"/>
      <c r="AP103" s="73"/>
    </row>
    <row r="104" spans="1:50" outlineLevel="1">
      <c r="D104" s="241" t="s">
        <v>368</v>
      </c>
      <c r="E104" s="241"/>
      <c r="F104" s="241"/>
      <c r="G104" s="241"/>
      <c r="L104" s="73"/>
      <c r="N104" s="64">
        <v>0</v>
      </c>
      <c r="O104" s="64">
        <v>0</v>
      </c>
      <c r="P104" s="64">
        <v>0</v>
      </c>
      <c r="Q104" s="64">
        <v>0</v>
      </c>
      <c r="R104" s="64">
        <v>0</v>
      </c>
      <c r="S104" s="64">
        <v>0</v>
      </c>
      <c r="T104" s="64">
        <v>0</v>
      </c>
      <c r="U104" s="64">
        <v>0</v>
      </c>
      <c r="V104" s="64">
        <v>0</v>
      </c>
      <c r="W104" s="64">
        <v>0</v>
      </c>
      <c r="X104" s="64">
        <v>0</v>
      </c>
      <c r="Y104" s="64">
        <v>0</v>
      </c>
      <c r="AA104" s="73"/>
      <c r="AC104" s="64">
        <v>0</v>
      </c>
      <c r="AD104" s="64">
        <v>0</v>
      </c>
      <c r="AE104" s="64">
        <v>0</v>
      </c>
      <c r="AF104" s="64">
        <v>0</v>
      </c>
      <c r="AG104" s="64">
        <v>0</v>
      </c>
      <c r="AH104" s="64">
        <v>0</v>
      </c>
      <c r="AI104" s="64">
        <v>0</v>
      </c>
      <c r="AJ104" s="64">
        <v>0</v>
      </c>
      <c r="AK104" s="64">
        <v>0</v>
      </c>
      <c r="AL104" s="64">
        <v>0</v>
      </c>
      <c r="AM104" s="64">
        <v>0</v>
      </c>
      <c r="AN104" s="64">
        <v>0</v>
      </c>
      <c r="AO104" s="147">
        <v>0</v>
      </c>
      <c r="AP104" s="73"/>
      <c r="AR104" s="64">
        <v>0</v>
      </c>
      <c r="AS104" s="64">
        <v>0</v>
      </c>
      <c r="AT104" s="64">
        <v>0</v>
      </c>
      <c r="AU104" s="64">
        <v>0</v>
      </c>
      <c r="AV104" s="64">
        <v>0</v>
      </c>
      <c r="AW104" s="64">
        <v>0</v>
      </c>
      <c r="AX104" s="64">
        <v>0</v>
      </c>
    </row>
    <row r="106" spans="1:50" s="2" customFormat="1">
      <c r="A106"/>
      <c r="B106" s="2" t="s">
        <v>235</v>
      </c>
    </row>
    <row r="107" spans="1:50" ht="5.9" customHeight="1"/>
    <row r="108" spans="1:50" ht="14">
      <c r="C108" s="77" t="str">
        <f>AdHoc!B575</f>
        <v>High Pressure Replacement - Ad Hoc</v>
      </c>
      <c r="I108" s="37" t="str">
        <f>GC!H13</f>
        <v>Network</v>
      </c>
    </row>
    <row r="109" spans="1:50" ht="5.9" customHeight="1" outlineLevel="1"/>
    <row r="110" spans="1:50" outlineLevel="1">
      <c r="I110" s="242" t="s">
        <v>194</v>
      </c>
      <c r="J110" s="242"/>
      <c r="K110" s="242"/>
      <c r="L110" s="73"/>
      <c r="N110" s="242" t="s">
        <v>195</v>
      </c>
      <c r="O110" s="242"/>
      <c r="P110" s="242"/>
      <c r="Q110" s="242"/>
      <c r="R110" s="242"/>
      <c r="S110" s="242"/>
      <c r="T110" s="242"/>
      <c r="U110" s="242"/>
      <c r="V110" s="242"/>
      <c r="W110" s="242"/>
      <c r="X110" s="242"/>
      <c r="Y110" s="242"/>
      <c r="Z110" s="242"/>
      <c r="AA110" s="73"/>
      <c r="AC110" s="245" t="s">
        <v>196</v>
      </c>
      <c r="AD110" s="245"/>
      <c r="AE110" s="245"/>
      <c r="AF110" s="245"/>
      <c r="AG110" s="245"/>
      <c r="AH110" s="245"/>
      <c r="AI110" s="245"/>
      <c r="AJ110" s="245"/>
      <c r="AK110" s="245"/>
      <c r="AL110" s="245"/>
      <c r="AM110" s="245"/>
      <c r="AN110" s="245"/>
      <c r="AO110" s="245"/>
      <c r="AP110" s="73"/>
      <c r="AR110" s="242" t="s">
        <v>311</v>
      </c>
      <c r="AS110" s="242"/>
      <c r="AT110" s="242"/>
      <c r="AU110" s="242"/>
      <c r="AV110" s="242"/>
      <c r="AW110" s="242"/>
      <c r="AX110" s="242"/>
    </row>
    <row r="111" spans="1:50" ht="46" outlineLevel="1">
      <c r="D111" s="37" t="s">
        <v>160</v>
      </c>
      <c r="I111" s="57" t="s">
        <v>128</v>
      </c>
      <c r="J111" s="57" t="s">
        <v>129</v>
      </c>
      <c r="K111" s="57" t="s">
        <v>130</v>
      </c>
      <c r="L111" s="73"/>
      <c r="N111" s="57" t="str">
        <f ca="1">OFFSET(AdHoc!$E675,N112,,,)</f>
        <v>Transmission pipelines - post 1998</v>
      </c>
      <c r="O111" s="57" t="str">
        <f ca="1">OFFSET(AdHoc!$E675,O112,,,)</f>
        <v>Distribution pipelines - post 1998</v>
      </c>
      <c r="P111" s="57" t="str">
        <f ca="1">OFFSET(AdHoc!$E675,P112,,,)</f>
        <v>Service pipes - post 1998</v>
      </c>
      <c r="Q111" s="57" t="str">
        <f ca="1">OFFSET(AdHoc!$E675,Q112,,,)</f>
        <v>Cathodic protection - post 1998</v>
      </c>
      <c r="R111" s="57" t="str">
        <f ca="1">OFFSET(AdHoc!$E675,R112,,,)</f>
        <v>Supply Regulators / Valve Stations</v>
      </c>
      <c r="S111" s="57" t="str">
        <f ca="1">OFFSET(AdHoc!$E675,S112,,,)</f>
        <v>Meters</v>
      </c>
      <c r="T111" s="57" t="str">
        <f ca="1">OFFSET(AdHoc!$E675,T112,,,)</f>
        <v>SCADA and remote control</v>
      </c>
      <c r="U111" s="57" t="str">
        <f ca="1">OFFSET(AdHoc!$E675,U112,,,)</f>
        <v>Buildings</v>
      </c>
      <c r="V111" s="57" t="str">
        <f ca="1">OFFSET(AdHoc!$E675,V112,,,)</f>
        <v>Other - IT</v>
      </c>
      <c r="W111" s="57" t="str">
        <f ca="1">OFFSET(AdHoc!$E675,W112,,,)</f>
        <v>Other - non IT</v>
      </c>
      <c r="X111" s="57" t="str">
        <f ca="1">OFFSET(AdHoc!$E675,X112,,,)</f>
        <v>Land</v>
      </c>
      <c r="Y111" s="57" t="str">
        <f ca="1">OFFSET(AdHoc!$E675,Y112,,,)</f>
        <v>Capitalised Leases</v>
      </c>
      <c r="AA111" s="139"/>
      <c r="AC111" s="57" t="str">
        <f ca="1">OFFSET(AdHoc!$E758,AC112,,,)</f>
        <v>Mains replacement</v>
      </c>
      <c r="AD111" s="57" t="str">
        <f ca="1">OFFSET(AdHoc!$E758,AD112,,,)</f>
        <v>Residential new customer connections</v>
      </c>
      <c r="AE111" s="57" t="str">
        <f ca="1">OFFSET(AdHoc!$E758,AE112,,,)</f>
        <v>Commercial and industrial new customer connections</v>
      </c>
      <c r="AF111" s="57" t="str">
        <f ca="1">OFFSET(AdHoc!$E758,AF112,,,)</f>
        <v>Residential meter replacement</v>
      </c>
      <c r="AG111" s="57" t="str">
        <f ca="1">OFFSET(AdHoc!$E758,AG112,,,)</f>
        <v>Commercial and industrial meter replacement</v>
      </c>
      <c r="AH111" s="57" t="str">
        <f ca="1">OFFSET(AdHoc!$E758,AH112,,,)</f>
        <v>Augmentation</v>
      </c>
      <c r="AI111" s="57" t="str">
        <f ca="1">OFFSET(AdHoc!$E758,AI112,,,)</f>
        <v>IT capex</v>
      </c>
      <c r="AJ111" s="57" t="str">
        <f ca="1">OFFSET(AdHoc!$E758,AJ112,,,)</f>
        <v>SCADA</v>
      </c>
      <c r="AK111" s="57" t="str">
        <f ca="1">OFFSET(AdHoc!$E758,AK112,,,)</f>
        <v>Other</v>
      </c>
      <c r="AL111" s="57" t="str">
        <f ca="1">OFFSET(AdHoc!$E758,AL112,,,)</f>
        <v>Capitalised Leases</v>
      </c>
      <c r="AM111" s="57" t="str">
        <f ca="1">OFFSET(AdHoc!$E758,AM112,,,)</f>
        <v>Gas Extensions - Energy for the Regions</v>
      </c>
      <c r="AN111" s="57" t="str">
        <f ca="1">OFFSET(AdHoc!$E758,AN112,,,)</f>
        <v>Gas Extensions - Other</v>
      </c>
      <c r="AO111" s="57" t="str">
        <f ca="1">OFFSET(AdHoc!$E758,AO112,,,)</f>
        <v>Customer contributions</v>
      </c>
      <c r="AP111" s="73"/>
      <c r="AR111" s="57" t="str">
        <f ca="1">OFFSET(AdHoc!$E815,AR112,,,)</f>
        <v>Mains &amp; Services</v>
      </c>
      <c r="AS111" s="57" t="str">
        <f ca="1">OFFSET(AdHoc!$E815,AS112,,,)</f>
        <v>Meters Domestic</v>
      </c>
      <c r="AT111" s="57" t="str">
        <f ca="1">OFFSET(AdHoc!$E815,AT112,,,)</f>
        <v>Meters Industrial &amp; Commercial</v>
      </c>
      <c r="AU111" s="57" t="str">
        <f ca="1">OFFSET(AdHoc!$E815,AU112,,,)</f>
        <v>Buildings</v>
      </c>
      <c r="AV111" s="57" t="str">
        <f ca="1">OFFSET(AdHoc!$E815,AV112,,,)</f>
        <v>Other Assets</v>
      </c>
      <c r="AW111" s="57" t="str">
        <f ca="1">OFFSET(AdHoc!$E815,AW112,,,)</f>
        <v>Repairs</v>
      </c>
      <c r="AX111" s="57" t="str">
        <f ca="1">OFFSET(AdHoc!$E815,AX112,,,)</f>
        <v>Land</v>
      </c>
    </row>
    <row r="112" spans="1:50" hidden="1" outlineLevel="2">
      <c r="L112" s="73"/>
      <c r="N112" s="68">
        <v>13</v>
      </c>
      <c r="O112" s="68">
        <v>14</v>
      </c>
      <c r="P112" s="68">
        <v>15</v>
      </c>
      <c r="Q112" s="68">
        <v>16</v>
      </c>
      <c r="R112" s="68">
        <v>5</v>
      </c>
      <c r="S112" s="68">
        <v>6</v>
      </c>
      <c r="T112" s="68">
        <v>7</v>
      </c>
      <c r="U112" s="68">
        <v>8</v>
      </c>
      <c r="V112" s="68">
        <v>9</v>
      </c>
      <c r="W112" s="68">
        <v>10</v>
      </c>
      <c r="X112" s="68">
        <v>11</v>
      </c>
      <c r="Y112" s="142">
        <v>12</v>
      </c>
      <c r="AA112" s="73"/>
      <c r="AC112" s="68">
        <v>1</v>
      </c>
      <c r="AD112" s="68">
        <v>2</v>
      </c>
      <c r="AE112" s="68">
        <v>3</v>
      </c>
      <c r="AF112" s="68">
        <v>4</v>
      </c>
      <c r="AG112" s="68">
        <v>5</v>
      </c>
      <c r="AH112" s="68">
        <v>6</v>
      </c>
      <c r="AI112" s="68">
        <v>7</v>
      </c>
      <c r="AJ112" s="68">
        <v>8</v>
      </c>
      <c r="AK112" s="68">
        <v>9</v>
      </c>
      <c r="AL112" s="67">
        <v>10</v>
      </c>
      <c r="AM112" s="67">
        <v>11</v>
      </c>
      <c r="AN112" s="136">
        <v>12</v>
      </c>
      <c r="AO112" s="67">
        <v>13</v>
      </c>
      <c r="AP112" s="73"/>
      <c r="AR112" s="68">
        <v>1</v>
      </c>
      <c r="AS112" s="68">
        <v>2</v>
      </c>
      <c r="AT112" s="68">
        <v>3</v>
      </c>
      <c r="AU112" s="68">
        <v>4</v>
      </c>
      <c r="AV112" s="68">
        <v>5</v>
      </c>
      <c r="AW112" s="68">
        <v>6</v>
      </c>
      <c r="AX112" s="138">
        <v>7</v>
      </c>
    </row>
    <row r="113" spans="1:50" ht="5.9" customHeight="1" outlineLevel="1" collapsed="1">
      <c r="L113" s="73"/>
      <c r="Y113" s="145"/>
      <c r="AA113" s="73"/>
      <c r="AP113" s="73"/>
    </row>
    <row r="114" spans="1:50" outlineLevel="1">
      <c r="D114" s="241" t="s">
        <v>281</v>
      </c>
      <c r="E114" s="241"/>
      <c r="F114" s="241"/>
      <c r="G114" s="241"/>
      <c r="I114" s="64">
        <v>0.04</v>
      </c>
      <c r="J114" s="64">
        <v>0.76</v>
      </c>
      <c r="K114" s="65">
        <f>1-SUM(I114:J114)</f>
        <v>0.19999999999999996</v>
      </c>
      <c r="L114" s="73"/>
      <c r="N114" s="64">
        <v>0</v>
      </c>
      <c r="O114" s="64">
        <v>1</v>
      </c>
      <c r="P114" s="64">
        <v>0</v>
      </c>
      <c r="Q114" s="64">
        <v>0</v>
      </c>
      <c r="R114" s="64">
        <v>0</v>
      </c>
      <c r="S114" s="64">
        <v>0</v>
      </c>
      <c r="T114" s="64">
        <v>0</v>
      </c>
      <c r="U114" s="64">
        <v>0</v>
      </c>
      <c r="V114" s="64">
        <v>0</v>
      </c>
      <c r="W114" s="64">
        <v>0</v>
      </c>
      <c r="X114" s="64">
        <v>0</v>
      </c>
      <c r="Y114" s="64">
        <v>0</v>
      </c>
      <c r="AA114" s="73"/>
      <c r="AC114" s="64">
        <v>1</v>
      </c>
      <c r="AD114" s="64">
        <v>0</v>
      </c>
      <c r="AE114" s="64">
        <v>0</v>
      </c>
      <c r="AF114" s="64">
        <v>0</v>
      </c>
      <c r="AG114" s="64">
        <v>0</v>
      </c>
      <c r="AH114" s="64">
        <v>0</v>
      </c>
      <c r="AI114" s="64">
        <v>0</v>
      </c>
      <c r="AJ114" s="64">
        <v>0</v>
      </c>
      <c r="AK114" s="64">
        <v>0</v>
      </c>
      <c r="AL114" s="64">
        <v>0</v>
      </c>
      <c r="AM114" s="64">
        <v>0</v>
      </c>
      <c r="AN114" s="64">
        <v>0</v>
      </c>
      <c r="AO114" s="147">
        <v>0</v>
      </c>
      <c r="AP114" s="73"/>
      <c r="AR114" s="64">
        <v>1</v>
      </c>
      <c r="AS114" s="64">
        <v>0</v>
      </c>
      <c r="AT114" s="64">
        <v>0</v>
      </c>
      <c r="AU114" s="64">
        <v>0</v>
      </c>
      <c r="AV114" s="64">
        <v>0</v>
      </c>
      <c r="AW114" s="64">
        <v>0</v>
      </c>
      <c r="AX114" s="64">
        <v>0</v>
      </c>
    </row>
    <row r="115" spans="1:50" outlineLevel="1">
      <c r="D115" s="241" t="s">
        <v>282</v>
      </c>
      <c r="E115" s="241"/>
      <c r="F115" s="241"/>
      <c r="G115" s="241"/>
      <c r="I115" s="64">
        <v>0.04</v>
      </c>
      <c r="J115" s="64">
        <v>0.76</v>
      </c>
      <c r="K115" s="65">
        <f>1-SUM(I115:J115)</f>
        <v>0.19999999999999996</v>
      </c>
      <c r="L115" s="73"/>
      <c r="N115" s="64">
        <v>0</v>
      </c>
      <c r="O115" s="64">
        <v>1</v>
      </c>
      <c r="P115" s="64">
        <v>0</v>
      </c>
      <c r="Q115" s="64">
        <v>0</v>
      </c>
      <c r="R115" s="64">
        <v>0</v>
      </c>
      <c r="S115" s="64">
        <v>0</v>
      </c>
      <c r="T115" s="64">
        <v>0</v>
      </c>
      <c r="U115" s="64">
        <v>0</v>
      </c>
      <c r="V115" s="64">
        <v>0</v>
      </c>
      <c r="W115" s="64">
        <v>0</v>
      </c>
      <c r="X115" s="64">
        <v>0</v>
      </c>
      <c r="Y115" s="64">
        <v>0</v>
      </c>
      <c r="AA115" s="73"/>
      <c r="AC115" s="64">
        <v>1</v>
      </c>
      <c r="AD115" s="64">
        <v>0</v>
      </c>
      <c r="AE115" s="64">
        <v>0</v>
      </c>
      <c r="AF115" s="64">
        <v>0</v>
      </c>
      <c r="AG115" s="64">
        <v>0</v>
      </c>
      <c r="AH115" s="64">
        <v>0</v>
      </c>
      <c r="AI115" s="64">
        <v>0</v>
      </c>
      <c r="AJ115" s="64">
        <v>0</v>
      </c>
      <c r="AK115" s="64">
        <v>0</v>
      </c>
      <c r="AL115" s="64">
        <v>0</v>
      </c>
      <c r="AM115" s="64">
        <v>0</v>
      </c>
      <c r="AN115" s="64">
        <v>0</v>
      </c>
      <c r="AO115" s="147">
        <v>0</v>
      </c>
      <c r="AP115" s="73"/>
      <c r="AR115" s="64">
        <v>1</v>
      </c>
      <c r="AS115" s="64">
        <v>0</v>
      </c>
      <c r="AT115" s="64">
        <v>0</v>
      </c>
      <c r="AU115" s="64">
        <v>0</v>
      </c>
      <c r="AV115" s="64">
        <v>0</v>
      </c>
      <c r="AW115" s="64">
        <v>0</v>
      </c>
      <c r="AX115" s="64">
        <v>0</v>
      </c>
    </row>
    <row r="116" spans="1:50" outlineLevel="1">
      <c r="D116" s="241" t="s">
        <v>283</v>
      </c>
      <c r="E116" s="241"/>
      <c r="F116" s="241"/>
      <c r="G116" s="241"/>
      <c r="I116" s="64">
        <v>0.04</v>
      </c>
      <c r="J116" s="64">
        <v>0.76</v>
      </c>
      <c r="K116" s="65">
        <f>1-SUM(I116:J116)</f>
        <v>0.19999999999999996</v>
      </c>
      <c r="L116" s="73"/>
      <c r="N116" s="64">
        <v>0</v>
      </c>
      <c r="O116" s="64">
        <v>0</v>
      </c>
      <c r="P116" s="64">
        <v>1</v>
      </c>
      <c r="Q116" s="64">
        <v>0</v>
      </c>
      <c r="R116" s="64">
        <v>0</v>
      </c>
      <c r="S116" s="64">
        <v>0</v>
      </c>
      <c r="T116" s="64">
        <v>0</v>
      </c>
      <c r="U116" s="64">
        <v>0</v>
      </c>
      <c r="V116" s="64">
        <v>0</v>
      </c>
      <c r="W116" s="64">
        <v>0</v>
      </c>
      <c r="X116" s="64">
        <v>0</v>
      </c>
      <c r="Y116" s="64">
        <v>0</v>
      </c>
      <c r="AA116" s="73"/>
      <c r="AC116" s="64">
        <v>1</v>
      </c>
      <c r="AD116" s="64">
        <v>0</v>
      </c>
      <c r="AE116" s="64">
        <v>0</v>
      </c>
      <c r="AF116" s="64">
        <v>0</v>
      </c>
      <c r="AG116" s="64">
        <v>0</v>
      </c>
      <c r="AH116" s="64">
        <v>0</v>
      </c>
      <c r="AI116" s="64">
        <v>0</v>
      </c>
      <c r="AJ116" s="64">
        <v>0</v>
      </c>
      <c r="AK116" s="64">
        <v>0</v>
      </c>
      <c r="AL116" s="64">
        <v>0</v>
      </c>
      <c r="AM116" s="64">
        <v>0</v>
      </c>
      <c r="AN116" s="64">
        <v>0</v>
      </c>
      <c r="AO116" s="147">
        <v>0</v>
      </c>
      <c r="AP116" s="73"/>
      <c r="AR116" s="64">
        <v>1</v>
      </c>
      <c r="AS116" s="64">
        <v>0</v>
      </c>
      <c r="AT116" s="64">
        <v>0</v>
      </c>
      <c r="AU116" s="64">
        <v>0</v>
      </c>
      <c r="AV116" s="64">
        <v>0</v>
      </c>
      <c r="AW116" s="64">
        <v>0</v>
      </c>
      <c r="AX116" s="64">
        <v>0</v>
      </c>
    </row>
    <row r="117" spans="1:50" outlineLevel="1">
      <c r="D117" s="241" t="s">
        <v>284</v>
      </c>
      <c r="E117" s="241"/>
      <c r="F117" s="241"/>
      <c r="G117" s="241"/>
      <c r="I117" s="64">
        <v>0.04</v>
      </c>
      <c r="J117" s="64">
        <v>0.76</v>
      </c>
      <c r="K117" s="65">
        <f>1-SUM(I117:J117)</f>
        <v>0.19999999999999996</v>
      </c>
      <c r="L117" s="73"/>
      <c r="N117" s="64">
        <v>0</v>
      </c>
      <c r="O117" s="64">
        <v>0</v>
      </c>
      <c r="P117" s="64">
        <v>1</v>
      </c>
      <c r="Q117" s="64">
        <v>0</v>
      </c>
      <c r="R117" s="64">
        <v>0</v>
      </c>
      <c r="S117" s="64">
        <v>0</v>
      </c>
      <c r="T117" s="64">
        <v>0</v>
      </c>
      <c r="U117" s="64">
        <v>0</v>
      </c>
      <c r="V117" s="64">
        <v>0</v>
      </c>
      <c r="W117" s="64">
        <v>0</v>
      </c>
      <c r="X117" s="64">
        <v>0</v>
      </c>
      <c r="Y117" s="64">
        <v>0</v>
      </c>
      <c r="AA117" s="73"/>
      <c r="AC117" s="64">
        <v>1</v>
      </c>
      <c r="AD117" s="64">
        <v>0</v>
      </c>
      <c r="AE117" s="64">
        <v>0</v>
      </c>
      <c r="AF117" s="64">
        <v>0</v>
      </c>
      <c r="AG117" s="64">
        <v>0</v>
      </c>
      <c r="AH117" s="64">
        <v>0</v>
      </c>
      <c r="AI117" s="64">
        <v>0</v>
      </c>
      <c r="AJ117" s="64">
        <v>0</v>
      </c>
      <c r="AK117" s="64">
        <v>0</v>
      </c>
      <c r="AL117" s="64">
        <v>0</v>
      </c>
      <c r="AM117" s="64">
        <v>0</v>
      </c>
      <c r="AN117" s="64">
        <v>0</v>
      </c>
      <c r="AO117" s="147">
        <v>0</v>
      </c>
      <c r="AP117" s="73"/>
      <c r="AR117" s="64">
        <v>1</v>
      </c>
      <c r="AS117" s="64">
        <v>0</v>
      </c>
      <c r="AT117" s="64">
        <v>0</v>
      </c>
      <c r="AU117" s="64">
        <v>0</v>
      </c>
      <c r="AV117" s="64">
        <v>0</v>
      </c>
      <c r="AW117" s="64">
        <v>0</v>
      </c>
      <c r="AX117" s="64">
        <v>0</v>
      </c>
    </row>
    <row r="118" spans="1:50" outlineLevel="1">
      <c r="D118" s="241" t="s">
        <v>124</v>
      </c>
      <c r="E118" s="241"/>
      <c r="F118" s="241"/>
      <c r="G118" s="241"/>
      <c r="I118" s="64">
        <v>0</v>
      </c>
      <c r="J118" s="64">
        <v>0</v>
      </c>
      <c r="K118" s="65">
        <f>1-SUM(I118:J118)</f>
        <v>1</v>
      </c>
      <c r="L118" s="73"/>
      <c r="N118" s="64">
        <v>0</v>
      </c>
      <c r="O118" s="64">
        <v>0.5</v>
      </c>
      <c r="P118" s="64">
        <v>0.5</v>
      </c>
      <c r="Q118" s="64">
        <v>0</v>
      </c>
      <c r="R118" s="64">
        <v>0</v>
      </c>
      <c r="S118" s="64">
        <v>0</v>
      </c>
      <c r="T118" s="64">
        <v>0</v>
      </c>
      <c r="U118" s="64">
        <v>0</v>
      </c>
      <c r="V118" s="64">
        <v>0</v>
      </c>
      <c r="W118" s="64">
        <v>0</v>
      </c>
      <c r="X118" s="64">
        <v>0</v>
      </c>
      <c r="Y118" s="64">
        <v>0</v>
      </c>
      <c r="AA118" s="73"/>
      <c r="AC118" s="64">
        <v>1</v>
      </c>
      <c r="AD118" s="64">
        <v>0</v>
      </c>
      <c r="AE118" s="64">
        <v>0</v>
      </c>
      <c r="AF118" s="64">
        <v>0</v>
      </c>
      <c r="AG118" s="64">
        <v>0</v>
      </c>
      <c r="AH118" s="64">
        <v>0</v>
      </c>
      <c r="AI118" s="64">
        <v>0</v>
      </c>
      <c r="AJ118" s="64">
        <v>0</v>
      </c>
      <c r="AK118" s="64">
        <v>0</v>
      </c>
      <c r="AL118" s="64">
        <v>0</v>
      </c>
      <c r="AM118" s="64">
        <v>0</v>
      </c>
      <c r="AN118" s="64">
        <v>0</v>
      </c>
      <c r="AO118" s="147">
        <v>0</v>
      </c>
      <c r="AP118" s="73"/>
      <c r="AR118" s="64">
        <v>1</v>
      </c>
      <c r="AS118" s="64">
        <v>0</v>
      </c>
      <c r="AT118" s="64">
        <v>0</v>
      </c>
      <c r="AU118" s="64">
        <v>0</v>
      </c>
      <c r="AV118" s="64">
        <v>0</v>
      </c>
      <c r="AW118" s="64">
        <v>0</v>
      </c>
      <c r="AX118" s="64">
        <v>0</v>
      </c>
    </row>
    <row r="119" spans="1:50" outlineLevel="1">
      <c r="L119" s="73"/>
      <c r="AA119" s="73"/>
      <c r="AC119" s="105" t="s">
        <v>458</v>
      </c>
      <c r="AP119" s="73"/>
    </row>
    <row r="120" spans="1:50" outlineLevel="1">
      <c r="C120" s="37" t="s">
        <v>367</v>
      </c>
      <c r="L120" s="73"/>
      <c r="AA120" s="73"/>
      <c r="AP120" s="73"/>
    </row>
    <row r="121" spans="1:50" ht="5.9" customHeight="1" outlineLevel="1">
      <c r="L121" s="73"/>
      <c r="AA121" s="73"/>
      <c r="AP121" s="73"/>
    </row>
    <row r="122" spans="1:50" outlineLevel="1">
      <c r="D122" s="241" t="s">
        <v>368</v>
      </c>
      <c r="E122" s="241"/>
      <c r="F122" s="241"/>
      <c r="G122" s="241"/>
      <c r="L122" s="73"/>
      <c r="N122" s="64">
        <v>0</v>
      </c>
      <c r="O122" s="64">
        <v>0</v>
      </c>
      <c r="P122" s="64">
        <v>0</v>
      </c>
      <c r="Q122" s="64">
        <v>0</v>
      </c>
      <c r="R122" s="64">
        <v>0</v>
      </c>
      <c r="S122" s="64">
        <v>0</v>
      </c>
      <c r="T122" s="64">
        <v>0</v>
      </c>
      <c r="U122" s="64">
        <v>0</v>
      </c>
      <c r="V122" s="64">
        <v>0</v>
      </c>
      <c r="W122" s="64">
        <v>0</v>
      </c>
      <c r="X122" s="64">
        <v>0</v>
      </c>
      <c r="Y122" s="64">
        <v>0</v>
      </c>
      <c r="AA122" s="73"/>
      <c r="AC122" s="64">
        <v>0</v>
      </c>
      <c r="AD122" s="64">
        <v>0</v>
      </c>
      <c r="AE122" s="64">
        <v>0</v>
      </c>
      <c r="AF122" s="64">
        <v>0</v>
      </c>
      <c r="AG122" s="64">
        <v>0</v>
      </c>
      <c r="AH122" s="64">
        <v>0</v>
      </c>
      <c r="AI122" s="64">
        <v>0</v>
      </c>
      <c r="AJ122" s="64">
        <v>0</v>
      </c>
      <c r="AK122" s="64">
        <v>0</v>
      </c>
      <c r="AL122" s="64">
        <v>0</v>
      </c>
      <c r="AM122" s="64">
        <v>0</v>
      </c>
      <c r="AN122" s="64">
        <v>0</v>
      </c>
      <c r="AO122" s="147">
        <v>0</v>
      </c>
      <c r="AP122" s="73"/>
      <c r="AR122" s="64">
        <v>0</v>
      </c>
      <c r="AS122" s="64">
        <v>0</v>
      </c>
      <c r="AT122" s="64">
        <v>0</v>
      </c>
      <c r="AU122" s="64">
        <v>0</v>
      </c>
      <c r="AV122" s="64">
        <v>0</v>
      </c>
      <c r="AW122" s="64">
        <v>0</v>
      </c>
      <c r="AX122" s="64">
        <v>0</v>
      </c>
    </row>
    <row r="124" spans="1:50" s="2" customFormat="1">
      <c r="A124"/>
      <c r="B124" s="2" t="s">
        <v>237</v>
      </c>
    </row>
    <row r="125" spans="1:50" ht="5.9" customHeight="1"/>
    <row r="126" spans="1:50" ht="14">
      <c r="C126" s="77" t="str">
        <f>Dom_Meters!B25</f>
        <v>Domestic Meters - Planned</v>
      </c>
      <c r="I126" s="37" t="str">
        <f>GC!H14</f>
        <v>Network</v>
      </c>
    </row>
    <row r="127" spans="1:50" ht="5.9" customHeight="1" outlineLevel="1"/>
    <row r="128" spans="1:50" outlineLevel="1">
      <c r="I128" s="242" t="s">
        <v>194</v>
      </c>
      <c r="J128" s="242"/>
      <c r="K128" s="242"/>
      <c r="L128" s="73"/>
      <c r="N128" s="242" t="s">
        <v>195</v>
      </c>
      <c r="O128" s="242"/>
      <c r="P128" s="242"/>
      <c r="Q128" s="242"/>
      <c r="R128" s="242"/>
      <c r="S128" s="242"/>
      <c r="T128" s="242"/>
      <c r="U128" s="242"/>
      <c r="V128" s="242"/>
      <c r="W128" s="242"/>
      <c r="X128" s="242"/>
      <c r="Y128" s="242"/>
      <c r="Z128" s="242"/>
      <c r="AA128" s="73"/>
      <c r="AC128" s="245" t="s">
        <v>196</v>
      </c>
      <c r="AD128" s="245"/>
      <c r="AE128" s="245"/>
      <c r="AF128" s="245"/>
      <c r="AG128" s="245"/>
      <c r="AH128" s="245"/>
      <c r="AI128" s="245"/>
      <c r="AJ128" s="245"/>
      <c r="AK128" s="245"/>
      <c r="AL128" s="245"/>
      <c r="AM128" s="245"/>
      <c r="AN128" s="245"/>
      <c r="AO128" s="245"/>
      <c r="AP128" s="73"/>
      <c r="AR128" s="242" t="s">
        <v>311</v>
      </c>
      <c r="AS128" s="242"/>
      <c r="AT128" s="242"/>
      <c r="AU128" s="242"/>
      <c r="AV128" s="242"/>
      <c r="AW128" s="242"/>
      <c r="AX128" s="242"/>
    </row>
    <row r="129" spans="1:50" ht="46" outlineLevel="1">
      <c r="D129" s="37" t="s">
        <v>160</v>
      </c>
      <c r="I129" s="57" t="s">
        <v>128</v>
      </c>
      <c r="J129" s="57" t="s">
        <v>129</v>
      </c>
      <c r="K129" s="57" t="s">
        <v>130</v>
      </c>
      <c r="L129" s="73"/>
      <c r="N129" s="57" t="str">
        <f ca="1">OFFSET(Dom_Meters!$E125,N130,,,)</f>
        <v>Transmission pipelines - post 1998</v>
      </c>
      <c r="O129" s="57" t="str">
        <f ca="1">OFFSET(Dom_Meters!$E125,O130,,,)</f>
        <v>Distribution pipelines - post 1998</v>
      </c>
      <c r="P129" s="57" t="str">
        <f ca="1">OFFSET(Dom_Meters!$E125,P130,,,)</f>
        <v>Service pipes - post 1998</v>
      </c>
      <c r="Q129" s="57" t="str">
        <f ca="1">OFFSET(Dom_Meters!$E125,Q130,,,)</f>
        <v>Cathodic protection - post 1998</v>
      </c>
      <c r="R129" s="57" t="str">
        <f ca="1">OFFSET(Dom_Meters!$E125,R130,,,)</f>
        <v>Supply Regulators / Valve Stations</v>
      </c>
      <c r="S129" s="57" t="str">
        <f ca="1">OFFSET(Dom_Meters!$E125,S130,,,)</f>
        <v>Meters</v>
      </c>
      <c r="T129" s="57" t="str">
        <f ca="1">OFFSET(Dom_Meters!$E125,T130,,,)</f>
        <v>SCADA and remote control</v>
      </c>
      <c r="U129" s="57" t="str">
        <f ca="1">OFFSET(Dom_Meters!$E125,U130,,,)</f>
        <v>Buildings</v>
      </c>
      <c r="V129" s="57" t="str">
        <f ca="1">OFFSET(Dom_Meters!$E125,V130,,,)</f>
        <v>Other - IT</v>
      </c>
      <c r="W129" s="57" t="str">
        <f ca="1">OFFSET(Dom_Meters!$E125,W130,,,)</f>
        <v>Other - non IT</v>
      </c>
      <c r="X129" s="57" t="str">
        <f ca="1">OFFSET(Dom_Meters!$E125,X130,,,)</f>
        <v>Land</v>
      </c>
      <c r="Y129" s="57" t="str">
        <f ca="1">OFFSET(Dom_Meters!$E125,Y130,,,)</f>
        <v>Capitalised Leases</v>
      </c>
      <c r="AA129" s="139"/>
      <c r="AC129" s="57" t="str">
        <f ca="1">OFFSET(Dom_Meters!$E208,AC130,,,)</f>
        <v>Mains replacement</v>
      </c>
      <c r="AD129" s="57" t="str">
        <f ca="1">OFFSET(Dom_Meters!$E208,AD130,,,)</f>
        <v>Residential new customer connections</v>
      </c>
      <c r="AE129" s="57" t="str">
        <f ca="1">OFFSET(Dom_Meters!$E208,AE130,,,)</f>
        <v>Commercial and industrial new customer connections</v>
      </c>
      <c r="AF129" s="57" t="str">
        <f ca="1">OFFSET(Dom_Meters!$E208,AF130,,,)</f>
        <v>Residential meter replacement</v>
      </c>
      <c r="AG129" s="57" t="str">
        <f ca="1">OFFSET(Dom_Meters!$E208,AG130,,,)</f>
        <v>Commercial and industrial meter replacement</v>
      </c>
      <c r="AH129" s="57" t="str">
        <f ca="1">OFFSET(Dom_Meters!$E208,AH130,,,)</f>
        <v>Augmentation</v>
      </c>
      <c r="AI129" s="57" t="str">
        <f ca="1">OFFSET(Dom_Meters!$E208,AI130,,,)</f>
        <v>IT capex</v>
      </c>
      <c r="AJ129" s="57" t="str">
        <f ca="1">OFFSET(Dom_Meters!$E208,AJ130,,,)</f>
        <v>SCADA</v>
      </c>
      <c r="AK129" s="57" t="str">
        <f ca="1">OFFSET(Dom_Meters!$E208,AK130,,,)</f>
        <v>Other</v>
      </c>
      <c r="AL129" s="57" t="str">
        <f ca="1">OFFSET(Dom_Meters!$E208,AL130,,,)</f>
        <v>Capitalised Leases</v>
      </c>
      <c r="AM129" s="57" t="str">
        <f ca="1">OFFSET(Dom_Meters!$E208,AM130,,,)</f>
        <v>Gas Extensions - Energy for the Regions</v>
      </c>
      <c r="AN129" s="57" t="str">
        <f ca="1">OFFSET(Dom_Meters!$E208,AN130,,,)</f>
        <v>Gas Extensions - Other</v>
      </c>
      <c r="AO129" s="57" t="str">
        <f ca="1">OFFSET(Dom_Meters!$E208,AO130,,,)</f>
        <v>Customer contributions</v>
      </c>
      <c r="AP129" s="73"/>
      <c r="AR129" s="57" t="str">
        <f ca="1">OFFSET(Dom_Meters!$E265,AR130,,,)</f>
        <v>Mains &amp; Services</v>
      </c>
      <c r="AS129" s="57" t="str">
        <f ca="1">OFFSET(Dom_Meters!$E265,AS130,,,)</f>
        <v>Meters Domestic</v>
      </c>
      <c r="AT129" s="57" t="str">
        <f ca="1">OFFSET(Dom_Meters!$E265,AT130,,,)</f>
        <v>Meters Industrial &amp; Commercial</v>
      </c>
      <c r="AU129" s="57" t="str">
        <f ca="1">OFFSET(Dom_Meters!$E265,AU130,,,)</f>
        <v>Buildings</v>
      </c>
      <c r="AV129" s="57" t="str">
        <f ca="1">OFFSET(Dom_Meters!$E265,AV130,,,)</f>
        <v>Other Assets</v>
      </c>
      <c r="AW129" s="57" t="str">
        <f ca="1">OFFSET(Dom_Meters!$E265,AW130,,,)</f>
        <v>Repairs</v>
      </c>
      <c r="AX129" s="57" t="str">
        <f ca="1">OFFSET(Dom_Meters!$E265,AX130,,,)</f>
        <v>Land</v>
      </c>
    </row>
    <row r="130" spans="1:50" hidden="1" outlineLevel="2">
      <c r="L130" s="73"/>
      <c r="N130" s="68">
        <v>13</v>
      </c>
      <c r="O130" s="68">
        <v>14</v>
      </c>
      <c r="P130" s="68">
        <v>15</v>
      </c>
      <c r="Q130" s="68">
        <v>16</v>
      </c>
      <c r="R130" s="68">
        <v>5</v>
      </c>
      <c r="S130" s="68">
        <v>6</v>
      </c>
      <c r="T130" s="68">
        <v>7</v>
      </c>
      <c r="U130" s="68">
        <v>8</v>
      </c>
      <c r="V130" s="68">
        <v>9</v>
      </c>
      <c r="W130" s="68">
        <v>10</v>
      </c>
      <c r="X130" s="68">
        <v>11</v>
      </c>
      <c r="Y130" s="142">
        <v>12</v>
      </c>
      <c r="AA130" s="73"/>
      <c r="AC130" s="68">
        <v>1</v>
      </c>
      <c r="AD130" s="68">
        <v>2</v>
      </c>
      <c r="AE130" s="68">
        <v>3</v>
      </c>
      <c r="AF130" s="68">
        <v>4</v>
      </c>
      <c r="AG130" s="68">
        <v>5</v>
      </c>
      <c r="AH130" s="68">
        <v>6</v>
      </c>
      <c r="AI130" s="68">
        <v>7</v>
      </c>
      <c r="AJ130" s="68">
        <v>8</v>
      </c>
      <c r="AK130" s="68">
        <v>9</v>
      </c>
      <c r="AL130" s="67">
        <v>10</v>
      </c>
      <c r="AM130" s="67">
        <v>11</v>
      </c>
      <c r="AN130" s="136">
        <v>12</v>
      </c>
      <c r="AO130" s="67">
        <v>13</v>
      </c>
      <c r="AP130" s="73"/>
      <c r="AR130" s="68">
        <v>1</v>
      </c>
      <c r="AS130" s="68">
        <v>2</v>
      </c>
      <c r="AT130" s="68">
        <v>3</v>
      </c>
      <c r="AU130" s="68">
        <v>4</v>
      </c>
      <c r="AV130" s="68">
        <v>5</v>
      </c>
      <c r="AW130" s="68">
        <v>6</v>
      </c>
      <c r="AX130" s="138">
        <v>7</v>
      </c>
    </row>
    <row r="131" spans="1:50" ht="5.9" customHeight="1" outlineLevel="1" collapsed="1">
      <c r="L131" s="73"/>
      <c r="Y131" s="145"/>
      <c r="AA131" s="73"/>
      <c r="AP131" s="73"/>
    </row>
    <row r="132" spans="1:50" outlineLevel="1">
      <c r="D132" s="241" t="s">
        <v>296</v>
      </c>
      <c r="E132" s="241"/>
      <c r="F132" s="241"/>
      <c r="G132" s="241"/>
      <c r="I132" s="64">
        <v>0.13</v>
      </c>
      <c r="J132" s="64">
        <v>0.4</v>
      </c>
      <c r="K132" s="65">
        <f>1-SUM(I132:J132)</f>
        <v>0.47</v>
      </c>
      <c r="L132" s="73"/>
      <c r="N132" s="64">
        <v>0</v>
      </c>
      <c r="O132" s="64">
        <v>0</v>
      </c>
      <c r="P132" s="64">
        <v>0</v>
      </c>
      <c r="Q132" s="64">
        <v>0</v>
      </c>
      <c r="R132" s="64">
        <v>0</v>
      </c>
      <c r="S132" s="64">
        <v>1</v>
      </c>
      <c r="T132" s="64">
        <v>0</v>
      </c>
      <c r="U132" s="64">
        <v>0</v>
      </c>
      <c r="V132" s="64">
        <v>0</v>
      </c>
      <c r="W132" s="64">
        <v>0</v>
      </c>
      <c r="X132" s="64">
        <v>0</v>
      </c>
      <c r="Y132" s="64">
        <v>0</v>
      </c>
      <c r="AA132" s="73"/>
      <c r="AC132" s="64">
        <v>0</v>
      </c>
      <c r="AD132" s="64">
        <v>0</v>
      </c>
      <c r="AE132" s="64">
        <v>0</v>
      </c>
      <c r="AF132" s="64">
        <v>1</v>
      </c>
      <c r="AG132" s="64">
        <v>0</v>
      </c>
      <c r="AH132" s="64">
        <v>0</v>
      </c>
      <c r="AI132" s="64">
        <v>0</v>
      </c>
      <c r="AJ132" s="64">
        <v>0</v>
      </c>
      <c r="AK132" s="64">
        <v>0</v>
      </c>
      <c r="AL132" s="64">
        <v>0</v>
      </c>
      <c r="AM132" s="64">
        <v>0</v>
      </c>
      <c r="AN132" s="64">
        <v>0</v>
      </c>
      <c r="AO132" s="147">
        <v>0</v>
      </c>
      <c r="AP132" s="73"/>
      <c r="AR132" s="64">
        <v>0</v>
      </c>
      <c r="AS132" s="64">
        <v>1</v>
      </c>
      <c r="AT132" s="64">
        <v>0</v>
      </c>
      <c r="AU132" s="64">
        <v>0</v>
      </c>
      <c r="AV132" s="64">
        <v>0</v>
      </c>
      <c r="AW132" s="64">
        <v>0</v>
      </c>
      <c r="AX132" s="64">
        <v>0</v>
      </c>
    </row>
    <row r="133" spans="1:50" outlineLevel="1">
      <c r="D133" s="241" t="s">
        <v>297</v>
      </c>
      <c r="E133" s="241"/>
      <c r="F133" s="241"/>
      <c r="G133" s="241"/>
      <c r="I133" s="64">
        <v>0.02</v>
      </c>
      <c r="J133" s="64">
        <v>0.45</v>
      </c>
      <c r="K133" s="65">
        <f>1-SUM(I133:J133)</f>
        <v>0.53</v>
      </c>
      <c r="L133" s="73"/>
      <c r="N133" s="64">
        <v>0</v>
      </c>
      <c r="O133" s="64">
        <v>0</v>
      </c>
      <c r="P133" s="64">
        <v>0</v>
      </c>
      <c r="Q133" s="64">
        <v>0</v>
      </c>
      <c r="R133" s="64">
        <v>0</v>
      </c>
      <c r="S133" s="64">
        <v>1</v>
      </c>
      <c r="T133" s="64">
        <v>0</v>
      </c>
      <c r="U133" s="64">
        <v>0</v>
      </c>
      <c r="V133" s="64">
        <v>0</v>
      </c>
      <c r="W133" s="64">
        <v>0</v>
      </c>
      <c r="X133" s="64">
        <v>0</v>
      </c>
      <c r="Y133" s="64">
        <v>0</v>
      </c>
      <c r="AA133" s="73"/>
      <c r="AC133" s="64">
        <v>0</v>
      </c>
      <c r="AD133" s="64">
        <v>0</v>
      </c>
      <c r="AE133" s="64">
        <v>0</v>
      </c>
      <c r="AF133" s="64">
        <v>1</v>
      </c>
      <c r="AG133" s="64">
        <v>0</v>
      </c>
      <c r="AH133" s="64">
        <v>0</v>
      </c>
      <c r="AI133" s="64">
        <v>0</v>
      </c>
      <c r="AJ133" s="64">
        <v>0</v>
      </c>
      <c r="AK133" s="64">
        <v>0</v>
      </c>
      <c r="AL133" s="64">
        <v>0</v>
      </c>
      <c r="AM133" s="64">
        <v>0</v>
      </c>
      <c r="AN133" s="64">
        <v>0</v>
      </c>
      <c r="AO133" s="147">
        <v>0</v>
      </c>
      <c r="AP133" s="73"/>
      <c r="AR133" s="64">
        <v>0</v>
      </c>
      <c r="AS133" s="64">
        <v>1</v>
      </c>
      <c r="AT133" s="64">
        <v>0</v>
      </c>
      <c r="AU133" s="64">
        <v>0</v>
      </c>
      <c r="AV133" s="64">
        <v>0</v>
      </c>
      <c r="AW133" s="64">
        <v>0</v>
      </c>
      <c r="AX133" s="64">
        <v>0</v>
      </c>
    </row>
    <row r="134" spans="1:50" outlineLevel="1">
      <c r="D134" s="241" t="s">
        <v>298</v>
      </c>
      <c r="E134" s="241"/>
      <c r="F134" s="241"/>
      <c r="G134" s="241"/>
      <c r="I134" s="64">
        <v>0.25</v>
      </c>
      <c r="J134" s="64">
        <v>0.5</v>
      </c>
      <c r="K134" s="65">
        <f>1-SUM(I134:J134)</f>
        <v>0.25</v>
      </c>
      <c r="L134" s="73"/>
      <c r="N134" s="64">
        <v>0</v>
      </c>
      <c r="O134" s="64">
        <v>0</v>
      </c>
      <c r="P134" s="64">
        <v>0</v>
      </c>
      <c r="Q134" s="64">
        <v>0</v>
      </c>
      <c r="R134" s="64">
        <v>0</v>
      </c>
      <c r="S134" s="64">
        <v>1</v>
      </c>
      <c r="T134" s="64">
        <v>0</v>
      </c>
      <c r="U134" s="64">
        <v>0</v>
      </c>
      <c r="V134" s="64">
        <v>0</v>
      </c>
      <c r="W134" s="64">
        <v>0</v>
      </c>
      <c r="X134" s="64">
        <v>0</v>
      </c>
      <c r="Y134" s="64">
        <v>0</v>
      </c>
      <c r="AA134" s="73"/>
      <c r="AC134" s="64">
        <v>0</v>
      </c>
      <c r="AD134" s="64">
        <v>0</v>
      </c>
      <c r="AE134" s="64">
        <v>0</v>
      </c>
      <c r="AF134" s="64">
        <v>1</v>
      </c>
      <c r="AG134" s="64">
        <v>0</v>
      </c>
      <c r="AH134" s="64">
        <v>0</v>
      </c>
      <c r="AI134" s="64">
        <v>0</v>
      </c>
      <c r="AJ134" s="64">
        <v>0</v>
      </c>
      <c r="AK134" s="64">
        <v>0</v>
      </c>
      <c r="AL134" s="64">
        <v>0</v>
      </c>
      <c r="AM134" s="64">
        <v>0</v>
      </c>
      <c r="AN134" s="64">
        <v>0</v>
      </c>
      <c r="AO134" s="147">
        <v>0</v>
      </c>
      <c r="AP134" s="73"/>
      <c r="AR134" s="64">
        <v>0</v>
      </c>
      <c r="AS134" s="64">
        <v>1</v>
      </c>
      <c r="AT134" s="64">
        <v>0</v>
      </c>
      <c r="AU134" s="64">
        <v>0</v>
      </c>
      <c r="AV134" s="64">
        <v>0</v>
      </c>
      <c r="AW134" s="64">
        <v>0</v>
      </c>
      <c r="AX134" s="64">
        <v>0</v>
      </c>
    </row>
    <row r="135" spans="1:50" outlineLevel="1">
      <c r="D135" s="241" t="s">
        <v>299</v>
      </c>
      <c r="E135" s="241"/>
      <c r="F135" s="241"/>
      <c r="G135" s="241"/>
      <c r="I135" s="64">
        <v>0.25</v>
      </c>
      <c r="J135" s="64">
        <v>0.5</v>
      </c>
      <c r="K135" s="65">
        <f>1-SUM(I135:J135)</f>
        <v>0.25</v>
      </c>
      <c r="L135" s="73"/>
      <c r="N135" s="64">
        <v>0</v>
      </c>
      <c r="O135" s="64">
        <v>0</v>
      </c>
      <c r="P135" s="64">
        <v>0</v>
      </c>
      <c r="Q135" s="64">
        <v>0</v>
      </c>
      <c r="R135" s="64">
        <v>0</v>
      </c>
      <c r="S135" s="64">
        <v>1</v>
      </c>
      <c r="T135" s="64">
        <v>0</v>
      </c>
      <c r="U135" s="64">
        <v>0</v>
      </c>
      <c r="V135" s="64">
        <v>0</v>
      </c>
      <c r="W135" s="64">
        <v>0</v>
      </c>
      <c r="X135" s="64">
        <v>0</v>
      </c>
      <c r="Y135" s="64">
        <v>0</v>
      </c>
      <c r="AA135" s="73"/>
      <c r="AC135" s="64">
        <v>0</v>
      </c>
      <c r="AD135" s="64">
        <v>0</v>
      </c>
      <c r="AE135" s="64">
        <v>0</v>
      </c>
      <c r="AF135" s="64">
        <v>1</v>
      </c>
      <c r="AG135" s="64">
        <v>0</v>
      </c>
      <c r="AH135" s="64">
        <v>0</v>
      </c>
      <c r="AI135" s="64">
        <v>0</v>
      </c>
      <c r="AJ135" s="64">
        <v>0</v>
      </c>
      <c r="AK135" s="64">
        <v>0</v>
      </c>
      <c r="AL135" s="64">
        <v>0</v>
      </c>
      <c r="AM135" s="64">
        <v>0</v>
      </c>
      <c r="AN135" s="64">
        <v>0</v>
      </c>
      <c r="AO135" s="147">
        <v>0</v>
      </c>
      <c r="AP135" s="73"/>
      <c r="AR135" s="64">
        <v>0</v>
      </c>
      <c r="AS135" s="64">
        <v>1</v>
      </c>
      <c r="AT135" s="64">
        <v>0</v>
      </c>
      <c r="AU135" s="64">
        <v>0</v>
      </c>
      <c r="AV135" s="64">
        <v>0</v>
      </c>
      <c r="AW135" s="64">
        <v>0</v>
      </c>
      <c r="AX135" s="64">
        <v>0</v>
      </c>
    </row>
    <row r="136" spans="1:50" outlineLevel="1">
      <c r="D136" s="241" t="s">
        <v>468</v>
      </c>
      <c r="E136" s="241"/>
      <c r="F136" s="241"/>
      <c r="G136" s="241"/>
      <c r="I136" s="64">
        <v>0.25</v>
      </c>
      <c r="J136" s="64">
        <v>0.5</v>
      </c>
      <c r="K136" s="65">
        <f>1-SUM(I136:J136)</f>
        <v>0.25</v>
      </c>
      <c r="L136" s="73"/>
      <c r="N136" s="64">
        <v>0</v>
      </c>
      <c r="O136" s="64">
        <v>0</v>
      </c>
      <c r="P136" s="64">
        <v>0</v>
      </c>
      <c r="Q136" s="64">
        <v>0</v>
      </c>
      <c r="R136" s="64">
        <v>0</v>
      </c>
      <c r="S136" s="183">
        <v>1</v>
      </c>
      <c r="T136" s="64">
        <v>0</v>
      </c>
      <c r="U136" s="64">
        <v>0</v>
      </c>
      <c r="V136" s="64">
        <v>0</v>
      </c>
      <c r="W136" s="64">
        <v>0</v>
      </c>
      <c r="X136" s="64">
        <v>0</v>
      </c>
      <c r="Y136" s="64">
        <v>0</v>
      </c>
      <c r="AA136" s="73"/>
      <c r="AC136" s="64">
        <v>0</v>
      </c>
      <c r="AD136" s="64">
        <v>0</v>
      </c>
      <c r="AE136" s="64">
        <v>0</v>
      </c>
      <c r="AF136" s="64">
        <v>1</v>
      </c>
      <c r="AG136" s="64">
        <v>0</v>
      </c>
      <c r="AH136" s="64">
        <v>0</v>
      </c>
      <c r="AI136" s="64">
        <v>0</v>
      </c>
      <c r="AJ136" s="64">
        <v>0</v>
      </c>
      <c r="AK136" s="64">
        <v>0</v>
      </c>
      <c r="AL136" s="64">
        <v>0</v>
      </c>
      <c r="AM136" s="64">
        <v>0</v>
      </c>
      <c r="AN136" s="64">
        <v>0</v>
      </c>
      <c r="AO136" s="147">
        <v>0</v>
      </c>
      <c r="AP136" s="73"/>
      <c r="AR136" s="64">
        <v>0</v>
      </c>
      <c r="AS136" s="64">
        <v>1</v>
      </c>
      <c r="AT136" s="64">
        <v>0</v>
      </c>
      <c r="AU136" s="64">
        <v>0</v>
      </c>
      <c r="AV136" s="64">
        <v>0</v>
      </c>
      <c r="AW136" s="64">
        <v>0</v>
      </c>
      <c r="AX136" s="64">
        <v>0</v>
      </c>
    </row>
    <row r="137" spans="1:50" outlineLevel="1">
      <c r="L137" s="73"/>
      <c r="AA137" s="73"/>
      <c r="AC137" s="105" t="s">
        <v>458</v>
      </c>
      <c r="AP137" s="73"/>
    </row>
    <row r="138" spans="1:50" outlineLevel="1">
      <c r="C138" s="37" t="s">
        <v>367</v>
      </c>
      <c r="L138" s="73"/>
      <c r="AA138" s="73"/>
      <c r="AP138" s="73"/>
    </row>
    <row r="139" spans="1:50" ht="5.9" customHeight="1" outlineLevel="1">
      <c r="L139" s="73"/>
      <c r="AA139" s="73"/>
      <c r="AP139" s="73"/>
    </row>
    <row r="140" spans="1:50" outlineLevel="1">
      <c r="D140" s="241" t="s">
        <v>368</v>
      </c>
      <c r="E140" s="241"/>
      <c r="F140" s="241"/>
      <c r="G140" s="241"/>
      <c r="L140" s="73"/>
      <c r="N140" s="64">
        <v>0</v>
      </c>
      <c r="O140" s="64">
        <v>0</v>
      </c>
      <c r="P140" s="64">
        <v>0</v>
      </c>
      <c r="Q140" s="64">
        <v>0</v>
      </c>
      <c r="R140" s="64">
        <v>0</v>
      </c>
      <c r="S140" s="64">
        <v>0</v>
      </c>
      <c r="T140" s="64">
        <v>0</v>
      </c>
      <c r="U140" s="64">
        <v>0</v>
      </c>
      <c r="V140" s="64">
        <v>0</v>
      </c>
      <c r="W140" s="64">
        <v>0</v>
      </c>
      <c r="X140" s="64">
        <v>0</v>
      </c>
      <c r="Y140" s="64">
        <v>0</v>
      </c>
      <c r="AA140" s="73"/>
      <c r="AC140" s="64">
        <v>0</v>
      </c>
      <c r="AD140" s="64">
        <v>0</v>
      </c>
      <c r="AE140" s="64">
        <v>0</v>
      </c>
      <c r="AF140" s="64">
        <v>0</v>
      </c>
      <c r="AG140" s="64">
        <v>0</v>
      </c>
      <c r="AH140" s="64">
        <v>0</v>
      </c>
      <c r="AI140" s="64">
        <v>0</v>
      </c>
      <c r="AJ140" s="64">
        <v>0</v>
      </c>
      <c r="AK140" s="64">
        <v>0</v>
      </c>
      <c r="AL140" s="64">
        <v>0</v>
      </c>
      <c r="AM140" s="64">
        <v>0</v>
      </c>
      <c r="AN140" s="64">
        <v>0</v>
      </c>
      <c r="AO140" s="147">
        <v>0</v>
      </c>
      <c r="AP140" s="73"/>
      <c r="AR140" s="64">
        <v>0</v>
      </c>
      <c r="AS140" s="64">
        <v>0</v>
      </c>
      <c r="AT140" s="64">
        <v>0</v>
      </c>
      <c r="AU140" s="64">
        <v>0</v>
      </c>
      <c r="AV140" s="64">
        <v>0</v>
      </c>
      <c r="AW140" s="64">
        <v>0</v>
      </c>
      <c r="AX140" s="64">
        <v>0</v>
      </c>
    </row>
    <row r="142" spans="1:50" s="2" customFormat="1">
      <c r="A142"/>
      <c r="B142" s="2" t="s">
        <v>239</v>
      </c>
    </row>
    <row r="143" spans="1:50" ht="5.9" customHeight="1"/>
    <row r="144" spans="1:50" ht="14">
      <c r="C144" s="77" t="str">
        <f>Dom_Meters!B300</f>
        <v>Domestic Meters - Ad Hoc</v>
      </c>
      <c r="I144" s="37" t="str">
        <f>GC!H15</f>
        <v>Network</v>
      </c>
    </row>
    <row r="145" spans="1:50" ht="5.9" customHeight="1" outlineLevel="1"/>
    <row r="146" spans="1:50" outlineLevel="1">
      <c r="I146" s="242" t="s">
        <v>194</v>
      </c>
      <c r="J146" s="242"/>
      <c r="K146" s="242"/>
      <c r="L146" s="73"/>
      <c r="N146" s="242" t="s">
        <v>195</v>
      </c>
      <c r="O146" s="242"/>
      <c r="P146" s="242"/>
      <c r="Q146" s="242"/>
      <c r="R146" s="242"/>
      <c r="S146" s="242"/>
      <c r="T146" s="242"/>
      <c r="U146" s="242"/>
      <c r="V146" s="242"/>
      <c r="W146" s="242"/>
      <c r="X146" s="242"/>
      <c r="Y146" s="242"/>
      <c r="Z146" s="242"/>
      <c r="AA146" s="73"/>
      <c r="AC146" s="245" t="s">
        <v>196</v>
      </c>
      <c r="AD146" s="245"/>
      <c r="AE146" s="245"/>
      <c r="AF146" s="245"/>
      <c r="AG146" s="245"/>
      <c r="AH146" s="245"/>
      <c r="AI146" s="245"/>
      <c r="AJ146" s="245"/>
      <c r="AK146" s="245"/>
      <c r="AL146" s="245"/>
      <c r="AM146" s="245"/>
      <c r="AN146" s="245"/>
      <c r="AO146" s="245"/>
      <c r="AP146" s="73"/>
      <c r="AR146" s="242" t="s">
        <v>311</v>
      </c>
      <c r="AS146" s="242"/>
      <c r="AT146" s="242"/>
      <c r="AU146" s="242"/>
      <c r="AV146" s="242"/>
      <c r="AW146" s="242"/>
      <c r="AX146" s="242"/>
    </row>
    <row r="147" spans="1:50" ht="46" outlineLevel="1">
      <c r="D147" s="37" t="s">
        <v>160</v>
      </c>
      <c r="I147" s="57" t="s">
        <v>128</v>
      </c>
      <c r="J147" s="57" t="s">
        <v>129</v>
      </c>
      <c r="K147" s="57" t="s">
        <v>130</v>
      </c>
      <c r="L147" s="73"/>
      <c r="N147" s="57" t="str">
        <f ca="1">OFFSET(Dom_Meters!$E379,N148,,,)</f>
        <v>Transmission pipelines - post 1998</v>
      </c>
      <c r="O147" s="57" t="str">
        <f ca="1">OFFSET(Dom_Meters!$E379,O148,,,)</f>
        <v>Distribution pipelines - post 1998</v>
      </c>
      <c r="P147" s="57" t="str">
        <f ca="1">OFFSET(Dom_Meters!$E379,P148,,,)</f>
        <v>Service pipes - post 1998</v>
      </c>
      <c r="Q147" s="57" t="str">
        <f ca="1">OFFSET(Dom_Meters!$E379,Q148,,,)</f>
        <v>Cathodic protection - post 1998</v>
      </c>
      <c r="R147" s="57" t="str">
        <f ca="1">OFFSET(Dom_Meters!$E379,R148,,,)</f>
        <v>Supply Regulators / Valve Stations</v>
      </c>
      <c r="S147" s="57" t="str">
        <f ca="1">OFFSET(Dom_Meters!$E379,S148,,,)</f>
        <v>Meters</v>
      </c>
      <c r="T147" s="57" t="str">
        <f ca="1">OFFSET(Dom_Meters!$E379,T148,,,)</f>
        <v>SCADA and remote control</v>
      </c>
      <c r="U147" s="57" t="str">
        <f ca="1">OFFSET(Dom_Meters!$E379,U148,,,)</f>
        <v>Buildings</v>
      </c>
      <c r="V147" s="57" t="str">
        <f ca="1">OFFSET(Dom_Meters!$E379,V148,,,)</f>
        <v>Other - IT</v>
      </c>
      <c r="W147" s="57" t="str">
        <f ca="1">OFFSET(Dom_Meters!$E379,W148,,,)</f>
        <v>Other - non IT</v>
      </c>
      <c r="X147" s="57" t="str">
        <f ca="1">OFFSET(Dom_Meters!$E379,X148,,,)</f>
        <v>Land</v>
      </c>
      <c r="Y147" s="57" t="str">
        <f ca="1">OFFSET(Dom_Meters!$E379,Y148,,,)</f>
        <v>Capitalised Leases</v>
      </c>
      <c r="AA147" s="139"/>
      <c r="AC147" s="57" t="str">
        <f ca="1">OFFSET(Dom_Meters!$E462,AC148,,,)</f>
        <v>Mains replacement</v>
      </c>
      <c r="AD147" s="57" t="str">
        <f ca="1">OFFSET(Dom_Meters!$E462,AD148,,,)</f>
        <v>Residential new customer connections</v>
      </c>
      <c r="AE147" s="57" t="str">
        <f ca="1">OFFSET(Dom_Meters!$E462,AE148,,,)</f>
        <v>Commercial and industrial new customer connections</v>
      </c>
      <c r="AF147" s="57" t="str">
        <f ca="1">OFFSET(Dom_Meters!$E462,AF148,,,)</f>
        <v>Residential meter replacement</v>
      </c>
      <c r="AG147" s="57" t="str">
        <f ca="1">OFFSET(Dom_Meters!$E462,AG148,,,)</f>
        <v>Commercial and industrial meter replacement</v>
      </c>
      <c r="AH147" s="57" t="str">
        <f ca="1">OFFSET(Dom_Meters!$E462,AH148,,,)</f>
        <v>Augmentation</v>
      </c>
      <c r="AI147" s="57" t="str">
        <f ca="1">OFFSET(Dom_Meters!$E462,AI148,,,)</f>
        <v>IT capex</v>
      </c>
      <c r="AJ147" s="57" t="str">
        <f ca="1">OFFSET(Dom_Meters!$E462,AJ148,,,)</f>
        <v>SCADA</v>
      </c>
      <c r="AK147" s="57" t="str">
        <f ca="1">OFFSET(Dom_Meters!$E462,AK148,,,)</f>
        <v>Other</v>
      </c>
      <c r="AL147" s="57" t="str">
        <f ca="1">OFFSET(Dom_Meters!$E462,AL148,,,)</f>
        <v>Capitalised Leases</v>
      </c>
      <c r="AM147" s="57" t="str">
        <f ca="1">OFFSET(Dom_Meters!$E462,AM148,,,)</f>
        <v>Gas Extensions - Energy for the Regions</v>
      </c>
      <c r="AN147" s="57" t="str">
        <f ca="1">OFFSET(Dom_Meters!$E462,AN148,,,)</f>
        <v>Gas Extensions - Other</v>
      </c>
      <c r="AO147" s="57" t="str">
        <f ca="1">OFFSET(Dom_Meters!$E462,AO148,,,)</f>
        <v>Customer contributions</v>
      </c>
      <c r="AP147" s="73"/>
      <c r="AR147" s="57" t="str">
        <f ca="1">OFFSET(Dom_Meters!$E519,AR148,,,)</f>
        <v>Mains &amp; Services</v>
      </c>
      <c r="AS147" s="57" t="str">
        <f ca="1">OFFSET(Dom_Meters!$E519,AS148,,,)</f>
        <v>Meters Domestic</v>
      </c>
      <c r="AT147" s="57" t="str">
        <f ca="1">OFFSET(Dom_Meters!$E519,AT148,,,)</f>
        <v>Meters Industrial &amp; Commercial</v>
      </c>
      <c r="AU147" s="57" t="str">
        <f ca="1">OFFSET(Dom_Meters!$E519,AU148,,,)</f>
        <v>Buildings</v>
      </c>
      <c r="AV147" s="57" t="str">
        <f ca="1">OFFSET(Dom_Meters!$E519,AV148,,,)</f>
        <v>Other Assets</v>
      </c>
      <c r="AW147" s="57" t="str">
        <f ca="1">OFFSET(Dom_Meters!$E519,AW148,,,)</f>
        <v>Repairs</v>
      </c>
      <c r="AX147" s="57" t="str">
        <f ca="1">OFFSET(Dom_Meters!$E519,AX148,,,)</f>
        <v>Land</v>
      </c>
    </row>
    <row r="148" spans="1:50" hidden="1" outlineLevel="2">
      <c r="L148" s="73"/>
      <c r="N148" s="68">
        <v>13</v>
      </c>
      <c r="O148" s="68">
        <v>14</v>
      </c>
      <c r="P148" s="68">
        <v>15</v>
      </c>
      <c r="Q148" s="68">
        <v>16</v>
      </c>
      <c r="R148" s="68">
        <v>5</v>
      </c>
      <c r="S148" s="68">
        <v>6</v>
      </c>
      <c r="T148" s="68">
        <v>7</v>
      </c>
      <c r="U148" s="68">
        <v>8</v>
      </c>
      <c r="V148" s="68">
        <v>9</v>
      </c>
      <c r="W148" s="68">
        <v>10</v>
      </c>
      <c r="X148" s="68">
        <v>11</v>
      </c>
      <c r="Y148" s="142">
        <v>12</v>
      </c>
      <c r="AA148" s="73"/>
      <c r="AC148" s="68">
        <v>1</v>
      </c>
      <c r="AD148" s="68">
        <v>2</v>
      </c>
      <c r="AE148" s="68">
        <v>3</v>
      </c>
      <c r="AF148" s="68">
        <v>4</v>
      </c>
      <c r="AG148" s="68">
        <v>5</v>
      </c>
      <c r="AH148" s="68">
        <v>6</v>
      </c>
      <c r="AI148" s="68">
        <v>7</v>
      </c>
      <c r="AJ148" s="68">
        <v>8</v>
      </c>
      <c r="AK148" s="68">
        <v>9</v>
      </c>
      <c r="AL148" s="67">
        <v>10</v>
      </c>
      <c r="AM148" s="67">
        <v>11</v>
      </c>
      <c r="AN148" s="136">
        <v>12</v>
      </c>
      <c r="AO148" s="67">
        <v>13</v>
      </c>
      <c r="AP148" s="73"/>
      <c r="AR148" s="68">
        <v>1</v>
      </c>
      <c r="AS148" s="68">
        <v>2</v>
      </c>
      <c r="AT148" s="68">
        <v>3</v>
      </c>
      <c r="AU148" s="68">
        <v>4</v>
      </c>
      <c r="AV148" s="68">
        <v>5</v>
      </c>
      <c r="AW148" s="68">
        <v>6</v>
      </c>
      <c r="AX148" s="138">
        <v>7</v>
      </c>
    </row>
    <row r="149" spans="1:50" ht="5.9" customHeight="1" outlineLevel="1" collapsed="1">
      <c r="L149" s="73"/>
      <c r="Y149" s="145"/>
      <c r="AA149" s="73"/>
      <c r="AP149" s="73"/>
    </row>
    <row r="150" spans="1:50" outlineLevel="1">
      <c r="D150" s="241" t="s">
        <v>300</v>
      </c>
      <c r="E150" s="241"/>
      <c r="F150" s="241"/>
      <c r="G150" s="241"/>
      <c r="I150" s="64">
        <v>0.01</v>
      </c>
      <c r="J150" s="64">
        <v>0.63</v>
      </c>
      <c r="K150" s="65">
        <f>1-SUM(I150:J150)</f>
        <v>0.36</v>
      </c>
      <c r="L150" s="73"/>
      <c r="N150" s="64">
        <v>0</v>
      </c>
      <c r="O150" s="64">
        <v>0</v>
      </c>
      <c r="P150" s="64">
        <v>0</v>
      </c>
      <c r="Q150" s="64">
        <v>0</v>
      </c>
      <c r="R150" s="64">
        <v>0</v>
      </c>
      <c r="S150" s="64">
        <v>1</v>
      </c>
      <c r="T150" s="64">
        <v>0</v>
      </c>
      <c r="U150" s="64">
        <v>0</v>
      </c>
      <c r="V150" s="64">
        <v>0</v>
      </c>
      <c r="W150" s="64">
        <v>0</v>
      </c>
      <c r="X150" s="64">
        <v>0</v>
      </c>
      <c r="Y150" s="64">
        <v>0</v>
      </c>
      <c r="AA150" s="73"/>
      <c r="AC150" s="64">
        <v>0</v>
      </c>
      <c r="AD150" s="64">
        <v>0</v>
      </c>
      <c r="AE150" s="64">
        <v>0</v>
      </c>
      <c r="AF150" s="64">
        <v>1</v>
      </c>
      <c r="AG150" s="64">
        <v>0</v>
      </c>
      <c r="AH150" s="64">
        <v>0</v>
      </c>
      <c r="AI150" s="64">
        <v>0</v>
      </c>
      <c r="AJ150" s="64">
        <v>0</v>
      </c>
      <c r="AK150" s="64">
        <v>0</v>
      </c>
      <c r="AL150" s="64">
        <v>0</v>
      </c>
      <c r="AM150" s="64">
        <v>0</v>
      </c>
      <c r="AN150" s="64">
        <v>0</v>
      </c>
      <c r="AO150" s="147">
        <v>0</v>
      </c>
      <c r="AP150" s="73"/>
      <c r="AR150" s="64">
        <v>0</v>
      </c>
      <c r="AS150" s="64">
        <v>1</v>
      </c>
      <c r="AT150" s="64">
        <v>0</v>
      </c>
      <c r="AU150" s="64">
        <v>0</v>
      </c>
      <c r="AV150" s="64">
        <v>0</v>
      </c>
      <c r="AW150" s="64">
        <v>0</v>
      </c>
      <c r="AX150" s="64">
        <v>0</v>
      </c>
    </row>
    <row r="151" spans="1:50" outlineLevel="1">
      <c r="D151" s="241" t="s">
        <v>123</v>
      </c>
      <c r="E151" s="241"/>
      <c r="F151" s="241"/>
      <c r="G151" s="241"/>
      <c r="I151" s="64">
        <v>0.01</v>
      </c>
      <c r="J151" s="64">
        <v>0.63</v>
      </c>
      <c r="K151" s="65">
        <f>1-SUM(I151:J151)</f>
        <v>0.36</v>
      </c>
      <c r="L151" s="73"/>
      <c r="N151" s="64">
        <v>0</v>
      </c>
      <c r="O151" s="64">
        <v>0</v>
      </c>
      <c r="P151" s="64">
        <v>0</v>
      </c>
      <c r="Q151" s="64">
        <v>0</v>
      </c>
      <c r="R151" s="64">
        <v>0</v>
      </c>
      <c r="S151" s="64">
        <v>1</v>
      </c>
      <c r="T151" s="64">
        <v>0</v>
      </c>
      <c r="U151" s="64">
        <v>0</v>
      </c>
      <c r="V151" s="64">
        <v>0</v>
      </c>
      <c r="W151" s="64">
        <v>0</v>
      </c>
      <c r="X151" s="64">
        <v>0</v>
      </c>
      <c r="Y151" s="64">
        <v>0</v>
      </c>
      <c r="AA151" s="73"/>
      <c r="AC151" s="64">
        <v>0</v>
      </c>
      <c r="AD151" s="64">
        <v>0</v>
      </c>
      <c r="AE151" s="64">
        <v>0</v>
      </c>
      <c r="AF151" s="64">
        <v>1</v>
      </c>
      <c r="AG151" s="64">
        <v>0</v>
      </c>
      <c r="AH151" s="64">
        <v>0</v>
      </c>
      <c r="AI151" s="64">
        <v>0</v>
      </c>
      <c r="AJ151" s="64">
        <v>0</v>
      </c>
      <c r="AK151" s="64">
        <v>0</v>
      </c>
      <c r="AL151" s="64">
        <v>0</v>
      </c>
      <c r="AM151" s="64">
        <v>0</v>
      </c>
      <c r="AN151" s="64">
        <v>0</v>
      </c>
      <c r="AO151" s="147">
        <v>0</v>
      </c>
      <c r="AP151" s="73"/>
      <c r="AR151" s="64">
        <v>0</v>
      </c>
      <c r="AS151" s="64">
        <v>1</v>
      </c>
      <c r="AT151" s="64">
        <v>0</v>
      </c>
      <c r="AU151" s="64">
        <v>0</v>
      </c>
      <c r="AV151" s="64">
        <v>0</v>
      </c>
      <c r="AW151" s="64">
        <v>0</v>
      </c>
      <c r="AX151" s="64">
        <v>0</v>
      </c>
    </row>
    <row r="152" spans="1:50" outlineLevel="1">
      <c r="L152" s="73"/>
      <c r="AA152" s="73"/>
      <c r="AC152" s="105" t="s">
        <v>458</v>
      </c>
      <c r="AP152" s="73"/>
    </row>
    <row r="153" spans="1:50" outlineLevel="1">
      <c r="C153" s="37" t="s">
        <v>367</v>
      </c>
      <c r="L153" s="73"/>
      <c r="AA153" s="73"/>
      <c r="AP153" s="73"/>
    </row>
    <row r="154" spans="1:50" ht="5.9" customHeight="1" outlineLevel="1">
      <c r="L154" s="73"/>
      <c r="AA154" s="73"/>
      <c r="AP154" s="73"/>
    </row>
    <row r="155" spans="1:50" outlineLevel="1">
      <c r="D155" s="241" t="s">
        <v>368</v>
      </c>
      <c r="E155" s="241"/>
      <c r="F155" s="241"/>
      <c r="G155" s="241"/>
      <c r="L155" s="73"/>
      <c r="N155" s="64">
        <v>0</v>
      </c>
      <c r="O155" s="64">
        <v>0</v>
      </c>
      <c r="P155" s="64">
        <v>0</v>
      </c>
      <c r="Q155" s="64">
        <v>0</v>
      </c>
      <c r="R155" s="64">
        <v>0</v>
      </c>
      <c r="S155" s="64">
        <v>0</v>
      </c>
      <c r="T155" s="64">
        <v>0</v>
      </c>
      <c r="U155" s="64">
        <v>0</v>
      </c>
      <c r="V155" s="64">
        <v>0</v>
      </c>
      <c r="W155" s="64">
        <v>0</v>
      </c>
      <c r="X155" s="64">
        <v>0</v>
      </c>
      <c r="Y155" s="64">
        <v>0</v>
      </c>
      <c r="AA155" s="73"/>
      <c r="AC155" s="64">
        <v>0</v>
      </c>
      <c r="AD155" s="64">
        <v>0</v>
      </c>
      <c r="AE155" s="64">
        <v>0</v>
      </c>
      <c r="AF155" s="64">
        <v>0</v>
      </c>
      <c r="AG155" s="64">
        <v>0</v>
      </c>
      <c r="AH155" s="64">
        <v>0</v>
      </c>
      <c r="AI155" s="64">
        <v>0</v>
      </c>
      <c r="AJ155" s="64">
        <v>0</v>
      </c>
      <c r="AK155" s="64">
        <v>0</v>
      </c>
      <c r="AL155" s="64">
        <v>0</v>
      </c>
      <c r="AM155" s="64">
        <v>0</v>
      </c>
      <c r="AN155" s="64">
        <v>0</v>
      </c>
      <c r="AO155" s="147">
        <v>0</v>
      </c>
      <c r="AP155" s="73"/>
      <c r="AR155" s="64">
        <v>0</v>
      </c>
      <c r="AS155" s="64">
        <v>0</v>
      </c>
      <c r="AT155" s="64">
        <v>0</v>
      </c>
      <c r="AU155" s="64">
        <v>0</v>
      </c>
      <c r="AV155" s="64">
        <v>0</v>
      </c>
      <c r="AW155" s="64">
        <v>0</v>
      </c>
      <c r="AX155" s="64">
        <v>0</v>
      </c>
    </row>
    <row r="156" spans="1:50" s="41" customFormat="1"/>
    <row r="157" spans="1:50" s="47" customFormat="1">
      <c r="A157" s="41"/>
      <c r="B157" s="47" t="s">
        <v>241</v>
      </c>
    </row>
    <row r="158" spans="1:50" s="41" customFormat="1" ht="5.9" customHeight="1"/>
    <row r="159" spans="1:50" s="41" customFormat="1" ht="14">
      <c r="C159" s="76" t="str">
        <f>Com_Meters!B25</f>
        <v>Industrial &amp; Commercial Meters - Planned</v>
      </c>
      <c r="I159" s="50" t="str">
        <f>GC!H16</f>
        <v>Network</v>
      </c>
    </row>
    <row r="160" spans="1:50" s="41" customFormat="1" ht="5.9" customHeight="1" outlineLevel="1"/>
    <row r="161" spans="1:50" s="41" customFormat="1" outlineLevel="1">
      <c r="I161" s="243" t="s">
        <v>194</v>
      </c>
      <c r="J161" s="243"/>
      <c r="K161" s="243"/>
      <c r="L161" s="74"/>
      <c r="N161" s="243" t="s">
        <v>195</v>
      </c>
      <c r="O161" s="243"/>
      <c r="P161" s="243"/>
      <c r="Q161" s="243"/>
      <c r="R161" s="243"/>
      <c r="S161" s="243"/>
      <c r="T161" s="243"/>
      <c r="U161" s="243"/>
      <c r="V161" s="243"/>
      <c r="W161" s="243"/>
      <c r="X161" s="243"/>
      <c r="Y161" s="243"/>
      <c r="Z161" s="243"/>
      <c r="AA161" s="74"/>
      <c r="AC161" s="244" t="s">
        <v>196</v>
      </c>
      <c r="AD161" s="244"/>
      <c r="AE161" s="244"/>
      <c r="AF161" s="244"/>
      <c r="AG161" s="244"/>
      <c r="AH161" s="244"/>
      <c r="AI161" s="244"/>
      <c r="AJ161" s="244"/>
      <c r="AK161" s="244"/>
      <c r="AL161" s="244"/>
      <c r="AM161" s="244"/>
      <c r="AN161" s="244"/>
      <c r="AO161" s="244"/>
      <c r="AP161" s="74"/>
      <c r="AR161" s="243" t="s">
        <v>311</v>
      </c>
      <c r="AS161" s="243"/>
      <c r="AT161" s="243"/>
      <c r="AU161" s="243"/>
      <c r="AV161" s="243"/>
      <c r="AW161" s="243"/>
      <c r="AX161" s="243"/>
    </row>
    <row r="162" spans="1:50" s="41" customFormat="1" ht="46" outlineLevel="1">
      <c r="D162" s="50" t="s">
        <v>160</v>
      </c>
      <c r="I162" s="69" t="s">
        <v>128</v>
      </c>
      <c r="J162" s="69" t="s">
        <v>129</v>
      </c>
      <c r="K162" s="69" t="s">
        <v>130</v>
      </c>
      <c r="L162" s="74"/>
      <c r="N162" s="69" t="str">
        <f ca="1">OFFSET(Com_Meters!$E125,N163,,,)</f>
        <v>Transmission pipelines - post 1998</v>
      </c>
      <c r="O162" s="69" t="str">
        <f ca="1">OFFSET(Com_Meters!$E125,O163,,,)</f>
        <v>Distribution pipelines - post 1998</v>
      </c>
      <c r="P162" s="69" t="str">
        <f ca="1">OFFSET(Com_Meters!$E125,P163,,,)</f>
        <v>Service pipes - post 1998</v>
      </c>
      <c r="Q162" s="69" t="str">
        <f ca="1">OFFSET(Com_Meters!$E125,Q163,,,)</f>
        <v>Cathodic protection - post 1998</v>
      </c>
      <c r="R162" s="69" t="str">
        <f ca="1">OFFSET(Com_Meters!$E125,R163,,,)</f>
        <v>Supply Regulators / Valve Stations</v>
      </c>
      <c r="S162" s="69" t="str">
        <f ca="1">OFFSET(Com_Meters!$E125,S163,,,)</f>
        <v>Meters</v>
      </c>
      <c r="T162" s="69" t="str">
        <f ca="1">OFFSET(Com_Meters!$E125,T163,,,)</f>
        <v>SCADA and remote control</v>
      </c>
      <c r="U162" s="69" t="str">
        <f ca="1">OFFSET(Com_Meters!$E125,U163,,,)</f>
        <v>Buildings</v>
      </c>
      <c r="V162" s="69" t="str">
        <f ca="1">OFFSET(Com_Meters!$E125,V163,,,)</f>
        <v>Other - IT</v>
      </c>
      <c r="W162" s="69" t="str">
        <f ca="1">OFFSET(Com_Meters!$E125,W163,,,)</f>
        <v>Other - non IT</v>
      </c>
      <c r="X162" s="69" t="str">
        <f ca="1">OFFSET(Com_Meters!$E125,X163,,,)</f>
        <v>Land</v>
      </c>
      <c r="Y162" s="69" t="str">
        <f ca="1">OFFSET(Com_Meters!$E125,Y163,,,)</f>
        <v>Capitalised Leases</v>
      </c>
      <c r="AA162" s="140"/>
      <c r="AC162" s="69" t="str">
        <f ca="1">OFFSET(Com_Meters!$E208,AC163,,,)</f>
        <v>Mains replacement</v>
      </c>
      <c r="AD162" s="69" t="str">
        <f ca="1">OFFSET(Com_Meters!$E208,AD163,,,)</f>
        <v>Residential new customer connections</v>
      </c>
      <c r="AE162" s="69" t="str">
        <f ca="1">OFFSET(Com_Meters!$E208,AE163,,,)</f>
        <v>Commercial and industrial new customer connections</v>
      </c>
      <c r="AF162" s="69" t="str">
        <f ca="1">OFFSET(Com_Meters!$E208,AF163,,,)</f>
        <v>Residential meter replacement</v>
      </c>
      <c r="AG162" s="69" t="str">
        <f ca="1">OFFSET(Com_Meters!$E208,AG163,,,)</f>
        <v>Commercial and industrial meter replacement</v>
      </c>
      <c r="AH162" s="69" t="str">
        <f ca="1">OFFSET(Com_Meters!$E208,AH163,,,)</f>
        <v>Augmentation</v>
      </c>
      <c r="AI162" s="69" t="str">
        <f ca="1">OFFSET(Com_Meters!$E208,AI163,,,)</f>
        <v>IT capex</v>
      </c>
      <c r="AJ162" s="69" t="str">
        <f ca="1">OFFSET(Com_Meters!$E208,AJ163,,,)</f>
        <v>SCADA</v>
      </c>
      <c r="AK162" s="69" t="str">
        <f ca="1">OFFSET(Com_Meters!$E208,AK163,,,)</f>
        <v>Other</v>
      </c>
      <c r="AL162" s="69" t="str">
        <f ca="1">OFFSET(Com_Meters!$E208,AL163,,,)</f>
        <v>Capitalised Leases</v>
      </c>
      <c r="AM162" s="69" t="str">
        <f ca="1">OFFSET(Com_Meters!$E208,AM163,,,)</f>
        <v>Gas Extensions - Energy for the Regions</v>
      </c>
      <c r="AN162" s="69" t="str">
        <f ca="1">OFFSET(Com_Meters!$E208,AN163,,,)</f>
        <v>Gas Extensions - Other</v>
      </c>
      <c r="AO162" s="69" t="str">
        <f ca="1">OFFSET(Com_Meters!$E208,AO163,,,)</f>
        <v>Customer contributions</v>
      </c>
      <c r="AP162" s="74"/>
      <c r="AR162" s="69" t="str">
        <f ca="1">OFFSET(Com_Meters!$E265,AR163,,,)</f>
        <v>Mains &amp; Services</v>
      </c>
      <c r="AS162" s="69" t="str">
        <f ca="1">OFFSET(Com_Meters!$E265,AS163,,,)</f>
        <v>Meters Domestic</v>
      </c>
      <c r="AT162" s="69" t="str">
        <f ca="1">OFFSET(Com_Meters!$E265,AT163,,,)</f>
        <v>Meters Industrial &amp; Commercial</v>
      </c>
      <c r="AU162" s="69" t="str">
        <f ca="1">OFFSET(Com_Meters!$E265,AU163,,,)</f>
        <v>Buildings</v>
      </c>
      <c r="AV162" s="69" t="str">
        <f ca="1">OFFSET(Com_Meters!$E265,AV163,,,)</f>
        <v>Other Assets</v>
      </c>
      <c r="AW162" s="69" t="str">
        <f ca="1">OFFSET(Com_Meters!$E265,AW163,,,)</f>
        <v>Repairs</v>
      </c>
      <c r="AX162" s="69" t="str">
        <f ca="1">OFFSET(Com_Meters!$E265,AX163,,,)</f>
        <v>Land</v>
      </c>
    </row>
    <row r="163" spans="1:50" s="41" customFormat="1" hidden="1" outlineLevel="2">
      <c r="L163" s="74"/>
      <c r="N163" s="70">
        <v>13</v>
      </c>
      <c r="O163" s="70">
        <v>14</v>
      </c>
      <c r="P163" s="70">
        <v>15</v>
      </c>
      <c r="Q163" s="70">
        <v>16</v>
      </c>
      <c r="R163" s="70">
        <v>5</v>
      </c>
      <c r="S163" s="70">
        <v>6</v>
      </c>
      <c r="T163" s="70">
        <v>7</v>
      </c>
      <c r="U163" s="70">
        <v>8</v>
      </c>
      <c r="V163" s="70">
        <v>9</v>
      </c>
      <c r="W163" s="70">
        <v>10</v>
      </c>
      <c r="X163" s="70">
        <v>11</v>
      </c>
      <c r="Y163" s="141">
        <v>12</v>
      </c>
      <c r="AA163" s="74"/>
      <c r="AC163" s="70">
        <v>1</v>
      </c>
      <c r="AD163" s="70">
        <v>2</v>
      </c>
      <c r="AE163" s="70">
        <v>3</v>
      </c>
      <c r="AF163" s="70">
        <v>4</v>
      </c>
      <c r="AG163" s="70">
        <v>5</v>
      </c>
      <c r="AH163" s="70">
        <v>6</v>
      </c>
      <c r="AI163" s="70">
        <v>7</v>
      </c>
      <c r="AJ163" s="70">
        <v>8</v>
      </c>
      <c r="AK163" s="70">
        <v>9</v>
      </c>
      <c r="AL163" s="75">
        <v>10</v>
      </c>
      <c r="AM163" s="75">
        <v>11</v>
      </c>
      <c r="AN163" s="135">
        <v>12</v>
      </c>
      <c r="AO163" s="75">
        <v>13</v>
      </c>
      <c r="AP163" s="74"/>
      <c r="AR163" s="70">
        <v>1</v>
      </c>
      <c r="AS163" s="70">
        <v>2</v>
      </c>
      <c r="AT163" s="70">
        <v>3</v>
      </c>
      <c r="AU163" s="70">
        <v>4</v>
      </c>
      <c r="AV163" s="70">
        <v>5</v>
      </c>
      <c r="AW163" s="70">
        <v>6</v>
      </c>
      <c r="AX163" s="137">
        <v>7</v>
      </c>
    </row>
    <row r="164" spans="1:50" s="41" customFormat="1" ht="5.9" customHeight="1" outlineLevel="1" collapsed="1">
      <c r="L164" s="74"/>
      <c r="Y164" s="144"/>
      <c r="AA164" s="74"/>
      <c r="AP164" s="74"/>
    </row>
    <row r="165" spans="1:50" s="41" customFormat="1" outlineLevel="1">
      <c r="D165" s="227" t="s">
        <v>301</v>
      </c>
      <c r="E165" s="227"/>
      <c r="F165" s="227"/>
      <c r="G165" s="227"/>
      <c r="I165" s="72">
        <v>0.01</v>
      </c>
      <c r="J165" s="72">
        <v>0.16</v>
      </c>
      <c r="K165" s="71">
        <f t="shared" ref="K165:K169" si="2">1-SUM(I165:J165)</f>
        <v>0.83</v>
      </c>
      <c r="L165" s="74"/>
      <c r="N165" s="72">
        <v>0</v>
      </c>
      <c r="O165" s="72">
        <v>0</v>
      </c>
      <c r="P165" s="72">
        <v>0</v>
      </c>
      <c r="Q165" s="72">
        <v>0</v>
      </c>
      <c r="R165" s="72">
        <v>0</v>
      </c>
      <c r="S165" s="72">
        <v>1</v>
      </c>
      <c r="T165" s="72">
        <v>0</v>
      </c>
      <c r="U165" s="72">
        <v>0</v>
      </c>
      <c r="V165" s="72">
        <v>0</v>
      </c>
      <c r="W165" s="72">
        <v>0</v>
      </c>
      <c r="X165" s="72">
        <v>0</v>
      </c>
      <c r="Y165" s="72">
        <v>0</v>
      </c>
      <c r="AA165" s="74"/>
      <c r="AC165" s="72">
        <v>0</v>
      </c>
      <c r="AD165" s="72">
        <v>0</v>
      </c>
      <c r="AE165" s="72">
        <v>0</v>
      </c>
      <c r="AF165" s="72">
        <v>0</v>
      </c>
      <c r="AG165" s="72">
        <v>1</v>
      </c>
      <c r="AH165" s="72">
        <v>0</v>
      </c>
      <c r="AI165" s="72">
        <v>0</v>
      </c>
      <c r="AJ165" s="72">
        <v>0</v>
      </c>
      <c r="AK165" s="72">
        <v>0</v>
      </c>
      <c r="AL165" s="72">
        <v>0</v>
      </c>
      <c r="AM165" s="72">
        <v>0</v>
      </c>
      <c r="AN165" s="72">
        <v>0</v>
      </c>
      <c r="AO165" s="146">
        <v>0</v>
      </c>
      <c r="AP165" s="74"/>
      <c r="AR165" s="72">
        <v>0</v>
      </c>
      <c r="AS165" s="72">
        <v>0</v>
      </c>
      <c r="AT165" s="72">
        <v>1</v>
      </c>
      <c r="AU165" s="72">
        <v>0</v>
      </c>
      <c r="AV165" s="72">
        <v>0</v>
      </c>
      <c r="AW165" s="72">
        <v>0</v>
      </c>
      <c r="AX165" s="72">
        <v>0</v>
      </c>
    </row>
    <row r="166" spans="1:50" s="41" customFormat="1" outlineLevel="1">
      <c r="D166" s="227" t="s">
        <v>329</v>
      </c>
      <c r="E166" s="227"/>
      <c r="F166" s="227"/>
      <c r="G166" s="227"/>
      <c r="I166" s="72">
        <v>0.01</v>
      </c>
      <c r="J166" s="72">
        <v>0.16</v>
      </c>
      <c r="K166" s="71">
        <f t="shared" si="2"/>
        <v>0.83</v>
      </c>
      <c r="L166" s="74"/>
      <c r="N166" s="72">
        <v>0</v>
      </c>
      <c r="O166" s="72">
        <v>0</v>
      </c>
      <c r="P166" s="72">
        <v>0</v>
      </c>
      <c r="Q166" s="72">
        <v>0</v>
      </c>
      <c r="R166" s="72">
        <v>0</v>
      </c>
      <c r="S166" s="72">
        <v>1</v>
      </c>
      <c r="T166" s="72">
        <v>0</v>
      </c>
      <c r="U166" s="72">
        <v>0</v>
      </c>
      <c r="V166" s="72">
        <v>0</v>
      </c>
      <c r="W166" s="72">
        <v>0</v>
      </c>
      <c r="X166" s="72">
        <v>0</v>
      </c>
      <c r="Y166" s="72">
        <v>0</v>
      </c>
      <c r="AA166" s="74"/>
      <c r="AC166" s="72">
        <v>0</v>
      </c>
      <c r="AD166" s="72">
        <v>0</v>
      </c>
      <c r="AE166" s="72">
        <v>0</v>
      </c>
      <c r="AF166" s="72">
        <v>0</v>
      </c>
      <c r="AG166" s="72">
        <v>1</v>
      </c>
      <c r="AH166" s="72">
        <v>0</v>
      </c>
      <c r="AI166" s="72">
        <v>0</v>
      </c>
      <c r="AJ166" s="72">
        <v>0</v>
      </c>
      <c r="AK166" s="72">
        <v>0</v>
      </c>
      <c r="AL166" s="72">
        <v>0</v>
      </c>
      <c r="AM166" s="72">
        <v>0</v>
      </c>
      <c r="AN166" s="72">
        <v>0</v>
      </c>
      <c r="AO166" s="146">
        <v>0</v>
      </c>
      <c r="AP166" s="74"/>
      <c r="AR166" s="72">
        <v>0</v>
      </c>
      <c r="AS166" s="72">
        <v>0</v>
      </c>
      <c r="AT166" s="72">
        <v>1</v>
      </c>
      <c r="AU166" s="72">
        <v>0</v>
      </c>
      <c r="AV166" s="72">
        <v>0</v>
      </c>
      <c r="AW166" s="72">
        <v>0</v>
      </c>
      <c r="AX166" s="72">
        <v>0</v>
      </c>
    </row>
    <row r="167" spans="1:50" s="41" customFormat="1" outlineLevel="1">
      <c r="D167" s="227" t="s">
        <v>421</v>
      </c>
      <c r="E167" s="227"/>
      <c r="F167" s="227"/>
      <c r="G167" s="227"/>
      <c r="I167" s="72">
        <v>0.01</v>
      </c>
      <c r="J167" s="72">
        <v>0.16</v>
      </c>
      <c r="K167" s="71">
        <f t="shared" si="2"/>
        <v>0.83</v>
      </c>
      <c r="L167" s="74"/>
      <c r="N167" s="72">
        <v>0</v>
      </c>
      <c r="O167" s="72">
        <v>0</v>
      </c>
      <c r="P167" s="72">
        <v>0</v>
      </c>
      <c r="Q167" s="72">
        <v>0</v>
      </c>
      <c r="R167" s="72">
        <v>0</v>
      </c>
      <c r="S167" s="72">
        <v>1</v>
      </c>
      <c r="T167" s="72">
        <v>0</v>
      </c>
      <c r="U167" s="72">
        <v>0</v>
      </c>
      <c r="V167" s="72">
        <v>0</v>
      </c>
      <c r="W167" s="72">
        <v>0</v>
      </c>
      <c r="X167" s="72">
        <v>0</v>
      </c>
      <c r="Y167" s="72">
        <v>0</v>
      </c>
      <c r="AA167" s="74"/>
      <c r="AC167" s="72">
        <v>0</v>
      </c>
      <c r="AD167" s="72">
        <v>0</v>
      </c>
      <c r="AE167" s="72">
        <v>0</v>
      </c>
      <c r="AF167" s="72">
        <v>0</v>
      </c>
      <c r="AG167" s="72">
        <v>1</v>
      </c>
      <c r="AH167" s="72">
        <v>0</v>
      </c>
      <c r="AI167" s="72">
        <v>0</v>
      </c>
      <c r="AJ167" s="72">
        <v>0</v>
      </c>
      <c r="AK167" s="72">
        <v>0</v>
      </c>
      <c r="AL167" s="72">
        <v>0</v>
      </c>
      <c r="AM167" s="72">
        <v>0</v>
      </c>
      <c r="AN167" s="72">
        <v>0</v>
      </c>
      <c r="AO167" s="72">
        <v>0</v>
      </c>
      <c r="AP167" s="74"/>
      <c r="AR167" s="72">
        <v>0</v>
      </c>
      <c r="AS167" s="72">
        <v>0</v>
      </c>
      <c r="AT167" s="72">
        <v>1</v>
      </c>
      <c r="AU167" s="72">
        <v>0</v>
      </c>
      <c r="AV167" s="72">
        <v>0</v>
      </c>
      <c r="AW167" s="72">
        <v>0</v>
      </c>
      <c r="AX167" s="72">
        <v>0</v>
      </c>
    </row>
    <row r="168" spans="1:50" s="41" customFormat="1" outlineLevel="1">
      <c r="D168" s="227" t="s">
        <v>422</v>
      </c>
      <c r="E168" s="227"/>
      <c r="F168" s="227"/>
      <c r="G168" s="227"/>
      <c r="I168" s="72">
        <v>0.01</v>
      </c>
      <c r="J168" s="72">
        <v>0.16</v>
      </c>
      <c r="K168" s="71">
        <f t="shared" si="2"/>
        <v>0.83</v>
      </c>
      <c r="L168" s="74"/>
      <c r="N168" s="72">
        <v>0</v>
      </c>
      <c r="O168" s="72">
        <v>0</v>
      </c>
      <c r="P168" s="72">
        <v>0</v>
      </c>
      <c r="Q168" s="72">
        <v>0</v>
      </c>
      <c r="R168" s="72">
        <v>0</v>
      </c>
      <c r="S168" s="72">
        <v>1</v>
      </c>
      <c r="T168" s="72">
        <v>0</v>
      </c>
      <c r="U168" s="72">
        <v>0</v>
      </c>
      <c r="V168" s="72">
        <v>0</v>
      </c>
      <c r="W168" s="72">
        <v>0</v>
      </c>
      <c r="X168" s="72">
        <v>0</v>
      </c>
      <c r="Y168" s="72">
        <v>0</v>
      </c>
      <c r="AA168" s="74"/>
      <c r="AC168" s="72">
        <v>0</v>
      </c>
      <c r="AD168" s="72">
        <v>0</v>
      </c>
      <c r="AE168" s="72">
        <v>0</v>
      </c>
      <c r="AF168" s="72">
        <v>0</v>
      </c>
      <c r="AG168" s="72">
        <v>1</v>
      </c>
      <c r="AH168" s="72">
        <v>0</v>
      </c>
      <c r="AI168" s="72">
        <v>0</v>
      </c>
      <c r="AJ168" s="72">
        <v>0</v>
      </c>
      <c r="AK168" s="72">
        <v>0</v>
      </c>
      <c r="AL168" s="72">
        <v>0</v>
      </c>
      <c r="AM168" s="72">
        <v>0</v>
      </c>
      <c r="AN168" s="72">
        <v>0</v>
      </c>
      <c r="AO168" s="72">
        <v>0</v>
      </c>
      <c r="AP168" s="74"/>
      <c r="AR168" s="72">
        <v>0</v>
      </c>
      <c r="AS168" s="72">
        <v>0</v>
      </c>
      <c r="AT168" s="72">
        <v>1</v>
      </c>
      <c r="AU168" s="72">
        <v>0</v>
      </c>
      <c r="AV168" s="72">
        <v>0</v>
      </c>
      <c r="AW168" s="72">
        <v>0</v>
      </c>
      <c r="AX168" s="72">
        <v>0</v>
      </c>
    </row>
    <row r="169" spans="1:50" s="41" customFormat="1" outlineLevel="1">
      <c r="D169" s="227" t="s">
        <v>124</v>
      </c>
      <c r="E169" s="227"/>
      <c r="F169" s="227"/>
      <c r="G169" s="227"/>
      <c r="I169" s="72">
        <v>0.01</v>
      </c>
      <c r="J169" s="72">
        <v>0.16</v>
      </c>
      <c r="K169" s="71">
        <f t="shared" si="2"/>
        <v>0.83</v>
      </c>
      <c r="L169" s="74"/>
      <c r="N169" s="72">
        <v>0</v>
      </c>
      <c r="O169" s="72">
        <v>0</v>
      </c>
      <c r="P169" s="72">
        <v>0</v>
      </c>
      <c r="Q169" s="72">
        <v>0</v>
      </c>
      <c r="R169" s="72">
        <v>0</v>
      </c>
      <c r="S169" s="72">
        <v>1</v>
      </c>
      <c r="T169" s="72">
        <v>0</v>
      </c>
      <c r="U169" s="72">
        <v>0</v>
      </c>
      <c r="V169" s="72">
        <v>0</v>
      </c>
      <c r="W169" s="72">
        <v>0</v>
      </c>
      <c r="X169" s="72">
        <v>0</v>
      </c>
      <c r="Y169" s="72">
        <v>0</v>
      </c>
      <c r="AA169" s="74"/>
      <c r="AC169" s="72">
        <v>0</v>
      </c>
      <c r="AD169" s="72">
        <v>0</v>
      </c>
      <c r="AE169" s="72">
        <v>0</v>
      </c>
      <c r="AF169" s="72">
        <v>0</v>
      </c>
      <c r="AG169" s="72">
        <v>1</v>
      </c>
      <c r="AH169" s="72">
        <v>0</v>
      </c>
      <c r="AI169" s="72">
        <v>0</v>
      </c>
      <c r="AJ169" s="72">
        <v>0</v>
      </c>
      <c r="AK169" s="72">
        <v>0</v>
      </c>
      <c r="AL169" s="72">
        <v>0</v>
      </c>
      <c r="AM169" s="72">
        <v>0</v>
      </c>
      <c r="AN169" s="72">
        <v>0</v>
      </c>
      <c r="AO169" s="72">
        <v>0</v>
      </c>
      <c r="AP169" s="74"/>
      <c r="AR169" s="72">
        <v>0</v>
      </c>
      <c r="AS169" s="72">
        <v>0</v>
      </c>
      <c r="AT169" s="72">
        <v>1</v>
      </c>
      <c r="AU169" s="72">
        <v>0</v>
      </c>
      <c r="AV169" s="72">
        <v>0</v>
      </c>
      <c r="AW169" s="72">
        <v>0</v>
      </c>
      <c r="AX169" s="72">
        <v>0</v>
      </c>
    </row>
    <row r="170" spans="1:50" s="41" customFormat="1" outlineLevel="1">
      <c r="L170" s="74"/>
      <c r="AA170" s="74"/>
      <c r="AC170" s="43" t="s">
        <v>458</v>
      </c>
      <c r="AP170" s="74"/>
    </row>
    <row r="171" spans="1:50" s="41" customFormat="1" outlineLevel="1">
      <c r="C171" s="50" t="s">
        <v>367</v>
      </c>
      <c r="L171" s="74"/>
      <c r="AA171" s="74"/>
      <c r="AP171" s="74"/>
    </row>
    <row r="172" spans="1:50" s="41" customFormat="1" ht="5.9" customHeight="1" outlineLevel="1">
      <c r="L172" s="74"/>
      <c r="AA172" s="74"/>
      <c r="AP172" s="74"/>
    </row>
    <row r="173" spans="1:50" s="41" customFormat="1" outlineLevel="1">
      <c r="D173" s="227" t="s">
        <v>368</v>
      </c>
      <c r="E173" s="227"/>
      <c r="F173" s="227"/>
      <c r="G173" s="227"/>
      <c r="L173" s="74"/>
      <c r="N173" s="72">
        <v>0</v>
      </c>
      <c r="O173" s="72">
        <v>0</v>
      </c>
      <c r="P173" s="72">
        <v>0</v>
      </c>
      <c r="Q173" s="72">
        <v>0</v>
      </c>
      <c r="R173" s="72">
        <v>0</v>
      </c>
      <c r="S173" s="72">
        <v>0</v>
      </c>
      <c r="T173" s="72">
        <v>0</v>
      </c>
      <c r="U173" s="72">
        <v>0</v>
      </c>
      <c r="V173" s="72">
        <v>0</v>
      </c>
      <c r="W173" s="72">
        <v>0</v>
      </c>
      <c r="X173" s="72">
        <v>0</v>
      </c>
      <c r="Y173" s="72">
        <v>0</v>
      </c>
      <c r="AA173" s="74"/>
      <c r="AC173" s="72">
        <v>0</v>
      </c>
      <c r="AD173" s="72">
        <v>0</v>
      </c>
      <c r="AE173" s="72">
        <v>0</v>
      </c>
      <c r="AF173" s="72">
        <v>0</v>
      </c>
      <c r="AG173" s="72">
        <v>0</v>
      </c>
      <c r="AH173" s="72">
        <v>0</v>
      </c>
      <c r="AI173" s="72">
        <v>0</v>
      </c>
      <c r="AJ173" s="72">
        <v>0</v>
      </c>
      <c r="AK173" s="72">
        <v>0</v>
      </c>
      <c r="AL173" s="72">
        <v>0</v>
      </c>
      <c r="AM173" s="72">
        <v>0</v>
      </c>
      <c r="AN173" s="72">
        <v>0</v>
      </c>
      <c r="AO173" s="146">
        <v>0</v>
      </c>
      <c r="AP173" s="74"/>
      <c r="AR173" s="72">
        <v>0</v>
      </c>
      <c r="AS173" s="72">
        <v>0</v>
      </c>
      <c r="AT173" s="72">
        <v>0</v>
      </c>
      <c r="AU173" s="72">
        <v>0</v>
      </c>
      <c r="AV173" s="72">
        <v>0</v>
      </c>
      <c r="AW173" s="72">
        <v>0</v>
      </c>
      <c r="AX173" s="72">
        <v>0</v>
      </c>
    </row>
    <row r="174" spans="1:50" s="41" customFormat="1"/>
    <row r="175" spans="1:50" s="47" customFormat="1">
      <c r="A175" s="41"/>
      <c r="B175" s="47" t="s">
        <v>243</v>
      </c>
    </row>
    <row r="176" spans="1:50" s="41" customFormat="1" ht="5.9" customHeight="1"/>
    <row r="177" spans="3:50" s="41" customFormat="1" ht="14">
      <c r="C177" s="76" t="str">
        <f>Com_Meters!B300</f>
        <v>Industrial &amp; Commercial Meters - Ad Hoc</v>
      </c>
      <c r="I177" s="50" t="str">
        <f>GC!H17</f>
        <v>Network</v>
      </c>
    </row>
    <row r="178" spans="3:50" s="41" customFormat="1" ht="5.9" customHeight="1" outlineLevel="1"/>
    <row r="179" spans="3:50" s="41" customFormat="1" outlineLevel="1">
      <c r="I179" s="243" t="s">
        <v>194</v>
      </c>
      <c r="J179" s="243"/>
      <c r="K179" s="243"/>
      <c r="L179" s="74"/>
      <c r="N179" s="243" t="s">
        <v>195</v>
      </c>
      <c r="O179" s="243"/>
      <c r="P179" s="243"/>
      <c r="Q179" s="243"/>
      <c r="R179" s="243"/>
      <c r="S179" s="243"/>
      <c r="T179" s="243"/>
      <c r="U179" s="243"/>
      <c r="V179" s="243"/>
      <c r="W179" s="243"/>
      <c r="X179" s="243"/>
      <c r="Y179" s="243"/>
      <c r="Z179" s="243"/>
      <c r="AA179" s="74"/>
      <c r="AC179" s="244" t="s">
        <v>196</v>
      </c>
      <c r="AD179" s="244"/>
      <c r="AE179" s="244"/>
      <c r="AF179" s="244"/>
      <c r="AG179" s="244"/>
      <c r="AH179" s="244"/>
      <c r="AI179" s="244"/>
      <c r="AJ179" s="244"/>
      <c r="AK179" s="244"/>
      <c r="AL179" s="244"/>
      <c r="AM179" s="244"/>
      <c r="AN179" s="244"/>
      <c r="AO179" s="244"/>
      <c r="AP179" s="74"/>
      <c r="AR179" s="243" t="s">
        <v>311</v>
      </c>
      <c r="AS179" s="243"/>
      <c r="AT179" s="243"/>
      <c r="AU179" s="243"/>
      <c r="AV179" s="243"/>
      <c r="AW179" s="243"/>
      <c r="AX179" s="243"/>
    </row>
    <row r="180" spans="3:50" s="41" customFormat="1" ht="46" outlineLevel="1">
      <c r="D180" s="50" t="s">
        <v>160</v>
      </c>
      <c r="I180" s="69" t="s">
        <v>128</v>
      </c>
      <c r="J180" s="69" t="s">
        <v>129</v>
      </c>
      <c r="K180" s="69" t="s">
        <v>130</v>
      </c>
      <c r="L180" s="74"/>
      <c r="N180" s="69" t="str">
        <f ca="1">OFFSET(Com_Meters!$E414,N181,,,)</f>
        <v>Transmission pipelines - post 1998</v>
      </c>
      <c r="O180" s="69" t="str">
        <f ca="1">OFFSET(Com_Meters!$E414,O181,,,)</f>
        <v>Distribution pipelines - post 1998</v>
      </c>
      <c r="P180" s="69" t="str">
        <f ca="1">OFFSET(Com_Meters!$E414,P181,,,)</f>
        <v>Service pipes - post 1998</v>
      </c>
      <c r="Q180" s="69" t="str">
        <f ca="1">OFFSET(Com_Meters!$E414,Q181,,,)</f>
        <v>Cathodic protection - post 1998</v>
      </c>
      <c r="R180" s="69" t="str">
        <f ca="1">OFFSET(Com_Meters!$E414,R181,,,)</f>
        <v>Supply Regulators / Valve Stations</v>
      </c>
      <c r="S180" s="69" t="str">
        <f ca="1">OFFSET(Com_Meters!$E414,S181,,,)</f>
        <v>Meters</v>
      </c>
      <c r="T180" s="69" t="str">
        <f ca="1">OFFSET(Com_Meters!$E414,T181,,,)</f>
        <v>SCADA and remote control</v>
      </c>
      <c r="U180" s="69" t="str">
        <f ca="1">OFFSET(Com_Meters!$E414,U181,,,)</f>
        <v>Buildings</v>
      </c>
      <c r="V180" s="69" t="str">
        <f ca="1">OFFSET(Com_Meters!$E414,V181,,,)</f>
        <v>Other - IT</v>
      </c>
      <c r="W180" s="69" t="str">
        <f ca="1">OFFSET(Com_Meters!$E414,W181,,,)</f>
        <v>Other - non IT</v>
      </c>
      <c r="X180" s="69" t="str">
        <f ca="1">OFFSET(Com_Meters!$E414,X181,,,)</f>
        <v>Land</v>
      </c>
      <c r="Y180" s="69" t="str">
        <f ca="1">OFFSET(Com_Meters!$E414,Y181,,,)</f>
        <v>Capitalised Leases</v>
      </c>
      <c r="AA180" s="140"/>
      <c r="AC180" s="69" t="str">
        <f ca="1">OFFSET(Com_Meters!$E497,AC181,,,)</f>
        <v>Mains replacement</v>
      </c>
      <c r="AD180" s="69" t="str">
        <f ca="1">OFFSET(Com_Meters!$E497,AD181,,,)</f>
        <v>Residential new customer connections</v>
      </c>
      <c r="AE180" s="69" t="str">
        <f ca="1">OFFSET(Com_Meters!$E497,AE181,,,)</f>
        <v>Commercial and industrial new customer connections</v>
      </c>
      <c r="AF180" s="69" t="str">
        <f ca="1">OFFSET(Com_Meters!$E497,AF181,,,)</f>
        <v>Residential meter replacement</v>
      </c>
      <c r="AG180" s="69" t="str">
        <f ca="1">OFFSET(Com_Meters!$E497,AG181,,,)</f>
        <v>Commercial and industrial meter replacement</v>
      </c>
      <c r="AH180" s="69" t="str">
        <f ca="1">OFFSET(Com_Meters!$E497,AH181,,,)</f>
        <v>Augmentation</v>
      </c>
      <c r="AI180" s="69" t="str">
        <f ca="1">OFFSET(Com_Meters!$E497,AI181,,,)</f>
        <v>IT capex</v>
      </c>
      <c r="AJ180" s="69" t="str">
        <f ca="1">OFFSET(Com_Meters!$E497,AJ181,,,)</f>
        <v>SCADA</v>
      </c>
      <c r="AK180" s="69" t="str">
        <f ca="1">OFFSET(Com_Meters!$E497,AK181,,,)</f>
        <v>Other</v>
      </c>
      <c r="AL180" s="69" t="str">
        <f ca="1">OFFSET(Com_Meters!$E497,AL181,,,)</f>
        <v>Capitalised Leases</v>
      </c>
      <c r="AM180" s="69" t="str">
        <f ca="1">OFFSET(Com_Meters!$E497,AM181,,,)</f>
        <v>Gas Extensions - Energy for the Regions</v>
      </c>
      <c r="AN180" s="69" t="str">
        <f ca="1">OFFSET(Com_Meters!$E497,AN181,,,)</f>
        <v>Gas Extensions - Other</v>
      </c>
      <c r="AO180" s="69" t="str">
        <f ca="1">OFFSET(Com_Meters!$E497,AO181,,,)</f>
        <v>Customer contributions</v>
      </c>
      <c r="AP180" s="74"/>
      <c r="AR180" s="69" t="str">
        <f ca="1">OFFSET(Com_Meters!$E554,AR181,,,)</f>
        <v>Mains &amp; Services</v>
      </c>
      <c r="AS180" s="69" t="str">
        <f ca="1">OFFSET(Com_Meters!$E554,AS181,,,)</f>
        <v>Meters Domestic</v>
      </c>
      <c r="AT180" s="69" t="str">
        <f ca="1">OFFSET(Com_Meters!$E554,AT181,,,)</f>
        <v>Meters Industrial &amp; Commercial</v>
      </c>
      <c r="AU180" s="69" t="str">
        <f ca="1">OFFSET(Com_Meters!$E554,AU181,,,)</f>
        <v>Buildings</v>
      </c>
      <c r="AV180" s="69" t="str">
        <f ca="1">OFFSET(Com_Meters!$E554,AV181,,,)</f>
        <v>Other Assets</v>
      </c>
      <c r="AW180" s="69" t="str">
        <f ca="1">OFFSET(Com_Meters!$E554,AW181,,,)</f>
        <v>Repairs</v>
      </c>
      <c r="AX180" s="69" t="str">
        <f ca="1">OFFSET(Com_Meters!$E554,AX181,,,)</f>
        <v>Land</v>
      </c>
    </row>
    <row r="181" spans="3:50" s="41" customFormat="1" hidden="1" outlineLevel="2">
      <c r="L181" s="74"/>
      <c r="N181" s="70">
        <v>13</v>
      </c>
      <c r="O181" s="70">
        <v>14</v>
      </c>
      <c r="P181" s="70">
        <v>15</v>
      </c>
      <c r="Q181" s="70">
        <v>16</v>
      </c>
      <c r="R181" s="70">
        <v>5</v>
      </c>
      <c r="S181" s="70">
        <v>6</v>
      </c>
      <c r="T181" s="70">
        <v>7</v>
      </c>
      <c r="U181" s="70">
        <v>8</v>
      </c>
      <c r="V181" s="70">
        <v>9</v>
      </c>
      <c r="W181" s="70">
        <v>10</v>
      </c>
      <c r="X181" s="70">
        <v>11</v>
      </c>
      <c r="Y181" s="141">
        <v>12</v>
      </c>
      <c r="AA181" s="74"/>
      <c r="AC181" s="70">
        <v>1</v>
      </c>
      <c r="AD181" s="70">
        <v>2</v>
      </c>
      <c r="AE181" s="70">
        <v>3</v>
      </c>
      <c r="AF181" s="70">
        <v>4</v>
      </c>
      <c r="AG181" s="70">
        <v>5</v>
      </c>
      <c r="AH181" s="70">
        <v>6</v>
      </c>
      <c r="AI181" s="70">
        <v>7</v>
      </c>
      <c r="AJ181" s="70">
        <v>8</v>
      </c>
      <c r="AK181" s="70">
        <v>9</v>
      </c>
      <c r="AL181" s="75">
        <v>10</v>
      </c>
      <c r="AM181" s="75">
        <v>11</v>
      </c>
      <c r="AN181" s="135">
        <v>12</v>
      </c>
      <c r="AO181" s="75">
        <v>13</v>
      </c>
      <c r="AP181" s="74"/>
      <c r="AR181" s="70">
        <v>1</v>
      </c>
      <c r="AS181" s="70">
        <v>2</v>
      </c>
      <c r="AT181" s="70">
        <v>3</v>
      </c>
      <c r="AU181" s="70">
        <v>4</v>
      </c>
      <c r="AV181" s="70">
        <v>5</v>
      </c>
      <c r="AW181" s="70">
        <v>6</v>
      </c>
      <c r="AX181" s="137">
        <v>7</v>
      </c>
    </row>
    <row r="182" spans="3:50" s="41" customFormat="1" ht="5.9" customHeight="1" outlineLevel="1" collapsed="1">
      <c r="L182" s="74"/>
      <c r="Y182" s="144"/>
      <c r="AA182" s="74"/>
      <c r="AP182" s="74"/>
    </row>
    <row r="183" spans="3:50" s="41" customFormat="1" outlineLevel="1">
      <c r="D183" s="227" t="s">
        <v>329</v>
      </c>
      <c r="E183" s="227"/>
      <c r="F183" s="227"/>
      <c r="G183" s="227"/>
      <c r="I183" s="72">
        <v>0.01</v>
      </c>
      <c r="J183" s="72">
        <v>0.25</v>
      </c>
      <c r="K183" s="71">
        <f t="shared" ref="K183:K189" si="3">1-SUM(I183:J183)</f>
        <v>0.74</v>
      </c>
      <c r="L183" s="74"/>
      <c r="N183" s="72">
        <v>0</v>
      </c>
      <c r="O183" s="72">
        <v>0</v>
      </c>
      <c r="P183" s="72">
        <v>0</v>
      </c>
      <c r="Q183" s="72">
        <v>0</v>
      </c>
      <c r="R183" s="72">
        <v>0</v>
      </c>
      <c r="S183" s="72">
        <v>1</v>
      </c>
      <c r="T183" s="72">
        <v>0</v>
      </c>
      <c r="U183" s="72">
        <v>0</v>
      </c>
      <c r="V183" s="72">
        <v>0</v>
      </c>
      <c r="W183" s="72">
        <v>0</v>
      </c>
      <c r="X183" s="72">
        <v>0</v>
      </c>
      <c r="Y183" s="72">
        <v>0</v>
      </c>
      <c r="AA183" s="74"/>
      <c r="AC183" s="72">
        <v>0</v>
      </c>
      <c r="AD183" s="72">
        <v>0</v>
      </c>
      <c r="AE183" s="72">
        <v>0</v>
      </c>
      <c r="AF183" s="72">
        <v>0</v>
      </c>
      <c r="AG183" s="72">
        <v>1</v>
      </c>
      <c r="AH183" s="72">
        <v>0</v>
      </c>
      <c r="AI183" s="72">
        <v>0</v>
      </c>
      <c r="AJ183" s="72">
        <v>0</v>
      </c>
      <c r="AK183" s="72">
        <v>0</v>
      </c>
      <c r="AL183" s="72">
        <v>0</v>
      </c>
      <c r="AM183" s="72">
        <v>0</v>
      </c>
      <c r="AN183" s="72">
        <v>0</v>
      </c>
      <c r="AO183" s="146">
        <v>0</v>
      </c>
      <c r="AP183" s="74"/>
      <c r="AR183" s="72">
        <v>0</v>
      </c>
      <c r="AS183" s="72">
        <v>0</v>
      </c>
      <c r="AT183" s="72">
        <v>1</v>
      </c>
      <c r="AU183" s="72">
        <v>0</v>
      </c>
      <c r="AV183" s="72">
        <v>0</v>
      </c>
      <c r="AW183" s="72">
        <v>0</v>
      </c>
      <c r="AX183" s="72">
        <v>0</v>
      </c>
    </row>
    <row r="184" spans="3:50" s="41" customFormat="1" outlineLevel="1">
      <c r="D184" s="227" t="s">
        <v>424</v>
      </c>
      <c r="E184" s="227"/>
      <c r="F184" s="227"/>
      <c r="G184" s="227"/>
      <c r="I184" s="72">
        <v>0.01</v>
      </c>
      <c r="J184" s="72">
        <v>0.25</v>
      </c>
      <c r="K184" s="71">
        <f t="shared" si="3"/>
        <v>0.74</v>
      </c>
      <c r="L184" s="74"/>
      <c r="N184" s="72">
        <v>0</v>
      </c>
      <c r="O184" s="72">
        <v>0</v>
      </c>
      <c r="P184" s="72">
        <v>0</v>
      </c>
      <c r="Q184" s="72">
        <v>0</v>
      </c>
      <c r="R184" s="72">
        <v>0</v>
      </c>
      <c r="S184" s="72">
        <v>1</v>
      </c>
      <c r="T184" s="72">
        <v>0</v>
      </c>
      <c r="U184" s="72">
        <v>0</v>
      </c>
      <c r="V184" s="72">
        <v>0</v>
      </c>
      <c r="W184" s="72">
        <v>0</v>
      </c>
      <c r="X184" s="72">
        <v>0</v>
      </c>
      <c r="Y184" s="72">
        <v>0</v>
      </c>
      <c r="AA184" s="74"/>
      <c r="AC184" s="72">
        <v>0</v>
      </c>
      <c r="AD184" s="72">
        <v>0</v>
      </c>
      <c r="AE184" s="72">
        <v>0</v>
      </c>
      <c r="AF184" s="72">
        <v>0</v>
      </c>
      <c r="AG184" s="72">
        <v>1</v>
      </c>
      <c r="AH184" s="72">
        <v>0</v>
      </c>
      <c r="AI184" s="72">
        <v>0</v>
      </c>
      <c r="AJ184" s="72">
        <v>0</v>
      </c>
      <c r="AK184" s="72">
        <v>0</v>
      </c>
      <c r="AL184" s="72">
        <v>0</v>
      </c>
      <c r="AM184" s="72">
        <v>0</v>
      </c>
      <c r="AN184" s="72">
        <v>0</v>
      </c>
      <c r="AO184" s="146">
        <v>0</v>
      </c>
      <c r="AP184" s="74"/>
      <c r="AR184" s="72">
        <v>0</v>
      </c>
      <c r="AS184" s="72">
        <v>0</v>
      </c>
      <c r="AT184" s="72">
        <v>1</v>
      </c>
      <c r="AU184" s="72">
        <v>0</v>
      </c>
      <c r="AV184" s="72">
        <v>0</v>
      </c>
      <c r="AW184" s="72">
        <v>0</v>
      </c>
      <c r="AX184" s="72">
        <v>0</v>
      </c>
    </row>
    <row r="185" spans="3:50" s="41" customFormat="1" outlineLevel="1">
      <c r="D185" s="227" t="s">
        <v>425</v>
      </c>
      <c r="E185" s="227"/>
      <c r="F185" s="227"/>
      <c r="G185" s="227"/>
      <c r="I185" s="72">
        <v>0.01</v>
      </c>
      <c r="J185" s="72">
        <v>0.25</v>
      </c>
      <c r="K185" s="71">
        <f t="shared" si="3"/>
        <v>0.74</v>
      </c>
      <c r="L185" s="74"/>
      <c r="N185" s="72">
        <v>0</v>
      </c>
      <c r="O185" s="72">
        <v>0</v>
      </c>
      <c r="P185" s="72">
        <v>0</v>
      </c>
      <c r="Q185" s="72">
        <v>0</v>
      </c>
      <c r="R185" s="72">
        <v>0</v>
      </c>
      <c r="S185" s="72">
        <v>1</v>
      </c>
      <c r="T185" s="72">
        <v>0</v>
      </c>
      <c r="U185" s="72">
        <v>0</v>
      </c>
      <c r="V185" s="72">
        <v>0</v>
      </c>
      <c r="W185" s="72">
        <v>0</v>
      </c>
      <c r="X185" s="72">
        <v>0</v>
      </c>
      <c r="Y185" s="72">
        <v>0</v>
      </c>
      <c r="AA185" s="74"/>
      <c r="AC185" s="72">
        <v>0</v>
      </c>
      <c r="AD185" s="72">
        <v>0</v>
      </c>
      <c r="AE185" s="72">
        <v>0</v>
      </c>
      <c r="AF185" s="72">
        <v>0</v>
      </c>
      <c r="AG185" s="72">
        <v>1</v>
      </c>
      <c r="AH185" s="72">
        <v>0</v>
      </c>
      <c r="AI185" s="72">
        <v>0</v>
      </c>
      <c r="AJ185" s="72">
        <v>0</v>
      </c>
      <c r="AK185" s="72">
        <v>0</v>
      </c>
      <c r="AL185" s="72">
        <v>0</v>
      </c>
      <c r="AM185" s="72">
        <v>0</v>
      </c>
      <c r="AN185" s="72">
        <v>0</v>
      </c>
      <c r="AO185" s="72">
        <v>0</v>
      </c>
      <c r="AP185" s="74"/>
      <c r="AR185" s="72">
        <v>0</v>
      </c>
      <c r="AS185" s="72">
        <v>0</v>
      </c>
      <c r="AT185" s="72">
        <v>1</v>
      </c>
      <c r="AU185" s="72">
        <v>0</v>
      </c>
      <c r="AV185" s="72">
        <v>0</v>
      </c>
      <c r="AW185" s="72">
        <v>0</v>
      </c>
      <c r="AX185" s="72">
        <v>0</v>
      </c>
    </row>
    <row r="186" spans="3:50" s="41" customFormat="1" outlineLevel="1">
      <c r="D186" s="227" t="s">
        <v>426</v>
      </c>
      <c r="E186" s="227"/>
      <c r="F186" s="227"/>
      <c r="G186" s="227"/>
      <c r="I186" s="72">
        <v>0.01</v>
      </c>
      <c r="J186" s="72">
        <v>0.25</v>
      </c>
      <c r="K186" s="71">
        <f t="shared" si="3"/>
        <v>0.74</v>
      </c>
      <c r="L186" s="74"/>
      <c r="N186" s="72">
        <v>0</v>
      </c>
      <c r="O186" s="72">
        <v>0</v>
      </c>
      <c r="P186" s="72">
        <v>0</v>
      </c>
      <c r="Q186" s="72">
        <v>0</v>
      </c>
      <c r="R186" s="72">
        <v>0</v>
      </c>
      <c r="S186" s="72">
        <v>1</v>
      </c>
      <c r="T186" s="72">
        <v>0</v>
      </c>
      <c r="U186" s="72">
        <v>0</v>
      </c>
      <c r="V186" s="72">
        <v>0</v>
      </c>
      <c r="W186" s="72">
        <v>0</v>
      </c>
      <c r="X186" s="72">
        <v>0</v>
      </c>
      <c r="Y186" s="72">
        <v>0</v>
      </c>
      <c r="AA186" s="74"/>
      <c r="AC186" s="72">
        <v>0</v>
      </c>
      <c r="AD186" s="72">
        <v>0</v>
      </c>
      <c r="AE186" s="72">
        <v>0</v>
      </c>
      <c r="AF186" s="72">
        <v>0</v>
      </c>
      <c r="AG186" s="72">
        <v>1</v>
      </c>
      <c r="AH186" s="72">
        <v>0</v>
      </c>
      <c r="AI186" s="72">
        <v>0</v>
      </c>
      <c r="AJ186" s="72">
        <v>0</v>
      </c>
      <c r="AK186" s="72">
        <v>0</v>
      </c>
      <c r="AL186" s="72">
        <v>0</v>
      </c>
      <c r="AM186" s="72">
        <v>0</v>
      </c>
      <c r="AN186" s="72">
        <v>0</v>
      </c>
      <c r="AO186" s="72">
        <v>0</v>
      </c>
      <c r="AP186" s="74"/>
      <c r="AR186" s="72">
        <v>0</v>
      </c>
      <c r="AS186" s="72">
        <v>0</v>
      </c>
      <c r="AT186" s="72">
        <v>1</v>
      </c>
      <c r="AU186" s="72">
        <v>0</v>
      </c>
      <c r="AV186" s="72">
        <v>0</v>
      </c>
      <c r="AW186" s="72">
        <v>0</v>
      </c>
      <c r="AX186" s="72">
        <v>0</v>
      </c>
    </row>
    <row r="187" spans="3:50" s="41" customFormat="1" outlineLevel="1">
      <c r="D187" s="227" t="s">
        <v>427</v>
      </c>
      <c r="E187" s="227"/>
      <c r="F187" s="227"/>
      <c r="G187" s="227"/>
      <c r="I187" s="72">
        <v>0.01</v>
      </c>
      <c r="J187" s="72">
        <v>0.25</v>
      </c>
      <c r="K187" s="71">
        <f t="shared" si="3"/>
        <v>0.74</v>
      </c>
      <c r="L187" s="74"/>
      <c r="N187" s="72">
        <v>0</v>
      </c>
      <c r="O187" s="72">
        <v>0</v>
      </c>
      <c r="P187" s="72">
        <v>0</v>
      </c>
      <c r="Q187" s="72">
        <v>0</v>
      </c>
      <c r="R187" s="72">
        <v>0</v>
      </c>
      <c r="S187" s="72">
        <v>1</v>
      </c>
      <c r="T187" s="72">
        <v>0</v>
      </c>
      <c r="U187" s="72">
        <v>0</v>
      </c>
      <c r="V187" s="72">
        <v>0</v>
      </c>
      <c r="W187" s="72">
        <v>0</v>
      </c>
      <c r="X187" s="72">
        <v>0</v>
      </c>
      <c r="Y187" s="72">
        <v>0</v>
      </c>
      <c r="AA187" s="74"/>
      <c r="AC187" s="72">
        <v>0</v>
      </c>
      <c r="AD187" s="72">
        <v>0</v>
      </c>
      <c r="AE187" s="72">
        <v>0</v>
      </c>
      <c r="AF187" s="72">
        <v>0</v>
      </c>
      <c r="AG187" s="72">
        <v>1</v>
      </c>
      <c r="AH187" s="72">
        <v>0</v>
      </c>
      <c r="AI187" s="72">
        <v>0</v>
      </c>
      <c r="AJ187" s="72">
        <v>0</v>
      </c>
      <c r="AK187" s="72">
        <v>0</v>
      </c>
      <c r="AL187" s="72">
        <v>0</v>
      </c>
      <c r="AM187" s="72">
        <v>0</v>
      </c>
      <c r="AN187" s="72">
        <v>0</v>
      </c>
      <c r="AO187" s="72">
        <v>0</v>
      </c>
      <c r="AP187" s="74"/>
      <c r="AR187" s="72">
        <v>0</v>
      </c>
      <c r="AS187" s="72">
        <v>0</v>
      </c>
      <c r="AT187" s="72">
        <v>1</v>
      </c>
      <c r="AU187" s="72">
        <v>0</v>
      </c>
      <c r="AV187" s="72">
        <v>0</v>
      </c>
      <c r="AW187" s="72">
        <v>0</v>
      </c>
      <c r="AX187" s="72">
        <v>0</v>
      </c>
    </row>
    <row r="188" spans="3:50" s="41" customFormat="1" outlineLevel="1">
      <c r="D188" s="227" t="s">
        <v>428</v>
      </c>
      <c r="E188" s="227"/>
      <c r="F188" s="227"/>
      <c r="G188" s="227"/>
      <c r="I188" s="72">
        <v>0.01</v>
      </c>
      <c r="J188" s="72">
        <v>0.25</v>
      </c>
      <c r="K188" s="71">
        <f t="shared" si="3"/>
        <v>0.74</v>
      </c>
      <c r="L188" s="74"/>
      <c r="N188" s="72">
        <v>0</v>
      </c>
      <c r="O188" s="72">
        <v>0</v>
      </c>
      <c r="P188" s="72">
        <v>0</v>
      </c>
      <c r="Q188" s="72">
        <v>0</v>
      </c>
      <c r="R188" s="72">
        <v>0</v>
      </c>
      <c r="S188" s="72">
        <v>1</v>
      </c>
      <c r="T188" s="72">
        <v>0</v>
      </c>
      <c r="U188" s="72">
        <v>0</v>
      </c>
      <c r="V188" s="72">
        <v>0</v>
      </c>
      <c r="W188" s="72">
        <v>0</v>
      </c>
      <c r="X188" s="72">
        <v>0</v>
      </c>
      <c r="Y188" s="72">
        <v>0</v>
      </c>
      <c r="AA188" s="74"/>
      <c r="AC188" s="72">
        <v>0</v>
      </c>
      <c r="AD188" s="72">
        <v>0</v>
      </c>
      <c r="AE188" s="72">
        <v>0</v>
      </c>
      <c r="AF188" s="72">
        <v>0</v>
      </c>
      <c r="AG188" s="72">
        <v>1</v>
      </c>
      <c r="AH188" s="72">
        <v>0</v>
      </c>
      <c r="AI188" s="72">
        <v>0</v>
      </c>
      <c r="AJ188" s="72">
        <v>0</v>
      </c>
      <c r="AK188" s="72">
        <v>0</v>
      </c>
      <c r="AL188" s="72">
        <v>0</v>
      </c>
      <c r="AM188" s="72">
        <v>0</v>
      </c>
      <c r="AN188" s="72">
        <v>0</v>
      </c>
      <c r="AO188" s="72">
        <v>0</v>
      </c>
      <c r="AP188" s="74"/>
      <c r="AR188" s="72">
        <v>0</v>
      </c>
      <c r="AS188" s="72">
        <v>0</v>
      </c>
      <c r="AT188" s="72">
        <v>1</v>
      </c>
      <c r="AU188" s="72">
        <v>0</v>
      </c>
      <c r="AV188" s="72">
        <v>0</v>
      </c>
      <c r="AW188" s="72">
        <v>0</v>
      </c>
      <c r="AX188" s="72">
        <v>0</v>
      </c>
    </row>
    <row r="189" spans="3:50" s="41" customFormat="1" outlineLevel="1">
      <c r="D189" s="227" t="s">
        <v>423</v>
      </c>
      <c r="E189" s="227"/>
      <c r="F189" s="227"/>
      <c r="G189" s="227"/>
      <c r="I189" s="72">
        <v>0.01</v>
      </c>
      <c r="J189" s="72">
        <v>0.25</v>
      </c>
      <c r="K189" s="71">
        <f t="shared" si="3"/>
        <v>0.74</v>
      </c>
      <c r="L189" s="74"/>
      <c r="N189" s="72">
        <v>0</v>
      </c>
      <c r="O189" s="72">
        <v>0</v>
      </c>
      <c r="P189" s="72">
        <v>0</v>
      </c>
      <c r="Q189" s="72">
        <v>0</v>
      </c>
      <c r="R189" s="72">
        <v>0</v>
      </c>
      <c r="S189" s="72">
        <v>1</v>
      </c>
      <c r="T189" s="72">
        <v>0</v>
      </c>
      <c r="U189" s="72">
        <v>0</v>
      </c>
      <c r="V189" s="72">
        <v>0</v>
      </c>
      <c r="W189" s="72">
        <v>0</v>
      </c>
      <c r="X189" s="72">
        <v>0</v>
      </c>
      <c r="Y189" s="72">
        <v>0</v>
      </c>
      <c r="AA189" s="74"/>
      <c r="AC189" s="72">
        <v>0</v>
      </c>
      <c r="AD189" s="72">
        <v>0</v>
      </c>
      <c r="AE189" s="72">
        <v>0</v>
      </c>
      <c r="AF189" s="72">
        <v>0</v>
      </c>
      <c r="AG189" s="72">
        <v>1</v>
      </c>
      <c r="AH189" s="72">
        <v>0</v>
      </c>
      <c r="AI189" s="72">
        <v>0</v>
      </c>
      <c r="AJ189" s="72">
        <v>0</v>
      </c>
      <c r="AK189" s="72">
        <v>0</v>
      </c>
      <c r="AL189" s="72">
        <v>0</v>
      </c>
      <c r="AM189" s="72">
        <v>0</v>
      </c>
      <c r="AN189" s="72">
        <v>0</v>
      </c>
      <c r="AO189" s="72">
        <v>0</v>
      </c>
      <c r="AP189" s="74"/>
      <c r="AR189" s="72">
        <v>0</v>
      </c>
      <c r="AS189" s="72">
        <v>0</v>
      </c>
      <c r="AT189" s="72">
        <v>1</v>
      </c>
      <c r="AU189" s="72">
        <v>0</v>
      </c>
      <c r="AV189" s="72">
        <v>0</v>
      </c>
      <c r="AW189" s="72">
        <v>0</v>
      </c>
      <c r="AX189" s="72">
        <v>0</v>
      </c>
    </row>
    <row r="190" spans="3:50" s="41" customFormat="1" outlineLevel="1">
      <c r="L190" s="74"/>
      <c r="AA190" s="74"/>
      <c r="AC190" s="43" t="s">
        <v>458</v>
      </c>
      <c r="AP190" s="74"/>
    </row>
    <row r="191" spans="3:50" s="41" customFormat="1" outlineLevel="1">
      <c r="C191" s="50" t="s">
        <v>367</v>
      </c>
      <c r="L191" s="74"/>
      <c r="AA191" s="74"/>
      <c r="AP191" s="74"/>
    </row>
    <row r="192" spans="3:50" s="41" customFormat="1" ht="5.9" customHeight="1" outlineLevel="1">
      <c r="L192" s="74"/>
      <c r="AA192" s="74"/>
      <c r="AP192" s="74"/>
    </row>
    <row r="193" spans="1:50" s="41" customFormat="1" outlineLevel="1">
      <c r="D193" s="227" t="s">
        <v>368</v>
      </c>
      <c r="E193" s="227"/>
      <c r="F193" s="227"/>
      <c r="G193" s="227"/>
      <c r="L193" s="74"/>
      <c r="N193" s="72">
        <v>0</v>
      </c>
      <c r="O193" s="72">
        <v>0</v>
      </c>
      <c r="P193" s="72">
        <v>0</v>
      </c>
      <c r="Q193" s="72">
        <v>0</v>
      </c>
      <c r="R193" s="72">
        <v>0</v>
      </c>
      <c r="S193" s="72">
        <v>0</v>
      </c>
      <c r="T193" s="72">
        <v>0</v>
      </c>
      <c r="U193" s="72">
        <v>0</v>
      </c>
      <c r="V193" s="72">
        <v>0</v>
      </c>
      <c r="W193" s="72">
        <v>0</v>
      </c>
      <c r="X193" s="72">
        <v>0</v>
      </c>
      <c r="Y193" s="72">
        <v>0</v>
      </c>
      <c r="AA193" s="74"/>
      <c r="AC193" s="72">
        <v>0</v>
      </c>
      <c r="AD193" s="72">
        <v>0</v>
      </c>
      <c r="AE193" s="72">
        <v>0</v>
      </c>
      <c r="AF193" s="72">
        <v>0</v>
      </c>
      <c r="AG193" s="72">
        <v>0</v>
      </c>
      <c r="AH193" s="72">
        <v>0</v>
      </c>
      <c r="AI193" s="72">
        <v>0</v>
      </c>
      <c r="AJ193" s="72">
        <v>0</v>
      </c>
      <c r="AK193" s="72">
        <v>0</v>
      </c>
      <c r="AL193" s="72">
        <v>0</v>
      </c>
      <c r="AM193" s="72">
        <v>0</v>
      </c>
      <c r="AN193" s="72">
        <v>0</v>
      </c>
      <c r="AO193" s="146">
        <v>0</v>
      </c>
      <c r="AP193" s="74"/>
      <c r="AR193" s="72">
        <v>0</v>
      </c>
      <c r="AS193" s="72">
        <v>0</v>
      </c>
      <c r="AT193" s="72">
        <v>0</v>
      </c>
      <c r="AU193" s="72">
        <v>0</v>
      </c>
      <c r="AV193" s="72">
        <v>0</v>
      </c>
      <c r="AW193" s="72">
        <v>0</v>
      </c>
      <c r="AX193" s="72">
        <v>0</v>
      </c>
    </row>
    <row r="195" spans="1:50" s="2" customFormat="1">
      <c r="A195"/>
      <c r="B195" s="2" t="s">
        <v>245</v>
      </c>
    </row>
    <row r="196" spans="1:50" ht="5.9" customHeight="1"/>
    <row r="197" spans="1:50" ht="14">
      <c r="C197" s="77" t="str">
        <f>Net_Reg!B25</f>
        <v>Network Regulators - Planned</v>
      </c>
      <c r="I197" s="37" t="str">
        <f>GC!H18</f>
        <v>Network</v>
      </c>
    </row>
    <row r="198" spans="1:50" ht="5.9" customHeight="1" outlineLevel="1"/>
    <row r="199" spans="1:50" outlineLevel="1">
      <c r="I199" s="242" t="s">
        <v>194</v>
      </c>
      <c r="J199" s="242"/>
      <c r="K199" s="242"/>
      <c r="L199" s="73"/>
      <c r="N199" s="242" t="s">
        <v>195</v>
      </c>
      <c r="O199" s="242"/>
      <c r="P199" s="242"/>
      <c r="Q199" s="242"/>
      <c r="R199" s="242"/>
      <c r="S199" s="242"/>
      <c r="T199" s="242"/>
      <c r="U199" s="242"/>
      <c r="V199" s="242"/>
      <c r="W199" s="242"/>
      <c r="X199" s="242"/>
      <c r="Y199" s="242"/>
      <c r="Z199" s="242"/>
      <c r="AA199" s="73"/>
      <c r="AC199" s="245" t="s">
        <v>196</v>
      </c>
      <c r="AD199" s="245"/>
      <c r="AE199" s="245"/>
      <c r="AF199" s="245"/>
      <c r="AG199" s="245"/>
      <c r="AH199" s="245"/>
      <c r="AI199" s="245"/>
      <c r="AJ199" s="245"/>
      <c r="AK199" s="245"/>
      <c r="AL199" s="245"/>
      <c r="AM199" s="245"/>
      <c r="AN199" s="245"/>
      <c r="AO199" s="245"/>
      <c r="AP199" s="73"/>
      <c r="AR199" s="242" t="s">
        <v>311</v>
      </c>
      <c r="AS199" s="242"/>
      <c r="AT199" s="242"/>
      <c r="AU199" s="242"/>
      <c r="AV199" s="242"/>
      <c r="AW199" s="242"/>
      <c r="AX199" s="242"/>
    </row>
    <row r="200" spans="1:50" ht="46" outlineLevel="1">
      <c r="D200" s="37" t="s">
        <v>160</v>
      </c>
      <c r="I200" s="57" t="s">
        <v>128</v>
      </c>
      <c r="J200" s="57" t="s">
        <v>129</v>
      </c>
      <c r="K200" s="57" t="s">
        <v>130</v>
      </c>
      <c r="L200" s="73"/>
      <c r="N200" s="57" t="str">
        <f ca="1">OFFSET(Net_Reg!$E146,N201,,,)</f>
        <v>Transmission pipelines - post 1998</v>
      </c>
      <c r="O200" s="57" t="str">
        <f ca="1">OFFSET(Net_Reg!$E146,O201,,,)</f>
        <v>Distribution pipelines - post 1998</v>
      </c>
      <c r="P200" s="57" t="str">
        <f ca="1">OFFSET(Net_Reg!$E146,P201,,,)</f>
        <v>Service pipes - post 1998</v>
      </c>
      <c r="Q200" s="57" t="str">
        <f ca="1">OFFSET(Net_Reg!$E146,Q201,,,)</f>
        <v>Cathodic protection - post 1998</v>
      </c>
      <c r="R200" s="57" t="str">
        <f ca="1">OFFSET(Net_Reg!$E146,R201,,,)</f>
        <v>Supply Regulators / Valve Stations</v>
      </c>
      <c r="S200" s="57" t="str">
        <f ca="1">OFFSET(Net_Reg!$E146,S201,,,)</f>
        <v>Meters</v>
      </c>
      <c r="T200" s="57" t="str">
        <f ca="1">OFFSET(Net_Reg!$E146,T201,,,)</f>
        <v>SCADA and remote control</v>
      </c>
      <c r="U200" s="57" t="str">
        <f ca="1">OFFSET(Net_Reg!$E146,U201,,,)</f>
        <v>Buildings</v>
      </c>
      <c r="V200" s="57" t="str">
        <f ca="1">OFFSET(Net_Reg!$E146,V201,,,)</f>
        <v>Other - IT</v>
      </c>
      <c r="W200" s="57" t="str">
        <f ca="1">OFFSET(Net_Reg!$E146,W201,,,)</f>
        <v>Other - non IT</v>
      </c>
      <c r="X200" s="57" t="str">
        <f ca="1">OFFSET(Net_Reg!$E146,X201,,,)</f>
        <v>Land</v>
      </c>
      <c r="Y200" s="57" t="str">
        <f ca="1">OFFSET(Net_Reg!$E146,Y201,,,)</f>
        <v>Capitalised Leases</v>
      </c>
      <c r="AA200" s="139"/>
      <c r="AC200" s="57" t="str">
        <f ca="1">OFFSET(Net_Reg!$E229,AC201,,,)</f>
        <v>Mains replacement</v>
      </c>
      <c r="AD200" s="57" t="str">
        <f ca="1">OFFSET(Net_Reg!$E229,AD201,,,)</f>
        <v>Residential new customer connections</v>
      </c>
      <c r="AE200" s="57" t="str">
        <f ca="1">OFFSET(Net_Reg!$E229,AE201,,,)</f>
        <v>Commercial and industrial new customer connections</v>
      </c>
      <c r="AF200" s="57" t="str">
        <f ca="1">OFFSET(Net_Reg!$E229,AF201,,,)</f>
        <v>Residential meter replacement</v>
      </c>
      <c r="AG200" s="57" t="str">
        <f ca="1">OFFSET(Net_Reg!$E229,AG201,,,)</f>
        <v>Commercial and industrial meter replacement</v>
      </c>
      <c r="AH200" s="57" t="str">
        <f ca="1">OFFSET(Net_Reg!$E229,AH201,,,)</f>
        <v>Augmentation</v>
      </c>
      <c r="AI200" s="57" t="str">
        <f ca="1">OFFSET(Net_Reg!$E229,AI201,,,)</f>
        <v>IT capex</v>
      </c>
      <c r="AJ200" s="57" t="str">
        <f ca="1">OFFSET(Net_Reg!$E229,AJ201,,,)</f>
        <v>SCADA</v>
      </c>
      <c r="AK200" s="57" t="str">
        <f ca="1">OFFSET(Net_Reg!$E229,AK201,,,)</f>
        <v>Other</v>
      </c>
      <c r="AL200" s="57" t="str">
        <f ca="1">OFFSET(Net_Reg!$E229,AL201,,,)</f>
        <v>Capitalised Leases</v>
      </c>
      <c r="AM200" s="57" t="str">
        <f ca="1">OFFSET(Net_Reg!$E229,AM201,,,)</f>
        <v>Gas Extensions - Energy for the Regions</v>
      </c>
      <c r="AN200" s="57" t="str">
        <f ca="1">OFFSET(Net_Reg!$E229,AN201,,,)</f>
        <v>Gas Extensions - Other</v>
      </c>
      <c r="AO200" s="57" t="str">
        <f ca="1">OFFSET(Net_Reg!$E229,AO201,,,)</f>
        <v>Customer contributions</v>
      </c>
      <c r="AP200" s="73"/>
      <c r="AR200" s="57" t="str">
        <f ca="1">OFFSET(Net_Reg!$E286,AR201,,,)</f>
        <v>Mains &amp; Services</v>
      </c>
      <c r="AS200" s="57" t="str">
        <f ca="1">OFFSET(Net_Reg!$E286,AS201,,,)</f>
        <v>Meters Domestic</v>
      </c>
      <c r="AT200" s="57" t="str">
        <f ca="1">OFFSET(Net_Reg!$E286,AT201,,,)</f>
        <v>Meters Industrial &amp; Commercial</v>
      </c>
      <c r="AU200" s="57" t="str">
        <f ca="1">OFFSET(Net_Reg!$E286,AU201,,,)</f>
        <v>Buildings</v>
      </c>
      <c r="AV200" s="57" t="str">
        <f ca="1">OFFSET(Net_Reg!$E286,AV201,,,)</f>
        <v>Other Assets</v>
      </c>
      <c r="AW200" s="57" t="str">
        <f ca="1">OFFSET(Net_Reg!$E286,AW201,,,)</f>
        <v>Repairs</v>
      </c>
      <c r="AX200" s="57" t="str">
        <f ca="1">OFFSET(Net_Reg!$E286,AX201,,,)</f>
        <v>Land</v>
      </c>
    </row>
    <row r="201" spans="1:50" hidden="1" outlineLevel="2">
      <c r="L201" s="73"/>
      <c r="N201" s="68">
        <v>13</v>
      </c>
      <c r="O201" s="68">
        <v>14</v>
      </c>
      <c r="P201" s="68">
        <v>15</v>
      </c>
      <c r="Q201" s="68">
        <v>16</v>
      </c>
      <c r="R201" s="68">
        <v>5</v>
      </c>
      <c r="S201" s="68">
        <v>6</v>
      </c>
      <c r="T201" s="68">
        <v>7</v>
      </c>
      <c r="U201" s="68">
        <v>8</v>
      </c>
      <c r="V201" s="68">
        <v>9</v>
      </c>
      <c r="W201" s="68">
        <v>10</v>
      </c>
      <c r="X201" s="68">
        <v>11</v>
      </c>
      <c r="Y201" s="142">
        <v>12</v>
      </c>
      <c r="AA201" s="73"/>
      <c r="AC201" s="68">
        <v>1</v>
      </c>
      <c r="AD201" s="68">
        <v>2</v>
      </c>
      <c r="AE201" s="68">
        <v>3</v>
      </c>
      <c r="AF201" s="68">
        <v>4</v>
      </c>
      <c r="AG201" s="68">
        <v>5</v>
      </c>
      <c r="AH201" s="68">
        <v>6</v>
      </c>
      <c r="AI201" s="68">
        <v>7</v>
      </c>
      <c r="AJ201" s="68">
        <v>8</v>
      </c>
      <c r="AK201" s="68">
        <v>9</v>
      </c>
      <c r="AL201" s="67">
        <v>10</v>
      </c>
      <c r="AM201" s="67">
        <v>11</v>
      </c>
      <c r="AN201" s="136">
        <v>12</v>
      </c>
      <c r="AO201" s="67">
        <v>13</v>
      </c>
      <c r="AP201" s="73"/>
      <c r="AR201" s="68">
        <v>1</v>
      </c>
      <c r="AS201" s="68">
        <v>2</v>
      </c>
      <c r="AT201" s="68">
        <v>3</v>
      </c>
      <c r="AU201" s="68">
        <v>4</v>
      </c>
      <c r="AV201" s="68">
        <v>5</v>
      </c>
      <c r="AW201" s="68">
        <v>6</v>
      </c>
      <c r="AX201" s="138">
        <v>7</v>
      </c>
    </row>
    <row r="202" spans="1:50" ht="5.9" customHeight="1" outlineLevel="1" collapsed="1">
      <c r="L202" s="73"/>
      <c r="Y202" s="145"/>
      <c r="AA202" s="73"/>
      <c r="AP202" s="73"/>
    </row>
    <row r="203" spans="1:50" outlineLevel="1">
      <c r="D203" s="241" t="s">
        <v>453</v>
      </c>
      <c r="E203" s="241"/>
      <c r="F203" s="241"/>
      <c r="G203" s="241"/>
      <c r="I203" s="64">
        <v>0.02</v>
      </c>
      <c r="J203" s="64">
        <v>0.38</v>
      </c>
      <c r="K203" s="65">
        <f t="shared" ref="K203:K210" si="4">1-SUM(I203:J203)</f>
        <v>0.6</v>
      </c>
      <c r="L203" s="73"/>
      <c r="N203" s="64">
        <v>0</v>
      </c>
      <c r="O203" s="64">
        <v>0</v>
      </c>
      <c r="P203" s="64">
        <v>0</v>
      </c>
      <c r="Q203" s="64">
        <v>0</v>
      </c>
      <c r="R203" s="64">
        <v>1</v>
      </c>
      <c r="S203" s="64">
        <v>0</v>
      </c>
      <c r="T203" s="64">
        <v>0</v>
      </c>
      <c r="U203" s="64">
        <v>0</v>
      </c>
      <c r="V203" s="64">
        <v>0</v>
      </c>
      <c r="W203" s="64">
        <v>0</v>
      </c>
      <c r="X203" s="64">
        <v>0</v>
      </c>
      <c r="Y203" s="64">
        <v>0</v>
      </c>
      <c r="AA203" s="73"/>
      <c r="AC203" s="64">
        <v>0</v>
      </c>
      <c r="AD203" s="64">
        <v>0</v>
      </c>
      <c r="AE203" s="64">
        <v>0</v>
      </c>
      <c r="AF203" s="64">
        <v>0</v>
      </c>
      <c r="AG203" s="64">
        <v>0</v>
      </c>
      <c r="AH203" s="64">
        <v>0</v>
      </c>
      <c r="AI203" s="64">
        <v>0</v>
      </c>
      <c r="AJ203" s="64">
        <v>0</v>
      </c>
      <c r="AK203" s="64">
        <v>1</v>
      </c>
      <c r="AL203" s="64">
        <v>0</v>
      </c>
      <c r="AM203" s="64">
        <v>0</v>
      </c>
      <c r="AN203" s="64">
        <v>0</v>
      </c>
      <c r="AO203" s="147">
        <v>0</v>
      </c>
      <c r="AP203" s="73"/>
      <c r="AR203" s="64">
        <v>0</v>
      </c>
      <c r="AS203" s="64">
        <v>0</v>
      </c>
      <c r="AT203" s="64">
        <v>0</v>
      </c>
      <c r="AU203" s="64">
        <v>0</v>
      </c>
      <c r="AV203" s="64">
        <v>1</v>
      </c>
      <c r="AW203" s="64">
        <v>0</v>
      </c>
      <c r="AX203" s="64">
        <v>0</v>
      </c>
    </row>
    <row r="204" spans="1:50" outlineLevel="1">
      <c r="D204" s="241" t="s">
        <v>454</v>
      </c>
      <c r="E204" s="241"/>
      <c r="F204" s="241"/>
      <c r="G204" s="241"/>
      <c r="I204" s="64">
        <v>0.02</v>
      </c>
      <c r="J204" s="64">
        <v>0.38</v>
      </c>
      <c r="K204" s="65">
        <f t="shared" si="4"/>
        <v>0.6</v>
      </c>
      <c r="L204" s="73"/>
      <c r="N204" s="64">
        <v>0</v>
      </c>
      <c r="O204" s="64">
        <v>0</v>
      </c>
      <c r="P204" s="64">
        <v>0</v>
      </c>
      <c r="Q204" s="64">
        <v>0</v>
      </c>
      <c r="R204" s="64">
        <v>1</v>
      </c>
      <c r="S204" s="64">
        <v>0</v>
      </c>
      <c r="T204" s="64">
        <v>0</v>
      </c>
      <c r="U204" s="64">
        <v>0</v>
      </c>
      <c r="V204" s="64">
        <v>0</v>
      </c>
      <c r="W204" s="64">
        <v>0</v>
      </c>
      <c r="X204" s="64">
        <v>0</v>
      </c>
      <c r="Y204" s="64">
        <v>0</v>
      </c>
      <c r="AA204" s="73"/>
      <c r="AC204" s="64">
        <v>0</v>
      </c>
      <c r="AD204" s="64">
        <v>0</v>
      </c>
      <c r="AE204" s="64">
        <v>0</v>
      </c>
      <c r="AF204" s="64">
        <v>0</v>
      </c>
      <c r="AG204" s="64">
        <v>0</v>
      </c>
      <c r="AH204" s="64">
        <v>0</v>
      </c>
      <c r="AI204" s="64">
        <v>0</v>
      </c>
      <c r="AJ204" s="64">
        <v>0</v>
      </c>
      <c r="AK204" s="64">
        <v>1</v>
      </c>
      <c r="AL204" s="64">
        <v>0</v>
      </c>
      <c r="AM204" s="64">
        <v>0</v>
      </c>
      <c r="AN204" s="64">
        <v>0</v>
      </c>
      <c r="AO204" s="147">
        <v>0</v>
      </c>
      <c r="AP204" s="73"/>
      <c r="AR204" s="64">
        <v>0</v>
      </c>
      <c r="AS204" s="64">
        <v>0</v>
      </c>
      <c r="AT204" s="64">
        <v>0</v>
      </c>
      <c r="AU204" s="64">
        <v>0</v>
      </c>
      <c r="AV204" s="64">
        <v>1</v>
      </c>
      <c r="AW204" s="64">
        <v>0</v>
      </c>
      <c r="AX204" s="64">
        <v>0</v>
      </c>
    </row>
    <row r="205" spans="1:50" outlineLevel="1">
      <c r="D205" s="241" t="s">
        <v>472</v>
      </c>
      <c r="E205" s="241"/>
      <c r="F205" s="241"/>
      <c r="G205" s="241"/>
      <c r="I205" s="64">
        <v>0.02</v>
      </c>
      <c r="J205" s="64">
        <v>0.38</v>
      </c>
      <c r="K205" s="65">
        <f t="shared" si="4"/>
        <v>0.6</v>
      </c>
      <c r="L205" s="73"/>
      <c r="N205" s="64">
        <v>0</v>
      </c>
      <c r="O205" s="64">
        <v>0</v>
      </c>
      <c r="P205" s="64">
        <v>0</v>
      </c>
      <c r="Q205" s="64">
        <v>0</v>
      </c>
      <c r="R205" s="64">
        <v>1</v>
      </c>
      <c r="S205" s="64">
        <v>0</v>
      </c>
      <c r="T205" s="64">
        <v>0</v>
      </c>
      <c r="U205" s="64">
        <v>0</v>
      </c>
      <c r="V205" s="64">
        <v>0</v>
      </c>
      <c r="W205" s="64">
        <v>0</v>
      </c>
      <c r="X205" s="64">
        <v>0</v>
      </c>
      <c r="Y205" s="64">
        <v>0</v>
      </c>
      <c r="AA205" s="73"/>
      <c r="AC205" s="64">
        <v>0</v>
      </c>
      <c r="AD205" s="64">
        <v>0</v>
      </c>
      <c r="AE205" s="64">
        <v>0</v>
      </c>
      <c r="AF205" s="64">
        <v>0</v>
      </c>
      <c r="AG205" s="64">
        <v>0</v>
      </c>
      <c r="AH205" s="64">
        <v>0</v>
      </c>
      <c r="AI205" s="64">
        <v>0</v>
      </c>
      <c r="AJ205" s="64">
        <v>0</v>
      </c>
      <c r="AK205" s="64">
        <v>1</v>
      </c>
      <c r="AL205" s="64">
        <v>0</v>
      </c>
      <c r="AM205" s="64">
        <v>0</v>
      </c>
      <c r="AN205" s="64">
        <v>0</v>
      </c>
      <c r="AO205" s="147">
        <v>0</v>
      </c>
      <c r="AP205" s="73"/>
      <c r="AR205" s="64">
        <v>0</v>
      </c>
      <c r="AS205" s="64">
        <v>0</v>
      </c>
      <c r="AT205" s="64">
        <v>0</v>
      </c>
      <c r="AU205" s="64">
        <v>0</v>
      </c>
      <c r="AV205" s="64">
        <v>1</v>
      </c>
      <c r="AW205" s="64">
        <v>0</v>
      </c>
      <c r="AX205" s="64">
        <v>0</v>
      </c>
    </row>
    <row r="206" spans="1:50" outlineLevel="1">
      <c r="D206" s="241" t="s">
        <v>455</v>
      </c>
      <c r="E206" s="241"/>
      <c r="F206" s="241"/>
      <c r="G206" s="241"/>
      <c r="I206" s="64">
        <v>0.02</v>
      </c>
      <c r="J206" s="64">
        <v>0.38</v>
      </c>
      <c r="K206" s="65">
        <f t="shared" si="4"/>
        <v>0.6</v>
      </c>
      <c r="L206" s="73"/>
      <c r="N206" s="64">
        <v>0</v>
      </c>
      <c r="O206" s="64">
        <v>0</v>
      </c>
      <c r="P206" s="64">
        <v>0</v>
      </c>
      <c r="Q206" s="64">
        <v>0</v>
      </c>
      <c r="R206" s="64">
        <v>1</v>
      </c>
      <c r="S206" s="64">
        <v>0</v>
      </c>
      <c r="T206" s="64">
        <v>0</v>
      </c>
      <c r="U206" s="64">
        <v>0</v>
      </c>
      <c r="V206" s="64">
        <v>0</v>
      </c>
      <c r="W206" s="64">
        <v>0</v>
      </c>
      <c r="X206" s="64">
        <v>0</v>
      </c>
      <c r="Y206" s="64">
        <v>0</v>
      </c>
      <c r="AA206" s="73"/>
      <c r="AC206" s="64">
        <v>0</v>
      </c>
      <c r="AD206" s="64">
        <v>0</v>
      </c>
      <c r="AE206" s="64">
        <v>0</v>
      </c>
      <c r="AF206" s="64">
        <v>0</v>
      </c>
      <c r="AG206" s="64">
        <v>0</v>
      </c>
      <c r="AH206" s="64">
        <v>0</v>
      </c>
      <c r="AI206" s="64">
        <v>0</v>
      </c>
      <c r="AJ206" s="64">
        <v>0</v>
      </c>
      <c r="AK206" s="64">
        <v>1</v>
      </c>
      <c r="AL206" s="64">
        <v>0</v>
      </c>
      <c r="AM206" s="64">
        <v>0</v>
      </c>
      <c r="AN206" s="64">
        <v>0</v>
      </c>
      <c r="AO206" s="147">
        <v>0</v>
      </c>
      <c r="AP206" s="73"/>
      <c r="AR206" s="64">
        <v>0</v>
      </c>
      <c r="AS206" s="64">
        <v>0</v>
      </c>
      <c r="AT206" s="64">
        <v>0</v>
      </c>
      <c r="AU206" s="64">
        <v>0</v>
      </c>
      <c r="AV206" s="64">
        <v>1</v>
      </c>
      <c r="AW206" s="64">
        <v>0</v>
      </c>
      <c r="AX206" s="64">
        <v>0</v>
      </c>
    </row>
    <row r="207" spans="1:50" outlineLevel="1">
      <c r="D207" s="241" t="s">
        <v>456</v>
      </c>
      <c r="E207" s="241"/>
      <c r="F207" s="241"/>
      <c r="G207" s="241"/>
      <c r="I207" s="64">
        <v>0.02</v>
      </c>
      <c r="J207" s="64">
        <v>0.38</v>
      </c>
      <c r="K207" s="65">
        <f t="shared" si="4"/>
        <v>0.6</v>
      </c>
      <c r="L207" s="73"/>
      <c r="N207" s="64">
        <v>0</v>
      </c>
      <c r="O207" s="64">
        <v>0</v>
      </c>
      <c r="P207" s="64">
        <v>0</v>
      </c>
      <c r="Q207" s="64">
        <v>0</v>
      </c>
      <c r="R207" s="64">
        <v>1</v>
      </c>
      <c r="S207" s="64">
        <v>0</v>
      </c>
      <c r="T207" s="64">
        <v>0</v>
      </c>
      <c r="U207" s="64">
        <v>0</v>
      </c>
      <c r="V207" s="64">
        <v>0</v>
      </c>
      <c r="W207" s="64">
        <v>0</v>
      </c>
      <c r="X207" s="64">
        <v>0</v>
      </c>
      <c r="Y207" s="64">
        <v>0</v>
      </c>
      <c r="AA207" s="73"/>
      <c r="AC207" s="64">
        <v>0</v>
      </c>
      <c r="AD207" s="64">
        <v>0</v>
      </c>
      <c r="AE207" s="64">
        <v>0</v>
      </c>
      <c r="AF207" s="64">
        <v>0</v>
      </c>
      <c r="AG207" s="64">
        <v>0</v>
      </c>
      <c r="AH207" s="64">
        <v>0</v>
      </c>
      <c r="AI207" s="64">
        <v>0</v>
      </c>
      <c r="AJ207" s="64">
        <v>0</v>
      </c>
      <c r="AK207" s="64">
        <v>1</v>
      </c>
      <c r="AL207" s="64">
        <v>0</v>
      </c>
      <c r="AM207" s="64">
        <v>0</v>
      </c>
      <c r="AN207" s="64">
        <v>0</v>
      </c>
      <c r="AO207" s="147">
        <v>0</v>
      </c>
      <c r="AP207" s="73"/>
      <c r="AR207" s="64">
        <v>0</v>
      </c>
      <c r="AS207" s="64">
        <v>0</v>
      </c>
      <c r="AT207" s="64">
        <v>0</v>
      </c>
      <c r="AU207" s="64">
        <v>0</v>
      </c>
      <c r="AV207" s="64">
        <v>1</v>
      </c>
      <c r="AW207" s="64">
        <v>0</v>
      </c>
      <c r="AX207" s="64">
        <v>0</v>
      </c>
    </row>
    <row r="208" spans="1:50" outlineLevel="1">
      <c r="D208" s="246" t="s">
        <v>457</v>
      </c>
      <c r="E208" s="246"/>
      <c r="F208" s="246"/>
      <c r="G208" s="246"/>
      <c r="I208" s="64">
        <v>0.02</v>
      </c>
      <c r="J208" s="64">
        <v>0.38</v>
      </c>
      <c r="K208" s="65">
        <f t="shared" si="4"/>
        <v>0.6</v>
      </c>
      <c r="L208" s="73"/>
      <c r="N208" s="64">
        <v>0</v>
      </c>
      <c r="O208" s="64">
        <v>0</v>
      </c>
      <c r="P208" s="64">
        <v>0</v>
      </c>
      <c r="Q208" s="64">
        <v>0</v>
      </c>
      <c r="R208" s="64">
        <v>1</v>
      </c>
      <c r="S208" s="64">
        <v>0</v>
      </c>
      <c r="T208" s="64">
        <v>0</v>
      </c>
      <c r="U208" s="64">
        <v>0</v>
      </c>
      <c r="V208" s="64">
        <v>0</v>
      </c>
      <c r="W208" s="64">
        <v>0</v>
      </c>
      <c r="X208" s="64">
        <v>0</v>
      </c>
      <c r="Y208" s="64">
        <v>0</v>
      </c>
      <c r="AA208" s="73"/>
      <c r="AC208" s="64">
        <v>0</v>
      </c>
      <c r="AD208" s="64">
        <v>0</v>
      </c>
      <c r="AE208" s="64">
        <v>0</v>
      </c>
      <c r="AF208" s="64">
        <v>0</v>
      </c>
      <c r="AG208" s="64">
        <v>0</v>
      </c>
      <c r="AH208" s="64">
        <v>0</v>
      </c>
      <c r="AI208" s="64">
        <v>0</v>
      </c>
      <c r="AJ208" s="64">
        <v>0</v>
      </c>
      <c r="AK208" s="64">
        <v>1</v>
      </c>
      <c r="AL208" s="64">
        <v>0</v>
      </c>
      <c r="AM208" s="64">
        <v>0</v>
      </c>
      <c r="AN208" s="64">
        <v>0</v>
      </c>
      <c r="AO208" s="147">
        <v>0</v>
      </c>
      <c r="AP208" s="73"/>
      <c r="AR208" s="64">
        <v>0</v>
      </c>
      <c r="AS208" s="64">
        <v>0</v>
      </c>
      <c r="AT208" s="64">
        <v>0</v>
      </c>
      <c r="AU208" s="64">
        <v>0</v>
      </c>
      <c r="AV208" s="64">
        <v>1</v>
      </c>
      <c r="AW208" s="64">
        <v>0</v>
      </c>
      <c r="AX208" s="64">
        <v>0</v>
      </c>
    </row>
    <row r="209" spans="1:50" outlineLevel="1">
      <c r="D209" s="241"/>
      <c r="E209" s="241"/>
      <c r="F209" s="241"/>
      <c r="G209" s="241"/>
      <c r="I209" s="64">
        <v>0.02</v>
      </c>
      <c r="J209" s="64">
        <v>0.38</v>
      </c>
      <c r="K209" s="65">
        <f t="shared" si="4"/>
        <v>0.6</v>
      </c>
      <c r="L209" s="73"/>
      <c r="N209" s="64">
        <v>0</v>
      </c>
      <c r="O209" s="64">
        <v>0</v>
      </c>
      <c r="P209" s="64">
        <v>0</v>
      </c>
      <c r="Q209" s="64">
        <v>0</v>
      </c>
      <c r="R209" s="64">
        <v>1</v>
      </c>
      <c r="S209" s="64">
        <v>0</v>
      </c>
      <c r="T209" s="64">
        <v>0</v>
      </c>
      <c r="U209" s="64">
        <v>0</v>
      </c>
      <c r="V209" s="64">
        <v>0</v>
      </c>
      <c r="W209" s="64">
        <v>0</v>
      </c>
      <c r="X209" s="64">
        <v>0</v>
      </c>
      <c r="Y209" s="64">
        <v>0</v>
      </c>
      <c r="AA209" s="73"/>
      <c r="AC209" s="64">
        <v>0</v>
      </c>
      <c r="AD209" s="64">
        <v>0</v>
      </c>
      <c r="AE209" s="64">
        <v>0</v>
      </c>
      <c r="AF209" s="64">
        <v>0</v>
      </c>
      <c r="AG209" s="64">
        <v>0</v>
      </c>
      <c r="AH209" s="64">
        <v>0</v>
      </c>
      <c r="AI209" s="64">
        <v>0</v>
      </c>
      <c r="AJ209" s="64">
        <v>0</v>
      </c>
      <c r="AK209" s="64">
        <v>1</v>
      </c>
      <c r="AL209" s="64">
        <v>0</v>
      </c>
      <c r="AM209" s="64">
        <v>0</v>
      </c>
      <c r="AN209" s="64">
        <v>0</v>
      </c>
      <c r="AO209" s="147">
        <v>0</v>
      </c>
      <c r="AP209" s="73"/>
      <c r="AR209" s="64">
        <v>0</v>
      </c>
      <c r="AS209" s="64">
        <v>0</v>
      </c>
      <c r="AT209" s="64">
        <v>0</v>
      </c>
      <c r="AU209" s="64">
        <v>0</v>
      </c>
      <c r="AV209" s="64">
        <v>1</v>
      </c>
      <c r="AW209" s="64">
        <v>0</v>
      </c>
      <c r="AX209" s="64">
        <v>0</v>
      </c>
    </row>
    <row r="210" spans="1:50" outlineLevel="1">
      <c r="D210" s="241"/>
      <c r="E210" s="241"/>
      <c r="F210" s="241"/>
      <c r="G210" s="241"/>
      <c r="I210" s="64">
        <v>0.02</v>
      </c>
      <c r="J210" s="64">
        <v>0.38</v>
      </c>
      <c r="K210" s="65">
        <f t="shared" si="4"/>
        <v>0.6</v>
      </c>
      <c r="L210" s="73"/>
      <c r="N210" s="64">
        <v>0</v>
      </c>
      <c r="O210" s="64">
        <v>0</v>
      </c>
      <c r="P210" s="64">
        <v>0</v>
      </c>
      <c r="Q210" s="64">
        <v>0</v>
      </c>
      <c r="R210" s="64">
        <v>1</v>
      </c>
      <c r="S210" s="64">
        <v>0</v>
      </c>
      <c r="T210" s="64">
        <v>0</v>
      </c>
      <c r="U210" s="64">
        <v>0</v>
      </c>
      <c r="V210" s="64">
        <v>0</v>
      </c>
      <c r="W210" s="64">
        <v>0</v>
      </c>
      <c r="X210" s="64">
        <v>0</v>
      </c>
      <c r="Y210" s="64">
        <v>0</v>
      </c>
      <c r="AA210" s="73"/>
      <c r="AC210" s="64">
        <v>0</v>
      </c>
      <c r="AD210" s="64">
        <v>0</v>
      </c>
      <c r="AE210" s="64">
        <v>0</v>
      </c>
      <c r="AF210" s="64">
        <v>0</v>
      </c>
      <c r="AG210" s="64">
        <v>0</v>
      </c>
      <c r="AH210" s="64">
        <v>0</v>
      </c>
      <c r="AI210" s="64">
        <v>0</v>
      </c>
      <c r="AJ210" s="64">
        <v>0</v>
      </c>
      <c r="AK210" s="64">
        <v>1</v>
      </c>
      <c r="AL210" s="64">
        <v>0</v>
      </c>
      <c r="AM210" s="64">
        <v>0</v>
      </c>
      <c r="AN210" s="64">
        <v>0</v>
      </c>
      <c r="AO210" s="147">
        <v>0</v>
      </c>
      <c r="AP210" s="73"/>
      <c r="AR210" s="64">
        <v>0</v>
      </c>
      <c r="AS210" s="64">
        <v>0</v>
      </c>
      <c r="AT210" s="64">
        <v>0</v>
      </c>
      <c r="AU210" s="64">
        <v>0</v>
      </c>
      <c r="AV210" s="64">
        <v>1</v>
      </c>
      <c r="AW210" s="64">
        <v>0</v>
      </c>
      <c r="AX210" s="64">
        <v>0</v>
      </c>
    </row>
    <row r="211" spans="1:50" outlineLevel="1">
      <c r="L211" s="73"/>
      <c r="AA211" s="73"/>
      <c r="AC211" s="105" t="s">
        <v>458</v>
      </c>
      <c r="AP211" s="73"/>
    </row>
    <row r="212" spans="1:50" outlineLevel="1">
      <c r="C212" s="37" t="s">
        <v>367</v>
      </c>
      <c r="L212" s="73"/>
      <c r="AA212" s="73"/>
      <c r="AP212" s="73"/>
    </row>
    <row r="213" spans="1:50" ht="5.9" customHeight="1" outlineLevel="1">
      <c r="L213" s="73"/>
      <c r="AA213" s="73"/>
      <c r="AP213" s="73"/>
    </row>
    <row r="214" spans="1:50" outlineLevel="1">
      <c r="D214" s="241" t="s">
        <v>368</v>
      </c>
      <c r="E214" s="241"/>
      <c r="F214" s="241"/>
      <c r="G214" s="241"/>
      <c r="L214" s="73"/>
      <c r="N214" s="64">
        <v>0</v>
      </c>
      <c r="O214" s="64">
        <v>0</v>
      </c>
      <c r="P214" s="64">
        <v>0</v>
      </c>
      <c r="Q214" s="64">
        <v>0</v>
      </c>
      <c r="R214" s="64">
        <v>0</v>
      </c>
      <c r="S214" s="64">
        <v>0</v>
      </c>
      <c r="T214" s="64">
        <v>0</v>
      </c>
      <c r="U214" s="64">
        <v>0</v>
      </c>
      <c r="V214" s="64">
        <v>0</v>
      </c>
      <c r="W214" s="64">
        <v>0</v>
      </c>
      <c r="X214" s="64">
        <v>0</v>
      </c>
      <c r="Y214" s="64">
        <v>0</v>
      </c>
      <c r="AA214" s="73"/>
      <c r="AC214" s="64">
        <v>0</v>
      </c>
      <c r="AD214" s="64">
        <v>0</v>
      </c>
      <c r="AE214" s="64">
        <v>0</v>
      </c>
      <c r="AF214" s="64">
        <v>0</v>
      </c>
      <c r="AG214" s="64">
        <v>0</v>
      </c>
      <c r="AH214" s="64">
        <v>0</v>
      </c>
      <c r="AI214" s="64">
        <v>0</v>
      </c>
      <c r="AJ214" s="64">
        <v>0</v>
      </c>
      <c r="AK214" s="64">
        <v>0</v>
      </c>
      <c r="AL214" s="64">
        <v>0</v>
      </c>
      <c r="AM214" s="64">
        <v>0</v>
      </c>
      <c r="AN214" s="64">
        <v>0</v>
      </c>
      <c r="AO214" s="147">
        <v>0</v>
      </c>
      <c r="AP214" s="73"/>
      <c r="AR214" s="64">
        <v>0</v>
      </c>
      <c r="AS214" s="64">
        <v>0</v>
      </c>
      <c r="AT214" s="64">
        <v>0</v>
      </c>
      <c r="AU214" s="64">
        <v>0</v>
      </c>
      <c r="AV214" s="64">
        <v>0</v>
      </c>
      <c r="AW214" s="64">
        <v>0</v>
      </c>
      <c r="AX214" s="64">
        <v>0</v>
      </c>
    </row>
    <row r="216" spans="1:50" s="2" customFormat="1">
      <c r="A216"/>
      <c r="B216" s="2" t="s">
        <v>247</v>
      </c>
    </row>
    <row r="217" spans="1:50" ht="5.9" customHeight="1"/>
    <row r="218" spans="1:50" ht="14">
      <c r="C218" s="77" t="str">
        <f>Net_Reg!B321</f>
        <v>Network Regulators - Ad Hoc</v>
      </c>
      <c r="I218" s="37" t="str">
        <f>GC!H19</f>
        <v>Network</v>
      </c>
    </row>
    <row r="219" spans="1:50" ht="5.9" customHeight="1" outlineLevel="1"/>
    <row r="220" spans="1:50" outlineLevel="1">
      <c r="I220" s="242" t="s">
        <v>194</v>
      </c>
      <c r="J220" s="242"/>
      <c r="K220" s="242"/>
      <c r="L220" s="73"/>
      <c r="N220" s="242" t="s">
        <v>195</v>
      </c>
      <c r="O220" s="242"/>
      <c r="P220" s="242"/>
      <c r="Q220" s="242"/>
      <c r="R220" s="242"/>
      <c r="S220" s="242"/>
      <c r="T220" s="242"/>
      <c r="U220" s="242"/>
      <c r="V220" s="242"/>
      <c r="W220" s="242"/>
      <c r="X220" s="242"/>
      <c r="Y220" s="242"/>
      <c r="Z220" s="242"/>
      <c r="AA220" s="73"/>
      <c r="AC220" s="245" t="s">
        <v>196</v>
      </c>
      <c r="AD220" s="245"/>
      <c r="AE220" s="245"/>
      <c r="AF220" s="245"/>
      <c r="AG220" s="245"/>
      <c r="AH220" s="245"/>
      <c r="AI220" s="245"/>
      <c r="AJ220" s="245"/>
      <c r="AK220" s="245"/>
      <c r="AL220" s="245"/>
      <c r="AM220" s="245"/>
      <c r="AN220" s="245"/>
      <c r="AO220" s="245"/>
      <c r="AP220" s="73"/>
      <c r="AR220" s="242" t="s">
        <v>311</v>
      </c>
      <c r="AS220" s="242"/>
      <c r="AT220" s="242"/>
      <c r="AU220" s="242"/>
      <c r="AV220" s="242"/>
      <c r="AW220" s="242"/>
      <c r="AX220" s="242"/>
    </row>
    <row r="221" spans="1:50" ht="46" outlineLevel="1">
      <c r="D221" s="37" t="s">
        <v>160</v>
      </c>
      <c r="I221" s="57" t="s">
        <v>128</v>
      </c>
      <c r="J221" s="57" t="s">
        <v>129</v>
      </c>
      <c r="K221" s="57" t="s">
        <v>130</v>
      </c>
      <c r="L221" s="73"/>
      <c r="N221" s="57" t="str">
        <f ca="1">OFFSET(Net_Reg!$E400,N222,,,)</f>
        <v>Transmission pipelines - post 1998</v>
      </c>
      <c r="O221" s="57" t="str">
        <f ca="1">OFFSET(Net_Reg!$E400,O222,,,)</f>
        <v>Distribution pipelines - post 1998</v>
      </c>
      <c r="P221" s="57" t="str">
        <f ca="1">OFFSET(Net_Reg!$E400,P222,,,)</f>
        <v>Service pipes - post 1998</v>
      </c>
      <c r="Q221" s="57" t="str">
        <f ca="1">OFFSET(Net_Reg!$E400,Q222,,,)</f>
        <v>Cathodic protection - post 1998</v>
      </c>
      <c r="R221" s="57" t="str">
        <f ca="1">OFFSET(Net_Reg!$E400,R222,,,)</f>
        <v>Supply Regulators / Valve Stations</v>
      </c>
      <c r="S221" s="57" t="str">
        <f ca="1">OFFSET(Net_Reg!$E400,S222,,,)</f>
        <v>Meters</v>
      </c>
      <c r="T221" s="57" t="str">
        <f ca="1">OFFSET(Net_Reg!$E400,T222,,,)</f>
        <v>SCADA and remote control</v>
      </c>
      <c r="U221" s="57" t="str">
        <f ca="1">OFFSET(Net_Reg!$E400,U222,,,)</f>
        <v>Buildings</v>
      </c>
      <c r="V221" s="57" t="str">
        <f ca="1">OFFSET(Net_Reg!$E400,V222,,,)</f>
        <v>Other - IT</v>
      </c>
      <c r="W221" s="57" t="str">
        <f ca="1">OFFSET(Net_Reg!$E400,W222,,,)</f>
        <v>Other - non IT</v>
      </c>
      <c r="X221" s="57" t="str">
        <f ca="1">OFFSET(Net_Reg!$E400,X222,,,)</f>
        <v>Land</v>
      </c>
      <c r="Y221" s="57" t="str">
        <f ca="1">OFFSET(Net_Reg!$E400,Y222,,,)</f>
        <v>Capitalised Leases</v>
      </c>
      <c r="AA221" s="139"/>
      <c r="AC221" s="57" t="str">
        <f ca="1">OFFSET(Net_Reg!$E483,AC222,,,)</f>
        <v>Mains replacement</v>
      </c>
      <c r="AD221" s="57" t="str">
        <f ca="1">OFFSET(Net_Reg!$E483,AD222,,,)</f>
        <v>Residential new customer connections</v>
      </c>
      <c r="AE221" s="57" t="str">
        <f ca="1">OFFSET(Net_Reg!$E483,AE222,,,)</f>
        <v>Commercial and industrial new customer connections</v>
      </c>
      <c r="AF221" s="57" t="str">
        <f ca="1">OFFSET(Net_Reg!$E483,AF222,,,)</f>
        <v>Residential meter replacement</v>
      </c>
      <c r="AG221" s="57" t="str">
        <f ca="1">OFFSET(Net_Reg!$E483,AG222,,,)</f>
        <v>Commercial and industrial meter replacement</v>
      </c>
      <c r="AH221" s="57" t="str">
        <f ca="1">OFFSET(Net_Reg!$E483,AH222,,,)</f>
        <v>Augmentation</v>
      </c>
      <c r="AI221" s="57" t="str">
        <f ca="1">OFFSET(Net_Reg!$E483,AI222,,,)</f>
        <v>IT capex</v>
      </c>
      <c r="AJ221" s="57" t="str">
        <f ca="1">OFFSET(Net_Reg!$E483,AJ222,,,)</f>
        <v>SCADA</v>
      </c>
      <c r="AK221" s="57" t="str">
        <f ca="1">OFFSET(Net_Reg!$E483,AK222,,,)</f>
        <v>Other</v>
      </c>
      <c r="AL221" s="57" t="str">
        <f ca="1">OFFSET(Net_Reg!$E483,AL222,,,)</f>
        <v>Capitalised Leases</v>
      </c>
      <c r="AM221" s="57" t="str">
        <f ca="1">OFFSET(Net_Reg!$E483,AM222,,,)</f>
        <v>Gas Extensions - Energy for the Regions</v>
      </c>
      <c r="AN221" s="57" t="str">
        <f ca="1">OFFSET(Net_Reg!$E483,AN222,,,)</f>
        <v>Gas Extensions - Other</v>
      </c>
      <c r="AO221" s="57" t="str">
        <f ca="1">OFFSET(Net_Reg!$E483,AO222,,,)</f>
        <v>Customer contributions</v>
      </c>
      <c r="AP221" s="73"/>
      <c r="AR221" s="57" t="str">
        <f ca="1">OFFSET(Net_Reg!$E540,AR222,,,)</f>
        <v>Mains &amp; Services</v>
      </c>
      <c r="AS221" s="57" t="str">
        <f ca="1">OFFSET(Net_Reg!$E540,AS222,,,)</f>
        <v>Meters Domestic</v>
      </c>
      <c r="AT221" s="57" t="str">
        <f ca="1">OFFSET(Net_Reg!$E540,AT222,,,)</f>
        <v>Meters Industrial &amp; Commercial</v>
      </c>
      <c r="AU221" s="57" t="str">
        <f ca="1">OFFSET(Net_Reg!$E540,AU222,,,)</f>
        <v>Buildings</v>
      </c>
      <c r="AV221" s="57" t="str">
        <f ca="1">OFFSET(Net_Reg!$E540,AV222,,,)</f>
        <v>Other Assets</v>
      </c>
      <c r="AW221" s="57" t="str">
        <f ca="1">OFFSET(Net_Reg!$E540,AW222,,,)</f>
        <v>Repairs</v>
      </c>
      <c r="AX221" s="57" t="str">
        <f ca="1">OFFSET(Net_Reg!$E540,AX222,,,)</f>
        <v>Land</v>
      </c>
    </row>
    <row r="222" spans="1:50" hidden="1" outlineLevel="2">
      <c r="L222" s="73"/>
      <c r="N222" s="68">
        <v>13</v>
      </c>
      <c r="O222" s="68">
        <v>14</v>
      </c>
      <c r="P222" s="68">
        <v>15</v>
      </c>
      <c r="Q222" s="68">
        <v>16</v>
      </c>
      <c r="R222" s="68">
        <v>5</v>
      </c>
      <c r="S222" s="68">
        <v>6</v>
      </c>
      <c r="T222" s="68">
        <v>7</v>
      </c>
      <c r="U222" s="68">
        <v>8</v>
      </c>
      <c r="V222" s="68">
        <v>9</v>
      </c>
      <c r="W222" s="68">
        <v>10</v>
      </c>
      <c r="X222" s="68">
        <v>11</v>
      </c>
      <c r="Y222" s="142">
        <v>12</v>
      </c>
      <c r="AA222" s="73"/>
      <c r="AC222" s="68">
        <v>1</v>
      </c>
      <c r="AD222" s="68">
        <v>2</v>
      </c>
      <c r="AE222" s="68">
        <v>3</v>
      </c>
      <c r="AF222" s="68">
        <v>4</v>
      </c>
      <c r="AG222" s="68">
        <v>5</v>
      </c>
      <c r="AH222" s="68">
        <v>6</v>
      </c>
      <c r="AI222" s="68">
        <v>7</v>
      </c>
      <c r="AJ222" s="68">
        <v>8</v>
      </c>
      <c r="AK222" s="68">
        <v>9</v>
      </c>
      <c r="AL222" s="67">
        <v>10</v>
      </c>
      <c r="AM222" s="67">
        <v>11</v>
      </c>
      <c r="AN222" s="136">
        <v>12</v>
      </c>
      <c r="AO222" s="67">
        <v>13</v>
      </c>
      <c r="AP222" s="73"/>
      <c r="AR222" s="68">
        <v>1</v>
      </c>
      <c r="AS222" s="68">
        <v>2</v>
      </c>
      <c r="AT222" s="68">
        <v>3</v>
      </c>
      <c r="AU222" s="68">
        <v>4</v>
      </c>
      <c r="AV222" s="68">
        <v>5</v>
      </c>
      <c r="AW222" s="68">
        <v>6</v>
      </c>
      <c r="AX222" s="138">
        <v>7</v>
      </c>
    </row>
    <row r="223" spans="1:50" ht="5.9" customHeight="1" outlineLevel="1" collapsed="1">
      <c r="L223" s="73"/>
      <c r="Y223" s="145"/>
      <c r="AA223" s="73"/>
      <c r="AP223" s="73"/>
    </row>
    <row r="224" spans="1:50" outlineLevel="1">
      <c r="D224" s="241" t="s">
        <v>302</v>
      </c>
      <c r="E224" s="241"/>
      <c r="F224" s="241"/>
      <c r="G224" s="241"/>
      <c r="I224" s="64">
        <v>0.02</v>
      </c>
      <c r="J224" s="64">
        <v>0.38</v>
      </c>
      <c r="K224" s="65">
        <f>1-SUM(I224:J224)</f>
        <v>0.6</v>
      </c>
      <c r="L224" s="73"/>
      <c r="N224" s="64">
        <v>0</v>
      </c>
      <c r="O224" s="64">
        <v>0</v>
      </c>
      <c r="P224" s="64">
        <v>0</v>
      </c>
      <c r="Q224" s="64">
        <v>0</v>
      </c>
      <c r="R224" s="64">
        <v>1</v>
      </c>
      <c r="S224" s="64">
        <v>0</v>
      </c>
      <c r="T224" s="64">
        <v>0</v>
      </c>
      <c r="U224" s="64">
        <v>0</v>
      </c>
      <c r="V224" s="64">
        <v>0</v>
      </c>
      <c r="W224" s="64">
        <v>0</v>
      </c>
      <c r="X224" s="64">
        <v>0</v>
      </c>
      <c r="Y224" s="64">
        <v>0</v>
      </c>
      <c r="AA224" s="73"/>
      <c r="AC224" s="64">
        <v>0</v>
      </c>
      <c r="AD224" s="64">
        <v>0</v>
      </c>
      <c r="AE224" s="64">
        <v>0</v>
      </c>
      <c r="AF224" s="64">
        <v>0</v>
      </c>
      <c r="AG224" s="64">
        <v>0</v>
      </c>
      <c r="AH224" s="64">
        <v>0</v>
      </c>
      <c r="AI224" s="64">
        <v>0</v>
      </c>
      <c r="AJ224" s="64">
        <v>0</v>
      </c>
      <c r="AK224" s="64">
        <v>1</v>
      </c>
      <c r="AL224" s="64">
        <v>0</v>
      </c>
      <c r="AM224" s="64">
        <v>0</v>
      </c>
      <c r="AN224" s="64">
        <v>0</v>
      </c>
      <c r="AO224" s="147">
        <v>0</v>
      </c>
      <c r="AP224" s="73"/>
      <c r="AR224" s="64">
        <v>0</v>
      </c>
      <c r="AS224" s="64">
        <v>0</v>
      </c>
      <c r="AT224" s="64">
        <v>0</v>
      </c>
      <c r="AU224" s="64">
        <v>0</v>
      </c>
      <c r="AV224" s="64">
        <v>1</v>
      </c>
      <c r="AW224" s="64">
        <v>0</v>
      </c>
      <c r="AX224" s="64">
        <v>0</v>
      </c>
    </row>
    <row r="225" spans="1:50" outlineLevel="1">
      <c r="D225" s="241" t="s">
        <v>123</v>
      </c>
      <c r="E225" s="241"/>
      <c r="F225" s="241"/>
      <c r="G225" s="241"/>
      <c r="I225" s="64">
        <v>0</v>
      </c>
      <c r="J225" s="64">
        <v>0</v>
      </c>
      <c r="K225" s="65">
        <f>1-SUM(I225:J225)</f>
        <v>1</v>
      </c>
      <c r="L225" s="73"/>
      <c r="N225" s="64">
        <v>0</v>
      </c>
      <c r="O225" s="64">
        <v>0</v>
      </c>
      <c r="P225" s="64">
        <v>0</v>
      </c>
      <c r="Q225" s="64">
        <v>0</v>
      </c>
      <c r="R225" s="64">
        <v>1</v>
      </c>
      <c r="S225" s="64">
        <v>0</v>
      </c>
      <c r="T225" s="64">
        <v>0</v>
      </c>
      <c r="U225" s="64">
        <v>0</v>
      </c>
      <c r="V225" s="64">
        <v>0</v>
      </c>
      <c r="W225" s="64">
        <v>0</v>
      </c>
      <c r="X225" s="64">
        <v>0</v>
      </c>
      <c r="Y225" s="64">
        <v>0</v>
      </c>
      <c r="AA225" s="73"/>
      <c r="AC225" s="64">
        <v>0</v>
      </c>
      <c r="AD225" s="64">
        <v>0</v>
      </c>
      <c r="AE225" s="64">
        <v>0</v>
      </c>
      <c r="AF225" s="64">
        <v>0</v>
      </c>
      <c r="AG225" s="64">
        <v>0</v>
      </c>
      <c r="AH225" s="64">
        <v>0</v>
      </c>
      <c r="AI225" s="64">
        <v>0</v>
      </c>
      <c r="AJ225" s="64">
        <v>0</v>
      </c>
      <c r="AK225" s="64">
        <v>1</v>
      </c>
      <c r="AL225" s="64">
        <v>0</v>
      </c>
      <c r="AM225" s="64">
        <v>0</v>
      </c>
      <c r="AN225" s="64">
        <v>0</v>
      </c>
      <c r="AO225" s="147">
        <v>0</v>
      </c>
      <c r="AP225" s="73"/>
      <c r="AR225" s="64">
        <v>0</v>
      </c>
      <c r="AS225" s="64">
        <v>0</v>
      </c>
      <c r="AT225" s="64">
        <v>0</v>
      </c>
      <c r="AU225" s="64">
        <v>0</v>
      </c>
      <c r="AV225" s="64">
        <v>1</v>
      </c>
      <c r="AW225" s="64">
        <v>0</v>
      </c>
      <c r="AX225" s="64">
        <v>0</v>
      </c>
    </row>
    <row r="226" spans="1:50" outlineLevel="1">
      <c r="L226" s="73"/>
      <c r="AA226" s="73"/>
      <c r="AC226" s="105" t="s">
        <v>458</v>
      </c>
      <c r="AP226" s="73"/>
    </row>
    <row r="227" spans="1:50" outlineLevel="1">
      <c r="C227" s="37" t="s">
        <v>367</v>
      </c>
      <c r="L227" s="73"/>
      <c r="AA227" s="73"/>
      <c r="AP227" s="73"/>
    </row>
    <row r="228" spans="1:50" ht="5.9" customHeight="1" outlineLevel="1">
      <c r="L228" s="73"/>
      <c r="AA228" s="73"/>
      <c r="AP228" s="73"/>
    </row>
    <row r="229" spans="1:50" outlineLevel="1">
      <c r="D229" s="241" t="s">
        <v>368</v>
      </c>
      <c r="E229" s="241"/>
      <c r="F229" s="241"/>
      <c r="G229" s="241"/>
      <c r="L229" s="73"/>
      <c r="N229" s="64">
        <v>0</v>
      </c>
      <c r="O229" s="64">
        <v>0</v>
      </c>
      <c r="P229" s="64">
        <v>0</v>
      </c>
      <c r="Q229" s="64">
        <v>0</v>
      </c>
      <c r="R229" s="64">
        <v>0</v>
      </c>
      <c r="S229" s="64">
        <v>0</v>
      </c>
      <c r="T229" s="64">
        <v>0</v>
      </c>
      <c r="U229" s="64">
        <v>0</v>
      </c>
      <c r="V229" s="64">
        <v>0</v>
      </c>
      <c r="W229" s="64">
        <v>0</v>
      </c>
      <c r="X229" s="64">
        <v>0</v>
      </c>
      <c r="Y229" s="64">
        <v>0</v>
      </c>
      <c r="AA229" s="73"/>
      <c r="AC229" s="64">
        <v>0</v>
      </c>
      <c r="AD229" s="64">
        <v>0</v>
      </c>
      <c r="AE229" s="64">
        <v>0</v>
      </c>
      <c r="AF229" s="64">
        <v>0</v>
      </c>
      <c r="AG229" s="64">
        <v>0</v>
      </c>
      <c r="AH229" s="64">
        <v>0</v>
      </c>
      <c r="AI229" s="64">
        <v>0</v>
      </c>
      <c r="AJ229" s="64">
        <v>0</v>
      </c>
      <c r="AK229" s="64">
        <v>0</v>
      </c>
      <c r="AL229" s="64">
        <v>0</v>
      </c>
      <c r="AM229" s="64">
        <v>0</v>
      </c>
      <c r="AN229" s="64">
        <v>0</v>
      </c>
      <c r="AO229" s="147">
        <v>0</v>
      </c>
      <c r="AP229" s="73"/>
      <c r="AR229" s="64">
        <v>0</v>
      </c>
      <c r="AS229" s="64">
        <v>0</v>
      </c>
      <c r="AT229" s="64">
        <v>0</v>
      </c>
      <c r="AU229" s="64">
        <v>0</v>
      </c>
      <c r="AV229" s="64">
        <v>0</v>
      </c>
      <c r="AW229" s="64">
        <v>0</v>
      </c>
      <c r="AX229" s="64">
        <v>0</v>
      </c>
    </row>
    <row r="231" spans="1:50" s="2" customFormat="1">
      <c r="A231"/>
      <c r="B231" s="2" t="s">
        <v>249</v>
      </c>
    </row>
    <row r="232" spans="1:50" ht="5.9" customHeight="1"/>
    <row r="233" spans="1:50" ht="14">
      <c r="C233" s="77" t="str">
        <f>Cust_Reg!B25</f>
        <v>Customer Regulators - Planned</v>
      </c>
      <c r="I233" s="37" t="str">
        <f>GC!H20</f>
        <v>Network</v>
      </c>
    </row>
    <row r="234" spans="1:50" ht="5.9" customHeight="1" outlineLevel="1"/>
    <row r="235" spans="1:50" outlineLevel="1">
      <c r="I235" s="242" t="s">
        <v>194</v>
      </c>
      <c r="J235" s="242"/>
      <c r="K235" s="242"/>
      <c r="L235" s="73"/>
      <c r="N235" s="242" t="s">
        <v>195</v>
      </c>
      <c r="O235" s="242"/>
      <c r="P235" s="242"/>
      <c r="Q235" s="242"/>
      <c r="R235" s="242"/>
      <c r="S235" s="242"/>
      <c r="T235" s="242"/>
      <c r="U235" s="242"/>
      <c r="V235" s="242"/>
      <c r="W235" s="242"/>
      <c r="X235" s="242"/>
      <c r="Y235" s="242"/>
      <c r="Z235" s="242"/>
      <c r="AA235" s="73"/>
      <c r="AC235" s="245" t="s">
        <v>196</v>
      </c>
      <c r="AD235" s="245"/>
      <c r="AE235" s="245"/>
      <c r="AF235" s="245"/>
      <c r="AG235" s="245"/>
      <c r="AH235" s="245"/>
      <c r="AI235" s="245"/>
      <c r="AJ235" s="245"/>
      <c r="AK235" s="245"/>
      <c r="AL235" s="245"/>
      <c r="AM235" s="245"/>
      <c r="AN235" s="245"/>
      <c r="AO235" s="245"/>
      <c r="AP235" s="73"/>
      <c r="AR235" s="242" t="s">
        <v>311</v>
      </c>
      <c r="AS235" s="242"/>
      <c r="AT235" s="242"/>
      <c r="AU235" s="242"/>
      <c r="AV235" s="242"/>
      <c r="AW235" s="242"/>
      <c r="AX235" s="242"/>
    </row>
    <row r="236" spans="1:50" ht="46" outlineLevel="1">
      <c r="D236" s="37" t="s">
        <v>160</v>
      </c>
      <c r="I236" s="57" t="s">
        <v>128</v>
      </c>
      <c r="J236" s="57" t="s">
        <v>129</v>
      </c>
      <c r="K236" s="57" t="s">
        <v>130</v>
      </c>
      <c r="L236" s="73"/>
      <c r="N236" s="57" t="str">
        <f ca="1">OFFSET(Cust_Reg!$E125,N237,,,)</f>
        <v>Transmission pipelines - post 1998</v>
      </c>
      <c r="O236" s="57" t="str">
        <f ca="1">OFFSET(Cust_Reg!$E125,O237,,,)</f>
        <v>Distribution pipelines - post 1998</v>
      </c>
      <c r="P236" s="57" t="str">
        <f ca="1">OFFSET(Cust_Reg!$E125,P237,,,)</f>
        <v>Service pipes - post 1998</v>
      </c>
      <c r="Q236" s="57" t="str">
        <f ca="1">OFFSET(Cust_Reg!$E125,Q237,,,)</f>
        <v>Cathodic protection - post 1998</v>
      </c>
      <c r="R236" s="57" t="str">
        <f ca="1">OFFSET(Cust_Reg!$E125,R237,,,)</f>
        <v>Supply Regulators / Valve Stations</v>
      </c>
      <c r="S236" s="57" t="str">
        <f ca="1">OFFSET(Cust_Reg!$E125,S237,,,)</f>
        <v>Meters</v>
      </c>
      <c r="T236" s="57" t="str">
        <f ca="1">OFFSET(Cust_Reg!$E125,T237,,,)</f>
        <v>SCADA and remote control</v>
      </c>
      <c r="U236" s="57" t="str">
        <f ca="1">OFFSET(Cust_Reg!$E125,U237,,,)</f>
        <v>Buildings</v>
      </c>
      <c r="V236" s="57" t="str">
        <f ca="1">OFFSET(Cust_Reg!$E125,V237,,,)</f>
        <v>Other - IT</v>
      </c>
      <c r="W236" s="57" t="str">
        <f ca="1">OFFSET(Cust_Reg!$E125,W237,,,)</f>
        <v>Other - non IT</v>
      </c>
      <c r="X236" s="57" t="str">
        <f ca="1">OFFSET(Cust_Reg!$E125,X237,,,)</f>
        <v>Land</v>
      </c>
      <c r="Y236" s="57" t="str">
        <f ca="1">OFFSET(Cust_Reg!$E125,Y237,,,)</f>
        <v>Capitalised Leases</v>
      </c>
      <c r="AA236" s="139"/>
      <c r="AC236" s="57" t="str">
        <f ca="1">OFFSET(Cust_Reg!$E208,AC237,,,)</f>
        <v>Mains replacement</v>
      </c>
      <c r="AD236" s="57" t="str">
        <f ca="1">OFFSET(Cust_Reg!$E208,AD237,,,)</f>
        <v>Residential new customer connections</v>
      </c>
      <c r="AE236" s="57" t="str">
        <f ca="1">OFFSET(Cust_Reg!$E208,AE237,,,)</f>
        <v>Commercial and industrial new customer connections</v>
      </c>
      <c r="AF236" s="57" t="str">
        <f ca="1">OFFSET(Cust_Reg!$E208,AF237,,,)</f>
        <v>Residential meter replacement</v>
      </c>
      <c r="AG236" s="57" t="str">
        <f ca="1">OFFSET(Cust_Reg!$E208,AG237,,,)</f>
        <v>Commercial and industrial meter replacement</v>
      </c>
      <c r="AH236" s="57" t="str">
        <f ca="1">OFFSET(Cust_Reg!$E208,AH237,,,)</f>
        <v>Augmentation</v>
      </c>
      <c r="AI236" s="57" t="str">
        <f ca="1">OFFSET(Cust_Reg!$E208,AI237,,,)</f>
        <v>IT capex</v>
      </c>
      <c r="AJ236" s="57" t="str">
        <f ca="1">OFFSET(Cust_Reg!$E208,AJ237,,,)</f>
        <v>SCADA</v>
      </c>
      <c r="AK236" s="57" t="str">
        <f ca="1">OFFSET(Cust_Reg!$E208,AK237,,,)</f>
        <v>Other</v>
      </c>
      <c r="AL236" s="57" t="str">
        <f ca="1">OFFSET(Cust_Reg!$E208,AL237,,,)</f>
        <v>Capitalised Leases</v>
      </c>
      <c r="AM236" s="57" t="str">
        <f ca="1">OFFSET(Cust_Reg!$E208,AM237,,,)</f>
        <v>Gas Extensions - Energy for the Regions</v>
      </c>
      <c r="AN236" s="57" t="str">
        <f ca="1">OFFSET(Cust_Reg!$E208,AN237,,,)</f>
        <v>Gas Extensions - Other</v>
      </c>
      <c r="AO236" s="57" t="str">
        <f ca="1">OFFSET(Cust_Reg!$E208,AO237,,,)</f>
        <v>Customer contributions</v>
      </c>
      <c r="AP236" s="73"/>
      <c r="AR236" s="57" t="str">
        <f ca="1">OFFSET(Cust_Reg!$E265,AR237,,,)</f>
        <v>Mains &amp; Services</v>
      </c>
      <c r="AS236" s="57" t="str">
        <f ca="1">OFFSET(Cust_Reg!$E265,AS237,,,)</f>
        <v>Meters Domestic</v>
      </c>
      <c r="AT236" s="57" t="str">
        <f ca="1">OFFSET(Cust_Reg!$E265,AT237,,,)</f>
        <v>Meters Industrial &amp; Commercial</v>
      </c>
      <c r="AU236" s="57" t="str">
        <f ca="1">OFFSET(Cust_Reg!$E265,AU237,,,)</f>
        <v>Buildings</v>
      </c>
      <c r="AV236" s="57" t="str">
        <f ca="1">OFFSET(Cust_Reg!$E265,AV237,,,)</f>
        <v>Other Assets</v>
      </c>
      <c r="AW236" s="57" t="str">
        <f ca="1">OFFSET(Cust_Reg!$E265,AW237,,,)</f>
        <v>Repairs</v>
      </c>
      <c r="AX236" s="57" t="str">
        <f ca="1">OFFSET(Cust_Reg!$E265,AX237,,,)</f>
        <v>Land</v>
      </c>
    </row>
    <row r="237" spans="1:50" hidden="1" outlineLevel="2">
      <c r="L237" s="73"/>
      <c r="N237" s="68">
        <v>13</v>
      </c>
      <c r="O237" s="68">
        <v>14</v>
      </c>
      <c r="P237" s="68">
        <v>15</v>
      </c>
      <c r="Q237" s="68">
        <v>16</v>
      </c>
      <c r="R237" s="68">
        <v>5</v>
      </c>
      <c r="S237" s="68">
        <v>6</v>
      </c>
      <c r="T237" s="68">
        <v>7</v>
      </c>
      <c r="U237" s="68">
        <v>8</v>
      </c>
      <c r="V237" s="68">
        <v>9</v>
      </c>
      <c r="W237" s="68">
        <v>10</v>
      </c>
      <c r="X237" s="68">
        <v>11</v>
      </c>
      <c r="Y237" s="142">
        <v>12</v>
      </c>
      <c r="AA237" s="73"/>
      <c r="AC237" s="68">
        <v>1</v>
      </c>
      <c r="AD237" s="68">
        <v>2</v>
      </c>
      <c r="AE237" s="68">
        <v>3</v>
      </c>
      <c r="AF237" s="68">
        <v>4</v>
      </c>
      <c r="AG237" s="68">
        <v>5</v>
      </c>
      <c r="AH237" s="68">
        <v>6</v>
      </c>
      <c r="AI237" s="68">
        <v>7</v>
      </c>
      <c r="AJ237" s="68">
        <v>8</v>
      </c>
      <c r="AK237" s="68">
        <v>9</v>
      </c>
      <c r="AL237" s="67">
        <v>10</v>
      </c>
      <c r="AM237" s="67">
        <v>11</v>
      </c>
      <c r="AN237" s="136">
        <v>12</v>
      </c>
      <c r="AO237" s="67">
        <v>13</v>
      </c>
      <c r="AP237" s="73"/>
      <c r="AR237" s="68">
        <v>1</v>
      </c>
      <c r="AS237" s="68">
        <v>2</v>
      </c>
      <c r="AT237" s="68">
        <v>3</v>
      </c>
      <c r="AU237" s="68">
        <v>4</v>
      </c>
      <c r="AV237" s="68">
        <v>5</v>
      </c>
      <c r="AW237" s="68">
        <v>6</v>
      </c>
      <c r="AX237" s="138">
        <v>7</v>
      </c>
    </row>
    <row r="238" spans="1:50" ht="5.9" customHeight="1" outlineLevel="1" collapsed="1">
      <c r="L238" s="73"/>
      <c r="Y238" s="145"/>
      <c r="AA238" s="73"/>
      <c r="AP238" s="73"/>
    </row>
    <row r="239" spans="1:50" outlineLevel="1">
      <c r="D239" s="241" t="s">
        <v>331</v>
      </c>
      <c r="E239" s="241"/>
      <c r="F239" s="241"/>
      <c r="G239" s="241"/>
      <c r="I239" s="64">
        <v>0.02</v>
      </c>
      <c r="J239" s="64">
        <v>0.38</v>
      </c>
      <c r="K239" s="65">
        <f t="shared" ref="K239:K243" si="5">1-SUM(I239:J239)</f>
        <v>0.6</v>
      </c>
      <c r="L239" s="73"/>
      <c r="N239" s="64">
        <v>0</v>
      </c>
      <c r="O239" s="64">
        <v>0</v>
      </c>
      <c r="P239" s="64">
        <v>0</v>
      </c>
      <c r="Q239" s="64">
        <v>0</v>
      </c>
      <c r="R239" s="64">
        <v>1</v>
      </c>
      <c r="S239" s="64">
        <v>0</v>
      </c>
      <c r="T239" s="64">
        <v>0</v>
      </c>
      <c r="U239" s="64">
        <v>0</v>
      </c>
      <c r="V239" s="64">
        <v>0</v>
      </c>
      <c r="W239" s="64">
        <v>0</v>
      </c>
      <c r="X239" s="64">
        <v>0</v>
      </c>
      <c r="Y239" s="64">
        <v>0</v>
      </c>
      <c r="AA239" s="73"/>
      <c r="AC239" s="64">
        <v>0</v>
      </c>
      <c r="AD239" s="64">
        <v>0</v>
      </c>
      <c r="AE239" s="64">
        <v>0</v>
      </c>
      <c r="AF239" s="64">
        <v>0</v>
      </c>
      <c r="AG239" s="64">
        <v>0</v>
      </c>
      <c r="AH239" s="64">
        <v>0</v>
      </c>
      <c r="AI239" s="64">
        <v>0</v>
      </c>
      <c r="AJ239" s="64">
        <v>0</v>
      </c>
      <c r="AK239" s="64">
        <v>1</v>
      </c>
      <c r="AL239" s="64">
        <v>0</v>
      </c>
      <c r="AM239" s="64">
        <v>0</v>
      </c>
      <c r="AN239" s="64">
        <v>0</v>
      </c>
      <c r="AO239" s="147">
        <v>0</v>
      </c>
      <c r="AP239" s="73"/>
      <c r="AR239" s="64">
        <v>0</v>
      </c>
      <c r="AS239" s="64">
        <v>0</v>
      </c>
      <c r="AT239" s="64">
        <v>0</v>
      </c>
      <c r="AU239" s="64">
        <v>0</v>
      </c>
      <c r="AV239" s="64">
        <v>1</v>
      </c>
      <c r="AW239" s="64">
        <v>0</v>
      </c>
      <c r="AX239" s="64">
        <v>0</v>
      </c>
    </row>
    <row r="240" spans="1:50" outlineLevel="1">
      <c r="D240" s="241" t="s">
        <v>332</v>
      </c>
      <c r="E240" s="241"/>
      <c r="F240" s="241"/>
      <c r="G240" s="241"/>
      <c r="I240" s="64">
        <v>0.02</v>
      </c>
      <c r="J240" s="64">
        <v>0.38</v>
      </c>
      <c r="K240" s="65">
        <f t="shared" si="5"/>
        <v>0.6</v>
      </c>
      <c r="L240" s="73"/>
      <c r="N240" s="64">
        <v>0</v>
      </c>
      <c r="O240" s="64">
        <v>0</v>
      </c>
      <c r="P240" s="64">
        <v>0</v>
      </c>
      <c r="Q240" s="64">
        <v>0</v>
      </c>
      <c r="R240" s="64">
        <v>1</v>
      </c>
      <c r="S240" s="64">
        <v>0</v>
      </c>
      <c r="T240" s="64">
        <v>0</v>
      </c>
      <c r="U240" s="64">
        <v>0</v>
      </c>
      <c r="V240" s="64">
        <v>0</v>
      </c>
      <c r="W240" s="64">
        <v>0</v>
      </c>
      <c r="X240" s="64">
        <v>0</v>
      </c>
      <c r="Y240" s="64">
        <v>0</v>
      </c>
      <c r="AA240" s="73"/>
      <c r="AC240" s="64">
        <v>0</v>
      </c>
      <c r="AD240" s="64">
        <v>0</v>
      </c>
      <c r="AE240" s="64">
        <v>0</v>
      </c>
      <c r="AF240" s="64">
        <v>0</v>
      </c>
      <c r="AG240" s="64">
        <v>0</v>
      </c>
      <c r="AH240" s="64">
        <v>0</v>
      </c>
      <c r="AI240" s="64">
        <v>0</v>
      </c>
      <c r="AJ240" s="64">
        <v>0</v>
      </c>
      <c r="AK240" s="64">
        <v>1</v>
      </c>
      <c r="AL240" s="64">
        <v>0</v>
      </c>
      <c r="AM240" s="64">
        <v>0</v>
      </c>
      <c r="AN240" s="64">
        <v>0</v>
      </c>
      <c r="AO240" s="147">
        <v>0</v>
      </c>
      <c r="AP240" s="73"/>
      <c r="AR240" s="64">
        <v>0</v>
      </c>
      <c r="AS240" s="64">
        <v>0</v>
      </c>
      <c r="AT240" s="64">
        <v>0</v>
      </c>
      <c r="AU240" s="64">
        <v>0</v>
      </c>
      <c r="AV240" s="64">
        <v>1</v>
      </c>
      <c r="AW240" s="64">
        <v>0</v>
      </c>
      <c r="AX240" s="64">
        <v>0</v>
      </c>
    </row>
    <row r="241" spans="1:50" outlineLevel="1">
      <c r="D241" s="241" t="s">
        <v>429</v>
      </c>
      <c r="E241" s="241"/>
      <c r="F241" s="241"/>
      <c r="G241" s="241"/>
      <c r="I241" s="64">
        <v>0.02</v>
      </c>
      <c r="J241" s="64">
        <v>0.38</v>
      </c>
      <c r="K241" s="65">
        <f t="shared" si="5"/>
        <v>0.6</v>
      </c>
      <c r="L241" s="73"/>
      <c r="N241" s="64">
        <v>0</v>
      </c>
      <c r="O241" s="64">
        <v>0</v>
      </c>
      <c r="P241" s="64">
        <v>0</v>
      </c>
      <c r="Q241" s="64">
        <v>0</v>
      </c>
      <c r="R241" s="64">
        <v>1</v>
      </c>
      <c r="S241" s="64">
        <v>0</v>
      </c>
      <c r="T241" s="64">
        <v>0</v>
      </c>
      <c r="U241" s="64">
        <v>0</v>
      </c>
      <c r="V241" s="64">
        <v>0</v>
      </c>
      <c r="W241" s="64">
        <v>0</v>
      </c>
      <c r="X241" s="64">
        <v>0</v>
      </c>
      <c r="Y241" s="64">
        <v>0</v>
      </c>
      <c r="AA241" s="73"/>
      <c r="AC241" s="64">
        <v>0</v>
      </c>
      <c r="AD241" s="64">
        <v>0</v>
      </c>
      <c r="AE241" s="64">
        <v>0</v>
      </c>
      <c r="AF241" s="64">
        <v>0</v>
      </c>
      <c r="AG241" s="64">
        <v>0</v>
      </c>
      <c r="AH241" s="64">
        <v>0</v>
      </c>
      <c r="AI241" s="64">
        <v>0</v>
      </c>
      <c r="AJ241" s="64">
        <v>0</v>
      </c>
      <c r="AK241" s="64">
        <v>1</v>
      </c>
      <c r="AL241" s="64">
        <v>0</v>
      </c>
      <c r="AM241" s="64">
        <v>0</v>
      </c>
      <c r="AN241" s="64">
        <v>0</v>
      </c>
      <c r="AO241" s="147">
        <v>0</v>
      </c>
      <c r="AP241" s="73"/>
      <c r="AR241" s="64">
        <v>0</v>
      </c>
      <c r="AS241" s="64">
        <v>0</v>
      </c>
      <c r="AT241" s="64">
        <v>0</v>
      </c>
      <c r="AU241" s="64">
        <v>0</v>
      </c>
      <c r="AV241" s="64">
        <v>1</v>
      </c>
      <c r="AW241" s="64">
        <v>0</v>
      </c>
      <c r="AX241" s="64">
        <v>0</v>
      </c>
    </row>
    <row r="242" spans="1:50" outlineLevel="1">
      <c r="D242" s="241" t="s">
        <v>430</v>
      </c>
      <c r="E242" s="241"/>
      <c r="F242" s="241"/>
      <c r="G242" s="241"/>
      <c r="I242" s="64">
        <v>0.02</v>
      </c>
      <c r="J242" s="64">
        <v>0.38</v>
      </c>
      <c r="K242" s="65">
        <f t="shared" si="5"/>
        <v>0.6</v>
      </c>
      <c r="L242" s="73"/>
      <c r="N242" s="64">
        <v>0</v>
      </c>
      <c r="O242" s="64">
        <v>0</v>
      </c>
      <c r="P242" s="64">
        <v>0</v>
      </c>
      <c r="Q242" s="64">
        <v>0</v>
      </c>
      <c r="R242" s="64">
        <v>1</v>
      </c>
      <c r="S242" s="64">
        <v>0</v>
      </c>
      <c r="T242" s="64">
        <v>0</v>
      </c>
      <c r="U242" s="64">
        <v>0</v>
      </c>
      <c r="V242" s="64">
        <v>0</v>
      </c>
      <c r="W242" s="64">
        <v>0</v>
      </c>
      <c r="X242" s="64">
        <v>0</v>
      </c>
      <c r="Y242" s="64">
        <v>0</v>
      </c>
      <c r="AA242" s="73"/>
      <c r="AC242" s="64">
        <v>0</v>
      </c>
      <c r="AD242" s="64">
        <v>0</v>
      </c>
      <c r="AE242" s="64">
        <v>0</v>
      </c>
      <c r="AF242" s="64">
        <v>0</v>
      </c>
      <c r="AG242" s="64">
        <v>0</v>
      </c>
      <c r="AH242" s="64">
        <v>0</v>
      </c>
      <c r="AI242" s="64">
        <v>0</v>
      </c>
      <c r="AJ242" s="64">
        <v>0</v>
      </c>
      <c r="AK242" s="64">
        <v>1</v>
      </c>
      <c r="AL242" s="64">
        <v>0</v>
      </c>
      <c r="AM242" s="64">
        <v>0</v>
      </c>
      <c r="AN242" s="64">
        <v>0</v>
      </c>
      <c r="AO242" s="64">
        <v>0</v>
      </c>
      <c r="AP242" s="73"/>
      <c r="AR242" s="64">
        <v>0</v>
      </c>
      <c r="AS242" s="64">
        <v>0</v>
      </c>
      <c r="AT242" s="64">
        <v>0</v>
      </c>
      <c r="AU242" s="64">
        <v>0</v>
      </c>
      <c r="AV242" s="64">
        <v>1</v>
      </c>
      <c r="AW242" s="64">
        <v>0</v>
      </c>
      <c r="AX242" s="64">
        <v>0</v>
      </c>
    </row>
    <row r="243" spans="1:50" outlineLevel="1">
      <c r="D243" s="241" t="s">
        <v>124</v>
      </c>
      <c r="E243" s="241"/>
      <c r="F243" s="241"/>
      <c r="G243" s="241"/>
      <c r="I243" s="64">
        <v>0.02</v>
      </c>
      <c r="J243" s="64">
        <v>0.38</v>
      </c>
      <c r="K243" s="65">
        <f t="shared" si="5"/>
        <v>0.6</v>
      </c>
      <c r="L243" s="73"/>
      <c r="N243" s="64">
        <v>0</v>
      </c>
      <c r="O243" s="64">
        <v>0</v>
      </c>
      <c r="P243" s="64">
        <v>0</v>
      </c>
      <c r="Q243" s="64">
        <v>0</v>
      </c>
      <c r="R243" s="64">
        <v>1</v>
      </c>
      <c r="S243" s="64">
        <v>0</v>
      </c>
      <c r="T243" s="64">
        <v>0</v>
      </c>
      <c r="U243" s="64">
        <v>0</v>
      </c>
      <c r="V243" s="64">
        <v>0</v>
      </c>
      <c r="W243" s="64">
        <v>0</v>
      </c>
      <c r="X243" s="64">
        <v>0</v>
      </c>
      <c r="Y243" s="64">
        <v>0</v>
      </c>
      <c r="AA243" s="73"/>
      <c r="AC243" s="64">
        <v>0</v>
      </c>
      <c r="AD243" s="64">
        <v>0</v>
      </c>
      <c r="AE243" s="64">
        <v>0</v>
      </c>
      <c r="AF243" s="64">
        <v>0</v>
      </c>
      <c r="AG243" s="64">
        <v>0</v>
      </c>
      <c r="AH243" s="64">
        <v>0</v>
      </c>
      <c r="AI243" s="64">
        <v>0</v>
      </c>
      <c r="AJ243" s="64">
        <v>0</v>
      </c>
      <c r="AK243" s="64">
        <v>1</v>
      </c>
      <c r="AL243" s="64">
        <v>0</v>
      </c>
      <c r="AM243" s="64">
        <v>0</v>
      </c>
      <c r="AN243" s="64">
        <v>0</v>
      </c>
      <c r="AO243" s="64">
        <v>0</v>
      </c>
      <c r="AP243" s="73"/>
      <c r="AR243" s="64">
        <v>0</v>
      </c>
      <c r="AS243" s="64">
        <v>0</v>
      </c>
      <c r="AT243" s="64">
        <v>0</v>
      </c>
      <c r="AU243" s="64">
        <v>0</v>
      </c>
      <c r="AV243" s="64">
        <v>1</v>
      </c>
      <c r="AW243" s="64">
        <v>0</v>
      </c>
      <c r="AX243" s="64">
        <v>0</v>
      </c>
    </row>
    <row r="244" spans="1:50" outlineLevel="1">
      <c r="L244" s="73"/>
      <c r="AA244" s="73"/>
      <c r="AC244" s="105" t="s">
        <v>458</v>
      </c>
      <c r="AP244" s="73"/>
    </row>
    <row r="245" spans="1:50" outlineLevel="1">
      <c r="C245" s="37" t="s">
        <v>367</v>
      </c>
      <c r="L245" s="73"/>
      <c r="AA245" s="73"/>
      <c r="AP245" s="73"/>
    </row>
    <row r="246" spans="1:50" ht="5.9" customHeight="1" outlineLevel="1">
      <c r="L246" s="73"/>
      <c r="AA246" s="73"/>
      <c r="AP246" s="73"/>
    </row>
    <row r="247" spans="1:50" outlineLevel="1">
      <c r="D247" s="241" t="s">
        <v>368</v>
      </c>
      <c r="E247" s="241"/>
      <c r="F247" s="241"/>
      <c r="G247" s="241"/>
      <c r="L247" s="73"/>
      <c r="N247" s="64">
        <v>0</v>
      </c>
      <c r="O247" s="64">
        <v>0</v>
      </c>
      <c r="P247" s="64">
        <v>0</v>
      </c>
      <c r="Q247" s="64">
        <v>0</v>
      </c>
      <c r="R247" s="64">
        <v>0</v>
      </c>
      <c r="S247" s="64">
        <v>0</v>
      </c>
      <c r="T247" s="64">
        <v>0</v>
      </c>
      <c r="U247" s="64">
        <v>0</v>
      </c>
      <c r="V247" s="64">
        <v>0</v>
      </c>
      <c r="W247" s="64">
        <v>0</v>
      </c>
      <c r="X247" s="64">
        <v>0</v>
      </c>
      <c r="Y247" s="64">
        <v>0</v>
      </c>
      <c r="AA247" s="73"/>
      <c r="AC247" s="64">
        <v>0</v>
      </c>
      <c r="AD247" s="64">
        <v>0</v>
      </c>
      <c r="AE247" s="64">
        <v>0</v>
      </c>
      <c r="AF247" s="64">
        <v>0</v>
      </c>
      <c r="AG247" s="64">
        <v>0</v>
      </c>
      <c r="AH247" s="64">
        <v>0</v>
      </c>
      <c r="AI247" s="64">
        <v>0</v>
      </c>
      <c r="AJ247" s="64">
        <v>0</v>
      </c>
      <c r="AK247" s="64">
        <v>0</v>
      </c>
      <c r="AL247" s="64">
        <v>0</v>
      </c>
      <c r="AM247" s="64">
        <v>0</v>
      </c>
      <c r="AN247" s="64">
        <v>0</v>
      </c>
      <c r="AO247" s="147">
        <v>0</v>
      </c>
      <c r="AP247" s="73"/>
      <c r="AR247" s="64">
        <v>0</v>
      </c>
      <c r="AS247" s="64">
        <v>0</v>
      </c>
      <c r="AT247" s="64">
        <v>0</v>
      </c>
      <c r="AU247" s="64">
        <v>0</v>
      </c>
      <c r="AV247" s="64">
        <v>0</v>
      </c>
      <c r="AW247" s="64">
        <v>0</v>
      </c>
      <c r="AX247" s="64">
        <v>0</v>
      </c>
    </row>
    <row r="249" spans="1:50" s="2" customFormat="1">
      <c r="A249"/>
      <c r="B249" s="2" t="s">
        <v>251</v>
      </c>
    </row>
    <row r="250" spans="1:50" ht="5.9" customHeight="1"/>
    <row r="251" spans="1:50" ht="14">
      <c r="C251" s="77" t="str">
        <f>Cust_Reg!B300</f>
        <v>Customer Regulators - Ad Hoc</v>
      </c>
      <c r="I251" s="37" t="str">
        <f>GC!H21</f>
        <v>Network</v>
      </c>
    </row>
    <row r="252" spans="1:50" ht="5.9" customHeight="1" outlineLevel="1"/>
    <row r="253" spans="1:50" outlineLevel="1">
      <c r="I253" s="242" t="s">
        <v>194</v>
      </c>
      <c r="J253" s="242"/>
      <c r="K253" s="242"/>
      <c r="L253" s="73"/>
      <c r="N253" s="242" t="s">
        <v>195</v>
      </c>
      <c r="O253" s="242"/>
      <c r="P253" s="242"/>
      <c r="Q253" s="242"/>
      <c r="R253" s="242"/>
      <c r="S253" s="242"/>
      <c r="T253" s="242"/>
      <c r="U253" s="242"/>
      <c r="V253" s="242"/>
      <c r="W253" s="242"/>
      <c r="X253" s="242"/>
      <c r="Y253" s="242"/>
      <c r="Z253" s="242"/>
      <c r="AA253" s="73"/>
      <c r="AC253" s="245" t="s">
        <v>196</v>
      </c>
      <c r="AD253" s="245"/>
      <c r="AE253" s="245"/>
      <c r="AF253" s="245"/>
      <c r="AG253" s="245"/>
      <c r="AH253" s="245"/>
      <c r="AI253" s="245"/>
      <c r="AJ253" s="245"/>
      <c r="AK253" s="245"/>
      <c r="AL253" s="245"/>
      <c r="AM253" s="245"/>
      <c r="AN253" s="245"/>
      <c r="AO253" s="245"/>
      <c r="AP253" s="73"/>
      <c r="AR253" s="242" t="s">
        <v>311</v>
      </c>
      <c r="AS253" s="242"/>
      <c r="AT253" s="242"/>
      <c r="AU253" s="242"/>
      <c r="AV253" s="242"/>
      <c r="AW253" s="242"/>
      <c r="AX253" s="242"/>
    </row>
    <row r="254" spans="1:50" ht="46" outlineLevel="1">
      <c r="D254" s="37" t="s">
        <v>160</v>
      </c>
      <c r="I254" s="57" t="s">
        <v>128</v>
      </c>
      <c r="J254" s="57" t="s">
        <v>129</v>
      </c>
      <c r="K254" s="57" t="s">
        <v>130</v>
      </c>
      <c r="L254" s="73"/>
      <c r="N254" s="57" t="str">
        <f ca="1">OFFSET(Cust_Reg!$E400,N255,,,)</f>
        <v>Transmission pipelines - post 1998</v>
      </c>
      <c r="O254" s="57" t="str">
        <f ca="1">OFFSET(Cust_Reg!$E400,O255,,,)</f>
        <v>Distribution pipelines - post 1998</v>
      </c>
      <c r="P254" s="57" t="str">
        <f ca="1">OFFSET(Cust_Reg!$E400,P255,,,)</f>
        <v>Service pipes - post 1998</v>
      </c>
      <c r="Q254" s="57" t="str">
        <f ca="1">OFFSET(Cust_Reg!$E400,Q255,,,)</f>
        <v>Cathodic protection - post 1998</v>
      </c>
      <c r="R254" s="57" t="str">
        <f ca="1">OFFSET(Cust_Reg!$E400,R255,,,)</f>
        <v>Supply Regulators / Valve Stations</v>
      </c>
      <c r="S254" s="57" t="str">
        <f ca="1">OFFSET(Cust_Reg!$E400,S255,,,)</f>
        <v>Meters</v>
      </c>
      <c r="T254" s="57" t="str">
        <f ca="1">OFFSET(Cust_Reg!$E400,T255,,,)</f>
        <v>SCADA and remote control</v>
      </c>
      <c r="U254" s="57" t="str">
        <f ca="1">OFFSET(Cust_Reg!$E400,U255,,,)</f>
        <v>Buildings</v>
      </c>
      <c r="V254" s="57" t="str">
        <f ca="1">OFFSET(Cust_Reg!$E400,V255,,,)</f>
        <v>Other - IT</v>
      </c>
      <c r="W254" s="57" t="str">
        <f ca="1">OFFSET(Cust_Reg!$E400,W255,,,)</f>
        <v>Other - non IT</v>
      </c>
      <c r="X254" s="57" t="str">
        <f ca="1">OFFSET(Cust_Reg!$E400,X255,,,)</f>
        <v>Land</v>
      </c>
      <c r="Y254" s="57" t="str">
        <f ca="1">OFFSET(Cust_Reg!$E400,Y255,,,)</f>
        <v>Capitalised Leases</v>
      </c>
      <c r="AA254" s="139"/>
      <c r="AC254" s="57" t="str">
        <f ca="1">OFFSET(Cust_Reg!$E483,AC255,,,)</f>
        <v>Mains replacement</v>
      </c>
      <c r="AD254" s="57" t="str">
        <f ca="1">OFFSET(Cust_Reg!$E483,AD255,,,)</f>
        <v>Residential new customer connections</v>
      </c>
      <c r="AE254" s="57" t="str">
        <f ca="1">OFFSET(Cust_Reg!$E483,AE255,,,)</f>
        <v>Commercial and industrial new customer connections</v>
      </c>
      <c r="AF254" s="57" t="str">
        <f ca="1">OFFSET(Cust_Reg!$E483,AF255,,,)</f>
        <v>Residential meter replacement</v>
      </c>
      <c r="AG254" s="57" t="str">
        <f ca="1">OFFSET(Cust_Reg!$E483,AG255,,,)</f>
        <v>Commercial and industrial meter replacement</v>
      </c>
      <c r="AH254" s="57" t="str">
        <f ca="1">OFFSET(Cust_Reg!$E483,AH255,,,)</f>
        <v>Augmentation</v>
      </c>
      <c r="AI254" s="57" t="str">
        <f ca="1">OFFSET(Cust_Reg!$E483,AI255,,,)</f>
        <v>IT capex</v>
      </c>
      <c r="AJ254" s="57" t="str">
        <f ca="1">OFFSET(Cust_Reg!$E483,AJ255,,,)</f>
        <v>SCADA</v>
      </c>
      <c r="AK254" s="57" t="str">
        <f ca="1">OFFSET(Cust_Reg!$E483,AK255,,,)</f>
        <v>Other</v>
      </c>
      <c r="AL254" s="57" t="str">
        <f ca="1">OFFSET(Cust_Reg!$E483,AL255,,,)</f>
        <v>Capitalised Leases</v>
      </c>
      <c r="AM254" s="57" t="str">
        <f ca="1">OFFSET(Cust_Reg!$E483,AM255,,,)</f>
        <v>Gas Extensions - Energy for the Regions</v>
      </c>
      <c r="AN254" s="57" t="str">
        <f ca="1">OFFSET(Cust_Reg!$E483,AN255,,,)</f>
        <v>Gas Extensions - Other</v>
      </c>
      <c r="AO254" s="57" t="str">
        <f ca="1">OFFSET(Cust_Reg!$E483,AO255,,,)</f>
        <v>Customer contributions</v>
      </c>
      <c r="AP254" s="73"/>
      <c r="AR254" s="57" t="str">
        <f ca="1">OFFSET(Cust_Reg!$E540,AR255,,,)</f>
        <v>Mains &amp; Services</v>
      </c>
      <c r="AS254" s="57" t="str">
        <f ca="1">OFFSET(Cust_Reg!$E540,AS255,,,)</f>
        <v>Meters Domestic</v>
      </c>
      <c r="AT254" s="57" t="str">
        <f ca="1">OFFSET(Cust_Reg!$E540,AT255,,,)</f>
        <v>Meters Industrial &amp; Commercial</v>
      </c>
      <c r="AU254" s="57" t="str">
        <f ca="1">OFFSET(Cust_Reg!$E540,AU255,,,)</f>
        <v>Buildings</v>
      </c>
      <c r="AV254" s="57" t="str">
        <f ca="1">OFFSET(Cust_Reg!$E540,AV255,,,)</f>
        <v>Other Assets</v>
      </c>
      <c r="AW254" s="57" t="str">
        <f ca="1">OFFSET(Cust_Reg!$E540,AW255,,,)</f>
        <v>Repairs</v>
      </c>
      <c r="AX254" s="57" t="str">
        <f ca="1">OFFSET(Cust_Reg!$E540,AX255,,,)</f>
        <v>Land</v>
      </c>
    </row>
    <row r="255" spans="1:50" hidden="1" outlineLevel="2">
      <c r="L255" s="73"/>
      <c r="N255" s="68">
        <v>13</v>
      </c>
      <c r="O255" s="68">
        <v>14</v>
      </c>
      <c r="P255" s="68">
        <v>15</v>
      </c>
      <c r="Q255" s="68">
        <v>16</v>
      </c>
      <c r="R255" s="68">
        <v>5</v>
      </c>
      <c r="S255" s="68">
        <v>6</v>
      </c>
      <c r="T255" s="68">
        <v>7</v>
      </c>
      <c r="U255" s="68">
        <v>8</v>
      </c>
      <c r="V255" s="68">
        <v>9</v>
      </c>
      <c r="W255" s="68">
        <v>10</v>
      </c>
      <c r="X255" s="68">
        <v>11</v>
      </c>
      <c r="Y255" s="142">
        <v>12</v>
      </c>
      <c r="AA255" s="73"/>
      <c r="AC255" s="68">
        <v>1</v>
      </c>
      <c r="AD255" s="68">
        <v>2</v>
      </c>
      <c r="AE255" s="68">
        <v>3</v>
      </c>
      <c r="AF255" s="68">
        <v>4</v>
      </c>
      <c r="AG255" s="68">
        <v>5</v>
      </c>
      <c r="AH255" s="68">
        <v>6</v>
      </c>
      <c r="AI255" s="68">
        <v>7</v>
      </c>
      <c r="AJ255" s="68">
        <v>8</v>
      </c>
      <c r="AK255" s="68">
        <v>9</v>
      </c>
      <c r="AL255" s="67">
        <v>10</v>
      </c>
      <c r="AM255" s="67">
        <v>11</v>
      </c>
      <c r="AN255" s="136">
        <v>12</v>
      </c>
      <c r="AO255" s="67">
        <v>13</v>
      </c>
      <c r="AP255" s="73"/>
      <c r="AR255" s="68">
        <v>1</v>
      </c>
      <c r="AS255" s="68">
        <v>2</v>
      </c>
      <c r="AT255" s="68">
        <v>3</v>
      </c>
      <c r="AU255" s="68">
        <v>4</v>
      </c>
      <c r="AV255" s="68">
        <v>5</v>
      </c>
      <c r="AW255" s="68">
        <v>6</v>
      </c>
      <c r="AX255" s="138">
        <v>7</v>
      </c>
    </row>
    <row r="256" spans="1:50" ht="5.9" customHeight="1" outlineLevel="1" collapsed="1">
      <c r="L256" s="73"/>
      <c r="Y256" s="145"/>
      <c r="AA256" s="73"/>
      <c r="AP256" s="73"/>
    </row>
    <row r="257" spans="1:50" outlineLevel="1">
      <c r="D257" s="241" t="s">
        <v>434</v>
      </c>
      <c r="E257" s="241"/>
      <c r="F257" s="241"/>
      <c r="G257" s="241"/>
      <c r="I257" s="64">
        <v>0.02</v>
      </c>
      <c r="J257" s="64">
        <v>0.38</v>
      </c>
      <c r="K257" s="65">
        <f t="shared" ref="K257:K261" si="6">1-SUM(I257:J257)</f>
        <v>0.6</v>
      </c>
      <c r="L257" s="73"/>
      <c r="N257" s="64">
        <v>0</v>
      </c>
      <c r="O257" s="64">
        <v>0</v>
      </c>
      <c r="P257" s="64">
        <v>0</v>
      </c>
      <c r="Q257" s="64">
        <v>0</v>
      </c>
      <c r="R257" s="64">
        <v>1</v>
      </c>
      <c r="S257" s="64">
        <v>0</v>
      </c>
      <c r="T257" s="64">
        <v>0</v>
      </c>
      <c r="U257" s="64">
        <v>0</v>
      </c>
      <c r="V257" s="64">
        <v>0</v>
      </c>
      <c r="W257" s="64">
        <v>0</v>
      </c>
      <c r="X257" s="64">
        <v>0</v>
      </c>
      <c r="Y257" s="64">
        <v>0</v>
      </c>
      <c r="AA257" s="73"/>
      <c r="AC257" s="64">
        <v>0</v>
      </c>
      <c r="AD257" s="64">
        <v>0</v>
      </c>
      <c r="AE257" s="64">
        <v>0</v>
      </c>
      <c r="AF257" s="64">
        <v>0</v>
      </c>
      <c r="AG257" s="64">
        <v>0</v>
      </c>
      <c r="AH257" s="64">
        <v>0</v>
      </c>
      <c r="AI257" s="64">
        <v>0</v>
      </c>
      <c r="AJ257" s="64">
        <v>0</v>
      </c>
      <c r="AK257" s="64">
        <v>1</v>
      </c>
      <c r="AL257" s="64">
        <v>0</v>
      </c>
      <c r="AM257" s="64">
        <v>0</v>
      </c>
      <c r="AN257" s="64">
        <v>0</v>
      </c>
      <c r="AO257" s="147">
        <v>0</v>
      </c>
      <c r="AP257" s="73"/>
      <c r="AR257" s="64">
        <v>0</v>
      </c>
      <c r="AS257" s="64">
        <v>0</v>
      </c>
      <c r="AT257" s="64">
        <v>0</v>
      </c>
      <c r="AU257" s="64">
        <v>0</v>
      </c>
      <c r="AV257" s="64">
        <v>1</v>
      </c>
      <c r="AW257" s="64">
        <v>0</v>
      </c>
      <c r="AX257" s="64">
        <v>0</v>
      </c>
    </row>
    <row r="258" spans="1:50" outlineLevel="1">
      <c r="D258" s="241" t="s">
        <v>431</v>
      </c>
      <c r="E258" s="241"/>
      <c r="F258" s="241"/>
      <c r="G258" s="241"/>
      <c r="I258" s="64">
        <v>0.02</v>
      </c>
      <c r="J258" s="64">
        <v>0.38</v>
      </c>
      <c r="K258" s="65">
        <f t="shared" si="6"/>
        <v>0.6</v>
      </c>
      <c r="L258" s="73"/>
      <c r="N258" s="64">
        <v>0</v>
      </c>
      <c r="O258" s="64">
        <v>0</v>
      </c>
      <c r="P258" s="64">
        <v>0</v>
      </c>
      <c r="Q258" s="64">
        <v>0</v>
      </c>
      <c r="R258" s="64">
        <v>1</v>
      </c>
      <c r="S258" s="64">
        <v>0</v>
      </c>
      <c r="T258" s="64">
        <v>0</v>
      </c>
      <c r="U258" s="64">
        <v>0</v>
      </c>
      <c r="V258" s="64">
        <v>0</v>
      </c>
      <c r="W258" s="64">
        <v>0</v>
      </c>
      <c r="X258" s="64">
        <v>0</v>
      </c>
      <c r="Y258" s="64">
        <v>0</v>
      </c>
      <c r="AA258" s="73"/>
      <c r="AC258" s="64">
        <v>0</v>
      </c>
      <c r="AD258" s="64">
        <v>0</v>
      </c>
      <c r="AE258" s="64">
        <v>0</v>
      </c>
      <c r="AF258" s="64">
        <v>0</v>
      </c>
      <c r="AG258" s="64">
        <v>0</v>
      </c>
      <c r="AH258" s="64">
        <v>0</v>
      </c>
      <c r="AI258" s="64">
        <v>0</v>
      </c>
      <c r="AJ258" s="64">
        <v>0</v>
      </c>
      <c r="AK258" s="64">
        <v>1</v>
      </c>
      <c r="AL258" s="64">
        <v>0</v>
      </c>
      <c r="AM258" s="64">
        <v>0</v>
      </c>
      <c r="AN258" s="64">
        <v>0</v>
      </c>
      <c r="AO258" s="147">
        <v>0</v>
      </c>
      <c r="AP258" s="73"/>
      <c r="AR258" s="64">
        <v>0</v>
      </c>
      <c r="AS258" s="64">
        <v>0</v>
      </c>
      <c r="AT258" s="64">
        <v>0</v>
      </c>
      <c r="AU258" s="64">
        <v>0</v>
      </c>
      <c r="AV258" s="64">
        <v>1</v>
      </c>
      <c r="AW258" s="64">
        <v>0</v>
      </c>
      <c r="AX258" s="64">
        <v>0</v>
      </c>
    </row>
    <row r="259" spans="1:50" outlineLevel="1">
      <c r="D259" s="241" t="s">
        <v>432</v>
      </c>
      <c r="E259" s="241"/>
      <c r="F259" s="241"/>
      <c r="G259" s="241"/>
      <c r="I259" s="64">
        <v>0.02</v>
      </c>
      <c r="J259" s="64">
        <v>0.38</v>
      </c>
      <c r="K259" s="65">
        <f t="shared" si="6"/>
        <v>0.6</v>
      </c>
      <c r="L259" s="73"/>
      <c r="N259" s="64">
        <v>0</v>
      </c>
      <c r="O259" s="64">
        <v>0</v>
      </c>
      <c r="P259" s="64">
        <v>0</v>
      </c>
      <c r="Q259" s="64">
        <v>0</v>
      </c>
      <c r="R259" s="64">
        <v>1</v>
      </c>
      <c r="S259" s="64">
        <v>0</v>
      </c>
      <c r="T259" s="64">
        <v>0</v>
      </c>
      <c r="U259" s="64">
        <v>0</v>
      </c>
      <c r="V259" s="64">
        <v>0</v>
      </c>
      <c r="W259" s="64">
        <v>0</v>
      </c>
      <c r="X259" s="64">
        <v>0</v>
      </c>
      <c r="Y259" s="64">
        <v>0</v>
      </c>
      <c r="AA259" s="73"/>
      <c r="AC259" s="64">
        <v>0</v>
      </c>
      <c r="AD259" s="64">
        <v>0</v>
      </c>
      <c r="AE259" s="64">
        <v>0</v>
      </c>
      <c r="AF259" s="64">
        <v>0</v>
      </c>
      <c r="AG259" s="64">
        <v>0</v>
      </c>
      <c r="AH259" s="64">
        <v>0</v>
      </c>
      <c r="AI259" s="64">
        <v>0</v>
      </c>
      <c r="AJ259" s="64">
        <v>0</v>
      </c>
      <c r="AK259" s="64">
        <v>1</v>
      </c>
      <c r="AL259" s="64">
        <v>0</v>
      </c>
      <c r="AM259" s="64">
        <v>0</v>
      </c>
      <c r="AN259" s="64">
        <v>0</v>
      </c>
      <c r="AO259" s="147">
        <v>0</v>
      </c>
      <c r="AP259" s="73"/>
      <c r="AR259" s="64">
        <v>0</v>
      </c>
      <c r="AS259" s="64">
        <v>0</v>
      </c>
      <c r="AT259" s="64">
        <v>0</v>
      </c>
      <c r="AU259" s="64">
        <v>0</v>
      </c>
      <c r="AV259" s="64">
        <v>1</v>
      </c>
      <c r="AW259" s="64">
        <v>0</v>
      </c>
      <c r="AX259" s="64">
        <v>0</v>
      </c>
    </row>
    <row r="260" spans="1:50" outlineLevel="1">
      <c r="D260" s="241" t="s">
        <v>433</v>
      </c>
      <c r="E260" s="241"/>
      <c r="F260" s="241"/>
      <c r="G260" s="241"/>
      <c r="I260" s="64">
        <v>0.02</v>
      </c>
      <c r="J260" s="64">
        <v>0.38</v>
      </c>
      <c r="K260" s="65">
        <f t="shared" si="6"/>
        <v>0.6</v>
      </c>
      <c r="L260" s="73"/>
      <c r="N260" s="64">
        <v>0</v>
      </c>
      <c r="O260" s="64">
        <v>0</v>
      </c>
      <c r="P260" s="64">
        <v>0</v>
      </c>
      <c r="Q260" s="64">
        <v>0</v>
      </c>
      <c r="R260" s="64">
        <v>1</v>
      </c>
      <c r="S260" s="64">
        <v>0</v>
      </c>
      <c r="T260" s="64">
        <v>0</v>
      </c>
      <c r="U260" s="64">
        <v>0</v>
      </c>
      <c r="V260" s="64">
        <v>0</v>
      </c>
      <c r="W260" s="64">
        <v>0</v>
      </c>
      <c r="X260" s="64">
        <v>0</v>
      </c>
      <c r="Y260" s="64">
        <v>0</v>
      </c>
      <c r="AA260" s="73"/>
      <c r="AC260" s="64">
        <v>0</v>
      </c>
      <c r="AD260" s="64">
        <v>0</v>
      </c>
      <c r="AE260" s="64">
        <v>0</v>
      </c>
      <c r="AF260" s="64">
        <v>0</v>
      </c>
      <c r="AG260" s="64">
        <v>0</v>
      </c>
      <c r="AH260" s="64">
        <v>0</v>
      </c>
      <c r="AI260" s="64">
        <v>0</v>
      </c>
      <c r="AJ260" s="64">
        <v>0</v>
      </c>
      <c r="AK260" s="64">
        <v>1</v>
      </c>
      <c r="AL260" s="64">
        <v>0</v>
      </c>
      <c r="AM260" s="64">
        <v>0</v>
      </c>
      <c r="AN260" s="64">
        <v>0</v>
      </c>
      <c r="AO260" s="64">
        <v>0</v>
      </c>
      <c r="AP260" s="73"/>
      <c r="AR260" s="64">
        <v>0</v>
      </c>
      <c r="AS260" s="64">
        <v>0</v>
      </c>
      <c r="AT260" s="64">
        <v>0</v>
      </c>
      <c r="AU260" s="64">
        <v>0</v>
      </c>
      <c r="AV260" s="64">
        <v>1</v>
      </c>
      <c r="AW260" s="64">
        <v>0</v>
      </c>
      <c r="AX260" s="64">
        <v>0</v>
      </c>
    </row>
    <row r="261" spans="1:50" outlineLevel="1">
      <c r="D261" s="241" t="s">
        <v>124</v>
      </c>
      <c r="E261" s="241"/>
      <c r="F261" s="241"/>
      <c r="G261" s="241"/>
      <c r="I261" s="64">
        <v>0.02</v>
      </c>
      <c r="J261" s="64">
        <v>0.38</v>
      </c>
      <c r="K261" s="65">
        <f t="shared" si="6"/>
        <v>0.6</v>
      </c>
      <c r="L261" s="73"/>
      <c r="N261" s="64">
        <v>0</v>
      </c>
      <c r="O261" s="64">
        <v>0</v>
      </c>
      <c r="P261" s="64">
        <v>0</v>
      </c>
      <c r="Q261" s="64">
        <v>0</v>
      </c>
      <c r="R261" s="64">
        <v>1</v>
      </c>
      <c r="S261" s="64">
        <v>0</v>
      </c>
      <c r="T261" s="64">
        <v>0</v>
      </c>
      <c r="U261" s="64">
        <v>0</v>
      </c>
      <c r="V261" s="64">
        <v>0</v>
      </c>
      <c r="W261" s="64">
        <v>0</v>
      </c>
      <c r="X261" s="64">
        <v>0</v>
      </c>
      <c r="Y261" s="64">
        <v>0</v>
      </c>
      <c r="AA261" s="73"/>
      <c r="AC261" s="64">
        <v>0</v>
      </c>
      <c r="AD261" s="64">
        <v>0</v>
      </c>
      <c r="AE261" s="64">
        <v>0</v>
      </c>
      <c r="AF261" s="64">
        <v>0</v>
      </c>
      <c r="AG261" s="64">
        <v>0</v>
      </c>
      <c r="AH261" s="64">
        <v>0</v>
      </c>
      <c r="AI261" s="64">
        <v>0</v>
      </c>
      <c r="AJ261" s="64">
        <v>0</v>
      </c>
      <c r="AK261" s="64">
        <v>1</v>
      </c>
      <c r="AL261" s="64">
        <v>0</v>
      </c>
      <c r="AM261" s="64">
        <v>0</v>
      </c>
      <c r="AN261" s="64">
        <v>0</v>
      </c>
      <c r="AO261" s="64">
        <v>0</v>
      </c>
      <c r="AP261" s="73"/>
      <c r="AR261" s="64">
        <v>0</v>
      </c>
      <c r="AS261" s="64">
        <v>0</v>
      </c>
      <c r="AT261" s="64">
        <v>0</v>
      </c>
      <c r="AU261" s="64">
        <v>0</v>
      </c>
      <c r="AV261" s="64">
        <v>1</v>
      </c>
      <c r="AW261" s="64">
        <v>0</v>
      </c>
      <c r="AX261" s="64">
        <v>0</v>
      </c>
    </row>
    <row r="262" spans="1:50" outlineLevel="1">
      <c r="L262" s="73"/>
      <c r="AA262" s="73"/>
      <c r="AC262" s="105" t="s">
        <v>458</v>
      </c>
      <c r="AP262" s="73"/>
    </row>
    <row r="263" spans="1:50" outlineLevel="1">
      <c r="C263" s="37" t="s">
        <v>367</v>
      </c>
      <c r="L263" s="73"/>
      <c r="AA263" s="73"/>
      <c r="AP263" s="73"/>
    </row>
    <row r="264" spans="1:50" ht="5.9" customHeight="1" outlineLevel="1">
      <c r="L264" s="73"/>
      <c r="AA264" s="73"/>
      <c r="AP264" s="73"/>
    </row>
    <row r="265" spans="1:50" outlineLevel="1">
      <c r="D265" s="241" t="s">
        <v>368</v>
      </c>
      <c r="E265" s="241"/>
      <c r="F265" s="241"/>
      <c r="G265" s="241"/>
      <c r="L265" s="73"/>
      <c r="N265" s="64">
        <v>0</v>
      </c>
      <c r="O265" s="64">
        <v>0</v>
      </c>
      <c r="P265" s="64">
        <v>0</v>
      </c>
      <c r="Q265" s="64">
        <v>0</v>
      </c>
      <c r="R265" s="64">
        <v>0</v>
      </c>
      <c r="S265" s="64">
        <v>0</v>
      </c>
      <c r="T265" s="64">
        <v>0</v>
      </c>
      <c r="U265" s="64">
        <v>0</v>
      </c>
      <c r="V265" s="64">
        <v>0</v>
      </c>
      <c r="W265" s="64">
        <v>0</v>
      </c>
      <c r="X265" s="64">
        <v>0</v>
      </c>
      <c r="Y265" s="64">
        <v>0</v>
      </c>
      <c r="AA265" s="73"/>
      <c r="AC265" s="64">
        <v>0</v>
      </c>
      <c r="AD265" s="64">
        <v>0</v>
      </c>
      <c r="AE265" s="64">
        <v>0</v>
      </c>
      <c r="AF265" s="64">
        <v>0</v>
      </c>
      <c r="AG265" s="64">
        <v>0</v>
      </c>
      <c r="AH265" s="64">
        <v>0</v>
      </c>
      <c r="AI265" s="64">
        <v>0</v>
      </c>
      <c r="AJ265" s="64">
        <v>0</v>
      </c>
      <c r="AK265" s="64">
        <v>0</v>
      </c>
      <c r="AL265" s="64">
        <v>0</v>
      </c>
      <c r="AM265" s="64">
        <v>0</v>
      </c>
      <c r="AN265" s="64">
        <v>0</v>
      </c>
      <c r="AO265" s="147">
        <v>0</v>
      </c>
      <c r="AP265" s="73"/>
      <c r="AR265" s="64">
        <v>0</v>
      </c>
      <c r="AS265" s="64">
        <v>0</v>
      </c>
      <c r="AT265" s="64">
        <v>0</v>
      </c>
      <c r="AU265" s="64">
        <v>0</v>
      </c>
      <c r="AV265" s="64">
        <v>0</v>
      </c>
      <c r="AW265" s="64">
        <v>0</v>
      </c>
      <c r="AX265" s="64">
        <v>0</v>
      </c>
    </row>
    <row r="267" spans="1:50" s="2" customFormat="1">
      <c r="A267"/>
      <c r="B267" s="2" t="s">
        <v>253</v>
      </c>
    </row>
    <row r="268" spans="1:50" ht="5.9" customHeight="1"/>
    <row r="269" spans="1:50" ht="14">
      <c r="C269" s="77" t="str">
        <f>CP_SCADA!B25</f>
        <v>Cathodic Protection</v>
      </c>
      <c r="I269" s="37" t="str">
        <f>GC!H22</f>
        <v>Network</v>
      </c>
    </row>
    <row r="270" spans="1:50" ht="5.9" customHeight="1" outlineLevel="1"/>
    <row r="271" spans="1:50" outlineLevel="1">
      <c r="I271" s="242" t="s">
        <v>194</v>
      </c>
      <c r="J271" s="242"/>
      <c r="K271" s="242"/>
      <c r="L271" s="73"/>
      <c r="N271" s="242" t="s">
        <v>195</v>
      </c>
      <c r="O271" s="242"/>
      <c r="P271" s="242"/>
      <c r="Q271" s="242"/>
      <c r="R271" s="242"/>
      <c r="S271" s="242"/>
      <c r="T271" s="242"/>
      <c r="U271" s="242"/>
      <c r="V271" s="242"/>
      <c r="W271" s="242"/>
      <c r="X271" s="242"/>
      <c r="Y271" s="242"/>
      <c r="Z271" s="242"/>
      <c r="AA271" s="73"/>
      <c r="AC271" s="245" t="s">
        <v>196</v>
      </c>
      <c r="AD271" s="245"/>
      <c r="AE271" s="245"/>
      <c r="AF271" s="245"/>
      <c r="AG271" s="245"/>
      <c r="AH271" s="245"/>
      <c r="AI271" s="245"/>
      <c r="AJ271" s="245"/>
      <c r="AK271" s="245"/>
      <c r="AL271" s="245"/>
      <c r="AM271" s="245"/>
      <c r="AN271" s="245"/>
      <c r="AO271" s="245"/>
      <c r="AP271" s="73"/>
      <c r="AR271" s="242" t="s">
        <v>311</v>
      </c>
      <c r="AS271" s="242"/>
      <c r="AT271" s="242"/>
      <c r="AU271" s="242"/>
      <c r="AV271" s="242"/>
      <c r="AW271" s="242"/>
      <c r="AX271" s="242"/>
    </row>
    <row r="272" spans="1:50" ht="46" outlineLevel="1">
      <c r="D272" s="37" t="s">
        <v>160</v>
      </c>
      <c r="I272" s="57" t="s">
        <v>128</v>
      </c>
      <c r="J272" s="57" t="s">
        <v>129</v>
      </c>
      <c r="K272" s="57" t="s">
        <v>130</v>
      </c>
      <c r="L272" s="73"/>
      <c r="N272" s="57" t="str">
        <f ca="1">OFFSET(CP_SCADA!$E153,N273,,,)</f>
        <v>Transmission pipelines - post 1998</v>
      </c>
      <c r="O272" s="57" t="str">
        <f ca="1">OFFSET(CP_SCADA!$E153,O273,,,)</f>
        <v>Distribution pipelines - post 1998</v>
      </c>
      <c r="P272" s="57" t="str">
        <f ca="1">OFFSET(CP_SCADA!$E153,P273,,,)</f>
        <v>Service pipes - post 1998</v>
      </c>
      <c r="Q272" s="57" t="str">
        <f ca="1">OFFSET(CP_SCADA!$E153,Q273,,,)</f>
        <v>Cathodic protection - post 1998</v>
      </c>
      <c r="R272" s="57" t="str">
        <f ca="1">OFFSET(CP_SCADA!$E153,R273,,,)</f>
        <v>Supply Regulators / Valve Stations</v>
      </c>
      <c r="S272" s="57" t="str">
        <f ca="1">OFFSET(CP_SCADA!$E153,S273,,,)</f>
        <v>Meters</v>
      </c>
      <c r="T272" s="57" t="str">
        <f ca="1">OFFSET(CP_SCADA!$E153,T273,,,)</f>
        <v>SCADA and remote control</v>
      </c>
      <c r="U272" s="57" t="str">
        <f ca="1">OFFSET(CP_SCADA!$E153,U273,,,)</f>
        <v>Buildings</v>
      </c>
      <c r="V272" s="57" t="str">
        <f ca="1">OFFSET(CP_SCADA!$E153,V273,,,)</f>
        <v>Other - IT</v>
      </c>
      <c r="W272" s="57" t="str">
        <f ca="1">OFFSET(CP_SCADA!$E153,W273,,,)</f>
        <v>Other - non IT</v>
      </c>
      <c r="X272" s="57" t="str">
        <f ca="1">OFFSET(CP_SCADA!$E153,X273,,,)</f>
        <v>Land</v>
      </c>
      <c r="Y272" s="57" t="str">
        <f ca="1">OFFSET(CP_SCADA!$E153,Y273,,,)</f>
        <v>Capitalised Leases</v>
      </c>
      <c r="AA272" s="139"/>
      <c r="AC272" s="57" t="str">
        <f ca="1">OFFSET(CP_SCADA!$E236,AC273,,,)</f>
        <v>Mains replacement</v>
      </c>
      <c r="AD272" s="57" t="str">
        <f ca="1">OFFSET(CP_SCADA!$E236,AD273,,,)</f>
        <v>Residential new customer connections</v>
      </c>
      <c r="AE272" s="57" t="str">
        <f ca="1">OFFSET(CP_SCADA!$E236,AE273,,,)</f>
        <v>Commercial and industrial new customer connections</v>
      </c>
      <c r="AF272" s="57" t="str">
        <f ca="1">OFFSET(CP_SCADA!$E236,AF273,,,)</f>
        <v>Residential meter replacement</v>
      </c>
      <c r="AG272" s="57" t="str">
        <f ca="1">OFFSET(CP_SCADA!$E236,AG273,,,)</f>
        <v>Commercial and industrial meter replacement</v>
      </c>
      <c r="AH272" s="57" t="str">
        <f ca="1">OFFSET(CP_SCADA!$E236,AH273,,,)</f>
        <v>Augmentation</v>
      </c>
      <c r="AI272" s="57" t="str">
        <f ca="1">OFFSET(CP_SCADA!$E236,AI273,,,)</f>
        <v>IT capex</v>
      </c>
      <c r="AJ272" s="57" t="str">
        <f ca="1">OFFSET(CP_SCADA!$E236,AJ273,,,)</f>
        <v>SCADA</v>
      </c>
      <c r="AK272" s="57" t="str">
        <f ca="1">OFFSET(CP_SCADA!$E236,AK273,,,)</f>
        <v>Other</v>
      </c>
      <c r="AL272" s="57" t="str">
        <f ca="1">OFFSET(CP_SCADA!$E236,AL273,,,)</f>
        <v>Capitalised Leases</v>
      </c>
      <c r="AM272" s="57" t="str">
        <f ca="1">OFFSET(CP_SCADA!$E236,AM273,,,)</f>
        <v>Gas Extensions - Energy for the Regions</v>
      </c>
      <c r="AN272" s="57" t="str">
        <f ca="1">OFFSET(CP_SCADA!$E236,AN273,,,)</f>
        <v>Gas Extensions - Other</v>
      </c>
      <c r="AO272" s="57" t="str">
        <f ca="1">OFFSET(CP_SCADA!$E236,AO273,,,)</f>
        <v>Customer contributions</v>
      </c>
      <c r="AP272" s="73"/>
      <c r="AR272" s="57" t="str">
        <f ca="1">OFFSET(CP_SCADA!$E293,AR273,,,)</f>
        <v>Mains &amp; Services</v>
      </c>
      <c r="AS272" s="57" t="str">
        <f ca="1">OFFSET(CP_SCADA!$E293,AS273,,,)</f>
        <v>Meters Domestic</v>
      </c>
      <c r="AT272" s="57" t="str">
        <f ca="1">OFFSET(CP_SCADA!$E293,AT273,,,)</f>
        <v>Meters Industrial &amp; Commercial</v>
      </c>
      <c r="AU272" s="57" t="str">
        <f ca="1">OFFSET(CP_SCADA!$E293,AU273,,,)</f>
        <v>Buildings</v>
      </c>
      <c r="AV272" s="57" t="str">
        <f ca="1">OFFSET(CP_SCADA!$E293,AV273,,,)</f>
        <v>Other Assets</v>
      </c>
      <c r="AW272" s="57" t="str">
        <f ca="1">OFFSET(CP_SCADA!$E293,AW273,,,)</f>
        <v>Repairs</v>
      </c>
      <c r="AX272" s="57" t="str">
        <f ca="1">OFFSET(CP_SCADA!$E293,AX273,,,)</f>
        <v>Land</v>
      </c>
    </row>
    <row r="273" spans="3:50" hidden="1" outlineLevel="2">
      <c r="L273" s="73"/>
      <c r="N273" s="68">
        <v>13</v>
      </c>
      <c r="O273" s="68">
        <v>14</v>
      </c>
      <c r="P273" s="68">
        <v>15</v>
      </c>
      <c r="Q273" s="68">
        <v>16</v>
      </c>
      <c r="R273" s="68">
        <v>5</v>
      </c>
      <c r="S273" s="68">
        <v>6</v>
      </c>
      <c r="T273" s="68">
        <v>7</v>
      </c>
      <c r="U273" s="68">
        <v>8</v>
      </c>
      <c r="V273" s="68">
        <v>9</v>
      </c>
      <c r="W273" s="68">
        <v>10</v>
      </c>
      <c r="X273" s="68">
        <v>11</v>
      </c>
      <c r="Y273" s="142">
        <v>12</v>
      </c>
      <c r="AA273" s="73"/>
      <c r="AC273" s="68">
        <v>1</v>
      </c>
      <c r="AD273" s="68">
        <v>2</v>
      </c>
      <c r="AE273" s="68">
        <v>3</v>
      </c>
      <c r="AF273" s="68">
        <v>4</v>
      </c>
      <c r="AG273" s="68">
        <v>5</v>
      </c>
      <c r="AH273" s="68">
        <v>6</v>
      </c>
      <c r="AI273" s="68">
        <v>7</v>
      </c>
      <c r="AJ273" s="68">
        <v>8</v>
      </c>
      <c r="AK273" s="68">
        <v>9</v>
      </c>
      <c r="AL273" s="67">
        <v>10</v>
      </c>
      <c r="AM273" s="67">
        <v>11</v>
      </c>
      <c r="AN273" s="136">
        <v>12</v>
      </c>
      <c r="AO273" s="67">
        <v>13</v>
      </c>
      <c r="AP273" s="73"/>
      <c r="AR273" s="68">
        <v>1</v>
      </c>
      <c r="AS273" s="68">
        <v>2</v>
      </c>
      <c r="AT273" s="68">
        <v>3</v>
      </c>
      <c r="AU273" s="68">
        <v>4</v>
      </c>
      <c r="AV273" s="68">
        <v>5</v>
      </c>
      <c r="AW273" s="68">
        <v>6</v>
      </c>
      <c r="AX273" s="138">
        <v>7</v>
      </c>
    </row>
    <row r="274" spans="3:50" ht="5.9" customHeight="1" outlineLevel="1" collapsed="1">
      <c r="L274" s="73"/>
      <c r="Y274" s="145"/>
      <c r="AA274" s="73"/>
      <c r="AP274" s="73"/>
    </row>
    <row r="275" spans="3:50" outlineLevel="1">
      <c r="D275" s="241" t="s">
        <v>436</v>
      </c>
      <c r="E275" s="241"/>
      <c r="F275" s="241"/>
      <c r="G275" s="241"/>
      <c r="I275" s="64">
        <v>0.04</v>
      </c>
      <c r="J275" s="64">
        <v>0.76</v>
      </c>
      <c r="K275" s="65">
        <f t="shared" ref="K275:K283" si="7">1-SUM(I275:J275)</f>
        <v>0.19999999999999996</v>
      </c>
      <c r="L275" s="73"/>
      <c r="N275" s="64">
        <v>0</v>
      </c>
      <c r="O275" s="64">
        <v>0</v>
      </c>
      <c r="P275" s="64">
        <v>0</v>
      </c>
      <c r="Q275" s="64">
        <v>1</v>
      </c>
      <c r="R275" s="64">
        <v>0</v>
      </c>
      <c r="S275" s="64">
        <v>0</v>
      </c>
      <c r="T275" s="64">
        <v>0</v>
      </c>
      <c r="U275" s="64">
        <v>0</v>
      </c>
      <c r="V275" s="64">
        <v>0</v>
      </c>
      <c r="W275" s="64">
        <v>0</v>
      </c>
      <c r="X275" s="64">
        <v>0</v>
      </c>
      <c r="Y275" s="64">
        <v>0</v>
      </c>
      <c r="AA275" s="73"/>
      <c r="AC275" s="64">
        <v>0</v>
      </c>
      <c r="AD275" s="64">
        <v>0</v>
      </c>
      <c r="AE275" s="64">
        <v>0</v>
      </c>
      <c r="AF275" s="64">
        <v>0</v>
      </c>
      <c r="AG275" s="64">
        <v>0</v>
      </c>
      <c r="AH275" s="64">
        <v>0</v>
      </c>
      <c r="AI275" s="64">
        <v>0</v>
      </c>
      <c r="AJ275" s="64">
        <v>0</v>
      </c>
      <c r="AK275" s="64">
        <v>1</v>
      </c>
      <c r="AL275" s="64">
        <v>0</v>
      </c>
      <c r="AM275" s="64">
        <v>0</v>
      </c>
      <c r="AN275" s="64">
        <v>0</v>
      </c>
      <c r="AO275" s="147">
        <v>0</v>
      </c>
      <c r="AP275" s="73"/>
      <c r="AR275" s="64">
        <v>0</v>
      </c>
      <c r="AS275" s="64">
        <v>0</v>
      </c>
      <c r="AT275" s="64">
        <v>0</v>
      </c>
      <c r="AU275" s="64">
        <v>0</v>
      </c>
      <c r="AV275" s="64">
        <v>1</v>
      </c>
      <c r="AW275" s="64">
        <v>0</v>
      </c>
      <c r="AX275" s="64">
        <v>0</v>
      </c>
    </row>
    <row r="276" spans="3:50" outlineLevel="1">
      <c r="D276" s="241" t="s">
        <v>437</v>
      </c>
      <c r="E276" s="241"/>
      <c r="F276" s="241"/>
      <c r="G276" s="241"/>
      <c r="I276" s="64">
        <v>0.04</v>
      </c>
      <c r="J276" s="64">
        <v>0.76</v>
      </c>
      <c r="K276" s="65">
        <f t="shared" si="7"/>
        <v>0.19999999999999996</v>
      </c>
      <c r="L276" s="73"/>
      <c r="N276" s="64">
        <v>0</v>
      </c>
      <c r="O276" s="64">
        <v>0</v>
      </c>
      <c r="P276" s="64">
        <v>0</v>
      </c>
      <c r="Q276" s="64">
        <v>1</v>
      </c>
      <c r="R276" s="64">
        <v>0</v>
      </c>
      <c r="S276" s="64">
        <v>0</v>
      </c>
      <c r="T276" s="64">
        <v>0</v>
      </c>
      <c r="U276" s="64">
        <v>0</v>
      </c>
      <c r="V276" s="64">
        <v>0</v>
      </c>
      <c r="W276" s="64">
        <v>0</v>
      </c>
      <c r="X276" s="64">
        <v>0</v>
      </c>
      <c r="Y276" s="64">
        <v>0</v>
      </c>
      <c r="AA276" s="73"/>
      <c r="AC276" s="64">
        <v>0</v>
      </c>
      <c r="AD276" s="64">
        <v>0</v>
      </c>
      <c r="AE276" s="64">
        <v>0</v>
      </c>
      <c r="AF276" s="64">
        <v>0</v>
      </c>
      <c r="AG276" s="64">
        <v>0</v>
      </c>
      <c r="AH276" s="64">
        <v>0</v>
      </c>
      <c r="AI276" s="64">
        <v>0</v>
      </c>
      <c r="AJ276" s="64">
        <v>0</v>
      </c>
      <c r="AK276" s="64">
        <v>1</v>
      </c>
      <c r="AL276" s="64">
        <v>0</v>
      </c>
      <c r="AM276" s="64">
        <v>0</v>
      </c>
      <c r="AN276" s="64">
        <v>0</v>
      </c>
      <c r="AO276" s="64">
        <v>0</v>
      </c>
      <c r="AP276" s="73"/>
      <c r="AR276" s="64">
        <v>0</v>
      </c>
      <c r="AS276" s="64">
        <v>0</v>
      </c>
      <c r="AT276" s="64">
        <v>0</v>
      </c>
      <c r="AU276" s="64">
        <v>0</v>
      </c>
      <c r="AV276" s="64">
        <v>1</v>
      </c>
      <c r="AW276" s="64">
        <v>0</v>
      </c>
      <c r="AX276" s="64">
        <v>0</v>
      </c>
    </row>
    <row r="277" spans="3:50" outlineLevel="1">
      <c r="D277" s="241" t="s">
        <v>438</v>
      </c>
      <c r="E277" s="241"/>
      <c r="F277" s="241"/>
      <c r="G277" s="241"/>
      <c r="I277" s="64">
        <v>0.04</v>
      </c>
      <c r="J277" s="64">
        <v>0.76</v>
      </c>
      <c r="K277" s="65">
        <f t="shared" si="7"/>
        <v>0.19999999999999996</v>
      </c>
      <c r="L277" s="73"/>
      <c r="N277" s="64">
        <v>0</v>
      </c>
      <c r="O277" s="64">
        <v>0</v>
      </c>
      <c r="P277" s="64">
        <v>0</v>
      </c>
      <c r="Q277" s="64">
        <v>1</v>
      </c>
      <c r="R277" s="64">
        <v>0</v>
      </c>
      <c r="S277" s="64">
        <v>0</v>
      </c>
      <c r="T277" s="64">
        <v>0</v>
      </c>
      <c r="U277" s="64">
        <v>0</v>
      </c>
      <c r="V277" s="64">
        <v>0</v>
      </c>
      <c r="W277" s="64">
        <v>0</v>
      </c>
      <c r="X277" s="64">
        <v>0</v>
      </c>
      <c r="Y277" s="64">
        <v>0</v>
      </c>
      <c r="AA277" s="73"/>
      <c r="AC277" s="64">
        <v>0</v>
      </c>
      <c r="AD277" s="64">
        <v>0</v>
      </c>
      <c r="AE277" s="64">
        <v>0</v>
      </c>
      <c r="AF277" s="64">
        <v>0</v>
      </c>
      <c r="AG277" s="64">
        <v>0</v>
      </c>
      <c r="AH277" s="64">
        <v>0</v>
      </c>
      <c r="AI277" s="64">
        <v>0</v>
      </c>
      <c r="AJ277" s="64">
        <v>0</v>
      </c>
      <c r="AK277" s="64">
        <v>1</v>
      </c>
      <c r="AL277" s="64">
        <v>0</v>
      </c>
      <c r="AM277" s="64">
        <v>0</v>
      </c>
      <c r="AN277" s="64">
        <v>0</v>
      </c>
      <c r="AO277" s="64">
        <v>0</v>
      </c>
      <c r="AP277" s="73"/>
      <c r="AR277" s="64">
        <v>0</v>
      </c>
      <c r="AS277" s="64">
        <v>0</v>
      </c>
      <c r="AT277" s="64">
        <v>0</v>
      </c>
      <c r="AU277" s="64">
        <v>0</v>
      </c>
      <c r="AV277" s="64">
        <v>1</v>
      </c>
      <c r="AW277" s="64">
        <v>0</v>
      </c>
      <c r="AX277" s="64">
        <v>0</v>
      </c>
    </row>
    <row r="278" spans="3:50" outlineLevel="1">
      <c r="D278" s="241" t="s">
        <v>439</v>
      </c>
      <c r="E278" s="241"/>
      <c r="F278" s="241"/>
      <c r="G278" s="241"/>
      <c r="I278" s="64">
        <v>0.04</v>
      </c>
      <c r="J278" s="64">
        <v>0.76</v>
      </c>
      <c r="K278" s="65">
        <f t="shared" si="7"/>
        <v>0.19999999999999996</v>
      </c>
      <c r="L278" s="73"/>
      <c r="N278" s="64">
        <v>0</v>
      </c>
      <c r="O278" s="64">
        <v>0</v>
      </c>
      <c r="P278" s="64">
        <v>0</v>
      </c>
      <c r="Q278" s="64">
        <v>1</v>
      </c>
      <c r="R278" s="64">
        <v>0</v>
      </c>
      <c r="S278" s="64">
        <v>0</v>
      </c>
      <c r="T278" s="64">
        <v>0</v>
      </c>
      <c r="U278" s="64">
        <v>0</v>
      </c>
      <c r="V278" s="64">
        <v>0</v>
      </c>
      <c r="W278" s="64">
        <v>0</v>
      </c>
      <c r="X278" s="64">
        <v>0</v>
      </c>
      <c r="Y278" s="64">
        <v>0</v>
      </c>
      <c r="AA278" s="73"/>
      <c r="AC278" s="64">
        <v>0</v>
      </c>
      <c r="AD278" s="64">
        <v>0</v>
      </c>
      <c r="AE278" s="64">
        <v>0</v>
      </c>
      <c r="AF278" s="64">
        <v>0</v>
      </c>
      <c r="AG278" s="64">
        <v>0</v>
      </c>
      <c r="AH278" s="64">
        <v>0</v>
      </c>
      <c r="AI278" s="64">
        <v>0</v>
      </c>
      <c r="AJ278" s="64">
        <v>0</v>
      </c>
      <c r="AK278" s="64">
        <v>1</v>
      </c>
      <c r="AL278" s="64">
        <v>0</v>
      </c>
      <c r="AM278" s="64">
        <v>0</v>
      </c>
      <c r="AN278" s="64">
        <v>0</v>
      </c>
      <c r="AO278" s="64">
        <v>0</v>
      </c>
      <c r="AP278" s="73"/>
      <c r="AR278" s="64">
        <v>0</v>
      </c>
      <c r="AS278" s="64">
        <v>0</v>
      </c>
      <c r="AT278" s="64">
        <v>0</v>
      </c>
      <c r="AU278" s="64">
        <v>0</v>
      </c>
      <c r="AV278" s="64">
        <v>1</v>
      </c>
      <c r="AW278" s="64">
        <v>0</v>
      </c>
      <c r="AX278" s="64">
        <v>0</v>
      </c>
    </row>
    <row r="279" spans="3:50" outlineLevel="1">
      <c r="D279" s="241" t="s">
        <v>440</v>
      </c>
      <c r="E279" s="241"/>
      <c r="F279" s="241"/>
      <c r="G279" s="241"/>
      <c r="I279" s="64">
        <v>0.04</v>
      </c>
      <c r="J279" s="64">
        <v>0.76</v>
      </c>
      <c r="K279" s="65">
        <f t="shared" si="7"/>
        <v>0.19999999999999996</v>
      </c>
      <c r="L279" s="73"/>
      <c r="N279" s="64">
        <v>0</v>
      </c>
      <c r="O279" s="64">
        <v>0</v>
      </c>
      <c r="P279" s="64">
        <v>0</v>
      </c>
      <c r="Q279" s="64">
        <v>1</v>
      </c>
      <c r="R279" s="64">
        <v>0</v>
      </c>
      <c r="S279" s="64">
        <v>0</v>
      </c>
      <c r="T279" s="64">
        <v>0</v>
      </c>
      <c r="U279" s="64">
        <v>0</v>
      </c>
      <c r="V279" s="64">
        <v>0</v>
      </c>
      <c r="W279" s="64">
        <v>0</v>
      </c>
      <c r="X279" s="64">
        <v>0</v>
      </c>
      <c r="Y279" s="64">
        <v>0</v>
      </c>
      <c r="AA279" s="73"/>
      <c r="AC279" s="64">
        <v>0</v>
      </c>
      <c r="AD279" s="64">
        <v>0</v>
      </c>
      <c r="AE279" s="64">
        <v>0</v>
      </c>
      <c r="AF279" s="64">
        <v>0</v>
      </c>
      <c r="AG279" s="64">
        <v>0</v>
      </c>
      <c r="AH279" s="64">
        <v>0</v>
      </c>
      <c r="AI279" s="64">
        <v>0</v>
      </c>
      <c r="AJ279" s="64">
        <v>0</v>
      </c>
      <c r="AK279" s="64">
        <v>1</v>
      </c>
      <c r="AL279" s="64">
        <v>0</v>
      </c>
      <c r="AM279" s="64">
        <v>0</v>
      </c>
      <c r="AN279" s="64">
        <v>0</v>
      </c>
      <c r="AO279" s="64">
        <v>0</v>
      </c>
      <c r="AP279" s="73"/>
      <c r="AR279" s="64">
        <v>0</v>
      </c>
      <c r="AS279" s="64">
        <v>0</v>
      </c>
      <c r="AT279" s="64">
        <v>0</v>
      </c>
      <c r="AU279" s="64">
        <v>0</v>
      </c>
      <c r="AV279" s="64">
        <v>1</v>
      </c>
      <c r="AW279" s="64">
        <v>0</v>
      </c>
      <c r="AX279" s="64">
        <v>0</v>
      </c>
    </row>
    <row r="280" spans="3:50" outlineLevel="1">
      <c r="D280" s="241" t="s">
        <v>441</v>
      </c>
      <c r="E280" s="241"/>
      <c r="F280" s="241"/>
      <c r="G280" s="241"/>
      <c r="I280" s="64">
        <v>0.04</v>
      </c>
      <c r="J280" s="64">
        <v>0.76</v>
      </c>
      <c r="K280" s="65">
        <f t="shared" si="7"/>
        <v>0.19999999999999996</v>
      </c>
      <c r="L280" s="73"/>
      <c r="N280" s="64">
        <v>0</v>
      </c>
      <c r="O280" s="64">
        <v>0</v>
      </c>
      <c r="P280" s="64">
        <v>0</v>
      </c>
      <c r="Q280" s="64">
        <v>1</v>
      </c>
      <c r="R280" s="64">
        <v>0</v>
      </c>
      <c r="S280" s="64">
        <v>0</v>
      </c>
      <c r="T280" s="64">
        <v>0</v>
      </c>
      <c r="U280" s="64">
        <v>0</v>
      </c>
      <c r="V280" s="64">
        <v>0</v>
      </c>
      <c r="W280" s="64">
        <v>0</v>
      </c>
      <c r="X280" s="64">
        <v>0</v>
      </c>
      <c r="Y280" s="64">
        <v>0</v>
      </c>
      <c r="AA280" s="73"/>
      <c r="AC280" s="64">
        <v>0</v>
      </c>
      <c r="AD280" s="64">
        <v>0</v>
      </c>
      <c r="AE280" s="64">
        <v>0</v>
      </c>
      <c r="AF280" s="64">
        <v>0</v>
      </c>
      <c r="AG280" s="64">
        <v>0</v>
      </c>
      <c r="AH280" s="64">
        <v>0</v>
      </c>
      <c r="AI280" s="64">
        <v>0</v>
      </c>
      <c r="AJ280" s="64">
        <v>0</v>
      </c>
      <c r="AK280" s="64">
        <v>1</v>
      </c>
      <c r="AL280" s="64">
        <v>0</v>
      </c>
      <c r="AM280" s="64">
        <v>0</v>
      </c>
      <c r="AN280" s="64">
        <v>0</v>
      </c>
      <c r="AO280" s="64">
        <v>0</v>
      </c>
      <c r="AP280" s="73"/>
      <c r="AR280" s="64">
        <v>0</v>
      </c>
      <c r="AS280" s="64">
        <v>0</v>
      </c>
      <c r="AT280" s="64">
        <v>0</v>
      </c>
      <c r="AU280" s="64">
        <v>0</v>
      </c>
      <c r="AV280" s="64">
        <v>1</v>
      </c>
      <c r="AW280" s="64">
        <v>0</v>
      </c>
      <c r="AX280" s="64">
        <v>0</v>
      </c>
    </row>
    <row r="281" spans="3:50" outlineLevel="1">
      <c r="D281" s="241" t="s">
        <v>442</v>
      </c>
      <c r="E281" s="241"/>
      <c r="F281" s="241"/>
      <c r="G281" s="241"/>
      <c r="I281" s="64">
        <v>0.04</v>
      </c>
      <c r="J281" s="64">
        <v>0.76</v>
      </c>
      <c r="K281" s="65">
        <f t="shared" si="7"/>
        <v>0.19999999999999996</v>
      </c>
      <c r="L281" s="73"/>
      <c r="N281" s="64">
        <v>0</v>
      </c>
      <c r="O281" s="64">
        <v>0</v>
      </c>
      <c r="P281" s="64">
        <v>0</v>
      </c>
      <c r="Q281" s="64">
        <v>1</v>
      </c>
      <c r="R281" s="64">
        <v>0</v>
      </c>
      <c r="S281" s="64">
        <v>0</v>
      </c>
      <c r="T281" s="64">
        <v>0</v>
      </c>
      <c r="U281" s="64">
        <v>0</v>
      </c>
      <c r="V281" s="64">
        <v>0</v>
      </c>
      <c r="W281" s="64">
        <v>0</v>
      </c>
      <c r="X281" s="64">
        <v>0</v>
      </c>
      <c r="Y281" s="64">
        <v>0</v>
      </c>
      <c r="AA281" s="73"/>
      <c r="AC281" s="64">
        <v>0</v>
      </c>
      <c r="AD281" s="64">
        <v>0</v>
      </c>
      <c r="AE281" s="64">
        <v>0</v>
      </c>
      <c r="AF281" s="64">
        <v>0</v>
      </c>
      <c r="AG281" s="64">
        <v>0</v>
      </c>
      <c r="AH281" s="64">
        <v>0</v>
      </c>
      <c r="AI281" s="64">
        <v>0</v>
      </c>
      <c r="AJ281" s="64">
        <v>0</v>
      </c>
      <c r="AK281" s="64">
        <v>1</v>
      </c>
      <c r="AL281" s="64">
        <v>0</v>
      </c>
      <c r="AM281" s="64">
        <v>0</v>
      </c>
      <c r="AN281" s="64">
        <v>0</v>
      </c>
      <c r="AO281" s="64">
        <v>0</v>
      </c>
      <c r="AP281" s="73"/>
      <c r="AR281" s="64">
        <v>0</v>
      </c>
      <c r="AS281" s="64">
        <v>0</v>
      </c>
      <c r="AT281" s="64">
        <v>0</v>
      </c>
      <c r="AU281" s="64">
        <v>0</v>
      </c>
      <c r="AV281" s="64">
        <v>1</v>
      </c>
      <c r="AW281" s="64">
        <v>0</v>
      </c>
      <c r="AX281" s="64">
        <v>0</v>
      </c>
    </row>
    <row r="282" spans="3:50" outlineLevel="1">
      <c r="D282" s="241" t="s">
        <v>443</v>
      </c>
      <c r="E282" s="241"/>
      <c r="F282" s="241"/>
      <c r="G282" s="241"/>
      <c r="I282" s="64">
        <v>0.04</v>
      </c>
      <c r="J282" s="64">
        <v>0.76</v>
      </c>
      <c r="K282" s="65">
        <f t="shared" si="7"/>
        <v>0.19999999999999996</v>
      </c>
      <c r="L282" s="73"/>
      <c r="N282" s="64">
        <v>0</v>
      </c>
      <c r="O282" s="64">
        <v>0</v>
      </c>
      <c r="P282" s="64">
        <v>0</v>
      </c>
      <c r="Q282" s="64">
        <v>1</v>
      </c>
      <c r="R282" s="64">
        <v>0</v>
      </c>
      <c r="S282" s="64">
        <v>0</v>
      </c>
      <c r="T282" s="64">
        <v>0</v>
      </c>
      <c r="U282" s="64">
        <v>0</v>
      </c>
      <c r="V282" s="64">
        <v>0</v>
      </c>
      <c r="W282" s="64">
        <v>0</v>
      </c>
      <c r="X282" s="64">
        <v>0</v>
      </c>
      <c r="Y282" s="64">
        <v>0</v>
      </c>
      <c r="AA282" s="73"/>
      <c r="AC282" s="64">
        <v>0</v>
      </c>
      <c r="AD282" s="64">
        <v>0</v>
      </c>
      <c r="AE282" s="64">
        <v>0</v>
      </c>
      <c r="AF282" s="64">
        <v>0</v>
      </c>
      <c r="AG282" s="64">
        <v>0</v>
      </c>
      <c r="AH282" s="64">
        <v>0</v>
      </c>
      <c r="AI282" s="64">
        <v>0</v>
      </c>
      <c r="AJ282" s="64">
        <v>0</v>
      </c>
      <c r="AK282" s="64">
        <v>1</v>
      </c>
      <c r="AL282" s="64">
        <v>0</v>
      </c>
      <c r="AM282" s="64">
        <v>0</v>
      </c>
      <c r="AN282" s="64">
        <v>0</v>
      </c>
      <c r="AO282" s="64">
        <v>0</v>
      </c>
      <c r="AP282" s="73"/>
      <c r="AR282" s="64">
        <v>0</v>
      </c>
      <c r="AS282" s="64">
        <v>0</v>
      </c>
      <c r="AT282" s="64">
        <v>0</v>
      </c>
      <c r="AU282" s="64">
        <v>0</v>
      </c>
      <c r="AV282" s="64">
        <v>1</v>
      </c>
      <c r="AW282" s="64">
        <v>0</v>
      </c>
      <c r="AX282" s="64">
        <v>0</v>
      </c>
    </row>
    <row r="283" spans="3:50" outlineLevel="1">
      <c r="D283" s="241" t="s">
        <v>435</v>
      </c>
      <c r="E283" s="241"/>
      <c r="F283" s="241"/>
      <c r="G283" s="241"/>
      <c r="I283" s="64">
        <v>0.04</v>
      </c>
      <c r="J283" s="64">
        <v>0.76</v>
      </c>
      <c r="K283" s="65">
        <f t="shared" si="7"/>
        <v>0.19999999999999996</v>
      </c>
      <c r="L283" s="73"/>
      <c r="N283" s="64">
        <v>0</v>
      </c>
      <c r="O283" s="64">
        <v>0</v>
      </c>
      <c r="P283" s="64">
        <v>0</v>
      </c>
      <c r="Q283" s="64">
        <v>1</v>
      </c>
      <c r="R283" s="64">
        <v>0</v>
      </c>
      <c r="S283" s="64">
        <v>0</v>
      </c>
      <c r="T283" s="64">
        <v>0</v>
      </c>
      <c r="U283" s="64">
        <v>0</v>
      </c>
      <c r="V283" s="64">
        <v>0</v>
      </c>
      <c r="W283" s="64">
        <v>0</v>
      </c>
      <c r="X283" s="64">
        <v>0</v>
      </c>
      <c r="Y283" s="64">
        <v>0</v>
      </c>
      <c r="AA283" s="73"/>
      <c r="AC283" s="64">
        <v>0</v>
      </c>
      <c r="AD283" s="64">
        <v>0</v>
      </c>
      <c r="AE283" s="64">
        <v>0</v>
      </c>
      <c r="AF283" s="64">
        <v>0</v>
      </c>
      <c r="AG283" s="64">
        <v>0</v>
      </c>
      <c r="AH283" s="64">
        <v>0</v>
      </c>
      <c r="AI283" s="64">
        <v>0</v>
      </c>
      <c r="AJ283" s="64">
        <v>0</v>
      </c>
      <c r="AK283" s="64">
        <v>1</v>
      </c>
      <c r="AL283" s="64">
        <v>0</v>
      </c>
      <c r="AM283" s="64">
        <v>0</v>
      </c>
      <c r="AN283" s="64">
        <v>0</v>
      </c>
      <c r="AO283" s="147">
        <v>0</v>
      </c>
      <c r="AP283" s="73"/>
      <c r="AR283" s="64">
        <v>0</v>
      </c>
      <c r="AS283" s="64">
        <v>0</v>
      </c>
      <c r="AT283" s="64">
        <v>0</v>
      </c>
      <c r="AU283" s="64">
        <v>0</v>
      </c>
      <c r="AV283" s="64">
        <v>1</v>
      </c>
      <c r="AW283" s="64">
        <v>0</v>
      </c>
      <c r="AX283" s="64">
        <v>0</v>
      </c>
    </row>
    <row r="284" spans="3:50" outlineLevel="1">
      <c r="L284" s="73"/>
      <c r="AA284" s="73"/>
      <c r="AC284" s="105" t="s">
        <v>458</v>
      </c>
      <c r="AP284" s="73"/>
    </row>
    <row r="285" spans="3:50" outlineLevel="1">
      <c r="C285" s="37" t="s">
        <v>367</v>
      </c>
      <c r="L285" s="73"/>
      <c r="AA285" s="73"/>
      <c r="AP285" s="73"/>
    </row>
    <row r="286" spans="3:50" ht="5.9" customHeight="1" outlineLevel="1">
      <c r="L286" s="73"/>
      <c r="AA286" s="73"/>
      <c r="AP286" s="73"/>
    </row>
    <row r="287" spans="3:50" outlineLevel="1">
      <c r="D287" s="241" t="s">
        <v>368</v>
      </c>
      <c r="E287" s="241"/>
      <c r="F287" s="241"/>
      <c r="G287" s="241"/>
      <c r="L287" s="73"/>
      <c r="N287" s="64">
        <v>0</v>
      </c>
      <c r="O287" s="64">
        <v>0</v>
      </c>
      <c r="P287" s="64">
        <v>0</v>
      </c>
      <c r="Q287" s="64">
        <v>0</v>
      </c>
      <c r="R287" s="64">
        <v>0</v>
      </c>
      <c r="S287" s="64">
        <v>0</v>
      </c>
      <c r="T287" s="64">
        <v>0</v>
      </c>
      <c r="U287" s="64">
        <v>0</v>
      </c>
      <c r="V287" s="64">
        <v>0</v>
      </c>
      <c r="W287" s="64">
        <v>0</v>
      </c>
      <c r="X287" s="64">
        <v>0</v>
      </c>
      <c r="Y287" s="64">
        <v>0</v>
      </c>
      <c r="AA287" s="73"/>
      <c r="AC287" s="64">
        <v>0</v>
      </c>
      <c r="AD287" s="64">
        <v>0</v>
      </c>
      <c r="AE287" s="64">
        <v>0</v>
      </c>
      <c r="AF287" s="64">
        <v>0</v>
      </c>
      <c r="AG287" s="64">
        <v>0</v>
      </c>
      <c r="AH287" s="64">
        <v>0</v>
      </c>
      <c r="AI287" s="64">
        <v>0</v>
      </c>
      <c r="AJ287" s="64">
        <v>0</v>
      </c>
      <c r="AK287" s="64">
        <v>0</v>
      </c>
      <c r="AL287" s="64">
        <v>0</v>
      </c>
      <c r="AM287" s="64">
        <v>0</v>
      </c>
      <c r="AN287" s="64">
        <v>0</v>
      </c>
      <c r="AO287" s="147">
        <v>0</v>
      </c>
      <c r="AP287" s="73"/>
      <c r="AR287" s="64">
        <v>0</v>
      </c>
      <c r="AS287" s="64">
        <v>0</v>
      </c>
      <c r="AT287" s="64">
        <v>0</v>
      </c>
      <c r="AU287" s="64">
        <v>0</v>
      </c>
      <c r="AV287" s="64">
        <v>0</v>
      </c>
      <c r="AW287" s="64">
        <v>0</v>
      </c>
      <c r="AX287" s="64">
        <v>0</v>
      </c>
    </row>
    <row r="289" spans="1:50" s="2" customFormat="1">
      <c r="A289"/>
      <c r="B289" s="2" t="s">
        <v>255</v>
      </c>
    </row>
    <row r="290" spans="1:50" ht="5.9" customHeight="1"/>
    <row r="291" spans="1:50" ht="14">
      <c r="C291" s="77" t="str">
        <f>CP_SCADA!B328</f>
        <v>SCADA</v>
      </c>
      <c r="I291" s="37" t="str">
        <f>GC!H23</f>
        <v>Network</v>
      </c>
    </row>
    <row r="292" spans="1:50" ht="5.9" customHeight="1" outlineLevel="1"/>
    <row r="293" spans="1:50" outlineLevel="1">
      <c r="I293" s="242" t="s">
        <v>194</v>
      </c>
      <c r="J293" s="242"/>
      <c r="K293" s="242"/>
      <c r="L293" s="73"/>
      <c r="N293" s="242" t="s">
        <v>195</v>
      </c>
      <c r="O293" s="242"/>
      <c r="P293" s="242"/>
      <c r="Q293" s="242"/>
      <c r="R293" s="242"/>
      <c r="S293" s="242"/>
      <c r="T293" s="242"/>
      <c r="U293" s="242"/>
      <c r="V293" s="242"/>
      <c r="W293" s="242"/>
      <c r="X293" s="242"/>
      <c r="Y293" s="242"/>
      <c r="Z293" s="242"/>
      <c r="AA293" s="73"/>
      <c r="AC293" s="245" t="s">
        <v>196</v>
      </c>
      <c r="AD293" s="245"/>
      <c r="AE293" s="245"/>
      <c r="AF293" s="245"/>
      <c r="AG293" s="245"/>
      <c r="AH293" s="245"/>
      <c r="AI293" s="245"/>
      <c r="AJ293" s="245"/>
      <c r="AK293" s="245"/>
      <c r="AL293" s="245"/>
      <c r="AM293" s="245"/>
      <c r="AN293" s="245"/>
      <c r="AO293" s="245"/>
      <c r="AP293" s="73"/>
      <c r="AR293" s="242" t="s">
        <v>311</v>
      </c>
      <c r="AS293" s="242"/>
      <c r="AT293" s="242"/>
      <c r="AU293" s="242"/>
      <c r="AV293" s="242"/>
      <c r="AW293" s="242"/>
      <c r="AX293" s="242"/>
    </row>
    <row r="294" spans="1:50" ht="46" outlineLevel="1">
      <c r="D294" s="37" t="s">
        <v>160</v>
      </c>
      <c r="I294" s="57" t="s">
        <v>128</v>
      </c>
      <c r="J294" s="57" t="s">
        <v>129</v>
      </c>
      <c r="K294" s="57" t="s">
        <v>130</v>
      </c>
      <c r="L294" s="73"/>
      <c r="N294" s="57" t="str">
        <f ca="1">OFFSET(CP_SCADA!$E456,N295,,,)</f>
        <v>Transmission pipelines - post 1998</v>
      </c>
      <c r="O294" s="57" t="str">
        <f ca="1">OFFSET(CP_SCADA!$E456,O295,,,)</f>
        <v>Distribution pipelines - post 1998</v>
      </c>
      <c r="P294" s="57" t="str">
        <f ca="1">OFFSET(CP_SCADA!$E456,P295,,,)</f>
        <v>Service pipes - post 1998</v>
      </c>
      <c r="Q294" s="57" t="str">
        <f ca="1">OFFSET(CP_SCADA!$E456,Q295,,,)</f>
        <v>Cathodic protection - post 1998</v>
      </c>
      <c r="R294" s="57" t="str">
        <f ca="1">OFFSET(CP_SCADA!$E456,R295,,,)</f>
        <v>Supply Regulators / Valve Stations</v>
      </c>
      <c r="S294" s="57" t="str">
        <f ca="1">OFFSET(CP_SCADA!$E456,S295,,,)</f>
        <v>Meters</v>
      </c>
      <c r="T294" s="57" t="str">
        <f ca="1">OFFSET(CP_SCADA!$E456,T295,,,)</f>
        <v>SCADA and remote control</v>
      </c>
      <c r="U294" s="57" t="str">
        <f ca="1">OFFSET(CP_SCADA!$E456,U295,,,)</f>
        <v>Buildings</v>
      </c>
      <c r="V294" s="57" t="str">
        <f ca="1">OFFSET(CP_SCADA!$E456,V295,,,)</f>
        <v>Other - IT</v>
      </c>
      <c r="W294" s="57" t="str">
        <f ca="1">OFFSET(CP_SCADA!$E456,W295,,,)</f>
        <v>Other - non IT</v>
      </c>
      <c r="X294" s="57" t="str">
        <f ca="1">OFFSET(CP_SCADA!$E456,X295,,,)</f>
        <v>Land</v>
      </c>
      <c r="Y294" s="57" t="str">
        <f ca="1">OFFSET(CP_SCADA!$E456,Y295,,,)</f>
        <v>Capitalised Leases</v>
      </c>
      <c r="AA294" s="139"/>
      <c r="AC294" s="57" t="str">
        <f ca="1">OFFSET(CP_SCADA!$E539,AC295,,,)</f>
        <v>Mains replacement</v>
      </c>
      <c r="AD294" s="57" t="str">
        <f ca="1">OFFSET(CP_SCADA!$E539,AD295,,,)</f>
        <v>Residential new customer connections</v>
      </c>
      <c r="AE294" s="57" t="str">
        <f ca="1">OFFSET(CP_SCADA!$E539,AE295,,,)</f>
        <v>Commercial and industrial new customer connections</v>
      </c>
      <c r="AF294" s="57" t="str">
        <f ca="1">OFFSET(CP_SCADA!$E539,AF295,,,)</f>
        <v>Residential meter replacement</v>
      </c>
      <c r="AG294" s="57" t="str">
        <f ca="1">OFFSET(CP_SCADA!$E539,AG295,,,)</f>
        <v>Commercial and industrial meter replacement</v>
      </c>
      <c r="AH294" s="57" t="str">
        <f ca="1">OFFSET(CP_SCADA!$E539,AH295,,,)</f>
        <v>Augmentation</v>
      </c>
      <c r="AI294" s="57" t="str">
        <f ca="1">OFFSET(CP_SCADA!$E539,AI295,,,)</f>
        <v>IT capex</v>
      </c>
      <c r="AJ294" s="57" t="str">
        <f ca="1">OFFSET(CP_SCADA!$E539,AJ295,,,)</f>
        <v>SCADA</v>
      </c>
      <c r="AK294" s="57" t="str">
        <f ca="1">OFFSET(CP_SCADA!$E539,AK295,,,)</f>
        <v>Other</v>
      </c>
      <c r="AL294" s="57" t="str">
        <f ca="1">OFFSET(CP_SCADA!$E539,AL295,,,)</f>
        <v>Capitalised Leases</v>
      </c>
      <c r="AM294" s="57" t="str">
        <f ca="1">OFFSET(CP_SCADA!$E539,AM295,,,)</f>
        <v>Gas Extensions - Energy for the Regions</v>
      </c>
      <c r="AN294" s="57" t="str">
        <f ca="1">OFFSET(CP_SCADA!$E539,AN295,,,)</f>
        <v>Gas Extensions - Other</v>
      </c>
      <c r="AO294" s="57" t="str">
        <f ca="1">OFFSET(CP_SCADA!$E539,AO295,,,)</f>
        <v>Customer contributions</v>
      </c>
      <c r="AP294" s="73"/>
      <c r="AR294" s="57" t="str">
        <f ca="1">OFFSET(CP_SCADA!$E596,AR295,,,)</f>
        <v>Mains &amp; Services</v>
      </c>
      <c r="AS294" s="57" t="str">
        <f ca="1">OFFSET(CP_SCADA!$E596,AS295,,,)</f>
        <v>Meters Domestic</v>
      </c>
      <c r="AT294" s="57" t="str">
        <f ca="1">OFFSET(CP_SCADA!$E596,AT295,,,)</f>
        <v>Meters Industrial &amp; Commercial</v>
      </c>
      <c r="AU294" s="57" t="str">
        <f ca="1">OFFSET(CP_SCADA!$E596,AU295,,,)</f>
        <v>Buildings</v>
      </c>
      <c r="AV294" s="57" t="str">
        <f ca="1">OFFSET(CP_SCADA!$E596,AV295,,,)</f>
        <v>Other Assets</v>
      </c>
      <c r="AW294" s="57" t="str">
        <f ca="1">OFFSET(CP_SCADA!$E596,AW295,,,)</f>
        <v>Repairs</v>
      </c>
      <c r="AX294" s="57" t="str">
        <f ca="1">OFFSET(CP_SCADA!$E596,AX295,,,)</f>
        <v>Land</v>
      </c>
    </row>
    <row r="295" spans="1:50" hidden="1" outlineLevel="2">
      <c r="L295" s="73"/>
      <c r="N295" s="68">
        <v>13</v>
      </c>
      <c r="O295" s="68">
        <v>14</v>
      </c>
      <c r="P295" s="68">
        <v>15</v>
      </c>
      <c r="Q295" s="68">
        <v>16</v>
      </c>
      <c r="R295" s="68">
        <v>5</v>
      </c>
      <c r="S295" s="68">
        <v>6</v>
      </c>
      <c r="T295" s="68">
        <v>7</v>
      </c>
      <c r="U295" s="68">
        <v>8</v>
      </c>
      <c r="V295" s="68">
        <v>9</v>
      </c>
      <c r="W295" s="68">
        <v>10</v>
      </c>
      <c r="X295" s="68">
        <v>11</v>
      </c>
      <c r="Y295" s="142">
        <v>12</v>
      </c>
      <c r="AA295" s="73"/>
      <c r="AC295" s="68">
        <v>1</v>
      </c>
      <c r="AD295" s="68">
        <v>2</v>
      </c>
      <c r="AE295" s="68">
        <v>3</v>
      </c>
      <c r="AF295" s="68">
        <v>4</v>
      </c>
      <c r="AG295" s="68">
        <v>5</v>
      </c>
      <c r="AH295" s="68">
        <v>6</v>
      </c>
      <c r="AI295" s="68">
        <v>7</v>
      </c>
      <c r="AJ295" s="68">
        <v>8</v>
      </c>
      <c r="AK295" s="68">
        <v>9</v>
      </c>
      <c r="AL295" s="67">
        <v>10</v>
      </c>
      <c r="AM295" s="67">
        <v>11</v>
      </c>
      <c r="AN295" s="136">
        <v>12</v>
      </c>
      <c r="AO295" s="67">
        <v>13</v>
      </c>
      <c r="AP295" s="73"/>
      <c r="AR295" s="68">
        <v>1</v>
      </c>
      <c r="AS295" s="68">
        <v>2</v>
      </c>
      <c r="AT295" s="68">
        <v>3</v>
      </c>
      <c r="AU295" s="68">
        <v>4</v>
      </c>
      <c r="AV295" s="68">
        <v>5</v>
      </c>
      <c r="AW295" s="68">
        <v>6</v>
      </c>
      <c r="AX295" s="138">
        <v>7</v>
      </c>
    </row>
    <row r="296" spans="1:50" ht="5.9" customHeight="1" outlineLevel="1" collapsed="1">
      <c r="L296" s="73"/>
      <c r="Y296" s="145"/>
      <c r="AA296" s="73"/>
      <c r="AP296" s="73"/>
    </row>
    <row r="297" spans="1:50" outlineLevel="1">
      <c r="D297" s="241" t="s">
        <v>444</v>
      </c>
      <c r="E297" s="241"/>
      <c r="F297" s="241"/>
      <c r="G297" s="241"/>
      <c r="I297" s="64">
        <v>0.03</v>
      </c>
      <c r="J297" s="64">
        <v>0.56999999999999995</v>
      </c>
      <c r="K297" s="65">
        <f t="shared" ref="K297:K305" si="8">1-SUM(I297:J297)</f>
        <v>0.4</v>
      </c>
      <c r="L297" s="73"/>
      <c r="N297" s="64">
        <v>0</v>
      </c>
      <c r="O297" s="64">
        <v>0</v>
      </c>
      <c r="P297" s="64">
        <v>0</v>
      </c>
      <c r="Q297" s="64">
        <v>0</v>
      </c>
      <c r="R297" s="64">
        <v>0</v>
      </c>
      <c r="S297" s="64">
        <v>0</v>
      </c>
      <c r="T297" s="64">
        <v>1</v>
      </c>
      <c r="U297" s="64">
        <v>0</v>
      </c>
      <c r="V297" s="64">
        <v>0</v>
      </c>
      <c r="W297" s="64">
        <v>0</v>
      </c>
      <c r="X297" s="64">
        <v>0</v>
      </c>
      <c r="Y297" s="64">
        <v>0</v>
      </c>
      <c r="AA297" s="73"/>
      <c r="AC297" s="64">
        <v>0</v>
      </c>
      <c r="AD297" s="64">
        <v>0</v>
      </c>
      <c r="AE297" s="64">
        <v>0</v>
      </c>
      <c r="AF297" s="64">
        <v>0</v>
      </c>
      <c r="AG297" s="64">
        <v>0</v>
      </c>
      <c r="AH297" s="64">
        <v>0</v>
      </c>
      <c r="AI297" s="64">
        <v>0</v>
      </c>
      <c r="AJ297" s="64">
        <v>1</v>
      </c>
      <c r="AK297" s="64">
        <v>0</v>
      </c>
      <c r="AL297" s="64">
        <v>0</v>
      </c>
      <c r="AM297" s="64">
        <v>0</v>
      </c>
      <c r="AN297" s="64">
        <v>0</v>
      </c>
      <c r="AO297" s="147">
        <v>0</v>
      </c>
      <c r="AP297" s="73"/>
      <c r="AR297" s="64">
        <v>0</v>
      </c>
      <c r="AS297" s="64">
        <v>0</v>
      </c>
      <c r="AT297" s="64">
        <v>0</v>
      </c>
      <c r="AU297" s="64">
        <v>0</v>
      </c>
      <c r="AV297" s="64">
        <v>1</v>
      </c>
      <c r="AW297" s="64">
        <v>0</v>
      </c>
      <c r="AX297" s="64">
        <v>0</v>
      </c>
    </row>
    <row r="298" spans="1:50" outlineLevel="1">
      <c r="D298" s="241" t="s">
        <v>445</v>
      </c>
      <c r="E298" s="241"/>
      <c r="F298" s="241"/>
      <c r="G298" s="241"/>
      <c r="I298" s="64">
        <v>0.03</v>
      </c>
      <c r="J298" s="64">
        <v>0.56999999999999995</v>
      </c>
      <c r="K298" s="65">
        <f t="shared" si="8"/>
        <v>0.4</v>
      </c>
      <c r="L298" s="73"/>
      <c r="N298" s="64">
        <v>0</v>
      </c>
      <c r="O298" s="64">
        <v>0</v>
      </c>
      <c r="P298" s="64">
        <v>0</v>
      </c>
      <c r="Q298" s="64">
        <v>0</v>
      </c>
      <c r="R298" s="64">
        <v>0</v>
      </c>
      <c r="S298" s="64">
        <v>0</v>
      </c>
      <c r="T298" s="64">
        <v>1</v>
      </c>
      <c r="U298" s="64">
        <v>0</v>
      </c>
      <c r="V298" s="64">
        <v>0</v>
      </c>
      <c r="W298" s="64">
        <v>0</v>
      </c>
      <c r="X298" s="64">
        <v>0</v>
      </c>
      <c r="Y298" s="64">
        <v>0</v>
      </c>
      <c r="AA298" s="73"/>
      <c r="AC298" s="64">
        <v>0</v>
      </c>
      <c r="AD298" s="64">
        <v>0</v>
      </c>
      <c r="AE298" s="64">
        <v>0</v>
      </c>
      <c r="AF298" s="64">
        <v>0</v>
      </c>
      <c r="AG298" s="64">
        <v>0</v>
      </c>
      <c r="AH298" s="64">
        <v>0</v>
      </c>
      <c r="AI298" s="64">
        <v>0</v>
      </c>
      <c r="AJ298" s="64">
        <v>1</v>
      </c>
      <c r="AK298" s="64">
        <v>0</v>
      </c>
      <c r="AL298" s="64">
        <v>0</v>
      </c>
      <c r="AM298" s="64">
        <v>0</v>
      </c>
      <c r="AN298" s="64">
        <v>0</v>
      </c>
      <c r="AO298" s="64">
        <v>0</v>
      </c>
      <c r="AP298" s="73"/>
      <c r="AR298" s="64">
        <v>0</v>
      </c>
      <c r="AS298" s="64">
        <v>0</v>
      </c>
      <c r="AT298" s="64">
        <v>0</v>
      </c>
      <c r="AU298" s="64">
        <v>0</v>
      </c>
      <c r="AV298" s="64">
        <v>1</v>
      </c>
      <c r="AW298" s="64">
        <v>0</v>
      </c>
      <c r="AX298" s="64">
        <v>0</v>
      </c>
    </row>
    <row r="299" spans="1:50" outlineLevel="1">
      <c r="D299" s="241" t="s">
        <v>446</v>
      </c>
      <c r="E299" s="241"/>
      <c r="F299" s="241"/>
      <c r="G299" s="241"/>
      <c r="I299" s="64">
        <v>0.03</v>
      </c>
      <c r="J299" s="64">
        <v>0.56999999999999995</v>
      </c>
      <c r="K299" s="65">
        <f t="shared" si="8"/>
        <v>0.4</v>
      </c>
      <c r="L299" s="73"/>
      <c r="N299" s="64">
        <v>0</v>
      </c>
      <c r="O299" s="64">
        <v>0</v>
      </c>
      <c r="P299" s="64">
        <v>0</v>
      </c>
      <c r="Q299" s="64">
        <v>0</v>
      </c>
      <c r="R299" s="64">
        <v>0</v>
      </c>
      <c r="S299" s="64">
        <v>0</v>
      </c>
      <c r="T299" s="64">
        <v>1</v>
      </c>
      <c r="U299" s="64">
        <v>0</v>
      </c>
      <c r="V299" s="64">
        <v>0</v>
      </c>
      <c r="W299" s="64">
        <v>0</v>
      </c>
      <c r="X299" s="64">
        <v>0</v>
      </c>
      <c r="Y299" s="64">
        <v>0</v>
      </c>
      <c r="AA299" s="73"/>
      <c r="AC299" s="64">
        <v>0</v>
      </c>
      <c r="AD299" s="64">
        <v>0</v>
      </c>
      <c r="AE299" s="64">
        <v>0</v>
      </c>
      <c r="AF299" s="64">
        <v>0</v>
      </c>
      <c r="AG299" s="64">
        <v>0</v>
      </c>
      <c r="AH299" s="64">
        <v>0</v>
      </c>
      <c r="AI299" s="64">
        <v>0</v>
      </c>
      <c r="AJ299" s="64">
        <v>1</v>
      </c>
      <c r="AK299" s="64">
        <v>0</v>
      </c>
      <c r="AL299" s="64">
        <v>0</v>
      </c>
      <c r="AM299" s="64">
        <v>0</v>
      </c>
      <c r="AN299" s="64">
        <v>0</v>
      </c>
      <c r="AO299" s="64">
        <v>0</v>
      </c>
      <c r="AP299" s="73"/>
      <c r="AR299" s="64">
        <v>0</v>
      </c>
      <c r="AS299" s="64">
        <v>0</v>
      </c>
      <c r="AT299" s="64">
        <v>0</v>
      </c>
      <c r="AU299" s="64">
        <v>0</v>
      </c>
      <c r="AV299" s="64">
        <v>1</v>
      </c>
      <c r="AW299" s="64">
        <v>0</v>
      </c>
      <c r="AX299" s="64">
        <v>0</v>
      </c>
    </row>
    <row r="300" spans="1:50" outlineLevel="1">
      <c r="D300" s="241" t="s">
        <v>447</v>
      </c>
      <c r="E300" s="241"/>
      <c r="F300" s="241"/>
      <c r="G300" s="241"/>
      <c r="I300" s="64">
        <v>0.03</v>
      </c>
      <c r="J300" s="64">
        <v>0.56999999999999995</v>
      </c>
      <c r="K300" s="65">
        <f t="shared" si="8"/>
        <v>0.4</v>
      </c>
      <c r="L300" s="73"/>
      <c r="N300" s="64">
        <v>0</v>
      </c>
      <c r="O300" s="64">
        <v>0</v>
      </c>
      <c r="P300" s="64">
        <v>0</v>
      </c>
      <c r="Q300" s="64">
        <v>0</v>
      </c>
      <c r="R300" s="64">
        <v>0</v>
      </c>
      <c r="S300" s="64">
        <v>0</v>
      </c>
      <c r="T300" s="64">
        <v>1</v>
      </c>
      <c r="U300" s="64">
        <v>0</v>
      </c>
      <c r="V300" s="64">
        <v>0</v>
      </c>
      <c r="W300" s="64">
        <v>0</v>
      </c>
      <c r="X300" s="64">
        <v>0</v>
      </c>
      <c r="Y300" s="64">
        <v>0</v>
      </c>
      <c r="AA300" s="73"/>
      <c r="AC300" s="64">
        <v>0</v>
      </c>
      <c r="AD300" s="64">
        <v>0</v>
      </c>
      <c r="AE300" s="64">
        <v>0</v>
      </c>
      <c r="AF300" s="64">
        <v>0</v>
      </c>
      <c r="AG300" s="64">
        <v>0</v>
      </c>
      <c r="AH300" s="64">
        <v>0</v>
      </c>
      <c r="AI300" s="64">
        <v>0</v>
      </c>
      <c r="AJ300" s="64">
        <v>1</v>
      </c>
      <c r="AK300" s="64">
        <v>0</v>
      </c>
      <c r="AL300" s="64">
        <v>0</v>
      </c>
      <c r="AM300" s="64">
        <v>0</v>
      </c>
      <c r="AN300" s="64">
        <v>0</v>
      </c>
      <c r="AO300" s="64">
        <v>0</v>
      </c>
      <c r="AP300" s="73"/>
      <c r="AR300" s="64">
        <v>0</v>
      </c>
      <c r="AS300" s="64">
        <v>0</v>
      </c>
      <c r="AT300" s="64">
        <v>0</v>
      </c>
      <c r="AU300" s="64">
        <v>0</v>
      </c>
      <c r="AV300" s="64">
        <v>1</v>
      </c>
      <c r="AW300" s="64">
        <v>0</v>
      </c>
      <c r="AX300" s="64">
        <v>0</v>
      </c>
    </row>
    <row r="301" spans="1:50" outlineLevel="1">
      <c r="D301" s="241" t="s">
        <v>448</v>
      </c>
      <c r="E301" s="241"/>
      <c r="F301" s="241"/>
      <c r="G301" s="241"/>
      <c r="I301" s="64">
        <v>0.03</v>
      </c>
      <c r="J301" s="64">
        <v>0.56999999999999995</v>
      </c>
      <c r="K301" s="65">
        <f t="shared" si="8"/>
        <v>0.4</v>
      </c>
      <c r="L301" s="73"/>
      <c r="N301" s="64">
        <v>0</v>
      </c>
      <c r="O301" s="64">
        <v>0</v>
      </c>
      <c r="P301" s="64">
        <v>0</v>
      </c>
      <c r="Q301" s="64">
        <v>0</v>
      </c>
      <c r="R301" s="64">
        <v>0</v>
      </c>
      <c r="S301" s="64">
        <v>0</v>
      </c>
      <c r="T301" s="64">
        <v>1</v>
      </c>
      <c r="U301" s="64">
        <v>0</v>
      </c>
      <c r="V301" s="64">
        <v>0</v>
      </c>
      <c r="W301" s="64">
        <v>0</v>
      </c>
      <c r="X301" s="64">
        <v>0</v>
      </c>
      <c r="Y301" s="64">
        <v>0</v>
      </c>
      <c r="AA301" s="73"/>
      <c r="AC301" s="64">
        <v>0</v>
      </c>
      <c r="AD301" s="64">
        <v>0</v>
      </c>
      <c r="AE301" s="64">
        <v>0</v>
      </c>
      <c r="AF301" s="64">
        <v>0</v>
      </c>
      <c r="AG301" s="64">
        <v>0</v>
      </c>
      <c r="AH301" s="64">
        <v>0</v>
      </c>
      <c r="AI301" s="64">
        <v>0</v>
      </c>
      <c r="AJ301" s="64">
        <v>1</v>
      </c>
      <c r="AK301" s="64">
        <v>0</v>
      </c>
      <c r="AL301" s="64">
        <v>0</v>
      </c>
      <c r="AM301" s="64">
        <v>0</v>
      </c>
      <c r="AN301" s="64">
        <v>0</v>
      </c>
      <c r="AO301" s="64">
        <v>0</v>
      </c>
      <c r="AP301" s="73"/>
      <c r="AR301" s="64">
        <v>0</v>
      </c>
      <c r="AS301" s="64">
        <v>0</v>
      </c>
      <c r="AT301" s="64">
        <v>0</v>
      </c>
      <c r="AU301" s="64">
        <v>0</v>
      </c>
      <c r="AV301" s="64">
        <v>1</v>
      </c>
      <c r="AW301" s="64">
        <v>0</v>
      </c>
      <c r="AX301" s="64">
        <v>0</v>
      </c>
    </row>
    <row r="302" spans="1:50" outlineLevel="1">
      <c r="D302" s="241" t="s">
        <v>449</v>
      </c>
      <c r="E302" s="241"/>
      <c r="F302" s="241"/>
      <c r="G302" s="241"/>
      <c r="I302" s="64">
        <v>0.03</v>
      </c>
      <c r="J302" s="64">
        <v>0.56999999999999995</v>
      </c>
      <c r="K302" s="65">
        <f t="shared" si="8"/>
        <v>0.4</v>
      </c>
      <c r="L302" s="73"/>
      <c r="N302" s="64">
        <v>0</v>
      </c>
      <c r="O302" s="64">
        <v>0</v>
      </c>
      <c r="P302" s="64">
        <v>0</v>
      </c>
      <c r="Q302" s="64">
        <v>0</v>
      </c>
      <c r="R302" s="64">
        <v>0</v>
      </c>
      <c r="S302" s="64">
        <v>0</v>
      </c>
      <c r="T302" s="64">
        <v>1</v>
      </c>
      <c r="U302" s="64">
        <v>0</v>
      </c>
      <c r="V302" s="64">
        <v>0</v>
      </c>
      <c r="W302" s="64">
        <v>0</v>
      </c>
      <c r="X302" s="64">
        <v>0</v>
      </c>
      <c r="Y302" s="64">
        <v>0</v>
      </c>
      <c r="AA302" s="73"/>
      <c r="AC302" s="64">
        <v>0</v>
      </c>
      <c r="AD302" s="64">
        <v>0</v>
      </c>
      <c r="AE302" s="64">
        <v>0</v>
      </c>
      <c r="AF302" s="64">
        <v>0</v>
      </c>
      <c r="AG302" s="64">
        <v>0</v>
      </c>
      <c r="AH302" s="64">
        <v>0</v>
      </c>
      <c r="AI302" s="64">
        <v>0</v>
      </c>
      <c r="AJ302" s="64">
        <v>1</v>
      </c>
      <c r="AK302" s="64">
        <v>0</v>
      </c>
      <c r="AL302" s="64">
        <v>0</v>
      </c>
      <c r="AM302" s="64">
        <v>0</v>
      </c>
      <c r="AN302" s="64">
        <v>0</v>
      </c>
      <c r="AO302" s="64">
        <v>0</v>
      </c>
      <c r="AP302" s="73"/>
      <c r="AR302" s="64">
        <v>0</v>
      </c>
      <c r="AS302" s="64">
        <v>0</v>
      </c>
      <c r="AT302" s="64">
        <v>0</v>
      </c>
      <c r="AU302" s="64">
        <v>0</v>
      </c>
      <c r="AV302" s="64">
        <v>1</v>
      </c>
      <c r="AW302" s="64">
        <v>0</v>
      </c>
      <c r="AX302" s="64">
        <v>0</v>
      </c>
    </row>
    <row r="303" spans="1:50" outlineLevel="1">
      <c r="D303" s="241" t="s">
        <v>450</v>
      </c>
      <c r="E303" s="241"/>
      <c r="F303" s="241"/>
      <c r="G303" s="241"/>
      <c r="I303" s="64">
        <v>0.03</v>
      </c>
      <c r="J303" s="64">
        <v>0.56999999999999995</v>
      </c>
      <c r="K303" s="65">
        <f t="shared" si="8"/>
        <v>0.4</v>
      </c>
      <c r="L303" s="73"/>
      <c r="N303" s="64">
        <v>0</v>
      </c>
      <c r="O303" s="64">
        <v>0</v>
      </c>
      <c r="P303" s="64">
        <v>0</v>
      </c>
      <c r="Q303" s="64">
        <v>0</v>
      </c>
      <c r="R303" s="64">
        <v>0</v>
      </c>
      <c r="S303" s="64">
        <v>0</v>
      </c>
      <c r="T303" s="64">
        <v>1</v>
      </c>
      <c r="U303" s="64">
        <v>0</v>
      </c>
      <c r="V303" s="64">
        <v>0</v>
      </c>
      <c r="W303" s="64">
        <v>0</v>
      </c>
      <c r="X303" s="64">
        <v>0</v>
      </c>
      <c r="Y303" s="64">
        <v>0</v>
      </c>
      <c r="AA303" s="73"/>
      <c r="AC303" s="64">
        <v>0</v>
      </c>
      <c r="AD303" s="64">
        <v>0</v>
      </c>
      <c r="AE303" s="64">
        <v>0</v>
      </c>
      <c r="AF303" s="64">
        <v>0</v>
      </c>
      <c r="AG303" s="64">
        <v>0</v>
      </c>
      <c r="AH303" s="64">
        <v>0</v>
      </c>
      <c r="AI303" s="64">
        <v>0</v>
      </c>
      <c r="AJ303" s="64">
        <v>1</v>
      </c>
      <c r="AK303" s="64">
        <v>0</v>
      </c>
      <c r="AL303" s="64">
        <v>0</v>
      </c>
      <c r="AM303" s="64">
        <v>0</v>
      </c>
      <c r="AN303" s="64">
        <v>0</v>
      </c>
      <c r="AO303" s="64">
        <v>0</v>
      </c>
      <c r="AP303" s="73"/>
      <c r="AR303" s="64">
        <v>0</v>
      </c>
      <c r="AS303" s="64">
        <v>0</v>
      </c>
      <c r="AT303" s="64">
        <v>0</v>
      </c>
      <c r="AU303" s="64">
        <v>0</v>
      </c>
      <c r="AV303" s="64">
        <v>1</v>
      </c>
      <c r="AW303" s="64">
        <v>0</v>
      </c>
      <c r="AX303" s="64">
        <v>0</v>
      </c>
    </row>
    <row r="304" spans="1:50" outlineLevel="1">
      <c r="D304" s="241" t="s">
        <v>451</v>
      </c>
      <c r="E304" s="241"/>
      <c r="F304" s="241"/>
      <c r="G304" s="241"/>
      <c r="I304" s="64">
        <v>0.03</v>
      </c>
      <c r="J304" s="64">
        <v>0.56999999999999995</v>
      </c>
      <c r="K304" s="65">
        <f t="shared" si="8"/>
        <v>0.4</v>
      </c>
      <c r="L304" s="73"/>
      <c r="N304" s="64">
        <v>0</v>
      </c>
      <c r="O304" s="64">
        <v>0</v>
      </c>
      <c r="P304" s="64">
        <v>0</v>
      </c>
      <c r="Q304" s="64">
        <v>0</v>
      </c>
      <c r="R304" s="64">
        <v>0</v>
      </c>
      <c r="S304" s="64">
        <v>0</v>
      </c>
      <c r="T304" s="64">
        <v>1</v>
      </c>
      <c r="U304" s="64">
        <v>0</v>
      </c>
      <c r="V304" s="64">
        <v>0</v>
      </c>
      <c r="W304" s="64">
        <v>0</v>
      </c>
      <c r="X304" s="64">
        <v>0</v>
      </c>
      <c r="Y304" s="64">
        <v>0</v>
      </c>
      <c r="AA304" s="73"/>
      <c r="AC304" s="64">
        <v>0</v>
      </c>
      <c r="AD304" s="64">
        <v>0</v>
      </c>
      <c r="AE304" s="64">
        <v>0</v>
      </c>
      <c r="AF304" s="64">
        <v>0</v>
      </c>
      <c r="AG304" s="64">
        <v>0</v>
      </c>
      <c r="AH304" s="64">
        <v>0</v>
      </c>
      <c r="AI304" s="64">
        <v>0</v>
      </c>
      <c r="AJ304" s="64">
        <v>1</v>
      </c>
      <c r="AK304" s="64">
        <v>0</v>
      </c>
      <c r="AL304" s="64">
        <v>0</v>
      </c>
      <c r="AM304" s="64">
        <v>0</v>
      </c>
      <c r="AN304" s="64">
        <v>0</v>
      </c>
      <c r="AO304" s="64">
        <v>0</v>
      </c>
      <c r="AP304" s="73"/>
      <c r="AR304" s="64">
        <v>0</v>
      </c>
      <c r="AS304" s="64">
        <v>0</v>
      </c>
      <c r="AT304" s="64">
        <v>0</v>
      </c>
      <c r="AU304" s="64">
        <v>0</v>
      </c>
      <c r="AV304" s="64">
        <v>1</v>
      </c>
      <c r="AW304" s="64">
        <v>0</v>
      </c>
      <c r="AX304" s="64">
        <v>0</v>
      </c>
    </row>
    <row r="305" spans="1:50" outlineLevel="1">
      <c r="D305" s="241" t="s">
        <v>333</v>
      </c>
      <c r="E305" s="241"/>
      <c r="F305" s="241"/>
      <c r="G305" s="241"/>
      <c r="I305" s="64">
        <v>0.03</v>
      </c>
      <c r="J305" s="64">
        <v>0.56999999999999995</v>
      </c>
      <c r="K305" s="65">
        <f t="shared" si="8"/>
        <v>0.4</v>
      </c>
      <c r="L305" s="73"/>
      <c r="N305" s="64">
        <v>0</v>
      </c>
      <c r="O305" s="64">
        <v>0</v>
      </c>
      <c r="P305" s="64">
        <v>0</v>
      </c>
      <c r="Q305" s="64">
        <v>0</v>
      </c>
      <c r="R305" s="64">
        <v>0</v>
      </c>
      <c r="S305" s="64">
        <v>0</v>
      </c>
      <c r="T305" s="64">
        <v>1</v>
      </c>
      <c r="U305" s="64">
        <v>0</v>
      </c>
      <c r="V305" s="64">
        <v>0</v>
      </c>
      <c r="W305" s="64">
        <v>0</v>
      </c>
      <c r="X305" s="64">
        <v>0</v>
      </c>
      <c r="Y305" s="64">
        <v>0</v>
      </c>
      <c r="AA305" s="73"/>
      <c r="AC305" s="64">
        <v>0</v>
      </c>
      <c r="AD305" s="64">
        <v>0</v>
      </c>
      <c r="AE305" s="64">
        <v>0</v>
      </c>
      <c r="AF305" s="64">
        <v>0</v>
      </c>
      <c r="AG305" s="64">
        <v>0</v>
      </c>
      <c r="AH305" s="64">
        <v>0</v>
      </c>
      <c r="AI305" s="64">
        <v>0</v>
      </c>
      <c r="AJ305" s="64">
        <v>1</v>
      </c>
      <c r="AK305" s="64">
        <v>0</v>
      </c>
      <c r="AL305" s="64">
        <v>0</v>
      </c>
      <c r="AM305" s="64">
        <v>0</v>
      </c>
      <c r="AN305" s="64">
        <v>0</v>
      </c>
      <c r="AO305" s="147">
        <v>0</v>
      </c>
      <c r="AP305" s="73"/>
      <c r="AR305" s="64">
        <v>0</v>
      </c>
      <c r="AS305" s="64">
        <v>0</v>
      </c>
      <c r="AT305" s="64">
        <v>0</v>
      </c>
      <c r="AU305" s="64">
        <v>0</v>
      </c>
      <c r="AV305" s="64">
        <v>1</v>
      </c>
      <c r="AW305" s="64">
        <v>0</v>
      </c>
      <c r="AX305" s="64">
        <v>0</v>
      </c>
    </row>
    <row r="306" spans="1:50" outlineLevel="1">
      <c r="L306" s="73"/>
      <c r="AA306" s="73"/>
      <c r="AC306" s="105" t="s">
        <v>458</v>
      </c>
      <c r="AP306" s="73"/>
    </row>
    <row r="307" spans="1:50" outlineLevel="1">
      <c r="C307" s="37" t="s">
        <v>367</v>
      </c>
      <c r="L307" s="73"/>
      <c r="AA307" s="73"/>
      <c r="AP307" s="73"/>
    </row>
    <row r="308" spans="1:50" ht="5.9" customHeight="1" outlineLevel="1">
      <c r="L308" s="73"/>
      <c r="AA308" s="73"/>
      <c r="AP308" s="73"/>
    </row>
    <row r="309" spans="1:50" outlineLevel="1">
      <c r="D309" s="241" t="s">
        <v>368</v>
      </c>
      <c r="E309" s="241"/>
      <c r="F309" s="241"/>
      <c r="G309" s="241"/>
      <c r="L309" s="73"/>
      <c r="N309" s="64">
        <v>0</v>
      </c>
      <c r="O309" s="64">
        <v>0</v>
      </c>
      <c r="P309" s="64">
        <v>0</v>
      </c>
      <c r="Q309" s="64">
        <v>0</v>
      </c>
      <c r="R309" s="64">
        <v>0</v>
      </c>
      <c r="S309" s="64">
        <v>0</v>
      </c>
      <c r="T309" s="64">
        <v>0</v>
      </c>
      <c r="U309" s="64">
        <v>0</v>
      </c>
      <c r="V309" s="64">
        <v>0</v>
      </c>
      <c r="W309" s="64">
        <v>0</v>
      </c>
      <c r="X309" s="64">
        <v>0</v>
      </c>
      <c r="Y309" s="64">
        <v>0</v>
      </c>
      <c r="AA309" s="73"/>
      <c r="AC309" s="64">
        <v>0</v>
      </c>
      <c r="AD309" s="64">
        <v>0</v>
      </c>
      <c r="AE309" s="64">
        <v>0</v>
      </c>
      <c r="AF309" s="64">
        <v>0</v>
      </c>
      <c r="AG309" s="64">
        <v>0</v>
      </c>
      <c r="AH309" s="64">
        <v>0</v>
      </c>
      <c r="AI309" s="64">
        <v>0</v>
      </c>
      <c r="AJ309" s="64">
        <v>0</v>
      </c>
      <c r="AK309" s="64">
        <v>0</v>
      </c>
      <c r="AL309" s="64">
        <v>0</v>
      </c>
      <c r="AM309" s="64">
        <v>0</v>
      </c>
      <c r="AN309" s="64">
        <v>0</v>
      </c>
      <c r="AO309" s="147">
        <v>0</v>
      </c>
      <c r="AP309" s="73"/>
      <c r="AR309" s="64">
        <v>0</v>
      </c>
      <c r="AS309" s="64">
        <v>0</v>
      </c>
      <c r="AT309" s="64">
        <v>0</v>
      </c>
      <c r="AU309" s="64">
        <v>0</v>
      </c>
      <c r="AV309" s="64">
        <v>0</v>
      </c>
      <c r="AW309" s="64">
        <v>0</v>
      </c>
      <c r="AX309" s="64">
        <v>0</v>
      </c>
    </row>
    <row r="311" spans="1:50" s="2" customFormat="1">
      <c r="A311"/>
      <c r="B311" s="2" t="s">
        <v>257</v>
      </c>
    </row>
    <row r="312" spans="1:50" ht="5.9" customHeight="1"/>
    <row r="313" spans="1:50" ht="14">
      <c r="C313" s="77" t="str">
        <f>Aug!B25</f>
        <v>Augmentation</v>
      </c>
      <c r="I313" s="37" t="str">
        <f>GC!H24</f>
        <v>Network</v>
      </c>
    </row>
    <row r="314" spans="1:50" ht="5.9" customHeight="1" outlineLevel="1"/>
    <row r="315" spans="1:50" outlineLevel="1">
      <c r="I315" s="242" t="s">
        <v>194</v>
      </c>
      <c r="J315" s="242"/>
      <c r="K315" s="242"/>
      <c r="L315" s="73"/>
      <c r="N315" s="242" t="s">
        <v>195</v>
      </c>
      <c r="O315" s="242"/>
      <c r="P315" s="242"/>
      <c r="Q315" s="242"/>
      <c r="R315" s="242"/>
      <c r="S315" s="242"/>
      <c r="T315" s="242"/>
      <c r="U315" s="242"/>
      <c r="V315" s="242"/>
      <c r="W315" s="242"/>
      <c r="X315" s="242"/>
      <c r="Y315" s="242"/>
      <c r="Z315" s="242"/>
      <c r="AA315" s="73"/>
      <c r="AC315" s="245" t="s">
        <v>196</v>
      </c>
      <c r="AD315" s="245"/>
      <c r="AE315" s="245"/>
      <c r="AF315" s="245"/>
      <c r="AG315" s="245"/>
      <c r="AH315" s="245"/>
      <c r="AI315" s="245"/>
      <c r="AJ315" s="245"/>
      <c r="AK315" s="245"/>
      <c r="AL315" s="245"/>
      <c r="AM315" s="245"/>
      <c r="AN315" s="245"/>
      <c r="AO315" s="245"/>
      <c r="AP315" s="73"/>
      <c r="AR315" s="242" t="s">
        <v>311</v>
      </c>
      <c r="AS315" s="242"/>
      <c r="AT315" s="242"/>
      <c r="AU315" s="242"/>
      <c r="AV315" s="242"/>
      <c r="AW315" s="242"/>
      <c r="AX315" s="242"/>
    </row>
    <row r="316" spans="1:50" ht="46" outlineLevel="1">
      <c r="D316" s="37" t="s">
        <v>160</v>
      </c>
      <c r="I316" s="57" t="s">
        <v>128</v>
      </c>
      <c r="J316" s="57" t="s">
        <v>129</v>
      </c>
      <c r="K316" s="57" t="s">
        <v>130</v>
      </c>
      <c r="L316" s="73"/>
      <c r="N316" s="57" t="str">
        <f ca="1">OFFSET(Aug!$E139,N317,,,)</f>
        <v>Transmission pipelines - post 1998</v>
      </c>
      <c r="O316" s="57" t="str">
        <f ca="1">OFFSET(Aug!$E139,O317,,,)</f>
        <v>Distribution pipelines - post 1998</v>
      </c>
      <c r="P316" s="57" t="str">
        <f ca="1">OFFSET(Aug!$E139,P317,,,)</f>
        <v>Service pipes - post 1998</v>
      </c>
      <c r="Q316" s="57" t="str">
        <f ca="1">OFFSET(Aug!$E139,Q317,,,)</f>
        <v>Cathodic protection - post 1998</v>
      </c>
      <c r="R316" s="57" t="str">
        <f ca="1">OFFSET(Aug!$E139,R317,,,)</f>
        <v>Supply Regulators / Valve Stations</v>
      </c>
      <c r="S316" s="57" t="str">
        <f ca="1">OFFSET(Aug!$E139,S317,,,)</f>
        <v>Meters</v>
      </c>
      <c r="T316" s="57" t="str">
        <f ca="1">OFFSET(Aug!$E139,T317,,,)</f>
        <v>SCADA and remote control</v>
      </c>
      <c r="U316" s="57" t="str">
        <f ca="1">OFFSET(Aug!$E139,U317,,,)</f>
        <v>Buildings</v>
      </c>
      <c r="V316" s="57" t="str">
        <f ca="1">OFFSET(Aug!$E139,V317,,,)</f>
        <v>Other - IT</v>
      </c>
      <c r="W316" s="57" t="str">
        <f ca="1">OFFSET(Aug!$E139,W317,,,)</f>
        <v>Other - non IT</v>
      </c>
      <c r="X316" s="57" t="str">
        <f ca="1">OFFSET(Aug!$E139,X317,,,)</f>
        <v>Land</v>
      </c>
      <c r="Y316" s="57" t="str">
        <f ca="1">OFFSET(Aug!$E139,Y317,,,)</f>
        <v>Capitalised Leases</v>
      </c>
      <c r="AA316" s="139"/>
      <c r="AC316" s="57" t="str">
        <f ca="1">OFFSET(Aug!$E222,AC317,,,)</f>
        <v>Mains replacement</v>
      </c>
      <c r="AD316" s="57" t="str">
        <f ca="1">OFFSET(Aug!$E222,AD317,,,)</f>
        <v>Residential new customer connections</v>
      </c>
      <c r="AE316" s="57" t="str">
        <f ca="1">OFFSET(Aug!$E222,AE317,,,)</f>
        <v>Commercial and industrial new customer connections</v>
      </c>
      <c r="AF316" s="57" t="str">
        <f ca="1">OFFSET(Aug!$E222,AF317,,,)</f>
        <v>Residential meter replacement</v>
      </c>
      <c r="AG316" s="57" t="str">
        <f ca="1">OFFSET(Aug!$E222,AG317,,,)</f>
        <v>Commercial and industrial meter replacement</v>
      </c>
      <c r="AH316" s="57" t="str">
        <f ca="1">OFFSET(Aug!$E222,AH317,,,)</f>
        <v>Augmentation</v>
      </c>
      <c r="AI316" s="57" t="str">
        <f ca="1">OFFSET(Aug!$E222,AI317,,,)</f>
        <v>IT capex</v>
      </c>
      <c r="AJ316" s="57" t="str">
        <f ca="1">OFFSET(Aug!$E222,AJ317,,,)</f>
        <v>SCADA</v>
      </c>
      <c r="AK316" s="57" t="str">
        <f ca="1">OFFSET(Aug!$E222,AK317,,,)</f>
        <v>Other</v>
      </c>
      <c r="AL316" s="57" t="str">
        <f ca="1">OFFSET(Aug!$E222,AL317,,,)</f>
        <v>Capitalised Leases</v>
      </c>
      <c r="AM316" s="57" t="str">
        <f ca="1">OFFSET(Aug!$E222,AM317,,,)</f>
        <v>Gas Extensions - Energy for the Regions</v>
      </c>
      <c r="AN316" s="57" t="str">
        <f ca="1">OFFSET(Aug!$E222,AN317,,,)</f>
        <v>Gas Extensions - Other</v>
      </c>
      <c r="AO316" s="57" t="str">
        <f ca="1">OFFSET(Aug!$E222,AO317,,,)</f>
        <v>Customer contributions</v>
      </c>
      <c r="AP316" s="73"/>
      <c r="AR316" s="57" t="str">
        <f ca="1">OFFSET(Aug!$E279,AR317,,,)</f>
        <v>Mains &amp; Services</v>
      </c>
      <c r="AS316" s="57" t="str">
        <f ca="1">OFFSET(Aug!$E279,AS317,,,)</f>
        <v>Meters Domestic</v>
      </c>
      <c r="AT316" s="57" t="str">
        <f ca="1">OFFSET(Aug!$E279,AT317,,,)</f>
        <v>Meters Industrial &amp; Commercial</v>
      </c>
      <c r="AU316" s="57" t="str">
        <f ca="1">OFFSET(Aug!$E279,AU317,,,)</f>
        <v>Buildings</v>
      </c>
      <c r="AV316" s="57" t="str">
        <f ca="1">OFFSET(Aug!$E279,AV317,,,)</f>
        <v>Other Assets</v>
      </c>
      <c r="AW316" s="57" t="str">
        <f ca="1">OFFSET(Aug!$E279,AW317,,,)</f>
        <v>Repairs</v>
      </c>
      <c r="AX316" s="57" t="str">
        <f ca="1">OFFSET(Aug!$E279,AX317,,,)</f>
        <v>Land</v>
      </c>
    </row>
    <row r="317" spans="1:50" hidden="1" outlineLevel="2">
      <c r="L317" s="73"/>
      <c r="N317" s="68">
        <v>13</v>
      </c>
      <c r="O317" s="68">
        <v>14</v>
      </c>
      <c r="P317" s="68">
        <v>15</v>
      </c>
      <c r="Q317" s="68">
        <v>16</v>
      </c>
      <c r="R317" s="68">
        <v>5</v>
      </c>
      <c r="S317" s="68">
        <v>6</v>
      </c>
      <c r="T317" s="68">
        <v>7</v>
      </c>
      <c r="U317" s="68">
        <v>8</v>
      </c>
      <c r="V317" s="68">
        <v>9</v>
      </c>
      <c r="W317" s="68">
        <v>10</v>
      </c>
      <c r="X317" s="68">
        <v>11</v>
      </c>
      <c r="Y317" s="142">
        <v>12</v>
      </c>
      <c r="AA317" s="73"/>
      <c r="AC317" s="68">
        <v>1</v>
      </c>
      <c r="AD317" s="68">
        <v>2</v>
      </c>
      <c r="AE317" s="68">
        <v>3</v>
      </c>
      <c r="AF317" s="68">
        <v>4</v>
      </c>
      <c r="AG317" s="68">
        <v>5</v>
      </c>
      <c r="AH317" s="68">
        <v>6</v>
      </c>
      <c r="AI317" s="68">
        <v>7</v>
      </c>
      <c r="AJ317" s="68">
        <v>8</v>
      </c>
      <c r="AK317" s="68">
        <v>9</v>
      </c>
      <c r="AL317" s="67">
        <v>10</v>
      </c>
      <c r="AM317" s="67">
        <v>11</v>
      </c>
      <c r="AN317" s="136">
        <v>12</v>
      </c>
      <c r="AO317" s="67">
        <v>13</v>
      </c>
      <c r="AP317" s="73"/>
      <c r="AR317" s="68">
        <v>1</v>
      </c>
      <c r="AS317" s="68">
        <v>2</v>
      </c>
      <c r="AT317" s="68">
        <v>3</v>
      </c>
      <c r="AU317" s="68">
        <v>4</v>
      </c>
      <c r="AV317" s="68">
        <v>5</v>
      </c>
      <c r="AW317" s="68">
        <v>6</v>
      </c>
      <c r="AX317" s="138">
        <v>7</v>
      </c>
    </row>
    <row r="318" spans="1:50" ht="5.9" customHeight="1" outlineLevel="1" collapsed="1">
      <c r="L318" s="73"/>
      <c r="Y318" s="145"/>
      <c r="AA318" s="73"/>
      <c r="AP318" s="73"/>
    </row>
    <row r="319" spans="1:50" outlineLevel="1">
      <c r="D319" s="241" t="s">
        <v>305</v>
      </c>
      <c r="E319" s="241"/>
      <c r="F319" s="241"/>
      <c r="G319" s="241"/>
      <c r="I319" s="64">
        <v>0.03</v>
      </c>
      <c r="J319" s="64">
        <v>0.56999999999999995</v>
      </c>
      <c r="K319" s="65">
        <f t="shared" ref="K319:K325" si="9">1-SUM(I319:J319)</f>
        <v>0.4</v>
      </c>
      <c r="L319" s="73"/>
      <c r="N319" s="64">
        <v>0</v>
      </c>
      <c r="O319" s="64">
        <v>0</v>
      </c>
      <c r="P319" s="64">
        <v>0</v>
      </c>
      <c r="Q319" s="64">
        <v>0</v>
      </c>
      <c r="R319" s="64">
        <v>1</v>
      </c>
      <c r="S319" s="64">
        <v>0</v>
      </c>
      <c r="T319" s="64">
        <v>0</v>
      </c>
      <c r="U319" s="64">
        <v>0</v>
      </c>
      <c r="V319" s="64">
        <v>0</v>
      </c>
      <c r="W319" s="64">
        <v>0</v>
      </c>
      <c r="X319" s="64">
        <v>0</v>
      </c>
      <c r="Y319" s="64">
        <v>0</v>
      </c>
      <c r="AA319" s="73"/>
      <c r="AC319" s="64">
        <v>0</v>
      </c>
      <c r="AD319" s="64">
        <v>0</v>
      </c>
      <c r="AE319" s="64">
        <v>0</v>
      </c>
      <c r="AF319" s="64">
        <v>0</v>
      </c>
      <c r="AG319" s="64">
        <v>0</v>
      </c>
      <c r="AH319" s="64">
        <v>1</v>
      </c>
      <c r="AI319" s="64">
        <v>0</v>
      </c>
      <c r="AJ319" s="64">
        <v>0</v>
      </c>
      <c r="AK319" s="64">
        <v>0</v>
      </c>
      <c r="AL319" s="64">
        <v>0</v>
      </c>
      <c r="AM319" s="64">
        <v>0</v>
      </c>
      <c r="AN319" s="64">
        <v>0</v>
      </c>
      <c r="AO319" s="147">
        <v>0</v>
      </c>
      <c r="AP319" s="73"/>
      <c r="AR319" s="64">
        <v>0</v>
      </c>
      <c r="AS319" s="64">
        <v>0</v>
      </c>
      <c r="AT319" s="64">
        <v>0</v>
      </c>
      <c r="AU319" s="64">
        <v>0</v>
      </c>
      <c r="AV319" s="64">
        <v>1</v>
      </c>
      <c r="AW319" s="64">
        <v>0</v>
      </c>
      <c r="AX319" s="64">
        <v>0</v>
      </c>
    </row>
    <row r="320" spans="1:50" outlineLevel="1">
      <c r="D320" s="241" t="s">
        <v>306</v>
      </c>
      <c r="E320" s="241"/>
      <c r="F320" s="241"/>
      <c r="G320" s="241"/>
      <c r="I320" s="64">
        <v>0.03</v>
      </c>
      <c r="J320" s="64">
        <v>0.56999999999999995</v>
      </c>
      <c r="K320" s="65">
        <f t="shared" si="9"/>
        <v>0.4</v>
      </c>
      <c r="L320" s="73"/>
      <c r="N320" s="64">
        <v>0</v>
      </c>
      <c r="O320" s="64">
        <v>0</v>
      </c>
      <c r="P320" s="64">
        <v>0</v>
      </c>
      <c r="Q320" s="64">
        <v>0</v>
      </c>
      <c r="R320" s="64">
        <v>1</v>
      </c>
      <c r="S320" s="64">
        <v>0</v>
      </c>
      <c r="T320" s="64">
        <v>0</v>
      </c>
      <c r="U320" s="64">
        <v>0</v>
      </c>
      <c r="V320" s="64">
        <v>0</v>
      </c>
      <c r="W320" s="64">
        <v>0</v>
      </c>
      <c r="X320" s="64">
        <v>0</v>
      </c>
      <c r="Y320" s="64">
        <v>0</v>
      </c>
      <c r="AA320" s="73"/>
      <c r="AC320" s="64">
        <v>0</v>
      </c>
      <c r="AD320" s="64">
        <v>0</v>
      </c>
      <c r="AE320" s="64">
        <v>0</v>
      </c>
      <c r="AF320" s="64">
        <v>0</v>
      </c>
      <c r="AG320" s="64">
        <v>0</v>
      </c>
      <c r="AH320" s="64">
        <v>1</v>
      </c>
      <c r="AI320" s="64">
        <v>0</v>
      </c>
      <c r="AJ320" s="64">
        <v>0</v>
      </c>
      <c r="AK320" s="64">
        <v>0</v>
      </c>
      <c r="AL320" s="64">
        <v>0</v>
      </c>
      <c r="AM320" s="64">
        <v>0</v>
      </c>
      <c r="AN320" s="64">
        <v>0</v>
      </c>
      <c r="AO320" s="147">
        <v>0</v>
      </c>
      <c r="AP320" s="73"/>
      <c r="AR320" s="64">
        <v>0</v>
      </c>
      <c r="AS320" s="64">
        <v>0</v>
      </c>
      <c r="AT320" s="64">
        <v>0</v>
      </c>
      <c r="AU320" s="64">
        <v>0</v>
      </c>
      <c r="AV320" s="64">
        <v>1</v>
      </c>
      <c r="AW320" s="64">
        <v>0</v>
      </c>
      <c r="AX320" s="64">
        <v>0</v>
      </c>
    </row>
    <row r="321" spans="1:50" outlineLevel="1">
      <c r="D321" s="241" t="s">
        <v>307</v>
      </c>
      <c r="E321" s="241"/>
      <c r="F321" s="241"/>
      <c r="G321" s="241"/>
      <c r="I321" s="64">
        <v>0.03</v>
      </c>
      <c r="J321" s="64">
        <v>0.56999999999999995</v>
      </c>
      <c r="K321" s="65">
        <f t="shared" si="9"/>
        <v>0.4</v>
      </c>
      <c r="L321" s="73"/>
      <c r="N321" s="64">
        <v>0</v>
      </c>
      <c r="O321" s="64">
        <v>0</v>
      </c>
      <c r="P321" s="64">
        <v>0</v>
      </c>
      <c r="Q321" s="64">
        <v>0</v>
      </c>
      <c r="R321" s="64">
        <v>1</v>
      </c>
      <c r="S321" s="64">
        <v>0</v>
      </c>
      <c r="T321" s="64">
        <v>0</v>
      </c>
      <c r="U321" s="64">
        <v>0</v>
      </c>
      <c r="V321" s="64">
        <v>0</v>
      </c>
      <c r="W321" s="64">
        <v>0</v>
      </c>
      <c r="X321" s="64">
        <v>0</v>
      </c>
      <c r="Y321" s="64">
        <v>0</v>
      </c>
      <c r="AA321" s="73"/>
      <c r="AC321" s="64">
        <v>0</v>
      </c>
      <c r="AD321" s="64">
        <v>0</v>
      </c>
      <c r="AE321" s="64">
        <v>0</v>
      </c>
      <c r="AF321" s="64">
        <v>0</v>
      </c>
      <c r="AG321" s="64">
        <v>0</v>
      </c>
      <c r="AH321" s="64">
        <v>1</v>
      </c>
      <c r="AI321" s="64">
        <v>0</v>
      </c>
      <c r="AJ321" s="64">
        <v>0</v>
      </c>
      <c r="AK321" s="64">
        <v>0</v>
      </c>
      <c r="AL321" s="64">
        <v>0</v>
      </c>
      <c r="AM321" s="64">
        <v>0</v>
      </c>
      <c r="AN321" s="64">
        <v>0</v>
      </c>
      <c r="AO321" s="147">
        <v>0</v>
      </c>
      <c r="AP321" s="73"/>
      <c r="AR321" s="64">
        <v>0</v>
      </c>
      <c r="AS321" s="64">
        <v>0</v>
      </c>
      <c r="AT321" s="64">
        <v>0</v>
      </c>
      <c r="AU321" s="64">
        <v>0</v>
      </c>
      <c r="AV321" s="64">
        <v>1</v>
      </c>
      <c r="AW321" s="64">
        <v>0</v>
      </c>
      <c r="AX321" s="64">
        <v>0</v>
      </c>
    </row>
    <row r="322" spans="1:50" outlineLevel="1">
      <c r="D322" s="241" t="s">
        <v>308</v>
      </c>
      <c r="E322" s="241"/>
      <c r="F322" s="241"/>
      <c r="G322" s="241"/>
      <c r="I322" s="64">
        <v>0.03</v>
      </c>
      <c r="J322" s="64">
        <v>0.56999999999999995</v>
      </c>
      <c r="K322" s="65">
        <f t="shared" si="9"/>
        <v>0.4</v>
      </c>
      <c r="L322" s="73"/>
      <c r="N322" s="64">
        <v>0</v>
      </c>
      <c r="O322" s="64">
        <v>0</v>
      </c>
      <c r="P322" s="64">
        <v>0</v>
      </c>
      <c r="Q322" s="64">
        <v>0</v>
      </c>
      <c r="R322" s="64">
        <v>1</v>
      </c>
      <c r="S322" s="64">
        <v>0</v>
      </c>
      <c r="T322" s="64">
        <v>0</v>
      </c>
      <c r="U322" s="64">
        <v>0</v>
      </c>
      <c r="V322" s="64">
        <v>0</v>
      </c>
      <c r="W322" s="64">
        <v>0</v>
      </c>
      <c r="X322" s="64">
        <v>0</v>
      </c>
      <c r="Y322" s="64">
        <v>0</v>
      </c>
      <c r="AA322" s="73"/>
      <c r="AC322" s="64">
        <v>0</v>
      </c>
      <c r="AD322" s="64">
        <v>0</v>
      </c>
      <c r="AE322" s="64">
        <v>0</v>
      </c>
      <c r="AF322" s="64">
        <v>0</v>
      </c>
      <c r="AG322" s="64">
        <v>0</v>
      </c>
      <c r="AH322" s="64">
        <v>1</v>
      </c>
      <c r="AI322" s="64">
        <v>0</v>
      </c>
      <c r="AJ322" s="64">
        <v>0</v>
      </c>
      <c r="AK322" s="64">
        <v>0</v>
      </c>
      <c r="AL322" s="64">
        <v>0</v>
      </c>
      <c r="AM322" s="64">
        <v>0</v>
      </c>
      <c r="AN322" s="64">
        <v>0</v>
      </c>
      <c r="AO322" s="147">
        <v>0</v>
      </c>
      <c r="AP322" s="73"/>
      <c r="AR322" s="64">
        <v>0</v>
      </c>
      <c r="AS322" s="64">
        <v>0</v>
      </c>
      <c r="AT322" s="64">
        <v>0</v>
      </c>
      <c r="AU322" s="64">
        <v>0</v>
      </c>
      <c r="AV322" s="64">
        <v>1</v>
      </c>
      <c r="AW322" s="64">
        <v>0</v>
      </c>
      <c r="AX322" s="64">
        <v>0</v>
      </c>
    </row>
    <row r="323" spans="1:50" outlineLevel="1">
      <c r="D323" s="241" t="s">
        <v>309</v>
      </c>
      <c r="E323" s="241"/>
      <c r="F323" s="241"/>
      <c r="G323" s="241"/>
      <c r="I323" s="64">
        <v>0.04</v>
      </c>
      <c r="J323" s="64">
        <v>0.76</v>
      </c>
      <c r="K323" s="65">
        <f t="shared" si="9"/>
        <v>0.19999999999999996</v>
      </c>
      <c r="L323" s="73"/>
      <c r="N323" s="64">
        <v>0</v>
      </c>
      <c r="O323" s="64">
        <v>1</v>
      </c>
      <c r="P323" s="64">
        <v>0</v>
      </c>
      <c r="Q323" s="64">
        <v>0</v>
      </c>
      <c r="R323" s="64">
        <v>0</v>
      </c>
      <c r="S323" s="64">
        <v>0</v>
      </c>
      <c r="T323" s="64">
        <v>0</v>
      </c>
      <c r="U323" s="64">
        <v>0</v>
      </c>
      <c r="V323" s="64">
        <v>0</v>
      </c>
      <c r="W323" s="64">
        <v>0</v>
      </c>
      <c r="X323" s="64">
        <v>0</v>
      </c>
      <c r="Y323" s="64">
        <v>0</v>
      </c>
      <c r="AA323" s="73"/>
      <c r="AC323" s="64">
        <v>0</v>
      </c>
      <c r="AD323" s="64">
        <v>0</v>
      </c>
      <c r="AE323" s="64">
        <v>0</v>
      </c>
      <c r="AF323" s="64">
        <v>0</v>
      </c>
      <c r="AG323" s="64">
        <v>0</v>
      </c>
      <c r="AH323" s="64">
        <v>1</v>
      </c>
      <c r="AI323" s="64">
        <v>0</v>
      </c>
      <c r="AJ323" s="64">
        <v>0</v>
      </c>
      <c r="AK323" s="64">
        <v>0</v>
      </c>
      <c r="AL323" s="64">
        <v>0</v>
      </c>
      <c r="AM323" s="64">
        <v>0</v>
      </c>
      <c r="AN323" s="64">
        <v>0</v>
      </c>
      <c r="AO323" s="147">
        <v>0</v>
      </c>
      <c r="AP323" s="73"/>
      <c r="AR323" s="64">
        <v>1</v>
      </c>
      <c r="AS323" s="64">
        <v>0</v>
      </c>
      <c r="AT323" s="64">
        <v>0</v>
      </c>
      <c r="AU323" s="64">
        <v>0</v>
      </c>
      <c r="AV323" s="64">
        <v>0</v>
      </c>
      <c r="AW323" s="64">
        <v>0</v>
      </c>
      <c r="AX323" s="64">
        <v>0</v>
      </c>
    </row>
    <row r="324" spans="1:50" outlineLevel="1">
      <c r="D324" s="241" t="s">
        <v>310</v>
      </c>
      <c r="E324" s="241"/>
      <c r="F324" s="241"/>
      <c r="G324" s="241"/>
      <c r="I324" s="64">
        <v>0.04</v>
      </c>
      <c r="J324" s="64">
        <v>0.76</v>
      </c>
      <c r="K324" s="65">
        <f t="shared" si="9"/>
        <v>0.19999999999999996</v>
      </c>
      <c r="L324" s="73"/>
      <c r="N324" s="64">
        <v>1</v>
      </c>
      <c r="O324" s="64">
        <v>0</v>
      </c>
      <c r="P324" s="64">
        <v>0</v>
      </c>
      <c r="Q324" s="64">
        <v>0</v>
      </c>
      <c r="R324" s="64">
        <v>0</v>
      </c>
      <c r="S324" s="64">
        <v>0</v>
      </c>
      <c r="T324" s="64">
        <v>0</v>
      </c>
      <c r="U324" s="64">
        <v>0</v>
      </c>
      <c r="V324" s="64">
        <v>0</v>
      </c>
      <c r="W324" s="64">
        <v>0</v>
      </c>
      <c r="X324" s="64">
        <v>0</v>
      </c>
      <c r="Y324" s="64">
        <v>0</v>
      </c>
      <c r="AA324" s="73"/>
      <c r="AC324" s="64">
        <v>0</v>
      </c>
      <c r="AD324" s="64">
        <v>0</v>
      </c>
      <c r="AE324" s="64">
        <v>0</v>
      </c>
      <c r="AF324" s="64">
        <v>0</v>
      </c>
      <c r="AG324" s="64">
        <v>0</v>
      </c>
      <c r="AH324" s="64">
        <v>1</v>
      </c>
      <c r="AI324" s="64">
        <v>0</v>
      </c>
      <c r="AJ324" s="64">
        <v>0</v>
      </c>
      <c r="AK324" s="64">
        <v>0</v>
      </c>
      <c r="AL324" s="64">
        <v>0</v>
      </c>
      <c r="AM324" s="64">
        <v>0</v>
      </c>
      <c r="AN324" s="64">
        <v>0</v>
      </c>
      <c r="AO324" s="147">
        <v>0</v>
      </c>
      <c r="AP324" s="73"/>
      <c r="AR324" s="64">
        <v>1</v>
      </c>
      <c r="AS324" s="64">
        <v>0</v>
      </c>
      <c r="AT324" s="64">
        <v>0</v>
      </c>
      <c r="AU324" s="64">
        <v>0</v>
      </c>
      <c r="AV324" s="64">
        <v>0</v>
      </c>
      <c r="AW324" s="64">
        <v>0</v>
      </c>
      <c r="AX324" s="64">
        <v>0</v>
      </c>
    </row>
    <row r="325" spans="1:50" outlineLevel="1">
      <c r="D325" s="241" t="s">
        <v>469</v>
      </c>
      <c r="E325" s="241"/>
      <c r="F325" s="241"/>
      <c r="G325" s="241"/>
      <c r="I325" s="64">
        <v>0.04</v>
      </c>
      <c r="J325" s="64">
        <v>0.76</v>
      </c>
      <c r="K325" s="65">
        <f t="shared" si="9"/>
        <v>0.19999999999999996</v>
      </c>
      <c r="L325" s="73"/>
      <c r="N325" s="181">
        <f>100/4250</f>
        <v>2.3529411764705882E-2</v>
      </c>
      <c r="O325" s="181">
        <f>650/4250</f>
        <v>0.15294117647058825</v>
      </c>
      <c r="P325" s="64">
        <v>0</v>
      </c>
      <c r="Q325" s="64">
        <v>0</v>
      </c>
      <c r="R325" s="181">
        <f>100%-N325-O325</f>
        <v>0.82352941176470584</v>
      </c>
      <c r="S325" s="64">
        <v>0</v>
      </c>
      <c r="T325" s="64">
        <v>0</v>
      </c>
      <c r="U325" s="64">
        <v>0</v>
      </c>
      <c r="V325" s="64">
        <v>0</v>
      </c>
      <c r="W325" s="64">
        <v>0</v>
      </c>
      <c r="X325" s="64">
        <v>0</v>
      </c>
      <c r="Y325" s="64">
        <v>0</v>
      </c>
      <c r="AA325" s="73"/>
      <c r="AC325" s="64">
        <v>0</v>
      </c>
      <c r="AD325" s="64">
        <v>0</v>
      </c>
      <c r="AE325" s="64">
        <v>0</v>
      </c>
      <c r="AF325" s="64">
        <v>0</v>
      </c>
      <c r="AG325" s="64">
        <v>0</v>
      </c>
      <c r="AH325" s="64">
        <v>1</v>
      </c>
      <c r="AI325" s="64">
        <v>0</v>
      </c>
      <c r="AJ325" s="64">
        <v>0</v>
      </c>
      <c r="AK325" s="64">
        <v>0</v>
      </c>
      <c r="AL325" s="64">
        <v>0</v>
      </c>
      <c r="AM325" s="64">
        <v>0</v>
      </c>
      <c r="AN325" s="64">
        <v>0</v>
      </c>
      <c r="AO325" s="147">
        <v>0</v>
      </c>
      <c r="AP325" s="73"/>
      <c r="AR325" s="182">
        <f>N325+O325</f>
        <v>0.17647058823529413</v>
      </c>
      <c r="AS325" s="64">
        <v>0</v>
      </c>
      <c r="AT325" s="64">
        <v>0</v>
      </c>
      <c r="AU325" s="64">
        <v>0</v>
      </c>
      <c r="AV325" s="182">
        <f>R325</f>
        <v>0.82352941176470584</v>
      </c>
      <c r="AW325" s="64">
        <v>0</v>
      </c>
      <c r="AX325" s="64">
        <v>0</v>
      </c>
    </row>
    <row r="326" spans="1:50" outlineLevel="1">
      <c r="L326" s="73"/>
      <c r="AA326" s="73"/>
      <c r="AC326" s="105" t="s">
        <v>458</v>
      </c>
      <c r="AP326" s="73"/>
    </row>
    <row r="327" spans="1:50" outlineLevel="1">
      <c r="C327" s="37" t="s">
        <v>367</v>
      </c>
      <c r="L327" s="73"/>
      <c r="AA327" s="73"/>
      <c r="AP327" s="73"/>
    </row>
    <row r="328" spans="1:50" ht="5.9" customHeight="1" outlineLevel="1">
      <c r="L328" s="73"/>
      <c r="AA328" s="73"/>
      <c r="AP328" s="73"/>
    </row>
    <row r="329" spans="1:50" outlineLevel="1">
      <c r="D329" s="241" t="s">
        <v>368</v>
      </c>
      <c r="E329" s="241"/>
      <c r="F329" s="241"/>
      <c r="G329" s="241"/>
      <c r="L329" s="73"/>
      <c r="N329" s="64">
        <v>0</v>
      </c>
      <c r="O329" s="64">
        <v>0</v>
      </c>
      <c r="P329" s="64">
        <v>0</v>
      </c>
      <c r="Q329" s="64">
        <v>0</v>
      </c>
      <c r="R329" s="64">
        <v>0</v>
      </c>
      <c r="S329" s="64">
        <v>0</v>
      </c>
      <c r="T329" s="64">
        <v>0</v>
      </c>
      <c r="U329" s="64">
        <v>0</v>
      </c>
      <c r="V329" s="64">
        <v>0</v>
      </c>
      <c r="W329" s="64">
        <v>0</v>
      </c>
      <c r="X329" s="64">
        <v>0</v>
      </c>
      <c r="Y329" s="64">
        <v>0</v>
      </c>
      <c r="AA329" s="73"/>
      <c r="AC329" s="64">
        <v>0</v>
      </c>
      <c r="AD329" s="64">
        <v>0</v>
      </c>
      <c r="AE329" s="64">
        <v>0</v>
      </c>
      <c r="AF329" s="64">
        <v>0</v>
      </c>
      <c r="AG329" s="64">
        <v>0</v>
      </c>
      <c r="AH329" s="64">
        <v>0</v>
      </c>
      <c r="AI329" s="64">
        <v>0</v>
      </c>
      <c r="AJ329" s="64">
        <v>0</v>
      </c>
      <c r="AK329" s="64">
        <v>0</v>
      </c>
      <c r="AL329" s="64">
        <v>0</v>
      </c>
      <c r="AM329" s="64">
        <v>0</v>
      </c>
      <c r="AN329" s="64">
        <v>0</v>
      </c>
      <c r="AO329" s="147">
        <v>0</v>
      </c>
      <c r="AP329" s="73"/>
      <c r="AR329" s="64">
        <v>0</v>
      </c>
      <c r="AS329" s="64">
        <v>0</v>
      </c>
      <c r="AT329" s="64">
        <v>0</v>
      </c>
      <c r="AU329" s="64">
        <v>0</v>
      </c>
      <c r="AV329" s="64">
        <v>0</v>
      </c>
      <c r="AW329" s="64">
        <v>0</v>
      </c>
      <c r="AX329" s="64">
        <v>0</v>
      </c>
    </row>
    <row r="331" spans="1:50" s="2" customFormat="1">
      <c r="A331"/>
      <c r="B331" s="2" t="s">
        <v>259</v>
      </c>
    </row>
    <row r="332" spans="1:50" ht="5.9" customHeight="1"/>
    <row r="333" spans="1:50" ht="14">
      <c r="C333" s="77" t="str">
        <f>Aug!B314</f>
        <v>Other Non-Demand</v>
      </c>
      <c r="I333" s="37" t="str">
        <f>GC!H25</f>
        <v>Network</v>
      </c>
    </row>
    <row r="334" spans="1:50" ht="5.9" customHeight="1" outlineLevel="1"/>
    <row r="335" spans="1:50" outlineLevel="1">
      <c r="I335" s="242" t="s">
        <v>194</v>
      </c>
      <c r="J335" s="242"/>
      <c r="K335" s="242"/>
      <c r="L335" s="73"/>
      <c r="N335" s="242" t="s">
        <v>195</v>
      </c>
      <c r="O335" s="242"/>
      <c r="P335" s="242"/>
      <c r="Q335" s="242"/>
      <c r="R335" s="242"/>
      <c r="S335" s="242"/>
      <c r="T335" s="242"/>
      <c r="U335" s="242"/>
      <c r="V335" s="242"/>
      <c r="W335" s="242"/>
      <c r="X335" s="242"/>
      <c r="Y335" s="242"/>
      <c r="Z335" s="242"/>
      <c r="AA335" s="73"/>
      <c r="AC335" s="245" t="s">
        <v>196</v>
      </c>
      <c r="AD335" s="245"/>
      <c r="AE335" s="245"/>
      <c r="AF335" s="245"/>
      <c r="AG335" s="245"/>
      <c r="AH335" s="245"/>
      <c r="AI335" s="245"/>
      <c r="AJ335" s="245"/>
      <c r="AK335" s="245"/>
      <c r="AL335" s="245"/>
      <c r="AM335" s="245"/>
      <c r="AN335" s="245"/>
      <c r="AO335" s="245"/>
      <c r="AP335" s="73"/>
      <c r="AR335" s="242" t="s">
        <v>311</v>
      </c>
      <c r="AS335" s="242"/>
      <c r="AT335" s="242"/>
      <c r="AU335" s="242"/>
      <c r="AV335" s="242"/>
      <c r="AW335" s="242"/>
      <c r="AX335" s="242"/>
    </row>
    <row r="336" spans="1:50" ht="46" outlineLevel="1">
      <c r="D336" s="37" t="s">
        <v>160</v>
      </c>
      <c r="I336" s="57" t="s">
        <v>128</v>
      </c>
      <c r="J336" s="57" t="s">
        <v>129</v>
      </c>
      <c r="K336" s="57" t="s">
        <v>130</v>
      </c>
      <c r="L336" s="73"/>
      <c r="N336" s="57" t="str">
        <f ca="1">OFFSET(Aug!$E421,N337,,,)</f>
        <v>Transmission pipelines - post 1998</v>
      </c>
      <c r="O336" s="57" t="str">
        <f ca="1">OFFSET(Aug!$E421,O337,,,)</f>
        <v>Distribution pipelines - post 1998</v>
      </c>
      <c r="P336" s="57" t="str">
        <f ca="1">OFFSET(Aug!$E421,P337,,,)</f>
        <v>Service pipes - post 1998</v>
      </c>
      <c r="Q336" s="57" t="str">
        <f ca="1">OFFSET(Aug!$E421,Q337,,,)</f>
        <v>Cathodic protection - post 1998</v>
      </c>
      <c r="R336" s="57" t="str">
        <f ca="1">OFFSET(Aug!$E421,R337,,,)</f>
        <v>Supply Regulators / Valve Stations</v>
      </c>
      <c r="S336" s="57" t="str">
        <f ca="1">OFFSET(Aug!$E421,S337,,,)</f>
        <v>Meters</v>
      </c>
      <c r="T336" s="57" t="str">
        <f ca="1">OFFSET(Aug!$E421,T337,,,)</f>
        <v>SCADA and remote control</v>
      </c>
      <c r="U336" s="57" t="str">
        <f ca="1">OFFSET(Aug!$E421,U337,,,)</f>
        <v>Buildings</v>
      </c>
      <c r="V336" s="57" t="str">
        <f ca="1">OFFSET(Aug!$E421,V337,,,)</f>
        <v>Other - IT</v>
      </c>
      <c r="W336" s="57" t="str">
        <f ca="1">OFFSET(Aug!$E421,W337,,,)</f>
        <v>Other - non IT</v>
      </c>
      <c r="X336" s="57" t="str">
        <f ca="1">OFFSET(Aug!$E421,X337,,,)</f>
        <v>Land</v>
      </c>
      <c r="Y336" s="57" t="str">
        <f ca="1">OFFSET(Aug!$E421,Y337,,,)</f>
        <v>Capitalised Leases</v>
      </c>
      <c r="AA336" s="139"/>
      <c r="AC336" s="57" t="str">
        <f ca="1">OFFSET(Aug!$E504,AC337,,,)</f>
        <v>Mains replacement</v>
      </c>
      <c r="AD336" s="57" t="str">
        <f ca="1">OFFSET(Aug!$E504,AD337,,,)</f>
        <v>Residential new customer connections</v>
      </c>
      <c r="AE336" s="57" t="str">
        <f ca="1">OFFSET(Aug!$E504,AE337,,,)</f>
        <v>Commercial and industrial new customer connections</v>
      </c>
      <c r="AF336" s="57" t="str">
        <f ca="1">OFFSET(Aug!$E504,AF337,,,)</f>
        <v>Residential meter replacement</v>
      </c>
      <c r="AG336" s="57" t="str">
        <f ca="1">OFFSET(Aug!$E504,AG337,,,)</f>
        <v>Commercial and industrial meter replacement</v>
      </c>
      <c r="AH336" s="57" t="str">
        <f ca="1">OFFSET(Aug!$E504,AH337,,,)</f>
        <v>Augmentation</v>
      </c>
      <c r="AI336" s="57" t="str">
        <f ca="1">OFFSET(Aug!$E504,AI337,,,)</f>
        <v>IT capex</v>
      </c>
      <c r="AJ336" s="57" t="str">
        <f ca="1">OFFSET(Aug!$E504,AJ337,,,)</f>
        <v>SCADA</v>
      </c>
      <c r="AK336" s="57" t="str">
        <f ca="1">OFFSET(Aug!$E504,AK337,,,)</f>
        <v>Other</v>
      </c>
      <c r="AL336" s="57" t="str">
        <f ca="1">OFFSET(Aug!$E504,AL337,,,)</f>
        <v>Capitalised Leases</v>
      </c>
      <c r="AM336" s="57" t="str">
        <f ca="1">OFFSET(Aug!$E504,AM337,,,)</f>
        <v>Gas Extensions - Energy for the Regions</v>
      </c>
      <c r="AN336" s="57" t="str">
        <f ca="1">OFFSET(Aug!$E504,AN337,,,)</f>
        <v>Gas Extensions - Other</v>
      </c>
      <c r="AO336" s="57" t="str">
        <f ca="1">OFFSET(Aug!$E504,AO337,,,)</f>
        <v>Customer contributions</v>
      </c>
      <c r="AP336" s="73"/>
      <c r="AR336" s="57" t="str">
        <f ca="1">OFFSET(Aug!$E561,AR337,,,)</f>
        <v>Mains &amp; Services</v>
      </c>
      <c r="AS336" s="57" t="str">
        <f ca="1">OFFSET(Aug!$E561,AS337,,,)</f>
        <v>Meters Domestic</v>
      </c>
      <c r="AT336" s="57" t="str">
        <f ca="1">OFFSET(Aug!$E561,AT337,,,)</f>
        <v>Meters Industrial &amp; Commercial</v>
      </c>
      <c r="AU336" s="57" t="str">
        <f ca="1">OFFSET(Aug!$E561,AU337,,,)</f>
        <v>Buildings</v>
      </c>
      <c r="AV336" s="57" t="str">
        <f ca="1">OFFSET(Aug!$E561,AV337,,,)</f>
        <v>Other Assets</v>
      </c>
      <c r="AW336" s="57" t="str">
        <f ca="1">OFFSET(Aug!$E561,AW337,,,)</f>
        <v>Repairs</v>
      </c>
      <c r="AX336" s="57" t="str">
        <f ca="1">OFFSET(Aug!$E561,AX337,,,)</f>
        <v>Land</v>
      </c>
    </row>
    <row r="337" spans="1:50" hidden="1" outlineLevel="2">
      <c r="L337" s="73"/>
      <c r="N337" s="68">
        <v>13</v>
      </c>
      <c r="O337" s="68">
        <v>14</v>
      </c>
      <c r="P337" s="68">
        <v>15</v>
      </c>
      <c r="Q337" s="68">
        <v>16</v>
      </c>
      <c r="R337" s="68">
        <v>5</v>
      </c>
      <c r="S337" s="68">
        <v>6</v>
      </c>
      <c r="T337" s="68">
        <v>7</v>
      </c>
      <c r="U337" s="68">
        <v>8</v>
      </c>
      <c r="V337" s="68">
        <v>9</v>
      </c>
      <c r="W337" s="68">
        <v>10</v>
      </c>
      <c r="X337" s="68">
        <v>11</v>
      </c>
      <c r="Y337" s="142">
        <v>12</v>
      </c>
      <c r="AA337" s="73"/>
      <c r="AC337" s="68">
        <v>1</v>
      </c>
      <c r="AD337" s="68">
        <v>2</v>
      </c>
      <c r="AE337" s="68">
        <v>3</v>
      </c>
      <c r="AF337" s="68">
        <v>4</v>
      </c>
      <c r="AG337" s="68">
        <v>5</v>
      </c>
      <c r="AH337" s="68">
        <v>6</v>
      </c>
      <c r="AI337" s="68">
        <v>7</v>
      </c>
      <c r="AJ337" s="68">
        <v>8</v>
      </c>
      <c r="AK337" s="68">
        <v>9</v>
      </c>
      <c r="AL337" s="67">
        <v>10</v>
      </c>
      <c r="AM337" s="67">
        <v>11</v>
      </c>
      <c r="AN337" s="136">
        <v>12</v>
      </c>
      <c r="AO337" s="67">
        <v>13</v>
      </c>
      <c r="AP337" s="73"/>
      <c r="AR337" s="68">
        <v>1</v>
      </c>
      <c r="AS337" s="68">
        <v>2</v>
      </c>
      <c r="AT337" s="68">
        <v>3</v>
      </c>
      <c r="AU337" s="68">
        <v>4</v>
      </c>
      <c r="AV337" s="68">
        <v>5</v>
      </c>
      <c r="AW337" s="68">
        <v>6</v>
      </c>
      <c r="AX337" s="138">
        <v>7</v>
      </c>
    </row>
    <row r="338" spans="1:50" ht="5.9" customHeight="1" outlineLevel="1" collapsed="1">
      <c r="L338" s="73"/>
      <c r="Y338" s="145"/>
      <c r="AA338" s="73"/>
      <c r="AP338" s="73"/>
    </row>
    <row r="339" spans="1:50" outlineLevel="1">
      <c r="D339" s="241" t="s">
        <v>314</v>
      </c>
      <c r="E339" s="241"/>
      <c r="F339" s="241"/>
      <c r="G339" s="241"/>
      <c r="I339" s="64">
        <v>0.04</v>
      </c>
      <c r="J339" s="64">
        <v>0.66</v>
      </c>
      <c r="K339" s="65">
        <f t="shared" ref="K339:K344" si="10">1-SUM(I339:J339)</f>
        <v>0.29999999999999993</v>
      </c>
      <c r="L339" s="73"/>
      <c r="N339" s="64">
        <v>0</v>
      </c>
      <c r="O339" s="64">
        <v>0</v>
      </c>
      <c r="P339" s="64">
        <v>0</v>
      </c>
      <c r="Q339" s="64">
        <v>0</v>
      </c>
      <c r="R339" s="64">
        <v>1</v>
      </c>
      <c r="S339" s="64">
        <v>0</v>
      </c>
      <c r="T339" s="64">
        <v>0</v>
      </c>
      <c r="U339" s="64">
        <v>0</v>
      </c>
      <c r="V339" s="64">
        <v>0</v>
      </c>
      <c r="W339" s="64">
        <v>0</v>
      </c>
      <c r="X339" s="64">
        <v>0</v>
      </c>
      <c r="Y339" s="64">
        <v>0</v>
      </c>
      <c r="AA339" s="73"/>
      <c r="AC339" s="64">
        <v>0</v>
      </c>
      <c r="AD339" s="64">
        <v>0</v>
      </c>
      <c r="AE339" s="64">
        <v>0</v>
      </c>
      <c r="AF339" s="64">
        <v>0</v>
      </c>
      <c r="AG339" s="64">
        <v>0</v>
      </c>
      <c r="AH339" s="64">
        <v>0</v>
      </c>
      <c r="AI339" s="64">
        <v>0</v>
      </c>
      <c r="AJ339" s="64">
        <v>0</v>
      </c>
      <c r="AK339" s="64">
        <v>1</v>
      </c>
      <c r="AL339" s="64">
        <v>0</v>
      </c>
      <c r="AM339" s="64">
        <v>0</v>
      </c>
      <c r="AN339" s="64">
        <v>0</v>
      </c>
      <c r="AO339" s="147">
        <v>0</v>
      </c>
      <c r="AP339" s="73"/>
      <c r="AR339" s="64">
        <v>0</v>
      </c>
      <c r="AS339" s="64">
        <v>0</v>
      </c>
      <c r="AT339" s="64">
        <v>0</v>
      </c>
      <c r="AU339" s="64">
        <v>0</v>
      </c>
      <c r="AV339" s="64">
        <v>1</v>
      </c>
      <c r="AW339" s="64">
        <v>0</v>
      </c>
      <c r="AX339" s="64">
        <v>0</v>
      </c>
    </row>
    <row r="340" spans="1:50" outlineLevel="1">
      <c r="D340" s="241" t="s">
        <v>315</v>
      </c>
      <c r="E340" s="241"/>
      <c r="F340" s="241"/>
      <c r="G340" s="241"/>
      <c r="I340" s="64">
        <v>0.04</v>
      </c>
      <c r="J340" s="64">
        <v>0.76</v>
      </c>
      <c r="K340" s="65">
        <f t="shared" si="10"/>
        <v>0.19999999999999996</v>
      </c>
      <c r="L340" s="73"/>
      <c r="N340" s="64">
        <v>1</v>
      </c>
      <c r="O340" s="64">
        <v>0</v>
      </c>
      <c r="P340" s="64">
        <v>0</v>
      </c>
      <c r="Q340" s="64">
        <v>0</v>
      </c>
      <c r="R340" s="64">
        <v>0</v>
      </c>
      <c r="S340" s="64">
        <v>0</v>
      </c>
      <c r="T340" s="64">
        <v>0</v>
      </c>
      <c r="U340" s="64">
        <v>0</v>
      </c>
      <c r="V340" s="64">
        <v>0</v>
      </c>
      <c r="W340" s="64">
        <v>0</v>
      </c>
      <c r="X340" s="64">
        <v>0</v>
      </c>
      <c r="Y340" s="64">
        <v>0</v>
      </c>
      <c r="AA340" s="73"/>
      <c r="AC340" s="64">
        <v>0</v>
      </c>
      <c r="AD340" s="64">
        <v>0</v>
      </c>
      <c r="AE340" s="64">
        <v>0</v>
      </c>
      <c r="AF340" s="64">
        <v>0</v>
      </c>
      <c r="AG340" s="64">
        <v>0</v>
      </c>
      <c r="AH340" s="64">
        <v>0</v>
      </c>
      <c r="AI340" s="64">
        <v>0</v>
      </c>
      <c r="AJ340" s="64">
        <v>0</v>
      </c>
      <c r="AK340" s="64">
        <v>1</v>
      </c>
      <c r="AL340" s="64">
        <v>0</v>
      </c>
      <c r="AM340" s="64">
        <v>0</v>
      </c>
      <c r="AN340" s="64">
        <v>0</v>
      </c>
      <c r="AO340" s="147">
        <v>0</v>
      </c>
      <c r="AP340" s="73"/>
      <c r="AR340" s="64">
        <v>1</v>
      </c>
      <c r="AS340" s="64">
        <v>0</v>
      </c>
      <c r="AT340" s="64">
        <v>0</v>
      </c>
      <c r="AU340" s="64">
        <v>0</v>
      </c>
      <c r="AV340" s="64">
        <v>0</v>
      </c>
      <c r="AW340" s="64">
        <v>0</v>
      </c>
      <c r="AX340" s="64">
        <v>0</v>
      </c>
    </row>
    <row r="341" spans="1:50" outlineLevel="1">
      <c r="D341" s="241" t="s">
        <v>316</v>
      </c>
      <c r="E341" s="241"/>
      <c r="F341" s="241"/>
      <c r="G341" s="241"/>
      <c r="I341" s="64">
        <v>0.03</v>
      </c>
      <c r="J341" s="64">
        <v>0.56999999999999995</v>
      </c>
      <c r="K341" s="65">
        <f t="shared" si="10"/>
        <v>0.4</v>
      </c>
      <c r="L341" s="73"/>
      <c r="N341" s="64">
        <v>0</v>
      </c>
      <c r="O341" s="64">
        <v>0</v>
      </c>
      <c r="P341" s="64">
        <v>0</v>
      </c>
      <c r="Q341" s="64">
        <v>0</v>
      </c>
      <c r="R341" s="64">
        <v>1</v>
      </c>
      <c r="S341" s="64">
        <v>0</v>
      </c>
      <c r="T341" s="64">
        <v>0</v>
      </c>
      <c r="U341" s="64">
        <v>0</v>
      </c>
      <c r="V341" s="64">
        <v>0</v>
      </c>
      <c r="W341" s="64">
        <v>0</v>
      </c>
      <c r="X341" s="64">
        <v>0</v>
      </c>
      <c r="Y341" s="64">
        <v>0</v>
      </c>
      <c r="AA341" s="73"/>
      <c r="AC341" s="64">
        <v>0</v>
      </c>
      <c r="AD341" s="64">
        <v>0</v>
      </c>
      <c r="AE341" s="64">
        <v>0</v>
      </c>
      <c r="AF341" s="64">
        <v>0</v>
      </c>
      <c r="AG341" s="64">
        <v>0</v>
      </c>
      <c r="AH341" s="64">
        <v>0</v>
      </c>
      <c r="AI341" s="64">
        <v>0</v>
      </c>
      <c r="AJ341" s="64">
        <v>0</v>
      </c>
      <c r="AK341" s="64">
        <v>1</v>
      </c>
      <c r="AL341" s="64">
        <v>0</v>
      </c>
      <c r="AM341" s="64">
        <v>0</v>
      </c>
      <c r="AN341" s="64">
        <v>0</v>
      </c>
      <c r="AO341" s="147">
        <v>0</v>
      </c>
      <c r="AP341" s="73"/>
      <c r="AR341" s="64">
        <v>0</v>
      </c>
      <c r="AS341" s="64">
        <v>0</v>
      </c>
      <c r="AT341" s="64">
        <v>0</v>
      </c>
      <c r="AU341" s="64">
        <v>0</v>
      </c>
      <c r="AV341" s="64">
        <v>1</v>
      </c>
      <c r="AW341" s="64">
        <v>0</v>
      </c>
      <c r="AX341" s="64">
        <v>0</v>
      </c>
    </row>
    <row r="342" spans="1:50" outlineLevel="1">
      <c r="D342" s="241" t="s">
        <v>317</v>
      </c>
      <c r="E342" s="241"/>
      <c r="F342" s="241"/>
      <c r="G342" s="241"/>
      <c r="I342" s="64">
        <v>0.12</v>
      </c>
      <c r="J342" s="64">
        <v>0.48</v>
      </c>
      <c r="K342" s="65">
        <f t="shared" si="10"/>
        <v>0.4</v>
      </c>
      <c r="L342" s="73"/>
      <c r="N342" s="64">
        <v>0</v>
      </c>
      <c r="O342" s="64">
        <v>0</v>
      </c>
      <c r="P342" s="64">
        <v>0</v>
      </c>
      <c r="Q342" s="64">
        <v>0</v>
      </c>
      <c r="R342" s="64">
        <v>1</v>
      </c>
      <c r="S342" s="64">
        <v>0</v>
      </c>
      <c r="T342" s="64">
        <v>0</v>
      </c>
      <c r="U342" s="64">
        <v>0</v>
      </c>
      <c r="V342" s="64">
        <v>0</v>
      </c>
      <c r="W342" s="64">
        <v>0</v>
      </c>
      <c r="X342" s="64">
        <v>0</v>
      </c>
      <c r="Y342" s="64">
        <v>0</v>
      </c>
      <c r="AA342" s="73"/>
      <c r="AC342" s="64">
        <v>0</v>
      </c>
      <c r="AD342" s="64">
        <v>0</v>
      </c>
      <c r="AE342" s="64">
        <v>0</v>
      </c>
      <c r="AF342" s="64">
        <v>0</v>
      </c>
      <c r="AG342" s="64">
        <v>0</v>
      </c>
      <c r="AH342" s="64">
        <v>0</v>
      </c>
      <c r="AI342" s="64">
        <v>0</v>
      </c>
      <c r="AJ342" s="64">
        <v>0</v>
      </c>
      <c r="AK342" s="64">
        <v>1</v>
      </c>
      <c r="AL342" s="64">
        <v>0</v>
      </c>
      <c r="AM342" s="64">
        <v>0</v>
      </c>
      <c r="AN342" s="64">
        <v>0</v>
      </c>
      <c r="AO342" s="147">
        <v>0</v>
      </c>
      <c r="AP342" s="73"/>
      <c r="AR342" s="64">
        <v>0</v>
      </c>
      <c r="AS342" s="64">
        <v>0</v>
      </c>
      <c r="AT342" s="64">
        <v>0</v>
      </c>
      <c r="AU342" s="64">
        <v>0</v>
      </c>
      <c r="AV342" s="64">
        <v>1</v>
      </c>
      <c r="AW342" s="64">
        <v>0</v>
      </c>
      <c r="AX342" s="64">
        <v>0</v>
      </c>
    </row>
    <row r="343" spans="1:50" outlineLevel="1">
      <c r="D343" s="241" t="s">
        <v>318</v>
      </c>
      <c r="E343" s="241"/>
      <c r="F343" s="241"/>
      <c r="G343" s="241"/>
      <c r="I343" s="64">
        <v>0.04</v>
      </c>
      <c r="J343" s="64">
        <v>0.66</v>
      </c>
      <c r="K343" s="65">
        <f t="shared" si="10"/>
        <v>0.29999999999999993</v>
      </c>
      <c r="L343" s="73"/>
      <c r="N343" s="64">
        <v>0</v>
      </c>
      <c r="O343" s="64">
        <v>0</v>
      </c>
      <c r="P343" s="64">
        <v>0</v>
      </c>
      <c r="Q343" s="64">
        <v>0</v>
      </c>
      <c r="R343" s="64">
        <v>1</v>
      </c>
      <c r="S343" s="64">
        <v>0</v>
      </c>
      <c r="T343" s="64">
        <v>0</v>
      </c>
      <c r="U343" s="64">
        <v>0</v>
      </c>
      <c r="V343" s="64">
        <v>0</v>
      </c>
      <c r="W343" s="64">
        <v>0</v>
      </c>
      <c r="X343" s="64">
        <v>0</v>
      </c>
      <c r="Y343" s="64">
        <v>0</v>
      </c>
      <c r="AA343" s="73"/>
      <c r="AC343" s="64">
        <v>0</v>
      </c>
      <c r="AD343" s="64">
        <v>0</v>
      </c>
      <c r="AE343" s="64">
        <v>0</v>
      </c>
      <c r="AF343" s="64">
        <v>0</v>
      </c>
      <c r="AG343" s="64">
        <v>0</v>
      </c>
      <c r="AH343" s="64">
        <v>0</v>
      </c>
      <c r="AI343" s="64">
        <v>0</v>
      </c>
      <c r="AJ343" s="64">
        <v>0</v>
      </c>
      <c r="AK343" s="64">
        <v>1</v>
      </c>
      <c r="AL343" s="64">
        <v>0</v>
      </c>
      <c r="AM343" s="64">
        <v>0</v>
      </c>
      <c r="AN343" s="64">
        <v>0</v>
      </c>
      <c r="AO343" s="147">
        <v>0</v>
      </c>
      <c r="AP343" s="73"/>
      <c r="AR343" s="64">
        <v>0</v>
      </c>
      <c r="AS343" s="64">
        <v>0</v>
      </c>
      <c r="AT343" s="64">
        <v>0</v>
      </c>
      <c r="AU343" s="64">
        <v>0</v>
      </c>
      <c r="AV343" s="64">
        <v>1</v>
      </c>
      <c r="AW343" s="64">
        <v>0</v>
      </c>
      <c r="AX343" s="64">
        <v>0</v>
      </c>
    </row>
    <row r="344" spans="1:50" outlineLevel="1">
      <c r="D344" s="241" t="s">
        <v>125</v>
      </c>
      <c r="E344" s="241"/>
      <c r="F344" s="241"/>
      <c r="G344" s="241"/>
      <c r="I344" s="64">
        <v>0</v>
      </c>
      <c r="J344" s="64">
        <v>0</v>
      </c>
      <c r="K344" s="65">
        <f t="shared" si="10"/>
        <v>1</v>
      </c>
      <c r="L344" s="73"/>
      <c r="N344" s="64">
        <v>0</v>
      </c>
      <c r="O344" s="64">
        <v>0</v>
      </c>
      <c r="P344" s="64">
        <v>0</v>
      </c>
      <c r="Q344" s="64">
        <v>0</v>
      </c>
      <c r="R344" s="64">
        <v>0</v>
      </c>
      <c r="S344" s="64">
        <v>0</v>
      </c>
      <c r="T344" s="64">
        <v>0</v>
      </c>
      <c r="U344" s="64">
        <v>0</v>
      </c>
      <c r="V344" s="64">
        <v>0</v>
      </c>
      <c r="W344" s="64">
        <v>0</v>
      </c>
      <c r="X344" s="64">
        <v>0</v>
      </c>
      <c r="Y344" s="64">
        <v>0</v>
      </c>
      <c r="AA344" s="73"/>
      <c r="AC344" s="64">
        <v>0</v>
      </c>
      <c r="AD344" s="64">
        <v>0</v>
      </c>
      <c r="AE344" s="64">
        <v>0</v>
      </c>
      <c r="AF344" s="64">
        <v>0</v>
      </c>
      <c r="AG344" s="64">
        <v>0</v>
      </c>
      <c r="AH344" s="64">
        <v>0</v>
      </c>
      <c r="AI344" s="64">
        <v>0</v>
      </c>
      <c r="AJ344" s="64">
        <v>0</v>
      </c>
      <c r="AK344" s="64">
        <v>1</v>
      </c>
      <c r="AL344" s="64">
        <v>0</v>
      </c>
      <c r="AM344" s="64">
        <v>0</v>
      </c>
      <c r="AN344" s="64">
        <v>0</v>
      </c>
      <c r="AO344" s="147">
        <v>0</v>
      </c>
      <c r="AP344" s="73"/>
      <c r="AR344" s="64">
        <v>0</v>
      </c>
      <c r="AS344" s="64">
        <v>0</v>
      </c>
      <c r="AT344" s="64">
        <v>0</v>
      </c>
      <c r="AU344" s="64">
        <v>0</v>
      </c>
      <c r="AV344" s="64">
        <v>0</v>
      </c>
      <c r="AW344" s="64">
        <v>0</v>
      </c>
      <c r="AX344" s="64">
        <v>0</v>
      </c>
    </row>
    <row r="345" spans="1:50" outlineLevel="1">
      <c r="L345" s="73"/>
      <c r="AA345" s="73"/>
      <c r="AC345" s="105" t="s">
        <v>458</v>
      </c>
      <c r="AP345" s="73"/>
    </row>
    <row r="346" spans="1:50" outlineLevel="1">
      <c r="C346" s="37" t="s">
        <v>367</v>
      </c>
      <c r="L346" s="73"/>
      <c r="AA346" s="73"/>
      <c r="AP346" s="73"/>
    </row>
    <row r="347" spans="1:50" ht="5.9" customHeight="1" outlineLevel="1">
      <c r="L347" s="73"/>
      <c r="AA347" s="73"/>
      <c r="AP347" s="73"/>
    </row>
    <row r="348" spans="1:50" outlineLevel="1">
      <c r="D348" s="241" t="s">
        <v>368</v>
      </c>
      <c r="E348" s="241"/>
      <c r="F348" s="241"/>
      <c r="G348" s="241"/>
      <c r="L348" s="73"/>
      <c r="N348" s="64">
        <v>0</v>
      </c>
      <c r="O348" s="64">
        <v>0</v>
      </c>
      <c r="P348" s="64">
        <v>0</v>
      </c>
      <c r="Q348" s="64">
        <v>0</v>
      </c>
      <c r="R348" s="64">
        <v>0</v>
      </c>
      <c r="S348" s="64">
        <v>0</v>
      </c>
      <c r="T348" s="64">
        <v>0</v>
      </c>
      <c r="U348" s="64">
        <v>0</v>
      </c>
      <c r="V348" s="64">
        <v>0</v>
      </c>
      <c r="W348" s="64">
        <v>0</v>
      </c>
      <c r="X348" s="64">
        <v>0</v>
      </c>
      <c r="Y348" s="64">
        <v>0</v>
      </c>
      <c r="AA348" s="73"/>
      <c r="AC348" s="64">
        <v>0</v>
      </c>
      <c r="AD348" s="64">
        <v>0</v>
      </c>
      <c r="AE348" s="64">
        <v>0</v>
      </c>
      <c r="AF348" s="64">
        <v>0</v>
      </c>
      <c r="AG348" s="64">
        <v>0</v>
      </c>
      <c r="AH348" s="64">
        <v>0</v>
      </c>
      <c r="AI348" s="64">
        <v>0</v>
      </c>
      <c r="AJ348" s="64">
        <v>0</v>
      </c>
      <c r="AK348" s="64">
        <v>0</v>
      </c>
      <c r="AL348" s="64">
        <v>0</v>
      </c>
      <c r="AM348" s="64">
        <v>0</v>
      </c>
      <c r="AN348" s="64">
        <v>0</v>
      </c>
      <c r="AO348" s="147">
        <v>0</v>
      </c>
      <c r="AP348" s="73"/>
      <c r="AR348" s="64">
        <v>0</v>
      </c>
      <c r="AS348" s="64">
        <v>0</v>
      </c>
      <c r="AT348" s="64">
        <v>0</v>
      </c>
      <c r="AU348" s="64">
        <v>0</v>
      </c>
      <c r="AV348" s="64">
        <v>0</v>
      </c>
      <c r="AW348" s="64">
        <v>0</v>
      </c>
      <c r="AX348" s="64">
        <v>0</v>
      </c>
    </row>
    <row r="350" spans="1:50" s="2" customFormat="1">
      <c r="A350"/>
      <c r="B350" s="2" t="s">
        <v>261</v>
      </c>
    </row>
    <row r="351" spans="1:50" ht="5.9" customHeight="1"/>
    <row r="352" spans="1:50" ht="14">
      <c r="C352" s="77" t="str">
        <f>Cust_Conn!B25</f>
        <v>Residential Connections</v>
      </c>
      <c r="I352" s="37" t="str">
        <f>GC!H26</f>
        <v>Network</v>
      </c>
    </row>
    <row r="353" spans="3:50" ht="5.9" customHeight="1" outlineLevel="1"/>
    <row r="354" spans="3:50" outlineLevel="1">
      <c r="I354" s="242" t="s">
        <v>194</v>
      </c>
      <c r="J354" s="242"/>
      <c r="K354" s="242"/>
      <c r="L354" s="73"/>
      <c r="N354" s="242" t="s">
        <v>195</v>
      </c>
      <c r="O354" s="242"/>
      <c r="P354" s="242"/>
      <c r="Q354" s="242"/>
      <c r="R354" s="242"/>
      <c r="S354" s="242"/>
      <c r="T354" s="242"/>
      <c r="U354" s="242"/>
      <c r="V354" s="242"/>
      <c r="W354" s="242"/>
      <c r="X354" s="242"/>
      <c r="Y354" s="242"/>
      <c r="Z354" s="242"/>
      <c r="AA354" s="73"/>
      <c r="AC354" s="245" t="s">
        <v>196</v>
      </c>
      <c r="AD354" s="245"/>
      <c r="AE354" s="245"/>
      <c r="AF354" s="245"/>
      <c r="AG354" s="245"/>
      <c r="AH354" s="245"/>
      <c r="AI354" s="245"/>
      <c r="AJ354" s="245"/>
      <c r="AK354" s="245"/>
      <c r="AL354" s="245"/>
      <c r="AM354" s="245"/>
      <c r="AN354" s="245"/>
      <c r="AO354" s="245"/>
      <c r="AP354" s="73"/>
      <c r="AR354" s="242" t="s">
        <v>311</v>
      </c>
      <c r="AS354" s="242"/>
      <c r="AT354" s="242"/>
      <c r="AU354" s="242"/>
      <c r="AV354" s="242"/>
      <c r="AW354" s="242"/>
      <c r="AX354" s="242"/>
    </row>
    <row r="355" spans="3:50" ht="46" outlineLevel="1">
      <c r="D355" s="37" t="s">
        <v>160</v>
      </c>
      <c r="I355" s="57" t="s">
        <v>128</v>
      </c>
      <c r="J355" s="57" t="s">
        <v>129</v>
      </c>
      <c r="K355" s="57" t="s">
        <v>130</v>
      </c>
      <c r="L355" s="73"/>
      <c r="N355" s="57" t="str">
        <f ca="1">OFFSET(Cust_Conn!$E109,N356,,,)</f>
        <v>Transmission pipelines - post 1998</v>
      </c>
      <c r="O355" s="57" t="str">
        <f ca="1">OFFSET(Cust_Conn!$E109,O356,,,)</f>
        <v>Distribution pipelines - post 1998</v>
      </c>
      <c r="P355" s="57" t="str">
        <f ca="1">OFFSET(Cust_Conn!$E109,P356,,,)</f>
        <v>Service pipes - post 1998</v>
      </c>
      <c r="Q355" s="57" t="str">
        <f ca="1">OFFSET(Cust_Conn!$E109,Q356,,,)</f>
        <v>Cathodic protection - post 1998</v>
      </c>
      <c r="R355" s="57" t="str">
        <f ca="1">OFFSET(Cust_Conn!$E109,R356,,,)</f>
        <v>Supply Regulators / Valve Stations</v>
      </c>
      <c r="S355" s="57" t="str">
        <f ca="1">OFFSET(Cust_Conn!$E109,S356,,,)</f>
        <v>Meters</v>
      </c>
      <c r="T355" s="57" t="str">
        <f ca="1">OFFSET(Cust_Conn!$E109,T356,,,)</f>
        <v>SCADA and remote control</v>
      </c>
      <c r="U355" s="57" t="str">
        <f ca="1">OFFSET(Cust_Conn!$E109,U356,,,)</f>
        <v>Buildings</v>
      </c>
      <c r="V355" s="57" t="str">
        <f ca="1">OFFSET(Cust_Conn!$E109,V356,,,)</f>
        <v>Other - IT</v>
      </c>
      <c r="W355" s="57" t="str">
        <f ca="1">OFFSET(Cust_Conn!$E109,W356,,,)</f>
        <v>Other - non IT</v>
      </c>
      <c r="X355" s="57" t="str">
        <f ca="1">OFFSET(Cust_Conn!$E109,X356,,,)</f>
        <v>Land</v>
      </c>
      <c r="Y355" s="57" t="str">
        <f ca="1">OFFSET(Cust_Conn!$E109,Y356,,,)</f>
        <v>Capitalised Leases</v>
      </c>
      <c r="AA355" s="139"/>
      <c r="AC355" s="57" t="str">
        <f ca="1">OFFSET(Cust_Conn!$E192,AC356,,,)</f>
        <v>Mains replacement</v>
      </c>
      <c r="AD355" s="57" t="str">
        <f ca="1">OFFSET(Cust_Conn!$E192,AD356,,,)</f>
        <v>Residential new customer connections</v>
      </c>
      <c r="AE355" s="57" t="str">
        <f ca="1">OFFSET(Cust_Conn!$E192,AE356,,,)</f>
        <v>Commercial and industrial new customer connections</v>
      </c>
      <c r="AF355" s="57" t="str">
        <f ca="1">OFFSET(Cust_Conn!$E192,AF356,,,)</f>
        <v>Residential meter replacement</v>
      </c>
      <c r="AG355" s="57" t="str">
        <f ca="1">OFFSET(Cust_Conn!$E192,AG356,,,)</f>
        <v>Commercial and industrial meter replacement</v>
      </c>
      <c r="AH355" s="57" t="str">
        <f ca="1">OFFSET(Cust_Conn!$E192,AH356,,,)</f>
        <v>Augmentation</v>
      </c>
      <c r="AI355" s="57" t="str">
        <f ca="1">OFFSET(Cust_Conn!$E192,AI356,,,)</f>
        <v>IT capex</v>
      </c>
      <c r="AJ355" s="57" t="str">
        <f ca="1">OFFSET(Cust_Conn!$E192,AJ356,,,)</f>
        <v>SCADA</v>
      </c>
      <c r="AK355" s="57" t="str">
        <f ca="1">OFFSET(Cust_Conn!$E192,AK356,,,)</f>
        <v>Other</v>
      </c>
      <c r="AL355" s="57" t="str">
        <f ca="1">OFFSET(Cust_Conn!$E192,AL356,,,)</f>
        <v>Capitalised Leases</v>
      </c>
      <c r="AM355" s="57" t="str">
        <f ca="1">OFFSET(Cust_Conn!$E192,AM356,,,)</f>
        <v>Gas Extensions - Energy for the Regions</v>
      </c>
      <c r="AN355" s="57" t="str">
        <f ca="1">OFFSET(Cust_Conn!$E192,AN356,,,)</f>
        <v>Gas Extensions - Other</v>
      </c>
      <c r="AO355" s="57" t="str">
        <f ca="1">OFFSET(Cust_Conn!$E192,AO356,,,)</f>
        <v>Customer contributions</v>
      </c>
      <c r="AP355" s="73"/>
      <c r="AR355" s="57" t="str">
        <f ca="1">OFFSET(Cust_Conn!$E249,AR356,,,)</f>
        <v>Mains &amp; Services</v>
      </c>
      <c r="AS355" s="57" t="str">
        <f ca="1">OFFSET(Cust_Conn!$E249,AS356,,,)</f>
        <v>Meters Domestic</v>
      </c>
      <c r="AT355" s="57" t="str">
        <f ca="1">OFFSET(Cust_Conn!$E249,AT356,,,)</f>
        <v>Meters Industrial &amp; Commercial</v>
      </c>
      <c r="AU355" s="57" t="str">
        <f ca="1">OFFSET(Cust_Conn!$E249,AU356,,,)</f>
        <v>Buildings</v>
      </c>
      <c r="AV355" s="57" t="str">
        <f ca="1">OFFSET(Cust_Conn!$E249,AV356,,,)</f>
        <v>Other Assets</v>
      </c>
      <c r="AW355" s="57" t="str">
        <f ca="1">OFFSET(Cust_Conn!$E249,AW356,,,)</f>
        <v>Repairs</v>
      </c>
      <c r="AX355" s="57" t="str">
        <f ca="1">OFFSET(Cust_Conn!$E249,AX356,,,)</f>
        <v>Land</v>
      </c>
    </row>
    <row r="356" spans="3:50" hidden="1" outlineLevel="2">
      <c r="L356" s="73"/>
      <c r="N356" s="68">
        <v>13</v>
      </c>
      <c r="O356" s="68">
        <v>14</v>
      </c>
      <c r="P356" s="68">
        <v>15</v>
      </c>
      <c r="Q356" s="68">
        <v>16</v>
      </c>
      <c r="R356" s="68">
        <v>5</v>
      </c>
      <c r="S356" s="68">
        <v>6</v>
      </c>
      <c r="T356" s="68">
        <v>7</v>
      </c>
      <c r="U356" s="68">
        <v>8</v>
      </c>
      <c r="V356" s="68">
        <v>9</v>
      </c>
      <c r="W356" s="68">
        <v>10</v>
      </c>
      <c r="X356" s="68">
        <v>11</v>
      </c>
      <c r="Y356" s="142">
        <v>12</v>
      </c>
      <c r="AA356" s="73"/>
      <c r="AC356" s="68">
        <v>1</v>
      </c>
      <c r="AD356" s="68">
        <v>2</v>
      </c>
      <c r="AE356" s="68">
        <v>3</v>
      </c>
      <c r="AF356" s="68">
        <v>4</v>
      </c>
      <c r="AG356" s="68">
        <v>5</v>
      </c>
      <c r="AH356" s="68">
        <v>6</v>
      </c>
      <c r="AI356" s="68">
        <v>7</v>
      </c>
      <c r="AJ356" s="68">
        <v>8</v>
      </c>
      <c r="AK356" s="68">
        <v>9</v>
      </c>
      <c r="AL356" s="67">
        <v>10</v>
      </c>
      <c r="AM356" s="67">
        <v>11</v>
      </c>
      <c r="AN356" s="136">
        <v>12</v>
      </c>
      <c r="AO356" s="67">
        <v>13</v>
      </c>
      <c r="AP356" s="73"/>
      <c r="AR356" s="68">
        <v>1</v>
      </c>
      <c r="AS356" s="68">
        <v>2</v>
      </c>
      <c r="AT356" s="68">
        <v>3</v>
      </c>
      <c r="AU356" s="68">
        <v>4</v>
      </c>
      <c r="AV356" s="68">
        <v>5</v>
      </c>
      <c r="AW356" s="68">
        <v>6</v>
      </c>
      <c r="AX356" s="138">
        <v>7</v>
      </c>
    </row>
    <row r="357" spans="3:50" ht="5.9" customHeight="1" outlineLevel="1" collapsed="1">
      <c r="L357" s="73"/>
      <c r="Y357" s="145"/>
      <c r="AA357" s="73"/>
      <c r="AP357" s="73"/>
    </row>
    <row r="358" spans="3:50" outlineLevel="1">
      <c r="D358" s="241" t="s">
        <v>178</v>
      </c>
      <c r="E358" s="241"/>
      <c r="F358" s="241"/>
      <c r="G358" s="241"/>
      <c r="I358" s="64">
        <v>0.04</v>
      </c>
      <c r="J358" s="64">
        <v>0.76</v>
      </c>
      <c r="K358" s="65">
        <f>1-SUM(I358:J358)</f>
        <v>0.19999999999999996</v>
      </c>
      <c r="L358" s="73"/>
      <c r="N358" s="64">
        <v>0</v>
      </c>
      <c r="O358" s="64">
        <v>0.2</v>
      </c>
      <c r="P358" s="64">
        <v>0.6</v>
      </c>
      <c r="Q358" s="64">
        <v>0</v>
      </c>
      <c r="R358" s="64">
        <v>0</v>
      </c>
      <c r="S358" s="64">
        <v>0.2</v>
      </c>
      <c r="T358" s="64">
        <v>0</v>
      </c>
      <c r="U358" s="64">
        <v>0</v>
      </c>
      <c r="V358" s="64">
        <v>0</v>
      </c>
      <c r="W358" s="64">
        <v>0</v>
      </c>
      <c r="X358" s="64">
        <v>0</v>
      </c>
      <c r="Y358" s="64">
        <v>0</v>
      </c>
      <c r="AA358" s="73"/>
      <c r="AC358" s="64">
        <v>0</v>
      </c>
      <c r="AD358" s="64">
        <v>1</v>
      </c>
      <c r="AE358" s="64">
        <v>0</v>
      </c>
      <c r="AF358" s="64">
        <v>0</v>
      </c>
      <c r="AG358" s="64">
        <v>0</v>
      </c>
      <c r="AH358" s="64">
        <v>0</v>
      </c>
      <c r="AI358" s="64">
        <v>0</v>
      </c>
      <c r="AJ358" s="64">
        <v>0</v>
      </c>
      <c r="AK358" s="64">
        <v>0</v>
      </c>
      <c r="AL358" s="64">
        <v>0</v>
      </c>
      <c r="AM358" s="64">
        <v>0</v>
      </c>
      <c r="AN358" s="64">
        <v>0</v>
      </c>
      <c r="AO358" s="147">
        <v>0</v>
      </c>
      <c r="AP358" s="73"/>
      <c r="AR358" s="64">
        <v>0.8</v>
      </c>
      <c r="AS358" s="64">
        <v>0.2</v>
      </c>
      <c r="AT358" s="64">
        <v>0</v>
      </c>
      <c r="AU358" s="64">
        <v>0</v>
      </c>
      <c r="AV358" s="64">
        <v>0</v>
      </c>
      <c r="AW358" s="64">
        <v>0</v>
      </c>
      <c r="AX358" s="64">
        <v>0</v>
      </c>
    </row>
    <row r="359" spans="3:50" outlineLevel="1">
      <c r="D359" s="241" t="s">
        <v>334</v>
      </c>
      <c r="E359" s="241"/>
      <c r="F359" s="241"/>
      <c r="G359" s="241"/>
      <c r="I359" s="64">
        <v>0</v>
      </c>
      <c r="J359" s="64">
        <v>0</v>
      </c>
      <c r="K359" s="65">
        <f>1-SUM(I359:J359)</f>
        <v>1</v>
      </c>
      <c r="L359" s="73"/>
      <c r="N359" s="64">
        <v>0</v>
      </c>
      <c r="O359" s="64">
        <v>0</v>
      </c>
      <c r="P359" s="64">
        <v>0</v>
      </c>
      <c r="Q359" s="64">
        <v>0</v>
      </c>
      <c r="R359" s="64">
        <v>0</v>
      </c>
      <c r="S359" s="64">
        <v>0</v>
      </c>
      <c r="T359" s="64">
        <v>0</v>
      </c>
      <c r="U359" s="64">
        <v>0</v>
      </c>
      <c r="V359" s="64">
        <v>0</v>
      </c>
      <c r="W359" s="64">
        <v>0</v>
      </c>
      <c r="X359" s="64">
        <v>0</v>
      </c>
      <c r="Y359" s="64">
        <v>0</v>
      </c>
      <c r="AA359" s="73"/>
      <c r="AC359" s="64">
        <v>0</v>
      </c>
      <c r="AD359" s="64">
        <v>0</v>
      </c>
      <c r="AE359" s="64">
        <v>0</v>
      </c>
      <c r="AF359" s="64">
        <v>0</v>
      </c>
      <c r="AG359" s="64">
        <v>0</v>
      </c>
      <c r="AH359" s="64">
        <v>0</v>
      </c>
      <c r="AI359" s="64">
        <v>0</v>
      </c>
      <c r="AJ359" s="64">
        <v>0</v>
      </c>
      <c r="AK359" s="64">
        <v>0</v>
      </c>
      <c r="AL359" s="64">
        <v>0</v>
      </c>
      <c r="AM359" s="64">
        <v>0</v>
      </c>
      <c r="AN359" s="64">
        <v>0</v>
      </c>
      <c r="AO359" s="147">
        <v>0</v>
      </c>
      <c r="AP359" s="73"/>
      <c r="AR359" s="64">
        <v>0</v>
      </c>
      <c r="AS359" s="64">
        <v>0</v>
      </c>
      <c r="AT359" s="64">
        <v>0</v>
      </c>
      <c r="AU359" s="64">
        <v>0</v>
      </c>
      <c r="AV359" s="64">
        <v>0</v>
      </c>
      <c r="AW359" s="64">
        <v>0</v>
      </c>
      <c r="AX359" s="64">
        <v>0</v>
      </c>
    </row>
    <row r="360" spans="3:50" outlineLevel="1">
      <c r="L360" s="73"/>
      <c r="AA360" s="73"/>
      <c r="AC360" s="105" t="s">
        <v>458</v>
      </c>
      <c r="AP360" s="73"/>
    </row>
    <row r="361" spans="3:50" outlineLevel="1">
      <c r="C361" s="37" t="s">
        <v>367</v>
      </c>
      <c r="L361" s="73"/>
      <c r="AA361" s="73"/>
      <c r="AP361" s="73"/>
    </row>
    <row r="362" spans="3:50" ht="5.9" customHeight="1" outlineLevel="1">
      <c r="L362" s="73"/>
      <c r="AA362" s="73"/>
      <c r="AP362" s="73"/>
    </row>
    <row r="363" spans="3:50" outlineLevel="1">
      <c r="D363" s="241" t="s">
        <v>369</v>
      </c>
      <c r="E363" s="241"/>
      <c r="F363" s="241"/>
      <c r="G363" s="241"/>
      <c r="L363" s="73"/>
      <c r="N363" s="64">
        <v>0</v>
      </c>
      <c r="O363" s="64">
        <v>0.3</v>
      </c>
      <c r="P363" s="64">
        <v>0.6</v>
      </c>
      <c r="Q363" s="64">
        <v>0</v>
      </c>
      <c r="R363" s="64">
        <v>0</v>
      </c>
      <c r="S363" s="64">
        <v>0.1</v>
      </c>
      <c r="T363" s="64">
        <v>0</v>
      </c>
      <c r="U363" s="64">
        <v>0</v>
      </c>
      <c r="V363" s="64">
        <v>0</v>
      </c>
      <c r="W363" s="64">
        <v>0</v>
      </c>
      <c r="X363" s="64">
        <v>0</v>
      </c>
      <c r="Y363" s="64">
        <v>0</v>
      </c>
      <c r="AA363" s="73"/>
      <c r="AC363" s="64">
        <v>0</v>
      </c>
      <c r="AD363" s="64">
        <v>1</v>
      </c>
      <c r="AE363" s="64">
        <v>0</v>
      </c>
      <c r="AF363" s="64">
        <v>0</v>
      </c>
      <c r="AG363" s="64">
        <v>0</v>
      </c>
      <c r="AH363" s="64">
        <v>0</v>
      </c>
      <c r="AI363" s="64">
        <v>0</v>
      </c>
      <c r="AJ363" s="64">
        <v>0</v>
      </c>
      <c r="AK363" s="64">
        <v>0</v>
      </c>
      <c r="AL363" s="64">
        <v>0</v>
      </c>
      <c r="AM363" s="64">
        <v>0</v>
      </c>
      <c r="AN363" s="64">
        <v>0</v>
      </c>
      <c r="AO363" s="147">
        <v>0</v>
      </c>
      <c r="AP363" s="73"/>
      <c r="AR363" s="64">
        <v>0.8</v>
      </c>
      <c r="AS363" s="64">
        <v>0.2</v>
      </c>
      <c r="AT363" s="64">
        <v>0</v>
      </c>
      <c r="AU363" s="64">
        <v>0</v>
      </c>
      <c r="AV363" s="64">
        <v>0</v>
      </c>
      <c r="AW363" s="64">
        <v>0</v>
      </c>
      <c r="AX363" s="64">
        <v>0</v>
      </c>
    </row>
    <row r="364" spans="3:50" outlineLevel="1">
      <c r="D364" s="241" t="s">
        <v>370</v>
      </c>
      <c r="E364" s="241"/>
      <c r="F364" s="241"/>
      <c r="G364" s="241"/>
      <c r="L364" s="73"/>
      <c r="N364" s="64">
        <v>0</v>
      </c>
      <c r="O364" s="64">
        <v>0.3</v>
      </c>
      <c r="P364" s="64">
        <v>0.6</v>
      </c>
      <c r="Q364" s="64">
        <v>0</v>
      </c>
      <c r="R364" s="64">
        <v>0</v>
      </c>
      <c r="S364" s="64">
        <v>0.1</v>
      </c>
      <c r="T364" s="64">
        <v>0</v>
      </c>
      <c r="U364" s="64">
        <v>0</v>
      </c>
      <c r="V364" s="64">
        <v>0</v>
      </c>
      <c r="W364" s="64">
        <v>0</v>
      </c>
      <c r="X364" s="64">
        <v>0</v>
      </c>
      <c r="Y364" s="64">
        <v>0</v>
      </c>
      <c r="AA364" s="73"/>
      <c r="AC364" s="64">
        <v>0</v>
      </c>
      <c r="AD364" s="64">
        <v>1</v>
      </c>
      <c r="AE364" s="64">
        <v>0</v>
      </c>
      <c r="AF364" s="64">
        <v>0</v>
      </c>
      <c r="AG364" s="64">
        <v>0</v>
      </c>
      <c r="AH364" s="64">
        <v>0</v>
      </c>
      <c r="AI364" s="64">
        <v>0</v>
      </c>
      <c r="AJ364" s="64">
        <v>0</v>
      </c>
      <c r="AK364" s="64">
        <v>0</v>
      </c>
      <c r="AL364" s="64">
        <v>0</v>
      </c>
      <c r="AM364" s="64">
        <v>0</v>
      </c>
      <c r="AN364" s="64">
        <v>0</v>
      </c>
      <c r="AO364" s="147">
        <v>0</v>
      </c>
      <c r="AP364" s="73"/>
      <c r="AR364" s="64">
        <v>0.8</v>
      </c>
      <c r="AS364" s="64">
        <v>0.2</v>
      </c>
      <c r="AT364" s="64">
        <v>0</v>
      </c>
      <c r="AU364" s="64">
        <v>0</v>
      </c>
      <c r="AV364" s="64">
        <v>0</v>
      </c>
      <c r="AW364" s="64">
        <v>0</v>
      </c>
      <c r="AX364" s="64">
        <v>0</v>
      </c>
    </row>
    <row r="365" spans="3:50" outlineLevel="1">
      <c r="D365" s="241" t="s">
        <v>371</v>
      </c>
      <c r="E365" s="241"/>
      <c r="F365" s="241"/>
      <c r="G365" s="241"/>
      <c r="L365" s="73"/>
      <c r="N365" s="64">
        <v>0</v>
      </c>
      <c r="O365" s="64">
        <v>1</v>
      </c>
      <c r="P365" s="64">
        <v>0</v>
      </c>
      <c r="Q365" s="64">
        <v>0</v>
      </c>
      <c r="R365" s="64">
        <v>0</v>
      </c>
      <c r="S365" s="64">
        <v>0</v>
      </c>
      <c r="T365" s="64">
        <v>0</v>
      </c>
      <c r="U365" s="64">
        <v>0</v>
      </c>
      <c r="V365" s="64">
        <v>0</v>
      </c>
      <c r="W365" s="64">
        <v>0</v>
      </c>
      <c r="X365" s="64">
        <v>0</v>
      </c>
      <c r="Y365" s="64">
        <v>0</v>
      </c>
      <c r="AA365" s="73"/>
      <c r="AC365" s="64">
        <v>0</v>
      </c>
      <c r="AD365" s="64">
        <v>1</v>
      </c>
      <c r="AE365" s="64">
        <v>0</v>
      </c>
      <c r="AF365" s="64">
        <v>0</v>
      </c>
      <c r="AG365" s="64">
        <v>0</v>
      </c>
      <c r="AH365" s="64">
        <v>0</v>
      </c>
      <c r="AI365" s="64">
        <v>0</v>
      </c>
      <c r="AJ365" s="64">
        <v>0</v>
      </c>
      <c r="AK365" s="64">
        <v>0</v>
      </c>
      <c r="AL365" s="64">
        <v>0</v>
      </c>
      <c r="AM365" s="64">
        <v>0</v>
      </c>
      <c r="AN365" s="64">
        <v>0</v>
      </c>
      <c r="AO365" s="147">
        <v>0</v>
      </c>
      <c r="AP365" s="73"/>
      <c r="AR365" s="64">
        <v>0.8</v>
      </c>
      <c r="AS365" s="64">
        <v>0.2</v>
      </c>
      <c r="AT365" s="64">
        <v>0</v>
      </c>
      <c r="AU365" s="64">
        <v>0</v>
      </c>
      <c r="AV365" s="64">
        <v>0</v>
      </c>
      <c r="AW365" s="64">
        <v>0</v>
      </c>
      <c r="AX365" s="64">
        <v>0</v>
      </c>
    </row>
    <row r="366" spans="3:50" outlineLevel="1">
      <c r="D366" s="241" t="s">
        <v>371</v>
      </c>
      <c r="E366" s="241"/>
      <c r="F366" s="241"/>
      <c r="G366" s="241"/>
      <c r="L366" s="73"/>
      <c r="N366" s="64">
        <v>0</v>
      </c>
      <c r="O366" s="64">
        <v>0</v>
      </c>
      <c r="P366" s="64">
        <v>1</v>
      </c>
      <c r="Q366" s="64">
        <v>0</v>
      </c>
      <c r="R366" s="64">
        <v>0</v>
      </c>
      <c r="S366" s="64">
        <v>0</v>
      </c>
      <c r="T366" s="64">
        <v>0</v>
      </c>
      <c r="U366" s="64">
        <v>0</v>
      </c>
      <c r="V366" s="64">
        <v>0</v>
      </c>
      <c r="W366" s="64">
        <v>0</v>
      </c>
      <c r="X366" s="64">
        <v>0</v>
      </c>
      <c r="Y366" s="64">
        <v>0</v>
      </c>
      <c r="AA366" s="73"/>
      <c r="AC366" s="64">
        <v>0</v>
      </c>
      <c r="AD366" s="64">
        <v>1</v>
      </c>
      <c r="AE366" s="64">
        <v>0</v>
      </c>
      <c r="AF366" s="64">
        <v>0</v>
      </c>
      <c r="AG366" s="64">
        <v>0</v>
      </c>
      <c r="AH366" s="64">
        <v>0</v>
      </c>
      <c r="AI366" s="64">
        <v>0</v>
      </c>
      <c r="AJ366" s="64">
        <v>0</v>
      </c>
      <c r="AK366" s="64">
        <v>0</v>
      </c>
      <c r="AL366" s="64">
        <v>0</v>
      </c>
      <c r="AM366" s="64">
        <v>0</v>
      </c>
      <c r="AN366" s="64">
        <v>0</v>
      </c>
      <c r="AO366" s="147">
        <v>0</v>
      </c>
      <c r="AP366" s="73"/>
      <c r="AR366" s="64">
        <v>0.8</v>
      </c>
      <c r="AS366" s="64">
        <v>0.2</v>
      </c>
      <c r="AT366" s="64">
        <v>0</v>
      </c>
      <c r="AU366" s="64">
        <v>0</v>
      </c>
      <c r="AV366" s="64">
        <v>0</v>
      </c>
      <c r="AW366" s="64">
        <v>0</v>
      </c>
      <c r="AX366" s="64">
        <v>0</v>
      </c>
    </row>
    <row r="367" spans="3:50" outlineLevel="1">
      <c r="D367" s="241" t="s">
        <v>372</v>
      </c>
      <c r="E367" s="241"/>
      <c r="F367" s="241"/>
      <c r="G367" s="241"/>
      <c r="L367" s="73"/>
      <c r="N367" s="64">
        <v>0</v>
      </c>
      <c r="O367" s="64">
        <v>0</v>
      </c>
      <c r="P367" s="64">
        <v>1</v>
      </c>
      <c r="Q367" s="64">
        <v>0</v>
      </c>
      <c r="R367" s="64">
        <v>0</v>
      </c>
      <c r="S367" s="64">
        <v>0</v>
      </c>
      <c r="T367" s="64">
        <v>0</v>
      </c>
      <c r="U367" s="64">
        <v>0</v>
      </c>
      <c r="V367" s="64">
        <v>0</v>
      </c>
      <c r="W367" s="64">
        <v>0</v>
      </c>
      <c r="X367" s="64">
        <v>0</v>
      </c>
      <c r="Y367" s="64">
        <v>0</v>
      </c>
      <c r="AA367" s="73"/>
      <c r="AC367" s="64">
        <v>0</v>
      </c>
      <c r="AD367" s="64">
        <v>1</v>
      </c>
      <c r="AE367" s="64">
        <v>0</v>
      </c>
      <c r="AF367" s="64">
        <v>0</v>
      </c>
      <c r="AG367" s="64">
        <v>0</v>
      </c>
      <c r="AH367" s="64">
        <v>0</v>
      </c>
      <c r="AI367" s="64">
        <v>0</v>
      </c>
      <c r="AJ367" s="64">
        <v>0</v>
      </c>
      <c r="AK367" s="64">
        <v>0</v>
      </c>
      <c r="AL367" s="64">
        <v>0</v>
      </c>
      <c r="AM367" s="64">
        <v>0</v>
      </c>
      <c r="AN367" s="64">
        <v>0</v>
      </c>
      <c r="AO367" s="147">
        <v>0</v>
      </c>
      <c r="AP367" s="73"/>
      <c r="AR367" s="64">
        <v>0.8</v>
      </c>
      <c r="AS367" s="64">
        <v>0.2</v>
      </c>
      <c r="AT367" s="64">
        <v>0</v>
      </c>
      <c r="AU367" s="64">
        <v>0</v>
      </c>
      <c r="AV367" s="64">
        <v>0</v>
      </c>
      <c r="AW367" s="64">
        <v>0</v>
      </c>
      <c r="AX367" s="64">
        <v>0</v>
      </c>
    </row>
    <row r="368" spans="3:50" outlineLevel="1">
      <c r="D368" s="241" t="s">
        <v>373</v>
      </c>
      <c r="E368" s="241"/>
      <c r="F368" s="241"/>
      <c r="G368" s="241"/>
      <c r="L368" s="73"/>
      <c r="N368" s="64">
        <v>0</v>
      </c>
      <c r="O368" s="64">
        <v>0</v>
      </c>
      <c r="P368" s="64">
        <v>0</v>
      </c>
      <c r="Q368" s="64">
        <v>0</v>
      </c>
      <c r="R368" s="64">
        <v>0</v>
      </c>
      <c r="S368" s="64">
        <v>1</v>
      </c>
      <c r="T368" s="64">
        <v>0</v>
      </c>
      <c r="U368" s="64">
        <v>0</v>
      </c>
      <c r="V368" s="64">
        <v>0</v>
      </c>
      <c r="W368" s="64">
        <v>0</v>
      </c>
      <c r="X368" s="64">
        <v>0</v>
      </c>
      <c r="Y368" s="64">
        <v>0</v>
      </c>
      <c r="AA368" s="73"/>
      <c r="AC368" s="64">
        <v>0</v>
      </c>
      <c r="AD368" s="64">
        <v>1</v>
      </c>
      <c r="AE368" s="64">
        <v>0</v>
      </c>
      <c r="AF368" s="64">
        <v>0</v>
      </c>
      <c r="AG368" s="64">
        <v>0</v>
      </c>
      <c r="AH368" s="64">
        <v>0</v>
      </c>
      <c r="AI368" s="64">
        <v>0</v>
      </c>
      <c r="AJ368" s="64">
        <v>0</v>
      </c>
      <c r="AK368" s="64">
        <v>0</v>
      </c>
      <c r="AL368" s="64">
        <v>0</v>
      </c>
      <c r="AM368" s="64">
        <v>0</v>
      </c>
      <c r="AN368" s="64">
        <v>0</v>
      </c>
      <c r="AO368" s="64">
        <v>0</v>
      </c>
      <c r="AP368" s="73"/>
      <c r="AR368" s="64">
        <v>0.8</v>
      </c>
      <c r="AS368" s="64">
        <v>0.2</v>
      </c>
      <c r="AT368" s="64">
        <v>0</v>
      </c>
      <c r="AU368" s="64">
        <v>0</v>
      </c>
      <c r="AV368" s="64">
        <v>0</v>
      </c>
      <c r="AW368" s="64">
        <v>0</v>
      </c>
      <c r="AX368" s="64">
        <v>0</v>
      </c>
    </row>
    <row r="370" spans="1:50" s="2" customFormat="1">
      <c r="A370"/>
      <c r="B370" s="2" t="s">
        <v>263</v>
      </c>
    </row>
    <row r="371" spans="1:50" ht="5.9" customHeight="1"/>
    <row r="372" spans="1:50" ht="14">
      <c r="C372" s="77" t="str">
        <f>Cust_Conn!B284</f>
        <v>Industrial &amp; Commercial Connections</v>
      </c>
      <c r="I372" s="37" t="str">
        <f>GC!H27</f>
        <v>Network</v>
      </c>
    </row>
    <row r="373" spans="1:50" ht="5.9" customHeight="1" outlineLevel="1"/>
    <row r="374" spans="1:50" outlineLevel="1">
      <c r="I374" s="242" t="s">
        <v>194</v>
      </c>
      <c r="J374" s="242"/>
      <c r="K374" s="242"/>
      <c r="L374" s="73"/>
      <c r="N374" s="242" t="s">
        <v>195</v>
      </c>
      <c r="O374" s="242"/>
      <c r="P374" s="242"/>
      <c r="Q374" s="242"/>
      <c r="R374" s="242"/>
      <c r="S374" s="242"/>
      <c r="T374" s="242"/>
      <c r="U374" s="242"/>
      <c r="V374" s="242"/>
      <c r="W374" s="242"/>
      <c r="X374" s="242"/>
      <c r="Y374" s="242"/>
      <c r="Z374" s="242"/>
      <c r="AA374" s="73"/>
      <c r="AC374" s="245" t="s">
        <v>196</v>
      </c>
      <c r="AD374" s="245"/>
      <c r="AE374" s="245"/>
      <c r="AF374" s="245"/>
      <c r="AG374" s="245"/>
      <c r="AH374" s="245"/>
      <c r="AI374" s="245"/>
      <c r="AJ374" s="245"/>
      <c r="AK374" s="245"/>
      <c r="AL374" s="245"/>
      <c r="AM374" s="245"/>
      <c r="AN374" s="245"/>
      <c r="AO374" s="245"/>
      <c r="AP374" s="73"/>
      <c r="AR374" s="242" t="s">
        <v>311</v>
      </c>
      <c r="AS374" s="242"/>
      <c r="AT374" s="242"/>
      <c r="AU374" s="242"/>
      <c r="AV374" s="242"/>
      <c r="AW374" s="242"/>
      <c r="AX374" s="242"/>
    </row>
    <row r="375" spans="1:50" ht="46" outlineLevel="1">
      <c r="D375" s="37" t="s">
        <v>160</v>
      </c>
      <c r="I375" s="57" t="s">
        <v>128</v>
      </c>
      <c r="J375" s="57" t="s">
        <v>129</v>
      </c>
      <c r="K375" s="57" t="s">
        <v>130</v>
      </c>
      <c r="L375" s="73"/>
      <c r="N375" s="57" t="str">
        <f ca="1">OFFSET(Cust_Conn!$E366,N376,,,)</f>
        <v>Transmission pipelines - post 1998</v>
      </c>
      <c r="O375" s="57" t="str">
        <f ca="1">OFFSET(Cust_Conn!$E366,O376,,,)</f>
        <v>Distribution pipelines - post 1998</v>
      </c>
      <c r="P375" s="57" t="str">
        <f ca="1">OFFSET(Cust_Conn!$E366,P376,,,)</f>
        <v>Service pipes - post 1998</v>
      </c>
      <c r="Q375" s="57" t="str">
        <f ca="1">OFFSET(Cust_Conn!$E366,Q376,,,)</f>
        <v>Cathodic protection - post 1998</v>
      </c>
      <c r="R375" s="57" t="str">
        <f ca="1">OFFSET(Cust_Conn!$E366,R376,,,)</f>
        <v>Supply Regulators / Valve Stations</v>
      </c>
      <c r="S375" s="57" t="str">
        <f ca="1">OFFSET(Cust_Conn!$E366,S376,,,)</f>
        <v>Meters</v>
      </c>
      <c r="T375" s="57" t="str">
        <f ca="1">OFFSET(Cust_Conn!$E366,T376,,,)</f>
        <v>SCADA and remote control</v>
      </c>
      <c r="U375" s="57" t="str">
        <f ca="1">OFFSET(Cust_Conn!$E366,U376,,,)</f>
        <v>Buildings</v>
      </c>
      <c r="V375" s="57" t="str">
        <f ca="1">OFFSET(Cust_Conn!$E366,V376,,,)</f>
        <v>Other - IT</v>
      </c>
      <c r="W375" s="57" t="str">
        <f ca="1">OFFSET(Cust_Conn!$E366,W376,,,)</f>
        <v>Other - non IT</v>
      </c>
      <c r="X375" s="57" t="str">
        <f ca="1">OFFSET(Cust_Conn!$E366,X376,,,)</f>
        <v>Land</v>
      </c>
      <c r="Y375" s="57" t="str">
        <f ca="1">OFFSET(Cust_Conn!$E366,Y376,,,)</f>
        <v>Capitalised Leases</v>
      </c>
      <c r="AA375" s="139"/>
      <c r="AC375" s="57" t="str">
        <f ca="1">OFFSET(Cust_Conn!$E449,AC376,,,)</f>
        <v>Mains replacement</v>
      </c>
      <c r="AD375" s="57" t="str">
        <f ca="1">OFFSET(Cust_Conn!$E449,AD376,,,)</f>
        <v>Residential new customer connections</v>
      </c>
      <c r="AE375" s="57" t="str">
        <f ca="1">OFFSET(Cust_Conn!$E449,AE376,,,)</f>
        <v>Commercial and industrial new customer connections</v>
      </c>
      <c r="AF375" s="57" t="str">
        <f ca="1">OFFSET(Cust_Conn!$E449,AF376,,,)</f>
        <v>Residential meter replacement</v>
      </c>
      <c r="AG375" s="57" t="str">
        <f ca="1">OFFSET(Cust_Conn!$E449,AG376,,,)</f>
        <v>Commercial and industrial meter replacement</v>
      </c>
      <c r="AH375" s="57" t="str">
        <f ca="1">OFFSET(Cust_Conn!$E449,AH376,,,)</f>
        <v>Augmentation</v>
      </c>
      <c r="AI375" s="57" t="str">
        <f ca="1">OFFSET(Cust_Conn!$E449,AI376,,,)</f>
        <v>IT capex</v>
      </c>
      <c r="AJ375" s="57" t="str">
        <f ca="1">OFFSET(Cust_Conn!$E449,AJ376,,,)</f>
        <v>SCADA</v>
      </c>
      <c r="AK375" s="57" t="str">
        <f ca="1">OFFSET(Cust_Conn!$E449,AK376,,,)</f>
        <v>Other</v>
      </c>
      <c r="AL375" s="57" t="str">
        <f ca="1">OFFSET(Cust_Conn!$E449,AL376,,,)</f>
        <v>Capitalised Leases</v>
      </c>
      <c r="AM375" s="57" t="str">
        <f ca="1">OFFSET(Cust_Conn!$E449,AM376,,,)</f>
        <v>Gas Extensions - Energy for the Regions</v>
      </c>
      <c r="AN375" s="57" t="str">
        <f ca="1">OFFSET(Cust_Conn!$E449,AN376,,,)</f>
        <v>Gas Extensions - Other</v>
      </c>
      <c r="AO375" s="57" t="str">
        <f ca="1">OFFSET(Cust_Conn!$E449,AO376,,,)</f>
        <v>Customer contributions</v>
      </c>
      <c r="AP375" s="73"/>
      <c r="AR375" s="57" t="str">
        <f ca="1">OFFSET(Cust_Conn!$E506,AR376,,,)</f>
        <v>Mains &amp; Services</v>
      </c>
      <c r="AS375" s="57" t="str">
        <f ca="1">OFFSET(Cust_Conn!$E506,AS376,,,)</f>
        <v>Meters Domestic</v>
      </c>
      <c r="AT375" s="57" t="str">
        <f ca="1">OFFSET(Cust_Conn!$E506,AT376,,,)</f>
        <v>Meters Industrial &amp; Commercial</v>
      </c>
      <c r="AU375" s="57" t="str">
        <f ca="1">OFFSET(Cust_Conn!$E506,AU376,,,)</f>
        <v>Buildings</v>
      </c>
      <c r="AV375" s="57" t="str">
        <f ca="1">OFFSET(Cust_Conn!$E506,AV376,,,)</f>
        <v>Other Assets</v>
      </c>
      <c r="AW375" s="57" t="str">
        <f ca="1">OFFSET(Cust_Conn!$E506,AW376,,,)</f>
        <v>Repairs</v>
      </c>
      <c r="AX375" s="57" t="str">
        <f ca="1">OFFSET(Cust_Conn!$E506,AX376,,,)</f>
        <v>Land</v>
      </c>
    </row>
    <row r="376" spans="1:50" hidden="1" outlineLevel="2">
      <c r="L376" s="73"/>
      <c r="N376" s="68">
        <v>13</v>
      </c>
      <c r="O376" s="68">
        <v>14</v>
      </c>
      <c r="P376" s="68">
        <v>15</v>
      </c>
      <c r="Q376" s="68">
        <v>16</v>
      </c>
      <c r="R376" s="68">
        <v>5</v>
      </c>
      <c r="S376" s="68">
        <v>6</v>
      </c>
      <c r="T376" s="68">
        <v>7</v>
      </c>
      <c r="U376" s="68">
        <v>8</v>
      </c>
      <c r="V376" s="68">
        <v>9</v>
      </c>
      <c r="W376" s="68">
        <v>10</v>
      </c>
      <c r="X376" s="68">
        <v>11</v>
      </c>
      <c r="Y376" s="142">
        <v>12</v>
      </c>
      <c r="AA376" s="73"/>
      <c r="AC376" s="68">
        <v>1</v>
      </c>
      <c r="AD376" s="68">
        <v>2</v>
      </c>
      <c r="AE376" s="68">
        <v>3</v>
      </c>
      <c r="AF376" s="68">
        <v>4</v>
      </c>
      <c r="AG376" s="68">
        <v>5</v>
      </c>
      <c r="AH376" s="68">
        <v>6</v>
      </c>
      <c r="AI376" s="68">
        <v>7</v>
      </c>
      <c r="AJ376" s="68">
        <v>8</v>
      </c>
      <c r="AK376" s="68">
        <v>9</v>
      </c>
      <c r="AL376" s="67">
        <v>10</v>
      </c>
      <c r="AM376" s="67">
        <v>11</v>
      </c>
      <c r="AN376" s="136">
        <v>12</v>
      </c>
      <c r="AO376" s="67">
        <v>13</v>
      </c>
      <c r="AP376" s="73"/>
      <c r="AR376" s="68">
        <v>1</v>
      </c>
      <c r="AS376" s="68">
        <v>2</v>
      </c>
      <c r="AT376" s="68">
        <v>3</v>
      </c>
      <c r="AU376" s="68">
        <v>4</v>
      </c>
      <c r="AV376" s="68">
        <v>5</v>
      </c>
      <c r="AW376" s="68">
        <v>6</v>
      </c>
      <c r="AX376" s="138">
        <v>7</v>
      </c>
    </row>
    <row r="377" spans="1:50" ht="5.9" customHeight="1" outlineLevel="1" collapsed="1">
      <c r="L377" s="73"/>
      <c r="Y377" s="145"/>
      <c r="AA377" s="73"/>
      <c r="AP377" s="73"/>
    </row>
    <row r="378" spans="1:50" outlineLevel="1">
      <c r="D378" s="241" t="s">
        <v>179</v>
      </c>
      <c r="E378" s="241"/>
      <c r="F378" s="241"/>
      <c r="G378" s="241"/>
      <c r="I378" s="64">
        <v>0.04</v>
      </c>
      <c r="J378" s="64">
        <v>0.76</v>
      </c>
      <c r="K378" s="65">
        <f>1-SUM(I378:J378)</f>
        <v>0.19999999999999996</v>
      </c>
      <c r="L378" s="73"/>
      <c r="N378" s="64">
        <v>0</v>
      </c>
      <c r="O378" s="64">
        <v>0.3</v>
      </c>
      <c r="P378" s="64">
        <v>0.45</v>
      </c>
      <c r="Q378" s="64">
        <v>0</v>
      </c>
      <c r="R378" s="64">
        <v>0</v>
      </c>
      <c r="S378" s="64">
        <v>0.25</v>
      </c>
      <c r="T378" s="64">
        <v>0</v>
      </c>
      <c r="U378" s="64">
        <v>0</v>
      </c>
      <c r="V378" s="64">
        <v>0</v>
      </c>
      <c r="W378" s="64">
        <v>0</v>
      </c>
      <c r="X378" s="64">
        <v>0</v>
      </c>
      <c r="Y378" s="64">
        <v>0</v>
      </c>
      <c r="AA378" s="73"/>
      <c r="AC378" s="64">
        <v>0</v>
      </c>
      <c r="AD378" s="64">
        <v>0</v>
      </c>
      <c r="AE378" s="64">
        <v>1</v>
      </c>
      <c r="AF378" s="64">
        <v>0</v>
      </c>
      <c r="AG378" s="64">
        <v>0</v>
      </c>
      <c r="AH378" s="64">
        <v>0</v>
      </c>
      <c r="AI378" s="64">
        <v>0</v>
      </c>
      <c r="AJ378" s="64">
        <v>0</v>
      </c>
      <c r="AK378" s="64">
        <v>0</v>
      </c>
      <c r="AL378" s="64">
        <v>0</v>
      </c>
      <c r="AM378" s="64">
        <v>0</v>
      </c>
      <c r="AN378" s="64">
        <v>0</v>
      </c>
      <c r="AO378" s="147">
        <v>0</v>
      </c>
      <c r="AP378" s="73"/>
      <c r="AR378" s="64">
        <v>0.75</v>
      </c>
      <c r="AS378" s="64">
        <v>0</v>
      </c>
      <c r="AT378" s="64">
        <v>0.25</v>
      </c>
      <c r="AU378" s="64">
        <v>0</v>
      </c>
      <c r="AV378" s="64">
        <v>0</v>
      </c>
      <c r="AW378" s="64">
        <v>0</v>
      </c>
      <c r="AX378" s="64">
        <v>0</v>
      </c>
    </row>
    <row r="379" spans="1:50" outlineLevel="1">
      <c r="D379" s="241" t="s">
        <v>123</v>
      </c>
      <c r="E379" s="241"/>
      <c r="F379" s="241"/>
      <c r="G379" s="241"/>
      <c r="I379" s="64">
        <v>0</v>
      </c>
      <c r="J379" s="64">
        <v>0</v>
      </c>
      <c r="K379" s="65">
        <f>1-SUM(I379:J379)</f>
        <v>1</v>
      </c>
      <c r="L379" s="73"/>
      <c r="N379" s="64">
        <v>0</v>
      </c>
      <c r="O379" s="64">
        <v>0</v>
      </c>
      <c r="P379" s="64">
        <v>0</v>
      </c>
      <c r="Q379" s="64">
        <v>0</v>
      </c>
      <c r="R379" s="64">
        <v>0</v>
      </c>
      <c r="S379" s="64">
        <v>0</v>
      </c>
      <c r="T379" s="64">
        <v>0</v>
      </c>
      <c r="U379" s="64">
        <v>0</v>
      </c>
      <c r="V379" s="64">
        <v>0</v>
      </c>
      <c r="W379" s="64">
        <v>0</v>
      </c>
      <c r="X379" s="64">
        <v>0</v>
      </c>
      <c r="Y379" s="64">
        <v>0</v>
      </c>
      <c r="AA379" s="73"/>
      <c r="AC379" s="64">
        <v>0</v>
      </c>
      <c r="AD379" s="64">
        <v>0</v>
      </c>
      <c r="AE379" s="64">
        <v>0</v>
      </c>
      <c r="AF379" s="64">
        <v>0</v>
      </c>
      <c r="AG379" s="64">
        <v>0</v>
      </c>
      <c r="AH379" s="64">
        <v>0</v>
      </c>
      <c r="AI379" s="64">
        <v>0</v>
      </c>
      <c r="AJ379" s="64">
        <v>0</v>
      </c>
      <c r="AK379" s="64">
        <v>0</v>
      </c>
      <c r="AL379" s="64">
        <v>0</v>
      </c>
      <c r="AM379" s="64">
        <v>0</v>
      </c>
      <c r="AN379" s="64">
        <v>0</v>
      </c>
      <c r="AO379" s="147">
        <v>0</v>
      </c>
      <c r="AP379" s="73"/>
      <c r="AR379" s="64">
        <v>0</v>
      </c>
      <c r="AS379" s="64">
        <v>0</v>
      </c>
      <c r="AT379" s="64">
        <v>0</v>
      </c>
      <c r="AU379" s="64">
        <v>0</v>
      </c>
      <c r="AV379" s="64">
        <v>0</v>
      </c>
      <c r="AW379" s="64">
        <v>0</v>
      </c>
      <c r="AX379" s="64">
        <v>0</v>
      </c>
    </row>
    <row r="380" spans="1:50" outlineLevel="1">
      <c r="L380" s="73"/>
      <c r="AA380" s="73"/>
      <c r="AC380" s="105" t="s">
        <v>458</v>
      </c>
      <c r="AP380" s="73"/>
    </row>
    <row r="381" spans="1:50" outlineLevel="1">
      <c r="C381" s="37" t="s">
        <v>367</v>
      </c>
      <c r="L381" s="73"/>
      <c r="AA381" s="73"/>
      <c r="AP381" s="73"/>
    </row>
    <row r="382" spans="1:50" ht="5.9" customHeight="1" outlineLevel="1">
      <c r="L382" s="73"/>
      <c r="AA382" s="73"/>
      <c r="AP382" s="73"/>
    </row>
    <row r="383" spans="1:50" outlineLevel="1">
      <c r="D383" s="241" t="s">
        <v>374</v>
      </c>
      <c r="E383" s="241"/>
      <c r="F383" s="241"/>
      <c r="G383" s="241"/>
      <c r="L383" s="73"/>
      <c r="N383" s="64">
        <v>0</v>
      </c>
      <c r="O383" s="64">
        <v>0.1</v>
      </c>
      <c r="P383" s="64">
        <v>0.5</v>
      </c>
      <c r="Q383" s="64">
        <v>0</v>
      </c>
      <c r="R383" s="64">
        <v>0</v>
      </c>
      <c r="S383" s="64">
        <v>0.4</v>
      </c>
      <c r="T383" s="64">
        <v>0</v>
      </c>
      <c r="U383" s="64">
        <v>0</v>
      </c>
      <c r="V383" s="64">
        <v>0</v>
      </c>
      <c r="W383" s="64">
        <v>0</v>
      </c>
      <c r="X383" s="64">
        <v>0</v>
      </c>
      <c r="Y383" s="64">
        <v>0</v>
      </c>
      <c r="AA383" s="73"/>
      <c r="AC383" s="64">
        <v>0</v>
      </c>
      <c r="AD383" s="64">
        <v>0</v>
      </c>
      <c r="AE383" s="64">
        <v>1</v>
      </c>
      <c r="AF383" s="64">
        <v>0</v>
      </c>
      <c r="AG383" s="64">
        <v>0</v>
      </c>
      <c r="AH383" s="64">
        <v>0</v>
      </c>
      <c r="AI383" s="64">
        <v>0</v>
      </c>
      <c r="AJ383" s="64">
        <v>0</v>
      </c>
      <c r="AK383" s="64">
        <v>0</v>
      </c>
      <c r="AL383" s="64">
        <v>0</v>
      </c>
      <c r="AM383" s="64">
        <v>0</v>
      </c>
      <c r="AN383" s="64">
        <v>0</v>
      </c>
      <c r="AO383" s="147">
        <v>0</v>
      </c>
      <c r="AP383" s="73"/>
      <c r="AR383" s="64">
        <v>0.75</v>
      </c>
      <c r="AS383" s="64">
        <v>0</v>
      </c>
      <c r="AT383" s="64">
        <v>0.25</v>
      </c>
      <c r="AU383" s="64">
        <v>0</v>
      </c>
      <c r="AV383" s="64">
        <v>0</v>
      </c>
      <c r="AW383" s="64">
        <v>0</v>
      </c>
      <c r="AX383" s="64">
        <v>0</v>
      </c>
    </row>
    <row r="384" spans="1:50" outlineLevel="1">
      <c r="D384" s="241" t="s">
        <v>375</v>
      </c>
      <c r="E384" s="241"/>
      <c r="F384" s="241"/>
      <c r="G384" s="241"/>
      <c r="L384" s="73"/>
      <c r="N384" s="64">
        <v>0</v>
      </c>
      <c r="O384" s="64">
        <v>0.1</v>
      </c>
      <c r="P384" s="64">
        <v>0.5</v>
      </c>
      <c r="Q384" s="64">
        <v>0</v>
      </c>
      <c r="R384" s="64">
        <v>0</v>
      </c>
      <c r="S384" s="64">
        <v>0.4</v>
      </c>
      <c r="T384" s="64">
        <v>0</v>
      </c>
      <c r="U384" s="64">
        <v>0</v>
      </c>
      <c r="V384" s="64">
        <v>0</v>
      </c>
      <c r="W384" s="64">
        <v>0</v>
      </c>
      <c r="X384" s="64">
        <v>0</v>
      </c>
      <c r="Y384" s="64">
        <v>0</v>
      </c>
      <c r="AA384" s="73"/>
      <c r="AC384" s="64">
        <v>0</v>
      </c>
      <c r="AD384" s="64">
        <v>0</v>
      </c>
      <c r="AE384" s="64">
        <v>1</v>
      </c>
      <c r="AF384" s="64">
        <v>0</v>
      </c>
      <c r="AG384" s="64">
        <v>0</v>
      </c>
      <c r="AH384" s="64">
        <v>0</v>
      </c>
      <c r="AI384" s="64">
        <v>0</v>
      </c>
      <c r="AJ384" s="64">
        <v>0</v>
      </c>
      <c r="AK384" s="64">
        <v>0</v>
      </c>
      <c r="AL384" s="64">
        <v>0</v>
      </c>
      <c r="AM384" s="64">
        <v>0</v>
      </c>
      <c r="AN384" s="64">
        <v>0</v>
      </c>
      <c r="AO384" s="147">
        <v>0</v>
      </c>
      <c r="AP384" s="73"/>
      <c r="AR384" s="64">
        <v>0.75</v>
      </c>
      <c r="AS384" s="64">
        <v>0</v>
      </c>
      <c r="AT384" s="64">
        <v>0.25</v>
      </c>
      <c r="AU384" s="64">
        <v>0</v>
      </c>
      <c r="AV384" s="64">
        <v>0</v>
      </c>
      <c r="AW384" s="64">
        <v>0</v>
      </c>
      <c r="AX384" s="64">
        <v>0</v>
      </c>
    </row>
    <row r="385" spans="1:50" outlineLevel="1">
      <c r="D385" s="241" t="s">
        <v>376</v>
      </c>
      <c r="E385" s="241"/>
      <c r="F385" s="241"/>
      <c r="G385" s="241"/>
      <c r="L385" s="73"/>
      <c r="N385" s="64">
        <v>0</v>
      </c>
      <c r="O385" s="64">
        <v>1</v>
      </c>
      <c r="P385" s="64">
        <v>0</v>
      </c>
      <c r="Q385" s="64">
        <v>0</v>
      </c>
      <c r="R385" s="64">
        <v>0</v>
      </c>
      <c r="S385" s="64">
        <v>0</v>
      </c>
      <c r="T385" s="64">
        <v>0</v>
      </c>
      <c r="U385" s="64">
        <v>0</v>
      </c>
      <c r="V385" s="64">
        <v>0</v>
      </c>
      <c r="W385" s="64">
        <v>0</v>
      </c>
      <c r="X385" s="64">
        <v>0</v>
      </c>
      <c r="Y385" s="64">
        <v>0</v>
      </c>
      <c r="AA385" s="73"/>
      <c r="AC385" s="64">
        <v>0</v>
      </c>
      <c r="AD385" s="64">
        <v>0</v>
      </c>
      <c r="AE385" s="64">
        <v>1</v>
      </c>
      <c r="AF385" s="64">
        <v>0</v>
      </c>
      <c r="AG385" s="64">
        <v>0</v>
      </c>
      <c r="AH385" s="64">
        <v>0</v>
      </c>
      <c r="AI385" s="64">
        <v>0</v>
      </c>
      <c r="AJ385" s="64">
        <v>0</v>
      </c>
      <c r="AK385" s="64">
        <v>0</v>
      </c>
      <c r="AL385" s="64">
        <v>0</v>
      </c>
      <c r="AM385" s="64">
        <v>0</v>
      </c>
      <c r="AN385" s="64">
        <v>0</v>
      </c>
      <c r="AO385" s="147">
        <v>0</v>
      </c>
      <c r="AP385" s="73"/>
      <c r="AR385" s="64">
        <v>0.75</v>
      </c>
      <c r="AS385" s="64">
        <v>0</v>
      </c>
      <c r="AT385" s="64">
        <v>0.25</v>
      </c>
      <c r="AU385" s="64">
        <v>0</v>
      </c>
      <c r="AV385" s="64">
        <v>0</v>
      </c>
      <c r="AW385" s="64">
        <v>0</v>
      </c>
      <c r="AX385" s="64">
        <v>0</v>
      </c>
    </row>
    <row r="386" spans="1:50" outlineLevel="1">
      <c r="D386" s="241" t="s">
        <v>377</v>
      </c>
      <c r="E386" s="241"/>
      <c r="F386" s="241"/>
      <c r="G386" s="241"/>
      <c r="L386" s="73"/>
      <c r="N386" s="64">
        <v>0</v>
      </c>
      <c r="O386" s="64">
        <v>1</v>
      </c>
      <c r="P386" s="64">
        <v>0</v>
      </c>
      <c r="Q386" s="64">
        <v>0</v>
      </c>
      <c r="R386" s="64">
        <v>0</v>
      </c>
      <c r="S386" s="64">
        <v>0</v>
      </c>
      <c r="T386" s="64">
        <v>0</v>
      </c>
      <c r="U386" s="64">
        <v>0</v>
      </c>
      <c r="V386" s="64">
        <v>0</v>
      </c>
      <c r="W386" s="64">
        <v>0</v>
      </c>
      <c r="X386" s="64">
        <v>0</v>
      </c>
      <c r="Y386" s="64">
        <v>0</v>
      </c>
      <c r="AA386" s="73"/>
      <c r="AC386" s="64">
        <v>0</v>
      </c>
      <c r="AD386" s="64">
        <v>0</v>
      </c>
      <c r="AE386" s="64">
        <v>1</v>
      </c>
      <c r="AF386" s="64">
        <v>0</v>
      </c>
      <c r="AG386" s="64">
        <v>0</v>
      </c>
      <c r="AH386" s="64">
        <v>0</v>
      </c>
      <c r="AI386" s="64">
        <v>0</v>
      </c>
      <c r="AJ386" s="64">
        <v>0</v>
      </c>
      <c r="AK386" s="64">
        <v>0</v>
      </c>
      <c r="AL386" s="64">
        <v>0</v>
      </c>
      <c r="AM386" s="64">
        <v>0</v>
      </c>
      <c r="AN386" s="64">
        <v>0</v>
      </c>
      <c r="AO386" s="147">
        <v>0</v>
      </c>
      <c r="AP386" s="73"/>
      <c r="AR386" s="64">
        <v>0.75</v>
      </c>
      <c r="AS386" s="64">
        <v>0</v>
      </c>
      <c r="AT386" s="64">
        <v>0.25</v>
      </c>
      <c r="AU386" s="64">
        <v>0</v>
      </c>
      <c r="AV386" s="64">
        <v>0</v>
      </c>
      <c r="AW386" s="64">
        <v>0</v>
      </c>
      <c r="AX386" s="64">
        <v>0</v>
      </c>
    </row>
    <row r="388" spans="1:50" s="2" customFormat="1">
      <c r="A388"/>
      <c r="B388" s="2" t="s">
        <v>265</v>
      </c>
    </row>
    <row r="389" spans="1:50" ht="5.9" customHeight="1"/>
    <row r="390" spans="1:50" ht="14">
      <c r="C390" s="77" t="str">
        <f>Cust_Conn!B541</f>
        <v>Industrial &amp; Commercial (Tariff D)</v>
      </c>
      <c r="I390" s="37" t="str">
        <f>GC!H28</f>
        <v>Network</v>
      </c>
    </row>
    <row r="391" spans="1:50" ht="5.9" customHeight="1" outlineLevel="1"/>
    <row r="392" spans="1:50" outlineLevel="1">
      <c r="I392" s="242" t="s">
        <v>194</v>
      </c>
      <c r="J392" s="242"/>
      <c r="K392" s="242"/>
      <c r="L392" s="73"/>
      <c r="N392" s="242" t="s">
        <v>195</v>
      </c>
      <c r="O392" s="242"/>
      <c r="P392" s="242"/>
      <c r="Q392" s="242"/>
      <c r="R392" s="242"/>
      <c r="S392" s="242"/>
      <c r="T392" s="242"/>
      <c r="U392" s="242"/>
      <c r="V392" s="242"/>
      <c r="W392" s="242"/>
      <c r="X392" s="242"/>
      <c r="Y392" s="242"/>
      <c r="Z392" s="242"/>
      <c r="AA392" s="73"/>
      <c r="AC392" s="245" t="s">
        <v>196</v>
      </c>
      <c r="AD392" s="245"/>
      <c r="AE392" s="245"/>
      <c r="AF392" s="245"/>
      <c r="AG392" s="245"/>
      <c r="AH392" s="245"/>
      <c r="AI392" s="245"/>
      <c r="AJ392" s="245"/>
      <c r="AK392" s="245"/>
      <c r="AL392" s="245"/>
      <c r="AM392" s="245"/>
      <c r="AN392" s="245"/>
      <c r="AO392" s="245"/>
      <c r="AP392" s="73"/>
      <c r="AR392" s="242" t="s">
        <v>311</v>
      </c>
      <c r="AS392" s="242"/>
      <c r="AT392" s="242"/>
      <c r="AU392" s="242"/>
      <c r="AV392" s="242"/>
      <c r="AW392" s="242"/>
      <c r="AX392" s="242"/>
    </row>
    <row r="393" spans="1:50" ht="46" outlineLevel="1">
      <c r="D393" s="37" t="s">
        <v>160</v>
      </c>
      <c r="I393" s="57" t="s">
        <v>128</v>
      </c>
      <c r="J393" s="57" t="s">
        <v>129</v>
      </c>
      <c r="K393" s="57" t="s">
        <v>130</v>
      </c>
      <c r="L393" s="73"/>
      <c r="N393" s="57" t="str">
        <f ca="1">OFFSET(Cust_Conn!$E621,N394,,,)</f>
        <v>Transmission pipelines - post 1998</v>
      </c>
      <c r="O393" s="57" t="str">
        <f ca="1">OFFSET(Cust_Conn!$E621,O394,,,)</f>
        <v>Distribution pipelines - post 1998</v>
      </c>
      <c r="P393" s="57" t="str">
        <f ca="1">OFFSET(Cust_Conn!$E621,P394,,,)</f>
        <v>Service pipes - post 1998</v>
      </c>
      <c r="Q393" s="57" t="str">
        <f ca="1">OFFSET(Cust_Conn!$E621,Q394,,,)</f>
        <v>Cathodic protection - post 1998</v>
      </c>
      <c r="R393" s="57" t="str">
        <f ca="1">OFFSET(Cust_Conn!$E621,R394,,,)</f>
        <v>Supply Regulators / Valve Stations</v>
      </c>
      <c r="S393" s="57" t="str">
        <f ca="1">OFFSET(Cust_Conn!$E621,S394,,,)</f>
        <v>Meters</v>
      </c>
      <c r="T393" s="57" t="str">
        <f ca="1">OFFSET(Cust_Conn!$E621,T394,,,)</f>
        <v>SCADA and remote control</v>
      </c>
      <c r="U393" s="57" t="str">
        <f ca="1">OFFSET(Cust_Conn!$E621,U394,,,)</f>
        <v>Buildings</v>
      </c>
      <c r="V393" s="57" t="str">
        <f ca="1">OFFSET(Cust_Conn!$E621,V394,,,)</f>
        <v>Other - IT</v>
      </c>
      <c r="W393" s="57" t="str">
        <f ca="1">OFFSET(Cust_Conn!$E621,W394,,,)</f>
        <v>Other - non IT</v>
      </c>
      <c r="X393" s="57" t="str">
        <f ca="1">OFFSET(Cust_Conn!$E621,X394,,,)</f>
        <v>Land</v>
      </c>
      <c r="Y393" s="57" t="str">
        <f ca="1">OFFSET(Cust_Conn!$E621,Y394,,,)</f>
        <v>Capitalised Leases</v>
      </c>
      <c r="AA393" s="139"/>
      <c r="AC393" s="57" t="str">
        <f ca="1">OFFSET(Cust_Conn!$E704,AC394,,,)</f>
        <v>Mains replacement</v>
      </c>
      <c r="AD393" s="57" t="str">
        <f ca="1">OFFSET(Cust_Conn!$E704,AD394,,,)</f>
        <v>Residential new customer connections</v>
      </c>
      <c r="AE393" s="57" t="str">
        <f ca="1">OFFSET(Cust_Conn!$E704,AE394,,,)</f>
        <v>Commercial and industrial new customer connections</v>
      </c>
      <c r="AF393" s="57" t="str">
        <f ca="1">OFFSET(Cust_Conn!$E704,AF394,,,)</f>
        <v>Residential meter replacement</v>
      </c>
      <c r="AG393" s="57" t="str">
        <f ca="1">OFFSET(Cust_Conn!$E704,AG394,,,)</f>
        <v>Commercial and industrial meter replacement</v>
      </c>
      <c r="AH393" s="57" t="str">
        <f ca="1">OFFSET(Cust_Conn!$E704,AH394,,,)</f>
        <v>Augmentation</v>
      </c>
      <c r="AI393" s="57" t="str">
        <f ca="1">OFFSET(Cust_Conn!$E704,AI394,,,)</f>
        <v>IT capex</v>
      </c>
      <c r="AJ393" s="57" t="str">
        <f ca="1">OFFSET(Cust_Conn!$E704,AJ394,,,)</f>
        <v>SCADA</v>
      </c>
      <c r="AK393" s="57" t="str">
        <f ca="1">OFFSET(Cust_Conn!$E704,AK394,,,)</f>
        <v>Other</v>
      </c>
      <c r="AL393" s="57" t="str">
        <f ca="1">OFFSET(Cust_Conn!$E704,AL394,,,)</f>
        <v>Capitalised Leases</v>
      </c>
      <c r="AM393" s="57" t="str">
        <f ca="1">OFFSET(Cust_Conn!$E704,AM394,,,)</f>
        <v>Gas Extensions - Energy for the Regions</v>
      </c>
      <c r="AN393" s="57" t="str">
        <f ca="1">OFFSET(Cust_Conn!$E704,AN394,,,)</f>
        <v>Gas Extensions - Other</v>
      </c>
      <c r="AO393" s="57" t="str">
        <f ca="1">OFFSET(Cust_Conn!$E704,AO394,,,)</f>
        <v>Customer contributions</v>
      </c>
      <c r="AP393" s="73"/>
      <c r="AR393" s="57" t="str">
        <f ca="1">OFFSET(Cust_Conn!$E761,AR394,,,)</f>
        <v>Mains &amp; Services</v>
      </c>
      <c r="AS393" s="57" t="str">
        <f ca="1">OFFSET(Cust_Conn!$E761,AS394,,,)</f>
        <v>Meters Domestic</v>
      </c>
      <c r="AT393" s="57" t="str">
        <f ca="1">OFFSET(Cust_Conn!$E761,AT394,,,)</f>
        <v>Meters Industrial &amp; Commercial</v>
      </c>
      <c r="AU393" s="57" t="str">
        <f ca="1">OFFSET(Cust_Conn!$E761,AU394,,,)</f>
        <v>Buildings</v>
      </c>
      <c r="AV393" s="57" t="str">
        <f ca="1">OFFSET(Cust_Conn!$E761,AV394,,,)</f>
        <v>Other Assets</v>
      </c>
      <c r="AW393" s="57" t="str">
        <f ca="1">OFFSET(Cust_Conn!$E761,AW394,,,)</f>
        <v>Repairs</v>
      </c>
      <c r="AX393" s="57" t="str">
        <f ca="1">OFFSET(Cust_Conn!$E761,AX394,,,)</f>
        <v>Land</v>
      </c>
    </row>
    <row r="394" spans="1:50" hidden="1" outlineLevel="2">
      <c r="L394" s="73"/>
      <c r="N394" s="68">
        <v>13</v>
      </c>
      <c r="O394" s="68">
        <v>14</v>
      </c>
      <c r="P394" s="68">
        <v>15</v>
      </c>
      <c r="Q394" s="68">
        <v>16</v>
      </c>
      <c r="R394" s="68">
        <v>5</v>
      </c>
      <c r="S394" s="68">
        <v>6</v>
      </c>
      <c r="T394" s="68">
        <v>7</v>
      </c>
      <c r="U394" s="68">
        <v>8</v>
      </c>
      <c r="V394" s="68">
        <v>9</v>
      </c>
      <c r="W394" s="68">
        <v>10</v>
      </c>
      <c r="X394" s="68">
        <v>11</v>
      </c>
      <c r="Y394" s="142">
        <v>12</v>
      </c>
      <c r="AA394" s="73"/>
      <c r="AC394" s="68">
        <v>1</v>
      </c>
      <c r="AD394" s="68">
        <v>2</v>
      </c>
      <c r="AE394" s="68">
        <v>3</v>
      </c>
      <c r="AF394" s="68">
        <v>4</v>
      </c>
      <c r="AG394" s="68">
        <v>5</v>
      </c>
      <c r="AH394" s="68">
        <v>6</v>
      </c>
      <c r="AI394" s="68">
        <v>7</v>
      </c>
      <c r="AJ394" s="68">
        <v>8</v>
      </c>
      <c r="AK394" s="68">
        <v>9</v>
      </c>
      <c r="AL394" s="67">
        <v>10</v>
      </c>
      <c r="AM394" s="67">
        <v>11</v>
      </c>
      <c r="AN394" s="136">
        <v>12</v>
      </c>
      <c r="AO394" s="67">
        <v>13</v>
      </c>
      <c r="AP394" s="73"/>
      <c r="AR394" s="68">
        <v>1</v>
      </c>
      <c r="AS394" s="68">
        <v>2</v>
      </c>
      <c r="AT394" s="68">
        <v>3</v>
      </c>
      <c r="AU394" s="68">
        <v>4</v>
      </c>
      <c r="AV394" s="68">
        <v>5</v>
      </c>
      <c r="AW394" s="68">
        <v>6</v>
      </c>
      <c r="AX394" s="138">
        <v>7</v>
      </c>
    </row>
    <row r="395" spans="1:50" ht="5.9" customHeight="1" outlineLevel="1" collapsed="1">
      <c r="L395" s="73"/>
      <c r="Y395" s="145"/>
      <c r="AA395" s="73"/>
      <c r="AP395" s="73"/>
    </row>
    <row r="396" spans="1:50" outlineLevel="1">
      <c r="D396" s="241" t="s">
        <v>303</v>
      </c>
      <c r="E396" s="241"/>
      <c r="F396" s="241"/>
      <c r="G396" s="241"/>
      <c r="I396" s="64">
        <v>0.04</v>
      </c>
      <c r="J396" s="64">
        <v>0.76</v>
      </c>
      <c r="K396" s="65">
        <f>1-SUM(I396:J396)</f>
        <v>0.19999999999999996</v>
      </c>
      <c r="L396" s="73"/>
      <c r="N396" s="64">
        <v>0</v>
      </c>
      <c r="O396" s="64">
        <v>0.75</v>
      </c>
      <c r="P396" s="64">
        <v>0.05</v>
      </c>
      <c r="Q396" s="64">
        <v>0</v>
      </c>
      <c r="R396" s="64">
        <v>0</v>
      </c>
      <c r="S396" s="64">
        <v>0.2</v>
      </c>
      <c r="T396" s="64">
        <v>0</v>
      </c>
      <c r="U396" s="64">
        <v>0</v>
      </c>
      <c r="V396" s="64">
        <v>0</v>
      </c>
      <c r="W396" s="64">
        <v>0</v>
      </c>
      <c r="X396" s="64">
        <v>0</v>
      </c>
      <c r="Y396" s="64">
        <v>0</v>
      </c>
      <c r="AA396" s="73"/>
      <c r="AC396" s="64">
        <v>0</v>
      </c>
      <c r="AD396" s="64">
        <v>0</v>
      </c>
      <c r="AE396" s="64">
        <v>1</v>
      </c>
      <c r="AF396" s="64">
        <v>0</v>
      </c>
      <c r="AG396" s="64">
        <v>0</v>
      </c>
      <c r="AH396" s="64">
        <v>0</v>
      </c>
      <c r="AI396" s="64">
        <v>0</v>
      </c>
      <c r="AJ396" s="64">
        <v>0</v>
      </c>
      <c r="AK396" s="64">
        <v>0</v>
      </c>
      <c r="AL396" s="64">
        <v>0</v>
      </c>
      <c r="AM396" s="64">
        <v>0</v>
      </c>
      <c r="AN396" s="64">
        <v>0</v>
      </c>
      <c r="AO396" s="147">
        <v>0</v>
      </c>
      <c r="AP396" s="73"/>
      <c r="AR396" s="64">
        <v>0.8</v>
      </c>
      <c r="AS396" s="64">
        <v>0</v>
      </c>
      <c r="AT396" s="64">
        <v>0.2</v>
      </c>
      <c r="AU396" s="64">
        <v>0</v>
      </c>
      <c r="AV396" s="64">
        <v>0</v>
      </c>
      <c r="AW396" s="64">
        <v>0</v>
      </c>
      <c r="AX396" s="64">
        <v>0</v>
      </c>
    </row>
    <row r="397" spans="1:50" outlineLevel="1">
      <c r="D397" s="241" t="s">
        <v>123</v>
      </c>
      <c r="E397" s="241"/>
      <c r="F397" s="241"/>
      <c r="G397" s="241"/>
      <c r="I397" s="64">
        <v>0</v>
      </c>
      <c r="J397" s="64">
        <v>0</v>
      </c>
      <c r="K397" s="65">
        <f>1-SUM(I397:J397)</f>
        <v>1</v>
      </c>
      <c r="L397" s="73"/>
      <c r="N397" s="64">
        <v>0</v>
      </c>
      <c r="O397" s="64">
        <v>0</v>
      </c>
      <c r="P397" s="64">
        <v>0</v>
      </c>
      <c r="Q397" s="64">
        <v>0</v>
      </c>
      <c r="R397" s="64">
        <v>0</v>
      </c>
      <c r="S397" s="64">
        <v>0</v>
      </c>
      <c r="T397" s="64">
        <v>0</v>
      </c>
      <c r="U397" s="64">
        <v>0</v>
      </c>
      <c r="V397" s="64">
        <v>0</v>
      </c>
      <c r="W397" s="64">
        <v>0</v>
      </c>
      <c r="X397" s="64">
        <v>0</v>
      </c>
      <c r="Y397" s="64">
        <v>0</v>
      </c>
      <c r="AA397" s="73"/>
      <c r="AC397" s="64">
        <v>0</v>
      </c>
      <c r="AD397" s="64">
        <v>0</v>
      </c>
      <c r="AE397" s="64">
        <v>0</v>
      </c>
      <c r="AF397" s="64">
        <v>0</v>
      </c>
      <c r="AG397" s="64">
        <v>0</v>
      </c>
      <c r="AH397" s="64">
        <v>0</v>
      </c>
      <c r="AI397" s="64">
        <v>0</v>
      </c>
      <c r="AJ397" s="64">
        <v>0</v>
      </c>
      <c r="AK397" s="64">
        <v>0</v>
      </c>
      <c r="AL397" s="64">
        <v>0</v>
      </c>
      <c r="AM397" s="64">
        <v>0</v>
      </c>
      <c r="AN397" s="64">
        <v>0</v>
      </c>
      <c r="AO397" s="147">
        <v>0</v>
      </c>
      <c r="AP397" s="73"/>
      <c r="AR397" s="64">
        <v>0</v>
      </c>
      <c r="AS397" s="64">
        <v>0</v>
      </c>
      <c r="AT397" s="64">
        <v>0</v>
      </c>
      <c r="AU397" s="64">
        <v>0</v>
      </c>
      <c r="AV397" s="64">
        <v>0</v>
      </c>
      <c r="AW397" s="64">
        <v>0</v>
      </c>
      <c r="AX397" s="64">
        <v>0</v>
      </c>
    </row>
    <row r="398" spans="1:50" outlineLevel="1">
      <c r="L398" s="73"/>
      <c r="AA398" s="73"/>
      <c r="AC398" s="105" t="s">
        <v>458</v>
      </c>
      <c r="AP398" s="73"/>
    </row>
    <row r="399" spans="1:50" outlineLevel="1">
      <c r="C399" s="37" t="s">
        <v>367</v>
      </c>
      <c r="L399" s="73"/>
      <c r="AA399" s="73"/>
      <c r="AP399" s="73"/>
    </row>
    <row r="400" spans="1:50" ht="5.9" customHeight="1" outlineLevel="1">
      <c r="L400" s="73"/>
      <c r="AA400" s="73"/>
      <c r="AP400" s="73"/>
    </row>
    <row r="401" spans="1:50" outlineLevel="1">
      <c r="D401" s="241" t="s">
        <v>378</v>
      </c>
      <c r="E401" s="241"/>
      <c r="F401" s="241"/>
      <c r="G401" s="241"/>
      <c r="L401" s="73"/>
      <c r="N401" s="64">
        <v>0</v>
      </c>
      <c r="O401" s="64">
        <v>0</v>
      </c>
      <c r="P401" s="64">
        <v>0.8</v>
      </c>
      <c r="Q401" s="64">
        <v>0</v>
      </c>
      <c r="R401" s="64">
        <v>0</v>
      </c>
      <c r="S401" s="64">
        <v>0.2</v>
      </c>
      <c r="T401" s="64">
        <v>0</v>
      </c>
      <c r="U401" s="64">
        <v>0</v>
      </c>
      <c r="V401" s="64">
        <v>0</v>
      </c>
      <c r="W401" s="64">
        <v>0</v>
      </c>
      <c r="X401" s="64">
        <v>0</v>
      </c>
      <c r="Y401" s="64">
        <v>0</v>
      </c>
      <c r="AA401" s="73"/>
      <c r="AC401" s="64">
        <v>0</v>
      </c>
      <c r="AD401" s="64">
        <v>0</v>
      </c>
      <c r="AE401" s="64">
        <v>1</v>
      </c>
      <c r="AF401" s="64">
        <v>0</v>
      </c>
      <c r="AG401" s="64">
        <v>0</v>
      </c>
      <c r="AH401" s="64">
        <v>0</v>
      </c>
      <c r="AI401" s="64">
        <v>0</v>
      </c>
      <c r="AJ401" s="64">
        <v>0</v>
      </c>
      <c r="AK401" s="64">
        <v>0</v>
      </c>
      <c r="AL401" s="64">
        <v>0</v>
      </c>
      <c r="AM401" s="64">
        <v>0</v>
      </c>
      <c r="AN401" s="64">
        <v>0</v>
      </c>
      <c r="AO401" s="147">
        <v>0</v>
      </c>
      <c r="AP401" s="73"/>
      <c r="AR401" s="64">
        <v>0.8</v>
      </c>
      <c r="AS401" s="64">
        <v>0</v>
      </c>
      <c r="AT401" s="64">
        <v>0.2</v>
      </c>
      <c r="AU401" s="64">
        <v>0</v>
      </c>
      <c r="AV401" s="64">
        <v>0</v>
      </c>
      <c r="AW401" s="64">
        <v>0</v>
      </c>
      <c r="AX401" s="64">
        <v>0</v>
      </c>
    </row>
    <row r="402" spans="1:50" outlineLevel="1">
      <c r="D402" s="241" t="s">
        <v>379</v>
      </c>
      <c r="E402" s="241"/>
      <c r="F402" s="241"/>
      <c r="G402" s="241"/>
      <c r="L402" s="73"/>
      <c r="N402" s="64">
        <v>0</v>
      </c>
      <c r="O402" s="64">
        <v>0</v>
      </c>
      <c r="P402" s="64">
        <v>0.8</v>
      </c>
      <c r="Q402" s="64">
        <v>0</v>
      </c>
      <c r="R402" s="64">
        <v>0</v>
      </c>
      <c r="S402" s="64">
        <v>0.2</v>
      </c>
      <c r="T402" s="64">
        <v>0</v>
      </c>
      <c r="U402" s="64">
        <v>0</v>
      </c>
      <c r="V402" s="64">
        <v>0</v>
      </c>
      <c r="W402" s="64">
        <v>0</v>
      </c>
      <c r="X402" s="64">
        <v>0</v>
      </c>
      <c r="Y402" s="64">
        <v>0</v>
      </c>
      <c r="AA402" s="73"/>
      <c r="AC402" s="64">
        <v>0</v>
      </c>
      <c r="AD402" s="64">
        <v>0</v>
      </c>
      <c r="AE402" s="64">
        <v>1</v>
      </c>
      <c r="AF402" s="64">
        <v>0</v>
      </c>
      <c r="AG402" s="64">
        <v>0</v>
      </c>
      <c r="AH402" s="64">
        <v>0</v>
      </c>
      <c r="AI402" s="64">
        <v>0</v>
      </c>
      <c r="AJ402" s="64">
        <v>0</v>
      </c>
      <c r="AK402" s="64">
        <v>0</v>
      </c>
      <c r="AL402" s="64">
        <v>0</v>
      </c>
      <c r="AM402" s="64">
        <v>0</v>
      </c>
      <c r="AN402" s="64">
        <v>0</v>
      </c>
      <c r="AO402" s="147">
        <v>0</v>
      </c>
      <c r="AP402" s="73"/>
      <c r="AR402" s="64">
        <v>0.8</v>
      </c>
      <c r="AS402" s="64">
        <v>0</v>
      </c>
      <c r="AT402" s="64">
        <v>0.2</v>
      </c>
      <c r="AU402" s="64">
        <v>0</v>
      </c>
      <c r="AV402" s="64">
        <v>0</v>
      </c>
      <c r="AW402" s="64">
        <v>0</v>
      </c>
      <c r="AX402" s="64">
        <v>0</v>
      </c>
    </row>
    <row r="404" spans="1:50" s="2" customFormat="1">
      <c r="A404"/>
      <c r="B404" s="2" t="s">
        <v>267</v>
      </c>
    </row>
    <row r="405" spans="1:50" ht="5.9" customHeight="1"/>
    <row r="406" spans="1:50" ht="14">
      <c r="C406" s="77" t="str">
        <f>Cust_Conn!B796</f>
        <v>Major Alterations</v>
      </c>
      <c r="I406" s="37" t="str">
        <f>GC!H29</f>
        <v>Network</v>
      </c>
    </row>
    <row r="407" spans="1:50" ht="5.9" customHeight="1" outlineLevel="1"/>
    <row r="408" spans="1:50" outlineLevel="1">
      <c r="I408" s="242" t="s">
        <v>194</v>
      </c>
      <c r="J408" s="242"/>
      <c r="K408" s="242"/>
      <c r="L408" s="73"/>
      <c r="N408" s="242" t="s">
        <v>195</v>
      </c>
      <c r="O408" s="242"/>
      <c r="P408" s="242"/>
      <c r="Q408" s="242"/>
      <c r="R408" s="242"/>
      <c r="S408" s="242"/>
      <c r="T408" s="242"/>
      <c r="U408" s="242"/>
      <c r="V408" s="242"/>
      <c r="W408" s="242"/>
      <c r="X408" s="242"/>
      <c r="Y408" s="242"/>
      <c r="Z408" s="242"/>
      <c r="AA408" s="73"/>
      <c r="AC408" s="245" t="s">
        <v>196</v>
      </c>
      <c r="AD408" s="245"/>
      <c r="AE408" s="245"/>
      <c r="AF408" s="245"/>
      <c r="AG408" s="245"/>
      <c r="AH408" s="245"/>
      <c r="AI408" s="245"/>
      <c r="AJ408" s="245"/>
      <c r="AK408" s="245"/>
      <c r="AL408" s="245"/>
      <c r="AM408" s="245"/>
      <c r="AN408" s="245"/>
      <c r="AO408" s="245"/>
      <c r="AP408" s="73"/>
      <c r="AR408" s="242" t="s">
        <v>311</v>
      </c>
      <c r="AS408" s="242"/>
      <c r="AT408" s="242"/>
      <c r="AU408" s="242"/>
      <c r="AV408" s="242"/>
      <c r="AW408" s="242"/>
      <c r="AX408" s="242"/>
    </row>
    <row r="409" spans="1:50" ht="46" outlineLevel="1">
      <c r="D409" s="37" t="s">
        <v>160</v>
      </c>
      <c r="I409" s="57" t="s">
        <v>128</v>
      </c>
      <c r="J409" s="57" t="s">
        <v>129</v>
      </c>
      <c r="K409" s="57" t="s">
        <v>130</v>
      </c>
      <c r="L409" s="73"/>
      <c r="N409" s="57" t="str">
        <f ca="1">OFFSET(Cust_Conn!$E876,N410,,,)</f>
        <v>Transmission pipelines - post 1998</v>
      </c>
      <c r="O409" s="57" t="str">
        <f ca="1">OFFSET(Cust_Conn!$E876,O410,,,)</f>
        <v>Distribution pipelines - post 1998</v>
      </c>
      <c r="P409" s="57" t="str">
        <f ca="1">OFFSET(Cust_Conn!$E876,P410,,,)</f>
        <v>Service pipes - post 1998</v>
      </c>
      <c r="Q409" s="57" t="str">
        <f ca="1">OFFSET(Cust_Conn!$E876,Q410,,,)</f>
        <v>Cathodic protection - post 1998</v>
      </c>
      <c r="R409" s="57" t="str">
        <f ca="1">OFFSET(Cust_Conn!$E876,R410,,,)</f>
        <v>Supply Regulators / Valve Stations</v>
      </c>
      <c r="S409" s="57" t="str">
        <f ca="1">OFFSET(Cust_Conn!$E876,S410,,,)</f>
        <v>Meters</v>
      </c>
      <c r="T409" s="57" t="str">
        <f ca="1">OFFSET(Cust_Conn!$E876,T410,,,)</f>
        <v>SCADA and remote control</v>
      </c>
      <c r="U409" s="57" t="str">
        <f ca="1">OFFSET(Cust_Conn!$E876,U410,,,)</f>
        <v>Buildings</v>
      </c>
      <c r="V409" s="57" t="str">
        <f ca="1">OFFSET(Cust_Conn!$E876,V410,,,)</f>
        <v>Other - IT</v>
      </c>
      <c r="W409" s="57" t="str">
        <f ca="1">OFFSET(Cust_Conn!$E876,W410,,,)</f>
        <v>Other - non IT</v>
      </c>
      <c r="X409" s="57" t="str">
        <f ca="1">OFFSET(Cust_Conn!$E876,X410,,,)</f>
        <v>Land</v>
      </c>
      <c r="Y409" s="57" t="str">
        <f ca="1">OFFSET(Cust_Conn!$E876,Y410,,,)</f>
        <v>Capitalised Leases</v>
      </c>
      <c r="AA409" s="139"/>
      <c r="AC409" s="57" t="str">
        <f ca="1">OFFSET(Cust_Conn!$E959,AC410,,,)</f>
        <v>Mains replacement</v>
      </c>
      <c r="AD409" s="57" t="str">
        <f ca="1">OFFSET(Cust_Conn!$E959,AD410,,,)</f>
        <v>Residential new customer connections</v>
      </c>
      <c r="AE409" s="57" t="str">
        <f ca="1">OFFSET(Cust_Conn!$E959,AE410,,,)</f>
        <v>Commercial and industrial new customer connections</v>
      </c>
      <c r="AF409" s="57" t="str">
        <f ca="1">OFFSET(Cust_Conn!$E959,AF410,,,)</f>
        <v>Residential meter replacement</v>
      </c>
      <c r="AG409" s="57" t="str">
        <f ca="1">OFFSET(Cust_Conn!$E959,AG410,,,)</f>
        <v>Commercial and industrial meter replacement</v>
      </c>
      <c r="AH409" s="57" t="str">
        <f ca="1">OFFSET(Cust_Conn!$E959,AH410,,,)</f>
        <v>Augmentation</v>
      </c>
      <c r="AI409" s="57" t="str">
        <f ca="1">OFFSET(Cust_Conn!$E959,AI410,,,)</f>
        <v>IT capex</v>
      </c>
      <c r="AJ409" s="57" t="str">
        <f ca="1">OFFSET(Cust_Conn!$E959,AJ410,,,)</f>
        <v>SCADA</v>
      </c>
      <c r="AK409" s="57" t="str">
        <f ca="1">OFFSET(Cust_Conn!$E959,AK410,,,)</f>
        <v>Other</v>
      </c>
      <c r="AL409" s="57" t="str">
        <f ca="1">OFFSET(Cust_Conn!$E959,AL410,,,)</f>
        <v>Capitalised Leases</v>
      </c>
      <c r="AM409" s="57" t="str">
        <f ca="1">OFFSET(Cust_Conn!$E959,AM410,,,)</f>
        <v>Gas Extensions - Energy for the Regions</v>
      </c>
      <c r="AN409" s="57" t="str">
        <f ca="1">OFFSET(Cust_Conn!$E959,AN410,,,)</f>
        <v>Gas Extensions - Other</v>
      </c>
      <c r="AO409" s="57" t="str">
        <f ca="1">OFFSET(Cust_Conn!$E959,AO410,,,)</f>
        <v>Customer contributions</v>
      </c>
      <c r="AP409" s="73"/>
      <c r="AR409" s="57" t="str">
        <f ca="1">OFFSET(Cust_Conn!$E1016,AR410,,,)</f>
        <v>Mains &amp; Services</v>
      </c>
      <c r="AS409" s="57" t="str">
        <f ca="1">OFFSET(Cust_Conn!$E1016,AS410,,,)</f>
        <v>Meters Domestic</v>
      </c>
      <c r="AT409" s="57" t="str">
        <f ca="1">OFFSET(Cust_Conn!$E1016,AT410,,,)</f>
        <v>Meters Industrial &amp; Commercial</v>
      </c>
      <c r="AU409" s="57" t="str">
        <f ca="1">OFFSET(Cust_Conn!$E1016,AU410,,,)</f>
        <v>Buildings</v>
      </c>
      <c r="AV409" s="57" t="str">
        <f ca="1">OFFSET(Cust_Conn!$E1016,AV410,,,)</f>
        <v>Other Assets</v>
      </c>
      <c r="AW409" s="57" t="str">
        <f ca="1">OFFSET(Cust_Conn!$E1016,AW410,,,)</f>
        <v>Repairs</v>
      </c>
      <c r="AX409" s="57" t="str">
        <f ca="1">OFFSET(Cust_Conn!$E1016,AX410,,,)</f>
        <v>Land</v>
      </c>
    </row>
    <row r="410" spans="1:50" hidden="1" outlineLevel="2">
      <c r="L410" s="73"/>
      <c r="N410" s="68">
        <v>13</v>
      </c>
      <c r="O410" s="68">
        <v>14</v>
      </c>
      <c r="P410" s="68">
        <v>15</v>
      </c>
      <c r="Q410" s="68">
        <v>16</v>
      </c>
      <c r="R410" s="68">
        <v>5</v>
      </c>
      <c r="S410" s="68">
        <v>6</v>
      </c>
      <c r="T410" s="68">
        <v>7</v>
      </c>
      <c r="U410" s="68">
        <v>8</v>
      </c>
      <c r="V410" s="68">
        <v>9</v>
      </c>
      <c r="W410" s="68">
        <v>10</v>
      </c>
      <c r="X410" s="68">
        <v>11</v>
      </c>
      <c r="Y410" s="142">
        <v>12</v>
      </c>
      <c r="AA410" s="73"/>
      <c r="AC410" s="68">
        <v>1</v>
      </c>
      <c r="AD410" s="68">
        <v>2</v>
      </c>
      <c r="AE410" s="68">
        <v>3</v>
      </c>
      <c r="AF410" s="68">
        <v>4</v>
      </c>
      <c r="AG410" s="68">
        <v>5</v>
      </c>
      <c r="AH410" s="68">
        <v>6</v>
      </c>
      <c r="AI410" s="68">
        <v>7</v>
      </c>
      <c r="AJ410" s="68">
        <v>8</v>
      </c>
      <c r="AK410" s="68">
        <v>9</v>
      </c>
      <c r="AL410" s="67">
        <v>10</v>
      </c>
      <c r="AM410" s="67">
        <v>11</v>
      </c>
      <c r="AN410" s="136">
        <v>12</v>
      </c>
      <c r="AO410" s="67">
        <v>13</v>
      </c>
      <c r="AP410" s="73"/>
      <c r="AR410" s="68">
        <v>1</v>
      </c>
      <c r="AS410" s="68">
        <v>2</v>
      </c>
      <c r="AT410" s="68">
        <v>3</v>
      </c>
      <c r="AU410" s="68">
        <v>4</v>
      </c>
      <c r="AV410" s="68">
        <v>5</v>
      </c>
      <c r="AW410" s="68">
        <v>6</v>
      </c>
      <c r="AX410" s="138">
        <v>7</v>
      </c>
    </row>
    <row r="411" spans="1:50" ht="5.9" customHeight="1" outlineLevel="1" collapsed="1">
      <c r="L411" s="73"/>
      <c r="Y411" s="145"/>
      <c r="AA411" s="73"/>
      <c r="AP411" s="73"/>
    </row>
    <row r="412" spans="1:50" outlineLevel="1">
      <c r="D412" s="241" t="s">
        <v>181</v>
      </c>
      <c r="E412" s="241"/>
      <c r="F412" s="241"/>
      <c r="G412" s="241"/>
      <c r="I412" s="64">
        <v>0.06</v>
      </c>
      <c r="J412" s="64">
        <v>0.54</v>
      </c>
      <c r="K412" s="65">
        <f>1-SUM(I412:J412)</f>
        <v>0.39999999999999991</v>
      </c>
      <c r="L412" s="73"/>
      <c r="N412" s="64">
        <v>0</v>
      </c>
      <c r="O412" s="64">
        <v>0.9</v>
      </c>
      <c r="P412" s="64">
        <v>0.1</v>
      </c>
      <c r="Q412" s="64">
        <v>0</v>
      </c>
      <c r="R412" s="64">
        <v>0</v>
      </c>
      <c r="S412" s="64">
        <v>0</v>
      </c>
      <c r="T412" s="64">
        <v>0</v>
      </c>
      <c r="U412" s="64">
        <v>0</v>
      </c>
      <c r="V412" s="64">
        <v>0</v>
      </c>
      <c r="W412" s="64">
        <v>0</v>
      </c>
      <c r="X412" s="64">
        <v>0</v>
      </c>
      <c r="Y412" s="64">
        <v>0</v>
      </c>
      <c r="AA412" s="73"/>
      <c r="AC412" s="64">
        <v>0</v>
      </c>
      <c r="AD412" s="64">
        <v>0</v>
      </c>
      <c r="AE412" s="64">
        <v>0</v>
      </c>
      <c r="AF412" s="64">
        <v>0</v>
      </c>
      <c r="AG412" s="64">
        <v>0</v>
      </c>
      <c r="AH412" s="64">
        <v>0</v>
      </c>
      <c r="AI412" s="64">
        <v>0</v>
      </c>
      <c r="AJ412" s="64">
        <v>0</v>
      </c>
      <c r="AK412" s="64">
        <v>1</v>
      </c>
      <c r="AL412" s="64">
        <v>0</v>
      </c>
      <c r="AM412" s="64">
        <v>0</v>
      </c>
      <c r="AN412" s="64">
        <v>0</v>
      </c>
      <c r="AO412" s="147">
        <v>0</v>
      </c>
      <c r="AP412" s="73"/>
      <c r="AR412" s="64">
        <v>1</v>
      </c>
      <c r="AS412" s="64">
        <v>0</v>
      </c>
      <c r="AT412" s="64">
        <v>0</v>
      </c>
      <c r="AU412" s="64">
        <v>0</v>
      </c>
      <c r="AV412" s="64">
        <v>0</v>
      </c>
      <c r="AW412" s="64">
        <v>0</v>
      </c>
      <c r="AX412" s="64">
        <v>0</v>
      </c>
    </row>
    <row r="413" spans="1:50" outlineLevel="1">
      <c r="D413" s="241" t="s">
        <v>335</v>
      </c>
      <c r="E413" s="241"/>
      <c r="F413" s="241"/>
      <c r="G413" s="241"/>
      <c r="I413" s="64">
        <v>0</v>
      </c>
      <c r="J413" s="64">
        <v>0</v>
      </c>
      <c r="K413" s="65">
        <f>1-SUM(I413:J413)</f>
        <v>1</v>
      </c>
      <c r="L413" s="73"/>
      <c r="N413" s="64">
        <v>0</v>
      </c>
      <c r="O413" s="64">
        <v>0</v>
      </c>
      <c r="P413" s="64">
        <v>0</v>
      </c>
      <c r="Q413" s="64">
        <v>0</v>
      </c>
      <c r="R413" s="64">
        <v>0</v>
      </c>
      <c r="S413" s="64">
        <v>0</v>
      </c>
      <c r="T413" s="64">
        <v>0</v>
      </c>
      <c r="U413" s="64">
        <v>0</v>
      </c>
      <c r="V413" s="64">
        <v>0</v>
      </c>
      <c r="W413" s="64">
        <v>0</v>
      </c>
      <c r="X413" s="64">
        <v>0</v>
      </c>
      <c r="Y413" s="64">
        <v>0</v>
      </c>
      <c r="AA413" s="73"/>
      <c r="AC413" s="64">
        <v>0</v>
      </c>
      <c r="AD413" s="64">
        <v>0</v>
      </c>
      <c r="AE413" s="64">
        <v>0</v>
      </c>
      <c r="AF413" s="64">
        <v>0</v>
      </c>
      <c r="AG413" s="64">
        <v>0</v>
      </c>
      <c r="AH413" s="64">
        <v>0</v>
      </c>
      <c r="AI413" s="64">
        <v>0</v>
      </c>
      <c r="AJ413" s="64">
        <v>0</v>
      </c>
      <c r="AK413" s="64">
        <v>0</v>
      </c>
      <c r="AL413" s="64">
        <v>0</v>
      </c>
      <c r="AM413" s="64">
        <v>0</v>
      </c>
      <c r="AN413" s="64">
        <v>0</v>
      </c>
      <c r="AO413" s="147">
        <v>0</v>
      </c>
      <c r="AP413" s="73"/>
      <c r="AR413" s="64">
        <v>0</v>
      </c>
      <c r="AS413" s="64">
        <v>0</v>
      </c>
      <c r="AT413" s="64">
        <v>0</v>
      </c>
      <c r="AU413" s="64">
        <v>0</v>
      </c>
      <c r="AV413" s="64">
        <v>0</v>
      </c>
      <c r="AW413" s="64">
        <v>0</v>
      </c>
      <c r="AX413" s="64">
        <v>0</v>
      </c>
    </row>
    <row r="414" spans="1:50" outlineLevel="1">
      <c r="L414" s="73"/>
      <c r="AA414" s="73"/>
      <c r="AC414" s="105" t="s">
        <v>458</v>
      </c>
      <c r="AP414" s="73"/>
    </row>
    <row r="415" spans="1:50" outlineLevel="1">
      <c r="C415" s="37" t="s">
        <v>367</v>
      </c>
      <c r="L415" s="73"/>
      <c r="AA415" s="73"/>
      <c r="AP415" s="73"/>
    </row>
    <row r="416" spans="1:50" ht="5.9" customHeight="1" outlineLevel="1">
      <c r="L416" s="73"/>
      <c r="AA416" s="73"/>
      <c r="AP416" s="73"/>
    </row>
    <row r="417" spans="1:50" outlineLevel="1">
      <c r="D417" s="241" t="s">
        <v>382</v>
      </c>
      <c r="E417" s="241"/>
      <c r="F417" s="241"/>
      <c r="G417" s="241"/>
      <c r="L417" s="73"/>
      <c r="N417" s="64">
        <v>0</v>
      </c>
      <c r="O417" s="64">
        <v>0.9</v>
      </c>
      <c r="P417" s="64">
        <v>0.1</v>
      </c>
      <c r="Q417" s="64">
        <v>0</v>
      </c>
      <c r="R417" s="64">
        <v>0</v>
      </c>
      <c r="S417" s="64">
        <v>0</v>
      </c>
      <c r="T417" s="64">
        <v>0</v>
      </c>
      <c r="U417" s="64">
        <v>0</v>
      </c>
      <c r="V417" s="64">
        <v>0</v>
      </c>
      <c r="W417" s="64">
        <v>0</v>
      </c>
      <c r="X417" s="64">
        <v>0</v>
      </c>
      <c r="Y417" s="64">
        <v>0</v>
      </c>
      <c r="AA417" s="73"/>
      <c r="AC417" s="64">
        <v>0</v>
      </c>
      <c r="AD417" s="64">
        <v>0</v>
      </c>
      <c r="AE417" s="64">
        <v>0</v>
      </c>
      <c r="AF417" s="64">
        <v>0</v>
      </c>
      <c r="AG417" s="64">
        <v>0</v>
      </c>
      <c r="AH417" s="64">
        <v>0</v>
      </c>
      <c r="AI417" s="64">
        <v>0</v>
      </c>
      <c r="AJ417" s="64">
        <v>0</v>
      </c>
      <c r="AK417" s="64">
        <v>1</v>
      </c>
      <c r="AL417" s="64">
        <v>0</v>
      </c>
      <c r="AM417" s="64">
        <v>0</v>
      </c>
      <c r="AN417" s="64">
        <v>0</v>
      </c>
      <c r="AO417" s="147">
        <v>0</v>
      </c>
      <c r="AP417" s="73"/>
      <c r="AR417" s="64">
        <v>1</v>
      </c>
      <c r="AS417" s="64">
        <v>0</v>
      </c>
      <c r="AT417" s="64">
        <v>0</v>
      </c>
      <c r="AU417" s="64">
        <v>0</v>
      </c>
      <c r="AV417" s="64">
        <v>0</v>
      </c>
      <c r="AW417" s="64">
        <v>0</v>
      </c>
      <c r="AX417" s="64">
        <v>0</v>
      </c>
    </row>
    <row r="418" spans="1:50" outlineLevel="1">
      <c r="D418" s="241" t="s">
        <v>383</v>
      </c>
      <c r="E418" s="241"/>
      <c r="F418" s="241"/>
      <c r="G418" s="241"/>
      <c r="L418" s="73"/>
      <c r="N418" s="64">
        <v>0</v>
      </c>
      <c r="O418" s="64">
        <v>0.9</v>
      </c>
      <c r="P418" s="64">
        <v>0.1</v>
      </c>
      <c r="Q418" s="64">
        <v>0</v>
      </c>
      <c r="R418" s="64">
        <v>0</v>
      </c>
      <c r="S418" s="64">
        <v>0</v>
      </c>
      <c r="T418" s="64">
        <v>0</v>
      </c>
      <c r="U418" s="64">
        <v>0</v>
      </c>
      <c r="V418" s="64">
        <v>0</v>
      </c>
      <c r="W418" s="64">
        <v>0</v>
      </c>
      <c r="X418" s="64">
        <v>0</v>
      </c>
      <c r="Y418" s="64">
        <v>0</v>
      </c>
      <c r="AA418" s="73"/>
      <c r="AC418" s="64">
        <v>0</v>
      </c>
      <c r="AD418" s="64">
        <v>0</v>
      </c>
      <c r="AE418" s="64">
        <v>0</v>
      </c>
      <c r="AF418" s="64">
        <v>0</v>
      </c>
      <c r="AG418" s="64">
        <v>0</v>
      </c>
      <c r="AH418" s="64">
        <v>0</v>
      </c>
      <c r="AI418" s="64">
        <v>0</v>
      </c>
      <c r="AJ418" s="64">
        <v>0</v>
      </c>
      <c r="AK418" s="64">
        <v>1</v>
      </c>
      <c r="AL418" s="64">
        <v>0</v>
      </c>
      <c r="AM418" s="64">
        <v>0</v>
      </c>
      <c r="AN418" s="64">
        <v>0</v>
      </c>
      <c r="AO418" s="147">
        <v>0</v>
      </c>
      <c r="AP418" s="73"/>
      <c r="AR418" s="64">
        <v>1</v>
      </c>
      <c r="AS418" s="64">
        <v>0</v>
      </c>
      <c r="AT418" s="64">
        <v>0</v>
      </c>
      <c r="AU418" s="64">
        <v>0</v>
      </c>
      <c r="AV418" s="64">
        <v>0</v>
      </c>
      <c r="AW418" s="64">
        <v>0</v>
      </c>
      <c r="AX418" s="64">
        <v>0</v>
      </c>
    </row>
    <row r="420" spans="1:50" s="2" customFormat="1">
      <c r="A420"/>
      <c r="B420" s="2" t="s">
        <v>269</v>
      </c>
    </row>
    <row r="421" spans="1:50" ht="5.9" customHeight="1"/>
    <row r="422" spans="1:50" ht="14">
      <c r="C422" s="77" t="str">
        <f>New_Towns!B25</f>
        <v>Extensions - New Towns</v>
      </c>
      <c r="I422" s="37" t="str">
        <f>GC!H30</f>
        <v>Network</v>
      </c>
    </row>
    <row r="423" spans="1:50" ht="5.9" customHeight="1" outlineLevel="1"/>
    <row r="424" spans="1:50" outlineLevel="1">
      <c r="I424" s="242" t="s">
        <v>194</v>
      </c>
      <c r="J424" s="242"/>
      <c r="K424" s="242"/>
      <c r="L424" s="73"/>
      <c r="N424" s="242" t="s">
        <v>195</v>
      </c>
      <c r="O424" s="242"/>
      <c r="P424" s="242"/>
      <c r="Q424" s="242"/>
      <c r="R424" s="242"/>
      <c r="S424" s="242"/>
      <c r="T424" s="242"/>
      <c r="U424" s="242"/>
      <c r="V424" s="242"/>
      <c r="W424" s="242"/>
      <c r="X424" s="242"/>
      <c r="Y424" s="242"/>
      <c r="Z424" s="242"/>
      <c r="AA424" s="73"/>
      <c r="AC424" s="245" t="s">
        <v>196</v>
      </c>
      <c r="AD424" s="245"/>
      <c r="AE424" s="245"/>
      <c r="AF424" s="245"/>
      <c r="AG424" s="245"/>
      <c r="AH424" s="245"/>
      <c r="AI424" s="245"/>
      <c r="AJ424" s="245"/>
      <c r="AK424" s="245"/>
      <c r="AL424" s="245"/>
      <c r="AM424" s="245"/>
      <c r="AN424" s="245"/>
      <c r="AO424" s="245"/>
      <c r="AP424" s="73"/>
      <c r="AR424" s="242" t="s">
        <v>311</v>
      </c>
      <c r="AS424" s="242"/>
      <c r="AT424" s="242"/>
      <c r="AU424" s="242"/>
      <c r="AV424" s="242"/>
      <c r="AW424" s="242"/>
      <c r="AX424" s="242"/>
    </row>
    <row r="425" spans="1:50" ht="46" outlineLevel="1">
      <c r="D425" s="37" t="s">
        <v>160</v>
      </c>
      <c r="I425" s="57" t="s">
        <v>128</v>
      </c>
      <c r="J425" s="57" t="s">
        <v>129</v>
      </c>
      <c r="K425" s="57" t="s">
        <v>130</v>
      </c>
      <c r="L425" s="73"/>
      <c r="N425" s="57" t="str">
        <f ca="1">OFFSET(New_Towns!$E104,N426,,,)</f>
        <v>Transmission pipelines - post 1998</v>
      </c>
      <c r="O425" s="57" t="str">
        <f ca="1">OFFSET(New_Towns!$E104,O426,,,)</f>
        <v>Distribution pipelines - post 1998</v>
      </c>
      <c r="P425" s="57" t="str">
        <f ca="1">OFFSET(New_Towns!$E104,P426,,,)</f>
        <v>Service pipes - post 1998</v>
      </c>
      <c r="Q425" s="57" t="str">
        <f ca="1">OFFSET(New_Towns!$E104,Q426,,,)</f>
        <v>Cathodic protection - post 1998</v>
      </c>
      <c r="R425" s="57" t="str">
        <f ca="1">OFFSET(New_Towns!$E104,R426,,,)</f>
        <v>Supply Regulators / Valve Stations</v>
      </c>
      <c r="S425" s="57" t="str">
        <f ca="1">OFFSET(New_Towns!$E104,S426,,,)</f>
        <v>Meters</v>
      </c>
      <c r="T425" s="57" t="str">
        <f ca="1">OFFSET(New_Towns!$E104,T426,,,)</f>
        <v>SCADA and remote control</v>
      </c>
      <c r="U425" s="57" t="str">
        <f ca="1">OFFSET(New_Towns!$E104,U426,,,)</f>
        <v>Buildings</v>
      </c>
      <c r="V425" s="57" t="str">
        <f ca="1">OFFSET(New_Towns!$E104,V426,,,)</f>
        <v>Other - IT</v>
      </c>
      <c r="W425" s="57" t="str">
        <f ca="1">OFFSET(New_Towns!$E104,W426,,,)</f>
        <v>Other - non IT</v>
      </c>
      <c r="X425" s="57" t="str">
        <f ca="1">OFFSET(New_Towns!$E104,X426,,,)</f>
        <v>Land</v>
      </c>
      <c r="Y425" s="57" t="str">
        <f ca="1">OFFSET(New_Towns!$E104,Y426,,,)</f>
        <v>Capitalised Leases</v>
      </c>
      <c r="AA425" s="139"/>
      <c r="AC425" s="57" t="str">
        <f ca="1">OFFSET(New_Towns!$E187,AC426,,,)</f>
        <v>Mains replacement</v>
      </c>
      <c r="AD425" s="57" t="str">
        <f ca="1">OFFSET(New_Towns!$E187,AD426,,,)</f>
        <v>Residential new customer connections</v>
      </c>
      <c r="AE425" s="57" t="str">
        <f ca="1">OFFSET(New_Towns!$E187,AE426,,,)</f>
        <v>Commercial and industrial new customer connections</v>
      </c>
      <c r="AF425" s="57" t="str">
        <f ca="1">OFFSET(New_Towns!$E187,AF426,,,)</f>
        <v>Residential meter replacement</v>
      </c>
      <c r="AG425" s="57" t="str">
        <f ca="1">OFFSET(New_Towns!$E187,AG426,,,)</f>
        <v>Commercial and industrial meter replacement</v>
      </c>
      <c r="AH425" s="57" t="str">
        <f ca="1">OFFSET(New_Towns!$E187,AH426,,,)</f>
        <v>Augmentation</v>
      </c>
      <c r="AI425" s="57" t="str">
        <f ca="1">OFFSET(New_Towns!$E187,AI426,,,)</f>
        <v>IT capex</v>
      </c>
      <c r="AJ425" s="57" t="str">
        <f ca="1">OFFSET(New_Towns!$E187,AJ426,,,)</f>
        <v>SCADA</v>
      </c>
      <c r="AK425" s="57" t="str">
        <f ca="1">OFFSET(New_Towns!$E187,AK426,,,)</f>
        <v>Other</v>
      </c>
      <c r="AL425" s="57" t="str">
        <f ca="1">OFFSET(New_Towns!$E187,AL426,,,)</f>
        <v>Capitalised Leases</v>
      </c>
      <c r="AM425" s="57" t="str">
        <f ca="1">OFFSET(New_Towns!$E187,AM426,,,)</f>
        <v>Gas Extensions - Energy for the Regions</v>
      </c>
      <c r="AN425" s="57" t="str">
        <f ca="1">OFFSET(New_Towns!$E187,AN426,,,)</f>
        <v>Gas Extensions - Other</v>
      </c>
      <c r="AO425" s="57" t="str">
        <f ca="1">OFFSET(New_Towns!$E187,AO426,,,)</f>
        <v>Customer contributions</v>
      </c>
      <c r="AP425" s="73"/>
      <c r="AR425" s="57" t="str">
        <f ca="1">OFFSET(New_Towns!$E244,AR426,,,)</f>
        <v>Mains &amp; Services</v>
      </c>
      <c r="AS425" s="57" t="str">
        <f ca="1">OFFSET(New_Towns!$E244,AS426,,,)</f>
        <v>Meters Domestic</v>
      </c>
      <c r="AT425" s="57" t="str">
        <f ca="1">OFFSET(New_Towns!$E244,AT426,,,)</f>
        <v>Meters Industrial &amp; Commercial</v>
      </c>
      <c r="AU425" s="57" t="str">
        <f ca="1">OFFSET(New_Towns!$E244,AU426,,,)</f>
        <v>Buildings</v>
      </c>
      <c r="AV425" s="57" t="str">
        <f ca="1">OFFSET(New_Towns!$E244,AV426,,,)</f>
        <v>Other Assets</v>
      </c>
      <c r="AW425" s="57" t="str">
        <f ca="1">OFFSET(New_Towns!$E244,AW426,,,)</f>
        <v>Repairs</v>
      </c>
      <c r="AX425" s="57" t="str">
        <f ca="1">OFFSET(New_Towns!$E244,AX426,,,)</f>
        <v>Land</v>
      </c>
    </row>
    <row r="426" spans="1:50" hidden="1" outlineLevel="2">
      <c r="L426" s="73"/>
      <c r="N426" s="68">
        <v>13</v>
      </c>
      <c r="O426" s="68">
        <v>14</v>
      </c>
      <c r="P426" s="68">
        <v>15</v>
      </c>
      <c r="Q426" s="68">
        <v>16</v>
      </c>
      <c r="R426" s="68">
        <v>5</v>
      </c>
      <c r="S426" s="68">
        <v>6</v>
      </c>
      <c r="T426" s="68">
        <v>7</v>
      </c>
      <c r="U426" s="68">
        <v>8</v>
      </c>
      <c r="V426" s="68">
        <v>9</v>
      </c>
      <c r="W426" s="68">
        <v>10</v>
      </c>
      <c r="X426" s="68">
        <v>11</v>
      </c>
      <c r="Y426" s="142">
        <v>12</v>
      </c>
      <c r="AA426" s="73"/>
      <c r="AC426" s="68">
        <v>1</v>
      </c>
      <c r="AD426" s="68">
        <v>2</v>
      </c>
      <c r="AE426" s="68">
        <v>3</v>
      </c>
      <c r="AF426" s="68">
        <v>4</v>
      </c>
      <c r="AG426" s="68">
        <v>5</v>
      </c>
      <c r="AH426" s="68">
        <v>6</v>
      </c>
      <c r="AI426" s="68">
        <v>7</v>
      </c>
      <c r="AJ426" s="68">
        <v>8</v>
      </c>
      <c r="AK426" s="68">
        <v>9</v>
      </c>
      <c r="AL426" s="67">
        <v>10</v>
      </c>
      <c r="AM426" s="67">
        <v>11</v>
      </c>
      <c r="AN426" s="136">
        <v>12</v>
      </c>
      <c r="AO426" s="67">
        <v>13</v>
      </c>
      <c r="AP426" s="73"/>
      <c r="AR426" s="68">
        <v>1</v>
      </c>
      <c r="AS426" s="68">
        <v>2</v>
      </c>
      <c r="AT426" s="68">
        <v>3</v>
      </c>
      <c r="AU426" s="68">
        <v>4</v>
      </c>
      <c r="AV426" s="68">
        <v>5</v>
      </c>
      <c r="AW426" s="68">
        <v>6</v>
      </c>
      <c r="AX426" s="138">
        <v>7</v>
      </c>
    </row>
    <row r="427" spans="1:50" ht="5.9" customHeight="1" outlineLevel="1" collapsed="1">
      <c r="L427" s="73"/>
      <c r="Y427" s="145"/>
      <c r="AA427" s="73"/>
      <c r="AP427" s="73"/>
    </row>
    <row r="428" spans="1:50" outlineLevel="1">
      <c r="D428" s="241" t="s">
        <v>471</v>
      </c>
      <c r="E428" s="241"/>
      <c r="F428" s="241"/>
      <c r="G428" s="241"/>
      <c r="I428" s="183">
        <v>0.06</v>
      </c>
      <c r="J428" s="183">
        <v>0.54</v>
      </c>
      <c r="K428" s="65">
        <f>1-SUM(I428:J428)</f>
        <v>0.39999999999999991</v>
      </c>
      <c r="L428" s="73"/>
      <c r="N428" s="64">
        <v>0</v>
      </c>
      <c r="O428" s="183">
        <v>0.9</v>
      </c>
      <c r="P428" s="183">
        <v>0.1</v>
      </c>
      <c r="Q428" s="64">
        <v>0</v>
      </c>
      <c r="R428" s="64">
        <v>0</v>
      </c>
      <c r="S428" s="64">
        <v>0</v>
      </c>
      <c r="T428" s="64">
        <v>0</v>
      </c>
      <c r="U428" s="64">
        <v>0</v>
      </c>
      <c r="V428" s="64">
        <v>0</v>
      </c>
      <c r="W428" s="64">
        <v>0</v>
      </c>
      <c r="X428" s="64">
        <v>0</v>
      </c>
      <c r="Y428" s="64">
        <v>0</v>
      </c>
      <c r="AA428" s="73"/>
      <c r="AC428" s="64">
        <v>0</v>
      </c>
      <c r="AD428" s="64">
        <v>0</v>
      </c>
      <c r="AE428" s="64">
        <v>0</v>
      </c>
      <c r="AF428" s="64">
        <v>0</v>
      </c>
      <c r="AG428" s="64">
        <v>0</v>
      </c>
      <c r="AH428" s="64">
        <v>0</v>
      </c>
      <c r="AI428" s="64">
        <v>0</v>
      </c>
      <c r="AJ428" s="64">
        <v>0</v>
      </c>
      <c r="AK428" s="183">
        <v>1</v>
      </c>
      <c r="AL428" s="64">
        <v>0</v>
      </c>
      <c r="AM428" s="64">
        <v>0</v>
      </c>
      <c r="AN428" s="64">
        <v>0</v>
      </c>
      <c r="AO428" s="147">
        <v>0</v>
      </c>
      <c r="AP428" s="73"/>
      <c r="AR428" s="183">
        <v>1</v>
      </c>
      <c r="AS428" s="64">
        <v>0</v>
      </c>
      <c r="AT428" s="64">
        <v>0</v>
      </c>
      <c r="AU428" s="64">
        <v>0</v>
      </c>
      <c r="AV428" s="64">
        <v>0</v>
      </c>
      <c r="AW428" s="64">
        <v>0</v>
      </c>
      <c r="AX428" s="64">
        <v>0</v>
      </c>
    </row>
    <row r="429" spans="1:50" outlineLevel="1">
      <c r="D429" s="241" t="s">
        <v>336</v>
      </c>
      <c r="E429" s="241"/>
      <c r="F429" s="241"/>
      <c r="G429" s="241"/>
      <c r="I429" s="64">
        <v>0</v>
      </c>
      <c r="J429" s="64">
        <v>0</v>
      </c>
      <c r="K429" s="65">
        <f>1-SUM(I429:J429)</f>
        <v>1</v>
      </c>
      <c r="L429" s="73"/>
      <c r="N429" s="64">
        <v>0</v>
      </c>
      <c r="O429" s="64">
        <v>0</v>
      </c>
      <c r="P429" s="64">
        <v>0</v>
      </c>
      <c r="Q429" s="64">
        <v>0</v>
      </c>
      <c r="R429" s="64">
        <v>0</v>
      </c>
      <c r="S429" s="64">
        <v>0</v>
      </c>
      <c r="T429" s="64">
        <v>0</v>
      </c>
      <c r="U429" s="64">
        <v>0</v>
      </c>
      <c r="V429" s="64">
        <v>0</v>
      </c>
      <c r="W429" s="64">
        <v>0</v>
      </c>
      <c r="X429" s="64">
        <v>0</v>
      </c>
      <c r="Y429" s="64">
        <v>0</v>
      </c>
      <c r="AA429" s="73"/>
      <c r="AC429" s="64">
        <v>0</v>
      </c>
      <c r="AD429" s="64">
        <v>0</v>
      </c>
      <c r="AE429" s="64">
        <v>0</v>
      </c>
      <c r="AF429" s="64">
        <v>0</v>
      </c>
      <c r="AG429" s="64">
        <v>0</v>
      </c>
      <c r="AH429" s="64">
        <v>0</v>
      </c>
      <c r="AI429" s="64">
        <v>0</v>
      </c>
      <c r="AJ429" s="64">
        <v>0</v>
      </c>
      <c r="AK429" s="64">
        <v>0</v>
      </c>
      <c r="AL429" s="64">
        <v>0</v>
      </c>
      <c r="AM429" s="64">
        <v>0</v>
      </c>
      <c r="AN429" s="64">
        <v>0</v>
      </c>
      <c r="AO429" s="147">
        <v>0</v>
      </c>
      <c r="AP429" s="73"/>
      <c r="AR429" s="64">
        <v>0</v>
      </c>
      <c r="AS429" s="64">
        <v>0</v>
      </c>
      <c r="AT429" s="64">
        <v>0</v>
      </c>
      <c r="AU429" s="64">
        <v>0</v>
      </c>
      <c r="AV429" s="64">
        <v>0</v>
      </c>
      <c r="AW429" s="64">
        <v>0</v>
      </c>
      <c r="AX429" s="64">
        <v>0</v>
      </c>
    </row>
    <row r="430" spans="1:50" outlineLevel="1">
      <c r="L430" s="73"/>
      <c r="AA430" s="73"/>
      <c r="AC430" s="105" t="s">
        <v>458</v>
      </c>
      <c r="AP430" s="73"/>
    </row>
    <row r="431" spans="1:50" outlineLevel="1">
      <c r="C431" s="37" t="s">
        <v>367</v>
      </c>
      <c r="L431" s="73"/>
      <c r="AA431" s="73"/>
      <c r="AP431" s="73"/>
    </row>
    <row r="432" spans="1:50" ht="5.9" customHeight="1" outlineLevel="1">
      <c r="L432" s="73"/>
      <c r="AA432" s="73"/>
      <c r="AP432" s="73"/>
    </row>
    <row r="433" spans="1:50" outlineLevel="1">
      <c r="D433" s="241" t="s">
        <v>368</v>
      </c>
      <c r="E433" s="241"/>
      <c r="F433" s="241"/>
      <c r="G433" s="241"/>
      <c r="L433" s="73"/>
      <c r="N433" s="64">
        <v>0</v>
      </c>
      <c r="O433" s="183">
        <v>0.9</v>
      </c>
      <c r="P433" s="183">
        <v>0.1</v>
      </c>
      <c r="Q433" s="64">
        <v>0</v>
      </c>
      <c r="R433" s="64">
        <v>0</v>
      </c>
      <c r="S433" s="64">
        <v>0</v>
      </c>
      <c r="T433" s="64">
        <v>0</v>
      </c>
      <c r="U433" s="64">
        <v>0</v>
      </c>
      <c r="V433" s="64">
        <v>0</v>
      </c>
      <c r="W433" s="64">
        <v>0</v>
      </c>
      <c r="X433" s="64">
        <v>0</v>
      </c>
      <c r="Y433" s="64">
        <v>0</v>
      </c>
      <c r="AA433" s="73"/>
      <c r="AC433" s="64">
        <v>0</v>
      </c>
      <c r="AD433" s="64">
        <v>0</v>
      </c>
      <c r="AE433" s="64">
        <v>0</v>
      </c>
      <c r="AF433" s="64">
        <v>0</v>
      </c>
      <c r="AG433" s="64">
        <v>0</v>
      </c>
      <c r="AH433" s="64">
        <v>0</v>
      </c>
      <c r="AI433" s="64">
        <v>0</v>
      </c>
      <c r="AJ433" s="64">
        <v>0</v>
      </c>
      <c r="AK433" s="183">
        <v>1</v>
      </c>
      <c r="AL433" s="64">
        <v>0</v>
      </c>
      <c r="AM433" s="64">
        <v>0</v>
      </c>
      <c r="AN433" s="64">
        <v>0</v>
      </c>
      <c r="AO433" s="147">
        <v>0</v>
      </c>
      <c r="AP433" s="73"/>
      <c r="AR433" s="183">
        <v>1</v>
      </c>
      <c r="AS433" s="64">
        <v>0</v>
      </c>
      <c r="AT433" s="64">
        <v>0</v>
      </c>
      <c r="AU433" s="64">
        <v>0</v>
      </c>
      <c r="AV433" s="64">
        <v>0</v>
      </c>
      <c r="AW433" s="64">
        <v>0</v>
      </c>
      <c r="AX433" s="64">
        <v>0</v>
      </c>
    </row>
    <row r="435" spans="1:50" s="2" customFormat="1">
      <c r="A435"/>
      <c r="B435" s="2" t="s">
        <v>271</v>
      </c>
    </row>
    <row r="436" spans="1:50" ht="5.9" customHeight="1"/>
    <row r="437" spans="1:50" ht="14">
      <c r="C437" s="77" t="str">
        <f>New_Towns!B279</f>
        <v>Extensions - Other</v>
      </c>
      <c r="I437" s="37" t="str">
        <f>GC!H31</f>
        <v>Network</v>
      </c>
    </row>
    <row r="438" spans="1:50" ht="5.9" customHeight="1" outlineLevel="1"/>
    <row r="439" spans="1:50" outlineLevel="1">
      <c r="I439" s="242" t="s">
        <v>194</v>
      </c>
      <c r="J439" s="242"/>
      <c r="K439" s="242"/>
      <c r="L439" s="73"/>
      <c r="N439" s="242" t="s">
        <v>195</v>
      </c>
      <c r="O439" s="242"/>
      <c r="P439" s="242"/>
      <c r="Q439" s="242"/>
      <c r="R439" s="242"/>
      <c r="S439" s="242"/>
      <c r="T439" s="242"/>
      <c r="U439" s="242"/>
      <c r="V439" s="242"/>
      <c r="W439" s="242"/>
      <c r="X439" s="242"/>
      <c r="Y439" s="242"/>
      <c r="Z439" s="242"/>
      <c r="AA439" s="73"/>
      <c r="AC439" s="245" t="s">
        <v>196</v>
      </c>
      <c r="AD439" s="245"/>
      <c r="AE439" s="245"/>
      <c r="AF439" s="245"/>
      <c r="AG439" s="245"/>
      <c r="AH439" s="245"/>
      <c r="AI439" s="245"/>
      <c r="AJ439" s="245"/>
      <c r="AK439" s="245"/>
      <c r="AL439" s="245"/>
      <c r="AM439" s="245"/>
      <c r="AN439" s="245"/>
      <c r="AO439" s="245"/>
      <c r="AP439" s="73"/>
      <c r="AR439" s="242" t="s">
        <v>311</v>
      </c>
      <c r="AS439" s="242"/>
      <c r="AT439" s="242"/>
      <c r="AU439" s="242"/>
      <c r="AV439" s="242"/>
      <c r="AW439" s="242"/>
      <c r="AX439" s="242"/>
    </row>
    <row r="440" spans="1:50" ht="46" outlineLevel="1">
      <c r="D440" s="37" t="s">
        <v>160</v>
      </c>
      <c r="I440" s="57" t="s">
        <v>128</v>
      </c>
      <c r="J440" s="57" t="s">
        <v>129</v>
      </c>
      <c r="K440" s="57" t="s">
        <v>130</v>
      </c>
      <c r="L440" s="73"/>
      <c r="N440" s="57" t="str">
        <f ca="1">OFFSET(New_Towns!$E359,N441,,,)</f>
        <v>Transmission pipelines - post 1998</v>
      </c>
      <c r="O440" s="57" t="str">
        <f ca="1">OFFSET(New_Towns!$E359,O441,,,)</f>
        <v>Distribution pipelines - post 1998</v>
      </c>
      <c r="P440" s="57" t="str">
        <f ca="1">OFFSET(New_Towns!$E359,P441,,,)</f>
        <v>Service pipes - post 1998</v>
      </c>
      <c r="Q440" s="57" t="str">
        <f ca="1">OFFSET(New_Towns!$E359,Q441,,,)</f>
        <v>Cathodic protection - post 1998</v>
      </c>
      <c r="R440" s="57" t="str">
        <f ca="1">OFFSET(New_Towns!$E359,R441,,,)</f>
        <v>Supply Regulators / Valve Stations</v>
      </c>
      <c r="S440" s="57" t="str">
        <f ca="1">OFFSET(New_Towns!$E359,S441,,,)</f>
        <v>Meters</v>
      </c>
      <c r="T440" s="57" t="str">
        <f ca="1">OFFSET(New_Towns!$E359,T441,,,)</f>
        <v>SCADA and remote control</v>
      </c>
      <c r="U440" s="57" t="str">
        <f ca="1">OFFSET(New_Towns!$E359,U441,,,)</f>
        <v>Buildings</v>
      </c>
      <c r="V440" s="57" t="str">
        <f ca="1">OFFSET(New_Towns!$E359,V441,,,)</f>
        <v>Other - IT</v>
      </c>
      <c r="W440" s="57" t="str">
        <f ca="1">OFFSET(New_Towns!$E359,W441,,,)</f>
        <v>Other - non IT</v>
      </c>
      <c r="X440" s="57" t="str">
        <f ca="1">OFFSET(New_Towns!$E359,X441,,,)</f>
        <v>Land</v>
      </c>
      <c r="Y440" s="57" t="str">
        <f ca="1">OFFSET(New_Towns!$E359,Y441,,,)</f>
        <v>Capitalised Leases</v>
      </c>
      <c r="AA440" s="139"/>
      <c r="AC440" s="57" t="str">
        <f ca="1">OFFSET(New_Towns!$E442,AC441,,,)</f>
        <v>Mains replacement</v>
      </c>
      <c r="AD440" s="57" t="str">
        <f ca="1">OFFSET(New_Towns!$E442,AD441,,,)</f>
        <v>Residential new customer connections</v>
      </c>
      <c r="AE440" s="57" t="str">
        <f ca="1">OFFSET(New_Towns!$E442,AE441,,,)</f>
        <v>Commercial and industrial new customer connections</v>
      </c>
      <c r="AF440" s="57" t="str">
        <f ca="1">OFFSET(New_Towns!$E442,AF441,,,)</f>
        <v>Residential meter replacement</v>
      </c>
      <c r="AG440" s="57" t="str">
        <f ca="1">OFFSET(New_Towns!$E442,AG441,,,)</f>
        <v>Commercial and industrial meter replacement</v>
      </c>
      <c r="AH440" s="57" t="str">
        <f ca="1">OFFSET(New_Towns!$E442,AH441,,,)</f>
        <v>Augmentation</v>
      </c>
      <c r="AI440" s="57" t="str">
        <f ca="1">OFFSET(New_Towns!$E442,AI441,,,)</f>
        <v>IT capex</v>
      </c>
      <c r="AJ440" s="57" t="str">
        <f ca="1">OFFSET(New_Towns!$E442,AJ441,,,)</f>
        <v>SCADA</v>
      </c>
      <c r="AK440" s="57" t="str">
        <f ca="1">OFFSET(New_Towns!$E442,AK441,,,)</f>
        <v>Other</v>
      </c>
      <c r="AL440" s="57" t="str">
        <f ca="1">OFFSET(New_Towns!$E442,AL441,,,)</f>
        <v>Capitalised Leases</v>
      </c>
      <c r="AM440" s="57" t="str">
        <f ca="1">OFFSET(New_Towns!$E442,AM441,,,)</f>
        <v>Gas Extensions - Energy for the Regions</v>
      </c>
      <c r="AN440" s="57" t="str">
        <f ca="1">OFFSET(New_Towns!$E442,AN441,,,)</f>
        <v>Gas Extensions - Other</v>
      </c>
      <c r="AO440" s="57" t="str">
        <f ca="1">OFFSET(New_Towns!$E442,AO441,,,)</f>
        <v>Customer contributions</v>
      </c>
      <c r="AP440" s="73"/>
      <c r="AR440" s="57" t="str">
        <f ca="1">OFFSET(New_Towns!$E499,AR441,,,)</f>
        <v>Mains &amp; Services</v>
      </c>
      <c r="AS440" s="57" t="str">
        <f ca="1">OFFSET(New_Towns!$E499,AS441,,,)</f>
        <v>Meters Domestic</v>
      </c>
      <c r="AT440" s="57" t="str">
        <f ca="1">OFFSET(New_Towns!$E499,AT441,,,)</f>
        <v>Meters Industrial &amp; Commercial</v>
      </c>
      <c r="AU440" s="57" t="str">
        <f ca="1">OFFSET(New_Towns!$E499,AU441,,,)</f>
        <v>Buildings</v>
      </c>
      <c r="AV440" s="57" t="str">
        <f ca="1">OFFSET(New_Towns!$E499,AV441,,,)</f>
        <v>Other Assets</v>
      </c>
      <c r="AW440" s="57" t="str">
        <f ca="1">OFFSET(New_Towns!$E499,AW441,,,)</f>
        <v>Repairs</v>
      </c>
      <c r="AX440" s="57" t="str">
        <f ca="1">OFFSET(New_Towns!$E499,AX441,,,)</f>
        <v>Land</v>
      </c>
    </row>
    <row r="441" spans="1:50" hidden="1" outlineLevel="2">
      <c r="L441" s="73"/>
      <c r="N441" s="68">
        <v>13</v>
      </c>
      <c r="O441" s="68">
        <v>14</v>
      </c>
      <c r="P441" s="68">
        <v>15</v>
      </c>
      <c r="Q441" s="68">
        <v>16</v>
      </c>
      <c r="R441" s="68">
        <v>5</v>
      </c>
      <c r="S441" s="68">
        <v>6</v>
      </c>
      <c r="T441" s="68">
        <v>7</v>
      </c>
      <c r="U441" s="68">
        <v>8</v>
      </c>
      <c r="V441" s="68">
        <v>9</v>
      </c>
      <c r="W441" s="68">
        <v>10</v>
      </c>
      <c r="X441" s="68">
        <v>11</v>
      </c>
      <c r="Y441" s="142">
        <v>12</v>
      </c>
      <c r="AA441" s="73"/>
      <c r="AC441" s="68">
        <v>1</v>
      </c>
      <c r="AD441" s="68">
        <v>2</v>
      </c>
      <c r="AE441" s="68">
        <v>3</v>
      </c>
      <c r="AF441" s="68">
        <v>4</v>
      </c>
      <c r="AG441" s="68">
        <v>5</v>
      </c>
      <c r="AH441" s="68">
        <v>6</v>
      </c>
      <c r="AI441" s="68">
        <v>7</v>
      </c>
      <c r="AJ441" s="68">
        <v>8</v>
      </c>
      <c r="AK441" s="68">
        <v>9</v>
      </c>
      <c r="AL441" s="67">
        <v>10</v>
      </c>
      <c r="AM441" s="67">
        <v>11</v>
      </c>
      <c r="AN441" s="136">
        <v>12</v>
      </c>
      <c r="AO441" s="67">
        <v>13</v>
      </c>
      <c r="AP441" s="73"/>
      <c r="AR441" s="68">
        <v>1</v>
      </c>
      <c r="AS441" s="68">
        <v>2</v>
      </c>
      <c r="AT441" s="68">
        <v>3</v>
      </c>
      <c r="AU441" s="68">
        <v>4</v>
      </c>
      <c r="AV441" s="68">
        <v>5</v>
      </c>
      <c r="AW441" s="68">
        <v>6</v>
      </c>
      <c r="AX441" s="138">
        <v>7</v>
      </c>
    </row>
    <row r="442" spans="1:50" ht="5.9" customHeight="1" outlineLevel="1" collapsed="1">
      <c r="L442" s="73"/>
      <c r="Y442" s="145"/>
      <c r="AA442" s="73"/>
      <c r="AP442" s="73"/>
    </row>
    <row r="443" spans="1:50" outlineLevel="1">
      <c r="D443" s="241" t="s">
        <v>366</v>
      </c>
      <c r="E443" s="241"/>
      <c r="F443" s="241"/>
      <c r="G443" s="241"/>
      <c r="I443" s="64">
        <v>0.03</v>
      </c>
      <c r="J443" s="64">
        <v>0.56999999999999995</v>
      </c>
      <c r="K443" s="65">
        <f>1-SUM(I443:J443)</f>
        <v>0.4</v>
      </c>
      <c r="L443" s="73"/>
      <c r="N443" s="64">
        <v>0</v>
      </c>
      <c r="O443" s="64">
        <v>0.15</v>
      </c>
      <c r="P443" s="64">
        <v>0</v>
      </c>
      <c r="Q443" s="64">
        <v>0</v>
      </c>
      <c r="R443" s="64">
        <v>0.85</v>
      </c>
      <c r="S443" s="64">
        <v>0</v>
      </c>
      <c r="T443" s="64">
        <v>0</v>
      </c>
      <c r="U443" s="64">
        <v>0</v>
      </c>
      <c r="V443" s="64">
        <v>0</v>
      </c>
      <c r="W443" s="64">
        <v>0</v>
      </c>
      <c r="X443" s="64">
        <v>0</v>
      </c>
      <c r="Y443" s="64">
        <v>0</v>
      </c>
      <c r="AA443" s="73"/>
      <c r="AC443" s="64">
        <v>0</v>
      </c>
      <c r="AD443" s="64">
        <v>0</v>
      </c>
      <c r="AE443" s="64">
        <v>0</v>
      </c>
      <c r="AF443" s="64">
        <v>0</v>
      </c>
      <c r="AG443" s="64">
        <v>0</v>
      </c>
      <c r="AH443" s="64">
        <v>0</v>
      </c>
      <c r="AI443" s="64">
        <v>0</v>
      </c>
      <c r="AJ443" s="64">
        <v>0</v>
      </c>
      <c r="AK443" s="64">
        <v>1</v>
      </c>
      <c r="AL443" s="64">
        <v>0</v>
      </c>
      <c r="AM443" s="64">
        <v>0</v>
      </c>
      <c r="AN443" s="64">
        <v>0</v>
      </c>
      <c r="AO443" s="147">
        <v>0</v>
      </c>
      <c r="AP443" s="73"/>
      <c r="AR443" s="64">
        <v>0</v>
      </c>
      <c r="AS443" s="64">
        <v>0</v>
      </c>
      <c r="AT443" s="64">
        <v>0</v>
      </c>
      <c r="AU443" s="64">
        <v>0</v>
      </c>
      <c r="AV443" s="64">
        <v>1</v>
      </c>
      <c r="AW443" s="64">
        <v>0</v>
      </c>
      <c r="AX443" s="64">
        <v>0</v>
      </c>
    </row>
    <row r="444" spans="1:50" outlineLevel="1">
      <c r="D444" s="241" t="s">
        <v>337</v>
      </c>
      <c r="E444" s="241"/>
      <c r="F444" s="241"/>
      <c r="G444" s="241"/>
      <c r="I444" s="64">
        <v>0</v>
      </c>
      <c r="J444" s="64">
        <v>0</v>
      </c>
      <c r="K444" s="65">
        <f>1-SUM(I444:J444)</f>
        <v>1</v>
      </c>
      <c r="L444" s="73"/>
      <c r="N444" s="64">
        <v>0</v>
      </c>
      <c r="O444" s="64">
        <v>0</v>
      </c>
      <c r="P444" s="64">
        <v>0</v>
      </c>
      <c r="Q444" s="64">
        <v>0</v>
      </c>
      <c r="R444" s="64">
        <v>0</v>
      </c>
      <c r="S444" s="64">
        <v>0</v>
      </c>
      <c r="T444" s="64">
        <v>0</v>
      </c>
      <c r="U444" s="64">
        <v>0</v>
      </c>
      <c r="V444" s="64">
        <v>0</v>
      </c>
      <c r="W444" s="64">
        <v>0</v>
      </c>
      <c r="X444" s="64">
        <v>0</v>
      </c>
      <c r="Y444" s="64">
        <v>0</v>
      </c>
      <c r="AA444" s="73"/>
      <c r="AC444" s="64">
        <v>0</v>
      </c>
      <c r="AD444" s="64">
        <v>0</v>
      </c>
      <c r="AE444" s="64">
        <v>0</v>
      </c>
      <c r="AF444" s="64">
        <v>0</v>
      </c>
      <c r="AG444" s="64">
        <v>0</v>
      </c>
      <c r="AH444" s="64">
        <v>0</v>
      </c>
      <c r="AI444" s="64">
        <v>0</v>
      </c>
      <c r="AJ444" s="64">
        <v>0</v>
      </c>
      <c r="AK444" s="64">
        <v>0</v>
      </c>
      <c r="AL444" s="64">
        <v>0</v>
      </c>
      <c r="AM444" s="64">
        <v>0</v>
      </c>
      <c r="AN444" s="64">
        <v>0</v>
      </c>
      <c r="AO444" s="147">
        <v>0</v>
      </c>
      <c r="AP444" s="73"/>
      <c r="AR444" s="64">
        <v>0</v>
      </c>
      <c r="AS444" s="64">
        <v>0</v>
      </c>
      <c r="AT444" s="64">
        <v>0</v>
      </c>
      <c r="AU444" s="64">
        <v>0</v>
      </c>
      <c r="AV444" s="64">
        <v>0</v>
      </c>
      <c r="AW444" s="64">
        <v>0</v>
      </c>
      <c r="AX444" s="64">
        <v>0</v>
      </c>
    </row>
    <row r="445" spans="1:50" outlineLevel="1">
      <c r="L445" s="73"/>
      <c r="AA445" s="73"/>
      <c r="AC445" s="105" t="s">
        <v>458</v>
      </c>
      <c r="AP445" s="73"/>
    </row>
    <row r="446" spans="1:50" outlineLevel="1">
      <c r="C446" s="37" t="s">
        <v>367</v>
      </c>
      <c r="L446" s="73"/>
      <c r="AA446" s="73"/>
      <c r="AP446" s="73"/>
    </row>
    <row r="447" spans="1:50" ht="5.9" customHeight="1" outlineLevel="1">
      <c r="L447" s="73"/>
      <c r="AA447" s="73"/>
      <c r="AP447" s="73"/>
    </row>
    <row r="448" spans="1:50" outlineLevel="1">
      <c r="D448" s="241" t="s">
        <v>380</v>
      </c>
      <c r="E448" s="241"/>
      <c r="F448" s="241"/>
      <c r="G448" s="241"/>
      <c r="L448" s="73"/>
      <c r="N448" s="64">
        <v>0</v>
      </c>
      <c r="O448" s="64">
        <v>0.15</v>
      </c>
      <c r="P448" s="64">
        <v>0</v>
      </c>
      <c r="Q448" s="64">
        <v>0</v>
      </c>
      <c r="R448" s="64">
        <v>0.85</v>
      </c>
      <c r="S448" s="64">
        <v>0</v>
      </c>
      <c r="T448" s="64">
        <v>0</v>
      </c>
      <c r="U448" s="64">
        <v>0</v>
      </c>
      <c r="V448" s="64">
        <v>0</v>
      </c>
      <c r="W448" s="64">
        <v>0</v>
      </c>
      <c r="X448" s="64">
        <v>0</v>
      </c>
      <c r="Y448" s="64">
        <v>0</v>
      </c>
      <c r="AA448" s="73"/>
      <c r="AC448" s="64">
        <v>0</v>
      </c>
      <c r="AD448" s="64">
        <v>0</v>
      </c>
      <c r="AE448" s="64">
        <v>0</v>
      </c>
      <c r="AF448" s="64">
        <v>0</v>
      </c>
      <c r="AG448" s="64">
        <v>0</v>
      </c>
      <c r="AH448" s="64">
        <v>0</v>
      </c>
      <c r="AI448" s="64">
        <v>0</v>
      </c>
      <c r="AJ448" s="64">
        <v>0</v>
      </c>
      <c r="AK448" s="64">
        <v>1</v>
      </c>
      <c r="AL448" s="64">
        <v>0</v>
      </c>
      <c r="AM448" s="64">
        <v>0</v>
      </c>
      <c r="AN448" s="64">
        <v>0</v>
      </c>
      <c r="AO448" s="147">
        <v>0</v>
      </c>
      <c r="AP448" s="73"/>
      <c r="AR448" s="64">
        <v>0</v>
      </c>
      <c r="AS448" s="64">
        <v>0</v>
      </c>
      <c r="AT448" s="64">
        <v>0</v>
      </c>
      <c r="AU448" s="64">
        <v>0</v>
      </c>
      <c r="AV448" s="64">
        <v>1</v>
      </c>
      <c r="AW448" s="64">
        <v>0</v>
      </c>
      <c r="AX448" s="64">
        <v>0</v>
      </c>
    </row>
    <row r="449" spans="1:50" outlineLevel="1">
      <c r="D449" s="241" t="s">
        <v>381</v>
      </c>
      <c r="E449" s="241"/>
      <c r="F449" s="241"/>
      <c r="G449" s="241"/>
      <c r="L449" s="73"/>
      <c r="N449" s="64">
        <v>0</v>
      </c>
      <c r="O449" s="64">
        <v>0.15</v>
      </c>
      <c r="P449" s="64">
        <v>0</v>
      </c>
      <c r="Q449" s="64">
        <v>0</v>
      </c>
      <c r="R449" s="64">
        <v>0.85</v>
      </c>
      <c r="S449" s="64">
        <v>0</v>
      </c>
      <c r="T449" s="64">
        <v>0</v>
      </c>
      <c r="U449" s="64">
        <v>0</v>
      </c>
      <c r="V449" s="64">
        <v>0</v>
      </c>
      <c r="W449" s="64">
        <v>0</v>
      </c>
      <c r="X449" s="64">
        <v>0</v>
      </c>
      <c r="Y449" s="64">
        <v>0</v>
      </c>
      <c r="AA449" s="73"/>
      <c r="AC449" s="64">
        <v>0</v>
      </c>
      <c r="AD449" s="64">
        <v>0</v>
      </c>
      <c r="AE449" s="64">
        <v>0</v>
      </c>
      <c r="AF449" s="64">
        <v>0</v>
      </c>
      <c r="AG449" s="64">
        <v>0</v>
      </c>
      <c r="AH449" s="64">
        <v>0</v>
      </c>
      <c r="AI449" s="64">
        <v>0</v>
      </c>
      <c r="AJ449" s="64">
        <v>0</v>
      </c>
      <c r="AK449" s="64">
        <v>1</v>
      </c>
      <c r="AL449" s="64">
        <v>0</v>
      </c>
      <c r="AM449" s="64">
        <v>0</v>
      </c>
      <c r="AN449" s="64">
        <v>0</v>
      </c>
      <c r="AO449" s="147">
        <v>0</v>
      </c>
      <c r="AP449" s="73"/>
      <c r="AR449" s="64">
        <v>0</v>
      </c>
      <c r="AS449" s="64">
        <v>0</v>
      </c>
      <c r="AT449" s="64">
        <v>0</v>
      </c>
      <c r="AU449" s="64">
        <v>0</v>
      </c>
      <c r="AV449" s="64">
        <v>1</v>
      </c>
      <c r="AW449" s="64">
        <v>0</v>
      </c>
      <c r="AX449" s="64">
        <v>0</v>
      </c>
    </row>
    <row r="451" spans="1:50" s="2" customFormat="1">
      <c r="A451"/>
      <c r="B451" s="2" t="s">
        <v>273</v>
      </c>
    </row>
    <row r="452" spans="1:50" ht="5.9" customHeight="1"/>
    <row r="453" spans="1:50" ht="14">
      <c r="C453" s="77" t="str">
        <f>New_Towns!B534</f>
        <v xml:space="preserve">City Gate Security Fence Upgrades </v>
      </c>
      <c r="I453" s="37" t="str">
        <f>GC!H32</f>
        <v>Network</v>
      </c>
    </row>
    <row r="454" spans="1:50" ht="5.9" customHeight="1" outlineLevel="1"/>
    <row r="455" spans="1:50" outlineLevel="1">
      <c r="I455" s="242" t="s">
        <v>194</v>
      </c>
      <c r="J455" s="242"/>
      <c r="K455" s="242"/>
      <c r="L455" s="73"/>
      <c r="N455" s="242" t="s">
        <v>195</v>
      </c>
      <c r="O455" s="242"/>
      <c r="P455" s="242"/>
      <c r="Q455" s="242"/>
      <c r="R455" s="242"/>
      <c r="S455" s="242"/>
      <c r="T455" s="242"/>
      <c r="U455" s="242"/>
      <c r="V455" s="242"/>
      <c r="W455" s="242"/>
      <c r="X455" s="242"/>
      <c r="Y455" s="242"/>
      <c r="Z455" s="242"/>
      <c r="AA455" s="73"/>
      <c r="AC455" s="245" t="s">
        <v>196</v>
      </c>
      <c r="AD455" s="245"/>
      <c r="AE455" s="245"/>
      <c r="AF455" s="245"/>
      <c r="AG455" s="245"/>
      <c r="AH455" s="245"/>
      <c r="AI455" s="245"/>
      <c r="AJ455" s="245"/>
      <c r="AK455" s="245"/>
      <c r="AL455" s="245"/>
      <c r="AM455" s="245"/>
      <c r="AN455" s="245"/>
      <c r="AO455" s="245"/>
      <c r="AP455" s="73"/>
      <c r="AR455" s="242" t="s">
        <v>311</v>
      </c>
      <c r="AS455" s="242"/>
      <c r="AT455" s="242"/>
      <c r="AU455" s="242"/>
      <c r="AV455" s="242"/>
      <c r="AW455" s="242"/>
      <c r="AX455" s="242"/>
    </row>
    <row r="456" spans="1:50" ht="46" outlineLevel="1">
      <c r="D456" s="37" t="s">
        <v>160</v>
      </c>
      <c r="I456" s="57" t="s">
        <v>128</v>
      </c>
      <c r="J456" s="57" t="s">
        <v>129</v>
      </c>
      <c r="K456" s="57" t="s">
        <v>130</v>
      </c>
      <c r="L456" s="73"/>
      <c r="N456" s="57" t="str">
        <f ca="1">OFFSET(New_Towns!$E627,N457,,,)</f>
        <v>Transmission pipelines - post 1998</v>
      </c>
      <c r="O456" s="57" t="str">
        <f ca="1">OFFSET(New_Towns!$E627,O457,,,)</f>
        <v>Distribution pipelines - post 1998</v>
      </c>
      <c r="P456" s="57" t="str">
        <f ca="1">OFFSET(New_Towns!$E627,P457,,,)</f>
        <v>Service pipes - post 1998</v>
      </c>
      <c r="Q456" s="57" t="str">
        <f ca="1">OFFSET(New_Towns!$E627,Q457,,,)</f>
        <v>Cathodic protection - post 1998</v>
      </c>
      <c r="R456" s="57" t="str">
        <f ca="1">OFFSET(New_Towns!$E627,R457,,,)</f>
        <v>Supply Regulators / Valve Stations</v>
      </c>
      <c r="S456" s="57" t="str">
        <f ca="1">OFFSET(New_Towns!$E627,S457,,,)</f>
        <v>Meters</v>
      </c>
      <c r="T456" s="57" t="str">
        <f ca="1">OFFSET(New_Towns!$E627,T457,,,)</f>
        <v>SCADA and remote control</v>
      </c>
      <c r="U456" s="57" t="str">
        <f ca="1">OFFSET(New_Towns!$E627,U457,,,)</f>
        <v>Buildings</v>
      </c>
      <c r="V456" s="57" t="str">
        <f ca="1">OFFSET(New_Towns!$E627,V457,,,)</f>
        <v>Other - IT</v>
      </c>
      <c r="W456" s="57" t="str">
        <f ca="1">OFFSET(New_Towns!$E627,W457,,,)</f>
        <v>Other - non IT</v>
      </c>
      <c r="X456" s="57" t="str">
        <f ca="1">OFFSET(New_Towns!$E627,X457,,,)</f>
        <v>Land</v>
      </c>
      <c r="Y456" s="57" t="str">
        <f ca="1">OFFSET(New_Towns!$E627,Y457,,,)</f>
        <v>Capitalised Leases</v>
      </c>
      <c r="AA456" s="139"/>
      <c r="AC456" s="57" t="str">
        <f ca="1">OFFSET(New_Towns!$E710,AC457,,,)</f>
        <v>Mains replacement</v>
      </c>
      <c r="AD456" s="57" t="str">
        <f ca="1">OFFSET(New_Towns!$E710,AD457,,,)</f>
        <v>Residential new customer connections</v>
      </c>
      <c r="AE456" s="57" t="str">
        <f ca="1">OFFSET(New_Towns!$E710,AE457,,,)</f>
        <v>Commercial and industrial new customer connections</v>
      </c>
      <c r="AF456" s="57" t="str">
        <f ca="1">OFFSET(New_Towns!$E710,AF457,,,)</f>
        <v>Residential meter replacement</v>
      </c>
      <c r="AG456" s="57" t="str">
        <f ca="1">OFFSET(New_Towns!$E710,AG457,,,)</f>
        <v>Commercial and industrial meter replacement</v>
      </c>
      <c r="AH456" s="57" t="str">
        <f ca="1">OFFSET(New_Towns!$E710,AH457,,,)</f>
        <v>Augmentation</v>
      </c>
      <c r="AI456" s="57" t="str">
        <f ca="1">OFFSET(New_Towns!$E710,AI457,,,)</f>
        <v>IT capex</v>
      </c>
      <c r="AJ456" s="57" t="str">
        <f ca="1">OFFSET(New_Towns!$E710,AJ457,,,)</f>
        <v>SCADA</v>
      </c>
      <c r="AK456" s="57" t="str">
        <f ca="1">OFFSET(New_Towns!$E710,AK457,,,)</f>
        <v>Other</v>
      </c>
      <c r="AL456" s="57" t="str">
        <f ca="1">OFFSET(New_Towns!$E710,AL457,,,)</f>
        <v>Capitalised Leases</v>
      </c>
      <c r="AM456" s="57" t="str">
        <f ca="1">OFFSET(New_Towns!$E710,AM457,,,)</f>
        <v>Gas Extensions - Energy for the Regions</v>
      </c>
      <c r="AN456" s="57" t="str">
        <f ca="1">OFFSET(New_Towns!$E710,AN457,,,)</f>
        <v>Gas Extensions - Other</v>
      </c>
      <c r="AO456" s="57" t="str">
        <f ca="1">OFFSET(New_Towns!$E710,AO457,,,)</f>
        <v>Customer contributions</v>
      </c>
      <c r="AP456" s="73"/>
      <c r="AR456" s="57" t="str">
        <f ca="1">OFFSET(New_Towns!$E767,AR457,,,)</f>
        <v>Mains &amp; Services</v>
      </c>
      <c r="AS456" s="57" t="str">
        <f ca="1">OFFSET(New_Towns!$E767,AS457,,,)</f>
        <v>Meters Domestic</v>
      </c>
      <c r="AT456" s="57" t="str">
        <f ca="1">OFFSET(New_Towns!$E767,AT457,,,)</f>
        <v>Meters Industrial &amp; Commercial</v>
      </c>
      <c r="AU456" s="57" t="str">
        <f ca="1">OFFSET(New_Towns!$E767,AU457,,,)</f>
        <v>Buildings</v>
      </c>
      <c r="AV456" s="57" t="str">
        <f ca="1">OFFSET(New_Towns!$E767,AV457,,,)</f>
        <v>Other Assets</v>
      </c>
      <c r="AW456" s="57" t="str">
        <f ca="1">OFFSET(New_Towns!$E767,AW457,,,)</f>
        <v>Repairs</v>
      </c>
      <c r="AX456" s="57" t="str">
        <f ca="1">OFFSET(New_Towns!$E767,AX457,,,)</f>
        <v>Land</v>
      </c>
    </row>
    <row r="457" spans="1:50" hidden="1" outlineLevel="2">
      <c r="L457" s="73"/>
      <c r="N457" s="68">
        <v>13</v>
      </c>
      <c r="O457" s="68">
        <v>14</v>
      </c>
      <c r="P457" s="68">
        <v>15</v>
      </c>
      <c r="Q457" s="68">
        <v>16</v>
      </c>
      <c r="R457" s="68">
        <v>5</v>
      </c>
      <c r="S457" s="68">
        <v>6</v>
      </c>
      <c r="T457" s="68">
        <v>7</v>
      </c>
      <c r="U457" s="68">
        <v>8</v>
      </c>
      <c r="V457" s="68">
        <v>9</v>
      </c>
      <c r="W457" s="68">
        <v>10</v>
      </c>
      <c r="X457" s="68">
        <v>11</v>
      </c>
      <c r="Y457" s="142">
        <v>12</v>
      </c>
      <c r="AA457" s="73"/>
      <c r="AC457" s="68">
        <v>1</v>
      </c>
      <c r="AD457" s="68">
        <v>2</v>
      </c>
      <c r="AE457" s="68">
        <v>3</v>
      </c>
      <c r="AF457" s="68">
        <v>4</v>
      </c>
      <c r="AG457" s="68">
        <v>5</v>
      </c>
      <c r="AH457" s="68">
        <v>6</v>
      </c>
      <c r="AI457" s="68">
        <v>7</v>
      </c>
      <c r="AJ457" s="68">
        <v>8</v>
      </c>
      <c r="AK457" s="68">
        <v>9</v>
      </c>
      <c r="AL457" s="67">
        <v>10</v>
      </c>
      <c r="AM457" s="67">
        <v>11</v>
      </c>
      <c r="AN457" s="136">
        <v>12</v>
      </c>
      <c r="AO457" s="67">
        <v>13</v>
      </c>
      <c r="AP457" s="73"/>
      <c r="AR457" s="68">
        <v>1</v>
      </c>
      <c r="AS457" s="68">
        <v>2</v>
      </c>
      <c r="AT457" s="68">
        <v>3</v>
      </c>
      <c r="AU457" s="68">
        <v>4</v>
      </c>
      <c r="AV457" s="68">
        <v>5</v>
      </c>
      <c r="AW457" s="68">
        <v>6</v>
      </c>
      <c r="AX457" s="138">
        <v>7</v>
      </c>
    </row>
    <row r="458" spans="1:50" ht="5.9" customHeight="1" outlineLevel="1" collapsed="1">
      <c r="L458" s="73"/>
      <c r="Y458" s="145"/>
      <c r="AA458" s="73"/>
      <c r="AP458" s="73"/>
    </row>
    <row r="459" spans="1:50" outlineLevel="1">
      <c r="D459" s="241" t="s">
        <v>338</v>
      </c>
      <c r="E459" s="241"/>
      <c r="F459" s="241"/>
      <c r="G459" s="241"/>
      <c r="I459" s="64">
        <v>0.03</v>
      </c>
      <c r="J459" s="64">
        <v>0.56999999999999995</v>
      </c>
      <c r="K459" s="65">
        <f>1-SUM(I459:J459)</f>
        <v>0.4</v>
      </c>
      <c r="L459" s="73"/>
      <c r="N459" s="64">
        <v>0</v>
      </c>
      <c r="O459" s="64">
        <v>0</v>
      </c>
      <c r="P459" s="64">
        <v>0</v>
      </c>
      <c r="Q459" s="64">
        <v>0</v>
      </c>
      <c r="R459" s="64">
        <v>0</v>
      </c>
      <c r="S459" s="64">
        <v>0</v>
      </c>
      <c r="T459" s="64">
        <v>0</v>
      </c>
      <c r="U459" s="64">
        <v>0</v>
      </c>
      <c r="V459" s="64">
        <v>0</v>
      </c>
      <c r="W459" s="64">
        <v>1</v>
      </c>
      <c r="X459" s="64">
        <v>0</v>
      </c>
      <c r="Y459" s="64">
        <v>0</v>
      </c>
      <c r="AA459" s="73"/>
      <c r="AC459" s="64">
        <v>0</v>
      </c>
      <c r="AD459" s="64">
        <v>0</v>
      </c>
      <c r="AE459" s="64">
        <v>0</v>
      </c>
      <c r="AF459" s="64">
        <v>0</v>
      </c>
      <c r="AG459" s="64">
        <v>0</v>
      </c>
      <c r="AH459" s="64">
        <v>0</v>
      </c>
      <c r="AI459" s="64">
        <v>0</v>
      </c>
      <c r="AJ459" s="64">
        <v>0</v>
      </c>
      <c r="AK459" s="64">
        <v>1</v>
      </c>
      <c r="AL459" s="64">
        <v>0</v>
      </c>
      <c r="AM459" s="64">
        <v>0</v>
      </c>
      <c r="AN459" s="64">
        <v>0</v>
      </c>
      <c r="AO459" s="147">
        <v>0</v>
      </c>
      <c r="AP459" s="73"/>
      <c r="AR459" s="64">
        <v>0</v>
      </c>
      <c r="AS459" s="64">
        <v>0</v>
      </c>
      <c r="AT459" s="64">
        <v>0</v>
      </c>
      <c r="AU459" s="64">
        <v>0</v>
      </c>
      <c r="AV459" s="64">
        <v>1</v>
      </c>
      <c r="AW459" s="64">
        <v>0</v>
      </c>
      <c r="AX459" s="64">
        <v>0</v>
      </c>
    </row>
    <row r="460" spans="1:50" outlineLevel="1">
      <c r="D460" s="241" t="s">
        <v>339</v>
      </c>
      <c r="E460" s="241"/>
      <c r="F460" s="241"/>
      <c r="G460" s="241"/>
      <c r="I460" s="64">
        <v>0.03</v>
      </c>
      <c r="J460" s="64">
        <v>0.56999999999999995</v>
      </c>
      <c r="K460" s="65">
        <f>1-SUM(I460:J460)</f>
        <v>0.4</v>
      </c>
      <c r="L460" s="73"/>
      <c r="N460" s="64">
        <v>0</v>
      </c>
      <c r="O460" s="64">
        <v>0</v>
      </c>
      <c r="P460" s="64">
        <v>0</v>
      </c>
      <c r="Q460" s="64">
        <v>0</v>
      </c>
      <c r="R460" s="64">
        <v>0</v>
      </c>
      <c r="S460" s="64">
        <v>0</v>
      </c>
      <c r="T460" s="64">
        <v>0</v>
      </c>
      <c r="U460" s="64">
        <v>0</v>
      </c>
      <c r="V460" s="64">
        <v>0</v>
      </c>
      <c r="W460" s="64">
        <v>1</v>
      </c>
      <c r="X460" s="64">
        <v>0</v>
      </c>
      <c r="Y460" s="64">
        <v>0</v>
      </c>
      <c r="AA460" s="73"/>
      <c r="AC460" s="64">
        <v>0</v>
      </c>
      <c r="AD460" s="64">
        <v>0</v>
      </c>
      <c r="AE460" s="64">
        <v>0</v>
      </c>
      <c r="AF460" s="64">
        <v>0</v>
      </c>
      <c r="AG460" s="64">
        <v>0</v>
      </c>
      <c r="AH460" s="64">
        <v>0</v>
      </c>
      <c r="AI460" s="64">
        <v>0</v>
      </c>
      <c r="AJ460" s="64">
        <v>0</v>
      </c>
      <c r="AK460" s="64">
        <v>1</v>
      </c>
      <c r="AL460" s="64">
        <v>0</v>
      </c>
      <c r="AM460" s="64">
        <v>0</v>
      </c>
      <c r="AN460" s="64">
        <v>0</v>
      </c>
      <c r="AO460" s="147">
        <v>0</v>
      </c>
      <c r="AP460" s="73"/>
      <c r="AR460" s="64">
        <v>0</v>
      </c>
      <c r="AS460" s="64">
        <v>0</v>
      </c>
      <c r="AT460" s="64">
        <v>0</v>
      </c>
      <c r="AU460" s="64">
        <v>0</v>
      </c>
      <c r="AV460" s="64">
        <v>1</v>
      </c>
      <c r="AW460" s="64">
        <v>0</v>
      </c>
      <c r="AX460" s="64">
        <v>0</v>
      </c>
    </row>
    <row r="461" spans="1:50" outlineLevel="1">
      <c r="D461" s="241" t="s">
        <v>340</v>
      </c>
      <c r="E461" s="241"/>
      <c r="F461" s="241"/>
      <c r="G461" s="241"/>
      <c r="I461" s="64">
        <v>0.03</v>
      </c>
      <c r="J461" s="64">
        <v>0.56999999999999995</v>
      </c>
      <c r="K461" s="65">
        <f>1-SUM(I461:J461)</f>
        <v>0.4</v>
      </c>
      <c r="L461" s="73"/>
      <c r="N461" s="64">
        <v>0</v>
      </c>
      <c r="O461" s="64">
        <v>0</v>
      </c>
      <c r="P461" s="64">
        <v>0</v>
      </c>
      <c r="Q461" s="64">
        <v>0</v>
      </c>
      <c r="R461" s="64">
        <v>0</v>
      </c>
      <c r="S461" s="64">
        <v>0</v>
      </c>
      <c r="T461" s="64">
        <v>0</v>
      </c>
      <c r="U461" s="64">
        <v>0</v>
      </c>
      <c r="V461" s="64">
        <v>0</v>
      </c>
      <c r="W461" s="64">
        <v>1</v>
      </c>
      <c r="X461" s="64">
        <v>0</v>
      </c>
      <c r="Y461" s="64">
        <v>0</v>
      </c>
      <c r="AA461" s="73"/>
      <c r="AC461" s="64">
        <v>0</v>
      </c>
      <c r="AD461" s="64">
        <v>0</v>
      </c>
      <c r="AE461" s="64">
        <v>0</v>
      </c>
      <c r="AF461" s="64">
        <v>0</v>
      </c>
      <c r="AG461" s="64">
        <v>0</v>
      </c>
      <c r="AH461" s="64">
        <v>0</v>
      </c>
      <c r="AI461" s="64">
        <v>0</v>
      </c>
      <c r="AJ461" s="64">
        <v>0</v>
      </c>
      <c r="AK461" s="64">
        <v>1</v>
      </c>
      <c r="AL461" s="64">
        <v>0</v>
      </c>
      <c r="AM461" s="64">
        <v>0</v>
      </c>
      <c r="AN461" s="64">
        <v>0</v>
      </c>
      <c r="AO461" s="147">
        <v>0</v>
      </c>
      <c r="AP461" s="73"/>
      <c r="AR461" s="64">
        <v>0</v>
      </c>
      <c r="AS461" s="64">
        <v>0</v>
      </c>
      <c r="AT461" s="64">
        <v>0</v>
      </c>
      <c r="AU461" s="64">
        <v>0</v>
      </c>
      <c r="AV461" s="64">
        <v>1</v>
      </c>
      <c r="AW461" s="64">
        <v>0</v>
      </c>
      <c r="AX461" s="64">
        <v>0</v>
      </c>
    </row>
    <row r="462" spans="1:50" outlineLevel="1">
      <c r="D462" s="241" t="s">
        <v>341</v>
      </c>
      <c r="E462" s="241"/>
      <c r="F462" s="241"/>
      <c r="G462" s="241"/>
      <c r="I462" s="64">
        <v>0.03</v>
      </c>
      <c r="J462" s="64">
        <v>0.56999999999999995</v>
      </c>
      <c r="K462" s="65">
        <f>1-SUM(I462:J462)</f>
        <v>0.4</v>
      </c>
      <c r="L462" s="73"/>
      <c r="N462" s="64">
        <v>0</v>
      </c>
      <c r="O462" s="64">
        <v>0</v>
      </c>
      <c r="P462" s="64">
        <v>0</v>
      </c>
      <c r="Q462" s="64">
        <v>0</v>
      </c>
      <c r="R462" s="64">
        <v>0</v>
      </c>
      <c r="S462" s="64">
        <v>0</v>
      </c>
      <c r="T462" s="64">
        <v>0</v>
      </c>
      <c r="U462" s="64">
        <v>0</v>
      </c>
      <c r="V462" s="64">
        <v>0</v>
      </c>
      <c r="W462" s="64">
        <v>1</v>
      </c>
      <c r="X462" s="64">
        <v>0</v>
      </c>
      <c r="Y462" s="64">
        <v>0</v>
      </c>
      <c r="AA462" s="73"/>
      <c r="AC462" s="64">
        <v>0</v>
      </c>
      <c r="AD462" s="64">
        <v>0</v>
      </c>
      <c r="AE462" s="64">
        <v>0</v>
      </c>
      <c r="AF462" s="64">
        <v>0</v>
      </c>
      <c r="AG462" s="64">
        <v>0</v>
      </c>
      <c r="AH462" s="64">
        <v>0</v>
      </c>
      <c r="AI462" s="64">
        <v>0</v>
      </c>
      <c r="AJ462" s="64">
        <v>0</v>
      </c>
      <c r="AK462" s="64">
        <v>1</v>
      </c>
      <c r="AL462" s="64">
        <v>0</v>
      </c>
      <c r="AM462" s="64">
        <v>0</v>
      </c>
      <c r="AN462" s="64">
        <v>0</v>
      </c>
      <c r="AO462" s="147">
        <v>0</v>
      </c>
      <c r="AP462" s="73"/>
      <c r="AR462" s="64">
        <v>0</v>
      </c>
      <c r="AS462" s="64">
        <v>0</v>
      </c>
      <c r="AT462" s="64">
        <v>0</v>
      </c>
      <c r="AU462" s="64">
        <v>0</v>
      </c>
      <c r="AV462" s="64">
        <v>1</v>
      </c>
      <c r="AW462" s="64">
        <v>0</v>
      </c>
      <c r="AX462" s="64">
        <v>0</v>
      </c>
    </row>
    <row r="463" spans="1:50" outlineLevel="1">
      <c r="L463" s="73"/>
      <c r="AA463" s="73"/>
      <c r="AC463" s="105" t="s">
        <v>458</v>
      </c>
      <c r="AP463" s="73"/>
    </row>
    <row r="464" spans="1:50" outlineLevel="1">
      <c r="C464" s="37" t="s">
        <v>367</v>
      </c>
      <c r="L464" s="73"/>
      <c r="AA464" s="73"/>
      <c r="AP464" s="73"/>
    </row>
    <row r="465" spans="1:50" ht="5.9" customHeight="1" outlineLevel="1">
      <c r="L465" s="73"/>
      <c r="AA465" s="73"/>
      <c r="AP465" s="73"/>
    </row>
    <row r="466" spans="1:50" outlineLevel="1">
      <c r="D466" s="241" t="s">
        <v>368</v>
      </c>
      <c r="E466" s="241"/>
      <c r="F466" s="241"/>
      <c r="G466" s="241"/>
      <c r="L466" s="73"/>
      <c r="N466" s="64">
        <v>0</v>
      </c>
      <c r="O466" s="64">
        <v>0</v>
      </c>
      <c r="P466" s="64">
        <v>0</v>
      </c>
      <c r="Q466" s="64">
        <v>0</v>
      </c>
      <c r="R466" s="64">
        <v>0</v>
      </c>
      <c r="S466" s="64">
        <v>0</v>
      </c>
      <c r="T466" s="64">
        <v>0</v>
      </c>
      <c r="U466" s="64">
        <v>0</v>
      </c>
      <c r="V466" s="64">
        <v>0</v>
      </c>
      <c r="W466" s="64">
        <v>0</v>
      </c>
      <c r="X466" s="64">
        <v>0</v>
      </c>
      <c r="Y466" s="64">
        <v>0</v>
      </c>
      <c r="AA466" s="73"/>
      <c r="AC466" s="64">
        <v>0</v>
      </c>
      <c r="AD466" s="64">
        <v>0</v>
      </c>
      <c r="AE466" s="64">
        <v>0</v>
      </c>
      <c r="AF466" s="64">
        <v>0</v>
      </c>
      <c r="AG466" s="64">
        <v>0</v>
      </c>
      <c r="AH466" s="64">
        <v>0</v>
      </c>
      <c r="AI466" s="64">
        <v>0</v>
      </c>
      <c r="AJ466" s="64">
        <v>0</v>
      </c>
      <c r="AK466" s="64">
        <v>0</v>
      </c>
      <c r="AL466" s="64">
        <v>0</v>
      </c>
      <c r="AM466" s="64">
        <v>0</v>
      </c>
      <c r="AN466" s="64">
        <v>0</v>
      </c>
      <c r="AO466" s="147">
        <v>0</v>
      </c>
      <c r="AP466" s="73"/>
      <c r="AR466" s="64">
        <v>0</v>
      </c>
      <c r="AS466" s="64">
        <v>0</v>
      </c>
      <c r="AT466" s="64">
        <v>0</v>
      </c>
      <c r="AU466" s="64">
        <v>0</v>
      </c>
      <c r="AV466" s="64">
        <v>0</v>
      </c>
      <c r="AW466" s="64">
        <v>0</v>
      </c>
      <c r="AX466" s="64">
        <v>0</v>
      </c>
    </row>
    <row r="468" spans="1:50" s="2" customFormat="1">
      <c r="A468"/>
      <c r="B468" s="2" t="s">
        <v>355</v>
      </c>
    </row>
    <row r="469" spans="1:50" ht="5.9" customHeight="1"/>
    <row r="470" spans="1:50" ht="14">
      <c r="C470" s="77" t="str">
        <f>IT!B25</f>
        <v>IT</v>
      </c>
      <c r="I470" s="37" t="str">
        <f>GC!H33</f>
        <v>IT</v>
      </c>
    </row>
    <row r="471" spans="1:50" ht="5.9" customHeight="1" outlineLevel="1"/>
    <row r="472" spans="1:50" outlineLevel="1">
      <c r="I472" s="242" t="s">
        <v>194</v>
      </c>
      <c r="J472" s="242"/>
      <c r="K472" s="242"/>
      <c r="L472" s="73"/>
      <c r="N472" s="242" t="s">
        <v>195</v>
      </c>
      <c r="O472" s="242"/>
      <c r="P472" s="242"/>
      <c r="Q472" s="242"/>
      <c r="R472" s="242"/>
      <c r="S472" s="242"/>
      <c r="T472" s="242"/>
      <c r="U472" s="242"/>
      <c r="V472" s="242"/>
      <c r="W472" s="242"/>
      <c r="X472" s="242"/>
      <c r="Y472" s="242"/>
      <c r="Z472" s="242"/>
      <c r="AA472" s="73"/>
      <c r="AC472" s="245" t="s">
        <v>196</v>
      </c>
      <c r="AD472" s="245"/>
      <c r="AE472" s="245"/>
      <c r="AF472" s="245"/>
      <c r="AG472" s="245"/>
      <c r="AH472" s="245"/>
      <c r="AI472" s="245"/>
      <c r="AJ472" s="245"/>
      <c r="AK472" s="245"/>
      <c r="AL472" s="245"/>
      <c r="AM472" s="245"/>
      <c r="AN472" s="245"/>
      <c r="AO472" s="245"/>
      <c r="AP472" s="73"/>
      <c r="AR472" s="242" t="s">
        <v>311</v>
      </c>
      <c r="AS472" s="242"/>
      <c r="AT472" s="242"/>
      <c r="AU472" s="242"/>
      <c r="AV472" s="242"/>
      <c r="AW472" s="242"/>
      <c r="AX472" s="242"/>
    </row>
    <row r="473" spans="1:50" ht="46" outlineLevel="1">
      <c r="D473" s="37" t="s">
        <v>160</v>
      </c>
      <c r="I473" s="57" t="s">
        <v>128</v>
      </c>
      <c r="J473" s="57" t="s">
        <v>129</v>
      </c>
      <c r="K473" s="57" t="s">
        <v>130</v>
      </c>
      <c r="L473" s="73"/>
      <c r="N473" s="57" t="str">
        <f ca="1">OFFSET(IT!$E230,N474,,,)</f>
        <v>Transmission pipelines - post 1998</v>
      </c>
      <c r="O473" s="57" t="str">
        <f ca="1">OFFSET(IT!$E230,O474,,,)</f>
        <v>Distribution pipelines - post 1998</v>
      </c>
      <c r="P473" s="57" t="str">
        <f ca="1">OFFSET(IT!$E230,P474,,,)</f>
        <v>Service pipes - post 1998</v>
      </c>
      <c r="Q473" s="57" t="str">
        <f ca="1">OFFSET(IT!$E230,Q474,,,)</f>
        <v>Cathodic protection - post 1998</v>
      </c>
      <c r="R473" s="57" t="str">
        <f ca="1">OFFSET(IT!$E230,R474,,,)</f>
        <v>Supply Regulators / Valve Stations</v>
      </c>
      <c r="S473" s="57" t="str">
        <f ca="1">OFFSET(IT!$E230,S474,,,)</f>
        <v>Meters</v>
      </c>
      <c r="T473" s="57" t="str">
        <f ca="1">OFFSET(IT!$E230,T474,,,)</f>
        <v>SCADA and remote control</v>
      </c>
      <c r="U473" s="57" t="str">
        <f ca="1">OFFSET(IT!$E230,U474,,,)</f>
        <v>Buildings</v>
      </c>
      <c r="V473" s="57" t="str">
        <f ca="1">OFFSET(IT!$E230,V474,,,)</f>
        <v>Other - IT</v>
      </c>
      <c r="W473" s="57" t="str">
        <f ca="1">OFFSET(IT!$E230,W474,,,)</f>
        <v>Other - non IT</v>
      </c>
      <c r="X473" s="57" t="str">
        <f ca="1">OFFSET(IT!$E230,X474,,,)</f>
        <v>Land</v>
      </c>
      <c r="Y473" s="57" t="str">
        <f ca="1">OFFSET(IT!$E230,Y474,,,)</f>
        <v>Capitalised Leases</v>
      </c>
      <c r="AA473" s="139"/>
      <c r="AC473" s="57" t="str">
        <f ca="1">OFFSET(IT!$E313,AC474,,,)</f>
        <v>Mains replacement</v>
      </c>
      <c r="AD473" s="57" t="str">
        <f ca="1">OFFSET(IT!$E313,AD474,,,)</f>
        <v>Residential new customer connections</v>
      </c>
      <c r="AE473" s="57" t="str">
        <f ca="1">OFFSET(IT!$E313,AE474,,,)</f>
        <v>Commercial and industrial new customer connections</v>
      </c>
      <c r="AF473" s="57" t="str">
        <f ca="1">OFFSET(IT!$E313,AF474,,,)</f>
        <v>Residential meter replacement</v>
      </c>
      <c r="AG473" s="57" t="str">
        <f ca="1">OFFSET(IT!$E313,AG474,,,)</f>
        <v>Commercial and industrial meter replacement</v>
      </c>
      <c r="AH473" s="57" t="str">
        <f ca="1">OFFSET(IT!$E313,AH474,,,)</f>
        <v>Augmentation</v>
      </c>
      <c r="AI473" s="57" t="str">
        <f ca="1">OFFSET(IT!$E313,AI474,,,)</f>
        <v>IT capex</v>
      </c>
      <c r="AJ473" s="57" t="str">
        <f ca="1">OFFSET(IT!$E313,AJ474,,,)</f>
        <v>SCADA</v>
      </c>
      <c r="AK473" s="57" t="str">
        <f ca="1">OFFSET(IT!$E313,AK474,,,)</f>
        <v>Other</v>
      </c>
      <c r="AL473" s="57" t="str">
        <f ca="1">OFFSET(IT!$E313,AL474,,,)</f>
        <v>Capitalised Leases</v>
      </c>
      <c r="AM473" s="57" t="str">
        <f ca="1">OFFSET(IT!$E313,AM474,,,)</f>
        <v>Gas Extensions - Energy for the Regions</v>
      </c>
      <c r="AN473" s="57" t="str">
        <f ca="1">OFFSET(IT!$E313,AN474,,,)</f>
        <v>Gas Extensions - Other</v>
      </c>
      <c r="AO473" s="57" t="str">
        <f ca="1">OFFSET(IT!$E313,AO474,,,)</f>
        <v>Customer contributions</v>
      </c>
      <c r="AP473" s="73"/>
      <c r="AR473" s="57" t="str">
        <f ca="1">OFFSET(IT!$E370,AR474,,,)</f>
        <v>Mains &amp; Services</v>
      </c>
      <c r="AS473" s="57" t="str">
        <f ca="1">OFFSET(IT!$E370,AS474,,,)</f>
        <v>Meters Domestic</v>
      </c>
      <c r="AT473" s="57" t="str">
        <f ca="1">OFFSET(IT!$E370,AT474,,,)</f>
        <v>Meters Industrial &amp; Commercial</v>
      </c>
      <c r="AU473" s="57" t="str">
        <f ca="1">OFFSET(IT!$E370,AU474,,,)</f>
        <v>Buildings</v>
      </c>
      <c r="AV473" s="57" t="str">
        <f ca="1">OFFSET(IT!$E370,AV474,,,)</f>
        <v>Other Assets</v>
      </c>
      <c r="AW473" s="57" t="str">
        <f ca="1">OFFSET(IT!$E370,AW474,,,)</f>
        <v>Repairs</v>
      </c>
      <c r="AX473" s="57" t="str">
        <f ca="1">OFFSET(IT!$E370,AX474,,,)</f>
        <v>Land</v>
      </c>
    </row>
    <row r="474" spans="1:50" hidden="1" outlineLevel="2">
      <c r="L474" s="73"/>
      <c r="N474" s="68">
        <v>13</v>
      </c>
      <c r="O474" s="68">
        <v>14</v>
      </c>
      <c r="P474" s="68">
        <v>15</v>
      </c>
      <c r="Q474" s="68">
        <v>16</v>
      </c>
      <c r="R474" s="68">
        <v>5</v>
      </c>
      <c r="S474" s="68">
        <v>6</v>
      </c>
      <c r="T474" s="68">
        <v>7</v>
      </c>
      <c r="U474" s="68">
        <v>8</v>
      </c>
      <c r="V474" s="68">
        <v>9</v>
      </c>
      <c r="W474" s="68">
        <v>10</v>
      </c>
      <c r="X474" s="68">
        <v>11</v>
      </c>
      <c r="Y474" s="142">
        <v>12</v>
      </c>
      <c r="AA474" s="73"/>
      <c r="AC474" s="68">
        <v>1</v>
      </c>
      <c r="AD474" s="68">
        <v>2</v>
      </c>
      <c r="AE474" s="68">
        <v>3</v>
      </c>
      <c r="AF474" s="68">
        <v>4</v>
      </c>
      <c r="AG474" s="68">
        <v>5</v>
      </c>
      <c r="AH474" s="68">
        <v>6</v>
      </c>
      <c r="AI474" s="68">
        <v>7</v>
      </c>
      <c r="AJ474" s="68">
        <v>8</v>
      </c>
      <c r="AK474" s="68">
        <v>9</v>
      </c>
      <c r="AL474" s="67">
        <v>10</v>
      </c>
      <c r="AM474" s="67">
        <v>11</v>
      </c>
      <c r="AN474" s="136">
        <v>12</v>
      </c>
      <c r="AO474" s="67">
        <v>13</v>
      </c>
      <c r="AP474" s="73"/>
      <c r="AR474" s="68">
        <v>1</v>
      </c>
      <c r="AS474" s="68">
        <v>2</v>
      </c>
      <c r="AT474" s="68">
        <v>3</v>
      </c>
      <c r="AU474" s="68">
        <v>4</v>
      </c>
      <c r="AV474" s="68">
        <v>5</v>
      </c>
      <c r="AW474" s="68">
        <v>6</v>
      </c>
      <c r="AX474" s="138">
        <v>7</v>
      </c>
    </row>
    <row r="475" spans="1:50" ht="5.9" customHeight="1" outlineLevel="1" collapsed="1">
      <c r="L475" s="73"/>
      <c r="Y475" s="145"/>
      <c r="AA475" s="73"/>
      <c r="AP475" s="73"/>
    </row>
    <row r="476" spans="1:50" outlineLevel="1">
      <c r="D476" s="241" t="s">
        <v>320</v>
      </c>
      <c r="E476" s="241"/>
      <c r="F476" s="241"/>
      <c r="G476" s="241"/>
      <c r="I476" s="64">
        <v>0.93922393641888735</v>
      </c>
      <c r="J476" s="64">
        <v>0</v>
      </c>
      <c r="K476" s="65">
        <f t="shared" ref="K476:K495" si="11">1-SUM(I476:J476)</f>
        <v>6.0776063581112649E-2</v>
      </c>
      <c r="L476" s="73"/>
      <c r="N476" s="64">
        <v>0</v>
      </c>
      <c r="O476" s="64">
        <v>0</v>
      </c>
      <c r="P476" s="64">
        <v>0</v>
      </c>
      <c r="Q476" s="64">
        <v>0</v>
      </c>
      <c r="R476" s="64">
        <v>0</v>
      </c>
      <c r="S476" s="64">
        <v>0</v>
      </c>
      <c r="T476" s="64">
        <v>0</v>
      </c>
      <c r="U476" s="64">
        <v>0</v>
      </c>
      <c r="V476" s="64">
        <v>1</v>
      </c>
      <c r="W476" s="64">
        <v>0</v>
      </c>
      <c r="X476" s="64">
        <v>0</v>
      </c>
      <c r="Y476" s="64">
        <v>0</v>
      </c>
      <c r="AA476" s="73"/>
      <c r="AC476" s="64">
        <v>0</v>
      </c>
      <c r="AD476" s="64">
        <v>0</v>
      </c>
      <c r="AE476" s="64">
        <v>0</v>
      </c>
      <c r="AF476" s="64">
        <v>0</v>
      </c>
      <c r="AG476" s="64">
        <v>0</v>
      </c>
      <c r="AH476" s="64">
        <v>0</v>
      </c>
      <c r="AI476" s="64">
        <v>1</v>
      </c>
      <c r="AJ476" s="64">
        <v>0</v>
      </c>
      <c r="AK476" s="64">
        <v>0</v>
      </c>
      <c r="AL476" s="64">
        <v>0</v>
      </c>
      <c r="AM476" s="64">
        <v>0</v>
      </c>
      <c r="AN476" s="64">
        <v>0</v>
      </c>
      <c r="AO476" s="147">
        <v>0</v>
      </c>
      <c r="AP476" s="73"/>
      <c r="AR476" s="64">
        <v>0</v>
      </c>
      <c r="AS476" s="64">
        <v>0</v>
      </c>
      <c r="AT476" s="64">
        <v>0</v>
      </c>
      <c r="AU476" s="64">
        <v>0</v>
      </c>
      <c r="AV476" s="64">
        <v>1</v>
      </c>
      <c r="AW476" s="64">
        <v>0</v>
      </c>
      <c r="AX476" s="64">
        <v>0</v>
      </c>
    </row>
    <row r="477" spans="1:50" outlineLevel="1">
      <c r="D477" s="241" t="s">
        <v>321</v>
      </c>
      <c r="E477" s="241"/>
      <c r="F477" s="241"/>
      <c r="G477" s="241"/>
      <c r="I477" s="64">
        <v>0.60620081231495937</v>
      </c>
      <c r="J477" s="64">
        <v>0</v>
      </c>
      <c r="K477" s="65">
        <f t="shared" si="11"/>
        <v>0.39379918768504063</v>
      </c>
      <c r="L477" s="73"/>
      <c r="N477" s="64">
        <v>0</v>
      </c>
      <c r="O477" s="64">
        <v>0</v>
      </c>
      <c r="P477" s="64">
        <v>0</v>
      </c>
      <c r="Q477" s="64">
        <v>0</v>
      </c>
      <c r="R477" s="64">
        <v>0</v>
      </c>
      <c r="S477" s="64">
        <v>0</v>
      </c>
      <c r="T477" s="64">
        <v>0</v>
      </c>
      <c r="U477" s="64">
        <v>0</v>
      </c>
      <c r="V477" s="64">
        <v>1</v>
      </c>
      <c r="W477" s="64">
        <v>0</v>
      </c>
      <c r="X477" s="64">
        <v>0</v>
      </c>
      <c r="Y477" s="64">
        <v>0</v>
      </c>
      <c r="AA477" s="73"/>
      <c r="AC477" s="64">
        <v>0</v>
      </c>
      <c r="AD477" s="64">
        <v>0</v>
      </c>
      <c r="AE477" s="64">
        <v>0</v>
      </c>
      <c r="AF477" s="64">
        <v>0</v>
      </c>
      <c r="AG477" s="64">
        <v>0</v>
      </c>
      <c r="AH477" s="64">
        <v>0</v>
      </c>
      <c r="AI477" s="64">
        <v>1</v>
      </c>
      <c r="AJ477" s="64">
        <v>0</v>
      </c>
      <c r="AK477" s="64">
        <v>0</v>
      </c>
      <c r="AL477" s="64">
        <v>0</v>
      </c>
      <c r="AM477" s="64">
        <v>0</v>
      </c>
      <c r="AN477" s="64">
        <v>0</v>
      </c>
      <c r="AO477" s="147">
        <v>0</v>
      </c>
      <c r="AP477" s="73"/>
      <c r="AR477" s="64">
        <v>0</v>
      </c>
      <c r="AS477" s="64">
        <v>0</v>
      </c>
      <c r="AT477" s="64">
        <v>0</v>
      </c>
      <c r="AU477" s="64">
        <v>0</v>
      </c>
      <c r="AV477" s="64">
        <v>1</v>
      </c>
      <c r="AW477" s="64">
        <v>0</v>
      </c>
      <c r="AX477" s="64">
        <v>0</v>
      </c>
    </row>
    <row r="478" spans="1:50" outlineLevel="1">
      <c r="D478" s="241" t="s">
        <v>322</v>
      </c>
      <c r="E478" s="241"/>
      <c r="F478" s="241"/>
      <c r="G478" s="241"/>
      <c r="I478" s="64">
        <v>0.1468914657026506</v>
      </c>
      <c r="J478" s="64">
        <v>0.10544759940723628</v>
      </c>
      <c r="K478" s="65">
        <f t="shared" si="11"/>
        <v>0.74766093489011309</v>
      </c>
      <c r="L478" s="73"/>
      <c r="N478" s="64">
        <v>0</v>
      </c>
      <c r="O478" s="64">
        <v>0</v>
      </c>
      <c r="P478" s="64">
        <v>0</v>
      </c>
      <c r="Q478" s="64">
        <v>0</v>
      </c>
      <c r="R478" s="64">
        <v>0</v>
      </c>
      <c r="S478" s="64">
        <v>0</v>
      </c>
      <c r="T478" s="64">
        <v>0</v>
      </c>
      <c r="U478" s="64">
        <v>0</v>
      </c>
      <c r="V478" s="64">
        <v>1</v>
      </c>
      <c r="W478" s="64">
        <v>0</v>
      </c>
      <c r="X478" s="64">
        <v>0</v>
      </c>
      <c r="Y478" s="64">
        <v>0</v>
      </c>
      <c r="AA478" s="73"/>
      <c r="AC478" s="64">
        <v>0</v>
      </c>
      <c r="AD478" s="64">
        <v>0</v>
      </c>
      <c r="AE478" s="64">
        <v>0</v>
      </c>
      <c r="AF478" s="64">
        <v>0</v>
      </c>
      <c r="AG478" s="64">
        <v>0</v>
      </c>
      <c r="AH478" s="64">
        <v>0</v>
      </c>
      <c r="AI478" s="64">
        <v>1</v>
      </c>
      <c r="AJ478" s="64">
        <v>0</v>
      </c>
      <c r="AK478" s="64">
        <v>0</v>
      </c>
      <c r="AL478" s="64">
        <v>0</v>
      </c>
      <c r="AM478" s="64">
        <v>0</v>
      </c>
      <c r="AN478" s="64">
        <v>0</v>
      </c>
      <c r="AO478" s="147">
        <v>0</v>
      </c>
      <c r="AP478" s="73"/>
      <c r="AR478" s="64">
        <v>0</v>
      </c>
      <c r="AS478" s="64">
        <v>0</v>
      </c>
      <c r="AT478" s="64">
        <v>0</v>
      </c>
      <c r="AU478" s="64">
        <v>0</v>
      </c>
      <c r="AV478" s="64">
        <v>1</v>
      </c>
      <c r="AW478" s="64">
        <v>0</v>
      </c>
      <c r="AX478" s="64">
        <v>0</v>
      </c>
    </row>
    <row r="479" spans="1:50" outlineLevel="1">
      <c r="D479" s="241" t="s">
        <v>323</v>
      </c>
      <c r="E479" s="241"/>
      <c r="F479" s="241"/>
      <c r="G479" s="241"/>
      <c r="I479" s="64">
        <v>0.35821323374404562</v>
      </c>
      <c r="J479" s="64">
        <v>2.664476633569874E-2</v>
      </c>
      <c r="K479" s="65">
        <f t="shared" si="11"/>
        <v>0.61514199992025564</v>
      </c>
      <c r="L479" s="73"/>
      <c r="N479" s="64">
        <v>0</v>
      </c>
      <c r="O479" s="64">
        <v>0</v>
      </c>
      <c r="P479" s="64">
        <v>0</v>
      </c>
      <c r="Q479" s="64">
        <v>0</v>
      </c>
      <c r="R479" s="64">
        <v>0</v>
      </c>
      <c r="S479" s="64">
        <v>0</v>
      </c>
      <c r="T479" s="64">
        <v>0</v>
      </c>
      <c r="U479" s="64">
        <v>0</v>
      </c>
      <c r="V479" s="64">
        <v>1</v>
      </c>
      <c r="W479" s="64">
        <v>0</v>
      </c>
      <c r="X479" s="64">
        <v>0</v>
      </c>
      <c r="Y479" s="64">
        <v>0</v>
      </c>
      <c r="AA479" s="73"/>
      <c r="AC479" s="64">
        <v>0</v>
      </c>
      <c r="AD479" s="64">
        <v>0</v>
      </c>
      <c r="AE479" s="64">
        <v>0</v>
      </c>
      <c r="AF479" s="64">
        <v>0</v>
      </c>
      <c r="AG479" s="64">
        <v>0</v>
      </c>
      <c r="AH479" s="64">
        <v>0</v>
      </c>
      <c r="AI479" s="64">
        <v>1</v>
      </c>
      <c r="AJ479" s="64">
        <v>0</v>
      </c>
      <c r="AK479" s="64">
        <v>0</v>
      </c>
      <c r="AL479" s="64">
        <v>0</v>
      </c>
      <c r="AM479" s="64">
        <v>0</v>
      </c>
      <c r="AN479" s="64">
        <v>0</v>
      </c>
      <c r="AO479" s="147">
        <v>0</v>
      </c>
      <c r="AP479" s="73"/>
      <c r="AR479" s="64">
        <v>0</v>
      </c>
      <c r="AS479" s="64">
        <v>0</v>
      </c>
      <c r="AT479" s="64">
        <v>0</v>
      </c>
      <c r="AU479" s="64">
        <v>0</v>
      </c>
      <c r="AV479" s="64">
        <v>1</v>
      </c>
      <c r="AW479" s="64">
        <v>0</v>
      </c>
      <c r="AX479" s="64">
        <v>0</v>
      </c>
    </row>
    <row r="480" spans="1:50" outlineLevel="1">
      <c r="D480" s="241" t="s">
        <v>324</v>
      </c>
      <c r="E480" s="241"/>
      <c r="F480" s="241"/>
      <c r="G480" s="241"/>
      <c r="I480" s="64">
        <v>0.8154094586874554</v>
      </c>
      <c r="J480" s="64">
        <v>1.7418499003500107E-2</v>
      </c>
      <c r="K480" s="65">
        <f t="shared" si="11"/>
        <v>0.16717204230904448</v>
      </c>
      <c r="L480" s="73"/>
      <c r="N480" s="64">
        <v>0</v>
      </c>
      <c r="O480" s="64">
        <v>0</v>
      </c>
      <c r="P480" s="64">
        <v>0</v>
      </c>
      <c r="Q480" s="64">
        <v>0</v>
      </c>
      <c r="R480" s="64">
        <v>0</v>
      </c>
      <c r="S480" s="64">
        <v>0</v>
      </c>
      <c r="T480" s="64">
        <v>0</v>
      </c>
      <c r="U480" s="64">
        <v>0</v>
      </c>
      <c r="V480" s="64">
        <v>1</v>
      </c>
      <c r="W480" s="64">
        <v>0</v>
      </c>
      <c r="X480" s="64">
        <v>0</v>
      </c>
      <c r="Y480" s="64">
        <v>0</v>
      </c>
      <c r="AA480" s="73"/>
      <c r="AC480" s="64">
        <v>0</v>
      </c>
      <c r="AD480" s="64">
        <v>0</v>
      </c>
      <c r="AE480" s="64">
        <v>0</v>
      </c>
      <c r="AF480" s="64">
        <v>0</v>
      </c>
      <c r="AG480" s="64">
        <v>0</v>
      </c>
      <c r="AH480" s="64">
        <v>0</v>
      </c>
      <c r="AI480" s="64">
        <v>1</v>
      </c>
      <c r="AJ480" s="64">
        <v>0</v>
      </c>
      <c r="AK480" s="64">
        <v>0</v>
      </c>
      <c r="AL480" s="64">
        <v>0</v>
      </c>
      <c r="AM480" s="64">
        <v>0</v>
      </c>
      <c r="AN480" s="64">
        <v>0</v>
      </c>
      <c r="AO480" s="147">
        <v>0</v>
      </c>
      <c r="AP480" s="73"/>
      <c r="AR480" s="64">
        <v>0</v>
      </c>
      <c r="AS480" s="64">
        <v>0</v>
      </c>
      <c r="AT480" s="64">
        <v>0</v>
      </c>
      <c r="AU480" s="64">
        <v>0</v>
      </c>
      <c r="AV480" s="64">
        <v>1</v>
      </c>
      <c r="AW480" s="64">
        <v>0</v>
      </c>
      <c r="AX480" s="64">
        <v>0</v>
      </c>
    </row>
    <row r="481" spans="4:50" outlineLevel="1">
      <c r="D481" s="241" t="s">
        <v>325</v>
      </c>
      <c r="E481" s="241"/>
      <c r="F481" s="241"/>
      <c r="G481" s="241"/>
      <c r="I481" s="64">
        <v>0</v>
      </c>
      <c r="J481" s="64">
        <v>0</v>
      </c>
      <c r="K481" s="65">
        <f t="shared" si="11"/>
        <v>1</v>
      </c>
      <c r="L481" s="73"/>
      <c r="N481" s="64">
        <v>0</v>
      </c>
      <c r="O481" s="64">
        <v>0</v>
      </c>
      <c r="P481" s="64">
        <v>0</v>
      </c>
      <c r="Q481" s="64">
        <v>0</v>
      </c>
      <c r="R481" s="64">
        <v>0</v>
      </c>
      <c r="S481" s="64">
        <v>0</v>
      </c>
      <c r="T481" s="64">
        <v>0</v>
      </c>
      <c r="U481" s="64">
        <v>0</v>
      </c>
      <c r="V481" s="64">
        <v>1</v>
      </c>
      <c r="W481" s="64">
        <v>0</v>
      </c>
      <c r="X481" s="64">
        <v>0</v>
      </c>
      <c r="Y481" s="64">
        <v>0</v>
      </c>
      <c r="AA481" s="73"/>
      <c r="AC481" s="64">
        <v>0</v>
      </c>
      <c r="AD481" s="64">
        <v>0</v>
      </c>
      <c r="AE481" s="64">
        <v>0</v>
      </c>
      <c r="AF481" s="64">
        <v>0</v>
      </c>
      <c r="AG481" s="64">
        <v>0</v>
      </c>
      <c r="AH481" s="64">
        <v>0</v>
      </c>
      <c r="AI481" s="64">
        <v>1</v>
      </c>
      <c r="AJ481" s="64">
        <v>0</v>
      </c>
      <c r="AK481" s="64">
        <v>0</v>
      </c>
      <c r="AL481" s="64">
        <v>0</v>
      </c>
      <c r="AM481" s="64">
        <v>0</v>
      </c>
      <c r="AN481" s="64">
        <v>0</v>
      </c>
      <c r="AO481" s="147">
        <v>0</v>
      </c>
      <c r="AP481" s="73"/>
      <c r="AR481" s="64">
        <v>0</v>
      </c>
      <c r="AS481" s="64">
        <v>0</v>
      </c>
      <c r="AT481" s="64">
        <v>0</v>
      </c>
      <c r="AU481" s="64">
        <v>0</v>
      </c>
      <c r="AV481" s="64">
        <v>1</v>
      </c>
      <c r="AW481" s="64">
        <v>0</v>
      </c>
      <c r="AX481" s="64">
        <v>0</v>
      </c>
    </row>
    <row r="482" spans="4:50" outlineLevel="1">
      <c r="D482" s="241" t="s">
        <v>326</v>
      </c>
      <c r="E482" s="241"/>
      <c r="F482" s="241"/>
      <c r="G482" s="241"/>
      <c r="I482" s="64">
        <v>0.46799642266663039</v>
      </c>
      <c r="J482" s="64">
        <v>3.0005144682107195E-3</v>
      </c>
      <c r="K482" s="65">
        <f t="shared" si="11"/>
        <v>0.52900306286515897</v>
      </c>
      <c r="L482" s="73"/>
      <c r="N482" s="64">
        <v>0</v>
      </c>
      <c r="O482" s="64">
        <v>0</v>
      </c>
      <c r="P482" s="64">
        <v>0</v>
      </c>
      <c r="Q482" s="64">
        <v>0</v>
      </c>
      <c r="R482" s="64">
        <v>0</v>
      </c>
      <c r="S482" s="64">
        <v>0</v>
      </c>
      <c r="T482" s="64">
        <v>0</v>
      </c>
      <c r="U482" s="64">
        <v>0</v>
      </c>
      <c r="V482" s="64">
        <v>1</v>
      </c>
      <c r="W482" s="64">
        <v>0</v>
      </c>
      <c r="X482" s="64">
        <v>0</v>
      </c>
      <c r="Y482" s="64">
        <v>0</v>
      </c>
      <c r="AA482" s="73"/>
      <c r="AC482" s="64">
        <v>0</v>
      </c>
      <c r="AD482" s="64">
        <v>0</v>
      </c>
      <c r="AE482" s="64">
        <v>0</v>
      </c>
      <c r="AF482" s="64">
        <v>0</v>
      </c>
      <c r="AG482" s="64">
        <v>0</v>
      </c>
      <c r="AH482" s="64">
        <v>0</v>
      </c>
      <c r="AI482" s="64">
        <v>1</v>
      </c>
      <c r="AJ482" s="64">
        <v>0</v>
      </c>
      <c r="AK482" s="64">
        <v>0</v>
      </c>
      <c r="AL482" s="64">
        <v>0</v>
      </c>
      <c r="AM482" s="64">
        <v>0</v>
      </c>
      <c r="AN482" s="64">
        <v>0</v>
      </c>
      <c r="AO482" s="147">
        <v>0</v>
      </c>
      <c r="AP482" s="73"/>
      <c r="AR482" s="64">
        <v>0</v>
      </c>
      <c r="AS482" s="64">
        <v>0</v>
      </c>
      <c r="AT482" s="64">
        <v>0</v>
      </c>
      <c r="AU482" s="64">
        <v>0</v>
      </c>
      <c r="AV482" s="64">
        <v>1</v>
      </c>
      <c r="AW482" s="64">
        <v>0</v>
      </c>
      <c r="AX482" s="64">
        <v>0</v>
      </c>
    </row>
    <row r="483" spans="4:50" outlineLevel="1">
      <c r="D483" s="241" t="s">
        <v>327</v>
      </c>
      <c r="E483" s="241"/>
      <c r="F483" s="241"/>
      <c r="G483" s="241"/>
      <c r="I483" s="64">
        <v>0.17629565439807088</v>
      </c>
      <c r="J483" s="64">
        <v>0.11804507972800612</v>
      </c>
      <c r="K483" s="65">
        <f t="shared" si="11"/>
        <v>0.70565926587392303</v>
      </c>
      <c r="L483" s="73"/>
      <c r="N483" s="64">
        <v>0</v>
      </c>
      <c r="O483" s="64">
        <v>0</v>
      </c>
      <c r="P483" s="64">
        <v>0</v>
      </c>
      <c r="Q483" s="64">
        <v>0</v>
      </c>
      <c r="R483" s="64">
        <v>0</v>
      </c>
      <c r="S483" s="64">
        <v>0</v>
      </c>
      <c r="T483" s="64">
        <v>0</v>
      </c>
      <c r="U483" s="64">
        <v>0</v>
      </c>
      <c r="V483" s="64">
        <v>1</v>
      </c>
      <c r="W483" s="64">
        <v>0</v>
      </c>
      <c r="X483" s="64">
        <v>0</v>
      </c>
      <c r="Y483" s="64">
        <v>0</v>
      </c>
      <c r="AA483" s="73"/>
      <c r="AC483" s="64">
        <v>0</v>
      </c>
      <c r="AD483" s="64">
        <v>0</v>
      </c>
      <c r="AE483" s="64">
        <v>0</v>
      </c>
      <c r="AF483" s="64">
        <v>0</v>
      </c>
      <c r="AG483" s="64">
        <v>0</v>
      </c>
      <c r="AH483" s="64">
        <v>0</v>
      </c>
      <c r="AI483" s="64">
        <v>1</v>
      </c>
      <c r="AJ483" s="64">
        <v>0</v>
      </c>
      <c r="AK483" s="64">
        <v>0</v>
      </c>
      <c r="AL483" s="64">
        <v>0</v>
      </c>
      <c r="AM483" s="64">
        <v>0</v>
      </c>
      <c r="AN483" s="64">
        <v>0</v>
      </c>
      <c r="AO483" s="147">
        <v>0</v>
      </c>
      <c r="AP483" s="73"/>
      <c r="AR483" s="64">
        <v>0</v>
      </c>
      <c r="AS483" s="64">
        <v>0</v>
      </c>
      <c r="AT483" s="64">
        <v>0</v>
      </c>
      <c r="AU483" s="64">
        <v>0</v>
      </c>
      <c r="AV483" s="64">
        <v>1</v>
      </c>
      <c r="AW483" s="64">
        <v>0</v>
      </c>
      <c r="AX483" s="64">
        <v>0</v>
      </c>
    </row>
    <row r="484" spans="4:50" outlineLevel="1">
      <c r="D484" s="241" t="s">
        <v>328</v>
      </c>
      <c r="E484" s="241"/>
      <c r="F484" s="241"/>
      <c r="G484" s="241"/>
      <c r="I484" s="64">
        <v>0.2</v>
      </c>
      <c r="J484" s="64">
        <v>0.1</v>
      </c>
      <c r="K484" s="65">
        <f t="shared" si="11"/>
        <v>0.7</v>
      </c>
      <c r="L484" s="73"/>
      <c r="N484" s="64">
        <v>0</v>
      </c>
      <c r="O484" s="64">
        <v>0</v>
      </c>
      <c r="P484" s="64">
        <v>0</v>
      </c>
      <c r="Q484" s="64">
        <v>0</v>
      </c>
      <c r="R484" s="64">
        <v>0</v>
      </c>
      <c r="S484" s="64">
        <v>0</v>
      </c>
      <c r="T484" s="64">
        <v>0</v>
      </c>
      <c r="U484" s="64">
        <v>0</v>
      </c>
      <c r="V484" s="64">
        <v>1</v>
      </c>
      <c r="W484" s="64">
        <v>0</v>
      </c>
      <c r="X484" s="64">
        <v>0</v>
      </c>
      <c r="Y484" s="64">
        <v>0</v>
      </c>
      <c r="AA484" s="73"/>
      <c r="AC484" s="64">
        <v>0</v>
      </c>
      <c r="AD484" s="64">
        <v>0</v>
      </c>
      <c r="AE484" s="64">
        <v>0</v>
      </c>
      <c r="AF484" s="64">
        <v>0</v>
      </c>
      <c r="AG484" s="64">
        <v>0</v>
      </c>
      <c r="AH484" s="64">
        <v>0</v>
      </c>
      <c r="AI484" s="64">
        <v>1</v>
      </c>
      <c r="AJ484" s="64">
        <v>0</v>
      </c>
      <c r="AK484" s="64">
        <v>0</v>
      </c>
      <c r="AL484" s="64">
        <v>0</v>
      </c>
      <c r="AM484" s="64">
        <v>0</v>
      </c>
      <c r="AN484" s="64">
        <v>0</v>
      </c>
      <c r="AO484" s="147">
        <v>0</v>
      </c>
      <c r="AP484" s="73"/>
      <c r="AR484" s="64">
        <v>0</v>
      </c>
      <c r="AS484" s="64">
        <v>0</v>
      </c>
      <c r="AT484" s="64">
        <v>0</v>
      </c>
      <c r="AU484" s="64">
        <v>0</v>
      </c>
      <c r="AV484" s="64">
        <v>1</v>
      </c>
      <c r="AW484" s="64">
        <v>0</v>
      </c>
      <c r="AX484" s="64">
        <v>0</v>
      </c>
    </row>
    <row r="485" spans="4:50" outlineLevel="1">
      <c r="D485" s="241" t="s">
        <v>463</v>
      </c>
      <c r="E485" s="241"/>
      <c r="F485" s="241"/>
      <c r="G485" s="241"/>
      <c r="I485" s="64">
        <v>0.41</v>
      </c>
      <c r="J485" s="64">
        <v>0.04</v>
      </c>
      <c r="K485" s="65">
        <f t="shared" si="11"/>
        <v>0.55000000000000004</v>
      </c>
      <c r="L485" s="73"/>
      <c r="N485" s="64">
        <v>0</v>
      </c>
      <c r="O485" s="64">
        <v>0</v>
      </c>
      <c r="P485" s="64">
        <v>0</v>
      </c>
      <c r="Q485" s="64">
        <v>0</v>
      </c>
      <c r="R485" s="64">
        <v>0</v>
      </c>
      <c r="S485" s="64">
        <v>0</v>
      </c>
      <c r="T485" s="64">
        <v>0</v>
      </c>
      <c r="U485" s="64">
        <v>0</v>
      </c>
      <c r="V485" s="64">
        <v>1</v>
      </c>
      <c r="W485" s="64">
        <v>0</v>
      </c>
      <c r="X485" s="64">
        <v>0</v>
      </c>
      <c r="Y485" s="64">
        <v>0</v>
      </c>
      <c r="AA485" s="73"/>
      <c r="AC485" s="64">
        <v>0</v>
      </c>
      <c r="AD485" s="64">
        <v>0</v>
      </c>
      <c r="AE485" s="64">
        <v>0</v>
      </c>
      <c r="AF485" s="64">
        <v>0</v>
      </c>
      <c r="AG485" s="64">
        <v>0</v>
      </c>
      <c r="AH485" s="64">
        <v>0</v>
      </c>
      <c r="AI485" s="64">
        <v>1</v>
      </c>
      <c r="AJ485" s="64">
        <v>0</v>
      </c>
      <c r="AK485" s="64">
        <v>0</v>
      </c>
      <c r="AL485" s="64">
        <v>0</v>
      </c>
      <c r="AM485" s="64">
        <v>0</v>
      </c>
      <c r="AN485" s="64">
        <v>0</v>
      </c>
      <c r="AO485" s="147">
        <v>0</v>
      </c>
      <c r="AP485" s="73"/>
      <c r="AR485" s="64">
        <v>0</v>
      </c>
      <c r="AS485" s="64">
        <v>0</v>
      </c>
      <c r="AT485" s="64">
        <v>0</v>
      </c>
      <c r="AU485" s="64">
        <v>0</v>
      </c>
      <c r="AV485" s="64">
        <v>1</v>
      </c>
      <c r="AW485" s="64">
        <v>0</v>
      </c>
      <c r="AX485" s="64">
        <v>0</v>
      </c>
    </row>
    <row r="486" spans="4:50" outlineLevel="1">
      <c r="D486" s="241" t="s">
        <v>342</v>
      </c>
      <c r="E486" s="241"/>
      <c r="F486" s="241"/>
      <c r="G486" s="241"/>
      <c r="I486" s="64">
        <v>0.41</v>
      </c>
      <c r="J486" s="64">
        <v>0.04</v>
      </c>
      <c r="K486" s="65">
        <f t="shared" si="11"/>
        <v>0.55000000000000004</v>
      </c>
      <c r="L486" s="73"/>
      <c r="N486" s="64">
        <v>0</v>
      </c>
      <c r="O486" s="64">
        <v>0</v>
      </c>
      <c r="P486" s="64">
        <v>0</v>
      </c>
      <c r="Q486" s="64">
        <v>0</v>
      </c>
      <c r="R486" s="64">
        <v>0</v>
      </c>
      <c r="S486" s="64">
        <v>0</v>
      </c>
      <c r="T486" s="64">
        <v>0</v>
      </c>
      <c r="U486" s="64">
        <v>0</v>
      </c>
      <c r="V486" s="64">
        <v>1</v>
      </c>
      <c r="W486" s="64">
        <v>0</v>
      </c>
      <c r="X486" s="64">
        <v>0</v>
      </c>
      <c r="Y486" s="64">
        <v>0</v>
      </c>
      <c r="AA486" s="73"/>
      <c r="AC486" s="64">
        <v>0</v>
      </c>
      <c r="AD486" s="64">
        <v>0</v>
      </c>
      <c r="AE486" s="64">
        <v>0</v>
      </c>
      <c r="AF486" s="64">
        <v>0</v>
      </c>
      <c r="AG486" s="64">
        <v>0</v>
      </c>
      <c r="AH486" s="64">
        <v>0</v>
      </c>
      <c r="AI486" s="64">
        <v>1</v>
      </c>
      <c r="AJ486" s="64">
        <v>0</v>
      </c>
      <c r="AK486" s="64">
        <v>0</v>
      </c>
      <c r="AL486" s="64">
        <v>0</v>
      </c>
      <c r="AM486" s="64">
        <v>0</v>
      </c>
      <c r="AN486" s="64">
        <v>0</v>
      </c>
      <c r="AO486" s="147">
        <v>0</v>
      </c>
      <c r="AP486" s="73"/>
      <c r="AR486" s="64">
        <v>0</v>
      </c>
      <c r="AS486" s="64">
        <v>0</v>
      </c>
      <c r="AT486" s="64">
        <v>0</v>
      </c>
      <c r="AU486" s="64">
        <v>0</v>
      </c>
      <c r="AV486" s="64">
        <v>1</v>
      </c>
      <c r="AW486" s="64">
        <v>0</v>
      </c>
      <c r="AX486" s="64">
        <v>0</v>
      </c>
    </row>
    <row r="487" spans="4:50" outlineLevel="1">
      <c r="D487" s="241" t="s">
        <v>343</v>
      </c>
      <c r="E487" s="241"/>
      <c r="F487" s="241"/>
      <c r="G487" s="241"/>
      <c r="I487" s="64">
        <v>0.41</v>
      </c>
      <c r="J487" s="64">
        <v>0.04</v>
      </c>
      <c r="K487" s="65">
        <f t="shared" si="11"/>
        <v>0.55000000000000004</v>
      </c>
      <c r="L487" s="73"/>
      <c r="N487" s="64">
        <v>0</v>
      </c>
      <c r="O487" s="64">
        <v>0</v>
      </c>
      <c r="P487" s="64">
        <v>0</v>
      </c>
      <c r="Q487" s="64">
        <v>0</v>
      </c>
      <c r="R487" s="64">
        <v>0</v>
      </c>
      <c r="S487" s="64">
        <v>0</v>
      </c>
      <c r="T487" s="64">
        <v>0</v>
      </c>
      <c r="U487" s="64">
        <v>0</v>
      </c>
      <c r="V487" s="64">
        <v>1</v>
      </c>
      <c r="W487" s="64">
        <v>0</v>
      </c>
      <c r="X487" s="64">
        <v>0</v>
      </c>
      <c r="Y487" s="64">
        <v>0</v>
      </c>
      <c r="AA487" s="73"/>
      <c r="AC487" s="64">
        <v>0</v>
      </c>
      <c r="AD487" s="64">
        <v>0</v>
      </c>
      <c r="AE487" s="64">
        <v>0</v>
      </c>
      <c r="AF487" s="64">
        <v>0</v>
      </c>
      <c r="AG487" s="64">
        <v>0</v>
      </c>
      <c r="AH487" s="64">
        <v>0</v>
      </c>
      <c r="AI487" s="64">
        <v>1</v>
      </c>
      <c r="AJ487" s="64">
        <v>0</v>
      </c>
      <c r="AK487" s="64">
        <v>0</v>
      </c>
      <c r="AL487" s="64">
        <v>0</v>
      </c>
      <c r="AM487" s="64">
        <v>0</v>
      </c>
      <c r="AN487" s="64">
        <v>0</v>
      </c>
      <c r="AO487" s="147">
        <v>0</v>
      </c>
      <c r="AP487" s="73"/>
      <c r="AR487" s="64">
        <v>0</v>
      </c>
      <c r="AS487" s="64">
        <v>0</v>
      </c>
      <c r="AT487" s="64">
        <v>0</v>
      </c>
      <c r="AU487" s="64">
        <v>0</v>
      </c>
      <c r="AV487" s="64">
        <v>1</v>
      </c>
      <c r="AW487" s="64">
        <v>0</v>
      </c>
      <c r="AX487" s="64">
        <v>0</v>
      </c>
    </row>
    <row r="488" spans="4:50" outlineLevel="1">
      <c r="D488" s="241" t="s">
        <v>321</v>
      </c>
      <c r="E488" s="241"/>
      <c r="F488" s="241"/>
      <c r="G488" s="241"/>
      <c r="I488" s="64">
        <v>0.41</v>
      </c>
      <c r="J488" s="64">
        <v>0.04</v>
      </c>
      <c r="K488" s="65">
        <f t="shared" si="11"/>
        <v>0.55000000000000004</v>
      </c>
      <c r="L488" s="73"/>
      <c r="N488" s="64">
        <v>0</v>
      </c>
      <c r="O488" s="64">
        <v>0</v>
      </c>
      <c r="P488" s="64">
        <v>0</v>
      </c>
      <c r="Q488" s="64">
        <v>0</v>
      </c>
      <c r="R488" s="64">
        <v>0</v>
      </c>
      <c r="S488" s="64">
        <v>0</v>
      </c>
      <c r="T488" s="64">
        <v>0</v>
      </c>
      <c r="U488" s="64">
        <v>0</v>
      </c>
      <c r="V488" s="64">
        <v>1</v>
      </c>
      <c r="W488" s="64">
        <v>0</v>
      </c>
      <c r="X488" s="64">
        <v>0</v>
      </c>
      <c r="Y488" s="64">
        <v>0</v>
      </c>
      <c r="AA488" s="73"/>
      <c r="AC488" s="64">
        <v>0</v>
      </c>
      <c r="AD488" s="64">
        <v>0</v>
      </c>
      <c r="AE488" s="64">
        <v>0</v>
      </c>
      <c r="AF488" s="64">
        <v>0</v>
      </c>
      <c r="AG488" s="64">
        <v>0</v>
      </c>
      <c r="AH488" s="64">
        <v>0</v>
      </c>
      <c r="AI488" s="64">
        <v>1</v>
      </c>
      <c r="AJ488" s="64">
        <v>0</v>
      </c>
      <c r="AK488" s="64">
        <v>0</v>
      </c>
      <c r="AL488" s="64">
        <v>0</v>
      </c>
      <c r="AM488" s="64">
        <v>0</v>
      </c>
      <c r="AN488" s="64">
        <v>0</v>
      </c>
      <c r="AO488" s="147">
        <v>0</v>
      </c>
      <c r="AP488" s="73"/>
      <c r="AR488" s="64">
        <v>0</v>
      </c>
      <c r="AS488" s="64">
        <v>0</v>
      </c>
      <c r="AT488" s="64">
        <v>0</v>
      </c>
      <c r="AU488" s="64">
        <v>0</v>
      </c>
      <c r="AV488" s="64">
        <v>1</v>
      </c>
      <c r="AW488" s="64">
        <v>0</v>
      </c>
      <c r="AX488" s="64">
        <v>0</v>
      </c>
    </row>
    <row r="489" spans="4:50" outlineLevel="1">
      <c r="D489" s="241" t="s">
        <v>344</v>
      </c>
      <c r="E489" s="241"/>
      <c r="F489" s="241"/>
      <c r="G489" s="241"/>
      <c r="I489" s="64">
        <v>0.41</v>
      </c>
      <c r="J489" s="64">
        <v>0.04</v>
      </c>
      <c r="K489" s="65">
        <f t="shared" si="11"/>
        <v>0.55000000000000004</v>
      </c>
      <c r="L489" s="73"/>
      <c r="N489" s="64">
        <v>0</v>
      </c>
      <c r="O489" s="64">
        <v>0</v>
      </c>
      <c r="P489" s="64">
        <v>0</v>
      </c>
      <c r="Q489" s="64">
        <v>0</v>
      </c>
      <c r="R489" s="64">
        <v>0</v>
      </c>
      <c r="S489" s="64">
        <v>0</v>
      </c>
      <c r="T489" s="64">
        <v>0</v>
      </c>
      <c r="U489" s="64">
        <v>0</v>
      </c>
      <c r="V489" s="64">
        <v>1</v>
      </c>
      <c r="W489" s="64">
        <v>0</v>
      </c>
      <c r="X489" s="64">
        <v>0</v>
      </c>
      <c r="Y489" s="64">
        <v>0</v>
      </c>
      <c r="AA489" s="73"/>
      <c r="AC489" s="64">
        <v>0</v>
      </c>
      <c r="AD489" s="64">
        <v>0</v>
      </c>
      <c r="AE489" s="64">
        <v>0</v>
      </c>
      <c r="AF489" s="64">
        <v>0</v>
      </c>
      <c r="AG489" s="64">
        <v>0</v>
      </c>
      <c r="AH489" s="64">
        <v>0</v>
      </c>
      <c r="AI489" s="64">
        <v>1</v>
      </c>
      <c r="AJ489" s="64">
        <v>0</v>
      </c>
      <c r="AK489" s="64">
        <v>0</v>
      </c>
      <c r="AL489" s="64">
        <v>0</v>
      </c>
      <c r="AM489" s="64">
        <v>0</v>
      </c>
      <c r="AN489" s="64">
        <v>0</v>
      </c>
      <c r="AO489" s="147">
        <v>0</v>
      </c>
      <c r="AP489" s="73"/>
      <c r="AR489" s="64">
        <v>0</v>
      </c>
      <c r="AS489" s="64">
        <v>0</v>
      </c>
      <c r="AT489" s="64">
        <v>0</v>
      </c>
      <c r="AU489" s="64">
        <v>0</v>
      </c>
      <c r="AV489" s="64">
        <v>1</v>
      </c>
      <c r="AW489" s="64">
        <v>0</v>
      </c>
      <c r="AX489" s="64">
        <v>0</v>
      </c>
    </row>
    <row r="490" spans="4:50" outlineLevel="1">
      <c r="D490" s="241" t="s">
        <v>464</v>
      </c>
      <c r="E490" s="241"/>
      <c r="F490" s="241"/>
      <c r="G490" s="241"/>
      <c r="I490" s="64">
        <v>0.41</v>
      </c>
      <c r="J490" s="64">
        <v>0.04</v>
      </c>
      <c r="K490" s="65">
        <f t="shared" si="11"/>
        <v>0.55000000000000004</v>
      </c>
      <c r="L490" s="73"/>
      <c r="N490" s="64">
        <v>0</v>
      </c>
      <c r="O490" s="64">
        <v>0</v>
      </c>
      <c r="P490" s="64">
        <v>0</v>
      </c>
      <c r="Q490" s="64">
        <v>0</v>
      </c>
      <c r="R490" s="64">
        <v>0</v>
      </c>
      <c r="S490" s="64">
        <v>0</v>
      </c>
      <c r="T490" s="64">
        <v>0</v>
      </c>
      <c r="U490" s="64">
        <v>0</v>
      </c>
      <c r="V490" s="64">
        <v>1</v>
      </c>
      <c r="W490" s="64">
        <v>0</v>
      </c>
      <c r="X490" s="64">
        <v>0</v>
      </c>
      <c r="Y490" s="64">
        <v>0</v>
      </c>
      <c r="AA490" s="73"/>
      <c r="AC490" s="64">
        <v>0</v>
      </c>
      <c r="AD490" s="64">
        <v>0</v>
      </c>
      <c r="AE490" s="64">
        <v>0</v>
      </c>
      <c r="AF490" s="64">
        <v>0</v>
      </c>
      <c r="AG490" s="64">
        <v>0</v>
      </c>
      <c r="AH490" s="64">
        <v>0</v>
      </c>
      <c r="AI490" s="64">
        <v>1</v>
      </c>
      <c r="AJ490" s="64">
        <v>0</v>
      </c>
      <c r="AK490" s="64">
        <v>0</v>
      </c>
      <c r="AL490" s="64">
        <v>0</v>
      </c>
      <c r="AM490" s="64">
        <v>0</v>
      </c>
      <c r="AN490" s="64">
        <v>0</v>
      </c>
      <c r="AO490" s="147">
        <v>0</v>
      </c>
      <c r="AP490" s="73"/>
      <c r="AR490" s="64">
        <v>0</v>
      </c>
      <c r="AS490" s="64">
        <v>0</v>
      </c>
      <c r="AT490" s="64">
        <v>0</v>
      </c>
      <c r="AU490" s="64">
        <v>0</v>
      </c>
      <c r="AV490" s="64">
        <v>1</v>
      </c>
      <c r="AW490" s="64">
        <v>0</v>
      </c>
      <c r="AX490" s="64">
        <v>0</v>
      </c>
    </row>
    <row r="491" spans="4:50" outlineLevel="1">
      <c r="D491" s="241" t="s">
        <v>465</v>
      </c>
      <c r="E491" s="241"/>
      <c r="F491" s="241"/>
      <c r="G491" s="241"/>
      <c r="I491" s="64">
        <v>0.41</v>
      </c>
      <c r="J491" s="64">
        <v>0.04</v>
      </c>
      <c r="K491" s="65">
        <f t="shared" si="11"/>
        <v>0.55000000000000004</v>
      </c>
      <c r="L491" s="73"/>
      <c r="N491" s="64">
        <v>0</v>
      </c>
      <c r="O491" s="64">
        <v>0</v>
      </c>
      <c r="P491" s="64">
        <v>0</v>
      </c>
      <c r="Q491" s="64">
        <v>0</v>
      </c>
      <c r="R491" s="64">
        <v>0</v>
      </c>
      <c r="S491" s="64">
        <v>0</v>
      </c>
      <c r="T491" s="64">
        <v>0</v>
      </c>
      <c r="U491" s="64">
        <v>0</v>
      </c>
      <c r="V491" s="64">
        <v>1</v>
      </c>
      <c r="W491" s="64">
        <v>0</v>
      </c>
      <c r="X491" s="64">
        <v>0</v>
      </c>
      <c r="Y491" s="64">
        <v>0</v>
      </c>
      <c r="AA491" s="73"/>
      <c r="AC491" s="64">
        <v>0</v>
      </c>
      <c r="AD491" s="64">
        <v>0</v>
      </c>
      <c r="AE491" s="64">
        <v>0</v>
      </c>
      <c r="AF491" s="64">
        <v>0</v>
      </c>
      <c r="AG491" s="64">
        <v>0</v>
      </c>
      <c r="AH491" s="64">
        <v>0</v>
      </c>
      <c r="AI491" s="64">
        <v>1</v>
      </c>
      <c r="AJ491" s="64">
        <v>0</v>
      </c>
      <c r="AK491" s="64">
        <v>0</v>
      </c>
      <c r="AL491" s="64">
        <v>0</v>
      </c>
      <c r="AM491" s="64">
        <v>0</v>
      </c>
      <c r="AN491" s="64">
        <v>0</v>
      </c>
      <c r="AO491" s="147">
        <v>0</v>
      </c>
      <c r="AP491" s="73"/>
      <c r="AR491" s="64">
        <v>0</v>
      </c>
      <c r="AS491" s="64">
        <v>0</v>
      </c>
      <c r="AT491" s="64">
        <v>0</v>
      </c>
      <c r="AU491" s="64">
        <v>0</v>
      </c>
      <c r="AV491" s="64">
        <v>1</v>
      </c>
      <c r="AW491" s="64">
        <v>0</v>
      </c>
      <c r="AX491" s="64">
        <v>0</v>
      </c>
    </row>
    <row r="492" spans="4:50" outlineLevel="1">
      <c r="D492" s="241" t="s">
        <v>345</v>
      </c>
      <c r="E492" s="241"/>
      <c r="F492" s="241"/>
      <c r="G492" s="241"/>
      <c r="I492" s="64">
        <v>0.41</v>
      </c>
      <c r="J492" s="64">
        <v>0.04</v>
      </c>
      <c r="K492" s="65">
        <f t="shared" si="11"/>
        <v>0.55000000000000004</v>
      </c>
      <c r="L492" s="73"/>
      <c r="N492" s="64">
        <v>0</v>
      </c>
      <c r="O492" s="64">
        <v>0</v>
      </c>
      <c r="P492" s="64">
        <v>0</v>
      </c>
      <c r="Q492" s="64">
        <v>0</v>
      </c>
      <c r="R492" s="64">
        <v>0</v>
      </c>
      <c r="S492" s="64">
        <v>0</v>
      </c>
      <c r="T492" s="64">
        <v>0</v>
      </c>
      <c r="U492" s="64">
        <v>0</v>
      </c>
      <c r="V492" s="64">
        <v>1</v>
      </c>
      <c r="W492" s="64">
        <v>0</v>
      </c>
      <c r="X492" s="64">
        <v>0</v>
      </c>
      <c r="Y492" s="64">
        <v>0</v>
      </c>
      <c r="AA492" s="73"/>
      <c r="AC492" s="64">
        <v>0</v>
      </c>
      <c r="AD492" s="64">
        <v>0</v>
      </c>
      <c r="AE492" s="64">
        <v>0</v>
      </c>
      <c r="AF492" s="64">
        <v>0</v>
      </c>
      <c r="AG492" s="64">
        <v>0</v>
      </c>
      <c r="AH492" s="64">
        <v>0</v>
      </c>
      <c r="AI492" s="64">
        <v>1</v>
      </c>
      <c r="AJ492" s="64">
        <v>0</v>
      </c>
      <c r="AK492" s="64">
        <v>0</v>
      </c>
      <c r="AL492" s="64">
        <v>0</v>
      </c>
      <c r="AM492" s="64">
        <v>0</v>
      </c>
      <c r="AN492" s="64">
        <v>0</v>
      </c>
      <c r="AO492" s="147">
        <v>0</v>
      </c>
      <c r="AP492" s="73"/>
      <c r="AR492" s="64">
        <v>0</v>
      </c>
      <c r="AS492" s="64">
        <v>0</v>
      </c>
      <c r="AT492" s="64">
        <v>0</v>
      </c>
      <c r="AU492" s="64">
        <v>0</v>
      </c>
      <c r="AV492" s="64">
        <v>1</v>
      </c>
      <c r="AW492" s="64">
        <v>0</v>
      </c>
      <c r="AX492" s="64">
        <v>0</v>
      </c>
    </row>
    <row r="493" spans="4:50" outlineLevel="1">
      <c r="D493" s="241" t="s">
        <v>466</v>
      </c>
      <c r="E493" s="241"/>
      <c r="F493" s="241"/>
      <c r="G493" s="241"/>
      <c r="I493" s="64">
        <v>0.41</v>
      </c>
      <c r="J493" s="64">
        <v>0.04</v>
      </c>
      <c r="K493" s="65">
        <f t="shared" si="11"/>
        <v>0.55000000000000004</v>
      </c>
      <c r="L493" s="73"/>
      <c r="N493" s="64">
        <v>0</v>
      </c>
      <c r="O493" s="64">
        <v>0</v>
      </c>
      <c r="P493" s="64">
        <v>0</v>
      </c>
      <c r="Q493" s="64">
        <v>0</v>
      </c>
      <c r="R493" s="64">
        <v>0</v>
      </c>
      <c r="S493" s="64">
        <v>0</v>
      </c>
      <c r="T493" s="64">
        <v>0</v>
      </c>
      <c r="U493" s="64">
        <v>0</v>
      </c>
      <c r="V493" s="64">
        <v>1</v>
      </c>
      <c r="W493" s="64">
        <v>0</v>
      </c>
      <c r="X493" s="64">
        <v>0</v>
      </c>
      <c r="Y493" s="64">
        <v>0</v>
      </c>
      <c r="AA493" s="73"/>
      <c r="AC493" s="64">
        <v>0</v>
      </c>
      <c r="AD493" s="64">
        <v>0</v>
      </c>
      <c r="AE493" s="64">
        <v>0</v>
      </c>
      <c r="AF493" s="64">
        <v>0</v>
      </c>
      <c r="AG493" s="64">
        <v>0</v>
      </c>
      <c r="AH493" s="64">
        <v>0</v>
      </c>
      <c r="AI493" s="64">
        <v>1</v>
      </c>
      <c r="AJ493" s="64">
        <v>0</v>
      </c>
      <c r="AK493" s="64">
        <v>0</v>
      </c>
      <c r="AL493" s="64">
        <v>0</v>
      </c>
      <c r="AM493" s="64">
        <v>0</v>
      </c>
      <c r="AN493" s="64">
        <v>0</v>
      </c>
      <c r="AO493" s="147">
        <v>0</v>
      </c>
      <c r="AP493" s="73"/>
      <c r="AR493" s="64">
        <v>0</v>
      </c>
      <c r="AS493" s="64">
        <v>0</v>
      </c>
      <c r="AT493" s="64">
        <v>0</v>
      </c>
      <c r="AU493" s="64">
        <v>0</v>
      </c>
      <c r="AV493" s="64">
        <v>1</v>
      </c>
      <c r="AW493" s="64">
        <v>0</v>
      </c>
      <c r="AX493" s="64">
        <v>0</v>
      </c>
    </row>
    <row r="494" spans="4:50" outlineLevel="1">
      <c r="D494" s="241" t="s">
        <v>467</v>
      </c>
      <c r="E494" s="241"/>
      <c r="F494" s="241"/>
      <c r="G494" s="241"/>
      <c r="I494" s="64">
        <v>0.41</v>
      </c>
      <c r="J494" s="64">
        <v>0.04</v>
      </c>
      <c r="K494" s="65">
        <f t="shared" si="11"/>
        <v>0.55000000000000004</v>
      </c>
      <c r="L494" s="73"/>
      <c r="N494" s="64">
        <v>0</v>
      </c>
      <c r="O494" s="64">
        <v>0</v>
      </c>
      <c r="P494" s="64">
        <v>0</v>
      </c>
      <c r="Q494" s="64">
        <v>0</v>
      </c>
      <c r="R494" s="64">
        <v>0</v>
      </c>
      <c r="S494" s="64">
        <v>0</v>
      </c>
      <c r="T494" s="64">
        <v>0</v>
      </c>
      <c r="U494" s="64">
        <v>0</v>
      </c>
      <c r="V494" s="64">
        <v>1</v>
      </c>
      <c r="W494" s="64">
        <v>0</v>
      </c>
      <c r="X494" s="64">
        <v>0</v>
      </c>
      <c r="Y494" s="64">
        <v>0</v>
      </c>
      <c r="AA494" s="73"/>
      <c r="AC494" s="64">
        <v>0</v>
      </c>
      <c r="AD494" s="64">
        <v>0</v>
      </c>
      <c r="AE494" s="64">
        <v>0</v>
      </c>
      <c r="AF494" s="64">
        <v>0</v>
      </c>
      <c r="AG494" s="64">
        <v>0</v>
      </c>
      <c r="AH494" s="64">
        <v>0</v>
      </c>
      <c r="AI494" s="64">
        <v>1</v>
      </c>
      <c r="AJ494" s="64">
        <v>0</v>
      </c>
      <c r="AK494" s="64">
        <v>0</v>
      </c>
      <c r="AL494" s="64">
        <v>0</v>
      </c>
      <c r="AM494" s="64">
        <v>0</v>
      </c>
      <c r="AN494" s="64">
        <v>0</v>
      </c>
      <c r="AO494" s="147">
        <v>0</v>
      </c>
      <c r="AP494" s="73"/>
      <c r="AR494" s="64">
        <v>0</v>
      </c>
      <c r="AS494" s="64">
        <v>0</v>
      </c>
      <c r="AT494" s="64">
        <v>0</v>
      </c>
      <c r="AU494" s="64">
        <v>0</v>
      </c>
      <c r="AV494" s="64">
        <v>1</v>
      </c>
      <c r="AW494" s="64">
        <v>0</v>
      </c>
      <c r="AX494" s="64">
        <v>0</v>
      </c>
    </row>
    <row r="495" spans="4:50" outlineLevel="1">
      <c r="D495" s="241" t="s">
        <v>346</v>
      </c>
      <c r="E495" s="241"/>
      <c r="F495" s="241"/>
      <c r="G495" s="241"/>
      <c r="I495" s="64">
        <v>0</v>
      </c>
      <c r="J495" s="64">
        <v>0</v>
      </c>
      <c r="K495" s="65">
        <f t="shared" si="11"/>
        <v>1</v>
      </c>
      <c r="L495" s="73"/>
      <c r="N495" s="64">
        <v>0</v>
      </c>
      <c r="O495" s="64">
        <v>0</v>
      </c>
      <c r="P495" s="64">
        <v>0</v>
      </c>
      <c r="Q495" s="64">
        <v>0</v>
      </c>
      <c r="R495" s="64">
        <v>0</v>
      </c>
      <c r="S495" s="64">
        <v>0</v>
      </c>
      <c r="T495" s="64">
        <v>0</v>
      </c>
      <c r="U495" s="64">
        <v>0</v>
      </c>
      <c r="V495" s="64">
        <v>1</v>
      </c>
      <c r="W495" s="64">
        <v>0</v>
      </c>
      <c r="X495" s="64">
        <v>0</v>
      </c>
      <c r="Y495" s="64">
        <v>0</v>
      </c>
      <c r="AA495" s="73"/>
      <c r="AC495" s="64">
        <v>0</v>
      </c>
      <c r="AD495" s="64">
        <v>0</v>
      </c>
      <c r="AE495" s="64">
        <v>0</v>
      </c>
      <c r="AF495" s="64">
        <v>0</v>
      </c>
      <c r="AG495" s="64">
        <v>0</v>
      </c>
      <c r="AH495" s="64">
        <v>0</v>
      </c>
      <c r="AI495" s="64">
        <v>1</v>
      </c>
      <c r="AJ495" s="64">
        <v>0</v>
      </c>
      <c r="AK495" s="64">
        <v>0</v>
      </c>
      <c r="AL495" s="64">
        <v>0</v>
      </c>
      <c r="AM495" s="64">
        <v>0</v>
      </c>
      <c r="AN495" s="64">
        <v>0</v>
      </c>
      <c r="AO495" s="147">
        <v>0</v>
      </c>
      <c r="AP495" s="73"/>
      <c r="AR495" s="64">
        <v>0</v>
      </c>
      <c r="AS495" s="64">
        <v>0</v>
      </c>
      <c r="AT495" s="64">
        <v>0</v>
      </c>
      <c r="AU495" s="64">
        <v>0</v>
      </c>
      <c r="AV495" s="64">
        <v>1</v>
      </c>
      <c r="AW495" s="64">
        <v>0</v>
      </c>
      <c r="AX495" s="64">
        <v>0</v>
      </c>
    </row>
    <row r="496" spans="4:50" outlineLevel="1">
      <c r="L496" s="73"/>
      <c r="AA496" s="73"/>
      <c r="AC496" s="105" t="s">
        <v>458</v>
      </c>
      <c r="AP496" s="73"/>
    </row>
    <row r="497" spans="1:50" outlineLevel="1">
      <c r="C497" s="37" t="s">
        <v>367</v>
      </c>
      <c r="L497" s="73"/>
      <c r="AA497" s="73"/>
      <c r="AP497" s="73"/>
    </row>
    <row r="498" spans="1:50" ht="5.9" customHeight="1" outlineLevel="1">
      <c r="L498" s="73"/>
      <c r="AA498" s="73"/>
      <c r="AP498" s="73"/>
    </row>
    <row r="499" spans="1:50" outlineLevel="1">
      <c r="D499" s="241" t="s">
        <v>368</v>
      </c>
      <c r="E499" s="241"/>
      <c r="F499" s="241"/>
      <c r="G499" s="241"/>
      <c r="L499" s="73"/>
      <c r="N499" s="64">
        <v>0</v>
      </c>
      <c r="O499" s="64">
        <v>0</v>
      </c>
      <c r="P499" s="64">
        <v>0</v>
      </c>
      <c r="Q499" s="64">
        <v>0</v>
      </c>
      <c r="R499" s="64">
        <v>0</v>
      </c>
      <c r="S499" s="64">
        <v>0</v>
      </c>
      <c r="T499" s="64">
        <v>0</v>
      </c>
      <c r="U499" s="64">
        <v>0</v>
      </c>
      <c r="V499" s="64">
        <v>0</v>
      </c>
      <c r="W499" s="64">
        <v>0</v>
      </c>
      <c r="X499" s="64">
        <v>0</v>
      </c>
      <c r="Y499" s="64">
        <v>0</v>
      </c>
      <c r="AA499" s="73"/>
      <c r="AC499" s="64">
        <v>0</v>
      </c>
      <c r="AD499" s="64">
        <v>0</v>
      </c>
      <c r="AE499" s="64">
        <v>0</v>
      </c>
      <c r="AF499" s="64">
        <v>0</v>
      </c>
      <c r="AG499" s="64">
        <v>0</v>
      </c>
      <c r="AH499" s="64">
        <v>0</v>
      </c>
      <c r="AI499" s="64">
        <v>0</v>
      </c>
      <c r="AJ499" s="64">
        <v>0</v>
      </c>
      <c r="AK499" s="64">
        <v>0</v>
      </c>
      <c r="AL499" s="64">
        <v>0</v>
      </c>
      <c r="AM499" s="64">
        <v>0</v>
      </c>
      <c r="AN499" s="64">
        <v>0</v>
      </c>
      <c r="AO499" s="147">
        <v>0</v>
      </c>
      <c r="AP499" s="73"/>
      <c r="AR499" s="64">
        <v>0</v>
      </c>
      <c r="AS499" s="64">
        <v>0</v>
      </c>
      <c r="AT499" s="64">
        <v>0</v>
      </c>
      <c r="AU499" s="64">
        <v>0</v>
      </c>
      <c r="AV499" s="64">
        <v>0</v>
      </c>
      <c r="AW499" s="64">
        <v>0</v>
      </c>
      <c r="AX499" s="64">
        <v>0</v>
      </c>
    </row>
    <row r="501" spans="1:50" s="2" customFormat="1">
      <c r="A501"/>
      <c r="B501" s="2" t="s">
        <v>357</v>
      </c>
    </row>
    <row r="502" spans="1:50" ht="5.9" customHeight="1"/>
    <row r="503" spans="1:50" ht="14">
      <c r="C503" s="77" t="str">
        <f>Other!B25</f>
        <v>Other Non-IT</v>
      </c>
      <c r="I503" s="37" t="str">
        <f>GC!H34</f>
        <v>Other</v>
      </c>
    </row>
    <row r="504" spans="1:50" ht="5.9" customHeight="1" outlineLevel="1"/>
    <row r="505" spans="1:50" outlineLevel="1">
      <c r="I505" s="242" t="s">
        <v>194</v>
      </c>
      <c r="J505" s="242"/>
      <c r="K505" s="242"/>
      <c r="L505" s="73"/>
      <c r="N505" s="242" t="s">
        <v>195</v>
      </c>
      <c r="O505" s="242"/>
      <c r="P505" s="242"/>
      <c r="Q505" s="242"/>
      <c r="R505" s="242"/>
      <c r="S505" s="242"/>
      <c r="T505" s="242"/>
      <c r="U505" s="242"/>
      <c r="V505" s="242"/>
      <c r="W505" s="242"/>
      <c r="X505" s="242"/>
      <c r="Y505" s="242"/>
      <c r="Z505" s="242"/>
      <c r="AA505" s="73"/>
      <c r="AC505" s="245" t="s">
        <v>196</v>
      </c>
      <c r="AD505" s="245"/>
      <c r="AE505" s="245"/>
      <c r="AF505" s="245"/>
      <c r="AG505" s="245"/>
      <c r="AH505" s="245"/>
      <c r="AI505" s="245"/>
      <c r="AJ505" s="245"/>
      <c r="AK505" s="245"/>
      <c r="AL505" s="245"/>
      <c r="AM505" s="245"/>
      <c r="AN505" s="245"/>
      <c r="AO505" s="245"/>
      <c r="AP505" s="73"/>
      <c r="AR505" s="242" t="s">
        <v>311</v>
      </c>
      <c r="AS505" s="242"/>
      <c r="AT505" s="242"/>
      <c r="AU505" s="242"/>
      <c r="AV505" s="242"/>
      <c r="AW505" s="242"/>
      <c r="AX505" s="242"/>
    </row>
    <row r="506" spans="1:50" ht="46" outlineLevel="1">
      <c r="D506" s="37" t="s">
        <v>160</v>
      </c>
      <c r="I506" s="57" t="s">
        <v>128</v>
      </c>
      <c r="J506" s="57" t="s">
        <v>129</v>
      </c>
      <c r="K506" s="57" t="s">
        <v>130</v>
      </c>
      <c r="L506" s="73"/>
      <c r="N506" s="57" t="str">
        <f ca="1">OFFSET(Other!$E104,N507,,,)</f>
        <v>Transmission pipelines - post 1998</v>
      </c>
      <c r="O506" s="57" t="str">
        <f ca="1">OFFSET(Other!$E104,O507,,,)</f>
        <v>Distribution pipelines - post 1998</v>
      </c>
      <c r="P506" s="57" t="str">
        <f ca="1">OFFSET(Other!$E104,P507,,,)</f>
        <v>Service pipes - post 1998</v>
      </c>
      <c r="Q506" s="57" t="str">
        <f ca="1">OFFSET(Other!$E104,Q507,,,)</f>
        <v>Cathodic protection - post 1998</v>
      </c>
      <c r="R506" s="57" t="str">
        <f ca="1">OFFSET(Other!$E104,R507,,,)</f>
        <v>Supply Regulators / Valve Stations</v>
      </c>
      <c r="S506" s="57" t="str">
        <f ca="1">OFFSET(Other!$E104,S507,,,)</f>
        <v>Meters</v>
      </c>
      <c r="T506" s="57" t="str">
        <f ca="1">OFFSET(Other!$E104,T507,,,)</f>
        <v>SCADA and remote control</v>
      </c>
      <c r="U506" s="57" t="str">
        <f ca="1">OFFSET(Other!$E104,U507,,,)</f>
        <v>Buildings</v>
      </c>
      <c r="V506" s="57" t="str">
        <f ca="1">OFFSET(Other!$E104,V507,,,)</f>
        <v>Other - IT</v>
      </c>
      <c r="W506" s="57" t="str">
        <f ca="1">OFFSET(Other!$E104,W507,,,)</f>
        <v>Other - non IT</v>
      </c>
      <c r="X506" s="57" t="str">
        <f ca="1">OFFSET(Other!$E104,X507,,,)</f>
        <v>Land</v>
      </c>
      <c r="Y506" s="57" t="str">
        <f ca="1">OFFSET(Other!$E104,Y507,,,)</f>
        <v>Capitalised Leases</v>
      </c>
      <c r="AA506" s="139"/>
      <c r="AC506" s="57" t="str">
        <f ca="1">OFFSET(Other!$E187,AC507,,,)</f>
        <v>Mains replacement</v>
      </c>
      <c r="AD506" s="57" t="str">
        <f ca="1">OFFSET(Other!$E187,AD507,,,)</f>
        <v>Residential new customer connections</v>
      </c>
      <c r="AE506" s="57" t="str">
        <f ca="1">OFFSET(Other!$E187,AE507,,,)</f>
        <v>Commercial and industrial new customer connections</v>
      </c>
      <c r="AF506" s="57" t="str">
        <f ca="1">OFFSET(Other!$E187,AF507,,,)</f>
        <v>Residential meter replacement</v>
      </c>
      <c r="AG506" s="57" t="str">
        <f ca="1">OFFSET(Other!$E187,AG507,,,)</f>
        <v>Commercial and industrial meter replacement</v>
      </c>
      <c r="AH506" s="57" t="str">
        <f ca="1">OFFSET(Other!$E187,AH507,,,)</f>
        <v>Augmentation</v>
      </c>
      <c r="AI506" s="57" t="str">
        <f ca="1">OFFSET(Other!$E187,AI507,,,)</f>
        <v>IT capex</v>
      </c>
      <c r="AJ506" s="57" t="str">
        <f ca="1">OFFSET(Other!$E187,AJ507,,,)</f>
        <v>SCADA</v>
      </c>
      <c r="AK506" s="57" t="str">
        <f ca="1">OFFSET(Other!$E187,AK507,,,)</f>
        <v>Other</v>
      </c>
      <c r="AL506" s="57" t="str">
        <f ca="1">OFFSET(Other!$E187,AL507,,,)</f>
        <v>Capitalised Leases</v>
      </c>
      <c r="AM506" s="57" t="str">
        <f ca="1">OFFSET(Other!$E187,AM507,,,)</f>
        <v>Gas Extensions - Energy for the Regions</v>
      </c>
      <c r="AN506" s="57" t="str">
        <f ca="1">OFFSET(Other!$E187,AN507,,,)</f>
        <v>Gas Extensions - Other</v>
      </c>
      <c r="AO506" s="57" t="str">
        <f ca="1">OFFSET(Other!$E187,AO507,,,)</f>
        <v>Customer contributions</v>
      </c>
      <c r="AP506" s="73"/>
      <c r="AR506" s="57" t="str">
        <f ca="1">OFFSET(Other!$E244,AR507,,,)</f>
        <v>Mains &amp; Services</v>
      </c>
      <c r="AS506" s="57" t="str">
        <f ca="1">OFFSET(Other!$E244,AS507,,,)</f>
        <v>Meters Domestic</v>
      </c>
      <c r="AT506" s="57" t="str">
        <f ca="1">OFFSET(Other!$E244,AT507,,,)</f>
        <v>Meters Industrial &amp; Commercial</v>
      </c>
      <c r="AU506" s="57" t="str">
        <f ca="1">OFFSET(Other!$E244,AU507,,,)</f>
        <v>Buildings</v>
      </c>
      <c r="AV506" s="57" t="str">
        <f ca="1">OFFSET(Other!$E244,AV507,,,)</f>
        <v>Other Assets</v>
      </c>
      <c r="AW506" s="57" t="str">
        <f ca="1">OFFSET(Other!$E244,AW507,,,)</f>
        <v>Repairs</v>
      </c>
      <c r="AX506" s="57" t="str">
        <f ca="1">OFFSET(Other!$E244,AX507,,,)</f>
        <v>Land</v>
      </c>
    </row>
    <row r="507" spans="1:50" hidden="1" outlineLevel="2">
      <c r="L507" s="73"/>
      <c r="N507" s="68">
        <v>13</v>
      </c>
      <c r="O507" s="68">
        <v>14</v>
      </c>
      <c r="P507" s="68">
        <v>15</v>
      </c>
      <c r="Q507" s="68">
        <v>16</v>
      </c>
      <c r="R507" s="68">
        <v>5</v>
      </c>
      <c r="S507" s="68">
        <v>6</v>
      </c>
      <c r="T507" s="68">
        <v>7</v>
      </c>
      <c r="U507" s="68">
        <v>8</v>
      </c>
      <c r="V507" s="68">
        <v>9</v>
      </c>
      <c r="W507" s="68">
        <v>10</v>
      </c>
      <c r="X507" s="68">
        <v>11</v>
      </c>
      <c r="Y507" s="142">
        <v>12</v>
      </c>
      <c r="AA507" s="73"/>
      <c r="AC507" s="68">
        <v>1</v>
      </c>
      <c r="AD507" s="68">
        <v>2</v>
      </c>
      <c r="AE507" s="68">
        <v>3</v>
      </c>
      <c r="AF507" s="68">
        <v>4</v>
      </c>
      <c r="AG507" s="68">
        <v>5</v>
      </c>
      <c r="AH507" s="68">
        <v>6</v>
      </c>
      <c r="AI507" s="68">
        <v>7</v>
      </c>
      <c r="AJ507" s="68">
        <v>8</v>
      </c>
      <c r="AK507" s="68">
        <v>9</v>
      </c>
      <c r="AL507" s="67">
        <v>10</v>
      </c>
      <c r="AM507" s="67">
        <v>11</v>
      </c>
      <c r="AN507" s="136">
        <v>12</v>
      </c>
      <c r="AO507" s="67">
        <v>13</v>
      </c>
      <c r="AP507" s="73"/>
      <c r="AR507" s="68">
        <v>1</v>
      </c>
      <c r="AS507" s="68">
        <v>2</v>
      </c>
      <c r="AT507" s="68">
        <v>3</v>
      </c>
      <c r="AU507" s="68">
        <v>4</v>
      </c>
      <c r="AV507" s="68">
        <v>5</v>
      </c>
      <c r="AW507" s="68">
        <v>6</v>
      </c>
      <c r="AX507" s="138">
        <v>7</v>
      </c>
    </row>
    <row r="508" spans="1:50" ht="5.9" customHeight="1" outlineLevel="1" collapsed="1">
      <c r="L508" s="73"/>
      <c r="Y508" s="145"/>
      <c r="AA508" s="73"/>
      <c r="AP508" s="73"/>
    </row>
    <row r="509" spans="1:50" outlineLevel="1">
      <c r="D509" s="241" t="s">
        <v>185</v>
      </c>
      <c r="E509" s="241"/>
      <c r="F509" s="241"/>
      <c r="G509" s="241"/>
      <c r="I509" s="64">
        <v>0.04</v>
      </c>
      <c r="J509" s="64">
        <v>0.04</v>
      </c>
      <c r="K509" s="65">
        <f>1-SUM(I509:J509)</f>
        <v>0.92</v>
      </c>
      <c r="L509" s="73"/>
      <c r="N509" s="64">
        <v>0</v>
      </c>
      <c r="O509" s="64">
        <v>0</v>
      </c>
      <c r="P509" s="64">
        <v>0</v>
      </c>
      <c r="Q509" s="64">
        <v>0</v>
      </c>
      <c r="R509" s="64">
        <v>0</v>
      </c>
      <c r="S509" s="64">
        <v>0</v>
      </c>
      <c r="T509" s="64">
        <v>0</v>
      </c>
      <c r="U509" s="64">
        <v>0</v>
      </c>
      <c r="V509" s="64">
        <v>0</v>
      </c>
      <c r="W509" s="64">
        <v>1</v>
      </c>
      <c r="X509" s="64">
        <v>0</v>
      </c>
      <c r="Y509" s="64">
        <v>0</v>
      </c>
      <c r="AA509" s="73"/>
      <c r="AC509" s="64">
        <v>0</v>
      </c>
      <c r="AD509" s="64">
        <v>0</v>
      </c>
      <c r="AE509" s="64">
        <v>0</v>
      </c>
      <c r="AF509" s="64">
        <v>0</v>
      </c>
      <c r="AG509" s="64">
        <v>0</v>
      </c>
      <c r="AH509" s="64">
        <v>0</v>
      </c>
      <c r="AI509" s="64">
        <v>0</v>
      </c>
      <c r="AJ509" s="64">
        <v>0</v>
      </c>
      <c r="AK509" s="64">
        <v>1</v>
      </c>
      <c r="AL509" s="64">
        <v>0</v>
      </c>
      <c r="AM509" s="64">
        <v>0</v>
      </c>
      <c r="AN509" s="64">
        <v>0</v>
      </c>
      <c r="AO509" s="147">
        <v>0</v>
      </c>
      <c r="AP509" s="73"/>
      <c r="AR509" s="64">
        <v>0</v>
      </c>
      <c r="AS509" s="64">
        <v>0</v>
      </c>
      <c r="AT509" s="64">
        <v>0</v>
      </c>
      <c r="AU509" s="64">
        <v>0</v>
      </c>
      <c r="AV509" s="64">
        <v>1</v>
      </c>
      <c r="AW509" s="64">
        <v>0</v>
      </c>
      <c r="AX509" s="64">
        <v>0</v>
      </c>
    </row>
    <row r="510" spans="1:50" outlineLevel="1">
      <c r="D510" s="241" t="s">
        <v>348</v>
      </c>
      <c r="E510" s="241"/>
      <c r="F510" s="241"/>
      <c r="G510" s="241"/>
      <c r="I510" s="64">
        <v>0</v>
      </c>
      <c r="J510" s="64">
        <v>0</v>
      </c>
      <c r="K510" s="65">
        <f>1-SUM(I510:J510)</f>
        <v>1</v>
      </c>
      <c r="L510" s="73"/>
      <c r="N510" s="64">
        <v>0</v>
      </c>
      <c r="O510" s="64">
        <v>0</v>
      </c>
      <c r="P510" s="64">
        <v>0</v>
      </c>
      <c r="Q510" s="64">
        <v>0</v>
      </c>
      <c r="R510" s="64">
        <v>0</v>
      </c>
      <c r="S510" s="64">
        <v>0</v>
      </c>
      <c r="T510" s="64">
        <v>0</v>
      </c>
      <c r="U510" s="64">
        <v>0</v>
      </c>
      <c r="V510" s="64">
        <v>0</v>
      </c>
      <c r="W510" s="64">
        <v>1</v>
      </c>
      <c r="X510" s="64">
        <v>0</v>
      </c>
      <c r="Y510" s="64">
        <v>0</v>
      </c>
      <c r="AA510" s="73"/>
      <c r="AC510" s="64">
        <v>0</v>
      </c>
      <c r="AD510" s="64">
        <v>0</v>
      </c>
      <c r="AE510" s="64">
        <v>0</v>
      </c>
      <c r="AF510" s="64">
        <v>0</v>
      </c>
      <c r="AG510" s="64">
        <v>0</v>
      </c>
      <c r="AH510" s="64">
        <v>0</v>
      </c>
      <c r="AI510" s="64">
        <v>0</v>
      </c>
      <c r="AJ510" s="64">
        <v>0</v>
      </c>
      <c r="AK510" s="64">
        <v>1</v>
      </c>
      <c r="AL510" s="64">
        <v>0</v>
      </c>
      <c r="AM510" s="64">
        <v>0</v>
      </c>
      <c r="AN510" s="64">
        <v>0</v>
      </c>
      <c r="AO510" s="147">
        <v>0</v>
      </c>
      <c r="AP510" s="73"/>
      <c r="AR510" s="64">
        <v>0</v>
      </c>
      <c r="AS510" s="64">
        <v>0</v>
      </c>
      <c r="AT510" s="64">
        <v>0</v>
      </c>
      <c r="AU510" s="64">
        <v>0</v>
      </c>
      <c r="AV510" s="64">
        <v>1</v>
      </c>
      <c r="AW510" s="64">
        <v>0</v>
      </c>
      <c r="AX510" s="64">
        <v>0</v>
      </c>
    </row>
    <row r="511" spans="1:50" outlineLevel="1">
      <c r="L511" s="73"/>
      <c r="AA511" s="73"/>
      <c r="AC511" s="105" t="s">
        <v>458</v>
      </c>
      <c r="AP511" s="73"/>
    </row>
    <row r="512" spans="1:50" outlineLevel="1">
      <c r="C512" s="37" t="s">
        <v>367</v>
      </c>
      <c r="L512" s="73"/>
      <c r="AA512" s="73"/>
      <c r="AP512" s="73"/>
    </row>
    <row r="513" spans="4:50" ht="5.9" customHeight="1" outlineLevel="1">
      <c r="L513" s="73"/>
      <c r="AA513" s="73"/>
      <c r="AP513" s="73"/>
    </row>
    <row r="514" spans="4:50" outlineLevel="1">
      <c r="D514" s="241" t="s">
        <v>368</v>
      </c>
      <c r="E514" s="241"/>
      <c r="F514" s="241"/>
      <c r="G514" s="241"/>
      <c r="L514" s="73"/>
      <c r="N514" s="64">
        <v>0</v>
      </c>
      <c r="O514" s="64">
        <v>0</v>
      </c>
      <c r="P514" s="64">
        <v>0</v>
      </c>
      <c r="Q514" s="64">
        <v>0</v>
      </c>
      <c r="R514" s="64">
        <v>0</v>
      </c>
      <c r="S514" s="64">
        <v>0</v>
      </c>
      <c r="T514" s="64">
        <v>0</v>
      </c>
      <c r="U514" s="64">
        <v>0</v>
      </c>
      <c r="V514" s="64">
        <v>0</v>
      </c>
      <c r="W514" s="64">
        <v>0</v>
      </c>
      <c r="X514" s="64">
        <v>0</v>
      </c>
      <c r="Y514" s="64">
        <v>0</v>
      </c>
      <c r="AA514" s="73"/>
      <c r="AC514" s="64">
        <v>0</v>
      </c>
      <c r="AD514" s="64">
        <v>0</v>
      </c>
      <c r="AE514" s="64">
        <v>0</v>
      </c>
      <c r="AF514" s="64">
        <v>0</v>
      </c>
      <c r="AG514" s="64">
        <v>0</v>
      </c>
      <c r="AH514" s="64">
        <v>0</v>
      </c>
      <c r="AI514" s="64">
        <v>0</v>
      </c>
      <c r="AJ514" s="64">
        <v>0</v>
      </c>
      <c r="AK514" s="64">
        <v>0</v>
      </c>
      <c r="AL514" s="64">
        <v>0</v>
      </c>
      <c r="AM514" s="64">
        <v>0</v>
      </c>
      <c r="AN514" s="64">
        <v>0</v>
      </c>
      <c r="AO514" s="147">
        <v>0</v>
      </c>
      <c r="AP514" s="73"/>
      <c r="AR514" s="64">
        <v>0</v>
      </c>
      <c r="AS514" s="64">
        <v>0</v>
      </c>
      <c r="AT514" s="64">
        <v>0</v>
      </c>
      <c r="AU514" s="64">
        <v>0</v>
      </c>
      <c r="AV514" s="64">
        <v>0</v>
      </c>
      <c r="AW514" s="64">
        <v>0</v>
      </c>
      <c r="AX514" s="64">
        <v>0</v>
      </c>
    </row>
  </sheetData>
  <sheetProtection formatColumns="0" formatRows="0"/>
  <mergeCells count="296">
    <mergeCell ref="D305:G305"/>
    <mergeCell ref="D303:G303"/>
    <mergeCell ref="D304:G304"/>
    <mergeCell ref="D322:G322"/>
    <mergeCell ref="D323:G323"/>
    <mergeCell ref="D329:G329"/>
    <mergeCell ref="D348:G348"/>
    <mergeCell ref="D309:G309"/>
    <mergeCell ref="D366:G366"/>
    <mergeCell ref="D363:G363"/>
    <mergeCell ref="D359:G359"/>
    <mergeCell ref="D339:G339"/>
    <mergeCell ref="D340:G340"/>
    <mergeCell ref="D324:G324"/>
    <mergeCell ref="D325:G325"/>
    <mergeCell ref="D341:G341"/>
    <mergeCell ref="D418:G418"/>
    <mergeCell ref="D417:G417"/>
    <mergeCell ref="D319:G319"/>
    <mergeCell ref="D320:G320"/>
    <mergeCell ref="D358:G358"/>
    <mergeCell ref="D413:G413"/>
    <mergeCell ref="D367:G367"/>
    <mergeCell ref="D46:G46"/>
    <mergeCell ref="D71:G71"/>
    <mergeCell ref="D89:G89"/>
    <mergeCell ref="D209:G209"/>
    <mergeCell ref="D210:G210"/>
    <mergeCell ref="D206:G206"/>
    <mergeCell ref="D207:G207"/>
    <mergeCell ref="D208:G208"/>
    <mergeCell ref="D241:G241"/>
    <mergeCell ref="D114:G114"/>
    <mergeCell ref="D115:G115"/>
    <mergeCell ref="D116:G116"/>
    <mergeCell ref="D189:G189"/>
    <mergeCell ref="D84:G84"/>
    <mergeCell ref="D167:G167"/>
    <mergeCell ref="D134:G134"/>
    <mergeCell ref="D132:G132"/>
    <mergeCell ref="D133:G133"/>
    <mergeCell ref="D298:G298"/>
    <mergeCell ref="D299:G299"/>
    <mergeCell ref="D122:G122"/>
    <mergeCell ref="D265:G265"/>
    <mergeCell ref="D287:G287"/>
    <mergeCell ref="D214:G214"/>
    <mergeCell ref="D283:G283"/>
    <mergeCell ref="D257:G257"/>
    <mergeCell ref="D258:G258"/>
    <mergeCell ref="D279:G279"/>
    <mergeCell ref="D242:G242"/>
    <mergeCell ref="D243:G243"/>
    <mergeCell ref="D260:G260"/>
    <mergeCell ref="D261:G261"/>
    <mergeCell ref="D276:G276"/>
    <mergeCell ref="D277:G277"/>
    <mergeCell ref="D278:G278"/>
    <mergeCell ref="D297:G297"/>
    <mergeCell ref="D205:G205"/>
    <mergeCell ref="D259:G259"/>
    <mergeCell ref="I77:K77"/>
    <mergeCell ref="I110:K110"/>
    <mergeCell ref="I146:K146"/>
    <mergeCell ref="I161:K161"/>
    <mergeCell ref="I179:K179"/>
    <mergeCell ref="D12:G12"/>
    <mergeCell ref="D24:G24"/>
    <mergeCell ref="D38:G38"/>
    <mergeCell ref="D39:G39"/>
    <mergeCell ref="D117:G117"/>
    <mergeCell ref="D118:G118"/>
    <mergeCell ref="D99:G99"/>
    <mergeCell ref="D100:G100"/>
    <mergeCell ref="D104:G104"/>
    <mergeCell ref="D135:G135"/>
    <mergeCell ref="D136:G136"/>
    <mergeCell ref="D140:G140"/>
    <mergeCell ref="D165:G165"/>
    <mergeCell ref="I52:K52"/>
    <mergeCell ref="I95:K95"/>
    <mergeCell ref="I128:K128"/>
    <mergeCell ref="D155:G155"/>
    <mergeCell ref="D81:G81"/>
    <mergeCell ref="D82:G82"/>
    <mergeCell ref="N8:Z8"/>
    <mergeCell ref="N34:Z34"/>
    <mergeCell ref="N52:Z52"/>
    <mergeCell ref="N77:Z77"/>
    <mergeCell ref="N95:Z95"/>
    <mergeCell ref="N110:Z110"/>
    <mergeCell ref="N128:Z128"/>
    <mergeCell ref="N146:Z146"/>
    <mergeCell ref="N161:Z161"/>
    <mergeCell ref="N335:Z335"/>
    <mergeCell ref="AC408:AO408"/>
    <mergeCell ref="N392:Z392"/>
    <mergeCell ref="N408:Z408"/>
    <mergeCell ref="N293:Z293"/>
    <mergeCell ref="N315:Z315"/>
    <mergeCell ref="I235:K235"/>
    <mergeCell ref="D168:G168"/>
    <mergeCell ref="D169:G169"/>
    <mergeCell ref="D185:G185"/>
    <mergeCell ref="D186:G186"/>
    <mergeCell ref="D187:G187"/>
    <mergeCell ref="D188:G188"/>
    <mergeCell ref="D275:G275"/>
    <mergeCell ref="D229:G229"/>
    <mergeCell ref="D247:G247"/>
    <mergeCell ref="I253:K253"/>
    <mergeCell ref="N179:Z179"/>
    <mergeCell ref="N199:Z199"/>
    <mergeCell ref="N220:Z220"/>
    <mergeCell ref="N235:Z235"/>
    <mergeCell ref="N253:Z253"/>
    <mergeCell ref="N271:Z271"/>
    <mergeCell ref="D239:G239"/>
    <mergeCell ref="AC505:AO505"/>
    <mergeCell ref="AC424:AO424"/>
    <mergeCell ref="AC439:AO439"/>
    <mergeCell ref="N424:Z424"/>
    <mergeCell ref="N439:Z439"/>
    <mergeCell ref="N455:Z455"/>
    <mergeCell ref="N472:Z472"/>
    <mergeCell ref="N354:Z354"/>
    <mergeCell ref="N374:Z374"/>
    <mergeCell ref="N505:Z505"/>
    <mergeCell ref="AC455:AO455"/>
    <mergeCell ref="AC472:AO472"/>
    <mergeCell ref="AR472:AX472"/>
    <mergeCell ref="AR505:AX505"/>
    <mergeCell ref="AC8:AO8"/>
    <mergeCell ref="AC34:AO34"/>
    <mergeCell ref="AC52:AO52"/>
    <mergeCell ref="AC77:AO77"/>
    <mergeCell ref="AC95:AO95"/>
    <mergeCell ref="AC110:AO110"/>
    <mergeCell ref="AC128:AO128"/>
    <mergeCell ref="AC146:AO146"/>
    <mergeCell ref="AC161:AO161"/>
    <mergeCell ref="AC179:AO179"/>
    <mergeCell ref="AC199:AO199"/>
    <mergeCell ref="AC220:AO220"/>
    <mergeCell ref="AC235:AO235"/>
    <mergeCell ref="AC253:AO253"/>
    <mergeCell ref="AC271:AO271"/>
    <mergeCell ref="AC293:AO293"/>
    <mergeCell ref="AC315:AO315"/>
    <mergeCell ref="AC335:AO335"/>
    <mergeCell ref="AC354:AO354"/>
    <mergeCell ref="AC374:AO374"/>
    <mergeCell ref="AC392:AO392"/>
    <mergeCell ref="AR8:AX8"/>
    <mergeCell ref="D40:G40"/>
    <mergeCell ref="D41:G41"/>
    <mergeCell ref="D42:G42"/>
    <mergeCell ref="I8:K8"/>
    <mergeCell ref="I34:K34"/>
    <mergeCell ref="D13:G13"/>
    <mergeCell ref="D14:G14"/>
    <mergeCell ref="D15:G15"/>
    <mergeCell ref="D16:G16"/>
    <mergeCell ref="D17:G17"/>
    <mergeCell ref="D18:G18"/>
    <mergeCell ref="D19:G19"/>
    <mergeCell ref="D20:G20"/>
    <mergeCell ref="D21:G21"/>
    <mergeCell ref="D22:G22"/>
    <mergeCell ref="D23:G23"/>
    <mergeCell ref="D28:G28"/>
    <mergeCell ref="D412:G412"/>
    <mergeCell ref="D396:G396"/>
    <mergeCell ref="D397:G397"/>
    <mergeCell ref="D184:G184"/>
    <mergeCell ref="D56:G56"/>
    <mergeCell ref="D67:G67"/>
    <mergeCell ref="D57:G57"/>
    <mergeCell ref="D58:G58"/>
    <mergeCell ref="D59:G59"/>
    <mergeCell ref="D60:G60"/>
    <mergeCell ref="D61:G61"/>
    <mergeCell ref="D62:G62"/>
    <mergeCell ref="D63:G63"/>
    <mergeCell ref="D64:G64"/>
    <mergeCell ref="D65:G65"/>
    <mergeCell ref="D66:G66"/>
    <mergeCell ref="D85:G85"/>
    <mergeCell ref="D151:G151"/>
    <mergeCell ref="D150:G150"/>
    <mergeCell ref="D166:G166"/>
    <mergeCell ref="D240:G240"/>
    <mergeCell ref="D83:G83"/>
    <mergeCell ref="D224:G224"/>
    <mergeCell ref="D225:G225"/>
    <mergeCell ref="I408:K408"/>
    <mergeCell ref="I392:K392"/>
    <mergeCell ref="I374:K374"/>
    <mergeCell ref="D378:G378"/>
    <mergeCell ref="D379:G379"/>
    <mergeCell ref="D364:G364"/>
    <mergeCell ref="D365:G365"/>
    <mergeCell ref="D385:G385"/>
    <mergeCell ref="D386:G386"/>
    <mergeCell ref="D401:G401"/>
    <mergeCell ref="D402:G402"/>
    <mergeCell ref="D368:G368"/>
    <mergeCell ref="I199:K199"/>
    <mergeCell ref="D203:G203"/>
    <mergeCell ref="D204:G204"/>
    <mergeCell ref="D173:G173"/>
    <mergeCell ref="D193:G193"/>
    <mergeCell ref="D183:G183"/>
    <mergeCell ref="D383:G383"/>
    <mergeCell ref="D384:G384"/>
    <mergeCell ref="D321:G321"/>
    <mergeCell ref="D342:G342"/>
    <mergeCell ref="D343:G343"/>
    <mergeCell ref="D344:G344"/>
    <mergeCell ref="I354:K354"/>
    <mergeCell ref="I293:K293"/>
    <mergeCell ref="I315:K315"/>
    <mergeCell ref="I220:K220"/>
    <mergeCell ref="I335:K335"/>
    <mergeCell ref="I271:K271"/>
    <mergeCell ref="D300:G300"/>
    <mergeCell ref="D301:G301"/>
    <mergeCell ref="D302:G302"/>
    <mergeCell ref="D280:G280"/>
    <mergeCell ref="D281:G281"/>
    <mergeCell ref="D282:G282"/>
    <mergeCell ref="AR34:AX34"/>
    <mergeCell ref="AR52:AX52"/>
    <mergeCell ref="AR77:AX77"/>
    <mergeCell ref="AR95:AX95"/>
    <mergeCell ref="AR110:AX110"/>
    <mergeCell ref="AR128:AX128"/>
    <mergeCell ref="AR146:AX146"/>
    <mergeCell ref="AR161:AX161"/>
    <mergeCell ref="AR179:AX179"/>
    <mergeCell ref="AR199:AX199"/>
    <mergeCell ref="AR220:AX220"/>
    <mergeCell ref="AR235:AX235"/>
    <mergeCell ref="AR253:AX253"/>
    <mergeCell ref="AR271:AX271"/>
    <mergeCell ref="AR293:AX293"/>
    <mergeCell ref="AR315:AX315"/>
    <mergeCell ref="AR335:AX335"/>
    <mergeCell ref="AR354:AX354"/>
    <mergeCell ref="AR374:AX374"/>
    <mergeCell ref="AR392:AX392"/>
    <mergeCell ref="D514:G514"/>
    <mergeCell ref="AR408:AX408"/>
    <mergeCell ref="AR424:AX424"/>
    <mergeCell ref="AR439:AX439"/>
    <mergeCell ref="AR455:AX455"/>
    <mergeCell ref="D483:G483"/>
    <mergeCell ref="D476:G476"/>
    <mergeCell ref="D481:G481"/>
    <mergeCell ref="I439:K439"/>
    <mergeCell ref="D443:G443"/>
    <mergeCell ref="D444:G444"/>
    <mergeCell ref="I424:K424"/>
    <mergeCell ref="D428:G428"/>
    <mergeCell ref="D429:G429"/>
    <mergeCell ref="I455:K455"/>
    <mergeCell ref="D459:G459"/>
    <mergeCell ref="D460:G460"/>
    <mergeCell ref="D462:G462"/>
    <mergeCell ref="D484:G484"/>
    <mergeCell ref="D485:G485"/>
    <mergeCell ref="D486:G486"/>
    <mergeCell ref="I472:K472"/>
    <mergeCell ref="D510:G510"/>
    <mergeCell ref="I505:K505"/>
    <mergeCell ref="D493:G493"/>
    <mergeCell ref="D494:G494"/>
    <mergeCell ref="D495:G495"/>
    <mergeCell ref="D499:G499"/>
    <mergeCell ref="D433:G433"/>
    <mergeCell ref="D487:G487"/>
    <mergeCell ref="D488:G488"/>
    <mergeCell ref="D489:G489"/>
    <mergeCell ref="D490:G490"/>
    <mergeCell ref="D491:G491"/>
    <mergeCell ref="D492:G492"/>
    <mergeCell ref="D509:G509"/>
    <mergeCell ref="D449:G449"/>
    <mergeCell ref="D482:G482"/>
    <mergeCell ref="D448:G448"/>
    <mergeCell ref="D477:G477"/>
    <mergeCell ref="D478:G478"/>
    <mergeCell ref="D461:G461"/>
    <mergeCell ref="D479:G479"/>
    <mergeCell ref="D480:G480"/>
    <mergeCell ref="D466:G466"/>
  </mergeCells>
  <dataValidations count="1">
    <dataValidation type="custom" showErrorMessage="1" errorTitle="Invalid Assumption" error="Assumption must be a number." sqref="I38:J42 I443:J444 I358:J359 I509:J510 I378:J379 I81:J85 I203:J210 I99:J100 I339:J344 I319:J325 I114:J118 I396:J397 I476:J495 I132:J136 I459:J462 I224:J225 I150:J151 I428:J429 I412:J413 AR12:AX24 AC12:AO24 I165:J169 AR297:AX305 AC297:AO305 AC257:AO261 I297:J305 AR275:AX283 AC275:AO283 I257:J261 I275:J283 AR257:AX261 AR239:AX243 AC239:AO243 AC183:AO189 I239:J243 I183:J189 AR165:AX169 AC165:AO169 AC56:AO67 AC509:AO510 AC476:AO495 AC459:AO462 AC443:AO444 AC428:AO429 AC412:AO413 AC396:AO397 AC378:AO379 AC358:AO359 AC339:AO344 AC319:AO325 AC224:AO225 AC203:AO210 AC150:AO151 AC132:AO136 AC114:AO118 AC99:AO100 AC81:AO85 AC38:AO42 AR38:AX42 AR509:AX510 AR476:AX495 AR459:AX462 AR443:AX444 AR428:AX429 AR412:AX413 AR396:AX397 AR378:AX379 AR358:AX359 AR339:AX344 AR319:AX325 AR224:AX225 AR203:AX210 I12:J24 AR150:AX151 AR132:AX136 AR114:AX118 AR99:AX100 AR81:AX85 AC363:AO368 AR193:AX193 AC193:AO193 AR363:AX368 AR28:AX28 AR514:AX514 AR499:AX499 AR466:AX466 AR448:AX449 AR433:AX433 AR417:AX418 AR401:AX402 AR383:AX386 AR348:AX348 AR329:AX329 AR309:AX309 AR287:AX287 AR265:AX265 AR247:AX247 AR229:AX229 AR214:AX214 AR173:AX173 AR155:AX155 AR140:AX140 AR122:AX122 AR104:AX104 AR89:AX89 AR71:AX71 AR46:AX46 AC28:AO28 AC514:AO514 AC499:AO499 AC466:AO466 AC448:AO449 AC433:AO433 AC417:AO418 AC401:AO402 AC383:AO386 AC348:AO348 AC329:AO329 AC309:AO309 AC287:AO287 AC265:AO265 AC247:AO247 AC229:AO229 AC214:AO214 AC173:AO173 AC155:AO155 AC140:AO140 AC122:AO122 AC104:AO104 AC89:AO89 AC71:AO71 AC46:AO46 I56:J67 AR183:AX189 AR56:AX67 N514:Y514 N499:Y499 N466:Y466 N448:Y449 N433:Y433 N417:Y418 N401:Y402 N383:Y386 N363:Y368 N348:Y348 N329:Y329 N309:Y309 N287:Y287 N265:Y265 N247:Y247 N229:Y229 N214:Y214 N193:Y193 N173:Y173 N155:Y155 N140:Y140 N122:Y122 N104:Y104 N89:Y89 N71:Y71 N46:Y46 N28:Y28 N509:Y510 N476:Y495 N459:Y462 N443:Y444 N428:Y429 N412:Y413 N396:Y397 N378:Y379 N358:Y359 N339:Y344 N319:Y325 N297:Y305 N275:Y283 N257:Y261 N239:Y243 N224:Y225 N203:Y210 N183:Y189 N165:Y169 N150:Y151 N132:Y136 N114:Y118 N99:Y100 N81:Y85 N56:Y67 N38:Y42 N12:Y24" xr:uid="{A33BAFF4-478F-49DB-9025-86443FBFBE87}">
      <formula1>NOT(ISERROR(I12/1))</formula1>
    </dataValidation>
  </dataValidations>
  <hyperlinks>
    <hyperlink ref="A1" location="HL_Home" tooltip="Go to Table of Contents" display="HL_Home" xr:uid="{DE02C0AD-3B32-444B-8398-683CF311BD9A}"/>
    <hyperlink ref="A2" location="HL_Err_Chk" tooltip="Go to Error Checks" display="HL_Err_Chk" xr:uid="{C8A9EE21-431A-431C-9BF6-232B6C6A50B6}"/>
  </hyperlinks>
  <pageMargins left="0.39370078740157499" right="0.39370078740157499" top="0.59055118110236204" bottom="0.98425196850393704" header="0" footer="0.31496062992126"/>
  <pageSetup paperSize="9" orientation="landscape" r:id="rId1"/>
  <headerFooter>
    <oddFooter>&amp;L&amp;F
&amp;A
Printed: &amp;T on &amp;D&amp;CPage &amp;P of &amp;N</oddFooter>
  </headerFooter>
  <customProperties>
    <customPr name="EpmWorksheetKeyString_GUID" r:id="rId2"/>
  </customPropertie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DE0BC1-AD5E-4DA6-ACE3-7F76CF8BB2E9}">
  <sheetPr>
    <pageSetUpPr autoPageBreaks="0"/>
  </sheetPr>
  <dimension ref="A1:T162"/>
  <sheetViews>
    <sheetView showGridLines="0" zoomScaleNormal="100" workbookViewId="0">
      <pane xSplit="9" ySplit="21" topLeftCell="J109" activePane="bottomRight" state="frozen"/>
      <selection activeCell="I248" sqref="I248"/>
      <selection pane="topRight" activeCell="I248" sqref="I248"/>
      <selection pane="bottomLeft" activeCell="I248" sqref="I248"/>
      <selection pane="bottomRight" activeCell="F147" sqref="F147"/>
    </sheetView>
  </sheetViews>
  <sheetFormatPr defaultColWidth="11.69921875" defaultRowHeight="11.5" outlineLevelRow="3"/>
  <cols>
    <col min="1" max="5" width="3.69921875" customWidth="1"/>
    <col min="6" max="7" width="15.69921875" customWidth="1"/>
    <col min="10" max="11" width="12.69921875" bestFit="1" customWidth="1"/>
    <col min="12" max="13" width="12.59765625" bestFit="1" customWidth="1"/>
    <col min="14" max="14" width="12" bestFit="1" customWidth="1"/>
  </cols>
  <sheetData>
    <row r="1" spans="1:20" ht="14">
      <c r="A1" s="10" t="s">
        <v>11</v>
      </c>
      <c r="B1" s="6" t="s">
        <v>385</v>
      </c>
    </row>
    <row r="2" spans="1:20" ht="13">
      <c r="A2" s="23" t="s">
        <v>26</v>
      </c>
      <c r="B2" s="7" t="str">
        <f ca="1">Model_Name</f>
        <v>GAAR Capex Forecast</v>
      </c>
    </row>
    <row r="3" spans="1:20">
      <c r="B3" s="30"/>
      <c r="C3" s="30"/>
      <c r="D3" s="30"/>
      <c r="E3" s="30"/>
      <c r="F3" s="30"/>
      <c r="G3" s="30"/>
      <c r="H3" s="30"/>
      <c r="I3" s="30"/>
      <c r="J3" s="30"/>
      <c r="K3" s="30"/>
      <c r="L3" s="30"/>
      <c r="M3" s="30"/>
      <c r="N3" s="30"/>
      <c r="O3" s="30"/>
      <c r="P3" s="30"/>
      <c r="Q3" s="30"/>
      <c r="R3" s="30"/>
      <c r="S3" s="30"/>
      <c r="T3" s="30"/>
    </row>
    <row r="4" spans="1:20">
      <c r="B4" s="116" t="s">
        <v>74</v>
      </c>
      <c r="C4" s="118"/>
      <c r="D4" s="118"/>
      <c r="E4" s="118"/>
      <c r="F4" s="118"/>
      <c r="G4" s="118"/>
      <c r="H4" s="118"/>
      <c r="I4" s="118"/>
      <c r="J4" s="119">
        <f t="shared" ref="J4:T4" si="0">J8</f>
        <v>43465</v>
      </c>
      <c r="K4" s="119">
        <f t="shared" si="0"/>
        <v>43830</v>
      </c>
      <c r="L4" s="119">
        <f t="shared" si="0"/>
        <v>44196</v>
      </c>
      <c r="M4" s="119">
        <f t="shared" si="0"/>
        <v>44561</v>
      </c>
      <c r="N4" s="119">
        <f t="shared" si="0"/>
        <v>44926</v>
      </c>
      <c r="O4" s="121">
        <f t="shared" si="0"/>
        <v>45107</v>
      </c>
      <c r="P4" s="121">
        <f t="shared" si="0"/>
        <v>45473</v>
      </c>
      <c r="Q4" s="121">
        <f t="shared" si="0"/>
        <v>45838</v>
      </c>
      <c r="R4" s="121">
        <f t="shared" si="0"/>
        <v>46203</v>
      </c>
      <c r="S4" s="121">
        <f t="shared" si="0"/>
        <v>46568</v>
      </c>
      <c r="T4" s="121">
        <f t="shared" si="0"/>
        <v>46934</v>
      </c>
    </row>
    <row r="5" spans="1:20">
      <c r="B5" s="152" t="s">
        <v>100</v>
      </c>
      <c r="C5" s="152"/>
      <c r="D5" s="152"/>
      <c r="E5" s="152"/>
      <c r="F5" s="152"/>
      <c r="G5" s="152"/>
      <c r="H5" s="152"/>
      <c r="I5" s="152"/>
      <c r="J5" s="153">
        <f t="shared" ref="J5:T5" si="1">YEAR(J8)</f>
        <v>2018</v>
      </c>
      <c r="K5" s="153">
        <f t="shared" si="1"/>
        <v>2019</v>
      </c>
      <c r="L5" s="153">
        <f t="shared" si="1"/>
        <v>2020</v>
      </c>
      <c r="M5" s="153">
        <f t="shared" si="1"/>
        <v>2021</v>
      </c>
      <c r="N5" s="153">
        <f t="shared" si="1"/>
        <v>2022</v>
      </c>
      <c r="O5" s="153">
        <f t="shared" si="1"/>
        <v>2023</v>
      </c>
      <c r="P5" s="153">
        <f t="shared" si="1"/>
        <v>2024</v>
      </c>
      <c r="Q5" s="153">
        <f t="shared" si="1"/>
        <v>2025</v>
      </c>
      <c r="R5" s="153">
        <f t="shared" si="1"/>
        <v>2026</v>
      </c>
      <c r="S5" s="153">
        <f t="shared" si="1"/>
        <v>2027</v>
      </c>
      <c r="T5" s="153">
        <f t="shared" si="1"/>
        <v>2028</v>
      </c>
    </row>
    <row r="6" spans="1:20">
      <c r="B6" s="149" t="s">
        <v>91</v>
      </c>
      <c r="C6" s="149"/>
      <c r="D6" s="149"/>
      <c r="E6" s="149"/>
      <c r="F6" s="149"/>
      <c r="G6" s="149"/>
      <c r="H6" s="149"/>
      <c r="I6" s="149"/>
      <c r="J6" s="151" t="str">
        <f t="shared" ref="J6:T6" si="2">IF(J$17,"Actual","Forecast")</f>
        <v>Actual</v>
      </c>
      <c r="K6" s="151" t="str">
        <f t="shared" si="2"/>
        <v>Actual</v>
      </c>
      <c r="L6" s="151" t="str">
        <f t="shared" si="2"/>
        <v>Actual</v>
      </c>
      <c r="M6" s="151" t="str">
        <f t="shared" si="2"/>
        <v>Actual</v>
      </c>
      <c r="N6" s="151" t="str">
        <f t="shared" si="2"/>
        <v>Forecast</v>
      </c>
      <c r="O6" s="150" t="str">
        <f t="shared" si="2"/>
        <v>Forecast</v>
      </c>
      <c r="P6" s="150" t="str">
        <f t="shared" si="2"/>
        <v>Forecast</v>
      </c>
      <c r="Q6" s="150" t="str">
        <f t="shared" si="2"/>
        <v>Forecast</v>
      </c>
      <c r="R6" s="150" t="str">
        <f t="shared" si="2"/>
        <v>Forecast</v>
      </c>
      <c r="S6" s="150" t="str">
        <f t="shared" si="2"/>
        <v>Forecast</v>
      </c>
      <c r="T6" s="150" t="str">
        <f t="shared" si="2"/>
        <v>Forecast</v>
      </c>
    </row>
    <row r="7" spans="1:20" hidden="1" outlineLevel="3">
      <c r="B7" s="30" t="s">
        <v>101</v>
      </c>
      <c r="C7" s="30"/>
      <c r="D7" s="30"/>
      <c r="E7" s="30"/>
      <c r="F7" s="30"/>
      <c r="G7" s="30"/>
      <c r="H7" s="30"/>
      <c r="I7" s="30"/>
      <c r="J7" s="36">
        <f>EDATE(Ts_Start_Date,(J10-1)*Ts_Mths_In_Yr)</f>
        <v>43101</v>
      </c>
      <c r="K7" s="36">
        <f>EDATE(Ts_Start_Date,(K10-1)*Ts_Mths_In_Yr)</f>
        <v>43466</v>
      </c>
      <c r="L7" s="36">
        <f>EDATE(Ts_Start_Date,(L10-1)*Ts_Mths_In_Yr)</f>
        <v>43831</v>
      </c>
      <c r="M7" s="36">
        <f>EDATE(Ts_Start_Date,(M10-1)*Ts_Mths_In_Yr)</f>
        <v>44197</v>
      </c>
      <c r="N7" s="36">
        <f>EDATE(Ts_Start_Date,(N10-1)*Ts_Mths_In_Yr)</f>
        <v>44562</v>
      </c>
      <c r="O7" s="36">
        <f>Ts_Stub_Start_Date</f>
        <v>44927</v>
      </c>
      <c r="P7" s="36">
        <f>EDATE(Ts_Forecast_Reg_Start_Date,(P16-1)*Ts_Mths_In_Yr)</f>
        <v>45108</v>
      </c>
      <c r="Q7" s="36">
        <f>EDATE(Ts_Forecast_Reg_Start_Date,(Q16-1)*Ts_Mths_In_Yr)</f>
        <v>45474</v>
      </c>
      <c r="R7" s="36">
        <f>EDATE(Ts_Forecast_Reg_Start_Date,(R16-1)*Ts_Mths_In_Yr)</f>
        <v>45839</v>
      </c>
      <c r="S7" s="36">
        <f>EDATE(Ts_Forecast_Reg_Start_Date,(S16-1)*Ts_Mths_In_Yr)</f>
        <v>46204</v>
      </c>
      <c r="T7" s="36">
        <f>EDATE(Ts_Forecast_Reg_Start_Date,(T16-1)*Ts_Mths_In_Yr)</f>
        <v>46569</v>
      </c>
    </row>
    <row r="8" spans="1:20" hidden="1" outlineLevel="3">
      <c r="B8" s="30" t="s">
        <v>102</v>
      </c>
      <c r="C8" s="30"/>
      <c r="D8" s="30"/>
      <c r="E8" s="30"/>
      <c r="F8" s="30"/>
      <c r="G8" s="30"/>
      <c r="H8" s="30"/>
      <c r="I8" s="30"/>
      <c r="J8" s="36">
        <f>EOMONTH(J7,Ts_Mths_In_Yr-1)</f>
        <v>43465</v>
      </c>
      <c r="K8" s="36">
        <f>EOMONTH(K7,Ts_Mths_In_Yr-1)</f>
        <v>43830</v>
      </c>
      <c r="L8" s="36">
        <f>EOMONTH(L7,Ts_Mths_In_Yr-1)</f>
        <v>44196</v>
      </c>
      <c r="M8" s="36">
        <f>EOMONTH(M7,Ts_Mths_In_Yr-1)</f>
        <v>44561</v>
      </c>
      <c r="N8" s="36">
        <f>EOMONTH(N7,Ts_Mths_In_Yr-1)</f>
        <v>44926</v>
      </c>
      <c r="O8" s="36">
        <f>EOMONTH(O7,Ts_Stub_Length-1)</f>
        <v>45107</v>
      </c>
      <c r="P8" s="36">
        <f>EOMONTH(P7,Ts_Mths_In_Yr-1)</f>
        <v>45473</v>
      </c>
      <c r="Q8" s="36">
        <f>EOMONTH(Q7,Ts_Mths_In_Yr-1)</f>
        <v>45838</v>
      </c>
      <c r="R8" s="36">
        <f>EOMONTH(R7,Ts_Mths_In_Yr-1)</f>
        <v>46203</v>
      </c>
      <c r="S8" s="36">
        <f>EOMONTH(S7,Ts_Mths_In_Yr-1)</f>
        <v>46568</v>
      </c>
      <c r="T8" s="36">
        <f>EOMONTH(T7,Ts_Mths_In_Yr-1)</f>
        <v>46934</v>
      </c>
    </row>
    <row r="9" spans="1:20" hidden="1" outlineLevel="3">
      <c r="B9" s="30" t="s">
        <v>87</v>
      </c>
      <c r="C9" s="30"/>
      <c r="D9" s="30"/>
      <c r="E9" s="30"/>
      <c r="F9" s="30"/>
      <c r="G9" s="30"/>
      <c r="H9" s="30"/>
      <c r="I9" s="30"/>
      <c r="J9" s="14">
        <f t="shared" ref="J9:T9" si="3">DATEDIF(J7,J8,"m")+1</f>
        <v>12</v>
      </c>
      <c r="K9" s="14">
        <f t="shared" si="3"/>
        <v>12</v>
      </c>
      <c r="L9" s="14">
        <f t="shared" si="3"/>
        <v>12</v>
      </c>
      <c r="M9" s="14">
        <f t="shared" si="3"/>
        <v>12</v>
      </c>
      <c r="N9" s="14">
        <f t="shared" si="3"/>
        <v>12</v>
      </c>
      <c r="O9" s="14">
        <f t="shared" si="3"/>
        <v>6</v>
      </c>
      <c r="P9" s="38">
        <f t="shared" si="3"/>
        <v>12</v>
      </c>
      <c r="Q9" s="38">
        <f t="shared" si="3"/>
        <v>12</v>
      </c>
      <c r="R9" s="38">
        <f t="shared" si="3"/>
        <v>12</v>
      </c>
      <c r="S9" s="38">
        <f t="shared" si="3"/>
        <v>12</v>
      </c>
      <c r="T9" s="38">
        <f t="shared" si="3"/>
        <v>12</v>
      </c>
    </row>
    <row r="10" spans="1:20" hidden="1" outlineLevel="3">
      <c r="B10" s="30" t="s">
        <v>72</v>
      </c>
      <c r="C10" s="30"/>
      <c r="D10" s="30"/>
      <c r="E10" s="30"/>
      <c r="F10" s="30"/>
      <c r="G10" s="30"/>
      <c r="H10" s="30"/>
      <c r="I10" s="30"/>
      <c r="J10" s="40">
        <f>COLUMNS($J$10:J10)</f>
        <v>1</v>
      </c>
      <c r="K10" s="40">
        <f>COLUMNS($J$10:K10)</f>
        <v>2</v>
      </c>
      <c r="L10" s="40">
        <f>COLUMNS($J$10:L10)</f>
        <v>3</v>
      </c>
      <c r="M10" s="40">
        <f>COLUMNS($J$10:M10)</f>
        <v>4</v>
      </c>
      <c r="N10" s="40">
        <f>COLUMNS($J$10:N10)</f>
        <v>5</v>
      </c>
      <c r="O10" s="40">
        <f>COLUMNS($J$10:O10)</f>
        <v>6</v>
      </c>
      <c r="P10" s="40">
        <f>COLUMNS($J$10:P10)</f>
        <v>7</v>
      </c>
      <c r="Q10" s="40">
        <f>COLUMNS($J$10:Q10)</f>
        <v>8</v>
      </c>
      <c r="R10" s="40">
        <f>COLUMNS($J$10:R10)</f>
        <v>9</v>
      </c>
      <c r="S10" s="40">
        <f>COLUMNS($J$10:S10)</f>
        <v>10</v>
      </c>
      <c r="T10" s="40">
        <f>COLUMNS($J$10:T10)</f>
        <v>11</v>
      </c>
    </row>
    <row r="11" spans="1:20" hidden="1" outlineLevel="3">
      <c r="B11" s="30" t="s">
        <v>76</v>
      </c>
      <c r="C11" s="30"/>
      <c r="D11" s="30"/>
      <c r="E11" s="30"/>
      <c r="F11" s="30"/>
      <c r="G11" s="30"/>
      <c r="H11" s="30"/>
      <c r="I11" s="30"/>
      <c r="J11" s="40">
        <f>(J12&lt;&gt;0)*1</f>
        <v>1</v>
      </c>
      <c r="K11" s="40">
        <f>(K12&lt;&gt;0)*1</f>
        <v>1</v>
      </c>
      <c r="L11" s="40">
        <f>(L12&lt;&gt;0)*1</f>
        <v>1</v>
      </c>
      <c r="M11" s="40">
        <f>(M12&lt;&gt;0)*1</f>
        <v>1</v>
      </c>
      <c r="N11" s="40">
        <f>(N12&lt;&gt;0)*1</f>
        <v>1</v>
      </c>
      <c r="O11" s="45">
        <v>0</v>
      </c>
      <c r="P11" s="45">
        <v>0</v>
      </c>
      <c r="Q11" s="45">
        <v>0</v>
      </c>
      <c r="R11" s="45">
        <v>0</v>
      </c>
      <c r="S11" s="45">
        <v>0</v>
      </c>
      <c r="T11" s="45">
        <v>0</v>
      </c>
    </row>
    <row r="12" spans="1:20" hidden="1" outlineLevel="3">
      <c r="B12" s="30" t="s">
        <v>96</v>
      </c>
      <c r="C12" s="30"/>
      <c r="D12" s="30"/>
      <c r="E12" s="30"/>
      <c r="F12" s="30"/>
      <c r="G12" s="30"/>
      <c r="H12" s="30"/>
      <c r="I12" s="30"/>
      <c r="J12" s="40">
        <f>COLUMNS($J$10:J10)</f>
        <v>1</v>
      </c>
      <c r="K12" s="40">
        <f>COLUMNS($J$10:K10)</f>
        <v>2</v>
      </c>
      <c r="L12" s="40">
        <f>COLUMNS($J$10:L10)</f>
        <v>3</v>
      </c>
      <c r="M12" s="40">
        <f>COLUMNS($J$10:M10)</f>
        <v>4</v>
      </c>
      <c r="N12" s="40">
        <f>COLUMNS($J$10:N10)</f>
        <v>5</v>
      </c>
      <c r="O12" s="45">
        <v>0</v>
      </c>
      <c r="P12" s="45">
        <v>0</v>
      </c>
      <c r="Q12" s="45">
        <v>0</v>
      </c>
      <c r="R12" s="45">
        <v>0</v>
      </c>
      <c r="S12" s="45">
        <v>0</v>
      </c>
      <c r="T12" s="45">
        <v>0</v>
      </c>
    </row>
    <row r="13" spans="1:20" hidden="1" outlineLevel="3">
      <c r="B13" s="30" t="s">
        <v>79</v>
      </c>
      <c r="C13" s="30"/>
      <c r="D13" s="30"/>
      <c r="E13" s="30"/>
      <c r="F13" s="30"/>
      <c r="G13" s="30"/>
      <c r="H13" s="30"/>
      <c r="I13" s="30"/>
      <c r="J13" s="45">
        <v>0</v>
      </c>
      <c r="K13" s="45">
        <v>0</v>
      </c>
      <c r="L13" s="45">
        <v>0</v>
      </c>
      <c r="M13" s="45">
        <v>0</v>
      </c>
      <c r="N13" s="45">
        <v>0</v>
      </c>
      <c r="O13" s="40">
        <f>(O14&lt;&gt;0)*1</f>
        <v>1</v>
      </c>
      <c r="P13" s="45">
        <v>0</v>
      </c>
      <c r="Q13" s="45">
        <v>0</v>
      </c>
      <c r="R13" s="45">
        <v>0</v>
      </c>
      <c r="S13" s="45">
        <v>0</v>
      </c>
      <c r="T13" s="45">
        <v>0</v>
      </c>
    </row>
    <row r="14" spans="1:20" hidden="1" outlineLevel="3">
      <c r="B14" s="30" t="s">
        <v>97</v>
      </c>
      <c r="C14" s="30"/>
      <c r="D14" s="30"/>
      <c r="E14" s="30"/>
      <c r="F14" s="30"/>
      <c r="G14" s="30"/>
      <c r="H14" s="30"/>
      <c r="I14" s="30"/>
      <c r="J14" s="45">
        <v>0</v>
      </c>
      <c r="K14" s="45">
        <v>0</v>
      </c>
      <c r="L14" s="45">
        <v>0</v>
      </c>
      <c r="M14" s="45">
        <v>0</v>
      </c>
      <c r="N14" s="45">
        <v>0</v>
      </c>
      <c r="O14" s="40">
        <f>COLUMNS($O$14:O14)</f>
        <v>1</v>
      </c>
      <c r="P14" s="45">
        <v>0</v>
      </c>
      <c r="Q14" s="45">
        <v>0</v>
      </c>
      <c r="R14" s="45">
        <v>0</v>
      </c>
      <c r="S14" s="45">
        <v>0</v>
      </c>
      <c r="T14" s="45">
        <v>0</v>
      </c>
    </row>
    <row r="15" spans="1:20" hidden="1" outlineLevel="3">
      <c r="B15" s="30" t="s">
        <v>82</v>
      </c>
      <c r="C15" s="30"/>
      <c r="D15" s="30"/>
      <c r="E15" s="30"/>
      <c r="F15" s="30"/>
      <c r="G15" s="30"/>
      <c r="H15" s="30"/>
      <c r="I15" s="30"/>
      <c r="J15" s="45">
        <v>0</v>
      </c>
      <c r="K15" s="45">
        <v>0</v>
      </c>
      <c r="L15" s="45">
        <v>0</v>
      </c>
      <c r="M15" s="45">
        <v>0</v>
      </c>
      <c r="N15" s="45">
        <v>0</v>
      </c>
      <c r="O15" s="45">
        <v>0</v>
      </c>
      <c r="P15" s="39">
        <f>(P16&lt;&gt;0)*1</f>
        <v>1</v>
      </c>
      <c r="Q15" s="39">
        <f>(Q16&lt;&gt;0)*1</f>
        <v>1</v>
      </c>
      <c r="R15" s="39">
        <f>(R16&lt;&gt;0)*1</f>
        <v>1</v>
      </c>
      <c r="S15" s="39">
        <f>(S16&lt;&gt;0)*1</f>
        <v>1</v>
      </c>
      <c r="T15" s="39">
        <f>(T16&lt;&gt;0)*1</f>
        <v>1</v>
      </c>
    </row>
    <row r="16" spans="1:20" hidden="1" outlineLevel="3">
      <c r="B16" s="30" t="s">
        <v>98</v>
      </c>
      <c r="C16" s="30"/>
      <c r="D16" s="30"/>
      <c r="E16" s="30"/>
      <c r="F16" s="30"/>
      <c r="G16" s="30"/>
      <c r="H16" s="30"/>
      <c r="I16" s="30"/>
      <c r="J16" s="45">
        <v>0</v>
      </c>
      <c r="K16" s="45">
        <v>0</v>
      </c>
      <c r="L16" s="45">
        <v>0</v>
      </c>
      <c r="M16" s="45">
        <v>0</v>
      </c>
      <c r="N16" s="45">
        <v>0</v>
      </c>
      <c r="O16" s="45">
        <v>0</v>
      </c>
      <c r="P16" s="39">
        <f>COLUMNS($P$16:P16)</f>
        <v>1</v>
      </c>
      <c r="Q16" s="39">
        <f>COLUMNS($P$16:Q16)</f>
        <v>2</v>
      </c>
      <c r="R16" s="39">
        <f>COLUMNS($P$16:R16)</f>
        <v>3</v>
      </c>
      <c r="S16" s="39">
        <f>COLUMNS($P$16:S16)</f>
        <v>4</v>
      </c>
      <c r="T16" s="39">
        <f>COLUMNS($P$16:T16)</f>
        <v>5</v>
      </c>
    </row>
    <row r="17" spans="2:20" hidden="1" outlineLevel="3">
      <c r="B17" s="30" t="s">
        <v>206</v>
      </c>
      <c r="C17" s="30"/>
      <c r="D17" s="30"/>
      <c r="E17" s="30"/>
      <c r="F17" s="30"/>
      <c r="G17" s="30"/>
      <c r="H17" s="30"/>
      <c r="I17" s="30"/>
      <c r="J17" s="39">
        <f t="shared" ref="J17:T17" si="4">IF(J$5&lt;=Ts_Last_Actual_Year,1,0)</f>
        <v>1</v>
      </c>
      <c r="K17" s="39">
        <f t="shared" si="4"/>
        <v>1</v>
      </c>
      <c r="L17" s="39">
        <f t="shared" si="4"/>
        <v>1</v>
      </c>
      <c r="M17" s="39">
        <f t="shared" si="4"/>
        <v>1</v>
      </c>
      <c r="N17" s="39">
        <f t="shared" si="4"/>
        <v>0</v>
      </c>
      <c r="O17" s="39">
        <f t="shared" si="4"/>
        <v>0</v>
      </c>
      <c r="P17" s="39">
        <f t="shared" si="4"/>
        <v>0</v>
      </c>
      <c r="Q17" s="39">
        <f t="shared" si="4"/>
        <v>0</v>
      </c>
      <c r="R17" s="39">
        <f t="shared" si="4"/>
        <v>0</v>
      </c>
      <c r="S17" s="39">
        <f t="shared" si="4"/>
        <v>0</v>
      </c>
      <c r="T17" s="39">
        <f t="shared" si="4"/>
        <v>0</v>
      </c>
    </row>
    <row r="18" spans="2:20" hidden="1" outlineLevel="3">
      <c r="B18" s="30" t="s">
        <v>207</v>
      </c>
      <c r="C18" s="30"/>
      <c r="D18" s="30"/>
      <c r="E18" s="30"/>
      <c r="F18" s="30"/>
      <c r="G18" s="30"/>
      <c r="H18" s="30"/>
      <c r="I18" s="30"/>
      <c r="J18" s="39">
        <f t="shared" ref="J18:T18" si="5">IF(J$5&gt;Ts_Last_Actual_Year,1,0)</f>
        <v>0</v>
      </c>
      <c r="K18" s="39">
        <f t="shared" si="5"/>
        <v>0</v>
      </c>
      <c r="L18" s="39">
        <f t="shared" si="5"/>
        <v>0</v>
      </c>
      <c r="M18" s="39">
        <f t="shared" si="5"/>
        <v>0</v>
      </c>
      <c r="N18" s="39">
        <f t="shared" si="5"/>
        <v>1</v>
      </c>
      <c r="O18" s="40">
        <f t="shared" si="5"/>
        <v>1</v>
      </c>
      <c r="P18" s="40">
        <f t="shared" si="5"/>
        <v>1</v>
      </c>
      <c r="Q18" s="40">
        <f t="shared" si="5"/>
        <v>1</v>
      </c>
      <c r="R18" s="40">
        <f t="shared" si="5"/>
        <v>1</v>
      </c>
      <c r="S18" s="40">
        <f t="shared" si="5"/>
        <v>1</v>
      </c>
      <c r="T18" s="40">
        <f t="shared" si="5"/>
        <v>1</v>
      </c>
    </row>
    <row r="19" spans="2:20" hidden="1" outlineLevel="3">
      <c r="B19" s="30" t="s">
        <v>208</v>
      </c>
      <c r="C19" s="30"/>
      <c r="D19" s="30"/>
      <c r="E19" s="30"/>
      <c r="F19" s="30"/>
      <c r="G19" s="30"/>
      <c r="H19" s="30"/>
      <c r="I19" s="30"/>
      <c r="J19" s="39">
        <f>SUM($J18:J18)</f>
        <v>0</v>
      </c>
      <c r="K19" s="39">
        <f>SUM($J18:K18)</f>
        <v>0</v>
      </c>
      <c r="L19" s="39">
        <f>SUM($J18:L18)</f>
        <v>0</v>
      </c>
      <c r="M19" s="39">
        <f>SUM($J18:M18)</f>
        <v>0</v>
      </c>
      <c r="N19" s="39">
        <f>SUM($J18:N18)</f>
        <v>1</v>
      </c>
      <c r="O19" s="40">
        <f>SUM($J18:O18)</f>
        <v>2</v>
      </c>
      <c r="P19" s="40">
        <f>SUM($J18:P18)</f>
        <v>3</v>
      </c>
      <c r="Q19" s="40">
        <f>SUM($J18:Q18)</f>
        <v>4</v>
      </c>
      <c r="R19" s="40">
        <f>SUM($J18:R18)</f>
        <v>5</v>
      </c>
      <c r="S19" s="40">
        <f>SUM($J18:S18)</f>
        <v>6</v>
      </c>
      <c r="T19" s="40">
        <f>SUM($J18:T18)</f>
        <v>7</v>
      </c>
    </row>
    <row r="20" spans="2:20" hidden="1" outlineLevel="3">
      <c r="B20" s="30" t="s">
        <v>481</v>
      </c>
      <c r="C20" s="30"/>
      <c r="D20" s="30"/>
      <c r="E20" s="30"/>
      <c r="F20" s="30"/>
      <c r="G20" s="30"/>
      <c r="H20" s="30"/>
      <c r="I20" s="30"/>
      <c r="J20" s="38">
        <f t="shared" ref="J20:N20" si="6">J9/12</f>
        <v>1</v>
      </c>
      <c r="K20" s="38">
        <f t="shared" si="6"/>
        <v>1</v>
      </c>
      <c r="L20" s="38">
        <f t="shared" si="6"/>
        <v>1</v>
      </c>
      <c r="M20" s="38">
        <f t="shared" si="6"/>
        <v>1</v>
      </c>
      <c r="N20" s="38">
        <f t="shared" si="6"/>
        <v>1</v>
      </c>
      <c r="O20" s="38">
        <f>O9/12</f>
        <v>0.5</v>
      </c>
      <c r="P20" s="38">
        <f t="shared" ref="P20:T20" si="7">P9/12</f>
        <v>1</v>
      </c>
      <c r="Q20" s="38">
        <f t="shared" si="7"/>
        <v>1</v>
      </c>
      <c r="R20" s="38">
        <f t="shared" si="7"/>
        <v>1</v>
      </c>
      <c r="S20" s="38">
        <f t="shared" si="7"/>
        <v>1</v>
      </c>
      <c r="T20" s="38">
        <f t="shared" si="7"/>
        <v>1</v>
      </c>
    </row>
    <row r="21" spans="2:20" hidden="1" outlineLevel="3">
      <c r="B21" s="30"/>
      <c r="C21" s="30"/>
      <c r="D21" s="30"/>
      <c r="E21" s="30"/>
      <c r="F21" s="30"/>
      <c r="G21" s="30"/>
      <c r="H21" s="30"/>
      <c r="I21" s="30"/>
      <c r="J21" s="30"/>
      <c r="K21" s="30"/>
      <c r="L21" s="30"/>
      <c r="M21" s="30"/>
      <c r="N21" s="30"/>
      <c r="O21" s="30"/>
      <c r="P21" s="30"/>
      <c r="Q21" s="30"/>
      <c r="R21" s="30"/>
      <c r="S21" s="30"/>
      <c r="T21" s="30"/>
    </row>
    <row r="22" spans="2:20" s="41" customFormat="1" collapsed="1"/>
    <row r="23" spans="2:20" s="41" customFormat="1">
      <c r="B23" s="47" t="s">
        <v>384</v>
      </c>
      <c r="C23" s="47"/>
      <c r="D23" s="47"/>
      <c r="E23" s="47"/>
      <c r="F23" s="47"/>
      <c r="G23" s="47"/>
      <c r="H23" s="47"/>
      <c r="I23" s="47"/>
      <c r="J23" s="47"/>
      <c r="K23" s="47"/>
      <c r="L23" s="47"/>
      <c r="M23" s="47"/>
      <c r="N23" s="47"/>
      <c r="O23" s="47"/>
      <c r="P23" s="47"/>
      <c r="Q23" s="47"/>
      <c r="R23" s="47"/>
      <c r="S23" s="47"/>
      <c r="T23" s="47"/>
    </row>
    <row r="24" spans="2:20" s="41" customFormat="1" outlineLevel="1"/>
    <row r="25" spans="2:20" s="41" customFormat="1" outlineLevel="1">
      <c r="D25" s="50" t="str">
        <f>'CapexSum$FY22'!D97</f>
        <v>RAB Category Allocation</v>
      </c>
    </row>
    <row r="26" spans="2:20" s="41" customFormat="1" ht="6" customHeight="1" outlineLevel="1"/>
    <row r="27" spans="2:20" s="41" customFormat="1" outlineLevel="1">
      <c r="E27" s="50" t="str">
        <f>'CapexSum$FY22'!E99</f>
        <v>Direct Costs</v>
      </c>
    </row>
    <row r="28" spans="2:20" s="41" customFormat="1" ht="6" customHeight="1" outlineLevel="1"/>
    <row r="29" spans="2:20" s="41" customFormat="1" outlineLevel="1">
      <c r="F29" s="247" t="str">
        <f>GC!C40</f>
        <v>Transmission pipelines</v>
      </c>
      <c r="G29" s="247"/>
      <c r="H29" s="247"/>
      <c r="I29" s="248"/>
      <c r="J29" s="155" cm="1">
        <f t="array" ref="J29">SUMPRODUCT(('[2]Links Out'!$F$7:$F$17=$F29)*('[2]Links Out'!$K$7:$K$17))</f>
        <v>0</v>
      </c>
      <c r="K29" s="155" cm="1">
        <f t="array" ref="K29">SUMPRODUCT(('[3]Links Out'!$F$7:$F$17=$F29)*(('[3]Links Out'!$K$7:$K$17)+('[3]Links Out'!$I$7:$I$17)))</f>
        <v>-4495.9271930200057</v>
      </c>
      <c r="L29" s="155" cm="1">
        <f t="array" ref="L29">SUMPRODUCT(('[4]Links Out'!$F$7:$F$17=$F29)*(('[4]Links Out'!$K$7:$K$17)+('[4]Links Out'!$I$7:$I$17)))</f>
        <v>3326300.281206029</v>
      </c>
      <c r="M29" s="155">
        <f>SUMPRODUCT(('[5]Links Out'!$F$7:$F$17=$F29)*(('[5]Links Out'!$M$7:$M$17)+('[5]Links Out'!$K$7:$K$17)))</f>
        <v>4247217.95740127</v>
      </c>
      <c r="N29" s="154">
        <v>0</v>
      </c>
    </row>
    <row r="30" spans="2:20" s="41" customFormat="1" outlineLevel="1">
      <c r="F30" s="247" t="str">
        <f>GC!C41</f>
        <v>Distribution pipelines</v>
      </c>
      <c r="G30" s="247"/>
      <c r="H30" s="247"/>
      <c r="I30" s="248"/>
      <c r="J30" s="155">
        <f>SUMPRODUCT(('[2]Links Out'!$F$7:$F$17=$F30)*('[2]Links Out'!$K$7:$K$17))</f>
        <v>43777425.585992448</v>
      </c>
      <c r="K30" s="155">
        <f>SUMPRODUCT(('[3]Links Out'!$F$7:$F$17=$F30)*(('[3]Links Out'!$K$7:$K$17)+('[3]Links Out'!$I$7:$I$17)))</f>
        <v>40640366.711034037</v>
      </c>
      <c r="L30" s="155">
        <f>SUMPRODUCT(('[4]Links Out'!$F$7:$F$17=$F30)*(('[4]Links Out'!$K$7:$K$17)+('[4]Links Out'!$I$7:$I$17)))</f>
        <v>36657301.86392808</v>
      </c>
      <c r="M30" s="155">
        <f>SUMPRODUCT(('[5]Links Out'!$F$7:$F$17=$F30)*(('[5]Links Out'!$M$7:$M$17)+('[5]Links Out'!$K$7:$K$17)))</f>
        <v>37472427.866207406</v>
      </c>
      <c r="N30" s="154">
        <v>0</v>
      </c>
    </row>
    <row r="31" spans="2:20" s="41" customFormat="1" outlineLevel="1">
      <c r="F31" s="247" t="str">
        <f>GC!C42</f>
        <v>Service pipes</v>
      </c>
      <c r="G31" s="247"/>
      <c r="H31" s="247"/>
      <c r="I31" s="248"/>
      <c r="J31" s="155">
        <f>SUMPRODUCT(('[2]Links Out'!$F$7:$F$17=$F31)*('[2]Links Out'!$K$7:$K$17))</f>
        <v>24382843.142516576</v>
      </c>
      <c r="K31" s="155">
        <f>SUMPRODUCT(('[3]Links Out'!$F$7:$F$17=$F31)*(('[3]Links Out'!$K$7:$K$17)+('[3]Links Out'!$I$7:$I$17)))</f>
        <v>34723791.029748268</v>
      </c>
      <c r="L31" s="155">
        <f>SUMPRODUCT(('[4]Links Out'!$F$7:$F$17=$F31)*(('[4]Links Out'!$K$7:$K$17)+('[4]Links Out'!$I$7:$I$17)))</f>
        <v>35952700.101527527</v>
      </c>
      <c r="M31" s="155">
        <f>SUMPRODUCT(('[5]Links Out'!$F$7:$F$17=$F31)*(('[5]Links Out'!$M$7:$M$17)+('[5]Links Out'!$K$7:$K$17)))</f>
        <v>35443673.371927865</v>
      </c>
      <c r="N31" s="154">
        <v>0</v>
      </c>
    </row>
    <row r="32" spans="2:20" s="41" customFormat="1" outlineLevel="1">
      <c r="F32" s="247" t="str">
        <f>GC!C43</f>
        <v>Cathodic protection</v>
      </c>
      <c r="G32" s="247"/>
      <c r="H32" s="247"/>
      <c r="I32" s="248"/>
      <c r="J32" s="155">
        <f>SUMPRODUCT(('[2]Links Out'!$F$7:$F$17=$F32)*('[2]Links Out'!$K$7:$K$17))</f>
        <v>94718.072755021945</v>
      </c>
      <c r="K32" s="155">
        <f>SUMPRODUCT(('[3]Links Out'!$F$7:$F$17=$F32)*(('[3]Links Out'!$K$7:$K$17)+('[3]Links Out'!$I$7:$I$17)))</f>
        <v>182909.31509421553</v>
      </c>
      <c r="L32" s="155">
        <f>SUMPRODUCT(('[4]Links Out'!$F$7:$F$17=$F32)*(('[4]Links Out'!$K$7:$K$17)+('[4]Links Out'!$I$7:$I$17)))</f>
        <v>140085.51207888353</v>
      </c>
      <c r="M32" s="155">
        <f>SUMPRODUCT(('[5]Links Out'!$F$7:$F$17=$F32)*(('[5]Links Out'!$M$7:$M$17)+('[5]Links Out'!$K$7:$K$17)))</f>
        <v>113182.96394814715</v>
      </c>
      <c r="N32" s="154">
        <v>0</v>
      </c>
    </row>
    <row r="33" spans="5:14" s="41" customFormat="1" outlineLevel="1">
      <c r="F33" s="247" t="str">
        <f>GC!C44</f>
        <v>Supply Regulators / Valve Stations</v>
      </c>
      <c r="G33" s="247"/>
      <c r="H33" s="247"/>
      <c r="I33" s="248"/>
      <c r="J33" s="155">
        <f>SUMPRODUCT(('[2]Links Out'!$F$7:$F$17=$F33)*('[2]Links Out'!$K$7:$K$17))</f>
        <v>1615221.6722513002</v>
      </c>
      <c r="K33" s="155">
        <f>SUMPRODUCT(('[3]Links Out'!$F$7:$F$17=$F33)*(('[3]Links Out'!$K$7:$K$17)+('[3]Links Out'!$I$7:$I$17)))</f>
        <v>590241.43122282578</v>
      </c>
      <c r="L33" s="155">
        <f>SUMPRODUCT(('[4]Links Out'!$F$7:$F$17=$F33)*(('[4]Links Out'!$K$7:$K$17)+('[4]Links Out'!$I$7:$I$17)))</f>
        <v>1413403.7325182527</v>
      </c>
      <c r="M33" s="155">
        <f>SUMPRODUCT(('[5]Links Out'!$F$7:$F$17=$F33)*(('[5]Links Out'!$M$7:$M$17)+('[5]Links Out'!$K$7:$K$17)))</f>
        <v>5218228.7832809687</v>
      </c>
      <c r="N33" s="154">
        <v>0</v>
      </c>
    </row>
    <row r="34" spans="5:14" s="41" customFormat="1" outlineLevel="1">
      <c r="F34" s="247" t="str">
        <f>GC!C45</f>
        <v>Meters</v>
      </c>
      <c r="G34" s="247"/>
      <c r="H34" s="247"/>
      <c r="I34" s="248"/>
      <c r="J34" s="155">
        <f>SUMPRODUCT(('[2]Links Out'!$F$7:$F$17=$F34)*('[2]Links Out'!$K$7:$K$17))</f>
        <v>14880760.72623197</v>
      </c>
      <c r="K34" s="155">
        <f>SUMPRODUCT(('[3]Links Out'!$F$7:$F$17=$F34)*(('[3]Links Out'!$K$7:$K$17)+('[3]Links Out'!$I$7:$I$17)))</f>
        <v>15082094.527111748</v>
      </c>
      <c r="L34" s="155">
        <f>SUMPRODUCT(('[4]Links Out'!$F$7:$F$17=$F34)*(('[4]Links Out'!$K$7:$K$17)+('[4]Links Out'!$I$7:$I$17)))</f>
        <v>11844663.511139749</v>
      </c>
      <c r="M34" s="155">
        <f>SUMPRODUCT(('[5]Links Out'!$F$7:$F$17=$F34)*(('[5]Links Out'!$M$7:$M$17)+('[5]Links Out'!$K$7:$K$17)))</f>
        <v>16942542.22846856</v>
      </c>
      <c r="N34" s="154">
        <v>0</v>
      </c>
    </row>
    <row r="35" spans="5:14" s="41" customFormat="1" outlineLevel="1">
      <c r="F35" s="247" t="str">
        <f>GC!C46</f>
        <v>SCADA and remote control</v>
      </c>
      <c r="G35" s="247"/>
      <c r="H35" s="247"/>
      <c r="I35" s="248"/>
      <c r="J35" s="155">
        <f>SUMPRODUCT(('[2]Links Out'!$F$7:$F$17=$F35)*('[2]Links Out'!$K$7:$K$17))</f>
        <v>286930.85931012052</v>
      </c>
      <c r="K35" s="155">
        <f>SUMPRODUCT(('[3]Links Out'!$F$7:$F$17=$F35)*(('[3]Links Out'!$K$7:$K$17)+('[3]Links Out'!$I$7:$I$17)))</f>
        <v>415527.53519299289</v>
      </c>
      <c r="L35" s="155">
        <f>SUMPRODUCT(('[4]Links Out'!$F$7:$F$17=$F35)*(('[4]Links Out'!$K$7:$K$17)+('[4]Links Out'!$I$7:$I$17)))</f>
        <v>362372.76508955518</v>
      </c>
      <c r="M35" s="155">
        <f>SUMPRODUCT(('[5]Links Out'!$F$7:$F$17=$F35)*(('[5]Links Out'!$M$7:$M$17)+('[5]Links Out'!$K$7:$K$17)))</f>
        <v>515518.14910206525</v>
      </c>
      <c r="N35" s="154">
        <v>0</v>
      </c>
    </row>
    <row r="36" spans="5:14" s="41" customFormat="1" outlineLevel="1">
      <c r="F36" s="247" t="str">
        <f>GC!C47</f>
        <v>Buildings</v>
      </c>
      <c r="G36" s="247"/>
      <c r="H36" s="247"/>
      <c r="I36" s="248"/>
      <c r="J36" s="155">
        <f>SUMPRODUCT(('[2]Links Out'!$F$7:$F$17=$F36)*('[2]Links Out'!$K$7:$K$17))</f>
        <v>0</v>
      </c>
      <c r="K36" s="155">
        <f>SUMPRODUCT(('[3]Links Out'!$F$7:$F$17=$F36)*(('[3]Links Out'!$K$7:$K$17)+('[3]Links Out'!$I$7:$I$17)))</f>
        <v>0</v>
      </c>
      <c r="L36" s="155">
        <f>SUMPRODUCT(('[4]Links Out'!$F$7:$F$17=$F36)*(('[4]Links Out'!$K$7:$K$17)+('[4]Links Out'!$I$7:$I$17)))</f>
        <v>0</v>
      </c>
      <c r="M36" s="155">
        <f>SUMPRODUCT(('[5]Links Out'!$F$7:$F$17=$F36)*(('[5]Links Out'!$M$7:$M$17)+('[5]Links Out'!$K$7:$K$17)))</f>
        <v>0</v>
      </c>
      <c r="N36" s="154">
        <v>0</v>
      </c>
    </row>
    <row r="37" spans="5:14" s="41" customFormat="1" outlineLevel="1">
      <c r="F37" s="247" t="str">
        <f>GC!C48</f>
        <v>Other - IT</v>
      </c>
      <c r="G37" s="247"/>
      <c r="H37" s="247"/>
      <c r="I37" s="248"/>
      <c r="J37" s="155">
        <f>SUMPRODUCT(('[2]Links Out'!$F$7:$F$17=$F37)*('[2]Links Out'!$K$7:$K$17))</f>
        <v>8221381.4400000013</v>
      </c>
      <c r="K37" s="155">
        <f>SUMPRODUCT(('[3]Links Out'!$F$7:$F$17=$F37)*(('[3]Links Out'!$K$7:$K$17)+('[3]Links Out'!$I$7:$I$17)))</f>
        <v>7191495.790000001</v>
      </c>
      <c r="L37" s="155">
        <f>SUMPRODUCT(('[4]Links Out'!$F$7:$F$17=$F37)*(('[4]Links Out'!$K$7:$K$17)+('[4]Links Out'!$I$7:$I$17)))</f>
        <v>5733648.04</v>
      </c>
      <c r="M37" s="155">
        <f>SUMPRODUCT(('[5]Links Out'!$F$7:$F$17=$F37)*(('[5]Links Out'!$M$7:$M$17)+('[5]Links Out'!$K$7:$K$17)))</f>
        <v>6770127.3438302651</v>
      </c>
      <c r="N37" s="154">
        <v>0</v>
      </c>
    </row>
    <row r="38" spans="5:14" s="41" customFormat="1" outlineLevel="1">
      <c r="F38" s="247" t="str">
        <f>GC!C49</f>
        <v>Other - non IT</v>
      </c>
      <c r="G38" s="247"/>
      <c r="H38" s="247"/>
      <c r="I38" s="248"/>
      <c r="J38" s="155">
        <f>SUMPRODUCT(('[2]Links Out'!$F$7:$F$17=$F38)*('[2]Links Out'!$K$7:$K$17))</f>
        <v>707175.11990894924</v>
      </c>
      <c r="K38" s="155">
        <f>SUMPRODUCT(('[3]Links Out'!$F$7:$F$17=$F38)*(('[3]Links Out'!$K$7:$K$17)+('[3]Links Out'!$I$7:$I$17)))</f>
        <v>254524.12778893881</v>
      </c>
      <c r="L38" s="155">
        <f>SUMPRODUCT(('[4]Links Out'!$F$7:$F$17=$F38)*(('[4]Links Out'!$K$7:$K$17)+('[4]Links Out'!$I$7:$I$17)))</f>
        <v>-275841.05748808506</v>
      </c>
      <c r="M38" s="155">
        <f>SUMPRODUCT(('[5]Links Out'!$F$7:$F$17=$F38)*(('[5]Links Out'!$M$7:$M$17)+('[5]Links Out'!$K$7:$K$17)))</f>
        <v>436833.11294260086</v>
      </c>
      <c r="N38" s="154">
        <v>0</v>
      </c>
    </row>
    <row r="39" spans="5:14" s="41" customFormat="1" outlineLevel="1">
      <c r="F39" s="247" t="str">
        <f>GC!C50</f>
        <v>Land</v>
      </c>
      <c r="G39" s="247"/>
      <c r="H39" s="247"/>
      <c r="I39" s="248"/>
      <c r="J39" s="155">
        <f>SUMPRODUCT(('[2]Links Out'!$F$7:$F$17=$F39)*('[2]Links Out'!$K$7:$K$17))</f>
        <v>0</v>
      </c>
      <c r="K39" s="155">
        <f>SUMPRODUCT(('[3]Links Out'!$F$7:$F$17=$F39)*(('[3]Links Out'!$K$7:$K$17)+('[3]Links Out'!$I$7:$I$17)))</f>
        <v>0</v>
      </c>
      <c r="L39" s="155">
        <f>SUMPRODUCT(('[4]Links Out'!$F$7:$F$17=$F39)*(('[4]Links Out'!$K$7:$K$17)+('[4]Links Out'!$I$7:$I$17)))</f>
        <v>0</v>
      </c>
      <c r="M39" s="155">
        <f>SUMPRODUCT(('[5]Links Out'!$F$7:$F$17=$F39)*(('[5]Links Out'!$M$7:$M$17)+('[5]Links Out'!$K$7:$K$17)))</f>
        <v>0</v>
      </c>
      <c r="N39" s="154">
        <v>0</v>
      </c>
    </row>
    <row r="40" spans="5:14" s="41" customFormat="1" outlineLevel="1">
      <c r="F40" s="247" t="str">
        <f>GC!C51</f>
        <v>Capitalised Leases</v>
      </c>
      <c r="G40" s="247"/>
      <c r="H40" s="247"/>
      <c r="I40" s="248"/>
      <c r="J40" s="155">
        <f>SUMPRODUCT(('[2]Links Out'!$F$7:$F$17=$F40)*('[2]Links Out'!$K$7:$K$17))</f>
        <v>0</v>
      </c>
      <c r="K40" s="155">
        <f>SUMPRODUCT(('[3]Links Out'!$F$7:$F$17=$F40)*(('[3]Links Out'!$K$7:$K$17)+('[3]Links Out'!$I$7:$I$17)))</f>
        <v>9576833.6300000008</v>
      </c>
      <c r="L40" s="155">
        <f>SUMPRODUCT(('[4]Links Out'!$F$7:$F$17=$F40)*(('[4]Links Out'!$K$7:$K$17)+('[4]Links Out'!$I$7:$I$17)))</f>
        <v>519381.27535376884</v>
      </c>
      <c r="M40" s="155">
        <f>SUMPRODUCT(('[5]Links Out'!$F$7:$F$17=$F40)*(('[5]Links Out'!$M$7:$M$17)+('[5]Links Out'!$K$7:$K$17)))</f>
        <v>-1349647.4423711495</v>
      </c>
      <c r="N40" s="154">
        <v>0</v>
      </c>
    </row>
    <row r="41" spans="5:14" outlineLevel="1">
      <c r="F41" s="247" t="str">
        <f>GC!C52</f>
        <v>Transmission pipelines - post 1998</v>
      </c>
      <c r="G41" s="247"/>
      <c r="H41" s="247"/>
      <c r="I41" s="248"/>
      <c r="J41" s="163">
        <v>0</v>
      </c>
      <c r="K41" s="163">
        <v>0</v>
      </c>
      <c r="L41" s="163">
        <v>0</v>
      </c>
      <c r="M41" s="163">
        <v>0</v>
      </c>
      <c r="N41" s="163">
        <v>0</v>
      </c>
    </row>
    <row r="42" spans="5:14" outlineLevel="1">
      <c r="F42" s="247" t="str">
        <f>GC!C53</f>
        <v>Distribution pipelines - post 1998</v>
      </c>
      <c r="G42" s="247"/>
      <c r="H42" s="247"/>
      <c r="I42" s="248"/>
      <c r="J42" s="163">
        <v>0</v>
      </c>
      <c r="K42" s="163">
        <v>0</v>
      </c>
      <c r="L42" s="163">
        <v>0</v>
      </c>
      <c r="M42" s="163">
        <v>0</v>
      </c>
      <c r="N42" s="163">
        <v>0</v>
      </c>
    </row>
    <row r="43" spans="5:14" outlineLevel="1">
      <c r="F43" s="247" t="str">
        <f>GC!C54</f>
        <v>Service pipes - post 1998</v>
      </c>
      <c r="G43" s="247"/>
      <c r="H43" s="247"/>
      <c r="I43" s="248"/>
      <c r="J43" s="163">
        <v>0</v>
      </c>
      <c r="K43" s="163">
        <v>0</v>
      </c>
      <c r="L43" s="163">
        <v>0</v>
      </c>
      <c r="M43" s="163">
        <v>0</v>
      </c>
      <c r="N43" s="163">
        <v>0</v>
      </c>
    </row>
    <row r="44" spans="5:14" outlineLevel="1">
      <c r="F44" s="247" t="str">
        <f>GC!C55</f>
        <v>Cathodic protection - post 1998</v>
      </c>
      <c r="G44" s="247"/>
      <c r="H44" s="247"/>
      <c r="I44" s="248"/>
      <c r="J44" s="163">
        <v>0</v>
      </c>
      <c r="K44" s="163">
        <v>0</v>
      </c>
      <c r="L44" s="163">
        <v>0</v>
      </c>
      <c r="M44" s="163">
        <v>0</v>
      </c>
      <c r="N44" s="163">
        <v>0</v>
      </c>
    </row>
    <row r="45" spans="5:14" s="41" customFormat="1" outlineLevel="1">
      <c r="F45" s="249" t="str">
        <f>"Total "&amp;E27</f>
        <v>Total Direct Costs</v>
      </c>
      <c r="G45" s="249"/>
      <c r="H45" s="249"/>
      <c r="I45" s="249"/>
      <c r="J45" s="157">
        <f t="shared" ref="J45:N45" si="8">SUM(J29:J44)</f>
        <v>93966456.618966386</v>
      </c>
      <c r="K45" s="157">
        <f t="shared" si="8"/>
        <v>108653288.17000002</v>
      </c>
      <c r="L45" s="157">
        <f t="shared" si="8"/>
        <v>95674016.025353774</v>
      </c>
      <c r="M45" s="157">
        <f t="shared" si="8"/>
        <v>105810104.334738</v>
      </c>
      <c r="N45" s="157">
        <f t="shared" si="8"/>
        <v>0</v>
      </c>
    </row>
    <row r="46" spans="5:14" s="41" customFormat="1" outlineLevel="1"/>
    <row r="47" spans="5:14" s="41" customFormat="1" outlineLevel="1">
      <c r="E47" s="50" t="str">
        <f>'CapexSum$FY22'!E119</f>
        <v>Overheads</v>
      </c>
    </row>
    <row r="48" spans="5:14" s="41" customFormat="1" ht="6" customHeight="1" outlineLevel="1"/>
    <row r="49" spans="6:14" s="41" customFormat="1" outlineLevel="1">
      <c r="F49" s="247" t="str">
        <f>GC!C40</f>
        <v>Transmission pipelines</v>
      </c>
      <c r="G49" s="247"/>
      <c r="H49" s="247"/>
      <c r="I49" s="248"/>
      <c r="J49" s="155" cm="1">
        <f t="array" ref="J49">SUMPRODUCT(('[2]Links Out'!$F$7:$F$17=$F49)*('[2]Links Out'!$L$7:$L$17))</f>
        <v>0</v>
      </c>
      <c r="K49" s="155" cm="1">
        <f t="array" ref="K49">SUMPRODUCT(('[3]Links Out'!$F$7:$F$17=$F49)*('[3]Links Out'!$L$7:$L$17))</f>
        <v>-146.94480697999188</v>
      </c>
      <c r="L49" s="155" cm="1">
        <f t="array" ref="L49">SUMPRODUCT(('[4]Links Out'!$F$7:$F$17=$F49)*('[4]Links Out'!$L$7:$L$17))</f>
        <v>120141.19879397161</v>
      </c>
      <c r="M49" s="155">
        <f>SUMPRODUCT(('[5]Links Out'!$F$7:$F$17=$F49)*('[5]Links Out'!$N$7:$N$17))</f>
        <v>107148.46124316768</v>
      </c>
      <c r="N49" s="154">
        <v>0</v>
      </c>
    </row>
    <row r="50" spans="6:14" s="41" customFormat="1" outlineLevel="1">
      <c r="F50" s="247" t="str">
        <f>GC!C41</f>
        <v>Distribution pipelines</v>
      </c>
      <c r="G50" s="247"/>
      <c r="H50" s="247"/>
      <c r="I50" s="248"/>
      <c r="J50" s="155">
        <f>SUMPRODUCT(('[2]Links Out'!$F$7:$F$17=$F50)*('[2]Links Out'!$L$7:$L$17))</f>
        <v>2413019.590007544</v>
      </c>
      <c r="K50" s="155">
        <f>SUMPRODUCT(('[3]Links Out'!$F$7:$F$17=$F50)*('[3]Links Out'!$L$7:$L$17))</f>
        <v>1328289.0459659654</v>
      </c>
      <c r="L50" s="155">
        <f>SUMPRODUCT(('[4]Links Out'!$F$7:$F$17=$F50)*('[4]Links Out'!$L$7:$L$17))</f>
        <v>1324009.2048719116</v>
      </c>
      <c r="M50" s="155">
        <f>SUMPRODUCT(('[5]Links Out'!$F$7:$F$17=$F50)*('[5]Links Out'!$N$7:$N$17))</f>
        <v>945351.29234724597</v>
      </c>
      <c r="N50" s="154">
        <v>0</v>
      </c>
    </row>
    <row r="51" spans="6:14" s="41" customFormat="1" outlineLevel="1">
      <c r="F51" s="247" t="str">
        <f>GC!C42</f>
        <v>Service pipes</v>
      </c>
      <c r="G51" s="247"/>
      <c r="H51" s="247"/>
      <c r="I51" s="248"/>
      <c r="J51" s="155">
        <f>SUMPRODUCT(('[2]Links Out'!$F$7:$F$17=$F51)*('[2]Links Out'!$L$7:$L$17))</f>
        <v>1343986.7094834277</v>
      </c>
      <c r="K51" s="155">
        <f>SUMPRODUCT(('[3]Links Out'!$F$7:$F$17=$F51)*('[3]Links Out'!$L$7:$L$17))</f>
        <v>1134911.7882517339</v>
      </c>
      <c r="L51" s="155">
        <f>SUMPRODUCT(('[4]Links Out'!$F$7:$F$17=$F51)*('[4]Links Out'!$L$7:$L$17))</f>
        <v>1298559.9990724714</v>
      </c>
      <c r="M51" s="155">
        <f>SUMPRODUCT(('[5]Links Out'!$F$7:$F$17=$F51)*('[5]Links Out'!$N$7:$N$17))</f>
        <v>894170.04276635079</v>
      </c>
      <c r="N51" s="154">
        <v>0</v>
      </c>
    </row>
    <row r="52" spans="6:14" s="41" customFormat="1" outlineLevel="1">
      <c r="F52" s="247" t="str">
        <f>GC!C43</f>
        <v>Cathodic protection</v>
      </c>
      <c r="G52" s="247"/>
      <c r="H52" s="247"/>
      <c r="I52" s="248"/>
      <c r="J52" s="155">
        <f>SUMPRODUCT(('[2]Links Out'!$F$7:$F$17=$F52)*('[2]Links Out'!$L$7:$L$17))</f>
        <v>5220.8772449780481</v>
      </c>
      <c r="K52" s="155">
        <f>SUMPRODUCT(('[3]Links Out'!$F$7:$F$17=$F52)*('[3]Links Out'!$L$7:$L$17))</f>
        <v>5978.2049057844752</v>
      </c>
      <c r="L52" s="155">
        <f>SUMPRODUCT(('[4]Links Out'!$F$7:$F$17=$F52)*('[4]Links Out'!$L$7:$L$17))</f>
        <v>5059.6879211164696</v>
      </c>
      <c r="M52" s="155">
        <f>SUMPRODUCT(('[5]Links Out'!$F$7:$F$17=$F52)*('[5]Links Out'!$N$7:$N$17))</f>
        <v>2855.3703971917716</v>
      </c>
      <c r="N52" s="154">
        <v>0</v>
      </c>
    </row>
    <row r="53" spans="6:14" s="41" customFormat="1" outlineLevel="1">
      <c r="F53" s="247" t="str">
        <f>GC!C44</f>
        <v>Supply Regulators / Valve Stations</v>
      </c>
      <c r="G53" s="247"/>
      <c r="H53" s="247"/>
      <c r="I53" s="248"/>
      <c r="J53" s="155">
        <f>SUMPRODUCT(('[2]Links Out'!$F$7:$F$17=$F53)*('[2]Links Out'!$L$7:$L$17))</f>
        <v>89031.309748699394</v>
      </c>
      <c r="K53" s="155">
        <f>SUMPRODUCT(('[3]Links Out'!$F$7:$F$17=$F53)*('[3]Links Out'!$L$7:$L$17))</f>
        <v>19291.440777174157</v>
      </c>
      <c r="L53" s="155">
        <f>SUMPRODUCT(('[4]Links Out'!$F$7:$F$17=$F53)*('[4]Links Out'!$L$7:$L$17))</f>
        <v>51050.117081747339</v>
      </c>
      <c r="M53" s="155">
        <f>SUMPRODUCT(('[5]Links Out'!$F$7:$F$17=$F53)*('[5]Links Out'!$N$7:$N$17))</f>
        <v>131645.04156633222</v>
      </c>
      <c r="N53" s="154">
        <v>0</v>
      </c>
    </row>
    <row r="54" spans="6:14" s="41" customFormat="1" outlineLevel="1">
      <c r="F54" s="247" t="str">
        <f>GC!C45</f>
        <v>Meters</v>
      </c>
      <c r="G54" s="247"/>
      <c r="H54" s="247"/>
      <c r="I54" s="248"/>
      <c r="J54" s="155">
        <f>SUMPRODUCT(('[2]Links Out'!$F$7:$F$17=$F54)*('[2]Links Out'!$L$7:$L$17))</f>
        <v>820230.2137680304</v>
      </c>
      <c r="K54" s="155">
        <f>SUMPRODUCT(('[3]Links Out'!$F$7:$F$17=$F54)*('[3]Links Out'!$L$7:$L$17))</f>
        <v>492942.91788825375</v>
      </c>
      <c r="L54" s="155">
        <f>SUMPRODUCT(('[4]Links Out'!$F$7:$F$17=$F54)*('[4]Links Out'!$L$7:$L$17))</f>
        <v>427812.26986025093</v>
      </c>
      <c r="M54" s="155">
        <f>SUMPRODUCT(('[5]Links Out'!$F$7:$F$17=$F54)*('[5]Links Out'!$N$7:$N$17))</f>
        <v>427425.04565001355</v>
      </c>
      <c r="N54" s="154">
        <v>0</v>
      </c>
    </row>
    <row r="55" spans="6:14" s="41" customFormat="1" outlineLevel="1">
      <c r="F55" s="247" t="str">
        <f>GC!C46</f>
        <v>SCADA and remote control</v>
      </c>
      <c r="G55" s="247"/>
      <c r="H55" s="247"/>
      <c r="I55" s="248"/>
      <c r="J55" s="155">
        <f>SUMPRODUCT(('[2]Links Out'!$F$7:$F$17=$F55)*('[2]Links Out'!$L$7:$L$17))</f>
        <v>15815.68068987954</v>
      </c>
      <c r="K55" s="155">
        <f>SUMPRODUCT(('[3]Links Out'!$F$7:$F$17=$F55)*('[3]Links Out'!$L$7:$L$17))</f>
        <v>13581.094807007126</v>
      </c>
      <c r="L55" s="155">
        <f>SUMPRODUCT(('[4]Links Out'!$F$7:$F$17=$F55)*('[4]Links Out'!$L$7:$L$17))</f>
        <v>13088.384910444842</v>
      </c>
      <c r="M55" s="155">
        <f>SUMPRODUCT(('[5]Links Out'!$F$7:$F$17=$F55)*('[5]Links Out'!$N$7:$N$17))</f>
        <v>13005.448972298524</v>
      </c>
      <c r="N55" s="154">
        <v>0</v>
      </c>
    </row>
    <row r="56" spans="6:14" s="41" customFormat="1" outlineLevel="1">
      <c r="F56" s="247" t="str">
        <f>GC!C47</f>
        <v>Buildings</v>
      </c>
      <c r="G56" s="247"/>
      <c r="H56" s="247"/>
      <c r="I56" s="248"/>
      <c r="J56" s="155">
        <f>SUMPRODUCT(('[2]Links Out'!$F$7:$F$17=$F56)*('[2]Links Out'!$L$7:$L$17))</f>
        <v>0</v>
      </c>
      <c r="K56" s="155">
        <f>SUMPRODUCT(('[3]Links Out'!$F$7:$F$17=$F56)*('[3]Links Out'!$L$7:$L$17))</f>
        <v>0</v>
      </c>
      <c r="L56" s="155">
        <f>SUMPRODUCT(('[4]Links Out'!$F$7:$F$17=$F56)*('[4]Links Out'!$L$7:$L$17))</f>
        <v>0</v>
      </c>
      <c r="M56" s="155">
        <f>SUMPRODUCT(('[5]Links Out'!$F$7:$F$17=$F56)*('[5]Links Out'!$N$7:$N$17))</f>
        <v>0</v>
      </c>
      <c r="N56" s="154">
        <v>0</v>
      </c>
    </row>
    <row r="57" spans="6:14" s="41" customFormat="1" outlineLevel="1">
      <c r="F57" s="247" t="str">
        <f>GC!C48</f>
        <v>Other - IT</v>
      </c>
      <c r="G57" s="247"/>
      <c r="H57" s="247"/>
      <c r="I57" s="248"/>
      <c r="J57" s="155">
        <f>SUMPRODUCT(('[2]Links Out'!$F$7:$F$17=$F57)*('[2]Links Out'!$L$7:$L$17))</f>
        <v>599335.85000000009</v>
      </c>
      <c r="K57" s="155">
        <f>SUMPRODUCT(('[3]Links Out'!$F$7:$F$17=$F57)*('[3]Links Out'!$L$7:$L$17))</f>
        <v>438304.14999999991</v>
      </c>
      <c r="L57" s="155">
        <f>SUMPRODUCT(('[4]Links Out'!$F$7:$F$17=$F57)*('[4]Links Out'!$L$7:$L$17))</f>
        <v>375127.92</v>
      </c>
      <c r="M57" s="155">
        <f>SUMPRODUCT(('[5]Links Out'!$F$7:$F$17=$F57)*('[5]Links Out'!$N$7:$N$17))</f>
        <v>477940.18000000005</v>
      </c>
      <c r="N57" s="154">
        <v>0</v>
      </c>
    </row>
    <row r="58" spans="6:14" s="41" customFormat="1" outlineLevel="1">
      <c r="F58" s="247" t="str">
        <f>GC!C49</f>
        <v>Other - non IT</v>
      </c>
      <c r="G58" s="247"/>
      <c r="H58" s="247"/>
      <c r="I58" s="248"/>
      <c r="J58" s="155">
        <f>SUMPRODUCT(('[2]Links Out'!$F$7:$F$17=$F58)*('[2]Links Out'!$L$7:$L$17))</f>
        <v>38979.62009105071</v>
      </c>
      <c r="K58" s="155">
        <f>SUMPRODUCT(('[3]Links Out'!$F$7:$F$17=$F58)*('[3]Links Out'!$L$7:$L$17))</f>
        <v>8318.8622110611614</v>
      </c>
      <c r="L58" s="155">
        <f>SUMPRODUCT(('[4]Links Out'!$F$7:$F$17=$F58)*('[4]Links Out'!$L$7:$L$17))</f>
        <v>-9941.3125119147353</v>
      </c>
      <c r="M58" s="155">
        <f>SUMPRODUCT(('[5]Links Out'!$F$7:$F$17=$F58)*('[5]Links Out'!$N$7:$N$17))</f>
        <v>11341.347057399154</v>
      </c>
      <c r="N58" s="154">
        <v>0</v>
      </c>
    </row>
    <row r="59" spans="6:14" s="41" customFormat="1" outlineLevel="1">
      <c r="F59" s="247" t="str">
        <f>GC!C50</f>
        <v>Land</v>
      </c>
      <c r="G59" s="247"/>
      <c r="H59" s="247"/>
      <c r="I59" s="248"/>
      <c r="J59" s="155">
        <f>SUMPRODUCT(('[2]Links Out'!$F$7:$F$17=$F59)*('[2]Links Out'!$L$7:$L$17))</f>
        <v>0</v>
      </c>
      <c r="K59" s="155">
        <f>SUMPRODUCT(('[3]Links Out'!$F$7:$F$17=$F59)*('[3]Links Out'!$L$7:$L$17))</f>
        <v>0</v>
      </c>
      <c r="L59" s="155">
        <f>SUMPRODUCT(('[4]Links Out'!$F$7:$F$17=$F59)*('[4]Links Out'!$L$7:$L$17))</f>
        <v>0</v>
      </c>
      <c r="M59" s="155">
        <f>SUMPRODUCT(('[5]Links Out'!$F$7:$F$17=$F59)*('[5]Links Out'!$N$7:$N$17))</f>
        <v>0</v>
      </c>
      <c r="N59" s="154">
        <v>0</v>
      </c>
    </row>
    <row r="60" spans="6:14" s="41" customFormat="1" outlineLevel="1">
      <c r="F60" s="247" t="str">
        <f>GC!C51</f>
        <v>Capitalised Leases</v>
      </c>
      <c r="G60" s="247"/>
      <c r="H60" s="247"/>
      <c r="I60" s="248"/>
      <c r="J60" s="155">
        <f>SUMPRODUCT(('[2]Links Out'!$F$7:$F$17=$F60)*('[2]Links Out'!$L$7:$L$17))</f>
        <v>0</v>
      </c>
      <c r="K60" s="155">
        <f>SUMPRODUCT(('[3]Links Out'!$F$7:$F$17=$F60)*('[3]Links Out'!$L$7:$L$17))</f>
        <v>0</v>
      </c>
      <c r="L60" s="155">
        <f>SUMPRODUCT(('[4]Links Out'!$F$7:$F$17=$F60)*('[4]Links Out'!$L$7:$L$17))</f>
        <v>0</v>
      </c>
      <c r="M60" s="155">
        <f>SUMPRODUCT(('[5]Links Out'!$F$7:$F$17=$F60)*('[5]Links Out'!$N$7:$N$17))</f>
        <v>0</v>
      </c>
      <c r="N60" s="154">
        <v>0</v>
      </c>
    </row>
    <row r="61" spans="6:14" outlineLevel="1">
      <c r="F61" s="247" t="str">
        <f>GC!C52</f>
        <v>Transmission pipelines - post 1998</v>
      </c>
      <c r="G61" s="247"/>
      <c r="H61" s="247"/>
      <c r="I61" s="248"/>
      <c r="J61" s="148">
        <v>0</v>
      </c>
      <c r="K61" s="148">
        <v>0</v>
      </c>
      <c r="L61" s="148">
        <v>0</v>
      </c>
      <c r="M61" s="148">
        <v>0</v>
      </c>
      <c r="N61" s="148">
        <v>0</v>
      </c>
    </row>
    <row r="62" spans="6:14" outlineLevel="1">
      <c r="F62" s="247" t="str">
        <f>GC!C53</f>
        <v>Distribution pipelines - post 1998</v>
      </c>
      <c r="G62" s="247"/>
      <c r="H62" s="247"/>
      <c r="I62" s="248"/>
      <c r="J62" s="148">
        <v>0</v>
      </c>
      <c r="K62" s="148">
        <v>0</v>
      </c>
      <c r="L62" s="148">
        <v>0</v>
      </c>
      <c r="M62" s="148">
        <v>0</v>
      </c>
      <c r="N62" s="148">
        <v>0</v>
      </c>
    </row>
    <row r="63" spans="6:14" outlineLevel="1">
      <c r="F63" s="247" t="str">
        <f>GC!C54</f>
        <v>Service pipes - post 1998</v>
      </c>
      <c r="G63" s="247"/>
      <c r="H63" s="247"/>
      <c r="I63" s="248"/>
      <c r="J63" s="148">
        <v>0</v>
      </c>
      <c r="K63" s="148">
        <v>0</v>
      </c>
      <c r="L63" s="148">
        <v>0</v>
      </c>
      <c r="M63" s="148">
        <v>0</v>
      </c>
      <c r="N63" s="148">
        <v>0</v>
      </c>
    </row>
    <row r="64" spans="6:14" outlineLevel="1">
      <c r="F64" s="247" t="str">
        <f>GC!C55</f>
        <v>Cathodic protection - post 1998</v>
      </c>
      <c r="G64" s="247"/>
      <c r="H64" s="247"/>
      <c r="I64" s="248"/>
      <c r="J64" s="148">
        <v>0</v>
      </c>
      <c r="K64" s="148">
        <v>0</v>
      </c>
      <c r="L64" s="148">
        <v>0</v>
      </c>
      <c r="M64" s="148">
        <v>0</v>
      </c>
      <c r="N64" s="148">
        <v>0</v>
      </c>
    </row>
    <row r="65" spans="5:14" s="41" customFormat="1" outlineLevel="1">
      <c r="F65" s="249" t="str">
        <f>"Total "&amp;E47</f>
        <v>Total Overheads</v>
      </c>
      <c r="G65" s="249"/>
      <c r="H65" s="249"/>
      <c r="I65" s="249"/>
      <c r="J65" s="158">
        <f t="shared" ref="J65:N65" si="9">SUM(J49:J64)</f>
        <v>5325619.8510336094</v>
      </c>
      <c r="K65" s="158">
        <f t="shared" si="9"/>
        <v>3441470.5600000005</v>
      </c>
      <c r="L65" s="158">
        <f t="shared" si="9"/>
        <v>3604907.4699999993</v>
      </c>
      <c r="M65" s="158">
        <f t="shared" si="9"/>
        <v>3010882.23</v>
      </c>
      <c r="N65" s="158">
        <f t="shared" si="9"/>
        <v>0</v>
      </c>
    </row>
    <row r="66" spans="5:14" s="41" customFormat="1" outlineLevel="1"/>
    <row r="67" spans="5:14" s="41" customFormat="1" outlineLevel="1">
      <c r="E67" s="50" t="str">
        <f>'CapexSum$FY22'!E139</f>
        <v>Direct Costs + Overheads</v>
      </c>
    </row>
    <row r="68" spans="5:14" s="41" customFormat="1" ht="6" customHeight="1" outlineLevel="1"/>
    <row r="69" spans="5:14" s="41" customFormat="1" outlineLevel="1">
      <c r="F69" s="247" t="str">
        <f>GC!C40</f>
        <v>Transmission pipelines</v>
      </c>
      <c r="G69" s="247"/>
      <c r="H69" s="247"/>
      <c r="I69" s="247"/>
      <c r="J69" s="81">
        <f t="shared" ref="J69:N78" si="10">J29+J49</f>
        <v>0</v>
      </c>
      <c r="K69" s="81">
        <f t="shared" si="10"/>
        <v>-4642.8719999999976</v>
      </c>
      <c r="L69" s="81">
        <f t="shared" si="10"/>
        <v>3446441.4800000004</v>
      </c>
      <c r="M69" s="81">
        <f t="shared" si="10"/>
        <v>4354366.4186444376</v>
      </c>
      <c r="N69" s="81">
        <f t="shared" si="10"/>
        <v>0</v>
      </c>
    </row>
    <row r="70" spans="5:14" s="41" customFormat="1" outlineLevel="1">
      <c r="F70" s="247" t="str">
        <f>GC!C41</f>
        <v>Distribution pipelines</v>
      </c>
      <c r="G70" s="247"/>
      <c r="H70" s="247"/>
      <c r="I70" s="247"/>
      <c r="J70" s="81">
        <f t="shared" si="10"/>
        <v>46190445.175999992</v>
      </c>
      <c r="K70" s="81">
        <f t="shared" si="10"/>
        <v>41968655.756999999</v>
      </c>
      <c r="L70" s="81">
        <f t="shared" si="10"/>
        <v>37981311.068799987</v>
      </c>
      <c r="M70" s="81">
        <f t="shared" si="10"/>
        <v>38417779.158554651</v>
      </c>
      <c r="N70" s="81">
        <f t="shared" si="10"/>
        <v>0</v>
      </c>
    </row>
    <row r="71" spans="5:14" s="41" customFormat="1" outlineLevel="1">
      <c r="F71" s="247" t="str">
        <f>GC!C42</f>
        <v>Service pipes</v>
      </c>
      <c r="G71" s="247"/>
      <c r="H71" s="247"/>
      <c r="I71" s="247"/>
      <c r="J71" s="81">
        <f t="shared" si="10"/>
        <v>25726829.852000002</v>
      </c>
      <c r="K71" s="81">
        <f t="shared" si="10"/>
        <v>35858702.818000004</v>
      </c>
      <c r="L71" s="81">
        <f t="shared" si="10"/>
        <v>37251260.100599997</v>
      </c>
      <c r="M71" s="81">
        <f t="shared" si="10"/>
        <v>36337843.414694212</v>
      </c>
      <c r="N71" s="81">
        <f t="shared" si="10"/>
        <v>0</v>
      </c>
    </row>
    <row r="72" spans="5:14" s="41" customFormat="1" outlineLevel="1">
      <c r="F72" s="247" t="str">
        <f>GC!C43</f>
        <v>Cathodic protection</v>
      </c>
      <c r="G72" s="247"/>
      <c r="H72" s="247"/>
      <c r="I72" s="247"/>
      <c r="J72" s="81">
        <f t="shared" si="10"/>
        <v>99938.95</v>
      </c>
      <c r="K72" s="81">
        <f t="shared" si="10"/>
        <v>188887.52000000002</v>
      </c>
      <c r="L72" s="81">
        <f t="shared" si="10"/>
        <v>145145.20000000001</v>
      </c>
      <c r="M72" s="81">
        <f t="shared" si="10"/>
        <v>116038.33434533892</v>
      </c>
      <c r="N72" s="81">
        <f t="shared" si="10"/>
        <v>0</v>
      </c>
    </row>
    <row r="73" spans="5:14" s="41" customFormat="1" outlineLevel="1">
      <c r="F73" s="247" t="str">
        <f>GC!C44</f>
        <v>Supply Regulators / Valve Stations</v>
      </c>
      <c r="G73" s="247"/>
      <c r="H73" s="247"/>
      <c r="I73" s="247"/>
      <c r="J73" s="81">
        <f t="shared" si="10"/>
        <v>1704252.9819999996</v>
      </c>
      <c r="K73" s="81">
        <f t="shared" si="10"/>
        <v>609532.87199999997</v>
      </c>
      <c r="L73" s="81">
        <f t="shared" si="10"/>
        <v>1464453.8496000001</v>
      </c>
      <c r="M73" s="81">
        <f t="shared" si="10"/>
        <v>5349873.8248473005</v>
      </c>
      <c r="N73" s="81">
        <f t="shared" si="10"/>
        <v>0</v>
      </c>
    </row>
    <row r="74" spans="5:14" s="41" customFormat="1" outlineLevel="1">
      <c r="F74" s="247" t="str">
        <f>GC!C45</f>
        <v>Meters</v>
      </c>
      <c r="G74" s="247"/>
      <c r="H74" s="247"/>
      <c r="I74" s="247"/>
      <c r="J74" s="81">
        <f t="shared" si="10"/>
        <v>15700990.939999999</v>
      </c>
      <c r="K74" s="81">
        <f t="shared" si="10"/>
        <v>15575037.445000002</v>
      </c>
      <c r="L74" s="81">
        <f t="shared" si="10"/>
        <v>12272475.780999999</v>
      </c>
      <c r="M74" s="81">
        <f t="shared" si="10"/>
        <v>17369967.274118572</v>
      </c>
      <c r="N74" s="81">
        <f t="shared" si="10"/>
        <v>0</v>
      </c>
    </row>
    <row r="75" spans="5:14" s="41" customFormat="1" outlineLevel="1">
      <c r="F75" s="247" t="str">
        <f>GC!C46</f>
        <v>SCADA and remote control</v>
      </c>
      <c r="G75" s="247"/>
      <c r="H75" s="247"/>
      <c r="I75" s="247"/>
      <c r="J75" s="81">
        <f t="shared" si="10"/>
        <v>302746.54000000004</v>
      </c>
      <c r="K75" s="81">
        <f t="shared" si="10"/>
        <v>429108.63</v>
      </c>
      <c r="L75" s="81">
        <f t="shared" si="10"/>
        <v>375461.15</v>
      </c>
      <c r="M75" s="81">
        <f t="shared" si="10"/>
        <v>528523.59807436378</v>
      </c>
      <c r="N75" s="81">
        <f t="shared" si="10"/>
        <v>0</v>
      </c>
    </row>
    <row r="76" spans="5:14" s="41" customFormat="1" outlineLevel="1">
      <c r="F76" s="247" t="str">
        <f>GC!C47</f>
        <v>Buildings</v>
      </c>
      <c r="G76" s="247"/>
      <c r="H76" s="247"/>
      <c r="I76" s="247"/>
      <c r="J76" s="81">
        <f t="shared" si="10"/>
        <v>0</v>
      </c>
      <c r="K76" s="81">
        <f t="shared" si="10"/>
        <v>0</v>
      </c>
      <c r="L76" s="81">
        <f t="shared" si="10"/>
        <v>0</v>
      </c>
      <c r="M76" s="81">
        <f t="shared" si="10"/>
        <v>0</v>
      </c>
      <c r="N76" s="81">
        <f t="shared" si="10"/>
        <v>0</v>
      </c>
    </row>
    <row r="77" spans="5:14" s="41" customFormat="1" outlineLevel="1">
      <c r="F77" s="247" t="str">
        <f>GC!C48</f>
        <v>Other - IT</v>
      </c>
      <c r="G77" s="247"/>
      <c r="H77" s="247"/>
      <c r="I77" s="247"/>
      <c r="J77" s="81">
        <f t="shared" si="10"/>
        <v>8820717.290000001</v>
      </c>
      <c r="K77" s="81">
        <f t="shared" si="10"/>
        <v>7629799.9400000013</v>
      </c>
      <c r="L77" s="81">
        <f t="shared" si="10"/>
        <v>6108775.96</v>
      </c>
      <c r="M77" s="81">
        <f t="shared" si="10"/>
        <v>7248067.5238302648</v>
      </c>
      <c r="N77" s="81">
        <f t="shared" si="10"/>
        <v>0</v>
      </c>
    </row>
    <row r="78" spans="5:14" s="41" customFormat="1" outlineLevel="1">
      <c r="F78" s="247" t="str">
        <f>GC!C49</f>
        <v>Other - non IT</v>
      </c>
      <c r="G78" s="247"/>
      <c r="H78" s="247"/>
      <c r="I78" s="247"/>
      <c r="J78" s="81">
        <f t="shared" si="10"/>
        <v>746154.74</v>
      </c>
      <c r="K78" s="81">
        <f t="shared" si="10"/>
        <v>262842.99</v>
      </c>
      <c r="L78" s="81">
        <f t="shared" si="10"/>
        <v>-285782.36999999982</v>
      </c>
      <c r="M78" s="81">
        <f t="shared" si="10"/>
        <v>448174.46</v>
      </c>
      <c r="N78" s="81">
        <f t="shared" si="10"/>
        <v>0</v>
      </c>
    </row>
    <row r="79" spans="5:14" s="41" customFormat="1" outlineLevel="1">
      <c r="F79" s="247" t="str">
        <f>GC!C50</f>
        <v>Land</v>
      </c>
      <c r="G79" s="247"/>
      <c r="H79" s="247"/>
      <c r="I79" s="247"/>
      <c r="J79" s="81">
        <f t="shared" ref="J79:N84" si="11">J39+J59</f>
        <v>0</v>
      </c>
      <c r="K79" s="81">
        <f t="shared" si="11"/>
        <v>0</v>
      </c>
      <c r="L79" s="81">
        <f t="shared" si="11"/>
        <v>0</v>
      </c>
      <c r="M79" s="81">
        <f t="shared" si="11"/>
        <v>0</v>
      </c>
      <c r="N79" s="81">
        <f t="shared" si="11"/>
        <v>0</v>
      </c>
    </row>
    <row r="80" spans="5:14" s="41" customFormat="1" outlineLevel="1">
      <c r="F80" s="247" t="str">
        <f>GC!C51</f>
        <v>Capitalised Leases</v>
      </c>
      <c r="G80" s="247"/>
      <c r="H80" s="247"/>
      <c r="I80" s="247"/>
      <c r="J80" s="81">
        <f t="shared" si="11"/>
        <v>0</v>
      </c>
      <c r="K80" s="81">
        <f t="shared" si="11"/>
        <v>9576833.6300000008</v>
      </c>
      <c r="L80" s="81">
        <f t="shared" si="11"/>
        <v>519381.27535376884</v>
      </c>
      <c r="M80" s="81">
        <f t="shared" si="11"/>
        <v>-1349647.4423711495</v>
      </c>
      <c r="N80" s="81">
        <f t="shared" si="11"/>
        <v>0</v>
      </c>
    </row>
    <row r="81" spans="5:14" outlineLevel="1">
      <c r="F81" s="247" t="str">
        <f>GC!C52</f>
        <v>Transmission pipelines - post 1998</v>
      </c>
      <c r="G81" s="247"/>
      <c r="H81" s="247"/>
      <c r="I81" s="247"/>
      <c r="J81" s="81">
        <f t="shared" si="11"/>
        <v>0</v>
      </c>
      <c r="K81" s="81">
        <f t="shared" si="11"/>
        <v>0</v>
      </c>
      <c r="L81" s="81">
        <f t="shared" si="11"/>
        <v>0</v>
      </c>
      <c r="M81" s="81">
        <f t="shared" si="11"/>
        <v>0</v>
      </c>
      <c r="N81" s="81">
        <f t="shared" si="11"/>
        <v>0</v>
      </c>
    </row>
    <row r="82" spans="5:14" outlineLevel="1">
      <c r="F82" s="247" t="str">
        <f>GC!C53</f>
        <v>Distribution pipelines - post 1998</v>
      </c>
      <c r="G82" s="247"/>
      <c r="H82" s="247"/>
      <c r="I82" s="247"/>
      <c r="J82" s="81">
        <f t="shared" si="11"/>
        <v>0</v>
      </c>
      <c r="K82" s="81">
        <f t="shared" si="11"/>
        <v>0</v>
      </c>
      <c r="L82" s="81">
        <f t="shared" si="11"/>
        <v>0</v>
      </c>
      <c r="M82" s="81">
        <f t="shared" si="11"/>
        <v>0</v>
      </c>
      <c r="N82" s="81">
        <f t="shared" si="11"/>
        <v>0</v>
      </c>
    </row>
    <row r="83" spans="5:14" outlineLevel="1">
      <c r="F83" s="247" t="str">
        <f>GC!C54</f>
        <v>Service pipes - post 1998</v>
      </c>
      <c r="G83" s="247"/>
      <c r="H83" s="247"/>
      <c r="I83" s="247"/>
      <c r="J83" s="81">
        <f t="shared" si="11"/>
        <v>0</v>
      </c>
      <c r="K83" s="81">
        <f t="shared" si="11"/>
        <v>0</v>
      </c>
      <c r="L83" s="81">
        <f t="shared" si="11"/>
        <v>0</v>
      </c>
      <c r="M83" s="81">
        <f t="shared" si="11"/>
        <v>0</v>
      </c>
      <c r="N83" s="81">
        <f t="shared" si="11"/>
        <v>0</v>
      </c>
    </row>
    <row r="84" spans="5:14" outlineLevel="1">
      <c r="F84" s="247" t="str">
        <f>GC!C55</f>
        <v>Cathodic protection - post 1998</v>
      </c>
      <c r="G84" s="247"/>
      <c r="H84" s="247"/>
      <c r="I84" s="247"/>
      <c r="J84" s="81">
        <f t="shared" si="11"/>
        <v>0</v>
      </c>
      <c r="K84" s="81">
        <f t="shared" si="11"/>
        <v>0</v>
      </c>
      <c r="L84" s="81">
        <f t="shared" si="11"/>
        <v>0</v>
      </c>
      <c r="M84" s="81">
        <f t="shared" si="11"/>
        <v>0</v>
      </c>
      <c r="N84" s="81">
        <f t="shared" si="11"/>
        <v>0</v>
      </c>
    </row>
    <row r="85" spans="5:14" s="41" customFormat="1" outlineLevel="1">
      <c r="F85" s="249" t="str">
        <f>"Total "&amp;E67</f>
        <v>Total Direct Costs + Overheads</v>
      </c>
      <c r="G85" s="249"/>
      <c r="H85" s="249"/>
      <c r="I85" s="249"/>
      <c r="J85" s="208">
        <f t="shared" ref="J85:N85" si="12">SUM(J69:J84)</f>
        <v>99292076.469999999</v>
      </c>
      <c r="K85" s="208">
        <f t="shared" si="12"/>
        <v>112094758.72999999</v>
      </c>
      <c r="L85" s="208">
        <f t="shared" si="12"/>
        <v>99278923.495353773</v>
      </c>
      <c r="M85" s="208">
        <f t="shared" si="12"/>
        <v>108820986.56473798</v>
      </c>
      <c r="N85" s="208">
        <f t="shared" si="12"/>
        <v>0</v>
      </c>
    </row>
    <row r="86" spans="5:14" s="41" customFormat="1" outlineLevel="1"/>
    <row r="87" spans="5:14" s="41" customFormat="1" outlineLevel="1">
      <c r="E87" s="50" t="str">
        <f>'CapexSum$FY22'!E159</f>
        <v>Customer Contributions</v>
      </c>
    </row>
    <row r="88" spans="5:14" s="41" customFormat="1" ht="6" customHeight="1" outlineLevel="1"/>
    <row r="89" spans="5:14" s="41" customFormat="1" outlineLevel="1">
      <c r="F89" s="251" t="str">
        <f>GC!C40</f>
        <v>Transmission pipelines</v>
      </c>
      <c r="G89" s="251"/>
      <c r="H89" s="251"/>
      <c r="I89" s="252"/>
      <c r="J89" s="155">
        <f>-'[6]F2. Capex'!J87</f>
        <v>0</v>
      </c>
      <c r="K89" s="155">
        <f>-'[6]F2. Capex'!K87</f>
        <v>0</v>
      </c>
      <c r="L89" s="155" cm="1">
        <f t="array" ref="L89">SUMPRODUCT(('[4]Links Out'!$F$7:$F$17=$F89)*('[4]Links Out'!$H$7:$H$17))</f>
        <v>0</v>
      </c>
      <c r="M89" s="155">
        <f>SUMPRODUCT(('[5]Links Out'!$F$7:$F$17=$F89)*('[5]Links Out'!$J$7:$J$17))</f>
        <v>0</v>
      </c>
      <c r="N89" s="154">
        <v>0</v>
      </c>
    </row>
    <row r="90" spans="5:14" s="41" customFormat="1" outlineLevel="1">
      <c r="F90" s="251" t="str">
        <f>GC!C41</f>
        <v>Distribution pipelines</v>
      </c>
      <c r="G90" s="251"/>
      <c r="H90" s="251"/>
      <c r="I90" s="252"/>
      <c r="J90" s="155">
        <f>-'[6]F2. Capex'!J88</f>
        <v>-3558986.3020000001</v>
      </c>
      <c r="K90" s="155">
        <f>-'[6]F2. Capex'!K88</f>
        <v>-3411596.2239999999</v>
      </c>
      <c r="L90" s="155" cm="1">
        <f t="array" ref="L90">SUMPRODUCT(('[4]Links Out'!$F$7:$F$17=$F90)*('[4]Links Out'!$H$7:$H$17))</f>
        <v>-4238729.6780000003</v>
      </c>
      <c r="M90" s="155">
        <f>SUMPRODUCT(('[5]Links Out'!$F$7:$F$17=$F90)*('[5]Links Out'!$J$7:$J$17))</f>
        <v>-6545705.0862000007</v>
      </c>
      <c r="N90" s="154">
        <v>0</v>
      </c>
    </row>
    <row r="91" spans="5:14" s="41" customFormat="1" outlineLevel="1">
      <c r="F91" s="251" t="str">
        <f>GC!C42</f>
        <v>Service pipes</v>
      </c>
      <c r="G91" s="251"/>
      <c r="H91" s="251"/>
      <c r="I91" s="252"/>
      <c r="J91" s="155">
        <f>-'[6]F2. Capex'!J89</f>
        <v>-1482923.6520000002</v>
      </c>
      <c r="K91" s="155">
        <f>-'[6]F2. Capex'!K89</f>
        <v>-3138494.0219999999</v>
      </c>
      <c r="L91" s="155" cm="1">
        <f t="array" ref="L91">SUMPRODUCT(('[4]Links Out'!$F$7:$F$17=$F91)*('[4]Links Out'!$H$7:$H$17))</f>
        <v>-2596717.1289999997</v>
      </c>
      <c r="M91" s="155">
        <f>SUMPRODUCT(('[5]Links Out'!$F$7:$F$17=$F91)*('[5]Links Out'!$J$7:$J$17))</f>
        <v>-2107659.7429999998</v>
      </c>
      <c r="N91" s="154">
        <v>0</v>
      </c>
    </row>
    <row r="92" spans="5:14" s="41" customFormat="1" outlineLevel="1">
      <c r="F92" s="251" t="str">
        <f>GC!C43</f>
        <v>Cathodic protection</v>
      </c>
      <c r="G92" s="251"/>
      <c r="H92" s="251"/>
      <c r="I92" s="252"/>
      <c r="J92" s="155">
        <f>-'[6]F2. Capex'!J90</f>
        <v>0</v>
      </c>
      <c r="K92" s="155">
        <f>-'[6]F2. Capex'!K90</f>
        <v>0</v>
      </c>
      <c r="L92" s="155" cm="1">
        <f t="array" ref="L92">SUMPRODUCT(('[4]Links Out'!$F$7:$F$17=$F92)*('[4]Links Out'!$H$7:$H$17))</f>
        <v>0</v>
      </c>
      <c r="M92" s="155">
        <f>SUMPRODUCT(('[5]Links Out'!$F$7:$F$17=$F92)*('[5]Links Out'!$J$7:$J$17))</f>
        <v>0</v>
      </c>
      <c r="N92" s="154">
        <v>0</v>
      </c>
    </row>
    <row r="93" spans="5:14" s="41" customFormat="1" outlineLevel="1">
      <c r="F93" s="251" t="str">
        <f>GC!C44</f>
        <v>Supply Regulators / Valve Stations</v>
      </c>
      <c r="G93" s="251"/>
      <c r="H93" s="251"/>
      <c r="I93" s="252"/>
      <c r="J93" s="155">
        <f>-'[6]F2. Capex'!J91</f>
        <v>-433640.60000000003</v>
      </c>
      <c r="K93" s="155">
        <f>-'[6]F2. Capex'!K91</f>
        <v>0</v>
      </c>
      <c r="L93" s="155" cm="1">
        <f t="array" ref="L93">SUMPRODUCT(('[4]Links Out'!$F$7:$F$17=$F93)*('[4]Links Out'!$H$7:$H$17))</f>
        <v>0</v>
      </c>
      <c r="M93" s="155">
        <f>SUMPRODUCT(('[5]Links Out'!$F$7:$F$17=$F93)*('[5]Links Out'!$J$7:$J$17))</f>
        <v>-4340583.9327999996</v>
      </c>
      <c r="N93" s="154">
        <v>0</v>
      </c>
    </row>
    <row r="94" spans="5:14" s="41" customFormat="1" outlineLevel="1">
      <c r="F94" s="251" t="str">
        <f>GC!C45</f>
        <v>Meters</v>
      </c>
      <c r="G94" s="251"/>
      <c r="H94" s="251"/>
      <c r="I94" s="252"/>
      <c r="J94" s="155">
        <f>-'[6]F2. Capex'!J92</f>
        <v>-411747.89600000007</v>
      </c>
      <c r="K94" s="155">
        <f>-'[6]F2. Capex'!K92</f>
        <v>-1593261.4239999996</v>
      </c>
      <c r="L94" s="155" cm="1">
        <f t="array" ref="L94">SUMPRODUCT(('[4]Links Out'!$F$7:$F$17=$F94)*('[4]Links Out'!$H$7:$H$17))</f>
        <v>-886146.81299999997</v>
      </c>
      <c r="M94" s="155">
        <f>SUMPRODUCT(('[5]Links Out'!$F$7:$F$17=$F94)*('[5]Links Out'!$J$7:$J$17))</f>
        <v>-658811.3280000001</v>
      </c>
      <c r="N94" s="154">
        <v>0</v>
      </c>
    </row>
    <row r="95" spans="5:14" s="41" customFormat="1" outlineLevel="1">
      <c r="F95" s="251" t="str">
        <f>GC!C46</f>
        <v>SCADA and remote control</v>
      </c>
      <c r="G95" s="251"/>
      <c r="H95" s="251"/>
      <c r="I95" s="252"/>
      <c r="J95" s="155">
        <f>-'[6]F2. Capex'!J93</f>
        <v>0</v>
      </c>
      <c r="K95" s="155">
        <f>-'[6]F2. Capex'!K93</f>
        <v>0</v>
      </c>
      <c r="L95" s="155" cm="1">
        <f t="array" ref="L95">SUMPRODUCT(('[4]Links Out'!$F$7:$F$17=$F95)*('[4]Links Out'!$H$7:$H$17))</f>
        <v>0</v>
      </c>
      <c r="M95" s="155">
        <f>SUMPRODUCT(('[5]Links Out'!$F$7:$F$17=$F95)*('[5]Links Out'!$J$7:$J$17))</f>
        <v>0</v>
      </c>
      <c r="N95" s="154">
        <v>0</v>
      </c>
    </row>
    <row r="96" spans="5:14" s="41" customFormat="1" outlineLevel="1">
      <c r="F96" s="251" t="str">
        <f>GC!C47</f>
        <v>Buildings</v>
      </c>
      <c r="G96" s="251"/>
      <c r="H96" s="251"/>
      <c r="I96" s="252"/>
      <c r="J96" s="155">
        <f>-'[6]F2. Capex'!J97</f>
        <v>0</v>
      </c>
      <c r="K96" s="155">
        <f>-'[6]F2. Capex'!K97</f>
        <v>0</v>
      </c>
      <c r="L96" s="155" cm="1">
        <f t="array" ref="L96">SUMPRODUCT(('[4]Links Out'!$F$7:$F$17=$F96)*('[4]Links Out'!$H$7:$H$17))</f>
        <v>0</v>
      </c>
      <c r="M96" s="155">
        <f>SUMPRODUCT(('[5]Links Out'!$F$7:$F$17=$F96)*('[5]Links Out'!$J$7:$J$17))</f>
        <v>0</v>
      </c>
      <c r="N96" s="154">
        <v>0</v>
      </c>
    </row>
    <row r="97" spans="3:20" s="41" customFormat="1" outlineLevel="1">
      <c r="F97" s="251" t="str">
        <f>GC!C48</f>
        <v>Other - IT</v>
      </c>
      <c r="G97" s="251"/>
      <c r="H97" s="251"/>
      <c r="I97" s="252"/>
      <c r="J97" s="155">
        <f>-'[6]F2. Capex'!J94</f>
        <v>0</v>
      </c>
      <c r="K97" s="155">
        <f>-'[6]F2. Capex'!K94</f>
        <v>0</v>
      </c>
      <c r="L97" s="155" cm="1">
        <f t="array" ref="L97">SUMPRODUCT(('[4]Links Out'!$F$7:$F$17=$F97)*('[4]Links Out'!$H$7:$H$17))</f>
        <v>0</v>
      </c>
      <c r="M97" s="155">
        <f>SUMPRODUCT(('[5]Links Out'!$F$7:$F$17=$F97)*('[5]Links Out'!$J$7:$J$17))</f>
        <v>0</v>
      </c>
      <c r="N97" s="154">
        <v>0</v>
      </c>
    </row>
    <row r="98" spans="3:20" s="41" customFormat="1" outlineLevel="1">
      <c r="F98" s="251" t="str">
        <f>GC!C49</f>
        <v>Other - non IT</v>
      </c>
      <c r="G98" s="251"/>
      <c r="H98" s="251"/>
      <c r="I98" s="252"/>
      <c r="J98" s="155">
        <f>-'[6]F2. Capex'!J95</f>
        <v>0</v>
      </c>
      <c r="K98" s="155">
        <f>-'[6]F2. Capex'!K95</f>
        <v>0</v>
      </c>
      <c r="L98" s="155" cm="1">
        <f t="array" ref="L98">SUMPRODUCT(('[4]Links Out'!$F$7:$F$17=$F98)*('[4]Links Out'!$H$7:$H$17))</f>
        <v>0</v>
      </c>
      <c r="M98" s="155">
        <f>SUMPRODUCT(('[5]Links Out'!$F$7:$F$17=$F98)*('[5]Links Out'!$J$7:$J$17))</f>
        <v>0</v>
      </c>
      <c r="N98" s="154">
        <v>0</v>
      </c>
    </row>
    <row r="99" spans="3:20" s="41" customFormat="1" outlineLevel="1">
      <c r="F99" s="251" t="str">
        <f>GC!C50</f>
        <v>Land</v>
      </c>
      <c r="G99" s="251"/>
      <c r="H99" s="251"/>
      <c r="I99" s="252"/>
      <c r="J99" s="155">
        <f>-'[6]F2. Capex'!J98</f>
        <v>0</v>
      </c>
      <c r="K99" s="155">
        <f>-'[6]F2. Capex'!K98</f>
        <v>0</v>
      </c>
      <c r="L99" s="155" cm="1">
        <f t="array" ref="L99">SUMPRODUCT(('[4]Links Out'!$F$7:$F$17=$F99)*('[4]Links Out'!$H$7:$H$17))</f>
        <v>0</v>
      </c>
      <c r="M99" s="155">
        <f>SUMPRODUCT(('[5]Links Out'!$F$7:$F$17=$F99)*('[5]Links Out'!$J$7:$J$17))</f>
        <v>0</v>
      </c>
      <c r="N99" s="154">
        <v>0</v>
      </c>
    </row>
    <row r="100" spans="3:20" s="41" customFormat="1" outlineLevel="1">
      <c r="F100" s="251" t="str">
        <f>GC!C51</f>
        <v>Capitalised Leases</v>
      </c>
      <c r="G100" s="251"/>
      <c r="H100" s="251"/>
      <c r="I100" s="252"/>
      <c r="J100" s="155">
        <f>-'[6]F2. Capex'!J96</f>
        <v>0</v>
      </c>
      <c r="K100" s="155">
        <f>-'[6]F2. Capex'!K96</f>
        <v>0</v>
      </c>
      <c r="L100" s="155" cm="1">
        <f t="array" ref="L100">SUMPRODUCT(('[4]Links Out'!$F$7:$F$17=$F100)*('[4]Links Out'!$H$7:$H$17))</f>
        <v>0</v>
      </c>
      <c r="M100" s="155">
        <f>SUMPRODUCT(('[5]Links Out'!$F$7:$F$17=$F100)*('[5]Links Out'!$J$7:$J$17))</f>
        <v>0</v>
      </c>
      <c r="N100" s="154">
        <v>0</v>
      </c>
    </row>
    <row r="101" spans="3:20" outlineLevel="1">
      <c r="F101" s="206" t="str">
        <f>GC!C52</f>
        <v>Transmission pipelines - post 1998</v>
      </c>
      <c r="J101" s="148">
        <v>0</v>
      </c>
      <c r="K101" s="148">
        <v>0</v>
      </c>
      <c r="L101" s="148">
        <v>0</v>
      </c>
      <c r="M101" s="148">
        <v>0</v>
      </c>
      <c r="N101" s="148">
        <v>0</v>
      </c>
    </row>
    <row r="102" spans="3:20" outlineLevel="1">
      <c r="F102" s="206" t="str">
        <f>GC!C53</f>
        <v>Distribution pipelines - post 1998</v>
      </c>
      <c r="J102" s="148">
        <v>0</v>
      </c>
      <c r="K102" s="148">
        <v>0</v>
      </c>
      <c r="L102" s="148">
        <v>0</v>
      </c>
      <c r="M102" s="148">
        <v>0</v>
      </c>
      <c r="N102" s="148">
        <v>0</v>
      </c>
    </row>
    <row r="103" spans="3:20" outlineLevel="1">
      <c r="F103" s="206" t="str">
        <f>GC!C54</f>
        <v>Service pipes - post 1998</v>
      </c>
      <c r="J103" s="148">
        <v>0</v>
      </c>
      <c r="K103" s="148">
        <v>0</v>
      </c>
      <c r="L103" s="148">
        <v>0</v>
      </c>
      <c r="M103" s="148">
        <v>0</v>
      </c>
      <c r="N103" s="148">
        <v>0</v>
      </c>
    </row>
    <row r="104" spans="3:20" outlineLevel="1">
      <c r="F104" s="206" t="str">
        <f>GC!C55</f>
        <v>Cathodic protection - post 1998</v>
      </c>
      <c r="J104" s="148">
        <v>0</v>
      </c>
      <c r="K104" s="148">
        <v>0</v>
      </c>
      <c r="L104" s="148">
        <v>0</v>
      </c>
      <c r="M104" s="148">
        <v>0</v>
      </c>
      <c r="N104" s="148">
        <v>0</v>
      </c>
    </row>
    <row r="105" spans="3:20" s="41" customFormat="1" outlineLevel="1">
      <c r="F105" s="250" t="str">
        <f>"Total "&amp;E87</f>
        <v>Total Customer Contributions</v>
      </c>
      <c r="G105" s="250"/>
      <c r="H105" s="250"/>
      <c r="I105" s="250"/>
      <c r="J105" s="157">
        <f>SUM(J89:J104)</f>
        <v>-5887298.4499999993</v>
      </c>
      <c r="K105" s="157">
        <f t="shared" ref="K105:N105" si="13">SUM(K89:K104)</f>
        <v>-8143351.669999999</v>
      </c>
      <c r="L105" s="157">
        <f t="shared" si="13"/>
        <v>-7721593.6200000001</v>
      </c>
      <c r="M105" s="157">
        <f t="shared" si="13"/>
        <v>-13652760.089999998</v>
      </c>
      <c r="N105" s="157">
        <f t="shared" si="13"/>
        <v>0</v>
      </c>
    </row>
    <row r="106" spans="3:20" s="41" customFormat="1" outlineLevel="1">
      <c r="C106" s="109"/>
      <c r="D106" s="109"/>
      <c r="E106" s="109"/>
      <c r="F106" s="109"/>
      <c r="G106" s="109"/>
      <c r="H106" s="109"/>
      <c r="I106" s="109"/>
      <c r="J106" s="109"/>
      <c r="K106" s="109"/>
      <c r="L106" s="109"/>
      <c r="M106" s="109"/>
      <c r="N106" s="109"/>
      <c r="O106" s="109"/>
      <c r="P106" s="109"/>
      <c r="Q106" s="109"/>
      <c r="R106" s="109"/>
      <c r="S106" s="109"/>
      <c r="T106" s="109"/>
    </row>
    <row r="107" spans="3:20" s="41" customFormat="1" outlineLevel="1"/>
    <row r="108" spans="3:20" s="41" customFormat="1" outlineLevel="1">
      <c r="D108" s="50" t="str">
        <f>'CapexSum$FY22'!D180</f>
        <v>RIN Category Allocation</v>
      </c>
    </row>
    <row r="109" spans="3:20" s="41" customFormat="1" ht="6" customHeight="1" outlineLevel="1"/>
    <row r="110" spans="3:20" s="41" customFormat="1" outlineLevel="1">
      <c r="E110" s="50" t="str">
        <f>'CapexSum$FY22'!E182</f>
        <v>Direct Costs</v>
      </c>
    </row>
    <row r="111" spans="3:20" s="41" customFormat="1" ht="6" customHeight="1" outlineLevel="1"/>
    <row r="112" spans="3:20" s="41" customFormat="1" outlineLevel="1">
      <c r="F112" s="251" t="str">
        <f>GC!C60</f>
        <v>Mains replacement</v>
      </c>
      <c r="G112" s="251"/>
      <c r="H112" s="251"/>
      <c r="I112" s="252"/>
      <c r="J112" s="155" cm="1">
        <f t="array" ref="J112">SUMPRODUCT(('[4]Links Out'!$F$28:$F$42=$F112)*('[4]Links Out'!H$28:H$42))</f>
        <v>24506351.370000005</v>
      </c>
      <c r="K112" s="155" cm="1">
        <f t="array" ref="K112">SUMPRODUCT(('[4]Links Out'!$F$28:$F$42=$F112)*('[4]Links Out'!I$28:I$42))</f>
        <v>26450061.760000005</v>
      </c>
      <c r="L112" s="155" cm="1">
        <f t="array" ref="L112">SUMPRODUCT(('[4]Links Out'!$F$28:$F$42=$F112)*('[4]Links Out'!J$28:J$42))</f>
        <v>19921550.27</v>
      </c>
      <c r="M112" s="155" cm="1">
        <f t="array" ref="M112">SUMPRODUCT(('[5]Links Out'!$F$28:$F$42=$F112)*('[5]Links Out'!K$28:K$42))</f>
        <v>22893951.110000003</v>
      </c>
      <c r="N112" s="154">
        <v>0</v>
      </c>
    </row>
    <row r="113" spans="5:14" s="41" customFormat="1" outlineLevel="1">
      <c r="F113" s="251" t="str">
        <f>GC!C61</f>
        <v>Residential new customer connections</v>
      </c>
      <c r="G113" s="251"/>
      <c r="H113" s="251"/>
      <c r="I113" s="252"/>
      <c r="J113" s="155" cm="1">
        <f t="array" ref="J113">SUMPRODUCT(('[4]Links Out'!$F$28:$F$42=$F113)*('[4]Links Out'!H$28:H$42))</f>
        <v>41720742.220000006</v>
      </c>
      <c r="K113" s="155" cm="1">
        <f t="array" ref="K113">SUMPRODUCT(('[4]Links Out'!$F$28:$F$42=$F113)*('[4]Links Out'!I$28:I$42))</f>
        <v>47533588.010000005</v>
      </c>
      <c r="L113" s="155" cm="1">
        <f t="array" ref="L113">SUMPRODUCT(('[4]Links Out'!$F$28:$F$42=$F113)*('[4]Links Out'!J$28:J$42))</f>
        <v>48225423.68</v>
      </c>
      <c r="M113" s="155">
        <f>SUMPRODUCT(('[5]Links Out'!$F$28:$F$42=$F113)*('[5]Links Out'!K$28:K$42))</f>
        <v>44282932.260000005</v>
      </c>
      <c r="N113" s="154">
        <v>0</v>
      </c>
    </row>
    <row r="114" spans="5:14" s="41" customFormat="1" outlineLevel="1">
      <c r="F114" s="251" t="str">
        <f>GC!C62</f>
        <v>Commercial and industrial new customer connections</v>
      </c>
      <c r="G114" s="251"/>
      <c r="H114" s="251"/>
      <c r="I114" s="252"/>
      <c r="J114" s="155" cm="1">
        <f t="array" ref="J114">SUMPRODUCT(('[4]Links Out'!$F$28:$F$42=$F114)*('[4]Links Out'!H$28:H$42))</f>
        <v>4507858.2789663905</v>
      </c>
      <c r="K114" s="155" cm="1">
        <f t="array" ref="K114">SUMPRODUCT(('[4]Links Out'!$F$28:$F$42=$F114)*('[4]Links Out'!I$28:I$42))</f>
        <v>5750705.6399999997</v>
      </c>
      <c r="L114" s="155" cm="1">
        <f t="array" ref="L114">SUMPRODUCT(('[4]Links Out'!$F$28:$F$42=$F114)*('[4]Links Out'!J$28:J$42))</f>
        <v>6162075.1300000018</v>
      </c>
      <c r="M114" s="155">
        <f>SUMPRODUCT(('[5]Links Out'!$F$28:$F$42=$F114)*('[5]Links Out'!K$28:K$42))</f>
        <v>10879059.18</v>
      </c>
      <c r="N114" s="154">
        <v>0</v>
      </c>
    </row>
    <row r="115" spans="5:14" s="41" customFormat="1" outlineLevel="1">
      <c r="F115" s="251" t="str">
        <f>GC!C63</f>
        <v>Residential meter replacement</v>
      </c>
      <c r="G115" s="251"/>
      <c r="H115" s="251"/>
      <c r="I115" s="252"/>
      <c r="J115" s="155" cm="1">
        <f t="array" ref="J115">SUMPRODUCT(('[4]Links Out'!$F$28:$F$42=$F115)*('[4]Links Out'!H$28:H$42))</f>
        <v>7410801.6899999995</v>
      </c>
      <c r="K115" s="155" cm="1">
        <f t="array" ref="K115">SUMPRODUCT(('[4]Links Out'!$F$28:$F$42=$F115)*('[4]Links Out'!I$28:I$42))</f>
        <v>7699045.4099999992</v>
      </c>
      <c r="L115" s="155" cm="1">
        <f t="array" ref="L115">SUMPRODUCT(('[4]Links Out'!$F$28:$F$42=$F115)*('[4]Links Out'!J$28:J$42))</f>
        <v>5856175.96</v>
      </c>
      <c r="M115" s="155">
        <f>SUMPRODUCT(('[5]Links Out'!$F$28:$F$42=$F115)*('[5]Links Out'!K$28:K$42))</f>
        <v>7351910.0499999998</v>
      </c>
      <c r="N115" s="154">
        <v>0</v>
      </c>
    </row>
    <row r="116" spans="5:14" s="41" customFormat="1" outlineLevel="1">
      <c r="F116" s="251" t="str">
        <f>GC!C64</f>
        <v>Commercial and industrial meter replacement</v>
      </c>
      <c r="G116" s="251"/>
      <c r="H116" s="251"/>
      <c r="I116" s="252"/>
      <c r="J116" s="155" cm="1">
        <f t="array" ref="J116">SUMPRODUCT(('[4]Links Out'!$F$28:$F$42=$F116)*('[4]Links Out'!H$28:H$42))</f>
        <v>962128.48</v>
      </c>
      <c r="K116" s="155" cm="1">
        <f t="array" ref="K116">SUMPRODUCT(('[4]Links Out'!$F$28:$F$42=$F116)*('[4]Links Out'!I$28:I$42))</f>
        <v>491485.69000000006</v>
      </c>
      <c r="L116" s="155" cm="1">
        <f t="array" ref="L116">SUMPRODUCT(('[4]Links Out'!$F$28:$F$42=$F116)*('[4]Links Out'!J$28:J$42))</f>
        <v>219027.49</v>
      </c>
      <c r="M116" s="155">
        <f>SUMPRODUCT(('[5]Links Out'!$F$28:$F$42=$F116)*('[5]Links Out'!K$28:K$42))</f>
        <v>3571454.6300000004</v>
      </c>
      <c r="N116" s="154">
        <v>0</v>
      </c>
    </row>
    <row r="117" spans="5:14" s="41" customFormat="1" outlineLevel="1">
      <c r="F117" s="251" t="str">
        <f>GC!C65</f>
        <v>Augmentation</v>
      </c>
      <c r="G117" s="251"/>
      <c r="H117" s="251"/>
      <c r="I117" s="252"/>
      <c r="J117" s="155" cm="1">
        <f t="array" ref="J117">SUMPRODUCT(('[4]Links Out'!$F$28:$F$42=$F117)*('[4]Links Out'!H$28:H$42))</f>
        <v>356053.01</v>
      </c>
      <c r="K117" s="155" cm="1">
        <f t="array" ref="K117">SUMPRODUCT(('[4]Links Out'!$F$28:$F$42=$F117)*('[4]Links Out'!I$28:I$42))</f>
        <v>1155693.1200000001</v>
      </c>
      <c r="L117" s="155" cm="1">
        <f t="array" ref="L117">SUMPRODUCT(('[4]Links Out'!$F$28:$F$42=$F117)*('[4]Links Out'!J$28:J$42))</f>
        <v>4083285.25</v>
      </c>
      <c r="M117" s="155">
        <f>SUMPRODUCT(('[5]Links Out'!$F$28:$F$42=$F117)*('[5]Links Out'!K$28:K$42))</f>
        <v>5382193.1299999999</v>
      </c>
      <c r="N117" s="154">
        <v>0</v>
      </c>
    </row>
    <row r="118" spans="5:14" s="41" customFormat="1" outlineLevel="1">
      <c r="F118" s="251" t="str">
        <f>GC!C66</f>
        <v>IT capex</v>
      </c>
      <c r="G118" s="251"/>
      <c r="H118" s="251"/>
      <c r="I118" s="252"/>
      <c r="J118" s="155" cm="1">
        <f t="array" ref="J118">SUMPRODUCT(('[4]Links Out'!$F$28:$F$42=$F118)*('[4]Links Out'!H$28:H$42))</f>
        <v>8221381.4399999976</v>
      </c>
      <c r="K118" s="155" cm="1">
        <f t="array" ref="K118">SUMPRODUCT(('[4]Links Out'!$F$28:$F$42=$F118)*('[4]Links Out'!I$28:I$42))</f>
        <v>7191495.7899999991</v>
      </c>
      <c r="L118" s="155" cm="1">
        <f t="array" ref="L118">SUMPRODUCT(('[4]Links Out'!$F$28:$F$42=$F118)*('[4]Links Out'!J$28:J$42))</f>
        <v>5733648.04</v>
      </c>
      <c r="M118" s="155">
        <f>SUMPRODUCT(('[5]Links Out'!$F$28:$F$42=$F118)*('[5]Links Out'!K$28:K$42))</f>
        <v>6779190.4100000001</v>
      </c>
      <c r="N118" s="154">
        <v>0</v>
      </c>
    </row>
    <row r="119" spans="5:14" s="41" customFormat="1" outlineLevel="1">
      <c r="F119" s="251" t="str">
        <f>GC!C67</f>
        <v>SCADA</v>
      </c>
      <c r="G119" s="251"/>
      <c r="H119" s="251"/>
      <c r="I119" s="252"/>
      <c r="J119" s="155" cm="1">
        <f t="array" ref="J119">SUMPRODUCT(('[4]Links Out'!$F$28:$F$42=$F119)*('[4]Links Out'!H$28:H$42))</f>
        <v>607634.74</v>
      </c>
      <c r="K119" s="155" cm="1">
        <f t="array" ref="K119">SUMPRODUCT(('[4]Links Out'!$F$28:$F$42=$F119)*('[4]Links Out'!I$28:I$42))</f>
        <v>394821.65</v>
      </c>
      <c r="L119" s="155" cm="1">
        <f t="array" ref="L119">SUMPRODUCT(('[4]Links Out'!$F$28:$F$42=$F119)*('[4]Links Out'!J$28:J$42))</f>
        <v>312405.5</v>
      </c>
      <c r="M119" s="155">
        <f>SUMPRODUCT(('[5]Links Out'!$F$28:$F$42=$F119)*('[5]Links Out'!K$28:K$42))</f>
        <v>475093.34</v>
      </c>
      <c r="N119" s="154">
        <v>0</v>
      </c>
    </row>
    <row r="120" spans="5:14" s="41" customFormat="1" outlineLevel="1">
      <c r="F120" s="251" t="str">
        <f>GC!C68</f>
        <v>Other</v>
      </c>
      <c r="G120" s="251"/>
      <c r="H120" s="251"/>
      <c r="I120" s="252"/>
      <c r="J120" s="155" cm="1">
        <f t="array" ref="J120">SUMPRODUCT(('[4]Links Out'!$F$28:$F$42=$F120)*('[4]Links Out'!H$28:H$42))</f>
        <v>3960643.9699999993</v>
      </c>
      <c r="K120" s="155" cm="1">
        <f t="array" ref="K120">SUMPRODUCT(('[4]Links Out'!$F$28:$F$42=$F120)*('[4]Links Out'!I$28:I$42))</f>
        <v>2402547.6700000004</v>
      </c>
      <c r="L120" s="155" cm="1">
        <f t="array" ref="L120">SUMPRODUCT(('[4]Links Out'!$F$28:$F$42=$F120)*('[4]Links Out'!J$28:J$42))</f>
        <v>4641643.43</v>
      </c>
      <c r="M120" s="155">
        <f>SUMPRODUCT(('[5]Links Out'!$F$28:$F$42=$F120)*('[5]Links Out'!K$28:K$42))</f>
        <v>5693888.1999999993</v>
      </c>
      <c r="N120" s="154">
        <v>0</v>
      </c>
    </row>
    <row r="121" spans="5:14" s="41" customFormat="1" outlineLevel="1">
      <c r="F121" s="251" t="str">
        <f>GC!C69</f>
        <v>Capitalised Leases</v>
      </c>
      <c r="G121" s="251"/>
      <c r="H121" s="251"/>
      <c r="I121" s="251"/>
      <c r="J121" s="155" cm="1">
        <f t="array" ref="J121">SUMPRODUCT(('[4]Links Out'!$F$28:$F$42=$F121)*('[4]Links Out'!H$28:H$42))</f>
        <v>0</v>
      </c>
      <c r="K121" s="155" cm="1">
        <f t="array" ref="K121">SUMPRODUCT(('[4]Links Out'!$F$28:$F$42=$F121)*('[4]Links Out'!I$28:I$42))</f>
        <v>8601645.3350000009</v>
      </c>
      <c r="L121" s="155" cm="1">
        <f t="array" ref="L121">SUMPRODUCT(('[4]Links Out'!$F$28:$F$42=$F121)*('[4]Links Out'!J$28:J$42))</f>
        <v>2357023.895353769</v>
      </c>
      <c r="M121" s="155">
        <f>SUMPRODUCT(('[5]Links Out'!$F$28:$F$42=$F121)*('[5]Links Out'!K$28:K$42))</f>
        <v>-1349647.4423711495</v>
      </c>
      <c r="N121" s="154">
        <v>0</v>
      </c>
    </row>
    <row r="122" spans="5:14" s="41" customFormat="1" outlineLevel="1">
      <c r="F122" s="251" t="str">
        <f>GC!C70</f>
        <v>Gas Extensions - Energy for the Regions</v>
      </c>
      <c r="G122" s="251"/>
      <c r="H122" s="251"/>
      <c r="I122" s="252"/>
      <c r="J122" s="155" cm="1">
        <f t="array" ref="J122">SUMPRODUCT(('[4]Links Out'!$F$28:$F$42=$F122)*('[4]Links Out'!H$28:H$42))</f>
        <v>1712861.4200000002</v>
      </c>
      <c r="K122" s="155" cm="1">
        <f t="array" ref="K122">SUMPRODUCT(('[4]Links Out'!$F$28:$F$42=$F122)*('[4]Links Out'!I$28:I$42))</f>
        <v>7009.8</v>
      </c>
      <c r="L122" s="155" cm="1">
        <f t="array" ref="L122">SUMPRODUCT(('[4]Links Out'!$F$28:$F$42=$F122)*('[4]Links Out'!J$28:J$42))</f>
        <v>0</v>
      </c>
      <c r="M122" s="155">
        <f>SUMPRODUCT(('[5]Links Out'!$F$28:$F$42=$F122)*('[5]Links Out'!K$28:K$42))</f>
        <v>0</v>
      </c>
      <c r="N122" s="154">
        <v>0</v>
      </c>
    </row>
    <row r="123" spans="5:14" s="41" customFormat="1" outlineLevel="1">
      <c r="F123" s="251" t="str">
        <f>GC!C71</f>
        <v>Gas Extensions - Other</v>
      </c>
      <c r="G123" s="251"/>
      <c r="H123" s="251"/>
      <c r="I123" s="252"/>
      <c r="J123" s="155" cm="1">
        <f t="array" ref="J123">SUMPRODUCT(('[4]Links Out'!$F$28:$F$42=$F123)*('[4]Links Out'!H$28:H$42))</f>
        <v>0</v>
      </c>
      <c r="K123" s="155" cm="1">
        <f t="array" ref="K123">SUMPRODUCT(('[4]Links Out'!$F$28:$F$42=$F123)*('[4]Links Out'!I$28:I$42))</f>
        <v>0</v>
      </c>
      <c r="L123" s="155" cm="1">
        <f t="array" ref="L123">SUMPRODUCT(('[4]Links Out'!$F$28:$F$42=$F123)*('[4]Links Out'!J$28:J$42))</f>
        <v>0</v>
      </c>
      <c r="M123" s="155">
        <f>SUMPRODUCT(('[5]Links Out'!$F$28:$F$42=$F123)*('[5]Links Out'!K$28:K$42))</f>
        <v>0</v>
      </c>
      <c r="N123" s="154">
        <v>0</v>
      </c>
    </row>
    <row r="124" spans="5:14" s="41" customFormat="1" outlineLevel="1">
      <c r="F124" s="251" t="str">
        <f>GC!C72</f>
        <v>Customer contributions</v>
      </c>
      <c r="G124" s="251"/>
      <c r="H124" s="251"/>
      <c r="I124" s="252"/>
      <c r="J124" s="155" cm="1">
        <f t="array" ref="J124">SUMPRODUCT(('[4]Links Out'!$F$28:$F$42=$F124)*('[4]Links Out'!H$28:H$42))</f>
        <v>0</v>
      </c>
      <c r="K124" s="155" cm="1">
        <f t="array" ref="K124">SUMPRODUCT(('[4]Links Out'!$F$28:$F$42=$F124)*('[4]Links Out'!I$28:I$42))</f>
        <v>0</v>
      </c>
      <c r="L124" s="155" cm="1">
        <f t="array" ref="L124">SUMPRODUCT(('[4]Links Out'!$F$28:$F$42=$F124)*('[4]Links Out'!J$28:J$42))</f>
        <v>0</v>
      </c>
      <c r="M124" s="155">
        <f>SUMPRODUCT(('[5]Links Out'!$F$28:$F$42=$F124)*('[5]Links Out'!K$28:K$42))</f>
        <v>0</v>
      </c>
      <c r="N124" s="154">
        <v>0</v>
      </c>
    </row>
    <row r="125" spans="5:14" s="41" customFormat="1" outlineLevel="1">
      <c r="F125" s="251" t="str">
        <f>GC!C73</f>
        <v>Government contributions</v>
      </c>
      <c r="G125" s="251"/>
      <c r="H125" s="251"/>
      <c r="I125" s="252"/>
      <c r="J125" s="155" cm="1">
        <f t="array" ref="J125">SUMPRODUCT(('[4]Links Out'!$F$28:$F$42=$F125)*('[4]Links Out'!H$28:H$42))</f>
        <v>0</v>
      </c>
      <c r="K125" s="155" cm="1">
        <f t="array" ref="K125">SUMPRODUCT(('[4]Links Out'!$F$28:$F$42=$F125)*('[4]Links Out'!I$28:I$42))</f>
        <v>0</v>
      </c>
      <c r="L125" s="155" cm="1">
        <f t="array" ref="L125">SUMPRODUCT(('[4]Links Out'!$F$28:$F$42=$F125)*('[4]Links Out'!J$28:J$42))</f>
        <v>0</v>
      </c>
      <c r="M125" s="155">
        <f>SUMPRODUCT(('[5]Links Out'!$F$28:$F$42=$F125)*('[5]Links Out'!K$28:K$42))</f>
        <v>0</v>
      </c>
      <c r="N125" s="154">
        <v>0</v>
      </c>
    </row>
    <row r="126" spans="5:14" s="41" customFormat="1" outlineLevel="1">
      <c r="F126" s="250" t="s">
        <v>197</v>
      </c>
      <c r="G126" s="250"/>
      <c r="H126" s="250"/>
      <c r="I126" s="250"/>
      <c r="J126" s="157">
        <f t="shared" ref="J126:N126" si="14">SUM(J112:J125)</f>
        <v>93966456.618966401</v>
      </c>
      <c r="K126" s="157">
        <f t="shared" si="14"/>
        <v>107678099.87500001</v>
      </c>
      <c r="L126" s="157">
        <f t="shared" si="14"/>
        <v>97512258.645353764</v>
      </c>
      <c r="M126" s="157">
        <f t="shared" si="14"/>
        <v>105960024.86762886</v>
      </c>
      <c r="N126" s="157">
        <f t="shared" si="14"/>
        <v>0</v>
      </c>
    </row>
    <row r="127" spans="5:14" s="41" customFormat="1" outlineLevel="1"/>
    <row r="128" spans="5:14" s="41" customFormat="1" outlineLevel="1">
      <c r="E128" s="50" t="str">
        <f>'CapexSum$FY22'!E200</f>
        <v>Direct Costs + Overheads</v>
      </c>
    </row>
    <row r="129" spans="6:14" s="41" customFormat="1" ht="6" customHeight="1" outlineLevel="1"/>
    <row r="130" spans="6:14" s="41" customFormat="1" outlineLevel="1">
      <c r="F130" s="251" t="str">
        <f>GC!C60</f>
        <v>Mains replacement</v>
      </c>
      <c r="G130" s="251"/>
      <c r="H130" s="251"/>
      <c r="I130" s="252"/>
      <c r="J130" s="155" cm="1">
        <f t="array" ref="J130">SUMPRODUCT(('[4]Links Out'!$F$50:$F$64=$F130)*('[4]Links Out'!H$50:H$64))</f>
        <v>25826265.170000006</v>
      </c>
      <c r="K130" s="155" cm="1">
        <f t="array" ref="K130">SUMPRODUCT(('[4]Links Out'!$F$50:$F$64=$F130)*('[4]Links Out'!I$50:I$64))</f>
        <v>27300766.600000005</v>
      </c>
      <c r="L130" s="155" cm="1">
        <f t="array" ref="L130">SUMPRODUCT(('[4]Links Out'!$F$50:$F$64=$F130)*('[4]Links Out'!J$50:J$64))</f>
        <v>20686814.060000002</v>
      </c>
      <c r="M130" s="155" cm="1">
        <f t="array" ref="M130">SUMPRODUCT(('[5]Links Out'!$F$50:$F$64=$F130)*('[5]Links Out'!K$50:K$64))</f>
        <v>23481348.089999996</v>
      </c>
      <c r="N130" s="154">
        <v>0</v>
      </c>
    </row>
    <row r="131" spans="6:14" s="41" customFormat="1" outlineLevel="1">
      <c r="F131" s="251" t="str">
        <f>GC!C61</f>
        <v>Residential new customer connections</v>
      </c>
      <c r="G131" s="251"/>
      <c r="H131" s="251"/>
      <c r="I131" s="252"/>
      <c r="J131" s="155" cm="1">
        <f t="array" ref="J131">SUMPRODUCT(('[4]Links Out'!$F$50:$F$64=$F131)*('[4]Links Out'!H$50:H$64))</f>
        <v>44143424.400000006</v>
      </c>
      <c r="K131" s="155" cm="1">
        <f t="array" ref="K131">SUMPRODUCT(('[4]Links Out'!$F$50:$F$64=$F131)*('[4]Links Out'!I$50:I$64))</f>
        <v>49092500.600000009</v>
      </c>
      <c r="L131" s="155" cm="1">
        <f t="array" ref="L131">SUMPRODUCT(('[4]Links Out'!$F$50:$F$64=$F131)*('[4]Links Out'!J$50:J$64))</f>
        <v>50100897.039999999</v>
      </c>
      <c r="M131" s="155">
        <f>SUMPRODUCT(('[5]Links Out'!$F$50:$F$64=$F131)*('[5]Links Out'!K$50:K$64))</f>
        <v>45476540.800000004</v>
      </c>
      <c r="N131" s="154">
        <v>0</v>
      </c>
    </row>
    <row r="132" spans="6:14" s="41" customFormat="1" outlineLevel="1">
      <c r="F132" s="251" t="str">
        <f>GC!C62</f>
        <v>Commercial and industrial new customer connections</v>
      </c>
      <c r="G132" s="251"/>
      <c r="H132" s="251"/>
      <c r="I132" s="252"/>
      <c r="J132" s="155" cm="1">
        <f t="array" ref="J132">SUMPRODUCT(('[4]Links Out'!$F$50:$F$64=$F132)*('[4]Links Out'!H$50:H$64))</f>
        <v>4733222.91</v>
      </c>
      <c r="K132" s="155" cm="1">
        <f t="array" ref="K132">SUMPRODUCT(('[4]Links Out'!$F$50:$F$64=$F132)*('[4]Links Out'!I$50:I$64))</f>
        <v>5950071.5</v>
      </c>
      <c r="L132" s="155" cm="1">
        <f t="array" ref="L132">SUMPRODUCT(('[4]Links Out'!$F$50:$F$64=$F132)*('[4]Links Out'!J$50:J$64))</f>
        <v>6410869.1800000016</v>
      </c>
      <c r="M132" s="155">
        <f>SUMPRODUCT(('[5]Links Out'!$F$50:$F$64=$F132)*('[5]Links Out'!K$50:K$64))</f>
        <v>11128032.390000001</v>
      </c>
      <c r="N132" s="154">
        <v>0</v>
      </c>
    </row>
    <row r="133" spans="6:14" s="41" customFormat="1" outlineLevel="1">
      <c r="F133" s="251" t="str">
        <f>GC!C63</f>
        <v>Residential meter replacement</v>
      </c>
      <c r="G133" s="251"/>
      <c r="H133" s="251"/>
      <c r="I133" s="252"/>
      <c r="J133" s="155" cm="1">
        <f t="array" ref="J133">SUMPRODUCT(('[4]Links Out'!$F$50:$F$64=$F133)*('[4]Links Out'!H$50:H$64))</f>
        <v>7711086.8999999994</v>
      </c>
      <c r="K133" s="155" cm="1">
        <f t="array" ref="K133">SUMPRODUCT(('[4]Links Out'!$F$50:$F$64=$F133)*('[4]Links Out'!I$50:I$64))</f>
        <v>7944402.3699999992</v>
      </c>
      <c r="L133" s="155" cm="1">
        <f t="array" ref="L133">SUMPRODUCT(('[4]Links Out'!$F$50:$F$64=$F133)*('[4]Links Out'!J$50:J$64))</f>
        <v>6007969.46</v>
      </c>
      <c r="M133" s="155">
        <f>SUMPRODUCT(('[5]Links Out'!$F$50:$F$64=$F133)*('[5]Links Out'!K$50:K$64))</f>
        <v>7533956.1499999994</v>
      </c>
      <c r="N133" s="154">
        <v>0</v>
      </c>
    </row>
    <row r="134" spans="6:14" s="41" customFormat="1" outlineLevel="1">
      <c r="F134" s="251" t="str">
        <f>GC!C64</f>
        <v>Commercial and industrial meter replacement</v>
      </c>
      <c r="G134" s="251"/>
      <c r="H134" s="251"/>
      <c r="I134" s="252"/>
      <c r="J134" s="155" cm="1">
        <f t="array" ref="J134">SUMPRODUCT(('[4]Links Out'!$F$50:$F$64=$F134)*('[4]Links Out'!H$50:H$64))</f>
        <v>1002007.98</v>
      </c>
      <c r="K134" s="155" cm="1">
        <f t="array" ref="K134">SUMPRODUCT(('[4]Links Out'!$F$50:$F$64=$F134)*('[4]Links Out'!I$50:I$64))</f>
        <v>507055.18000000005</v>
      </c>
      <c r="L134" s="155" cm="1">
        <f t="array" ref="L134">SUMPRODUCT(('[4]Links Out'!$F$50:$F$64=$F134)*('[4]Links Out'!J$50:J$64))</f>
        <v>227326.75</v>
      </c>
      <c r="M134" s="155">
        <f>SUMPRODUCT(('[5]Links Out'!$F$50:$F$64=$F134)*('[5]Links Out'!K$50:K$64))</f>
        <v>3598874.89</v>
      </c>
      <c r="N134" s="154">
        <v>0</v>
      </c>
    </row>
    <row r="135" spans="6:14" s="41" customFormat="1" outlineLevel="1">
      <c r="F135" s="251" t="str">
        <f>GC!C65</f>
        <v>Augmentation</v>
      </c>
      <c r="G135" s="251"/>
      <c r="H135" s="251"/>
      <c r="I135" s="252"/>
      <c r="J135" s="155" cm="1">
        <f t="array" ref="J135">SUMPRODUCT(('[4]Links Out'!$F$50:$F$64=$F135)*('[4]Links Out'!H$50:H$64))</f>
        <v>375959.52</v>
      </c>
      <c r="K135" s="155" cm="1">
        <f t="array" ref="K135">SUMPRODUCT(('[4]Links Out'!$F$50:$F$64=$F135)*('[4]Links Out'!I$50:I$64))</f>
        <v>1196332.9700000002</v>
      </c>
      <c r="L135" s="155" cm="1">
        <f t="array" ref="L135">SUMPRODUCT(('[4]Links Out'!$F$50:$F$64=$F135)*('[4]Links Out'!J$50:J$64))</f>
        <v>4071745.96</v>
      </c>
      <c r="M135" s="155">
        <f>SUMPRODUCT(('[5]Links Out'!$F$50:$F$64=$F135)*('[5]Links Out'!K$50:K$64))</f>
        <v>5498970.8600000003</v>
      </c>
      <c r="N135" s="154">
        <v>0</v>
      </c>
    </row>
    <row r="136" spans="6:14" s="41" customFormat="1" outlineLevel="1">
      <c r="F136" s="251" t="str">
        <f>GC!C66</f>
        <v>IT capex</v>
      </c>
      <c r="G136" s="251"/>
      <c r="H136" s="251"/>
      <c r="I136" s="252"/>
      <c r="J136" s="155" cm="1">
        <f t="array" ref="J136">SUMPRODUCT(('[4]Links Out'!$F$50:$F$64=$F136)*('[4]Links Out'!H$50:H$64))</f>
        <v>8820717.2899999972</v>
      </c>
      <c r="K136" s="155" cm="1">
        <f t="array" ref="K136">SUMPRODUCT(('[4]Links Out'!$F$50:$F$64=$F136)*('[4]Links Out'!I$50:I$64))</f>
        <v>7629799.9399999995</v>
      </c>
      <c r="L136" s="155" cm="1">
        <f t="array" ref="L136">SUMPRODUCT(('[4]Links Out'!$F$50:$F$64=$F136)*('[4]Links Out'!J$50:J$64))</f>
        <v>6108775.96</v>
      </c>
      <c r="M136" s="155">
        <f>SUMPRODUCT(('[5]Links Out'!$F$50:$F$64=$F136)*('[5]Links Out'!K$50:K$64))</f>
        <v>7257130.5899999999</v>
      </c>
      <c r="N136" s="154">
        <v>0</v>
      </c>
    </row>
    <row r="137" spans="6:14" s="41" customFormat="1" outlineLevel="1">
      <c r="F137" s="251" t="str">
        <f>GC!C67</f>
        <v>SCADA</v>
      </c>
      <c r="G137" s="251"/>
      <c r="H137" s="251"/>
      <c r="I137" s="252"/>
      <c r="J137" s="155" cm="1">
        <f t="array" ref="J137">SUMPRODUCT(('[4]Links Out'!$F$50:$F$64=$F137)*('[4]Links Out'!H$50:H$64))</f>
        <v>650368.73</v>
      </c>
      <c r="K137" s="155" cm="1">
        <f t="array" ref="K137">SUMPRODUCT(('[4]Links Out'!$F$50:$F$64=$F137)*('[4]Links Out'!I$50:I$64))</f>
        <v>412223.4</v>
      </c>
      <c r="L137" s="155" cm="1">
        <f t="array" ref="L137">SUMPRODUCT(('[4]Links Out'!$F$50:$F$64=$F137)*('[4]Links Out'!J$50:J$64))</f>
        <v>331854.40999999997</v>
      </c>
      <c r="M137" s="155">
        <f>SUMPRODUCT(('[5]Links Out'!$F$50:$F$64=$F137)*('[5]Links Out'!K$50:K$64))</f>
        <v>507734.47000000003</v>
      </c>
      <c r="N137" s="154">
        <v>0</v>
      </c>
    </row>
    <row r="138" spans="6:14" s="41" customFormat="1" outlineLevel="1">
      <c r="F138" s="251" t="str">
        <f>GC!C68</f>
        <v>Other</v>
      </c>
      <c r="G138" s="251"/>
      <c r="H138" s="251"/>
      <c r="I138" s="252"/>
      <c r="J138" s="155" cm="1">
        <f t="array" ref="J138">SUMPRODUCT(('[4]Links Out'!$F$50:$F$64=$F138)*('[4]Links Out'!H$50:H$64))</f>
        <v>4175181.6599999992</v>
      </c>
      <c r="K138" s="155" cm="1">
        <f t="array" ref="K138">SUMPRODUCT(('[4]Links Out'!$F$50:$F$64=$F138)*('[4]Links Out'!I$50:I$64))</f>
        <v>2477582.8200000003</v>
      </c>
      <c r="L138" s="155" cm="1">
        <f t="array" ref="L138">SUMPRODUCT(('[4]Links Out'!$F$50:$F$64=$F138)*('[4]Links Out'!J$50:J$64))</f>
        <v>4813889.3999999994</v>
      </c>
      <c r="M138" s="155">
        <f>SUMPRODUCT(('[5]Links Out'!$F$50:$F$64=$F138)*('[5]Links Out'!K$50:K$64))</f>
        <v>5837966.2999999989</v>
      </c>
      <c r="N138" s="154">
        <v>0</v>
      </c>
    </row>
    <row r="139" spans="6:14" s="41" customFormat="1" outlineLevel="1">
      <c r="F139" s="251" t="str">
        <f>GC!C69</f>
        <v>Capitalised Leases</v>
      </c>
      <c r="G139" s="251"/>
      <c r="H139" s="251"/>
      <c r="I139" s="251"/>
      <c r="J139" s="155" cm="1">
        <f t="array" ref="J139">SUMPRODUCT(('[4]Links Out'!$F$50:$F$64=$F139)*('[4]Links Out'!H$50:H$64))</f>
        <v>0</v>
      </c>
      <c r="K139" s="155" cm="1">
        <f t="array" ref="K139">SUMPRODUCT(('[4]Links Out'!$F$50:$F$64=$F139)*('[4]Links Out'!I$50:I$64))</f>
        <v>9576833.6300000008</v>
      </c>
      <c r="L139" s="155" cm="1">
        <f t="array" ref="L139">SUMPRODUCT(('[4]Links Out'!$F$50:$F$64=$F139)*('[4]Links Out'!J$50:J$64))</f>
        <v>2357023.895353769</v>
      </c>
      <c r="M139" s="155">
        <f>SUMPRODUCT(('[5]Links Out'!$F$50:$F$64=$F139)*('[5]Links Out'!K$50:K$64))</f>
        <v>-1349647.4423711495</v>
      </c>
      <c r="N139" s="154">
        <v>0</v>
      </c>
    </row>
    <row r="140" spans="6:14" s="41" customFormat="1" outlineLevel="1">
      <c r="F140" s="251" t="str">
        <f>GC!C70</f>
        <v>Gas Extensions - Energy for the Regions</v>
      </c>
      <c r="G140" s="251"/>
      <c r="H140" s="251"/>
      <c r="I140" s="252"/>
      <c r="J140" s="155" cm="1">
        <f t="array" ref="J140">SUMPRODUCT(('[4]Links Out'!$F$50:$F$64=$F140)*('[4]Links Out'!H$50:H$64))</f>
        <v>1853841.9100000001</v>
      </c>
      <c r="K140" s="155" cm="1">
        <f t="array" ref="K140">SUMPRODUCT(('[4]Links Out'!$F$50:$F$64=$F140)*('[4]Links Out'!I$50:I$64))</f>
        <v>7189.72</v>
      </c>
      <c r="L140" s="155" cm="1">
        <f t="array" ref="L140">SUMPRODUCT(('[4]Links Out'!$F$50:$F$64=$F140)*('[4]Links Out'!J$50:J$64))</f>
        <v>0</v>
      </c>
      <c r="M140" s="155">
        <f>SUMPRODUCT(('[5]Links Out'!$F$50:$F$64=$F140)*('[5]Links Out'!K$50:K$64))</f>
        <v>0</v>
      </c>
      <c r="N140" s="154">
        <v>0</v>
      </c>
    </row>
    <row r="141" spans="6:14" s="41" customFormat="1" outlineLevel="1">
      <c r="F141" s="251" t="str">
        <f>GC!C71</f>
        <v>Gas Extensions - Other</v>
      </c>
      <c r="G141" s="251"/>
      <c r="H141" s="251"/>
      <c r="I141" s="252"/>
      <c r="J141" s="155" cm="1">
        <f t="array" ref="J141">SUMPRODUCT(('[4]Links Out'!$F$50:$F$64=$F141)*('[4]Links Out'!H$50:H$64))</f>
        <v>0</v>
      </c>
      <c r="K141" s="155" cm="1">
        <f t="array" ref="K141">SUMPRODUCT(('[4]Links Out'!$F$50:$F$64=$F141)*('[4]Links Out'!I$50:I$64))</f>
        <v>0</v>
      </c>
      <c r="L141" s="155" cm="1">
        <f t="array" ref="L141">SUMPRODUCT(('[4]Links Out'!$F$50:$F$64=$F141)*('[4]Links Out'!J$50:J$64))</f>
        <v>0</v>
      </c>
      <c r="M141" s="155">
        <f>SUMPRODUCT(('[5]Links Out'!$F$50:$F$64=$F141)*('[5]Links Out'!K$50:K$64))</f>
        <v>0</v>
      </c>
      <c r="N141" s="154">
        <v>0</v>
      </c>
    </row>
    <row r="142" spans="6:14" s="41" customFormat="1" outlineLevel="1">
      <c r="F142" s="251" t="str">
        <f>GC!C72</f>
        <v>Customer contributions</v>
      </c>
      <c r="G142" s="251"/>
      <c r="H142" s="251"/>
      <c r="I142" s="252"/>
      <c r="J142" s="155" cm="1">
        <f t="array" ref="J142">SUMPRODUCT(('[4]Links Out'!$F$50:$F$64=$F142)*('[4]Links Out'!H$50:H$64))</f>
        <v>0</v>
      </c>
      <c r="K142" s="155" cm="1">
        <f t="array" ref="K142">SUMPRODUCT(('[4]Links Out'!$F$50:$F$64=$F142)*('[4]Links Out'!I$50:I$64))</f>
        <v>0</v>
      </c>
      <c r="L142" s="155" cm="1">
        <f t="array" ref="L142">SUMPRODUCT(('[4]Links Out'!$F$50:$F$64=$F142)*('[4]Links Out'!J$50:J$64))</f>
        <v>0</v>
      </c>
      <c r="M142" s="155">
        <f>SUMPRODUCT(('[5]Links Out'!$F$50:$F$64=$F142)*('[5]Links Out'!K$50:K$64))</f>
        <v>0</v>
      </c>
      <c r="N142" s="154">
        <v>0</v>
      </c>
    </row>
    <row r="143" spans="6:14" s="41" customFormat="1" outlineLevel="1">
      <c r="F143" s="251" t="str">
        <f>GC!C73</f>
        <v>Government contributions</v>
      </c>
      <c r="G143" s="251"/>
      <c r="H143" s="251"/>
      <c r="I143" s="252"/>
      <c r="J143" s="155" cm="1">
        <f t="array" ref="J143">SUMPRODUCT(('[4]Links Out'!$F$50:$F$64=$F143)*('[4]Links Out'!H$50:H$64))</f>
        <v>0</v>
      </c>
      <c r="K143" s="155" cm="1">
        <f t="array" ref="K143">SUMPRODUCT(('[4]Links Out'!$F$50:$F$64=$F143)*('[4]Links Out'!I$50:I$64))</f>
        <v>0</v>
      </c>
      <c r="L143" s="155" cm="1">
        <f t="array" ref="L143">SUMPRODUCT(('[4]Links Out'!$F$50:$F$64=$F143)*('[4]Links Out'!J$50:J$64))</f>
        <v>0</v>
      </c>
      <c r="M143" s="155">
        <f>SUMPRODUCT(('[5]Links Out'!$F$50:$F$64=$F143)*('[5]Links Out'!K$50:K$64))</f>
        <v>0</v>
      </c>
      <c r="N143" s="154">
        <v>0</v>
      </c>
    </row>
    <row r="144" spans="6:14" s="41" customFormat="1" outlineLevel="1">
      <c r="F144" s="250" t="s">
        <v>197</v>
      </c>
      <c r="G144" s="250"/>
      <c r="H144" s="250"/>
      <c r="I144" s="250"/>
      <c r="J144" s="157">
        <f t="shared" ref="J144:N144" si="15">SUM(J130:J143)</f>
        <v>99292076.469999999</v>
      </c>
      <c r="K144" s="157">
        <f t="shared" si="15"/>
        <v>112094758.73000002</v>
      </c>
      <c r="L144" s="157">
        <f t="shared" si="15"/>
        <v>101117166.11535375</v>
      </c>
      <c r="M144" s="157">
        <f t="shared" si="15"/>
        <v>108970907.09762886</v>
      </c>
      <c r="N144" s="157">
        <f t="shared" si="15"/>
        <v>0</v>
      </c>
    </row>
    <row r="145" spans="5:14" s="41" customFormat="1" outlineLevel="1"/>
    <row r="146" spans="5:14" s="41" customFormat="1" outlineLevel="1">
      <c r="E146" s="37" t="s">
        <v>367</v>
      </c>
    </row>
    <row r="147" spans="5:14" ht="5.75" customHeight="1" outlineLevel="1"/>
    <row r="148" spans="5:14" outlineLevel="1">
      <c r="F148" s="247" t="str">
        <f>GC!C60</f>
        <v>Mains replacement</v>
      </c>
      <c r="G148" s="247"/>
      <c r="H148" s="247"/>
      <c r="I148" s="248"/>
      <c r="J148" s="148">
        <v>0</v>
      </c>
      <c r="K148" s="148">
        <v>0</v>
      </c>
      <c r="L148" s="148">
        <v>0</v>
      </c>
      <c r="M148" s="148">
        <v>0</v>
      </c>
      <c r="N148" s="148">
        <v>0</v>
      </c>
    </row>
    <row r="149" spans="5:14" outlineLevel="1">
      <c r="F149" s="247" t="str">
        <f>GC!C61</f>
        <v>Residential new customer connections</v>
      </c>
      <c r="G149" s="247"/>
      <c r="H149" s="247"/>
      <c r="I149" s="248"/>
      <c r="J149" s="148">
        <v>0</v>
      </c>
      <c r="K149" s="148">
        <v>0</v>
      </c>
      <c r="L149" s="148">
        <v>0</v>
      </c>
      <c r="M149" s="148">
        <v>0</v>
      </c>
      <c r="N149" s="148">
        <v>0</v>
      </c>
    </row>
    <row r="150" spans="5:14" outlineLevel="1">
      <c r="F150" s="247" t="str">
        <f>GC!C62</f>
        <v>Commercial and industrial new customer connections</v>
      </c>
      <c r="G150" s="247"/>
      <c r="H150" s="247"/>
      <c r="I150" s="248"/>
      <c r="J150" s="148">
        <v>0</v>
      </c>
      <c r="K150" s="148">
        <v>0</v>
      </c>
      <c r="L150" s="148">
        <v>0</v>
      </c>
      <c r="M150" s="148">
        <v>0</v>
      </c>
      <c r="N150" s="148">
        <v>0</v>
      </c>
    </row>
    <row r="151" spans="5:14" outlineLevel="1">
      <c r="F151" s="247" t="str">
        <f>GC!C63</f>
        <v>Residential meter replacement</v>
      </c>
      <c r="G151" s="247"/>
      <c r="H151" s="247"/>
      <c r="I151" s="248"/>
      <c r="J151" s="148">
        <v>0</v>
      </c>
      <c r="K151" s="148">
        <v>0</v>
      </c>
      <c r="L151" s="148">
        <v>0</v>
      </c>
      <c r="M151" s="148">
        <v>0</v>
      </c>
      <c r="N151" s="148">
        <v>0</v>
      </c>
    </row>
    <row r="152" spans="5:14" outlineLevel="1">
      <c r="F152" s="247" t="str">
        <f>GC!C64</f>
        <v>Commercial and industrial meter replacement</v>
      </c>
      <c r="G152" s="247"/>
      <c r="H152" s="247"/>
      <c r="I152" s="248"/>
      <c r="J152" s="148">
        <v>0</v>
      </c>
      <c r="K152" s="148">
        <v>0</v>
      </c>
      <c r="L152" s="148">
        <v>0</v>
      </c>
      <c r="M152" s="148">
        <v>0</v>
      </c>
      <c r="N152" s="148">
        <v>0</v>
      </c>
    </row>
    <row r="153" spans="5:14" outlineLevel="1">
      <c r="F153" s="247" t="str">
        <f>GC!C65</f>
        <v>Augmentation</v>
      </c>
      <c r="G153" s="247"/>
      <c r="H153" s="247"/>
      <c r="I153" s="248"/>
      <c r="J153" s="148">
        <v>0</v>
      </c>
      <c r="K153" s="148">
        <v>0</v>
      </c>
      <c r="L153" s="148">
        <v>0</v>
      </c>
      <c r="M153" s="148">
        <v>0</v>
      </c>
      <c r="N153" s="148">
        <v>0</v>
      </c>
    </row>
    <row r="154" spans="5:14" outlineLevel="1">
      <c r="F154" s="247" t="str">
        <f>GC!C66</f>
        <v>IT capex</v>
      </c>
      <c r="G154" s="247"/>
      <c r="H154" s="247"/>
      <c r="I154" s="248"/>
      <c r="J154" s="148">
        <v>0</v>
      </c>
      <c r="K154" s="148">
        <v>0</v>
      </c>
      <c r="L154" s="148">
        <v>0</v>
      </c>
      <c r="M154" s="148">
        <v>0</v>
      </c>
      <c r="N154" s="148">
        <v>0</v>
      </c>
    </row>
    <row r="155" spans="5:14" outlineLevel="1">
      <c r="F155" s="247" t="str">
        <f>GC!C67</f>
        <v>SCADA</v>
      </c>
      <c r="G155" s="247"/>
      <c r="H155" s="247"/>
      <c r="I155" s="248"/>
      <c r="J155" s="148">
        <v>0</v>
      </c>
      <c r="K155" s="148">
        <v>0</v>
      </c>
      <c r="L155" s="148">
        <v>0</v>
      </c>
      <c r="M155" s="148">
        <v>0</v>
      </c>
      <c r="N155" s="148">
        <v>0</v>
      </c>
    </row>
    <row r="156" spans="5:14" outlineLevel="1">
      <c r="F156" s="247" t="str">
        <f>GC!C68</f>
        <v>Other</v>
      </c>
      <c r="G156" s="247"/>
      <c r="H156" s="247"/>
      <c r="I156" s="248"/>
      <c r="J156" s="148">
        <v>0</v>
      </c>
      <c r="K156" s="148">
        <v>0</v>
      </c>
      <c r="L156" s="148">
        <v>0</v>
      </c>
      <c r="M156" s="148">
        <v>0</v>
      </c>
      <c r="N156" s="148">
        <v>0</v>
      </c>
    </row>
    <row r="157" spans="5:14" outlineLevel="1">
      <c r="F157" s="247" t="str">
        <f>GC!C69</f>
        <v>Capitalised Leases</v>
      </c>
      <c r="G157" s="247"/>
      <c r="H157" s="247"/>
      <c r="I157" s="248"/>
      <c r="J157" s="148">
        <v>0</v>
      </c>
      <c r="K157" s="148">
        <v>0</v>
      </c>
      <c r="L157" s="148">
        <v>0</v>
      </c>
      <c r="M157" s="148">
        <v>0</v>
      </c>
      <c r="N157" s="148">
        <v>0</v>
      </c>
    </row>
    <row r="158" spans="5:14" outlineLevel="1">
      <c r="F158" s="247" t="str">
        <f>GC!C70</f>
        <v>Gas Extensions - Energy for the Regions</v>
      </c>
      <c r="G158" s="247"/>
      <c r="H158" s="247"/>
      <c r="I158" s="248"/>
      <c r="J158" s="148">
        <v>0</v>
      </c>
      <c r="K158" s="148">
        <v>0</v>
      </c>
      <c r="L158" s="148">
        <v>0</v>
      </c>
      <c r="M158" s="148">
        <v>0</v>
      </c>
      <c r="N158" s="148">
        <v>0</v>
      </c>
    </row>
    <row r="159" spans="5:14" outlineLevel="1">
      <c r="F159" s="247" t="str">
        <f>GC!C71</f>
        <v>Gas Extensions - Other</v>
      </c>
      <c r="G159" s="247"/>
      <c r="H159" s="247"/>
      <c r="I159" s="248"/>
      <c r="J159" s="148">
        <v>0</v>
      </c>
      <c r="K159" s="148">
        <v>0</v>
      </c>
      <c r="L159" s="148">
        <v>0</v>
      </c>
      <c r="M159" s="148">
        <v>0</v>
      </c>
      <c r="N159" s="148">
        <v>0</v>
      </c>
    </row>
    <row r="160" spans="5:14" outlineLevel="1">
      <c r="F160" s="247" t="str">
        <f>GC!C72</f>
        <v>Customer contributions</v>
      </c>
      <c r="G160" s="247"/>
      <c r="H160" s="247"/>
      <c r="I160" s="248"/>
      <c r="J160" s="148">
        <v>0</v>
      </c>
      <c r="K160" s="148">
        <v>0</v>
      </c>
      <c r="L160" s="148">
        <v>0</v>
      </c>
      <c r="M160" s="148">
        <v>0</v>
      </c>
      <c r="N160" s="148">
        <v>0</v>
      </c>
    </row>
    <row r="161" spans="6:14" outlineLevel="1">
      <c r="F161" s="247" t="str">
        <f>GC!C73</f>
        <v>Government contributions</v>
      </c>
      <c r="G161" s="247"/>
      <c r="H161" s="247"/>
      <c r="I161" s="248"/>
      <c r="J161" s="148">
        <v>0</v>
      </c>
      <c r="K161" s="148">
        <v>0</v>
      </c>
      <c r="L161" s="148">
        <v>0</v>
      </c>
      <c r="M161" s="148">
        <v>0</v>
      </c>
      <c r="N161" s="148">
        <v>0</v>
      </c>
    </row>
    <row r="162" spans="6:14" outlineLevel="1">
      <c r="F162" s="249" t="str">
        <f t="shared" ref="F162" si="16">"Total "&amp;E146</f>
        <v>Total Customer Contributions</v>
      </c>
      <c r="G162" s="249"/>
      <c r="H162" s="249"/>
      <c r="I162" s="249"/>
      <c r="J162" s="210">
        <f t="shared" ref="J162:N162" si="17">SUM(J148:J161)</f>
        <v>0</v>
      </c>
      <c r="K162" s="210">
        <f t="shared" si="17"/>
        <v>0</v>
      </c>
      <c r="L162" s="210">
        <f t="shared" si="17"/>
        <v>0</v>
      </c>
      <c r="M162" s="210">
        <f t="shared" si="17"/>
        <v>0</v>
      </c>
      <c r="N162" s="210">
        <f t="shared" si="17"/>
        <v>0</v>
      </c>
    </row>
  </sheetData>
  <sheetProtection formatColumns="0" formatRows="0"/>
  <mergeCells count="109">
    <mergeCell ref="F162:I162"/>
    <mergeCell ref="F148:I148"/>
    <mergeCell ref="F149:I149"/>
    <mergeCell ref="F150:I150"/>
    <mergeCell ref="F151:I151"/>
    <mergeCell ref="F152:I152"/>
    <mergeCell ref="F153:I153"/>
    <mergeCell ref="F154:I154"/>
    <mergeCell ref="F155:I155"/>
    <mergeCell ref="F156:I156"/>
    <mergeCell ref="F157:I157"/>
    <mergeCell ref="F158:I158"/>
    <mergeCell ref="F159:I159"/>
    <mergeCell ref="F160:I160"/>
    <mergeCell ref="F161:I161"/>
    <mergeCell ref="F34:I34"/>
    <mergeCell ref="F35:I35"/>
    <mergeCell ref="F36:I36"/>
    <mergeCell ref="F37:I37"/>
    <mergeCell ref="F29:I29"/>
    <mergeCell ref="F30:I30"/>
    <mergeCell ref="F31:I31"/>
    <mergeCell ref="F32:I32"/>
    <mergeCell ref="F33:I33"/>
    <mergeCell ref="F38:I38"/>
    <mergeCell ref="F39:I39"/>
    <mergeCell ref="F40:I40"/>
    <mergeCell ref="F45:I45"/>
    <mergeCell ref="F49:I49"/>
    <mergeCell ref="F41:I41"/>
    <mergeCell ref="F42:I42"/>
    <mergeCell ref="F43:I43"/>
    <mergeCell ref="F44:I44"/>
    <mergeCell ref="F96:I96"/>
    <mergeCell ref="F97:I97"/>
    <mergeCell ref="F98:I98"/>
    <mergeCell ref="F99:I99"/>
    <mergeCell ref="F100:I100"/>
    <mergeCell ref="F124:I124"/>
    <mergeCell ref="F125:I125"/>
    <mergeCell ref="F84:I84"/>
    <mergeCell ref="F89:I89"/>
    <mergeCell ref="F90:I90"/>
    <mergeCell ref="F91:I91"/>
    <mergeCell ref="F92:I92"/>
    <mergeCell ref="F93:I93"/>
    <mergeCell ref="F94:I94"/>
    <mergeCell ref="F95:I95"/>
    <mergeCell ref="F85:I85"/>
    <mergeCell ref="F126:I126"/>
    <mergeCell ref="F121:I121"/>
    <mergeCell ref="F116:I116"/>
    <mergeCell ref="F112:I112"/>
    <mergeCell ref="F113:I113"/>
    <mergeCell ref="F114:I114"/>
    <mergeCell ref="F115:I115"/>
    <mergeCell ref="F105:I105"/>
    <mergeCell ref="F138:I138"/>
    <mergeCell ref="F122:I122"/>
    <mergeCell ref="F117:I117"/>
    <mergeCell ref="F118:I118"/>
    <mergeCell ref="F119:I119"/>
    <mergeCell ref="F120:I120"/>
    <mergeCell ref="F123:I123"/>
    <mergeCell ref="F144:I144"/>
    <mergeCell ref="F130:I130"/>
    <mergeCell ref="F131:I131"/>
    <mergeCell ref="F132:I132"/>
    <mergeCell ref="F133:I133"/>
    <mergeCell ref="F134:I134"/>
    <mergeCell ref="F141:I141"/>
    <mergeCell ref="F142:I142"/>
    <mergeCell ref="F143:I143"/>
    <mergeCell ref="F135:I135"/>
    <mergeCell ref="F136:I136"/>
    <mergeCell ref="F137:I137"/>
    <mergeCell ref="F139:I139"/>
    <mergeCell ref="F140:I140"/>
    <mergeCell ref="F61:I61"/>
    <mergeCell ref="F62:I62"/>
    <mergeCell ref="F59:I59"/>
    <mergeCell ref="F50:I50"/>
    <mergeCell ref="F51:I51"/>
    <mergeCell ref="F52:I52"/>
    <mergeCell ref="F53:I53"/>
    <mergeCell ref="F54:I54"/>
    <mergeCell ref="F55:I55"/>
    <mergeCell ref="F56:I56"/>
    <mergeCell ref="F57:I57"/>
    <mergeCell ref="F58:I58"/>
    <mergeCell ref="F60:I60"/>
    <mergeCell ref="F63:I63"/>
    <mergeCell ref="F64:I64"/>
    <mergeCell ref="F81:I81"/>
    <mergeCell ref="F82:I82"/>
    <mergeCell ref="F83:I83"/>
    <mergeCell ref="F77:I77"/>
    <mergeCell ref="F78:I78"/>
    <mergeCell ref="F79:I79"/>
    <mergeCell ref="F80:I80"/>
    <mergeCell ref="F65:I65"/>
    <mergeCell ref="F76:I76"/>
    <mergeCell ref="F69:I69"/>
    <mergeCell ref="F70:I70"/>
    <mergeCell ref="F71:I71"/>
    <mergeCell ref="F72:I72"/>
    <mergeCell ref="F73:I73"/>
    <mergeCell ref="F74:I74"/>
    <mergeCell ref="F75:I75"/>
  </mergeCells>
  <dataValidations count="1">
    <dataValidation type="custom" showErrorMessage="1" errorTitle="Invalid Assumption" error="Assumption must be a number." sqref="J130:N143 J112:N125 J89:N104 J49:N64 J29:N44 J148:N161" xr:uid="{54444F73-307C-4523-ACC8-D63C6370E024}">
      <formula1>NOT(ISERROR(J29/1))</formula1>
    </dataValidation>
  </dataValidations>
  <hyperlinks>
    <hyperlink ref="A1" location="HL_Home" tooltip="Go to Table of Contents" display="HL_Home" xr:uid="{DEAE0207-B1BD-47FB-8C4C-1DD2D96B8059}"/>
    <hyperlink ref="A2" location="HL_Err_Chk" tooltip="Go to Error Checks" display="HL_Err_Chk" xr:uid="{C866F1CC-4718-44A8-A8D9-62CF7B6F657B}"/>
  </hyperlinks>
  <pageMargins left="0.39370078740157499" right="0.39370078740157499" top="0.59055118110236204" bottom="0.98425196850393704" header="0" footer="0.31496062992126"/>
  <pageSetup paperSize="9" orientation="landscape" verticalDpi="0" r:id="rId1"/>
  <headerFooter>
    <oddFooter>&amp;L&amp;F
&amp;A
Printed: &amp;T on &amp;D&amp;CPage &amp;P of &amp;N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E05071-7E7D-4CF1-8F4F-BD55BCC3BC8C}">
  <sheetPr>
    <pageSetUpPr autoPageBreaks="0"/>
  </sheetPr>
  <dimension ref="A1:T92"/>
  <sheetViews>
    <sheetView showGridLines="0" zoomScaleNormal="100" workbookViewId="0">
      <pane xSplit="9" ySplit="21" topLeftCell="J25" activePane="bottomRight" state="frozen"/>
      <selection activeCell="I248" sqref="I248"/>
      <selection pane="topRight" activeCell="I248" sqref="I248"/>
      <selection pane="bottomLeft" activeCell="I248" sqref="I248"/>
      <selection pane="bottomRight" activeCell="N35" sqref="N35"/>
    </sheetView>
  </sheetViews>
  <sheetFormatPr defaultColWidth="11.59765625" defaultRowHeight="11.5" outlineLevelRow="3"/>
  <cols>
    <col min="1" max="5" width="3.59765625" customWidth="1"/>
    <col min="6" max="7" width="15.59765625" customWidth="1"/>
  </cols>
  <sheetData>
    <row r="1" spans="1:20" ht="14">
      <c r="A1" s="10" t="s">
        <v>11</v>
      </c>
      <c r="B1" s="6" t="s">
        <v>388</v>
      </c>
    </row>
    <row r="2" spans="1:20" ht="13">
      <c r="A2" s="23" t="s">
        <v>26</v>
      </c>
      <c r="B2" s="7" t="str">
        <f ca="1">Model_Name</f>
        <v>GAAR Capex Forecast</v>
      </c>
    </row>
    <row r="3" spans="1:20">
      <c r="B3" s="30"/>
      <c r="C3" s="30"/>
      <c r="D3" s="30"/>
      <c r="E3" s="30"/>
      <c r="F3" s="30"/>
      <c r="G3" s="30"/>
      <c r="H3" s="30"/>
      <c r="I3" s="30"/>
      <c r="J3" s="30"/>
      <c r="K3" s="30"/>
      <c r="L3" s="30"/>
      <c r="M3" s="30"/>
      <c r="N3" s="30"/>
      <c r="O3" s="30"/>
      <c r="P3" s="30"/>
      <c r="Q3" s="30"/>
      <c r="R3" s="30"/>
      <c r="S3" s="30"/>
      <c r="T3" s="30"/>
    </row>
    <row r="4" spans="1:20">
      <c r="B4" s="116" t="s">
        <v>74</v>
      </c>
      <c r="C4" s="118"/>
      <c r="D4" s="118"/>
      <c r="E4" s="118"/>
      <c r="F4" s="118"/>
      <c r="G4" s="118"/>
      <c r="H4" s="118"/>
      <c r="I4" s="118"/>
      <c r="J4" s="119">
        <f t="shared" ref="J4:N4" si="0">J8</f>
        <v>43465</v>
      </c>
      <c r="K4" s="119">
        <f t="shared" si="0"/>
        <v>43830</v>
      </c>
      <c r="L4" s="119">
        <f t="shared" si="0"/>
        <v>44196</v>
      </c>
      <c r="M4" s="119">
        <f t="shared" si="0"/>
        <v>44561</v>
      </c>
      <c r="N4" s="119">
        <f t="shared" si="0"/>
        <v>44926</v>
      </c>
      <c r="O4" s="121">
        <f>O8</f>
        <v>45107</v>
      </c>
      <c r="P4" s="121">
        <f t="shared" ref="P4:T4" si="1">P8</f>
        <v>45473</v>
      </c>
      <c r="Q4" s="121">
        <f t="shared" si="1"/>
        <v>45838</v>
      </c>
      <c r="R4" s="121">
        <f t="shared" si="1"/>
        <v>46203</v>
      </c>
      <c r="S4" s="121">
        <f t="shared" si="1"/>
        <v>46568</v>
      </c>
      <c r="T4" s="121">
        <f t="shared" si="1"/>
        <v>46934</v>
      </c>
    </row>
    <row r="5" spans="1:20">
      <c r="B5" s="152" t="s">
        <v>100</v>
      </c>
      <c r="C5" s="152"/>
      <c r="D5" s="152"/>
      <c r="E5" s="152"/>
      <c r="F5" s="152"/>
      <c r="G5" s="152"/>
      <c r="H5" s="152"/>
      <c r="I5" s="152"/>
      <c r="J5" s="153">
        <f t="shared" ref="J5:N5" si="2">YEAR(J8)</f>
        <v>2018</v>
      </c>
      <c r="K5" s="153">
        <f t="shared" si="2"/>
        <v>2019</v>
      </c>
      <c r="L5" s="153">
        <f t="shared" si="2"/>
        <v>2020</v>
      </c>
      <c r="M5" s="153">
        <f t="shared" si="2"/>
        <v>2021</v>
      </c>
      <c r="N5" s="153">
        <f t="shared" si="2"/>
        <v>2022</v>
      </c>
      <c r="O5" s="153">
        <f>YEAR(O8)</f>
        <v>2023</v>
      </c>
      <c r="P5" s="153">
        <f t="shared" ref="P5:T5" si="3">YEAR(P8)</f>
        <v>2024</v>
      </c>
      <c r="Q5" s="153">
        <f t="shared" si="3"/>
        <v>2025</v>
      </c>
      <c r="R5" s="153">
        <f t="shared" si="3"/>
        <v>2026</v>
      </c>
      <c r="S5" s="153">
        <f t="shared" si="3"/>
        <v>2027</v>
      </c>
      <c r="T5" s="153">
        <f t="shared" si="3"/>
        <v>2028</v>
      </c>
    </row>
    <row r="6" spans="1:20">
      <c r="B6" s="149" t="s">
        <v>91</v>
      </c>
      <c r="C6" s="149"/>
      <c r="D6" s="149"/>
      <c r="E6" s="149"/>
      <c r="F6" s="149"/>
      <c r="G6" s="149"/>
      <c r="H6" s="149"/>
      <c r="I6" s="149"/>
      <c r="J6" s="151" t="str">
        <f t="shared" ref="J6:N6" si="4">IF(J$17,"Actual","Forecast")</f>
        <v>Actual</v>
      </c>
      <c r="K6" s="151" t="str">
        <f t="shared" si="4"/>
        <v>Actual</v>
      </c>
      <c r="L6" s="151" t="str">
        <f t="shared" si="4"/>
        <v>Actual</v>
      </c>
      <c r="M6" s="151" t="str">
        <f t="shared" si="4"/>
        <v>Actual</v>
      </c>
      <c r="N6" s="151" t="str">
        <f t="shared" si="4"/>
        <v>Forecast</v>
      </c>
      <c r="O6" s="150" t="str">
        <f>IF(O$17,"Actual","Forecast")</f>
        <v>Forecast</v>
      </c>
      <c r="P6" s="150" t="str">
        <f t="shared" ref="P6:T6" si="5">IF(P$17,"Actual","Forecast")</f>
        <v>Forecast</v>
      </c>
      <c r="Q6" s="150" t="str">
        <f t="shared" si="5"/>
        <v>Forecast</v>
      </c>
      <c r="R6" s="150" t="str">
        <f t="shared" si="5"/>
        <v>Forecast</v>
      </c>
      <c r="S6" s="150" t="str">
        <f t="shared" si="5"/>
        <v>Forecast</v>
      </c>
      <c r="T6" s="150" t="str">
        <f t="shared" si="5"/>
        <v>Forecast</v>
      </c>
    </row>
    <row r="7" spans="1:20" hidden="1" outlineLevel="3">
      <c r="B7" s="30" t="s">
        <v>101</v>
      </c>
      <c r="C7" s="30"/>
      <c r="D7" s="30"/>
      <c r="E7" s="30"/>
      <c r="F7" s="30"/>
      <c r="G7" s="30"/>
      <c r="H7" s="30"/>
      <c r="I7" s="30"/>
      <c r="J7" s="36">
        <f>EDATE(Ts_Start_Date,(J10-1)*Ts_Mths_In_Yr)</f>
        <v>43101</v>
      </c>
      <c r="K7" s="36">
        <f>EDATE(Ts_Start_Date,(K10-1)*Ts_Mths_In_Yr)</f>
        <v>43466</v>
      </c>
      <c r="L7" s="36">
        <f>EDATE(Ts_Start_Date,(L10-1)*Ts_Mths_In_Yr)</f>
        <v>43831</v>
      </c>
      <c r="M7" s="36">
        <f>EDATE(Ts_Start_Date,(M10-1)*Ts_Mths_In_Yr)</f>
        <v>44197</v>
      </c>
      <c r="N7" s="36">
        <f>EDATE(Ts_Start_Date,(N10-1)*Ts_Mths_In_Yr)</f>
        <v>44562</v>
      </c>
      <c r="O7" s="36">
        <f>Ts_Stub_Start_Date</f>
        <v>44927</v>
      </c>
      <c r="P7" s="36">
        <f>EDATE(Ts_Forecast_Reg_Start_Date,(P16-1)*Ts_Mths_In_Yr)</f>
        <v>45108</v>
      </c>
      <c r="Q7" s="36">
        <f>EDATE(Ts_Forecast_Reg_Start_Date,(Q16-1)*Ts_Mths_In_Yr)</f>
        <v>45474</v>
      </c>
      <c r="R7" s="36">
        <f>EDATE(Ts_Forecast_Reg_Start_Date,(R16-1)*Ts_Mths_In_Yr)</f>
        <v>45839</v>
      </c>
      <c r="S7" s="36">
        <f>EDATE(Ts_Forecast_Reg_Start_Date,(S16-1)*Ts_Mths_In_Yr)</f>
        <v>46204</v>
      </c>
      <c r="T7" s="36">
        <f>EDATE(Ts_Forecast_Reg_Start_Date,(T16-1)*Ts_Mths_In_Yr)</f>
        <v>46569</v>
      </c>
    </row>
    <row r="8" spans="1:20" hidden="1" outlineLevel="3">
      <c r="B8" s="30" t="s">
        <v>102</v>
      </c>
      <c r="C8" s="30"/>
      <c r="D8" s="30"/>
      <c r="E8" s="30"/>
      <c r="F8" s="30"/>
      <c r="G8" s="30"/>
      <c r="H8" s="30"/>
      <c r="I8" s="30"/>
      <c r="J8" s="36">
        <f>EOMONTH(J7,Ts_Mths_In_Yr-1)</f>
        <v>43465</v>
      </c>
      <c r="K8" s="36">
        <f>EOMONTH(K7,Ts_Mths_In_Yr-1)</f>
        <v>43830</v>
      </c>
      <c r="L8" s="36">
        <f>EOMONTH(L7,Ts_Mths_In_Yr-1)</f>
        <v>44196</v>
      </c>
      <c r="M8" s="36">
        <f>EOMONTH(M7,Ts_Mths_In_Yr-1)</f>
        <v>44561</v>
      </c>
      <c r="N8" s="36">
        <f>EOMONTH(N7,Ts_Mths_In_Yr-1)</f>
        <v>44926</v>
      </c>
      <c r="O8" s="36">
        <f>EOMONTH(O7,Ts_Stub_Length-1)</f>
        <v>45107</v>
      </c>
      <c r="P8" s="36">
        <f>EOMONTH(P7,Ts_Mths_In_Yr-1)</f>
        <v>45473</v>
      </c>
      <c r="Q8" s="36">
        <f>EOMONTH(Q7,Ts_Mths_In_Yr-1)</f>
        <v>45838</v>
      </c>
      <c r="R8" s="36">
        <f>EOMONTH(R7,Ts_Mths_In_Yr-1)</f>
        <v>46203</v>
      </c>
      <c r="S8" s="36">
        <f>EOMONTH(S7,Ts_Mths_In_Yr-1)</f>
        <v>46568</v>
      </c>
      <c r="T8" s="36">
        <f>EOMONTH(T7,Ts_Mths_In_Yr-1)</f>
        <v>46934</v>
      </c>
    </row>
    <row r="9" spans="1:20" hidden="1" outlineLevel="3">
      <c r="B9" s="30" t="s">
        <v>87</v>
      </c>
      <c r="C9" s="30"/>
      <c r="D9" s="30"/>
      <c r="E9" s="30"/>
      <c r="F9" s="30"/>
      <c r="G9" s="30"/>
      <c r="H9" s="30"/>
      <c r="I9" s="30"/>
      <c r="J9" s="14">
        <f t="shared" ref="J9:N9" si="6">DATEDIF(J7,J8,"m")+1</f>
        <v>12</v>
      </c>
      <c r="K9" s="14">
        <f t="shared" si="6"/>
        <v>12</v>
      </c>
      <c r="L9" s="14">
        <f t="shared" si="6"/>
        <v>12</v>
      </c>
      <c r="M9" s="14">
        <f t="shared" si="6"/>
        <v>12</v>
      </c>
      <c r="N9" s="14">
        <f t="shared" si="6"/>
        <v>12</v>
      </c>
      <c r="O9" s="14">
        <f>DATEDIF(O7,O8,"m")+1</f>
        <v>6</v>
      </c>
      <c r="P9" s="38">
        <f t="shared" ref="P9:T9" si="7">DATEDIF(P7,P8,"m")+1</f>
        <v>12</v>
      </c>
      <c r="Q9" s="38">
        <f t="shared" si="7"/>
        <v>12</v>
      </c>
      <c r="R9" s="38">
        <f t="shared" si="7"/>
        <v>12</v>
      </c>
      <c r="S9" s="38">
        <f t="shared" si="7"/>
        <v>12</v>
      </c>
      <c r="T9" s="38">
        <f t="shared" si="7"/>
        <v>12</v>
      </c>
    </row>
    <row r="10" spans="1:20" hidden="1" outlineLevel="3">
      <c r="B10" s="30" t="s">
        <v>72</v>
      </c>
      <c r="C10" s="30"/>
      <c r="D10" s="30"/>
      <c r="E10" s="30"/>
      <c r="F10" s="30"/>
      <c r="G10" s="30"/>
      <c r="H10" s="30"/>
      <c r="I10" s="30"/>
      <c r="J10" s="40">
        <f>COLUMNS($J$10:J10)</f>
        <v>1</v>
      </c>
      <c r="K10" s="40">
        <f>COLUMNS($J$10:K10)</f>
        <v>2</v>
      </c>
      <c r="L10" s="40">
        <f>COLUMNS($J$10:L10)</f>
        <v>3</v>
      </c>
      <c r="M10" s="40">
        <f>COLUMNS($J$10:M10)</f>
        <v>4</v>
      </c>
      <c r="N10" s="40">
        <f>COLUMNS($J$10:N10)</f>
        <v>5</v>
      </c>
      <c r="O10" s="40">
        <f>COLUMNS($J$10:O10)</f>
        <v>6</v>
      </c>
      <c r="P10" s="40">
        <f>COLUMNS($J$10:P10)</f>
        <v>7</v>
      </c>
      <c r="Q10" s="40">
        <f>COLUMNS($J$10:Q10)</f>
        <v>8</v>
      </c>
      <c r="R10" s="40">
        <f>COLUMNS($J$10:R10)</f>
        <v>9</v>
      </c>
      <c r="S10" s="40">
        <f>COLUMNS($J$10:S10)</f>
        <v>10</v>
      </c>
      <c r="T10" s="40">
        <f>COLUMNS($J$10:T10)</f>
        <v>11</v>
      </c>
    </row>
    <row r="11" spans="1:20" hidden="1" outlineLevel="3">
      <c r="B11" s="30" t="s">
        <v>76</v>
      </c>
      <c r="C11" s="30"/>
      <c r="D11" s="30"/>
      <c r="E11" s="30"/>
      <c r="F11" s="30"/>
      <c r="G11" s="30"/>
      <c r="H11" s="30"/>
      <c r="I11" s="30"/>
      <c r="J11" s="40">
        <f t="shared" ref="J11:N11" si="8">(J12&lt;&gt;0)*1</f>
        <v>1</v>
      </c>
      <c r="K11" s="40">
        <f t="shared" si="8"/>
        <v>1</v>
      </c>
      <c r="L11" s="40">
        <f t="shared" si="8"/>
        <v>1</v>
      </c>
      <c r="M11" s="40">
        <f t="shared" si="8"/>
        <v>1</v>
      </c>
      <c r="N11" s="40">
        <f t="shared" si="8"/>
        <v>1</v>
      </c>
      <c r="O11" s="45">
        <v>0</v>
      </c>
      <c r="P11" s="45">
        <v>0</v>
      </c>
      <c r="Q11" s="45">
        <v>0</v>
      </c>
      <c r="R11" s="45">
        <v>0</v>
      </c>
      <c r="S11" s="45">
        <v>0</v>
      </c>
      <c r="T11" s="45">
        <v>0</v>
      </c>
    </row>
    <row r="12" spans="1:20" hidden="1" outlineLevel="3">
      <c r="B12" s="30" t="s">
        <v>96</v>
      </c>
      <c r="C12" s="30"/>
      <c r="D12" s="30"/>
      <c r="E12" s="30"/>
      <c r="F12" s="30"/>
      <c r="G12" s="30"/>
      <c r="H12" s="30"/>
      <c r="I12" s="30"/>
      <c r="J12" s="40">
        <f>COLUMNS($J$10:J10)</f>
        <v>1</v>
      </c>
      <c r="K12" s="40">
        <f>COLUMNS($J$10:K10)</f>
        <v>2</v>
      </c>
      <c r="L12" s="40">
        <f>COLUMNS($J$10:L10)</f>
        <v>3</v>
      </c>
      <c r="M12" s="40">
        <f>COLUMNS($J$10:M10)</f>
        <v>4</v>
      </c>
      <c r="N12" s="40">
        <f>COLUMNS($J$10:N10)</f>
        <v>5</v>
      </c>
      <c r="O12" s="45">
        <v>0</v>
      </c>
      <c r="P12" s="45">
        <v>0</v>
      </c>
      <c r="Q12" s="45">
        <v>0</v>
      </c>
      <c r="R12" s="45">
        <v>0</v>
      </c>
      <c r="S12" s="45">
        <v>0</v>
      </c>
      <c r="T12" s="45">
        <v>0</v>
      </c>
    </row>
    <row r="13" spans="1:20" hidden="1" outlineLevel="3">
      <c r="B13" s="30" t="s">
        <v>79</v>
      </c>
      <c r="C13" s="30"/>
      <c r="D13" s="30"/>
      <c r="E13" s="30"/>
      <c r="F13" s="30"/>
      <c r="G13" s="30"/>
      <c r="H13" s="30"/>
      <c r="I13" s="30"/>
      <c r="J13" s="45">
        <v>0</v>
      </c>
      <c r="K13" s="45">
        <v>0</v>
      </c>
      <c r="L13" s="45">
        <v>0</v>
      </c>
      <c r="M13" s="45">
        <v>0</v>
      </c>
      <c r="N13" s="45">
        <v>0</v>
      </c>
      <c r="O13" s="40">
        <f>(O14&lt;&gt;0)*1</f>
        <v>1</v>
      </c>
      <c r="P13" s="45">
        <v>0</v>
      </c>
      <c r="Q13" s="45">
        <v>0</v>
      </c>
      <c r="R13" s="45">
        <v>0</v>
      </c>
      <c r="S13" s="45">
        <v>0</v>
      </c>
      <c r="T13" s="45">
        <v>0</v>
      </c>
    </row>
    <row r="14" spans="1:20" hidden="1" outlineLevel="3">
      <c r="B14" s="30" t="s">
        <v>97</v>
      </c>
      <c r="C14" s="30"/>
      <c r="D14" s="30"/>
      <c r="E14" s="30"/>
      <c r="F14" s="30"/>
      <c r="G14" s="30"/>
      <c r="H14" s="30"/>
      <c r="I14" s="30"/>
      <c r="J14" s="45">
        <v>0</v>
      </c>
      <c r="K14" s="45">
        <v>0</v>
      </c>
      <c r="L14" s="45">
        <v>0</v>
      </c>
      <c r="M14" s="45">
        <v>0</v>
      </c>
      <c r="N14" s="45">
        <v>0</v>
      </c>
      <c r="O14" s="40">
        <f>COLUMNS($O$14:O14)</f>
        <v>1</v>
      </c>
      <c r="P14" s="45">
        <v>0</v>
      </c>
      <c r="Q14" s="45">
        <v>0</v>
      </c>
      <c r="R14" s="45">
        <v>0</v>
      </c>
      <c r="S14" s="45">
        <v>0</v>
      </c>
      <c r="T14" s="45">
        <v>0</v>
      </c>
    </row>
    <row r="15" spans="1:20" hidden="1" outlineLevel="3">
      <c r="B15" s="30" t="s">
        <v>82</v>
      </c>
      <c r="C15" s="30"/>
      <c r="D15" s="30"/>
      <c r="E15" s="30"/>
      <c r="F15" s="30"/>
      <c r="G15" s="30"/>
      <c r="H15" s="30"/>
      <c r="I15" s="30"/>
      <c r="J15" s="45">
        <v>0</v>
      </c>
      <c r="K15" s="45">
        <v>0</v>
      </c>
      <c r="L15" s="45">
        <v>0</v>
      </c>
      <c r="M15" s="45">
        <v>0</v>
      </c>
      <c r="N15" s="45">
        <v>0</v>
      </c>
      <c r="O15" s="45">
        <v>0</v>
      </c>
      <c r="P15" s="39">
        <f t="shared" ref="P15:T15" si="9">(P16&lt;&gt;0)*1</f>
        <v>1</v>
      </c>
      <c r="Q15" s="39">
        <f t="shared" si="9"/>
        <v>1</v>
      </c>
      <c r="R15" s="39">
        <f t="shared" si="9"/>
        <v>1</v>
      </c>
      <c r="S15" s="39">
        <f t="shared" si="9"/>
        <v>1</v>
      </c>
      <c r="T15" s="39">
        <f t="shared" si="9"/>
        <v>1</v>
      </c>
    </row>
    <row r="16" spans="1:20" hidden="1" outlineLevel="3">
      <c r="B16" s="30" t="s">
        <v>98</v>
      </c>
      <c r="C16" s="30"/>
      <c r="D16" s="30"/>
      <c r="E16" s="30"/>
      <c r="F16" s="30"/>
      <c r="G16" s="30"/>
      <c r="H16" s="30"/>
      <c r="I16" s="30"/>
      <c r="J16" s="45">
        <v>0</v>
      </c>
      <c r="K16" s="45">
        <v>0</v>
      </c>
      <c r="L16" s="45">
        <v>0</v>
      </c>
      <c r="M16" s="45">
        <v>0</v>
      </c>
      <c r="N16" s="45">
        <v>0</v>
      </c>
      <c r="O16" s="45">
        <v>0</v>
      </c>
      <c r="P16" s="39">
        <f>COLUMNS($P$16:P16)</f>
        <v>1</v>
      </c>
      <c r="Q16" s="39">
        <f>COLUMNS($P$16:Q16)</f>
        <v>2</v>
      </c>
      <c r="R16" s="39">
        <f>COLUMNS($P$16:R16)</f>
        <v>3</v>
      </c>
      <c r="S16" s="39">
        <f>COLUMNS($P$16:S16)</f>
        <v>4</v>
      </c>
      <c r="T16" s="39">
        <f>COLUMNS($P$16:T16)</f>
        <v>5</v>
      </c>
    </row>
    <row r="17" spans="2:20" hidden="1" outlineLevel="3">
      <c r="B17" s="30" t="s">
        <v>206</v>
      </c>
      <c r="C17" s="30"/>
      <c r="D17" s="30"/>
      <c r="E17" s="30"/>
      <c r="F17" s="30"/>
      <c r="G17" s="30"/>
      <c r="H17" s="30"/>
      <c r="I17" s="30"/>
      <c r="J17" s="39">
        <f t="shared" ref="J17:T17" si="10">IF(J$5&lt;=Ts_Last_Actual_Year,1,0)</f>
        <v>1</v>
      </c>
      <c r="K17" s="39">
        <f t="shared" si="10"/>
        <v>1</v>
      </c>
      <c r="L17" s="39">
        <f t="shared" si="10"/>
        <v>1</v>
      </c>
      <c r="M17" s="39">
        <f t="shared" si="10"/>
        <v>1</v>
      </c>
      <c r="N17" s="39">
        <f t="shared" si="10"/>
        <v>0</v>
      </c>
      <c r="O17" s="39">
        <f t="shared" si="10"/>
        <v>0</v>
      </c>
      <c r="P17" s="39">
        <f t="shared" si="10"/>
        <v>0</v>
      </c>
      <c r="Q17" s="39">
        <f t="shared" si="10"/>
        <v>0</v>
      </c>
      <c r="R17" s="39">
        <f t="shared" si="10"/>
        <v>0</v>
      </c>
      <c r="S17" s="39">
        <f t="shared" si="10"/>
        <v>0</v>
      </c>
      <c r="T17" s="39">
        <f t="shared" si="10"/>
        <v>0</v>
      </c>
    </row>
    <row r="18" spans="2:20" hidden="1" outlineLevel="3">
      <c r="B18" s="30" t="s">
        <v>207</v>
      </c>
      <c r="C18" s="30"/>
      <c r="D18" s="30"/>
      <c r="E18" s="30"/>
      <c r="F18" s="30"/>
      <c r="G18" s="30"/>
      <c r="H18" s="30"/>
      <c r="I18" s="30"/>
      <c r="J18" s="39">
        <f t="shared" ref="J18:T18" si="11">IF(J$5&gt;Ts_Last_Actual_Year,1,0)</f>
        <v>0</v>
      </c>
      <c r="K18" s="39">
        <f t="shared" si="11"/>
        <v>0</v>
      </c>
      <c r="L18" s="39">
        <f t="shared" si="11"/>
        <v>0</v>
      </c>
      <c r="M18" s="39">
        <f t="shared" si="11"/>
        <v>0</v>
      </c>
      <c r="N18" s="39">
        <f t="shared" si="11"/>
        <v>1</v>
      </c>
      <c r="O18" s="40">
        <f t="shared" si="11"/>
        <v>1</v>
      </c>
      <c r="P18" s="40">
        <f t="shared" si="11"/>
        <v>1</v>
      </c>
      <c r="Q18" s="40">
        <f t="shared" si="11"/>
        <v>1</v>
      </c>
      <c r="R18" s="40">
        <f t="shared" si="11"/>
        <v>1</v>
      </c>
      <c r="S18" s="40">
        <f t="shared" si="11"/>
        <v>1</v>
      </c>
      <c r="T18" s="40">
        <f t="shared" si="11"/>
        <v>1</v>
      </c>
    </row>
    <row r="19" spans="2:20" hidden="1" outlineLevel="3">
      <c r="B19" s="30" t="s">
        <v>208</v>
      </c>
      <c r="C19" s="30"/>
      <c r="D19" s="30"/>
      <c r="E19" s="30"/>
      <c r="F19" s="30"/>
      <c r="G19" s="30"/>
      <c r="H19" s="30"/>
      <c r="I19" s="30"/>
      <c r="J19" s="39">
        <f>SUM($J18:J18)</f>
        <v>0</v>
      </c>
      <c r="K19" s="39">
        <f>SUM($J18:K18)</f>
        <v>0</v>
      </c>
      <c r="L19" s="39">
        <f>SUM($J18:L18)</f>
        <v>0</v>
      </c>
      <c r="M19" s="39">
        <f>SUM($J18:M18)</f>
        <v>0</v>
      </c>
      <c r="N19" s="39">
        <f>SUM($J18:N18)</f>
        <v>1</v>
      </c>
      <c r="O19" s="40">
        <f>SUM($J18:O18)</f>
        <v>2</v>
      </c>
      <c r="P19" s="40">
        <f>SUM($J18:P18)</f>
        <v>3</v>
      </c>
      <c r="Q19" s="40">
        <f>SUM($J18:Q18)</f>
        <v>4</v>
      </c>
      <c r="R19" s="40">
        <f>SUM($J18:R18)</f>
        <v>5</v>
      </c>
      <c r="S19" s="40">
        <f>SUM($J18:S18)</f>
        <v>6</v>
      </c>
      <c r="T19" s="40">
        <f>SUM($J18:T18)</f>
        <v>7</v>
      </c>
    </row>
    <row r="20" spans="2:20" hidden="1" outlineLevel="3">
      <c r="B20" s="30" t="s">
        <v>481</v>
      </c>
      <c r="C20" s="30"/>
      <c r="D20" s="30"/>
      <c r="E20" s="30"/>
      <c r="F20" s="30"/>
      <c r="G20" s="30"/>
      <c r="H20" s="30"/>
      <c r="I20" s="30"/>
      <c r="J20" s="38">
        <f t="shared" ref="J20:N20" si="12">J9/12</f>
        <v>1</v>
      </c>
      <c r="K20" s="38">
        <f t="shared" si="12"/>
        <v>1</v>
      </c>
      <c r="L20" s="38">
        <f t="shared" si="12"/>
        <v>1</v>
      </c>
      <c r="M20" s="38">
        <f t="shared" si="12"/>
        <v>1</v>
      </c>
      <c r="N20" s="38">
        <f t="shared" si="12"/>
        <v>1</v>
      </c>
      <c r="O20" s="38">
        <f>O9/12</f>
        <v>0.5</v>
      </c>
      <c r="P20" s="38">
        <f t="shared" ref="P20:T20" si="13">P9/12</f>
        <v>1</v>
      </c>
      <c r="Q20" s="38">
        <f t="shared" si="13"/>
        <v>1</v>
      </c>
      <c r="R20" s="38">
        <f t="shared" si="13"/>
        <v>1</v>
      </c>
      <c r="S20" s="38">
        <f t="shared" si="13"/>
        <v>1</v>
      </c>
      <c r="T20" s="38">
        <f t="shared" si="13"/>
        <v>1</v>
      </c>
    </row>
    <row r="21" spans="2:20" hidden="1" outlineLevel="3">
      <c r="B21" s="30"/>
      <c r="C21" s="30"/>
      <c r="D21" s="30"/>
      <c r="E21" s="30"/>
      <c r="F21" s="30"/>
      <c r="G21" s="30"/>
      <c r="H21" s="30"/>
      <c r="I21" s="30"/>
      <c r="J21" s="30"/>
      <c r="K21" s="30"/>
      <c r="L21" s="30"/>
      <c r="M21" s="30"/>
      <c r="N21" s="30"/>
      <c r="O21" s="30"/>
      <c r="P21" s="30"/>
      <c r="Q21" s="30"/>
      <c r="R21" s="30"/>
      <c r="S21" s="30"/>
      <c r="T21" s="30"/>
    </row>
    <row r="22" spans="2:20" collapsed="1"/>
    <row r="23" spans="2:20">
      <c r="B23" s="2" t="s">
        <v>388</v>
      </c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</row>
    <row r="24" spans="2:20" outlineLevel="1"/>
    <row r="25" spans="2:20" ht="14" outlineLevel="1">
      <c r="C25" s="77" t="s">
        <v>391</v>
      </c>
    </row>
    <row r="26" spans="2:20" outlineLevel="1"/>
    <row r="27" spans="2:20" outlineLevel="1">
      <c r="D27" s="105" t="s">
        <v>393</v>
      </c>
      <c r="F27" s="166">
        <v>1</v>
      </c>
    </row>
    <row r="28" spans="2:20" outlineLevel="1"/>
    <row r="29" spans="2:20" outlineLevel="1">
      <c r="F29" s="241" t="s">
        <v>389</v>
      </c>
      <c r="G29" s="241"/>
    </row>
    <row r="30" spans="2:20" outlineLevel="1">
      <c r="F30" s="241" t="s">
        <v>390</v>
      </c>
      <c r="G30" s="241"/>
    </row>
    <row r="31" spans="2:20" outlineLevel="1"/>
    <row r="32" spans="2:20" outlineLevel="1"/>
    <row r="33" spans="3:20" ht="14" outlineLevel="1">
      <c r="C33" s="77" t="s">
        <v>178</v>
      </c>
    </row>
    <row r="34" spans="3:20" ht="5.9" customHeight="1" outlineLevel="1"/>
    <row r="35" spans="3:20" outlineLevel="1">
      <c r="D35" s="37" t="s">
        <v>389</v>
      </c>
    </row>
    <row r="36" spans="3:20" ht="5.9" customHeight="1" outlineLevel="1"/>
    <row r="37" spans="3:20" outlineLevel="1">
      <c r="E37" s="37" t="s">
        <v>119</v>
      </c>
    </row>
    <row r="38" spans="3:20" ht="5.9" customHeight="1" outlineLevel="1"/>
    <row r="39" spans="3:20" outlineLevel="1">
      <c r="F39" s="51" t="str">
        <f>Work_Codes!D358</f>
        <v>Residential Connections</v>
      </c>
      <c r="J39" s="163">
        <v>0</v>
      </c>
      <c r="K39" s="163">
        <v>0</v>
      </c>
      <c r="L39" s="163">
        <v>0</v>
      </c>
      <c r="M39" s="163">
        <v>22241</v>
      </c>
      <c r="N39" s="163">
        <v>22241.038882989698</v>
      </c>
      <c r="O39" s="164">
        <f>22241/2</f>
        <v>11120.5</v>
      </c>
      <c r="P39" s="163">
        <v>22224.051847281844</v>
      </c>
      <c r="Q39" s="163">
        <v>22207.064811573964</v>
      </c>
      <c r="R39" s="163">
        <v>22190.077775866084</v>
      </c>
      <c r="S39" s="163">
        <v>22173.090740158204</v>
      </c>
      <c r="T39" s="163">
        <v>22156.103704450325</v>
      </c>
    </row>
    <row r="40" spans="3:20" outlineLevel="1">
      <c r="F40" s="51" t="str">
        <f>Work_Codes!D359</f>
        <v>Residential Connections Category 2</v>
      </c>
      <c r="J40" s="163">
        <v>0</v>
      </c>
      <c r="K40" s="163">
        <v>0</v>
      </c>
      <c r="L40" s="163">
        <v>0</v>
      </c>
      <c r="M40" s="163">
        <v>0</v>
      </c>
      <c r="N40" s="163">
        <v>0</v>
      </c>
      <c r="O40" s="163">
        <v>0</v>
      </c>
      <c r="P40" s="163">
        <v>0</v>
      </c>
      <c r="Q40" s="163">
        <v>0</v>
      </c>
      <c r="R40" s="163">
        <v>0</v>
      </c>
      <c r="S40" s="163">
        <v>0</v>
      </c>
      <c r="T40" s="163">
        <v>0</v>
      </c>
    </row>
    <row r="41" spans="3:20" outlineLevel="1"/>
    <row r="42" spans="3:20" outlineLevel="1">
      <c r="E42" s="37" t="s">
        <v>286</v>
      </c>
    </row>
    <row r="43" spans="3:20" ht="5.9" customHeight="1" outlineLevel="1"/>
    <row r="44" spans="3:20" outlineLevel="1">
      <c r="F44" s="161" t="str">
        <f>Work_Codes!D363</f>
        <v>Shipper: Residential Connections FY21-</v>
      </c>
      <c r="J44" s="148">
        <v>0</v>
      </c>
      <c r="K44" s="148">
        <v>0</v>
      </c>
      <c r="L44" s="148">
        <v>0</v>
      </c>
      <c r="M44" s="148">
        <v>-709089</v>
      </c>
      <c r="N44" s="148">
        <v>-1626371.8551699999</v>
      </c>
      <c r="O44" s="148">
        <v>-1725580.5383353697</v>
      </c>
      <c r="P44" s="148">
        <v>-1830840.9511738271</v>
      </c>
      <c r="Q44" s="148">
        <v>-1942522.2491954304</v>
      </c>
      <c r="R44" s="148">
        <v>-2061016.1063963515</v>
      </c>
      <c r="S44" s="148">
        <v>-1944793.1436743063</v>
      </c>
      <c r="T44" s="148">
        <v>-1944793.1436743063</v>
      </c>
    </row>
    <row r="45" spans="3:20" outlineLevel="1">
      <c r="F45" s="161" t="str">
        <f>Work_Codes!D364</f>
        <v>Shipper: Residential Connections</v>
      </c>
      <c r="J45" s="148">
        <v>0</v>
      </c>
      <c r="K45" s="148">
        <v>0</v>
      </c>
      <c r="L45" s="148">
        <v>0</v>
      </c>
      <c r="M45" s="148">
        <v>-170146</v>
      </c>
      <c r="N45" s="148">
        <v>0</v>
      </c>
      <c r="O45" s="148">
        <v>0</v>
      </c>
      <c r="P45" s="148">
        <v>0</v>
      </c>
      <c r="Q45" s="148">
        <v>0</v>
      </c>
      <c r="R45" s="148">
        <v>0</v>
      </c>
      <c r="S45" s="148">
        <v>0</v>
      </c>
      <c r="T45" s="148">
        <v>0</v>
      </c>
    </row>
    <row r="46" spans="3:20" outlineLevel="1">
      <c r="F46" s="161" t="str">
        <f>Work_Codes!D365</f>
        <v>New Estates - Residential</v>
      </c>
      <c r="J46" s="148">
        <v>0</v>
      </c>
      <c r="K46" s="148">
        <v>0</v>
      </c>
      <c r="L46" s="148">
        <v>0</v>
      </c>
      <c r="M46" s="148">
        <v>-505203.58</v>
      </c>
      <c r="N46" s="148">
        <v>0</v>
      </c>
      <c r="O46" s="148">
        <v>0</v>
      </c>
      <c r="P46" s="148">
        <v>0</v>
      </c>
      <c r="Q46" s="148">
        <v>0</v>
      </c>
      <c r="R46" s="148">
        <v>0</v>
      </c>
      <c r="S46" s="148">
        <v>0</v>
      </c>
      <c r="T46" s="148">
        <v>0</v>
      </c>
    </row>
    <row r="47" spans="3:20" outlineLevel="1">
      <c r="F47" s="161" t="str">
        <f>Work_Codes!D366</f>
        <v>New Estates - Residential</v>
      </c>
      <c r="J47" s="148">
        <v>0</v>
      </c>
      <c r="K47" s="148">
        <v>0</v>
      </c>
      <c r="L47" s="148">
        <v>0</v>
      </c>
      <c r="M47" s="148">
        <v>-332199.95</v>
      </c>
      <c r="N47" s="148">
        <v>0</v>
      </c>
      <c r="O47" s="148">
        <v>0</v>
      </c>
      <c r="P47" s="148">
        <v>0</v>
      </c>
      <c r="Q47" s="148">
        <v>0</v>
      </c>
      <c r="R47" s="148">
        <v>0</v>
      </c>
      <c r="S47" s="148">
        <v>0</v>
      </c>
      <c r="T47" s="148">
        <v>0</v>
      </c>
    </row>
    <row r="48" spans="3:20" outlineLevel="1">
      <c r="F48" s="161" t="str">
        <f>Work_Codes!D367</f>
        <v>New Estates - Residential FY21-</v>
      </c>
      <c r="J48" s="148">
        <v>0</v>
      </c>
      <c r="K48" s="148">
        <v>0</v>
      </c>
      <c r="L48" s="148">
        <v>0</v>
      </c>
      <c r="M48" s="148">
        <v>-3872</v>
      </c>
      <c r="N48" s="148">
        <v>-1285156.49388</v>
      </c>
      <c r="O48" s="148">
        <v>-1363551.0400066799</v>
      </c>
      <c r="P48" s="148">
        <v>-1446727.6534470874</v>
      </c>
      <c r="Q48" s="148">
        <v>-1534978.0403073595</v>
      </c>
      <c r="R48" s="148">
        <v>-1628611.7007661085</v>
      </c>
      <c r="S48" s="148">
        <v>-1536772.4975694958</v>
      </c>
      <c r="T48" s="148">
        <v>-1536772.4975694958</v>
      </c>
    </row>
    <row r="49" spans="4:20" outlineLevel="1">
      <c r="F49" s="161" t="str">
        <f>Work_Codes!D368</f>
        <v>Residential Meter Installs FY21-</v>
      </c>
      <c r="J49" s="148">
        <v>0</v>
      </c>
      <c r="K49" s="148">
        <v>0</v>
      </c>
      <c r="L49" s="148">
        <v>0</v>
      </c>
      <c r="M49" s="148">
        <v>-2256</v>
      </c>
      <c r="N49" s="148">
        <v>0</v>
      </c>
      <c r="O49" s="148">
        <v>0</v>
      </c>
      <c r="P49" s="148">
        <v>0</v>
      </c>
      <c r="Q49" s="148">
        <v>0</v>
      </c>
      <c r="R49" s="148">
        <v>0</v>
      </c>
      <c r="S49" s="148">
        <v>0</v>
      </c>
      <c r="T49" s="148">
        <v>0</v>
      </c>
    </row>
    <row r="50" spans="4:20" outlineLevel="1"/>
    <row r="51" spans="4:20" outlineLevel="1">
      <c r="D51" s="37" t="s">
        <v>392</v>
      </c>
    </row>
    <row r="52" spans="4:20" ht="5.9" customHeight="1" outlineLevel="1"/>
    <row r="53" spans="4:20" outlineLevel="1">
      <c r="E53" s="37" t="str">
        <f>$E$37</f>
        <v>Volumes</v>
      </c>
      <c r="I53" s="165">
        <v>0.95</v>
      </c>
    </row>
    <row r="54" spans="4:20" ht="5.9" customHeight="1" outlineLevel="1"/>
    <row r="55" spans="4:20" outlineLevel="1">
      <c r="F55" s="161" t="str">
        <f>Work_Codes!D358</f>
        <v>Residential Connections</v>
      </c>
      <c r="J55" s="163">
        <v>0</v>
      </c>
      <c r="K55" s="163">
        <v>0</v>
      </c>
      <c r="L55" s="163">
        <v>0</v>
      </c>
      <c r="M55" s="162">
        <f>M39</f>
        <v>22241</v>
      </c>
      <c r="N55" s="162">
        <f t="shared" ref="N55:O55" si="14">N39</f>
        <v>22241.038882989698</v>
      </c>
      <c r="O55" s="162">
        <f t="shared" si="14"/>
        <v>11120.5</v>
      </c>
      <c r="P55" s="162">
        <f>P39*$I$53</f>
        <v>21112.84925491775</v>
      </c>
      <c r="Q55" s="162">
        <f t="shared" ref="Q55:T55" si="15">Q39*$I$53</f>
        <v>21096.711570995263</v>
      </c>
      <c r="R55" s="162">
        <f t="shared" si="15"/>
        <v>21080.57388707278</v>
      </c>
      <c r="S55" s="162">
        <f t="shared" si="15"/>
        <v>21064.436203150293</v>
      </c>
      <c r="T55" s="162">
        <f t="shared" si="15"/>
        <v>21048.298519227807</v>
      </c>
    </row>
    <row r="56" spans="4:20" outlineLevel="1">
      <c r="F56" s="161" t="str">
        <f>Work_Codes!D359</f>
        <v>Residential Connections Category 2</v>
      </c>
      <c r="J56" s="163">
        <v>0</v>
      </c>
      <c r="K56" s="163">
        <v>0</v>
      </c>
      <c r="L56" s="163">
        <v>0</v>
      </c>
      <c r="M56" s="163">
        <v>0</v>
      </c>
      <c r="N56" s="163">
        <v>0</v>
      </c>
      <c r="O56" s="163">
        <v>0</v>
      </c>
      <c r="P56" s="163">
        <v>0</v>
      </c>
      <c r="Q56" s="163">
        <v>0</v>
      </c>
      <c r="R56" s="163">
        <v>0</v>
      </c>
      <c r="S56" s="163">
        <v>0</v>
      </c>
      <c r="T56" s="163">
        <v>0</v>
      </c>
    </row>
    <row r="57" spans="4:20" outlineLevel="1"/>
    <row r="58" spans="4:20" outlineLevel="1">
      <c r="E58" s="37" t="str">
        <f>E42</f>
        <v>Customer Connections</v>
      </c>
      <c r="I58" s="165">
        <v>2</v>
      </c>
    </row>
    <row r="59" spans="4:20" ht="5.9" customHeight="1" outlineLevel="1"/>
    <row r="60" spans="4:20" outlineLevel="1">
      <c r="F60" s="161" t="str">
        <f>Work_Codes!D363</f>
        <v>Shipper: Residential Connections FY21-</v>
      </c>
      <c r="J60" s="148">
        <v>0</v>
      </c>
      <c r="K60" s="148">
        <v>0</v>
      </c>
      <c r="L60" s="148">
        <v>0</v>
      </c>
      <c r="M60" s="156">
        <f t="shared" ref="M60:O65" si="16">M44</f>
        <v>-709089</v>
      </c>
      <c r="N60" s="156">
        <f t="shared" si="16"/>
        <v>-1626371.8551699999</v>
      </c>
      <c r="O60" s="156">
        <f t="shared" si="16"/>
        <v>-1725580.5383353697</v>
      </c>
      <c r="P60" s="156">
        <f t="shared" ref="P60:S60" si="17">O44*$I$58</f>
        <v>-3451161.0766707393</v>
      </c>
      <c r="Q60" s="156">
        <f t="shared" si="17"/>
        <v>-3661681.9023476541</v>
      </c>
      <c r="R60" s="156">
        <f t="shared" si="17"/>
        <v>-3885044.4983908609</v>
      </c>
      <c r="S60" s="156">
        <f t="shared" si="17"/>
        <v>-4122032.212792703</v>
      </c>
      <c r="T60" s="156">
        <f>S44*$I$58</f>
        <v>-3889586.2873486127</v>
      </c>
    </row>
    <row r="61" spans="4:20" outlineLevel="1">
      <c r="F61" s="161" t="str">
        <f>Work_Codes!D364</f>
        <v>Shipper: Residential Connections</v>
      </c>
      <c r="J61" s="148">
        <v>0</v>
      </c>
      <c r="K61" s="148">
        <v>0</v>
      </c>
      <c r="L61" s="148">
        <v>0</v>
      </c>
      <c r="M61" s="156">
        <f t="shared" si="16"/>
        <v>-170146</v>
      </c>
      <c r="N61" s="156">
        <f t="shared" si="16"/>
        <v>0</v>
      </c>
      <c r="O61" s="156">
        <f t="shared" si="16"/>
        <v>0</v>
      </c>
      <c r="P61" s="148">
        <v>0</v>
      </c>
      <c r="Q61" s="148">
        <v>0</v>
      </c>
      <c r="R61" s="148">
        <v>0</v>
      </c>
      <c r="S61" s="148">
        <v>0</v>
      </c>
      <c r="T61" s="148">
        <v>0</v>
      </c>
    </row>
    <row r="62" spans="4:20" outlineLevel="1">
      <c r="F62" s="161" t="str">
        <f>Work_Codes!D365</f>
        <v>New Estates - Residential</v>
      </c>
      <c r="J62" s="148">
        <v>0</v>
      </c>
      <c r="K62" s="148">
        <v>0</v>
      </c>
      <c r="L62" s="148">
        <v>0</v>
      </c>
      <c r="M62" s="156">
        <f t="shared" si="16"/>
        <v>-505203.58</v>
      </c>
      <c r="N62" s="156">
        <f t="shared" si="16"/>
        <v>0</v>
      </c>
      <c r="O62" s="156">
        <f t="shared" si="16"/>
        <v>0</v>
      </c>
      <c r="P62" s="148">
        <v>0</v>
      </c>
      <c r="Q62" s="148">
        <v>0</v>
      </c>
      <c r="R62" s="148">
        <v>0</v>
      </c>
      <c r="S62" s="148">
        <v>0</v>
      </c>
      <c r="T62" s="148">
        <v>0</v>
      </c>
    </row>
    <row r="63" spans="4:20" outlineLevel="1">
      <c r="F63" s="161" t="str">
        <f>Work_Codes!D366</f>
        <v>New Estates - Residential</v>
      </c>
      <c r="J63" s="148">
        <v>0</v>
      </c>
      <c r="K63" s="148">
        <v>0</v>
      </c>
      <c r="L63" s="148">
        <v>0</v>
      </c>
      <c r="M63" s="156">
        <f t="shared" si="16"/>
        <v>-332199.95</v>
      </c>
      <c r="N63" s="156">
        <f t="shared" si="16"/>
        <v>0</v>
      </c>
      <c r="O63" s="156">
        <f t="shared" si="16"/>
        <v>0</v>
      </c>
      <c r="P63" s="148">
        <v>0</v>
      </c>
      <c r="Q63" s="148">
        <v>0</v>
      </c>
      <c r="R63" s="148">
        <v>0</v>
      </c>
      <c r="S63" s="148">
        <v>0</v>
      </c>
      <c r="T63" s="148">
        <v>0</v>
      </c>
    </row>
    <row r="64" spans="4:20" outlineLevel="1">
      <c r="F64" s="161" t="str">
        <f>Work_Codes!D367</f>
        <v>New Estates - Residential FY21-</v>
      </c>
      <c r="J64" s="148">
        <v>0</v>
      </c>
      <c r="K64" s="148">
        <v>0</v>
      </c>
      <c r="L64" s="148">
        <v>0</v>
      </c>
      <c r="M64" s="156">
        <f t="shared" si="16"/>
        <v>-3872</v>
      </c>
      <c r="N64" s="156">
        <f t="shared" si="16"/>
        <v>-1285156.49388</v>
      </c>
      <c r="O64" s="156">
        <f t="shared" si="16"/>
        <v>-1363551.0400066799</v>
      </c>
      <c r="P64" s="156">
        <f t="shared" ref="P64:T64" si="18">O48*$I$58</f>
        <v>-2727102.0800133599</v>
      </c>
      <c r="Q64" s="156">
        <f t="shared" si="18"/>
        <v>-2893455.3068941748</v>
      </c>
      <c r="R64" s="156">
        <f t="shared" si="18"/>
        <v>-3069956.0806147191</v>
      </c>
      <c r="S64" s="156">
        <f t="shared" si="18"/>
        <v>-3257223.4015322169</v>
      </c>
      <c r="T64" s="156">
        <f t="shared" si="18"/>
        <v>-3073544.9951389916</v>
      </c>
    </row>
    <row r="65" spans="3:20" outlineLevel="1">
      <c r="F65" s="161" t="str">
        <f>Work_Codes!D368</f>
        <v>Residential Meter Installs FY21-</v>
      </c>
      <c r="J65" s="148">
        <v>0</v>
      </c>
      <c r="K65" s="148">
        <v>0</v>
      </c>
      <c r="L65" s="148">
        <v>0</v>
      </c>
      <c r="M65" s="156">
        <f t="shared" si="16"/>
        <v>-2256</v>
      </c>
      <c r="N65" s="156">
        <f t="shared" si="16"/>
        <v>0</v>
      </c>
      <c r="O65" s="156">
        <f t="shared" si="16"/>
        <v>0</v>
      </c>
      <c r="P65" s="148">
        <v>0</v>
      </c>
      <c r="Q65" s="148">
        <v>0</v>
      </c>
      <c r="R65" s="148">
        <v>0</v>
      </c>
      <c r="S65" s="148">
        <v>0</v>
      </c>
      <c r="T65" s="148">
        <v>0</v>
      </c>
    </row>
    <row r="66" spans="3:20" outlineLevel="1"/>
    <row r="67" spans="3:20" outlineLevel="1"/>
    <row r="68" spans="3:20" ht="14" outlineLevel="1">
      <c r="C68" s="77" t="s">
        <v>144</v>
      </c>
    </row>
    <row r="69" spans="3:20" ht="5.9" customHeight="1" outlineLevel="1"/>
    <row r="70" spans="3:20" outlineLevel="1">
      <c r="D70" s="37" t="s">
        <v>389</v>
      </c>
    </row>
    <row r="71" spans="3:20" ht="5.9" customHeight="1" outlineLevel="1"/>
    <row r="72" spans="3:20" outlineLevel="1">
      <c r="E72" s="37" t="str">
        <f>$E$37</f>
        <v>Volumes</v>
      </c>
    </row>
    <row r="73" spans="3:20" ht="5.9" customHeight="1" outlineLevel="1"/>
    <row r="74" spans="3:20" outlineLevel="1">
      <c r="F74" s="161" t="str">
        <f>Work_Codes!D319</f>
        <v>City Gate - New</v>
      </c>
      <c r="J74" s="99">
        <v>0</v>
      </c>
      <c r="K74" s="99">
        <v>0</v>
      </c>
      <c r="L74" s="99">
        <v>0</v>
      </c>
      <c r="M74" s="99">
        <v>0</v>
      </c>
      <c r="N74" s="99">
        <v>0</v>
      </c>
      <c r="O74" s="99">
        <v>0</v>
      </c>
      <c r="P74" s="99">
        <v>0</v>
      </c>
      <c r="Q74" s="99">
        <v>1</v>
      </c>
      <c r="R74" s="99">
        <v>0</v>
      </c>
      <c r="S74" s="99">
        <v>1</v>
      </c>
      <c r="T74" s="99">
        <v>1</v>
      </c>
    </row>
    <row r="75" spans="3:20" outlineLevel="1">
      <c r="F75" s="161" t="str">
        <f>Work_Codes!D320</f>
        <v>City Gate - Capacity Upgrade</v>
      </c>
      <c r="J75" s="99">
        <v>0</v>
      </c>
      <c r="K75" s="99">
        <v>0</v>
      </c>
      <c r="L75" s="99">
        <v>0</v>
      </c>
      <c r="M75" s="99">
        <v>0</v>
      </c>
      <c r="N75" s="99">
        <v>1</v>
      </c>
      <c r="O75" s="99">
        <v>0</v>
      </c>
      <c r="P75" s="99">
        <v>2</v>
      </c>
      <c r="Q75" s="99">
        <v>0</v>
      </c>
      <c r="R75" s="99">
        <v>2</v>
      </c>
      <c r="S75" s="99">
        <v>0</v>
      </c>
      <c r="T75" s="99">
        <v>0</v>
      </c>
    </row>
    <row r="76" spans="3:20" outlineLevel="1">
      <c r="F76" s="161" t="str">
        <f>Work_Codes!D321</f>
        <v>Field Regulator - New</v>
      </c>
      <c r="J76" s="99">
        <v>0</v>
      </c>
      <c r="K76" s="99">
        <v>0</v>
      </c>
      <c r="L76" s="99">
        <v>0</v>
      </c>
      <c r="M76" s="99">
        <v>0</v>
      </c>
      <c r="N76" s="99">
        <v>0</v>
      </c>
      <c r="O76" s="99">
        <v>0</v>
      </c>
      <c r="P76" s="99">
        <v>0</v>
      </c>
      <c r="Q76" s="99">
        <v>0</v>
      </c>
      <c r="R76" s="99">
        <v>0</v>
      </c>
      <c r="S76" s="99">
        <v>0</v>
      </c>
      <c r="T76" s="99">
        <v>0</v>
      </c>
    </row>
    <row r="77" spans="3:20" outlineLevel="1">
      <c r="F77" s="161" t="str">
        <f>Work_Codes!D322</f>
        <v>Field Regulator - Capacity Upgrade</v>
      </c>
      <c r="J77" s="99">
        <v>0</v>
      </c>
      <c r="K77" s="99">
        <v>0</v>
      </c>
      <c r="L77" s="99">
        <v>0</v>
      </c>
      <c r="M77" s="99">
        <v>0</v>
      </c>
      <c r="N77" s="99">
        <v>0</v>
      </c>
      <c r="O77" s="99">
        <v>2</v>
      </c>
      <c r="P77" s="99">
        <v>0</v>
      </c>
      <c r="Q77" s="99">
        <v>0</v>
      </c>
      <c r="R77" s="128">
        <f>2/5</f>
        <v>0.4</v>
      </c>
      <c r="S77" s="99">
        <v>0</v>
      </c>
      <c r="T77" s="99">
        <v>0</v>
      </c>
    </row>
    <row r="78" spans="3:20" outlineLevel="1">
      <c r="F78" s="161" t="str">
        <f>Work_Codes!D323</f>
        <v>Network Reinforcement - Distribution</v>
      </c>
      <c r="J78" s="99">
        <v>0</v>
      </c>
      <c r="K78" s="99">
        <v>0</v>
      </c>
      <c r="L78" s="99">
        <v>0</v>
      </c>
      <c r="M78" s="99">
        <v>1</v>
      </c>
      <c r="N78" s="128">
        <f>500/650</f>
        <v>0.76923076923076927</v>
      </c>
      <c r="O78" s="128">
        <f>2325/650</f>
        <v>3.5769230769230771</v>
      </c>
      <c r="P78" s="128">
        <f>4158/650</f>
        <v>6.3969230769230769</v>
      </c>
      <c r="Q78" s="128">
        <f>6180/650</f>
        <v>9.5076923076923077</v>
      </c>
      <c r="R78" s="128">
        <f>3851/650</f>
        <v>5.9246153846153842</v>
      </c>
      <c r="S78" s="128">
        <f>4680/650</f>
        <v>7.2</v>
      </c>
      <c r="T78" s="128">
        <f>1268/650</f>
        <v>1.9507692307692308</v>
      </c>
    </row>
    <row r="79" spans="3:20" outlineLevel="1">
      <c r="F79" s="161" t="str">
        <f>Work_Codes!D324</f>
        <v>Network Reinforcement - Transmission</v>
      </c>
      <c r="J79" s="99">
        <v>0</v>
      </c>
      <c r="K79" s="99">
        <v>0</v>
      </c>
      <c r="L79" s="99">
        <v>0</v>
      </c>
      <c r="M79" s="99">
        <v>0</v>
      </c>
      <c r="N79" s="99">
        <v>1</v>
      </c>
      <c r="O79" s="99">
        <v>0</v>
      </c>
      <c r="P79" s="99">
        <v>0</v>
      </c>
      <c r="Q79" s="99">
        <v>0</v>
      </c>
      <c r="R79" s="99">
        <v>0</v>
      </c>
      <c r="S79" s="99">
        <v>0</v>
      </c>
      <c r="T79" s="99">
        <v>0</v>
      </c>
    </row>
    <row r="80" spans="3:20" outlineLevel="1">
      <c r="F80" s="161" t="str">
        <f>Work_Codes!D325</f>
        <v>Renewable Gas Augmentation</v>
      </c>
      <c r="J80" s="99">
        <v>0</v>
      </c>
      <c r="K80" s="99">
        <v>0</v>
      </c>
      <c r="L80" s="99">
        <v>0</v>
      </c>
      <c r="M80" s="99">
        <v>0</v>
      </c>
      <c r="N80" s="99">
        <v>0</v>
      </c>
      <c r="O80" s="99">
        <v>0</v>
      </c>
      <c r="P80" s="99">
        <v>0</v>
      </c>
      <c r="Q80" s="99">
        <v>0</v>
      </c>
      <c r="R80" s="99">
        <v>0</v>
      </c>
      <c r="S80" s="99">
        <v>0</v>
      </c>
      <c r="T80" s="99">
        <v>0</v>
      </c>
    </row>
    <row r="81" spans="4:20" outlineLevel="1"/>
    <row r="82" spans="4:20" outlineLevel="1">
      <c r="D82" s="37" t="s">
        <v>392</v>
      </c>
    </row>
    <row r="83" spans="4:20" ht="5.9" customHeight="1" outlineLevel="1"/>
    <row r="84" spans="4:20" outlineLevel="1">
      <c r="E84" s="37" t="str">
        <f>$E$37</f>
        <v>Volumes</v>
      </c>
    </row>
    <row r="85" spans="4:20" ht="5.9" customHeight="1" outlineLevel="1"/>
    <row r="86" spans="4:20" outlineLevel="1">
      <c r="F86" s="161" t="str">
        <f>Work_Codes!D319</f>
        <v>City Gate - New</v>
      </c>
      <c r="J86" s="99">
        <v>0</v>
      </c>
      <c r="K86" s="99">
        <v>0</v>
      </c>
      <c r="L86" s="99">
        <v>0</v>
      </c>
      <c r="M86" s="99">
        <v>0</v>
      </c>
      <c r="N86" s="99">
        <v>0</v>
      </c>
      <c r="O86" s="99">
        <v>0</v>
      </c>
      <c r="P86" s="99">
        <v>0</v>
      </c>
      <c r="Q86" s="99">
        <v>1</v>
      </c>
      <c r="R86" s="99">
        <v>0</v>
      </c>
      <c r="S86" s="99">
        <v>1</v>
      </c>
      <c r="T86" s="99">
        <v>1</v>
      </c>
    </row>
    <row r="87" spans="4:20" outlineLevel="1">
      <c r="F87" s="161" t="str">
        <f>Work_Codes!D320</f>
        <v>City Gate - Capacity Upgrade</v>
      </c>
      <c r="J87" s="99">
        <v>0</v>
      </c>
      <c r="K87" s="99">
        <v>0</v>
      </c>
      <c r="L87" s="99">
        <v>0</v>
      </c>
      <c r="M87" s="99">
        <v>0</v>
      </c>
      <c r="N87" s="99">
        <v>1</v>
      </c>
      <c r="O87" s="99">
        <v>0</v>
      </c>
      <c r="P87" s="99"/>
      <c r="Q87" s="99"/>
      <c r="R87" s="99"/>
      <c r="S87" s="99"/>
      <c r="T87" s="99"/>
    </row>
    <row r="88" spans="4:20" outlineLevel="1">
      <c r="F88" s="161" t="str">
        <f>Work_Codes!D321</f>
        <v>Field Regulator - New</v>
      </c>
      <c r="J88" s="99">
        <v>0</v>
      </c>
      <c r="K88" s="99">
        <v>0</v>
      </c>
      <c r="L88" s="99">
        <v>0</v>
      </c>
      <c r="M88" s="99">
        <v>0</v>
      </c>
      <c r="N88" s="99">
        <v>0</v>
      </c>
      <c r="O88" s="99">
        <v>0</v>
      </c>
      <c r="P88" s="99">
        <v>0</v>
      </c>
      <c r="Q88" s="99">
        <v>0</v>
      </c>
      <c r="R88" s="99">
        <v>0</v>
      </c>
      <c r="S88" s="99">
        <v>0</v>
      </c>
      <c r="T88" s="99">
        <v>0</v>
      </c>
    </row>
    <row r="89" spans="4:20" outlineLevel="1">
      <c r="F89" s="161" t="str">
        <f>Work_Codes!D322</f>
        <v>Field Regulator - Capacity Upgrade</v>
      </c>
      <c r="J89" s="99">
        <v>0</v>
      </c>
      <c r="K89" s="99">
        <v>0</v>
      </c>
      <c r="L89" s="99">
        <v>0</v>
      </c>
      <c r="M89" s="99">
        <v>0</v>
      </c>
      <c r="N89" s="99">
        <v>0</v>
      </c>
      <c r="O89" s="99">
        <v>2</v>
      </c>
      <c r="P89" s="99">
        <v>0</v>
      </c>
      <c r="Q89" s="99">
        <v>0</v>
      </c>
      <c r="R89" s="128">
        <f>2/5</f>
        <v>0.4</v>
      </c>
      <c r="S89" s="99">
        <v>0</v>
      </c>
      <c r="T89" s="99">
        <v>0</v>
      </c>
    </row>
    <row r="90" spans="4:20" outlineLevel="1">
      <c r="F90" s="161" t="str">
        <f>Work_Codes!D323</f>
        <v>Network Reinforcement - Distribution</v>
      </c>
      <c r="J90" s="99">
        <v>0</v>
      </c>
      <c r="K90" s="99">
        <v>0</v>
      </c>
      <c r="L90" s="99">
        <v>0</v>
      </c>
      <c r="M90" s="99">
        <v>1</v>
      </c>
      <c r="N90" s="128">
        <f>500/650</f>
        <v>0.76923076923076927</v>
      </c>
      <c r="O90" s="128">
        <f>2325/650</f>
        <v>3.5769230769230771</v>
      </c>
      <c r="P90" s="99"/>
      <c r="Q90" s="99"/>
      <c r="R90" s="99"/>
      <c r="S90" s="99"/>
      <c r="T90" s="99"/>
    </row>
    <row r="91" spans="4:20" outlineLevel="1">
      <c r="F91" s="161" t="str">
        <f>Work_Codes!D324</f>
        <v>Network Reinforcement - Transmission</v>
      </c>
      <c r="J91" s="99">
        <v>0</v>
      </c>
      <c r="K91" s="99">
        <v>0</v>
      </c>
      <c r="L91" s="99">
        <v>0</v>
      </c>
      <c r="M91" s="99">
        <v>0</v>
      </c>
      <c r="N91" s="99">
        <v>1</v>
      </c>
      <c r="O91" s="99">
        <v>0</v>
      </c>
      <c r="P91" s="99">
        <v>0</v>
      </c>
      <c r="Q91" s="99">
        <v>0</v>
      </c>
      <c r="R91" s="99">
        <v>0</v>
      </c>
      <c r="S91" s="99">
        <v>0</v>
      </c>
      <c r="T91" s="99">
        <v>0</v>
      </c>
    </row>
    <row r="92" spans="4:20" outlineLevel="1">
      <c r="F92" s="161" t="str">
        <f>Work_Codes!D325</f>
        <v>Renewable Gas Augmentation</v>
      </c>
      <c r="J92" s="99">
        <v>0</v>
      </c>
      <c r="K92" s="99">
        <v>0</v>
      </c>
      <c r="L92" s="99">
        <v>0</v>
      </c>
      <c r="M92" s="99">
        <v>0</v>
      </c>
      <c r="N92" s="99">
        <v>0</v>
      </c>
      <c r="O92" s="99">
        <v>0</v>
      </c>
      <c r="P92" s="99">
        <v>0</v>
      </c>
      <c r="Q92" s="99">
        <v>0</v>
      </c>
      <c r="R92" s="99">
        <v>0</v>
      </c>
      <c r="S92" s="99">
        <v>0</v>
      </c>
      <c r="T92" s="99">
        <v>0</v>
      </c>
    </row>
  </sheetData>
  <sheetProtection formatColumns="0" formatRows="0"/>
  <mergeCells count="2">
    <mergeCell ref="F29:G29"/>
    <mergeCell ref="F30:G30"/>
  </mergeCells>
  <dataValidations count="2">
    <dataValidation type="custom" showErrorMessage="1" errorTitle="Invalid Assumption" error="Assumption must be a number." sqref="J39:T40 J74:T80 I58 I53 J60:T65 J55:T56 J44:T49 J86:T92" xr:uid="{37F12354-642F-457B-AE2D-B5354573C8BD}">
      <formula1>NOT(ISERROR(I39/1))</formula1>
    </dataValidation>
    <dataValidation type="whole" showDropDown="1" showErrorMessage="1" errorTitle="Drop Down Box Cell Link" error="The value in a drop down box cell link must be a whole number within the control's lookup range rows." sqref="F27" xr:uid="{A908859C-C184-4BAA-8704-88C36C4F428C}">
      <formula1>1</formula1>
      <formula2>ROWS($F$29:$F$30)</formula2>
    </dataValidation>
  </dataValidations>
  <hyperlinks>
    <hyperlink ref="A1" location="HL_Home" tooltip="Go to Table of Contents" display="HL_Home" xr:uid="{5AB41299-C3E6-44AE-B18E-BD054139B1D5}"/>
    <hyperlink ref="A2" location="HL_Err_Chk" tooltip="Go to Error Checks" display="HL_Err_Chk" xr:uid="{D3FCE066-7F72-4476-8DE1-3318C38081A5}"/>
  </hyperlinks>
  <pageMargins left="0.39370078740157499" right="0.39370078740157499" top="0.59055118110236204" bottom="0.98425196850393704" header="0" footer="0.31496062992126"/>
  <pageSetup paperSize="9" orientation="landscape" verticalDpi="0" r:id="rId1"/>
  <headerFooter>
    <oddFooter>&amp;L&amp;F
&amp;A
Printed: &amp;T on &amp;D&amp;CPage &amp;P of &amp;N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7350" r:id="rId4" name="bpmDropDownGC6">
              <controlPr defaultSize="0" autoFill="0" autoPict="0">
                <anchor moveWithCells="1" sizeWithCells="1">
                  <from>
                    <xdr:col>5</xdr:col>
                    <xdr:colOff>0</xdr:colOff>
                    <xdr:row>26</xdr:row>
                    <xdr:rowOff>0</xdr:rowOff>
                  </from>
                  <to>
                    <xdr:col>7</xdr:col>
                    <xdr:colOff>0</xdr:colOff>
                    <xdr:row>27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9B4154-FAEB-435B-BCAC-8D2AA2814D4A}">
  <sheetPr>
    <pageSetUpPr autoPageBreaks="0" fitToPage="1"/>
  </sheetPr>
  <dimension ref="C9:G20"/>
  <sheetViews>
    <sheetView showGridLines="0" topLeftCell="A7" zoomScaleNormal="100" workbookViewId="0">
      <selection activeCell="I248" sqref="I248"/>
    </sheetView>
  </sheetViews>
  <sheetFormatPr defaultColWidth="11.59765625" defaultRowHeight="11.5"/>
  <cols>
    <col min="3" max="6" width="3.59765625" customWidth="1"/>
  </cols>
  <sheetData>
    <row r="9" spans="3:7" ht="14">
      <c r="C9" s="6" t="s">
        <v>319</v>
      </c>
    </row>
    <row r="10" spans="3:7" ht="13">
      <c r="C10" s="9" t="s">
        <v>200</v>
      </c>
    </row>
    <row r="11" spans="3:7" ht="13">
      <c r="C11" s="7" t="str">
        <f ca="1">Model_Name</f>
        <v>GAAR Capex Forecast</v>
      </c>
    </row>
    <row r="12" spans="3:7">
      <c r="C12" s="224" t="s">
        <v>8</v>
      </c>
      <c r="D12" s="224"/>
      <c r="E12" s="224"/>
      <c r="F12" s="224"/>
      <c r="G12" s="224"/>
    </row>
    <row r="13" spans="3:7">
      <c r="C13" s="8" t="s">
        <v>9</v>
      </c>
      <c r="D13" s="22" t="s">
        <v>24</v>
      </c>
    </row>
    <row r="17" spans="3:3">
      <c r="C17" s="1" t="s">
        <v>109</v>
      </c>
    </row>
    <row r="18" spans="3:3">
      <c r="C18" s="5" t="s">
        <v>110</v>
      </c>
    </row>
    <row r="19" spans="3:3">
      <c r="C19" s="5" t="s">
        <v>111</v>
      </c>
    </row>
    <row r="20" spans="3:3">
      <c r="C20" s="5" t="s">
        <v>112</v>
      </c>
    </row>
  </sheetData>
  <mergeCells count="1">
    <mergeCell ref="C12:G12"/>
  </mergeCells>
  <hyperlinks>
    <hyperlink ref="D13" location="HL_Sheet_Main_15" tooltip="Go to Next Sheet" display="HL_Sheet_Main_15" xr:uid="{FA03C173-31B0-405E-AC81-07D76137F163}"/>
    <hyperlink ref="C13" location="HL_Sheet_Main_24" tooltip="Go to Previous Sheet" display="HL_Sheet_Main_24" xr:uid="{8A547B8A-90C4-4A01-9590-7A6FF95582D7}"/>
    <hyperlink ref="C12" location="HL_Home" tooltip="Go to Table of Contents" display="HL_Home" xr:uid="{62878672-90A5-42E3-8848-E84E3B6EF9A5}"/>
  </hyperlinks>
  <pageMargins left="0.39370078740157499" right="0.39370078740157499" top="0.59055118110236204" bottom="0.98425196850393704" header="0" footer="0.31496062992126"/>
  <pageSetup paperSize="9" orientation="landscape" r:id="rId1"/>
  <headerFooter>
    <oddFooter>&amp;L&amp;F
&amp;A
Printed: &amp;T on &amp;D&amp;CPage &amp;P of &amp;N</oddFooter>
  </headerFooter>
  <customProperties>
    <customPr name="EpmWorksheetKeyString_GUID" r:id="rId2"/>
  </customProperties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2B04B0-E051-4B7E-AB1A-B609AD2F46F6}">
  <sheetPr>
    <pageSetUpPr autoPageBreaks="0"/>
  </sheetPr>
  <dimension ref="A1:T352"/>
  <sheetViews>
    <sheetView showGridLines="0" zoomScaleNormal="100" workbookViewId="0">
      <pane xSplit="9" ySplit="21" topLeftCell="J22" activePane="bottomRight" state="frozen"/>
      <selection activeCell="I248" sqref="I248"/>
      <selection pane="topRight" activeCell="I248" sqref="I248"/>
      <selection pane="bottomLeft" activeCell="I248" sqref="I248"/>
      <selection pane="bottomRight" activeCell="N2" sqref="N2:O2"/>
    </sheetView>
  </sheetViews>
  <sheetFormatPr defaultColWidth="11.59765625" defaultRowHeight="11.5" outlineLevelRow="3"/>
  <cols>
    <col min="1" max="5" width="3.59765625" customWidth="1"/>
    <col min="6" max="7" width="15.59765625" customWidth="1"/>
    <col min="10" max="14" width="12.8984375" bestFit="1" customWidth="1"/>
    <col min="15" max="15" width="12.59765625" bestFit="1" customWidth="1"/>
    <col min="16" max="20" width="12.69921875" bestFit="1" customWidth="1"/>
  </cols>
  <sheetData>
    <row r="1" spans="1:20" ht="14">
      <c r="A1" s="10" t="s">
        <v>11</v>
      </c>
      <c r="B1" s="6" t="s">
        <v>277</v>
      </c>
    </row>
    <row r="2" spans="1:20" ht="13">
      <c r="A2" s="23" t="s">
        <v>26</v>
      </c>
      <c r="B2" s="7" t="str">
        <f ca="1">Model_Name</f>
        <v>GAAR Capex Forecast</v>
      </c>
      <c r="N2" s="253" t="s">
        <v>493</v>
      </c>
      <c r="O2" s="253"/>
    </row>
    <row r="3" spans="1:20">
      <c r="B3" s="30"/>
      <c r="C3" s="30"/>
      <c r="D3" s="30"/>
      <c r="E3" s="30"/>
      <c r="F3" s="30"/>
      <c r="G3" s="30"/>
      <c r="H3" s="30"/>
      <c r="I3" s="30"/>
      <c r="J3" s="30"/>
      <c r="K3" s="30"/>
      <c r="L3" s="30"/>
      <c r="M3" s="30"/>
      <c r="N3" s="30"/>
      <c r="O3" s="30"/>
      <c r="P3" s="30"/>
      <c r="Q3" s="30"/>
      <c r="R3" s="30"/>
      <c r="S3" s="30"/>
      <c r="T3" s="30"/>
    </row>
    <row r="4" spans="1:20">
      <c r="B4" s="116" t="s">
        <v>74</v>
      </c>
      <c r="C4" s="118"/>
      <c r="D4" s="118"/>
      <c r="E4" s="118"/>
      <c r="F4" s="118"/>
      <c r="G4" s="118"/>
      <c r="H4" s="118"/>
      <c r="I4" s="118"/>
      <c r="J4" s="119">
        <f t="shared" ref="J4:T4" si="0">J8</f>
        <v>43465</v>
      </c>
      <c r="K4" s="119">
        <f t="shared" si="0"/>
        <v>43830</v>
      </c>
      <c r="L4" s="119">
        <f t="shared" si="0"/>
        <v>44196</v>
      </c>
      <c r="M4" s="119">
        <f t="shared" si="0"/>
        <v>44561</v>
      </c>
      <c r="N4" s="119">
        <f t="shared" si="0"/>
        <v>44926</v>
      </c>
      <c r="O4" s="121">
        <f t="shared" si="0"/>
        <v>45107</v>
      </c>
      <c r="P4" s="121">
        <f t="shared" si="0"/>
        <v>45473</v>
      </c>
      <c r="Q4" s="121">
        <f t="shared" si="0"/>
        <v>45838</v>
      </c>
      <c r="R4" s="121">
        <f t="shared" si="0"/>
        <v>46203</v>
      </c>
      <c r="S4" s="121">
        <f t="shared" si="0"/>
        <v>46568</v>
      </c>
      <c r="T4" s="121">
        <f t="shared" si="0"/>
        <v>46934</v>
      </c>
    </row>
    <row r="5" spans="1:20">
      <c r="B5" s="117" t="s">
        <v>100</v>
      </c>
      <c r="C5" s="117"/>
      <c r="D5" s="117"/>
      <c r="E5" s="117"/>
      <c r="F5" s="117"/>
      <c r="G5" s="117"/>
      <c r="H5" s="117"/>
      <c r="I5" s="117"/>
      <c r="J5" s="120">
        <f t="shared" ref="J5:T5" si="1">YEAR(J8)</f>
        <v>2018</v>
      </c>
      <c r="K5" s="120">
        <f t="shared" si="1"/>
        <v>2019</v>
      </c>
      <c r="L5" s="120">
        <f t="shared" si="1"/>
        <v>2020</v>
      </c>
      <c r="M5" s="120">
        <f t="shared" si="1"/>
        <v>2021</v>
      </c>
      <c r="N5" s="120">
        <f t="shared" si="1"/>
        <v>2022</v>
      </c>
      <c r="O5" s="120">
        <f t="shared" si="1"/>
        <v>2023</v>
      </c>
      <c r="P5" s="120">
        <f t="shared" si="1"/>
        <v>2024</v>
      </c>
      <c r="Q5" s="120">
        <f t="shared" si="1"/>
        <v>2025</v>
      </c>
      <c r="R5" s="120">
        <f t="shared" si="1"/>
        <v>2026</v>
      </c>
      <c r="S5" s="120">
        <f t="shared" si="1"/>
        <v>2027</v>
      </c>
      <c r="T5" s="120">
        <f t="shared" si="1"/>
        <v>2028</v>
      </c>
    </row>
    <row r="6" spans="1:20">
      <c r="B6" s="113" t="s">
        <v>91</v>
      </c>
      <c r="C6" s="113"/>
      <c r="D6" s="113"/>
      <c r="E6" s="113"/>
      <c r="F6" s="113"/>
      <c r="G6" s="113"/>
      <c r="H6" s="113"/>
      <c r="I6" s="113"/>
      <c r="J6" s="115" t="str">
        <f t="shared" ref="J6:T6" si="2">IF(J$17,"Actual","Forecast")</f>
        <v>Actual</v>
      </c>
      <c r="K6" s="115" t="str">
        <f t="shared" si="2"/>
        <v>Actual</v>
      </c>
      <c r="L6" s="115" t="str">
        <f t="shared" si="2"/>
        <v>Actual</v>
      </c>
      <c r="M6" s="115" t="str">
        <f t="shared" si="2"/>
        <v>Actual</v>
      </c>
      <c r="N6" s="115" t="str">
        <f t="shared" si="2"/>
        <v>Forecast</v>
      </c>
      <c r="O6" s="114" t="str">
        <f t="shared" si="2"/>
        <v>Forecast</v>
      </c>
      <c r="P6" s="114" t="str">
        <f t="shared" si="2"/>
        <v>Forecast</v>
      </c>
      <c r="Q6" s="114" t="str">
        <f t="shared" si="2"/>
        <v>Forecast</v>
      </c>
      <c r="R6" s="114" t="str">
        <f t="shared" si="2"/>
        <v>Forecast</v>
      </c>
      <c r="S6" s="114" t="str">
        <f t="shared" si="2"/>
        <v>Forecast</v>
      </c>
      <c r="T6" s="114" t="str">
        <f t="shared" si="2"/>
        <v>Forecast</v>
      </c>
    </row>
    <row r="7" spans="1:20" hidden="1" outlineLevel="3">
      <c r="B7" s="30" t="s">
        <v>101</v>
      </c>
      <c r="C7" s="30"/>
      <c r="D7" s="30"/>
      <c r="E7" s="30"/>
      <c r="F7" s="30"/>
      <c r="G7" s="30"/>
      <c r="H7" s="30"/>
      <c r="I7" s="30"/>
      <c r="J7" s="36">
        <f>EDATE(Ts_Start_Date,(J10-1)*Ts_Mths_In_Yr)</f>
        <v>43101</v>
      </c>
      <c r="K7" s="36">
        <f>EDATE(Ts_Start_Date,(K10-1)*Ts_Mths_In_Yr)</f>
        <v>43466</v>
      </c>
      <c r="L7" s="36">
        <f>EDATE(Ts_Start_Date,(L10-1)*Ts_Mths_In_Yr)</f>
        <v>43831</v>
      </c>
      <c r="M7" s="36">
        <f>EDATE(Ts_Start_Date,(M10-1)*Ts_Mths_In_Yr)</f>
        <v>44197</v>
      </c>
      <c r="N7" s="36">
        <f>EDATE(Ts_Start_Date,(N10-1)*Ts_Mths_In_Yr)</f>
        <v>44562</v>
      </c>
      <c r="O7" s="36">
        <f>Ts_Stub_Start_Date</f>
        <v>44927</v>
      </c>
      <c r="P7" s="36">
        <f>EDATE(Ts_Forecast_Reg_Start_Date,(P16-1)*Ts_Mths_In_Yr)</f>
        <v>45108</v>
      </c>
      <c r="Q7" s="36">
        <f>EDATE(Ts_Forecast_Reg_Start_Date,(Q16-1)*Ts_Mths_In_Yr)</f>
        <v>45474</v>
      </c>
      <c r="R7" s="36">
        <f>EDATE(Ts_Forecast_Reg_Start_Date,(R16-1)*Ts_Mths_In_Yr)</f>
        <v>45839</v>
      </c>
      <c r="S7" s="36">
        <f>EDATE(Ts_Forecast_Reg_Start_Date,(S16-1)*Ts_Mths_In_Yr)</f>
        <v>46204</v>
      </c>
      <c r="T7" s="36">
        <f>EDATE(Ts_Forecast_Reg_Start_Date,(T16-1)*Ts_Mths_In_Yr)</f>
        <v>46569</v>
      </c>
    </row>
    <row r="8" spans="1:20" hidden="1" outlineLevel="3">
      <c r="B8" s="30" t="s">
        <v>102</v>
      </c>
      <c r="C8" s="30"/>
      <c r="D8" s="30"/>
      <c r="E8" s="30"/>
      <c r="F8" s="30"/>
      <c r="G8" s="30"/>
      <c r="H8" s="30"/>
      <c r="I8" s="30"/>
      <c r="J8" s="36">
        <f>EOMONTH(J7,Ts_Mths_In_Yr-1)</f>
        <v>43465</v>
      </c>
      <c r="K8" s="36">
        <f>EOMONTH(K7,Ts_Mths_In_Yr-1)</f>
        <v>43830</v>
      </c>
      <c r="L8" s="36">
        <f>EOMONTH(L7,Ts_Mths_In_Yr-1)</f>
        <v>44196</v>
      </c>
      <c r="M8" s="36">
        <f>EOMONTH(M7,Ts_Mths_In_Yr-1)</f>
        <v>44561</v>
      </c>
      <c r="N8" s="36">
        <f>EOMONTH(N7,Ts_Mths_In_Yr-1)</f>
        <v>44926</v>
      </c>
      <c r="O8" s="36">
        <f>EOMONTH(O7,Ts_Stub_Length-1)</f>
        <v>45107</v>
      </c>
      <c r="P8" s="36">
        <f>EOMONTH(P7,Ts_Mths_In_Yr-1)</f>
        <v>45473</v>
      </c>
      <c r="Q8" s="36">
        <f>EOMONTH(Q7,Ts_Mths_In_Yr-1)</f>
        <v>45838</v>
      </c>
      <c r="R8" s="36">
        <f>EOMONTH(R7,Ts_Mths_In_Yr-1)</f>
        <v>46203</v>
      </c>
      <c r="S8" s="36">
        <f>EOMONTH(S7,Ts_Mths_In_Yr-1)</f>
        <v>46568</v>
      </c>
      <c r="T8" s="36">
        <f>EOMONTH(T7,Ts_Mths_In_Yr-1)</f>
        <v>46934</v>
      </c>
    </row>
    <row r="9" spans="1:20" hidden="1" outlineLevel="3">
      <c r="B9" s="30" t="s">
        <v>87</v>
      </c>
      <c r="C9" s="30"/>
      <c r="D9" s="30"/>
      <c r="E9" s="30"/>
      <c r="F9" s="30"/>
      <c r="G9" s="30"/>
      <c r="H9" s="30"/>
      <c r="I9" s="30"/>
      <c r="J9" s="14">
        <f t="shared" ref="J9:T9" si="3">DATEDIF(J7,J8,"m")+1</f>
        <v>12</v>
      </c>
      <c r="K9" s="14">
        <f t="shared" si="3"/>
        <v>12</v>
      </c>
      <c r="L9" s="14">
        <f t="shared" si="3"/>
        <v>12</v>
      </c>
      <c r="M9" s="14">
        <f t="shared" si="3"/>
        <v>12</v>
      </c>
      <c r="N9" s="14">
        <f t="shared" si="3"/>
        <v>12</v>
      </c>
      <c r="O9" s="14">
        <f t="shared" si="3"/>
        <v>6</v>
      </c>
      <c r="P9" s="38">
        <f t="shared" si="3"/>
        <v>12</v>
      </c>
      <c r="Q9" s="38">
        <f t="shared" si="3"/>
        <v>12</v>
      </c>
      <c r="R9" s="38">
        <f t="shared" si="3"/>
        <v>12</v>
      </c>
      <c r="S9" s="38">
        <f t="shared" si="3"/>
        <v>12</v>
      </c>
      <c r="T9" s="38">
        <f t="shared" si="3"/>
        <v>12</v>
      </c>
    </row>
    <row r="10" spans="1:20" hidden="1" outlineLevel="3">
      <c r="B10" s="30" t="s">
        <v>72</v>
      </c>
      <c r="C10" s="30"/>
      <c r="D10" s="30"/>
      <c r="E10" s="30"/>
      <c r="F10" s="30"/>
      <c r="G10" s="30"/>
      <c r="H10" s="30"/>
      <c r="I10" s="30"/>
      <c r="J10" s="40">
        <f>COLUMNS($J$10:J10)</f>
        <v>1</v>
      </c>
      <c r="K10" s="40">
        <f>COLUMNS($J$10:K10)</f>
        <v>2</v>
      </c>
      <c r="L10" s="40">
        <f>COLUMNS($J$10:L10)</f>
        <v>3</v>
      </c>
      <c r="M10" s="40">
        <f>COLUMNS($J$10:M10)</f>
        <v>4</v>
      </c>
      <c r="N10" s="40">
        <f>COLUMNS($J$10:N10)</f>
        <v>5</v>
      </c>
      <c r="O10" s="40">
        <f>COLUMNS($J$10:O10)</f>
        <v>6</v>
      </c>
      <c r="P10" s="40">
        <f>COLUMNS($J$10:P10)</f>
        <v>7</v>
      </c>
      <c r="Q10" s="40">
        <f>COLUMNS($J$10:Q10)</f>
        <v>8</v>
      </c>
      <c r="R10" s="40">
        <f>COLUMNS($J$10:R10)</f>
        <v>9</v>
      </c>
      <c r="S10" s="40">
        <f>COLUMNS($J$10:S10)</f>
        <v>10</v>
      </c>
      <c r="T10" s="40">
        <f>COLUMNS($J$10:T10)</f>
        <v>11</v>
      </c>
    </row>
    <row r="11" spans="1:20" hidden="1" outlineLevel="3">
      <c r="B11" s="30" t="s">
        <v>76</v>
      </c>
      <c r="C11" s="30"/>
      <c r="D11" s="30"/>
      <c r="E11" s="30"/>
      <c r="F11" s="30"/>
      <c r="G11" s="30"/>
      <c r="H11" s="30"/>
      <c r="I11" s="30"/>
      <c r="J11" s="40">
        <f>(J12&lt;&gt;0)*1</f>
        <v>1</v>
      </c>
      <c r="K11" s="40">
        <f>(K12&lt;&gt;0)*1</f>
        <v>1</v>
      </c>
      <c r="L11" s="40">
        <f>(L12&lt;&gt;0)*1</f>
        <v>1</v>
      </c>
      <c r="M11" s="40">
        <f>(M12&lt;&gt;0)*1</f>
        <v>1</v>
      </c>
      <c r="N11" s="40">
        <f>(N12&lt;&gt;0)*1</f>
        <v>1</v>
      </c>
      <c r="O11" s="45">
        <v>0</v>
      </c>
      <c r="P11" s="45">
        <v>0</v>
      </c>
      <c r="Q11" s="45">
        <v>0</v>
      </c>
      <c r="R11" s="45">
        <v>0</v>
      </c>
      <c r="S11" s="45">
        <v>0</v>
      </c>
      <c r="T11" s="45">
        <v>0</v>
      </c>
    </row>
    <row r="12" spans="1:20" hidden="1" outlineLevel="3">
      <c r="B12" s="30" t="s">
        <v>96</v>
      </c>
      <c r="C12" s="30"/>
      <c r="D12" s="30"/>
      <c r="E12" s="30"/>
      <c r="F12" s="30"/>
      <c r="G12" s="30"/>
      <c r="H12" s="30"/>
      <c r="I12" s="30"/>
      <c r="J12" s="40">
        <f>COLUMNS($J$10:J10)</f>
        <v>1</v>
      </c>
      <c r="K12" s="40">
        <f>COLUMNS($J$10:K10)</f>
        <v>2</v>
      </c>
      <c r="L12" s="40">
        <f>COLUMNS($J$10:L10)</f>
        <v>3</v>
      </c>
      <c r="M12" s="40">
        <f>COLUMNS($J$10:M10)</f>
        <v>4</v>
      </c>
      <c r="N12" s="40">
        <f>COLUMNS($J$10:N10)</f>
        <v>5</v>
      </c>
      <c r="O12" s="45">
        <v>0</v>
      </c>
      <c r="P12" s="45">
        <v>0</v>
      </c>
      <c r="Q12" s="45">
        <v>0</v>
      </c>
      <c r="R12" s="45">
        <v>0</v>
      </c>
      <c r="S12" s="45">
        <v>0</v>
      </c>
      <c r="T12" s="45">
        <v>0</v>
      </c>
    </row>
    <row r="13" spans="1:20" hidden="1" outlineLevel="3">
      <c r="B13" s="30" t="s">
        <v>79</v>
      </c>
      <c r="C13" s="30"/>
      <c r="D13" s="30"/>
      <c r="E13" s="30"/>
      <c r="F13" s="30"/>
      <c r="G13" s="30"/>
      <c r="H13" s="30"/>
      <c r="I13" s="30"/>
      <c r="J13" s="45">
        <v>0</v>
      </c>
      <c r="K13" s="45">
        <v>0</v>
      </c>
      <c r="L13" s="45">
        <v>0</v>
      </c>
      <c r="M13" s="45">
        <v>0</v>
      </c>
      <c r="N13" s="45">
        <v>0</v>
      </c>
      <c r="O13" s="40">
        <f>(O14&lt;&gt;0)*1</f>
        <v>1</v>
      </c>
      <c r="P13" s="45">
        <v>0</v>
      </c>
      <c r="Q13" s="45">
        <v>0</v>
      </c>
      <c r="R13" s="45">
        <v>0</v>
      </c>
      <c r="S13" s="45">
        <v>0</v>
      </c>
      <c r="T13" s="45">
        <v>0</v>
      </c>
    </row>
    <row r="14" spans="1:20" hidden="1" outlineLevel="3">
      <c r="B14" s="30" t="s">
        <v>97</v>
      </c>
      <c r="C14" s="30"/>
      <c r="D14" s="30"/>
      <c r="E14" s="30"/>
      <c r="F14" s="30"/>
      <c r="G14" s="30"/>
      <c r="H14" s="30"/>
      <c r="I14" s="30"/>
      <c r="J14" s="45">
        <v>0</v>
      </c>
      <c r="K14" s="45">
        <v>0</v>
      </c>
      <c r="L14" s="45">
        <v>0</v>
      </c>
      <c r="M14" s="45">
        <v>0</v>
      </c>
      <c r="N14" s="45">
        <v>0</v>
      </c>
      <c r="O14" s="40">
        <f>COLUMNS($O$14:O14)</f>
        <v>1</v>
      </c>
      <c r="P14" s="45">
        <v>0</v>
      </c>
      <c r="Q14" s="45">
        <v>0</v>
      </c>
      <c r="R14" s="45">
        <v>0</v>
      </c>
      <c r="S14" s="45">
        <v>0</v>
      </c>
      <c r="T14" s="45">
        <v>0</v>
      </c>
    </row>
    <row r="15" spans="1:20" hidden="1" outlineLevel="3">
      <c r="B15" s="30" t="s">
        <v>82</v>
      </c>
      <c r="C15" s="30"/>
      <c r="D15" s="30"/>
      <c r="E15" s="30"/>
      <c r="F15" s="30"/>
      <c r="G15" s="30"/>
      <c r="H15" s="30"/>
      <c r="I15" s="30"/>
      <c r="J15" s="45">
        <v>0</v>
      </c>
      <c r="K15" s="45">
        <v>0</v>
      </c>
      <c r="L15" s="45">
        <v>0</v>
      </c>
      <c r="M15" s="45">
        <v>0</v>
      </c>
      <c r="N15" s="45">
        <v>0</v>
      </c>
      <c r="O15" s="45">
        <v>0</v>
      </c>
      <c r="P15" s="39">
        <f>(P16&lt;&gt;0)*1</f>
        <v>1</v>
      </c>
      <c r="Q15" s="39">
        <f>(Q16&lt;&gt;0)*1</f>
        <v>1</v>
      </c>
      <c r="R15" s="39">
        <f>(R16&lt;&gt;0)*1</f>
        <v>1</v>
      </c>
      <c r="S15" s="39">
        <f>(S16&lt;&gt;0)*1</f>
        <v>1</v>
      </c>
      <c r="T15" s="39">
        <f>(T16&lt;&gt;0)*1</f>
        <v>1</v>
      </c>
    </row>
    <row r="16" spans="1:20" hidden="1" outlineLevel="3">
      <c r="B16" s="30" t="s">
        <v>98</v>
      </c>
      <c r="C16" s="30"/>
      <c r="D16" s="30"/>
      <c r="E16" s="30"/>
      <c r="F16" s="30"/>
      <c r="G16" s="30"/>
      <c r="H16" s="30"/>
      <c r="I16" s="30"/>
      <c r="J16" s="45">
        <v>0</v>
      </c>
      <c r="K16" s="45">
        <v>0</v>
      </c>
      <c r="L16" s="45">
        <v>0</v>
      </c>
      <c r="M16" s="45">
        <v>0</v>
      </c>
      <c r="N16" s="45">
        <v>0</v>
      </c>
      <c r="O16" s="45">
        <v>0</v>
      </c>
      <c r="P16" s="39">
        <f>COLUMNS($P$16:P16)</f>
        <v>1</v>
      </c>
      <c r="Q16" s="39">
        <f>COLUMNS($P$16:Q16)</f>
        <v>2</v>
      </c>
      <c r="R16" s="39">
        <f>COLUMNS($P$16:R16)</f>
        <v>3</v>
      </c>
      <c r="S16" s="39">
        <f>COLUMNS($P$16:S16)</f>
        <v>4</v>
      </c>
      <c r="T16" s="39">
        <f>COLUMNS($P$16:T16)</f>
        <v>5</v>
      </c>
    </row>
    <row r="17" spans="2:20" hidden="1" outlineLevel="3">
      <c r="B17" s="30" t="s">
        <v>206</v>
      </c>
      <c r="C17" s="30"/>
      <c r="D17" s="30"/>
      <c r="E17" s="30"/>
      <c r="F17" s="30"/>
      <c r="G17" s="30"/>
      <c r="H17" s="30"/>
      <c r="I17" s="30"/>
      <c r="J17" s="39">
        <f t="shared" ref="J17:T17" si="4">IF(J$5&lt;=Ts_Last_Actual_Year,1,0)</f>
        <v>1</v>
      </c>
      <c r="K17" s="39">
        <f t="shared" si="4"/>
        <v>1</v>
      </c>
      <c r="L17" s="39">
        <f t="shared" si="4"/>
        <v>1</v>
      </c>
      <c r="M17" s="39">
        <f t="shared" si="4"/>
        <v>1</v>
      </c>
      <c r="N17" s="39">
        <f t="shared" si="4"/>
        <v>0</v>
      </c>
      <c r="O17" s="39">
        <f t="shared" si="4"/>
        <v>0</v>
      </c>
      <c r="P17" s="39">
        <f t="shared" si="4"/>
        <v>0</v>
      </c>
      <c r="Q17" s="39">
        <f t="shared" si="4"/>
        <v>0</v>
      </c>
      <c r="R17" s="39">
        <f t="shared" si="4"/>
        <v>0</v>
      </c>
      <c r="S17" s="39">
        <f t="shared" si="4"/>
        <v>0</v>
      </c>
      <c r="T17" s="39">
        <f t="shared" si="4"/>
        <v>0</v>
      </c>
    </row>
    <row r="18" spans="2:20" hidden="1" outlineLevel="3">
      <c r="B18" s="30" t="s">
        <v>207</v>
      </c>
      <c r="C18" s="30"/>
      <c r="D18" s="30"/>
      <c r="E18" s="30"/>
      <c r="F18" s="30"/>
      <c r="G18" s="30"/>
      <c r="H18" s="30"/>
      <c r="I18" s="30"/>
      <c r="J18" s="39">
        <f t="shared" ref="J18:T18" si="5">IF(J$5&gt;Ts_Last_Actual_Year,1,0)</f>
        <v>0</v>
      </c>
      <c r="K18" s="39">
        <f t="shared" si="5"/>
        <v>0</v>
      </c>
      <c r="L18" s="39">
        <f t="shared" si="5"/>
        <v>0</v>
      </c>
      <c r="M18" s="39">
        <f t="shared" si="5"/>
        <v>0</v>
      </c>
      <c r="N18" s="39">
        <f t="shared" si="5"/>
        <v>1</v>
      </c>
      <c r="O18" s="40">
        <f t="shared" si="5"/>
        <v>1</v>
      </c>
      <c r="P18" s="40">
        <f t="shared" si="5"/>
        <v>1</v>
      </c>
      <c r="Q18" s="40">
        <f t="shared" si="5"/>
        <v>1</v>
      </c>
      <c r="R18" s="40">
        <f t="shared" si="5"/>
        <v>1</v>
      </c>
      <c r="S18" s="40">
        <f t="shared" si="5"/>
        <v>1</v>
      </c>
      <c r="T18" s="40">
        <f t="shared" si="5"/>
        <v>1</v>
      </c>
    </row>
    <row r="19" spans="2:20" hidden="1" outlineLevel="3">
      <c r="B19" s="30" t="s">
        <v>208</v>
      </c>
      <c r="C19" s="30"/>
      <c r="D19" s="30"/>
      <c r="E19" s="30"/>
      <c r="F19" s="30"/>
      <c r="G19" s="30"/>
      <c r="H19" s="30"/>
      <c r="I19" s="30"/>
      <c r="J19" s="39">
        <f>SUM($J18:J18)</f>
        <v>0</v>
      </c>
      <c r="K19" s="39">
        <f>SUM($J18:K18)</f>
        <v>0</v>
      </c>
      <c r="L19" s="39">
        <f>SUM($J18:L18)</f>
        <v>0</v>
      </c>
      <c r="M19" s="39">
        <f>SUM($J18:M18)</f>
        <v>0</v>
      </c>
      <c r="N19" s="39">
        <f>SUM($J18:N18)</f>
        <v>1</v>
      </c>
      <c r="O19" s="39">
        <f>SUM($J18:O18)</f>
        <v>2</v>
      </c>
      <c r="P19" s="39">
        <f>SUM($J18:P18)</f>
        <v>3</v>
      </c>
      <c r="Q19" s="39">
        <f>SUM($J18:Q18)</f>
        <v>4</v>
      </c>
      <c r="R19" s="39">
        <f>SUM($J18:R18)</f>
        <v>5</v>
      </c>
      <c r="S19" s="39">
        <f>SUM($J18:S18)</f>
        <v>6</v>
      </c>
      <c r="T19" s="39">
        <f>SUM($J18:T18)</f>
        <v>7</v>
      </c>
    </row>
    <row r="20" spans="2:20" hidden="1" outlineLevel="3">
      <c r="B20" s="30" t="s">
        <v>481</v>
      </c>
      <c r="C20" s="30"/>
      <c r="D20" s="30"/>
      <c r="E20" s="30"/>
      <c r="F20" s="30"/>
      <c r="G20" s="30"/>
      <c r="H20" s="30"/>
      <c r="I20" s="30"/>
      <c r="J20" s="38">
        <f t="shared" ref="J20:N20" si="6">J9/12</f>
        <v>1</v>
      </c>
      <c r="K20" s="38">
        <f t="shared" si="6"/>
        <v>1</v>
      </c>
      <c r="L20" s="38">
        <f t="shared" si="6"/>
        <v>1</v>
      </c>
      <c r="M20" s="38">
        <f t="shared" si="6"/>
        <v>1</v>
      </c>
      <c r="N20" s="38">
        <f t="shared" si="6"/>
        <v>1</v>
      </c>
      <c r="O20" s="38">
        <f>O9/12</f>
        <v>0.5</v>
      </c>
      <c r="P20" s="38">
        <f t="shared" ref="P20:T20" si="7">P9/12</f>
        <v>1</v>
      </c>
      <c r="Q20" s="38">
        <f t="shared" si="7"/>
        <v>1</v>
      </c>
      <c r="R20" s="38">
        <f t="shared" si="7"/>
        <v>1</v>
      </c>
      <c r="S20" s="38">
        <f t="shared" si="7"/>
        <v>1</v>
      </c>
      <c r="T20" s="38">
        <f t="shared" si="7"/>
        <v>1</v>
      </c>
    </row>
    <row r="21" spans="2:20" hidden="1" outlineLevel="3">
      <c r="B21" s="30"/>
      <c r="C21" s="30"/>
      <c r="D21" s="30"/>
      <c r="E21" s="30"/>
      <c r="F21" s="30"/>
      <c r="G21" s="30"/>
      <c r="H21" s="30"/>
      <c r="I21" s="30"/>
      <c r="J21" s="30"/>
      <c r="K21" s="30"/>
      <c r="L21" s="30"/>
      <c r="M21" s="30"/>
      <c r="N21" s="30"/>
      <c r="O21" s="30"/>
      <c r="P21" s="30"/>
      <c r="Q21" s="30"/>
      <c r="R21" s="30"/>
      <c r="S21" s="30"/>
      <c r="T21" s="30"/>
    </row>
    <row r="22" spans="2:20" collapsed="1"/>
    <row r="23" spans="2:20" ht="14">
      <c r="B23" s="110" t="s">
        <v>188</v>
      </c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</row>
    <row r="24" spans="2:20" ht="5.9" customHeight="1"/>
    <row r="25" spans="2:20" ht="14">
      <c r="B25" s="56" t="str">
        <f>GC!F8</f>
        <v>Low Pressure Replacement - Planned</v>
      </c>
    </row>
    <row r="26" spans="2:20" ht="5.9" customHeight="1" outlineLevel="1"/>
    <row r="27" spans="2:20" hidden="1" outlineLevel="2">
      <c r="C27" s="37" t="s">
        <v>204</v>
      </c>
    </row>
    <row r="28" spans="2:20" ht="5.9" hidden="1" customHeight="1" outlineLevel="2"/>
    <row r="29" spans="2:20" hidden="1" outlineLevel="2">
      <c r="D29" s="51" t="s">
        <v>103</v>
      </c>
      <c r="J29" s="92">
        <f>Rates!J42</f>
        <v>1</v>
      </c>
      <c r="K29" s="92">
        <f>Rates!K42</f>
        <v>1</v>
      </c>
      <c r="L29" s="92">
        <f>Rates!L42</f>
        <v>1</v>
      </c>
      <c r="M29" s="92">
        <f>Rates!M42</f>
        <v>1</v>
      </c>
      <c r="N29" s="92">
        <f>Rates!N42</f>
        <v>1</v>
      </c>
      <c r="O29" s="92">
        <f>Rates!O42</f>
        <v>1.0051959235721353</v>
      </c>
      <c r="P29" s="92">
        <f>Rates!P42</f>
        <v>1.0102301741405761</v>
      </c>
      <c r="Q29" s="92">
        <f>Rates!Q42</f>
        <v>1.0181072873442809</v>
      </c>
      <c r="R29" s="92">
        <f>Rates!R42</f>
        <v>1.0293150686557422</v>
      </c>
      <c r="S29" s="92">
        <f>Rates!S42</f>
        <v>1.040646230246951</v>
      </c>
      <c r="T29" s="92">
        <f>Rates!T42</f>
        <v>1.0521021303433229</v>
      </c>
    </row>
    <row r="30" spans="2:20" hidden="1" outlineLevel="2">
      <c r="D30" s="51" t="s">
        <v>104</v>
      </c>
      <c r="J30" s="92">
        <f>Rates!J43</f>
        <v>1</v>
      </c>
      <c r="K30" s="92">
        <f>Rates!K43</f>
        <v>1</v>
      </c>
      <c r="L30" s="92">
        <f>Rates!L43</f>
        <v>1</v>
      </c>
      <c r="M30" s="92">
        <f>Rates!M43</f>
        <v>1</v>
      </c>
      <c r="N30" s="92">
        <f>Rates!N43</f>
        <v>1</v>
      </c>
      <c r="O30" s="92">
        <f>Rates!O43</f>
        <v>1</v>
      </c>
      <c r="P30" s="92">
        <f>Rates!P43</f>
        <v>1</v>
      </c>
      <c r="Q30" s="92">
        <f>Rates!Q43</f>
        <v>1</v>
      </c>
      <c r="R30" s="92">
        <f>Rates!R43</f>
        <v>1</v>
      </c>
      <c r="S30" s="92">
        <f>Rates!S43</f>
        <v>1</v>
      </c>
      <c r="T30" s="92">
        <f>Rates!T43</f>
        <v>1</v>
      </c>
    </row>
    <row r="31" spans="2:20" hidden="1" outlineLevel="2">
      <c r="D31" s="51" t="s">
        <v>130</v>
      </c>
      <c r="J31" s="92">
        <f>Rates!J45</f>
        <v>1</v>
      </c>
      <c r="K31" s="92">
        <f>Rates!K45</f>
        <v>1</v>
      </c>
      <c r="L31" s="92">
        <f>Rates!L45</f>
        <v>1</v>
      </c>
      <c r="M31" s="92">
        <f>Rates!M45</f>
        <v>1</v>
      </c>
      <c r="N31" s="92">
        <f>Rates!N45</f>
        <v>1</v>
      </c>
      <c r="O31" s="92">
        <f>Rates!O45</f>
        <v>1</v>
      </c>
      <c r="P31" s="92">
        <f>Rates!P45</f>
        <v>1</v>
      </c>
      <c r="Q31" s="92">
        <f>Rates!Q45</f>
        <v>1</v>
      </c>
      <c r="R31" s="92">
        <f>Rates!R45</f>
        <v>1</v>
      </c>
      <c r="S31" s="92">
        <f>Rates!S45</f>
        <v>1</v>
      </c>
      <c r="T31" s="92">
        <f>Rates!T45</f>
        <v>1</v>
      </c>
    </row>
    <row r="32" spans="2:20" ht="5.9" hidden="1" customHeight="1" outlineLevel="2"/>
    <row r="33" spans="3:20" hidden="1" outlineLevel="2">
      <c r="C33" s="37" t="s">
        <v>105</v>
      </c>
    </row>
    <row r="34" spans="3:20" ht="5.9" hidden="1" customHeight="1" outlineLevel="2"/>
    <row r="35" spans="3:20" hidden="1" outlineLevel="2">
      <c r="D35" s="51" t="s">
        <v>106</v>
      </c>
      <c r="J35" s="100">
        <f>Rates!J50</f>
        <v>6.9591273870889495E-2</v>
      </c>
      <c r="K35" s="100">
        <f>Rates!K50</f>
        <v>7.3934468928182201E-2</v>
      </c>
      <c r="L35" s="100">
        <f>Rates!L50</f>
        <v>7.5085976469407303E-2</v>
      </c>
      <c r="M35" s="100">
        <f>Rates!M50</f>
        <v>8.0103391005934096E-2</v>
      </c>
      <c r="N35" s="100">
        <f>Rates!N50</f>
        <v>3.7711007382937055E-2</v>
      </c>
      <c r="O35" s="100">
        <f>Rates!O50</f>
        <v>3.3283969054706777E-2</v>
      </c>
      <c r="P35" s="100">
        <f>Rates!P50</f>
        <v>2.6752660513445464E-2</v>
      </c>
      <c r="Q35" s="100">
        <f>Rates!Q50</f>
        <v>2.6060587348993774E-2</v>
      </c>
      <c r="R35" s="100">
        <f>Rates!R50</f>
        <v>2.6873005987587139E-2</v>
      </c>
      <c r="S35" s="100">
        <f>Rates!S50</f>
        <v>2.8546178928104012E-2</v>
      </c>
      <c r="T35" s="100">
        <f>Rates!T50</f>
        <v>2.9920378203686534E-2</v>
      </c>
    </row>
    <row r="36" spans="3:20" hidden="1" outlineLevel="2">
      <c r="D36" s="51" t="s">
        <v>107</v>
      </c>
      <c r="J36" s="100">
        <f>Rates!J51</f>
        <v>5.5842732834613398E-2</v>
      </c>
      <c r="K36" s="100">
        <f>Rates!K51</f>
        <v>5.16564294790849E-2</v>
      </c>
      <c r="L36" s="100">
        <f>Rates!L51</f>
        <v>6.0535031919173997E-2</v>
      </c>
      <c r="M36" s="100">
        <f>Rates!M51</f>
        <v>7.1630695797579302E-2</v>
      </c>
      <c r="N36" s="100">
        <f>Rates!N51</f>
        <v>7.4343858126268231E-2</v>
      </c>
      <c r="O36" s="100">
        <f>Rates!O51</f>
        <v>7.4059082290758096E-2</v>
      </c>
      <c r="P36" s="100">
        <f>Rates!P51</f>
        <v>2.4388539961794877E-2</v>
      </c>
      <c r="Q36" s="100">
        <f>Rates!Q51</f>
        <v>2.1171310758207256E-2</v>
      </c>
      <c r="R36" s="100">
        <f>Rates!R51</f>
        <v>2.0024144075344485E-2</v>
      </c>
      <c r="S36" s="100">
        <f>Rates!S51</f>
        <v>3.9620009613577346E-2</v>
      </c>
      <c r="T36" s="100">
        <f>Rates!T51</f>
        <v>5.404914337922874E-2</v>
      </c>
    </row>
    <row r="37" spans="3:20" hidden="1" outlineLevel="2">
      <c r="D37" s="51" t="s">
        <v>108</v>
      </c>
      <c r="J37" s="100">
        <f>Rates!J52</f>
        <v>0</v>
      </c>
      <c r="K37" s="100">
        <f>Rates!K52</f>
        <v>0</v>
      </c>
      <c r="L37" s="100">
        <f>Rates!L52</f>
        <v>0</v>
      </c>
      <c r="M37" s="100">
        <f>Rates!M52</f>
        <v>0</v>
      </c>
      <c r="N37" s="100">
        <f>Rates!N52</f>
        <v>0</v>
      </c>
      <c r="O37" s="100">
        <f>Rates!O52</f>
        <v>0</v>
      </c>
      <c r="P37" s="100">
        <f>Rates!P52</f>
        <v>0</v>
      </c>
      <c r="Q37" s="100">
        <f>Rates!Q52</f>
        <v>0</v>
      </c>
      <c r="R37" s="100">
        <f>Rates!R52</f>
        <v>0</v>
      </c>
      <c r="S37" s="100">
        <f>Rates!S52</f>
        <v>0</v>
      </c>
      <c r="T37" s="100">
        <f>Rates!T52</f>
        <v>0</v>
      </c>
    </row>
    <row r="38" spans="3:20" outlineLevel="1" collapsed="1"/>
    <row r="39" spans="3:20" ht="5.9" customHeight="1" outlineLevel="1"/>
    <row r="40" spans="3:20" outlineLevel="1">
      <c r="C40" s="37" t="s">
        <v>118</v>
      </c>
    </row>
    <row r="41" spans="3:20" ht="5.9" customHeight="1" outlineLevel="1"/>
    <row r="42" spans="3:20" outlineLevel="1">
      <c r="D42" s="37" t="s">
        <v>160</v>
      </c>
      <c r="H42" s="107" t="s">
        <v>192</v>
      </c>
    </row>
    <row r="43" spans="3:20" ht="5.9" customHeight="1" outlineLevel="1"/>
    <row r="44" spans="3:20" outlineLevel="1">
      <c r="D44" s="59" t="str">
        <f>Work_Codes!D12</f>
        <v>LP mains replacement program - Ascot Vale</v>
      </c>
      <c r="H44" s="62" t="s">
        <v>198</v>
      </c>
      <c r="J44" s="178"/>
      <c r="K44" s="178"/>
      <c r="L44" s="178"/>
      <c r="M44" s="178"/>
      <c r="N44" s="211"/>
      <c r="O44" s="212"/>
      <c r="P44" s="212"/>
      <c r="Q44" s="212"/>
      <c r="R44" s="212"/>
      <c r="S44" s="212"/>
      <c r="T44" s="212"/>
    </row>
    <row r="45" spans="3:20" outlineLevel="1">
      <c r="D45" s="168" t="str">
        <f>Work_Codes!D13</f>
        <v>LP mains replacement program - Geelong West</v>
      </c>
      <c r="H45" s="63"/>
      <c r="J45" s="178"/>
      <c r="K45" s="178"/>
      <c r="L45" s="178"/>
      <c r="M45" s="178"/>
      <c r="N45" s="211"/>
      <c r="O45" s="212"/>
      <c r="P45" s="212"/>
      <c r="Q45" s="212"/>
      <c r="R45" s="212"/>
      <c r="S45" s="212"/>
      <c r="T45" s="212"/>
    </row>
    <row r="46" spans="3:20" outlineLevel="1">
      <c r="D46" s="168" t="str">
        <f>Work_Codes!D14</f>
        <v>LP mains replacement program - Geelong</v>
      </c>
      <c r="H46" s="63"/>
      <c r="J46" s="178"/>
      <c r="K46" s="178"/>
      <c r="L46" s="178"/>
      <c r="M46" s="178"/>
      <c r="N46" s="211"/>
      <c r="O46" s="212"/>
      <c r="P46" s="212"/>
      <c r="Q46" s="212"/>
      <c r="R46" s="212"/>
      <c r="S46" s="212"/>
      <c r="T46" s="212"/>
    </row>
    <row r="47" spans="3:20" outlineLevel="1">
      <c r="D47" s="168" t="str">
        <f>Work_Codes!D15</f>
        <v>LP mains replacement program - Colac</v>
      </c>
      <c r="H47" s="63"/>
      <c r="J47" s="178"/>
      <c r="K47" s="178"/>
      <c r="L47" s="178"/>
      <c r="M47" s="178"/>
      <c r="N47" s="211"/>
      <c r="O47" s="212"/>
      <c r="P47" s="212"/>
      <c r="Q47" s="212"/>
      <c r="R47" s="212"/>
      <c r="S47" s="212"/>
      <c r="T47" s="212"/>
    </row>
    <row r="48" spans="3:20" outlineLevel="1">
      <c r="D48" s="168" t="str">
        <f>Work_Codes!D16</f>
        <v>LP mains replacement program - Warrnambool</v>
      </c>
      <c r="H48" s="63"/>
      <c r="J48" s="178"/>
      <c r="K48" s="178"/>
      <c r="L48" s="178"/>
      <c r="M48" s="178"/>
      <c r="N48" s="211"/>
      <c r="O48" s="212"/>
      <c r="P48" s="212"/>
      <c r="Q48" s="212"/>
      <c r="R48" s="212"/>
      <c r="S48" s="212"/>
      <c r="T48" s="212"/>
    </row>
    <row r="49" spans="3:20" outlineLevel="1">
      <c r="D49" s="168" t="str">
        <f>Work_Codes!D17</f>
        <v>LP mains replacement program - Hamilton</v>
      </c>
      <c r="H49" s="63"/>
      <c r="J49" s="178"/>
      <c r="K49" s="178"/>
      <c r="L49" s="178"/>
      <c r="M49" s="178"/>
      <c r="N49" s="211"/>
      <c r="O49" s="212"/>
      <c r="P49" s="212"/>
      <c r="Q49" s="212"/>
      <c r="R49" s="212"/>
      <c r="S49" s="212"/>
      <c r="T49" s="212"/>
    </row>
    <row r="50" spans="3:20" outlineLevel="1">
      <c r="D50" s="168" t="str">
        <f>Work_Codes!D18</f>
        <v>LP mains replacement program - Portland</v>
      </c>
      <c r="H50" s="63"/>
      <c r="J50" s="178"/>
      <c r="K50" s="178"/>
      <c r="L50" s="178"/>
      <c r="M50" s="178"/>
      <c r="N50" s="211"/>
      <c r="O50" s="212"/>
      <c r="P50" s="212"/>
      <c r="Q50" s="212"/>
      <c r="R50" s="212"/>
      <c r="S50" s="212"/>
      <c r="T50" s="212"/>
    </row>
    <row r="51" spans="3:20" outlineLevel="1">
      <c r="D51" s="168" t="str">
        <f>Work_Codes!D19</f>
        <v>LP mains replacement program - Ballarat</v>
      </c>
      <c r="H51" s="63"/>
      <c r="J51" s="178"/>
      <c r="K51" s="178"/>
      <c r="L51" s="178"/>
      <c r="M51" s="178"/>
      <c r="N51" s="211"/>
      <c r="O51" s="212"/>
      <c r="P51" s="212"/>
      <c r="Q51" s="212"/>
      <c r="R51" s="212"/>
      <c r="S51" s="212"/>
      <c r="T51" s="212"/>
    </row>
    <row r="52" spans="3:20" outlineLevel="1">
      <c r="D52" s="168" t="str">
        <f>Work_Codes!D20</f>
        <v>LP mains replacement program - Ararat</v>
      </c>
      <c r="H52" s="63"/>
      <c r="J52" s="178"/>
      <c r="K52" s="178"/>
      <c r="L52" s="178"/>
      <c r="M52" s="178"/>
      <c r="N52" s="211"/>
      <c r="O52" s="212"/>
      <c r="P52" s="212"/>
      <c r="Q52" s="212"/>
      <c r="R52" s="212"/>
      <c r="S52" s="212"/>
      <c r="T52" s="212"/>
    </row>
    <row r="53" spans="3:20" outlineLevel="1">
      <c r="D53" s="168" t="str">
        <f>Work_Codes!D21</f>
        <v>LP mains replacement program - Stawell</v>
      </c>
      <c r="H53" s="63"/>
      <c r="J53" s="178"/>
      <c r="K53" s="178"/>
      <c r="L53" s="178"/>
      <c r="M53" s="178"/>
      <c r="N53" s="211"/>
      <c r="O53" s="212"/>
      <c r="P53" s="212"/>
      <c r="Q53" s="212"/>
      <c r="R53" s="212"/>
      <c r="S53" s="212"/>
      <c r="T53" s="212"/>
    </row>
    <row r="54" spans="3:20" outlineLevel="1">
      <c r="D54" s="168" t="str">
        <f>Work_Codes!D22</f>
        <v>LP mains replacement program - Horsham</v>
      </c>
      <c r="H54" s="63"/>
      <c r="J54" s="178"/>
      <c r="K54" s="178"/>
      <c r="L54" s="178"/>
      <c r="M54" s="178"/>
      <c r="N54" s="211"/>
      <c r="O54" s="212"/>
      <c r="P54" s="212"/>
      <c r="Q54" s="212"/>
      <c r="R54" s="212"/>
      <c r="S54" s="212"/>
      <c r="T54" s="212"/>
    </row>
    <row r="55" spans="3:20" outlineLevel="1">
      <c r="D55" s="168" t="str">
        <f>Work_Codes!D23</f>
        <v>LP mains replacement program - Bendigo</v>
      </c>
      <c r="H55" s="63"/>
      <c r="J55" s="178"/>
      <c r="K55" s="178"/>
      <c r="L55" s="178"/>
      <c r="M55" s="178"/>
      <c r="N55" s="211"/>
      <c r="O55" s="212"/>
      <c r="P55" s="212"/>
      <c r="Q55" s="212"/>
      <c r="R55" s="212"/>
      <c r="S55" s="212"/>
      <c r="T55" s="212"/>
    </row>
    <row r="56" spans="3:20" outlineLevel="1">
      <c r="D56" s="59" t="str">
        <f>Work_Codes!D24</f>
        <v>Capex Items Category 13</v>
      </c>
      <c r="H56" s="63"/>
      <c r="J56" s="125"/>
      <c r="K56" s="125"/>
      <c r="L56" s="125"/>
      <c r="M56" s="125"/>
      <c r="N56" s="212"/>
      <c r="O56" s="212"/>
      <c r="P56" s="212"/>
      <c r="Q56" s="212"/>
      <c r="R56" s="212"/>
      <c r="S56" s="212"/>
      <c r="T56" s="212"/>
    </row>
    <row r="57" spans="3:20" outlineLevel="1">
      <c r="D57" s="24"/>
      <c r="H57" s="58"/>
      <c r="J57" s="66"/>
      <c r="K57" s="66"/>
      <c r="L57" s="66"/>
      <c r="M57" s="66"/>
      <c r="N57" s="66"/>
      <c r="O57" s="66"/>
      <c r="P57" s="66"/>
      <c r="Q57" s="66"/>
      <c r="R57" s="66"/>
      <c r="S57" s="66"/>
      <c r="T57" s="66"/>
    </row>
    <row r="58" spans="3:20" outlineLevel="1">
      <c r="C58" s="37" t="s">
        <v>119</v>
      </c>
    </row>
    <row r="59" spans="3:20" ht="5.9" customHeight="1" outlineLevel="1"/>
    <row r="60" spans="3:20" outlineLevel="1">
      <c r="D60" s="37" t="str">
        <f>D42</f>
        <v>Capex Category</v>
      </c>
    </row>
    <row r="61" spans="3:20" ht="5.9" customHeight="1" outlineLevel="1"/>
    <row r="62" spans="3:20" outlineLevel="1">
      <c r="D62" s="59" t="str">
        <f>Work_Codes!D12</f>
        <v>LP mains replacement program - Ascot Vale</v>
      </c>
      <c r="J62" s="163"/>
      <c r="K62" s="163"/>
      <c r="L62" s="163"/>
      <c r="M62" s="163"/>
      <c r="N62" s="213"/>
      <c r="O62" s="213"/>
      <c r="P62" s="213"/>
      <c r="Q62" s="213"/>
      <c r="R62" s="213"/>
      <c r="S62" s="213"/>
      <c r="T62" s="213"/>
    </row>
    <row r="63" spans="3:20" outlineLevel="1">
      <c r="D63" s="168" t="str">
        <f>Work_Codes!D13</f>
        <v>LP mains replacement program - Geelong West</v>
      </c>
      <c r="J63" s="163"/>
      <c r="K63" s="163"/>
      <c r="L63" s="163"/>
      <c r="M63" s="163"/>
      <c r="N63" s="213"/>
      <c r="O63" s="213"/>
      <c r="P63" s="213"/>
      <c r="Q63" s="213"/>
      <c r="R63" s="213"/>
      <c r="S63" s="213"/>
      <c r="T63" s="213"/>
    </row>
    <row r="64" spans="3:20" outlineLevel="1">
      <c r="D64" s="168" t="str">
        <f>Work_Codes!D14</f>
        <v>LP mains replacement program - Geelong</v>
      </c>
      <c r="J64" s="163"/>
      <c r="K64" s="163"/>
      <c r="L64" s="163"/>
      <c r="M64" s="163"/>
      <c r="N64" s="213"/>
      <c r="O64" s="213"/>
      <c r="P64" s="213"/>
      <c r="Q64" s="213"/>
      <c r="R64" s="213"/>
      <c r="S64" s="213"/>
      <c r="T64" s="213"/>
    </row>
    <row r="65" spans="3:20" outlineLevel="1">
      <c r="D65" s="168" t="str">
        <f>Work_Codes!D15</f>
        <v>LP mains replacement program - Colac</v>
      </c>
      <c r="J65" s="163"/>
      <c r="K65" s="163"/>
      <c r="L65" s="163"/>
      <c r="M65" s="163"/>
      <c r="N65" s="213"/>
      <c r="O65" s="213"/>
      <c r="P65" s="213"/>
      <c r="Q65" s="213"/>
      <c r="R65" s="213"/>
      <c r="S65" s="213"/>
      <c r="T65" s="213"/>
    </row>
    <row r="66" spans="3:20" outlineLevel="1">
      <c r="D66" s="168" t="str">
        <f>Work_Codes!D16</f>
        <v>LP mains replacement program - Warrnambool</v>
      </c>
      <c r="J66" s="163"/>
      <c r="K66" s="163"/>
      <c r="L66" s="163"/>
      <c r="M66" s="163"/>
      <c r="N66" s="213"/>
      <c r="O66" s="213"/>
      <c r="P66" s="213"/>
      <c r="Q66" s="213"/>
      <c r="R66" s="213"/>
      <c r="S66" s="213"/>
      <c r="T66" s="213"/>
    </row>
    <row r="67" spans="3:20" outlineLevel="1">
      <c r="D67" s="168" t="str">
        <f>Work_Codes!D17</f>
        <v>LP mains replacement program - Hamilton</v>
      </c>
      <c r="J67" s="163"/>
      <c r="K67" s="163"/>
      <c r="L67" s="163"/>
      <c r="M67" s="163"/>
      <c r="N67" s="213"/>
      <c r="O67" s="213"/>
      <c r="P67" s="213"/>
      <c r="Q67" s="213"/>
      <c r="R67" s="213"/>
      <c r="S67" s="213"/>
      <c r="T67" s="213"/>
    </row>
    <row r="68" spans="3:20" outlineLevel="1">
      <c r="D68" s="168" t="str">
        <f>Work_Codes!D18</f>
        <v>LP mains replacement program - Portland</v>
      </c>
      <c r="J68" s="163"/>
      <c r="K68" s="163"/>
      <c r="L68" s="163"/>
      <c r="M68" s="163"/>
      <c r="N68" s="213"/>
      <c r="O68" s="213"/>
      <c r="P68" s="213"/>
      <c r="Q68" s="213"/>
      <c r="R68" s="213"/>
      <c r="S68" s="213"/>
      <c r="T68" s="213"/>
    </row>
    <row r="69" spans="3:20" outlineLevel="1">
      <c r="D69" s="168" t="str">
        <f>Work_Codes!D19</f>
        <v>LP mains replacement program - Ballarat</v>
      </c>
      <c r="J69" s="163"/>
      <c r="K69" s="163"/>
      <c r="L69" s="163"/>
      <c r="M69" s="163"/>
      <c r="N69" s="213"/>
      <c r="O69" s="213"/>
      <c r="P69" s="213"/>
      <c r="Q69" s="213"/>
      <c r="R69" s="213"/>
      <c r="S69" s="213"/>
      <c r="T69" s="213"/>
    </row>
    <row r="70" spans="3:20" outlineLevel="1">
      <c r="D70" s="168" t="str">
        <f>Work_Codes!D20</f>
        <v>LP mains replacement program - Ararat</v>
      </c>
      <c r="J70" s="163"/>
      <c r="K70" s="163"/>
      <c r="L70" s="163"/>
      <c r="M70" s="163"/>
      <c r="N70" s="213"/>
      <c r="O70" s="213"/>
      <c r="P70" s="213"/>
      <c r="Q70" s="213"/>
      <c r="R70" s="213"/>
      <c r="S70" s="213"/>
      <c r="T70" s="213"/>
    </row>
    <row r="71" spans="3:20" outlineLevel="1">
      <c r="D71" s="168" t="str">
        <f>Work_Codes!D21</f>
        <v>LP mains replacement program - Stawell</v>
      </c>
      <c r="J71" s="163"/>
      <c r="K71" s="163"/>
      <c r="L71" s="163"/>
      <c r="M71" s="163"/>
      <c r="N71" s="213"/>
      <c r="O71" s="213"/>
      <c r="P71" s="213"/>
      <c r="Q71" s="213"/>
      <c r="R71" s="213"/>
      <c r="S71" s="213"/>
      <c r="T71" s="213"/>
    </row>
    <row r="72" spans="3:20" outlineLevel="1">
      <c r="D72" s="168" t="str">
        <f>Work_Codes!D22</f>
        <v>LP mains replacement program - Horsham</v>
      </c>
      <c r="J72" s="163"/>
      <c r="K72" s="163"/>
      <c r="L72" s="163"/>
      <c r="M72" s="163"/>
      <c r="N72" s="213"/>
      <c r="O72" s="213"/>
      <c r="P72" s="213"/>
      <c r="Q72" s="213"/>
      <c r="R72" s="213"/>
      <c r="S72" s="213"/>
      <c r="T72" s="213"/>
    </row>
    <row r="73" spans="3:20" outlineLevel="1">
      <c r="D73" s="168" t="str">
        <f>Work_Codes!D23</f>
        <v>LP mains replacement program - Bendigo</v>
      </c>
      <c r="J73" s="163"/>
      <c r="K73" s="163"/>
      <c r="L73" s="163"/>
      <c r="M73" s="163"/>
      <c r="N73" s="213"/>
      <c r="O73" s="213"/>
      <c r="P73" s="213"/>
      <c r="Q73" s="213"/>
      <c r="R73" s="213"/>
      <c r="S73" s="213"/>
      <c r="T73" s="213"/>
    </row>
    <row r="74" spans="3:20" outlineLevel="1">
      <c r="D74" s="59" t="str">
        <f>Work_Codes!D24</f>
        <v>Capex Items Category 13</v>
      </c>
      <c r="J74" s="163"/>
      <c r="K74" s="163"/>
      <c r="L74" s="163"/>
      <c r="M74" s="163"/>
      <c r="N74" s="213"/>
      <c r="O74" s="214"/>
      <c r="P74" s="213"/>
      <c r="Q74" s="213"/>
      <c r="R74" s="213"/>
      <c r="S74" s="213"/>
      <c r="T74" s="213"/>
    </row>
    <row r="75" spans="3:20" outlineLevel="1"/>
    <row r="76" spans="3:20" outlineLevel="1">
      <c r="C76" s="37" t="s">
        <v>193</v>
      </c>
    </row>
    <row r="77" spans="3:20" ht="5.9" customHeight="1" outlineLevel="1"/>
    <row r="78" spans="3:20" s="41" customFormat="1" outlineLevel="1">
      <c r="D78" s="50" t="str">
        <f>D42</f>
        <v>Capex Category</v>
      </c>
    </row>
    <row r="79" spans="3:20" s="41" customFormat="1" ht="5.9" customHeight="1" outlineLevel="1"/>
    <row r="80" spans="3:20" s="41" customFormat="1" outlineLevel="1">
      <c r="D80" s="61" t="str">
        <f>Work_Codes!D12</f>
        <v>LP mains replacement program - Ascot Vale</v>
      </c>
      <c r="J80" s="81">
        <v>0</v>
      </c>
      <c r="K80" s="81">
        <v>0</v>
      </c>
      <c r="L80" s="81">
        <v>0</v>
      </c>
      <c r="M80" s="81">
        <v>0</v>
      </c>
      <c r="N80" s="81">
        <v>0</v>
      </c>
      <c r="O80" s="81">
        <v>6651644.8300000001</v>
      </c>
      <c r="P80" s="81">
        <v>2707812.6660000002</v>
      </c>
      <c r="Q80" s="81">
        <v>0</v>
      </c>
      <c r="R80" s="81">
        <v>0</v>
      </c>
      <c r="S80" s="81">
        <v>0</v>
      </c>
      <c r="T80" s="81">
        <v>0</v>
      </c>
    </row>
    <row r="81" spans="3:20" outlineLevel="1">
      <c r="D81" s="168" t="str">
        <f>Work_Codes!D13</f>
        <v>LP mains replacement program - Geelong West</v>
      </c>
      <c r="J81" s="81">
        <v>0</v>
      </c>
      <c r="K81" s="81">
        <v>0</v>
      </c>
      <c r="L81" s="81">
        <v>0</v>
      </c>
      <c r="M81" s="81">
        <v>0</v>
      </c>
      <c r="N81" s="81">
        <v>0</v>
      </c>
      <c r="O81" s="81">
        <v>0</v>
      </c>
      <c r="P81" s="81">
        <v>0</v>
      </c>
      <c r="Q81" s="81">
        <v>5536000</v>
      </c>
      <c r="R81" s="81">
        <v>0</v>
      </c>
      <c r="S81" s="81">
        <v>0</v>
      </c>
      <c r="T81" s="81">
        <v>0</v>
      </c>
    </row>
    <row r="82" spans="3:20" outlineLevel="1">
      <c r="D82" s="168" t="str">
        <f>Work_Codes!D14</f>
        <v>LP mains replacement program - Geelong</v>
      </c>
      <c r="J82" s="81">
        <v>0</v>
      </c>
      <c r="K82" s="81">
        <v>0</v>
      </c>
      <c r="L82" s="81">
        <v>0</v>
      </c>
      <c r="M82" s="81">
        <v>0</v>
      </c>
      <c r="N82" s="81">
        <v>0</v>
      </c>
      <c r="O82" s="81">
        <v>0</v>
      </c>
      <c r="P82" s="81">
        <v>6078600</v>
      </c>
      <c r="Q82" s="81">
        <v>0</v>
      </c>
      <c r="R82" s="81">
        <v>0</v>
      </c>
      <c r="S82" s="81">
        <v>0</v>
      </c>
      <c r="T82" s="81">
        <v>0</v>
      </c>
    </row>
    <row r="83" spans="3:20" outlineLevel="1">
      <c r="D83" s="168" t="str">
        <f>Work_Codes!D15</f>
        <v>LP mains replacement program - Colac</v>
      </c>
      <c r="J83" s="81">
        <v>0</v>
      </c>
      <c r="K83" s="81">
        <v>0</v>
      </c>
      <c r="L83" s="81">
        <v>0</v>
      </c>
      <c r="M83" s="81">
        <v>0</v>
      </c>
      <c r="N83" s="81">
        <v>0</v>
      </c>
      <c r="O83" s="81">
        <v>2029705.23</v>
      </c>
      <c r="P83" s="81">
        <v>0</v>
      </c>
      <c r="Q83" s="81">
        <v>0</v>
      </c>
      <c r="R83" s="81">
        <v>0</v>
      </c>
      <c r="S83" s="81">
        <v>0</v>
      </c>
      <c r="T83" s="81">
        <v>0</v>
      </c>
    </row>
    <row r="84" spans="3:20" outlineLevel="1">
      <c r="D84" s="168" t="str">
        <f>Work_Codes!D16</f>
        <v>LP mains replacement program - Warrnambool</v>
      </c>
      <c r="J84" s="81">
        <v>0</v>
      </c>
      <c r="K84" s="81">
        <v>0</v>
      </c>
      <c r="L84" s="81">
        <v>0</v>
      </c>
      <c r="M84" s="81">
        <v>0</v>
      </c>
      <c r="N84" s="81">
        <v>0</v>
      </c>
      <c r="O84" s="81">
        <v>0</v>
      </c>
      <c r="P84" s="81">
        <v>3358110</v>
      </c>
      <c r="Q84" s="81">
        <v>3664500</v>
      </c>
      <c r="R84" s="81">
        <v>4275000</v>
      </c>
      <c r="S84" s="81">
        <v>6106240</v>
      </c>
      <c r="T84" s="81">
        <v>2887430</v>
      </c>
    </row>
    <row r="85" spans="3:20" outlineLevel="1">
      <c r="D85" s="168" t="str">
        <f>Work_Codes!D17</f>
        <v>LP mains replacement program - Hamilton</v>
      </c>
      <c r="J85" s="81">
        <v>0</v>
      </c>
      <c r="K85" s="81">
        <v>0</v>
      </c>
      <c r="L85" s="81">
        <v>0</v>
      </c>
      <c r="M85" s="81">
        <v>0</v>
      </c>
      <c r="N85" s="81">
        <v>0</v>
      </c>
      <c r="O85" s="81">
        <v>0</v>
      </c>
      <c r="P85" s="81">
        <v>0</v>
      </c>
      <c r="Q85" s="81">
        <v>2347020</v>
      </c>
      <c r="R85" s="81">
        <v>3242680</v>
      </c>
      <c r="S85" s="81">
        <v>0</v>
      </c>
      <c r="T85" s="81">
        <v>0</v>
      </c>
    </row>
    <row r="86" spans="3:20" outlineLevel="1">
      <c r="D86" s="168" t="str">
        <f>Work_Codes!D18</f>
        <v>LP mains replacement program - Portland</v>
      </c>
      <c r="J86" s="81">
        <v>0</v>
      </c>
      <c r="K86" s="81">
        <v>0</v>
      </c>
      <c r="L86" s="81">
        <v>0</v>
      </c>
      <c r="M86" s="81">
        <v>0</v>
      </c>
      <c r="N86" s="81">
        <v>0</v>
      </c>
      <c r="O86" s="81">
        <v>2763061</v>
      </c>
      <c r="P86" s="81">
        <v>2521200</v>
      </c>
      <c r="Q86" s="81">
        <v>0</v>
      </c>
      <c r="R86" s="81">
        <v>0</v>
      </c>
      <c r="S86" s="81">
        <v>0</v>
      </c>
      <c r="T86" s="81">
        <v>0</v>
      </c>
    </row>
    <row r="87" spans="3:20" outlineLevel="1">
      <c r="D87" s="168" t="str">
        <f>Work_Codes!D19</f>
        <v>LP mains replacement program - Ballarat</v>
      </c>
      <c r="J87" s="81">
        <v>0</v>
      </c>
      <c r="K87" s="81">
        <v>0</v>
      </c>
      <c r="L87" s="81">
        <v>0</v>
      </c>
      <c r="M87" s="81">
        <v>0</v>
      </c>
      <c r="N87" s="81">
        <v>0</v>
      </c>
      <c r="O87" s="81">
        <v>3258357.28</v>
      </c>
      <c r="P87" s="81">
        <v>0</v>
      </c>
      <c r="Q87" s="81">
        <v>0</v>
      </c>
      <c r="R87" s="81">
        <v>0</v>
      </c>
      <c r="S87" s="81">
        <v>0</v>
      </c>
      <c r="T87" s="81">
        <v>0</v>
      </c>
    </row>
    <row r="88" spans="3:20" outlineLevel="1">
      <c r="D88" s="168" t="str">
        <f>Work_Codes!D20</f>
        <v>LP mains replacement program - Ararat</v>
      </c>
      <c r="J88" s="81">
        <v>0</v>
      </c>
      <c r="K88" s="81">
        <v>0</v>
      </c>
      <c r="L88" s="81">
        <v>0</v>
      </c>
      <c r="M88" s="81">
        <v>0</v>
      </c>
      <c r="N88" s="81">
        <v>0</v>
      </c>
      <c r="O88" s="81">
        <v>0</v>
      </c>
      <c r="P88" s="81">
        <v>1073880</v>
      </c>
      <c r="Q88" s="81">
        <v>1983250</v>
      </c>
      <c r="R88" s="81">
        <v>2660500</v>
      </c>
      <c r="S88" s="81">
        <v>2108430</v>
      </c>
      <c r="T88" s="81">
        <v>1896390</v>
      </c>
    </row>
    <row r="89" spans="3:20" outlineLevel="1">
      <c r="D89" s="168" t="str">
        <f>Work_Codes!D21</f>
        <v>LP mains replacement program - Stawell</v>
      </c>
      <c r="J89" s="81">
        <v>0</v>
      </c>
      <c r="K89" s="81">
        <v>0</v>
      </c>
      <c r="L89" s="81">
        <v>0</v>
      </c>
      <c r="M89" s="81">
        <v>0</v>
      </c>
      <c r="N89" s="81">
        <v>0</v>
      </c>
      <c r="O89" s="81">
        <v>1126014.5</v>
      </c>
      <c r="P89" s="81">
        <v>1361920</v>
      </c>
      <c r="Q89" s="81">
        <v>2065785</v>
      </c>
      <c r="R89" s="81">
        <v>2844000</v>
      </c>
      <c r="S89" s="81">
        <v>2185300</v>
      </c>
      <c r="T89" s="81">
        <v>0</v>
      </c>
    </row>
    <row r="90" spans="3:20" outlineLevel="1">
      <c r="D90" s="168" t="str">
        <f>Work_Codes!D22</f>
        <v>LP mains replacement program - Horsham</v>
      </c>
      <c r="J90" s="81">
        <v>0</v>
      </c>
      <c r="K90" s="81">
        <v>0</v>
      </c>
      <c r="L90" s="81">
        <v>0</v>
      </c>
      <c r="M90" s="81">
        <v>0</v>
      </c>
      <c r="N90" s="81">
        <v>0</v>
      </c>
      <c r="O90" s="81">
        <v>1469787.29</v>
      </c>
      <c r="P90" s="81">
        <v>4748860</v>
      </c>
      <c r="Q90" s="81">
        <v>2744000</v>
      </c>
      <c r="R90" s="81">
        <v>0</v>
      </c>
      <c r="S90" s="81">
        <v>0</v>
      </c>
      <c r="T90" s="81">
        <v>0</v>
      </c>
    </row>
    <row r="91" spans="3:20" outlineLevel="1">
      <c r="D91" s="168" t="str">
        <f>Work_Codes!D23</f>
        <v>LP mains replacement program - Bendigo</v>
      </c>
      <c r="J91" s="81">
        <v>0</v>
      </c>
      <c r="K91" s="81">
        <v>0</v>
      </c>
      <c r="L91" s="81">
        <v>0</v>
      </c>
      <c r="M91" s="81">
        <v>0</v>
      </c>
      <c r="N91" s="81">
        <v>0</v>
      </c>
      <c r="O91" s="81">
        <v>0</v>
      </c>
      <c r="P91" s="81">
        <v>0</v>
      </c>
      <c r="Q91" s="81">
        <v>0</v>
      </c>
      <c r="R91" s="81">
        <v>0</v>
      </c>
      <c r="S91" s="81">
        <v>3326880</v>
      </c>
      <c r="T91" s="81">
        <v>3326880</v>
      </c>
    </row>
    <row r="92" spans="3:20" s="41" customFormat="1" outlineLevel="1">
      <c r="D92" s="61" t="str">
        <f>Work_Codes!D24</f>
        <v>Capex Items Category 13</v>
      </c>
      <c r="J92" s="81">
        <v>0</v>
      </c>
      <c r="K92" s="81">
        <v>0</v>
      </c>
      <c r="L92" s="81">
        <v>0</v>
      </c>
      <c r="M92" s="81">
        <v>0</v>
      </c>
      <c r="N92" s="81">
        <v>17340833.066654302</v>
      </c>
      <c r="O92" s="81">
        <v>0</v>
      </c>
      <c r="P92" s="81">
        <v>0</v>
      </c>
      <c r="Q92" s="81">
        <v>0</v>
      </c>
      <c r="R92" s="81">
        <v>0</v>
      </c>
      <c r="S92" s="81">
        <v>0</v>
      </c>
      <c r="T92" s="81">
        <v>0</v>
      </c>
    </row>
    <row r="93" spans="3:20" s="41" customFormat="1" ht="6" customHeight="1" outlineLevel="1">
      <c r="D93" s="50"/>
      <c r="J93" s="79"/>
      <c r="K93" s="79"/>
      <c r="L93" s="79"/>
      <c r="M93" s="79"/>
      <c r="N93" s="79"/>
      <c r="O93" s="79"/>
      <c r="P93" s="79"/>
      <c r="Q93" s="79"/>
      <c r="R93" s="79"/>
      <c r="S93" s="79"/>
      <c r="T93" s="79"/>
    </row>
    <row r="94" spans="3:20" s="41" customFormat="1" outlineLevel="1">
      <c r="D94" s="249" t="str">
        <f>"Total "&amp;B25</f>
        <v>Total Low Pressure Replacement - Planned</v>
      </c>
      <c r="E94" s="249"/>
      <c r="F94" s="249"/>
      <c r="G94" s="249"/>
      <c r="H94" s="249"/>
      <c r="I94" s="249"/>
      <c r="J94" s="82">
        <f t="shared" ref="J94:T94" si="8">SUM(J80:J93)</f>
        <v>0</v>
      </c>
      <c r="K94" s="82">
        <f t="shared" si="8"/>
        <v>0</v>
      </c>
      <c r="L94" s="82">
        <f t="shared" si="8"/>
        <v>0</v>
      </c>
      <c r="M94" s="82">
        <f t="shared" si="8"/>
        <v>0</v>
      </c>
      <c r="N94" s="82">
        <f t="shared" si="8"/>
        <v>17340833.066654302</v>
      </c>
      <c r="O94" s="82">
        <f t="shared" si="8"/>
        <v>17298570.129999999</v>
      </c>
      <c r="P94" s="82">
        <f t="shared" si="8"/>
        <v>21850382.666000001</v>
      </c>
      <c r="Q94" s="82">
        <f t="shared" si="8"/>
        <v>18340555</v>
      </c>
      <c r="R94" s="82">
        <f t="shared" si="8"/>
        <v>13022180</v>
      </c>
      <c r="S94" s="82">
        <f t="shared" si="8"/>
        <v>13726850</v>
      </c>
      <c r="T94" s="82">
        <f t="shared" si="8"/>
        <v>8110700</v>
      </c>
    </row>
    <row r="95" spans="3:20" outlineLevel="1"/>
    <row r="96" spans="3:20" outlineLevel="1">
      <c r="C96" s="37" t="s">
        <v>286</v>
      </c>
    </row>
    <row r="97" spans="3:20" ht="5.9" customHeight="1" outlineLevel="1"/>
    <row r="98" spans="3:20" outlineLevel="1">
      <c r="D98" s="143" t="str">
        <f>Work_Codes!D28</f>
        <v>Customer Contributions Category 1</v>
      </c>
      <c r="J98" s="148">
        <v>0</v>
      </c>
      <c r="K98" s="148">
        <v>0</v>
      </c>
      <c r="L98" s="148">
        <v>0</v>
      </c>
      <c r="M98" s="148">
        <v>0</v>
      </c>
      <c r="N98" s="148">
        <v>0</v>
      </c>
      <c r="O98" s="148">
        <v>0</v>
      </c>
      <c r="P98" s="148">
        <v>0</v>
      </c>
      <c r="Q98" s="148">
        <v>0</v>
      </c>
      <c r="R98" s="148">
        <v>0</v>
      </c>
      <c r="S98" s="148">
        <v>0</v>
      </c>
      <c r="T98" s="148">
        <v>0</v>
      </c>
    </row>
    <row r="99" spans="3:20" ht="5.9" customHeight="1" outlineLevel="1"/>
    <row r="100" spans="3:20" outlineLevel="1">
      <c r="D100" s="249" t="str">
        <f>"Total "&amp;C96</f>
        <v>Total Customer Connections</v>
      </c>
      <c r="E100" s="249"/>
      <c r="F100" s="249"/>
      <c r="G100" s="249"/>
      <c r="H100" s="249"/>
      <c r="I100" s="249"/>
      <c r="J100" s="82">
        <f t="shared" ref="J100:T100" si="9">SUM(J98:J99)</f>
        <v>0</v>
      </c>
      <c r="K100" s="82">
        <f t="shared" si="9"/>
        <v>0</v>
      </c>
      <c r="L100" s="82">
        <f t="shared" si="9"/>
        <v>0</v>
      </c>
      <c r="M100" s="82">
        <f t="shared" si="9"/>
        <v>0</v>
      </c>
      <c r="N100" s="82">
        <f t="shared" si="9"/>
        <v>0</v>
      </c>
      <c r="O100" s="82">
        <f t="shared" si="9"/>
        <v>0</v>
      </c>
      <c r="P100" s="82">
        <f t="shared" si="9"/>
        <v>0</v>
      </c>
      <c r="Q100" s="82">
        <f t="shared" si="9"/>
        <v>0</v>
      </c>
      <c r="R100" s="82">
        <f t="shared" si="9"/>
        <v>0</v>
      </c>
      <c r="S100" s="82">
        <f t="shared" si="9"/>
        <v>0</v>
      </c>
      <c r="T100" s="82">
        <f t="shared" si="9"/>
        <v>0</v>
      </c>
    </row>
    <row r="101" spans="3:20" s="41" customFormat="1" outlineLevel="1">
      <c r="C101" s="12"/>
      <c r="D101" s="12"/>
      <c r="E101" s="12"/>
      <c r="F101" s="12"/>
      <c r="G101" s="12"/>
      <c r="H101" s="12"/>
      <c r="I101" s="12"/>
      <c r="J101" s="12"/>
      <c r="K101" s="12"/>
      <c r="L101" s="12"/>
      <c r="M101" s="12"/>
      <c r="N101" s="12"/>
      <c r="O101" s="12"/>
      <c r="P101" s="12"/>
      <c r="Q101" s="12"/>
      <c r="R101" s="12"/>
      <c r="S101" s="12"/>
      <c r="T101" s="12"/>
    </row>
    <row r="102" spans="3:20" s="41" customFormat="1" outlineLevel="1"/>
    <row r="103" spans="3:20" s="41" customFormat="1" outlineLevel="1">
      <c r="C103" s="37" t="s">
        <v>213</v>
      </c>
    </row>
    <row r="104" spans="3:20" ht="5.9" hidden="1" customHeight="1" outlineLevel="2"/>
    <row r="105" spans="3:20" s="41" customFormat="1" hidden="1" outlineLevel="2">
      <c r="C105" s="50" t="s">
        <v>128</v>
      </c>
    </row>
    <row r="106" spans="3:20" s="41" customFormat="1" ht="5.9" hidden="1" customHeight="1" outlineLevel="2"/>
    <row r="107" spans="3:20" s="41" customFormat="1" hidden="1" outlineLevel="2">
      <c r="D107" s="61" t="str">
        <f>Work_Codes!D12</f>
        <v>LP mains replacement program - Ascot Vale</v>
      </c>
      <c r="J107" s="80">
        <f>Work_Codes!$I12*J80*J$29</f>
        <v>0</v>
      </c>
      <c r="K107" s="80">
        <f>Work_Codes!$I12*K80*K$29</f>
        <v>0</v>
      </c>
      <c r="L107" s="80">
        <f>Work_Codes!$I12*L80*L$29</f>
        <v>0</v>
      </c>
      <c r="M107" s="80">
        <f>Work_Codes!$I12*M80*M$29</f>
        <v>0</v>
      </c>
      <c r="N107" s="80">
        <f>Work_Codes!$I12*N80*N$29</f>
        <v>0</v>
      </c>
      <c r="O107" s="80">
        <f>Work_Codes!$I12*O80*O$29</f>
        <v>267448.25072662678</v>
      </c>
      <c r="P107" s="80">
        <f>Work_Codes!$I12*P80*P$29</f>
        <v>109420.56244452951</v>
      </c>
      <c r="Q107" s="80">
        <f>Work_Codes!$I12*Q80*Q$29</f>
        <v>0</v>
      </c>
      <c r="R107" s="80">
        <f>Work_Codes!$I12*R80*R$29</f>
        <v>0</v>
      </c>
      <c r="S107" s="80">
        <f>Work_Codes!$I12*S80*S$29</f>
        <v>0</v>
      </c>
      <c r="T107" s="80">
        <f>Work_Codes!$I12*T80*T$29</f>
        <v>0</v>
      </c>
    </row>
    <row r="108" spans="3:20" hidden="1" outlineLevel="2" collapsed="1">
      <c r="D108" s="168" t="str">
        <f>Work_Codes!D13</f>
        <v>LP mains replacement program - Geelong West</v>
      </c>
      <c r="J108" s="81">
        <f>Work_Codes!$I13*J81*J$29</f>
        <v>0</v>
      </c>
      <c r="K108" s="81">
        <f>Work_Codes!$I13*K81*K$29</f>
        <v>0</v>
      </c>
      <c r="L108" s="81">
        <f>Work_Codes!$I13*L81*L$29</f>
        <v>0</v>
      </c>
      <c r="M108" s="81">
        <f>Work_Codes!$I13*M81*M$29</f>
        <v>0</v>
      </c>
      <c r="N108" s="81">
        <f>Work_Codes!$I13*N81*N$29</f>
        <v>0</v>
      </c>
      <c r="O108" s="81">
        <f>Work_Codes!$I13*O81*O$29</f>
        <v>0</v>
      </c>
      <c r="P108" s="81">
        <f>Work_Codes!$I13*P81*P$29</f>
        <v>0</v>
      </c>
      <c r="Q108" s="81">
        <f>Work_Codes!$I13*Q81*Q$29</f>
        <v>225449.67770951756</v>
      </c>
      <c r="R108" s="81">
        <f>Work_Codes!$I13*R81*R$29</f>
        <v>0</v>
      </c>
      <c r="S108" s="81">
        <f>Work_Codes!$I13*S81*S$29</f>
        <v>0</v>
      </c>
      <c r="T108" s="81">
        <f>Work_Codes!$I13*T81*T$29</f>
        <v>0</v>
      </c>
    </row>
    <row r="109" spans="3:20" hidden="1" outlineLevel="2">
      <c r="D109" s="168" t="str">
        <f>Work_Codes!D14</f>
        <v>LP mains replacement program - Geelong</v>
      </c>
      <c r="J109" s="81">
        <f>Work_Codes!$I14*J82*J$29</f>
        <v>0</v>
      </c>
      <c r="K109" s="81">
        <f>Work_Codes!$I14*K82*K$29</f>
        <v>0</v>
      </c>
      <c r="L109" s="81">
        <f>Work_Codes!$I14*L82*L$29</f>
        <v>0</v>
      </c>
      <c r="M109" s="81">
        <f>Work_Codes!$I14*M82*M$29</f>
        <v>0</v>
      </c>
      <c r="N109" s="81">
        <f>Work_Codes!$I14*N82*N$29</f>
        <v>0</v>
      </c>
      <c r="O109" s="81">
        <f>Work_Codes!$I14*O82*O$29</f>
        <v>0</v>
      </c>
      <c r="P109" s="81">
        <f>Work_Codes!$I14*P82*P$29</f>
        <v>245631.40546123625</v>
      </c>
      <c r="Q109" s="81">
        <f>Work_Codes!$I14*Q82*Q$29</f>
        <v>0</v>
      </c>
      <c r="R109" s="81">
        <f>Work_Codes!$I14*R82*R$29</f>
        <v>0</v>
      </c>
      <c r="S109" s="81">
        <f>Work_Codes!$I14*S82*S$29</f>
        <v>0</v>
      </c>
      <c r="T109" s="81">
        <f>Work_Codes!$I14*T82*T$29</f>
        <v>0</v>
      </c>
    </row>
    <row r="110" spans="3:20" hidden="1" outlineLevel="2">
      <c r="D110" s="168" t="str">
        <f>Work_Codes!D15</f>
        <v>LP mains replacement program - Colac</v>
      </c>
      <c r="J110" s="81">
        <f>Work_Codes!$I15*J83*J$29</f>
        <v>0</v>
      </c>
      <c r="K110" s="81">
        <f>Work_Codes!$I15*K83*K$29</f>
        <v>0</v>
      </c>
      <c r="L110" s="81">
        <f>Work_Codes!$I15*L83*L$29</f>
        <v>0</v>
      </c>
      <c r="M110" s="81">
        <f>Work_Codes!$I15*M83*M$29</f>
        <v>0</v>
      </c>
      <c r="N110" s="81">
        <f>Work_Codes!$I15*N83*N$29</f>
        <v>0</v>
      </c>
      <c r="O110" s="81">
        <f>Work_Codes!$I15*O83*O$29</f>
        <v>81610.056929961735</v>
      </c>
      <c r="P110" s="81">
        <f>Work_Codes!$I15*P83*P$29</f>
        <v>0</v>
      </c>
      <c r="Q110" s="81">
        <f>Work_Codes!$I15*Q83*Q$29</f>
        <v>0</v>
      </c>
      <c r="R110" s="81">
        <f>Work_Codes!$I15*R83*R$29</f>
        <v>0</v>
      </c>
      <c r="S110" s="81">
        <f>Work_Codes!$I15*S83*S$29</f>
        <v>0</v>
      </c>
      <c r="T110" s="81">
        <f>Work_Codes!$I15*T83*T$29</f>
        <v>0</v>
      </c>
    </row>
    <row r="111" spans="3:20" hidden="1" outlineLevel="2">
      <c r="D111" s="168" t="str">
        <f>Work_Codes!D16</f>
        <v>LP mains replacement program - Warrnambool</v>
      </c>
      <c r="J111" s="81">
        <f>Work_Codes!$I16*J84*J$29</f>
        <v>0</v>
      </c>
      <c r="K111" s="81">
        <f>Work_Codes!$I16*K84*K$29</f>
        <v>0</v>
      </c>
      <c r="L111" s="81">
        <f>Work_Codes!$I16*L84*L$29</f>
        <v>0</v>
      </c>
      <c r="M111" s="81">
        <f>Work_Codes!$I16*M84*M$29</f>
        <v>0</v>
      </c>
      <c r="N111" s="81">
        <f>Work_Codes!$I16*N84*N$29</f>
        <v>0</v>
      </c>
      <c r="O111" s="81">
        <f>Work_Codes!$I16*O84*O$29</f>
        <v>0</v>
      </c>
      <c r="P111" s="81">
        <f>Work_Codes!$I16*P84*P$29</f>
        <v>135698.56200332841</v>
      </c>
      <c r="Q111" s="81">
        <f>Work_Codes!$I16*Q84*Q$29</f>
        <v>149234.1661789247</v>
      </c>
      <c r="R111" s="81">
        <f>Work_Codes!$I16*R84*R$29</f>
        <v>176012.87674013191</v>
      </c>
      <c r="S111" s="81">
        <f>Work_Codes!$I16*S84*S$29</f>
        <v>254177.4254793257</v>
      </c>
      <c r="T111" s="81">
        <f>Work_Codes!$I16*T84*T$29</f>
        <v>121514.85016868883</v>
      </c>
    </row>
    <row r="112" spans="3:20" hidden="1" outlineLevel="2">
      <c r="D112" s="168" t="str">
        <f>Work_Codes!D17</f>
        <v>LP mains replacement program - Hamilton</v>
      </c>
      <c r="J112" s="81">
        <f>Work_Codes!$I17*J85*J$29</f>
        <v>0</v>
      </c>
      <c r="K112" s="81">
        <f>Work_Codes!$I17*K85*K$29</f>
        <v>0</v>
      </c>
      <c r="L112" s="81">
        <f>Work_Codes!$I17*L85*L$29</f>
        <v>0</v>
      </c>
      <c r="M112" s="81">
        <f>Work_Codes!$I17*M85*M$29</f>
        <v>0</v>
      </c>
      <c r="N112" s="81">
        <f>Work_Codes!$I17*N85*N$29</f>
        <v>0</v>
      </c>
      <c r="O112" s="81">
        <f>Work_Codes!$I17*O85*O$29</f>
        <v>0</v>
      </c>
      <c r="P112" s="81">
        <f>Work_Codes!$I17*P85*P$29</f>
        <v>0</v>
      </c>
      <c r="Q112" s="81">
        <f>Work_Codes!$I17*Q85*Q$29</f>
        <v>95580.726621710972</v>
      </c>
      <c r="R112" s="81">
        <f>Work_Codes!$I17*R85*R$29</f>
        <v>133509.57547314407</v>
      </c>
      <c r="S112" s="81">
        <f>Work_Codes!$I17*S85*S$29</f>
        <v>0</v>
      </c>
      <c r="T112" s="81">
        <f>Work_Codes!$I17*T85*T$29</f>
        <v>0</v>
      </c>
    </row>
    <row r="113" spans="3:20" hidden="1" outlineLevel="2">
      <c r="D113" s="168" t="str">
        <f>Work_Codes!D18</f>
        <v>LP mains replacement program - Portland</v>
      </c>
      <c r="J113" s="81">
        <f>Work_Codes!$I18*J86*J$29</f>
        <v>0</v>
      </c>
      <c r="K113" s="81">
        <f>Work_Codes!$I18*K86*K$29</f>
        <v>0</v>
      </c>
      <c r="L113" s="81">
        <f>Work_Codes!$I18*L86*L$29</f>
        <v>0</v>
      </c>
      <c r="M113" s="81">
        <f>Work_Codes!$I18*M86*M$29</f>
        <v>0</v>
      </c>
      <c r="N113" s="81">
        <f>Work_Codes!$I18*N86*N$29</f>
        <v>0</v>
      </c>
      <c r="O113" s="81">
        <f>Work_Codes!$I18*O86*O$29</f>
        <v>111096.7061512459</v>
      </c>
      <c r="P113" s="81">
        <f>Work_Codes!$I18*P86*P$29</f>
        <v>101879.69260172882</v>
      </c>
      <c r="Q113" s="81">
        <f>Work_Codes!$I18*Q86*Q$29</f>
        <v>0</v>
      </c>
      <c r="R113" s="81">
        <f>Work_Codes!$I18*R86*R$29</f>
        <v>0</v>
      </c>
      <c r="S113" s="81">
        <f>Work_Codes!$I18*S86*S$29</f>
        <v>0</v>
      </c>
      <c r="T113" s="81">
        <f>Work_Codes!$I18*T86*T$29</f>
        <v>0</v>
      </c>
    </row>
    <row r="114" spans="3:20" hidden="1" outlineLevel="2">
      <c r="D114" s="168" t="str">
        <f>Work_Codes!D19</f>
        <v>LP mains replacement program - Ballarat</v>
      </c>
      <c r="J114" s="81">
        <f>Work_Codes!$I19*J87*J$29</f>
        <v>0</v>
      </c>
      <c r="K114" s="81">
        <f>Work_Codes!$I19*K87*K$29</f>
        <v>0</v>
      </c>
      <c r="L114" s="81">
        <f>Work_Codes!$I19*L87*L$29</f>
        <v>0</v>
      </c>
      <c r="M114" s="81">
        <f>Work_Codes!$I19*M87*M$29</f>
        <v>0</v>
      </c>
      <c r="N114" s="81">
        <f>Work_Codes!$I19*N87*N$29</f>
        <v>0</v>
      </c>
      <c r="O114" s="81">
        <f>Work_Codes!$I19*O87*O$29</f>
        <v>131011.49821590362</v>
      </c>
      <c r="P114" s="81">
        <f>Work_Codes!$I19*P87*P$29</f>
        <v>0</v>
      </c>
      <c r="Q114" s="81">
        <f>Work_Codes!$I19*Q87*Q$29</f>
        <v>0</v>
      </c>
      <c r="R114" s="81">
        <f>Work_Codes!$I19*R87*R$29</f>
        <v>0</v>
      </c>
      <c r="S114" s="81">
        <f>Work_Codes!$I19*S87*S$29</f>
        <v>0</v>
      </c>
      <c r="T114" s="81">
        <f>Work_Codes!$I19*T87*T$29</f>
        <v>0</v>
      </c>
    </row>
    <row r="115" spans="3:20" hidden="1" outlineLevel="2">
      <c r="D115" s="168" t="str">
        <f>Work_Codes!D20</f>
        <v>LP mains replacement program - Ararat</v>
      </c>
      <c r="J115" s="81">
        <f>Work_Codes!$I20*J88*J$29</f>
        <v>0</v>
      </c>
      <c r="K115" s="81">
        <f>Work_Codes!$I20*K88*K$29</f>
        <v>0</v>
      </c>
      <c r="L115" s="81">
        <f>Work_Codes!$I20*L88*L$29</f>
        <v>0</v>
      </c>
      <c r="M115" s="81">
        <f>Work_Codes!$I20*M88*M$29</f>
        <v>0</v>
      </c>
      <c r="N115" s="81">
        <f>Work_Codes!$I20*N88*N$29</f>
        <v>0</v>
      </c>
      <c r="O115" s="81">
        <f>Work_Codes!$I20*O88*O$29</f>
        <v>0</v>
      </c>
      <c r="P115" s="81">
        <f>Work_Codes!$I20*P88*P$29</f>
        <v>43394.639176243283</v>
      </c>
      <c r="Q115" s="81">
        <f>Work_Codes!$I20*Q88*Q$29</f>
        <v>80766.451105021799</v>
      </c>
      <c r="R115" s="81">
        <f>Work_Codes!$I20*R88*R$29</f>
        <v>109539.70960634408</v>
      </c>
      <c r="S115" s="81">
        <f>Work_Codes!$I20*S88*S$29</f>
        <v>87765.189249583156</v>
      </c>
      <c r="T115" s="81">
        <f>Work_Codes!$I20*T88*T$29</f>
        <v>79807.838358470966</v>
      </c>
    </row>
    <row r="116" spans="3:20" hidden="1" outlineLevel="2">
      <c r="D116" s="168" t="str">
        <f>Work_Codes!D21</f>
        <v>LP mains replacement program - Stawell</v>
      </c>
      <c r="J116" s="81">
        <f>Work_Codes!$I21*J89*J$29</f>
        <v>0</v>
      </c>
      <c r="K116" s="81">
        <f>Work_Codes!$I21*K89*K$29</f>
        <v>0</v>
      </c>
      <c r="L116" s="81">
        <f>Work_Codes!$I21*L89*L$29</f>
        <v>0</v>
      </c>
      <c r="M116" s="81">
        <f>Work_Codes!$I21*M89*M$29</f>
        <v>0</v>
      </c>
      <c r="N116" s="81">
        <f>Work_Codes!$I21*N89*N$29</f>
        <v>0</v>
      </c>
      <c r="O116" s="81">
        <f>Work_Codes!$I21*O89*O$29</f>
        <v>45274.607411324643</v>
      </c>
      <c r="P116" s="81">
        <f>Work_Codes!$I21*P89*P$29</f>
        <v>55034.107150621341</v>
      </c>
      <c r="Q116" s="81">
        <f>Work_Codes!$I21*Q89*Q$29</f>
        <v>84127.630503460226</v>
      </c>
      <c r="R116" s="81">
        <f>Work_Codes!$I21*R89*R$29</f>
        <v>117094.88221027722</v>
      </c>
      <c r="S116" s="81">
        <f>Work_Codes!$I21*S89*S$29</f>
        <v>90964.968278346481</v>
      </c>
      <c r="T116" s="81">
        <f>Work_Codes!$I21*T89*T$29</f>
        <v>0</v>
      </c>
    </row>
    <row r="117" spans="3:20" hidden="1" outlineLevel="2">
      <c r="D117" s="168" t="str">
        <f>Work_Codes!D22</f>
        <v>LP mains replacement program - Horsham</v>
      </c>
      <c r="J117" s="81">
        <f>Work_Codes!$I22*J90*J$29</f>
        <v>0</v>
      </c>
      <c r="K117" s="81">
        <f>Work_Codes!$I22*K90*K$29</f>
        <v>0</v>
      </c>
      <c r="L117" s="81">
        <f>Work_Codes!$I22*L90*L$29</f>
        <v>0</v>
      </c>
      <c r="M117" s="81">
        <f>Work_Codes!$I22*M90*M$29</f>
        <v>0</v>
      </c>
      <c r="N117" s="81">
        <f>Work_Codes!$I22*N90*N$29</f>
        <v>0</v>
      </c>
      <c r="O117" s="81">
        <f>Work_Codes!$I22*O90*O$29</f>
        <v>59096.967697045431</v>
      </c>
      <c r="P117" s="81">
        <f>Work_Codes!$I22*P90*P$29</f>
        <v>191897.66659076864</v>
      </c>
      <c r="Q117" s="81">
        <f>Work_Codes!$I22*Q90*Q$29</f>
        <v>111747.45585890827</v>
      </c>
      <c r="R117" s="81">
        <f>Work_Codes!$I22*R90*R$29</f>
        <v>0</v>
      </c>
      <c r="S117" s="81">
        <f>Work_Codes!$I22*S90*S$29</f>
        <v>0</v>
      </c>
      <c r="T117" s="81">
        <f>Work_Codes!$I22*T90*T$29</f>
        <v>0</v>
      </c>
    </row>
    <row r="118" spans="3:20" hidden="1" outlineLevel="2">
      <c r="D118" s="168" t="str">
        <f>Work_Codes!D23</f>
        <v>LP mains replacement program - Bendigo</v>
      </c>
      <c r="J118" s="81">
        <f>Work_Codes!$I23*J91*J$29</f>
        <v>0</v>
      </c>
      <c r="K118" s="81">
        <f>Work_Codes!$I23*K91*K$29</f>
        <v>0</v>
      </c>
      <c r="L118" s="81">
        <f>Work_Codes!$I23*L91*L$29</f>
        <v>0</v>
      </c>
      <c r="M118" s="81">
        <f>Work_Codes!$I23*M91*M$29</f>
        <v>0</v>
      </c>
      <c r="N118" s="81">
        <f>Work_Codes!$I23*N91*N$29</f>
        <v>0</v>
      </c>
      <c r="O118" s="81">
        <f>Work_Codes!$I23*O91*O$29</f>
        <v>0</v>
      </c>
      <c r="P118" s="81">
        <f>Work_Codes!$I23*P91*P$29</f>
        <v>0</v>
      </c>
      <c r="Q118" s="81">
        <f>Work_Codes!$I23*Q91*Q$29</f>
        <v>0</v>
      </c>
      <c r="R118" s="81">
        <f>Work_Codes!$I23*R91*R$29</f>
        <v>0</v>
      </c>
      <c r="S118" s="81">
        <f>Work_Codes!$I23*S91*S$29</f>
        <v>138484.20521935908</v>
      </c>
      <c r="T118" s="81">
        <f>Work_Codes!$I23*T91*T$29</f>
        <v>140008.70141586376</v>
      </c>
    </row>
    <row r="119" spans="3:20" s="41" customFormat="1" hidden="1" outlineLevel="2">
      <c r="D119" s="61" t="str">
        <f>Work_Codes!D24</f>
        <v>Capex Items Category 13</v>
      </c>
      <c r="J119" s="80">
        <f>Work_Codes!$I24*J92*J$29</f>
        <v>0</v>
      </c>
      <c r="K119" s="80">
        <f>Work_Codes!$I24*K92*K$29</f>
        <v>0</v>
      </c>
      <c r="L119" s="80">
        <f>Work_Codes!$I24*L92*L$29</f>
        <v>0</v>
      </c>
      <c r="M119" s="80">
        <f>Work_Codes!$I24*M92*M$29</f>
        <v>0</v>
      </c>
      <c r="N119" s="80">
        <f>Work_Codes!$I24*N92*N$29</f>
        <v>693633.32266617205</v>
      </c>
      <c r="O119" s="80">
        <f>Work_Codes!$I24*O92*O$29</f>
        <v>0</v>
      </c>
      <c r="P119" s="80">
        <f>Work_Codes!$I24*P92*P$29</f>
        <v>0</v>
      </c>
      <c r="Q119" s="80">
        <f>Work_Codes!$I24*Q92*Q$29</f>
        <v>0</v>
      </c>
      <c r="R119" s="80">
        <f>Work_Codes!$I24*R92*R$29</f>
        <v>0</v>
      </c>
      <c r="S119" s="80">
        <f>Work_Codes!$I24*S92*S$29</f>
        <v>0</v>
      </c>
      <c r="T119" s="80">
        <f>Work_Codes!$I24*T92*T$29</f>
        <v>0</v>
      </c>
    </row>
    <row r="120" spans="3:20" s="41" customFormat="1" ht="5.9" hidden="1" customHeight="1" outlineLevel="2"/>
    <row r="121" spans="3:20" s="41" customFormat="1" hidden="1" outlineLevel="2">
      <c r="D121" s="249" t="str">
        <f>"Total "&amp;C105</f>
        <v>Total Internal Labour</v>
      </c>
      <c r="E121" s="249"/>
      <c r="F121" s="249"/>
      <c r="G121" s="249"/>
      <c r="H121" s="249"/>
      <c r="I121" s="249"/>
      <c r="J121" s="82">
        <f t="shared" ref="J121:T121" si="10">SUM(J107:J120)</f>
        <v>0</v>
      </c>
      <c r="K121" s="82">
        <f t="shared" si="10"/>
        <v>0</v>
      </c>
      <c r="L121" s="82">
        <f t="shared" si="10"/>
        <v>0</v>
      </c>
      <c r="M121" s="82">
        <f t="shared" si="10"/>
        <v>0</v>
      </c>
      <c r="N121" s="82">
        <f t="shared" si="10"/>
        <v>693633.32266617205</v>
      </c>
      <c r="O121" s="82">
        <f t="shared" si="10"/>
        <v>695538.08713210805</v>
      </c>
      <c r="P121" s="82">
        <f t="shared" si="10"/>
        <v>882956.63542845624</v>
      </c>
      <c r="Q121" s="82">
        <f t="shared" si="10"/>
        <v>746906.10797754349</v>
      </c>
      <c r="R121" s="82">
        <f t="shared" si="10"/>
        <v>536157.04402989731</v>
      </c>
      <c r="S121" s="82">
        <f t="shared" si="10"/>
        <v>571391.78822661447</v>
      </c>
      <c r="T121" s="82">
        <f t="shared" si="10"/>
        <v>341331.38994302356</v>
      </c>
    </row>
    <row r="122" spans="3:20" s="41" customFormat="1" hidden="1" outlineLevel="2"/>
    <row r="123" spans="3:20" s="41" customFormat="1" hidden="1" outlineLevel="2">
      <c r="C123" s="50" t="s">
        <v>129</v>
      </c>
    </row>
    <row r="124" spans="3:20" s="41" customFormat="1" ht="5.9" hidden="1" customHeight="1" outlineLevel="2"/>
    <row r="125" spans="3:20" s="41" customFormat="1" hidden="1" outlineLevel="2">
      <c r="D125" s="61" t="str">
        <f>Work_Codes!D12</f>
        <v>LP mains replacement program - Ascot Vale</v>
      </c>
      <c r="J125" s="80">
        <f>Work_Codes!$J12*J80*J$30</f>
        <v>0</v>
      </c>
      <c r="K125" s="80">
        <f>Work_Codes!$J12*K80*K$30</f>
        <v>0</v>
      </c>
      <c r="L125" s="80">
        <f>Work_Codes!$J12*L80*L$30</f>
        <v>0</v>
      </c>
      <c r="M125" s="80">
        <f>Work_Codes!$J12*M80*M$30</f>
        <v>0</v>
      </c>
      <c r="N125" s="80">
        <f>Work_Codes!$J12*N80*N$30</f>
        <v>0</v>
      </c>
      <c r="O125" s="80">
        <f>Work_Codes!$J12*O80*O$30</f>
        <v>5055250.0707999999</v>
      </c>
      <c r="P125" s="80">
        <f>Work_Codes!$J12*P80*P$30</f>
        <v>2057937.6261600002</v>
      </c>
      <c r="Q125" s="80">
        <f>Work_Codes!$J12*Q80*Q$30</f>
        <v>0</v>
      </c>
      <c r="R125" s="80">
        <f>Work_Codes!$J12*R80*R$30</f>
        <v>0</v>
      </c>
      <c r="S125" s="80">
        <f>Work_Codes!$J12*S80*S$30</f>
        <v>0</v>
      </c>
      <c r="T125" s="80">
        <f>Work_Codes!$J12*T80*T$30</f>
        <v>0</v>
      </c>
    </row>
    <row r="126" spans="3:20" hidden="1" outlineLevel="2">
      <c r="D126" s="168" t="str">
        <f>Work_Codes!D13</f>
        <v>LP mains replacement program - Geelong West</v>
      </c>
      <c r="J126" s="81">
        <f>Work_Codes!$J13*J81*J$30</f>
        <v>0</v>
      </c>
      <c r="K126" s="81">
        <f>Work_Codes!$J13*K81*K$30</f>
        <v>0</v>
      </c>
      <c r="L126" s="81">
        <f>Work_Codes!$J13*L81*L$30</f>
        <v>0</v>
      </c>
      <c r="M126" s="81">
        <f>Work_Codes!$J13*M81*M$30</f>
        <v>0</v>
      </c>
      <c r="N126" s="81">
        <f>Work_Codes!$J13*N81*N$30</f>
        <v>0</v>
      </c>
      <c r="O126" s="81">
        <f>Work_Codes!$J13*O81*O$30</f>
        <v>0</v>
      </c>
      <c r="P126" s="81">
        <f>Work_Codes!$J13*P81*P$30</f>
        <v>0</v>
      </c>
      <c r="Q126" s="81">
        <f>Work_Codes!$J13*Q81*Q$30</f>
        <v>4207360</v>
      </c>
      <c r="R126" s="81">
        <f>Work_Codes!$J13*R81*R$30</f>
        <v>0</v>
      </c>
      <c r="S126" s="81">
        <f>Work_Codes!$J13*S81*S$30</f>
        <v>0</v>
      </c>
      <c r="T126" s="81">
        <f>Work_Codes!$J13*T81*T$30</f>
        <v>0</v>
      </c>
    </row>
    <row r="127" spans="3:20" hidden="1" outlineLevel="2">
      <c r="D127" s="168" t="str">
        <f>Work_Codes!D14</f>
        <v>LP mains replacement program - Geelong</v>
      </c>
      <c r="J127" s="81">
        <f>Work_Codes!$J14*J82*J$30</f>
        <v>0</v>
      </c>
      <c r="K127" s="81">
        <f>Work_Codes!$J14*K82*K$30</f>
        <v>0</v>
      </c>
      <c r="L127" s="81">
        <f>Work_Codes!$J14*L82*L$30</f>
        <v>0</v>
      </c>
      <c r="M127" s="81">
        <f>Work_Codes!$J14*M82*M$30</f>
        <v>0</v>
      </c>
      <c r="N127" s="81">
        <f>Work_Codes!$J14*N82*N$30</f>
        <v>0</v>
      </c>
      <c r="O127" s="81">
        <f>Work_Codes!$J14*O82*O$30</f>
        <v>0</v>
      </c>
      <c r="P127" s="81">
        <f>Work_Codes!$J14*P82*P$30</f>
        <v>4619736</v>
      </c>
      <c r="Q127" s="81">
        <f>Work_Codes!$J14*Q82*Q$30</f>
        <v>0</v>
      </c>
      <c r="R127" s="81">
        <f>Work_Codes!$J14*R82*R$30</f>
        <v>0</v>
      </c>
      <c r="S127" s="81">
        <f>Work_Codes!$J14*S82*S$30</f>
        <v>0</v>
      </c>
      <c r="T127" s="81">
        <f>Work_Codes!$J14*T82*T$30</f>
        <v>0</v>
      </c>
    </row>
    <row r="128" spans="3:20" hidden="1" outlineLevel="2">
      <c r="D128" s="168" t="str">
        <f>Work_Codes!D15</f>
        <v>LP mains replacement program - Colac</v>
      </c>
      <c r="J128" s="81">
        <f>Work_Codes!$J15*J83*J$30</f>
        <v>0</v>
      </c>
      <c r="K128" s="81">
        <f>Work_Codes!$J15*K83*K$30</f>
        <v>0</v>
      </c>
      <c r="L128" s="81">
        <f>Work_Codes!$J15*L83*L$30</f>
        <v>0</v>
      </c>
      <c r="M128" s="81">
        <f>Work_Codes!$J15*M83*M$30</f>
        <v>0</v>
      </c>
      <c r="N128" s="81">
        <f>Work_Codes!$J15*N83*N$30</f>
        <v>0</v>
      </c>
      <c r="O128" s="81">
        <f>Work_Codes!$J15*O83*O$30</f>
        <v>1542575.9748</v>
      </c>
      <c r="P128" s="81">
        <f>Work_Codes!$J15*P83*P$30</f>
        <v>0</v>
      </c>
      <c r="Q128" s="81">
        <f>Work_Codes!$J15*Q83*Q$30</f>
        <v>0</v>
      </c>
      <c r="R128" s="81">
        <f>Work_Codes!$J15*R83*R$30</f>
        <v>0</v>
      </c>
      <c r="S128" s="81">
        <f>Work_Codes!$J15*S83*S$30</f>
        <v>0</v>
      </c>
      <c r="T128" s="81">
        <f>Work_Codes!$J15*T83*T$30</f>
        <v>0</v>
      </c>
    </row>
    <row r="129" spans="3:20" hidden="1" outlineLevel="2">
      <c r="D129" s="168" t="str">
        <f>Work_Codes!D16</f>
        <v>LP mains replacement program - Warrnambool</v>
      </c>
      <c r="J129" s="81">
        <f>Work_Codes!$J16*J84*J$30</f>
        <v>0</v>
      </c>
      <c r="K129" s="81">
        <f>Work_Codes!$J16*K84*K$30</f>
        <v>0</v>
      </c>
      <c r="L129" s="81">
        <f>Work_Codes!$J16*L84*L$30</f>
        <v>0</v>
      </c>
      <c r="M129" s="81">
        <f>Work_Codes!$J16*M84*M$30</f>
        <v>0</v>
      </c>
      <c r="N129" s="81">
        <f>Work_Codes!$J16*N84*N$30</f>
        <v>0</v>
      </c>
      <c r="O129" s="81">
        <f>Work_Codes!$J16*O84*O$30</f>
        <v>0</v>
      </c>
      <c r="P129" s="81">
        <f>Work_Codes!$J16*P84*P$30</f>
        <v>2552163.6</v>
      </c>
      <c r="Q129" s="81">
        <f>Work_Codes!$J16*Q84*Q$30</f>
        <v>2785020</v>
      </c>
      <c r="R129" s="81">
        <f>Work_Codes!$J16*R84*R$30</f>
        <v>3249000</v>
      </c>
      <c r="S129" s="81">
        <f>Work_Codes!$J16*S84*S$30</f>
        <v>4640742.4000000004</v>
      </c>
      <c r="T129" s="81">
        <f>Work_Codes!$J16*T84*T$30</f>
        <v>2194446.7999999998</v>
      </c>
    </row>
    <row r="130" spans="3:20" hidden="1" outlineLevel="2">
      <c r="D130" s="168" t="str">
        <f>Work_Codes!D17</f>
        <v>LP mains replacement program - Hamilton</v>
      </c>
      <c r="J130" s="81">
        <f>Work_Codes!$J17*J85*J$30</f>
        <v>0</v>
      </c>
      <c r="K130" s="81">
        <f>Work_Codes!$J17*K85*K$30</f>
        <v>0</v>
      </c>
      <c r="L130" s="81">
        <f>Work_Codes!$J17*L85*L$30</f>
        <v>0</v>
      </c>
      <c r="M130" s="81">
        <f>Work_Codes!$J17*M85*M$30</f>
        <v>0</v>
      </c>
      <c r="N130" s="81">
        <f>Work_Codes!$J17*N85*N$30</f>
        <v>0</v>
      </c>
      <c r="O130" s="81">
        <f>Work_Codes!$J17*O85*O$30</f>
        <v>0</v>
      </c>
      <c r="P130" s="81">
        <f>Work_Codes!$J17*P85*P$30</f>
        <v>0</v>
      </c>
      <c r="Q130" s="81">
        <f>Work_Codes!$J17*Q85*Q$30</f>
        <v>1783735.2</v>
      </c>
      <c r="R130" s="81">
        <f>Work_Codes!$J17*R85*R$30</f>
        <v>2464436.7999999998</v>
      </c>
      <c r="S130" s="81">
        <f>Work_Codes!$J17*S85*S$30</f>
        <v>0</v>
      </c>
      <c r="T130" s="81">
        <f>Work_Codes!$J17*T85*T$30</f>
        <v>0</v>
      </c>
    </row>
    <row r="131" spans="3:20" hidden="1" outlineLevel="2">
      <c r="D131" s="168" t="str">
        <f>Work_Codes!D18</f>
        <v>LP mains replacement program - Portland</v>
      </c>
      <c r="J131" s="81">
        <f>Work_Codes!$J18*J86*J$30</f>
        <v>0</v>
      </c>
      <c r="K131" s="81">
        <f>Work_Codes!$J18*K86*K$30</f>
        <v>0</v>
      </c>
      <c r="L131" s="81">
        <f>Work_Codes!$J18*L86*L$30</f>
        <v>0</v>
      </c>
      <c r="M131" s="81">
        <f>Work_Codes!$J18*M86*M$30</f>
        <v>0</v>
      </c>
      <c r="N131" s="81">
        <f>Work_Codes!$J18*N86*N$30</f>
        <v>0</v>
      </c>
      <c r="O131" s="81">
        <f>Work_Codes!$J18*O86*O$30</f>
        <v>2099926.36</v>
      </c>
      <c r="P131" s="81">
        <f>Work_Codes!$J18*P86*P$30</f>
        <v>1916112</v>
      </c>
      <c r="Q131" s="81">
        <f>Work_Codes!$J18*Q86*Q$30</f>
        <v>0</v>
      </c>
      <c r="R131" s="81">
        <f>Work_Codes!$J18*R86*R$30</f>
        <v>0</v>
      </c>
      <c r="S131" s="81">
        <f>Work_Codes!$J18*S86*S$30</f>
        <v>0</v>
      </c>
      <c r="T131" s="81">
        <f>Work_Codes!$J18*T86*T$30</f>
        <v>0</v>
      </c>
    </row>
    <row r="132" spans="3:20" hidden="1" outlineLevel="2">
      <c r="D132" s="168" t="str">
        <f>Work_Codes!D19</f>
        <v>LP mains replacement program - Ballarat</v>
      </c>
      <c r="J132" s="81">
        <f>Work_Codes!$J19*J87*J$30</f>
        <v>0</v>
      </c>
      <c r="K132" s="81">
        <f>Work_Codes!$J19*K87*K$30</f>
        <v>0</v>
      </c>
      <c r="L132" s="81">
        <f>Work_Codes!$J19*L87*L$30</f>
        <v>0</v>
      </c>
      <c r="M132" s="81">
        <f>Work_Codes!$J19*M87*M$30</f>
        <v>0</v>
      </c>
      <c r="N132" s="81">
        <f>Work_Codes!$J19*N87*N$30</f>
        <v>0</v>
      </c>
      <c r="O132" s="81">
        <f>Work_Codes!$J19*O87*O$30</f>
        <v>2476351.5327999997</v>
      </c>
      <c r="P132" s="81">
        <f>Work_Codes!$J19*P87*P$30</f>
        <v>0</v>
      </c>
      <c r="Q132" s="81">
        <f>Work_Codes!$J19*Q87*Q$30</f>
        <v>0</v>
      </c>
      <c r="R132" s="81">
        <f>Work_Codes!$J19*R87*R$30</f>
        <v>0</v>
      </c>
      <c r="S132" s="81">
        <f>Work_Codes!$J19*S87*S$30</f>
        <v>0</v>
      </c>
      <c r="T132" s="81">
        <f>Work_Codes!$J19*T87*T$30</f>
        <v>0</v>
      </c>
    </row>
    <row r="133" spans="3:20" hidden="1" outlineLevel="2">
      <c r="D133" s="168" t="str">
        <f>Work_Codes!D20</f>
        <v>LP mains replacement program - Ararat</v>
      </c>
      <c r="J133" s="81">
        <f>Work_Codes!$J20*J88*J$30</f>
        <v>0</v>
      </c>
      <c r="K133" s="81">
        <f>Work_Codes!$J20*K88*K$30</f>
        <v>0</v>
      </c>
      <c r="L133" s="81">
        <f>Work_Codes!$J20*L88*L$30</f>
        <v>0</v>
      </c>
      <c r="M133" s="81">
        <f>Work_Codes!$J20*M88*M$30</f>
        <v>0</v>
      </c>
      <c r="N133" s="81">
        <f>Work_Codes!$J20*N88*N$30</f>
        <v>0</v>
      </c>
      <c r="O133" s="81">
        <f>Work_Codes!$J20*O88*O$30</f>
        <v>0</v>
      </c>
      <c r="P133" s="81">
        <f>Work_Codes!$J20*P88*P$30</f>
        <v>816148.8</v>
      </c>
      <c r="Q133" s="81">
        <f>Work_Codes!$J20*Q88*Q$30</f>
        <v>1507270</v>
      </c>
      <c r="R133" s="81">
        <f>Work_Codes!$J20*R88*R$30</f>
        <v>2021980</v>
      </c>
      <c r="S133" s="81">
        <f>Work_Codes!$J20*S88*S$30</f>
        <v>1602406.8</v>
      </c>
      <c r="T133" s="81">
        <f>Work_Codes!$J20*T88*T$30</f>
        <v>1441256.4</v>
      </c>
    </row>
    <row r="134" spans="3:20" hidden="1" outlineLevel="2">
      <c r="D134" s="168" t="str">
        <f>Work_Codes!D21</f>
        <v>LP mains replacement program - Stawell</v>
      </c>
      <c r="J134" s="81">
        <f>Work_Codes!$J21*J89*J$30</f>
        <v>0</v>
      </c>
      <c r="K134" s="81">
        <f>Work_Codes!$J21*K89*K$30</f>
        <v>0</v>
      </c>
      <c r="L134" s="81">
        <f>Work_Codes!$J21*L89*L$30</f>
        <v>0</v>
      </c>
      <c r="M134" s="81">
        <f>Work_Codes!$J21*M89*M$30</f>
        <v>0</v>
      </c>
      <c r="N134" s="81">
        <f>Work_Codes!$J21*N89*N$30</f>
        <v>0</v>
      </c>
      <c r="O134" s="81">
        <f>Work_Codes!$J21*O89*O$30</f>
        <v>855771.02</v>
      </c>
      <c r="P134" s="81">
        <f>Work_Codes!$J21*P89*P$30</f>
        <v>1035059.2000000001</v>
      </c>
      <c r="Q134" s="81">
        <f>Work_Codes!$J21*Q89*Q$30</f>
        <v>1569996.6</v>
      </c>
      <c r="R134" s="81">
        <f>Work_Codes!$J21*R89*R$30</f>
        <v>2161440</v>
      </c>
      <c r="S134" s="81">
        <f>Work_Codes!$J21*S89*S$30</f>
        <v>1660828</v>
      </c>
      <c r="T134" s="81">
        <f>Work_Codes!$J21*T89*T$30</f>
        <v>0</v>
      </c>
    </row>
    <row r="135" spans="3:20" hidden="1" outlineLevel="2">
      <c r="D135" s="168" t="str">
        <f>Work_Codes!D22</f>
        <v>LP mains replacement program - Horsham</v>
      </c>
      <c r="J135" s="81">
        <f>Work_Codes!$J22*J90*J$30</f>
        <v>0</v>
      </c>
      <c r="K135" s="81">
        <f>Work_Codes!$J22*K90*K$30</f>
        <v>0</v>
      </c>
      <c r="L135" s="81">
        <f>Work_Codes!$J22*L90*L$30</f>
        <v>0</v>
      </c>
      <c r="M135" s="81">
        <f>Work_Codes!$J22*M90*M$30</f>
        <v>0</v>
      </c>
      <c r="N135" s="81">
        <f>Work_Codes!$J22*N90*N$30</f>
        <v>0</v>
      </c>
      <c r="O135" s="81">
        <f>Work_Codes!$J22*O90*O$30</f>
        <v>1117038.3404000001</v>
      </c>
      <c r="P135" s="81">
        <f>Work_Codes!$J22*P90*P$30</f>
        <v>3609133.6</v>
      </c>
      <c r="Q135" s="81">
        <f>Work_Codes!$J22*Q90*Q$30</f>
        <v>2085440</v>
      </c>
      <c r="R135" s="81">
        <f>Work_Codes!$J22*R90*R$30</f>
        <v>0</v>
      </c>
      <c r="S135" s="81">
        <f>Work_Codes!$J22*S90*S$30</f>
        <v>0</v>
      </c>
      <c r="T135" s="81">
        <f>Work_Codes!$J22*T90*T$30</f>
        <v>0</v>
      </c>
    </row>
    <row r="136" spans="3:20" hidden="1" outlineLevel="2">
      <c r="D136" s="168" t="str">
        <f>Work_Codes!D23</f>
        <v>LP mains replacement program - Bendigo</v>
      </c>
      <c r="J136" s="81">
        <f>Work_Codes!$J23*J91*J$30</f>
        <v>0</v>
      </c>
      <c r="K136" s="81">
        <f>Work_Codes!$J23*K91*K$30</f>
        <v>0</v>
      </c>
      <c r="L136" s="81">
        <f>Work_Codes!$J23*L91*L$30</f>
        <v>0</v>
      </c>
      <c r="M136" s="81">
        <f>Work_Codes!$J23*M91*M$30</f>
        <v>0</v>
      </c>
      <c r="N136" s="81">
        <f>Work_Codes!$J23*N91*N$30</f>
        <v>0</v>
      </c>
      <c r="O136" s="81">
        <f>Work_Codes!$J23*O91*O$30</f>
        <v>0</v>
      </c>
      <c r="P136" s="81">
        <f>Work_Codes!$J23*P91*P$30</f>
        <v>0</v>
      </c>
      <c r="Q136" s="81">
        <f>Work_Codes!$J23*Q91*Q$30</f>
        <v>0</v>
      </c>
      <c r="R136" s="81">
        <f>Work_Codes!$J23*R91*R$30</f>
        <v>0</v>
      </c>
      <c r="S136" s="81">
        <f>Work_Codes!$J23*S91*S$30</f>
        <v>2528428.7999999998</v>
      </c>
      <c r="T136" s="81">
        <f>Work_Codes!$J23*T91*T$30</f>
        <v>2528428.7999999998</v>
      </c>
    </row>
    <row r="137" spans="3:20" s="41" customFormat="1" hidden="1" outlineLevel="2">
      <c r="D137" s="61" t="str">
        <f>Work_Codes!D24</f>
        <v>Capex Items Category 13</v>
      </c>
      <c r="J137" s="80">
        <f>Work_Codes!$J24*J92*J$30</f>
        <v>0</v>
      </c>
      <c r="K137" s="80">
        <f>Work_Codes!$J24*K92*K$30</f>
        <v>0</v>
      </c>
      <c r="L137" s="80">
        <f>Work_Codes!$J24*L92*L$30</f>
        <v>0</v>
      </c>
      <c r="M137" s="80">
        <f>Work_Codes!$J24*M92*M$30</f>
        <v>0</v>
      </c>
      <c r="N137" s="80">
        <f>Work_Codes!$J24*N92*N$30</f>
        <v>13179033.130657271</v>
      </c>
      <c r="O137" s="80">
        <f>Work_Codes!$J24*O92*O$30</f>
        <v>0</v>
      </c>
      <c r="P137" s="80">
        <f>Work_Codes!$J24*P92*P$30</f>
        <v>0</v>
      </c>
      <c r="Q137" s="80">
        <f>Work_Codes!$J24*Q92*Q$30</f>
        <v>0</v>
      </c>
      <c r="R137" s="80">
        <f>Work_Codes!$J24*R92*R$30</f>
        <v>0</v>
      </c>
      <c r="S137" s="80">
        <f>Work_Codes!$J24*S92*S$30</f>
        <v>0</v>
      </c>
      <c r="T137" s="80">
        <f>Work_Codes!$J24*T92*T$30</f>
        <v>0</v>
      </c>
    </row>
    <row r="138" spans="3:20" s="41" customFormat="1" ht="5.9" hidden="1" customHeight="1" outlineLevel="2">
      <c r="J138"/>
    </row>
    <row r="139" spans="3:20" s="41" customFormat="1" hidden="1" outlineLevel="2">
      <c r="D139" s="249" t="str">
        <f>"Total "&amp;C123</f>
        <v>Total External Labour</v>
      </c>
      <c r="E139" s="249"/>
      <c r="F139" s="249"/>
      <c r="G139" s="249"/>
      <c r="H139" s="249"/>
      <c r="I139" s="249"/>
      <c r="J139" s="82">
        <f t="shared" ref="J139:T139" si="11">SUM(J125:J138)</f>
        <v>0</v>
      </c>
      <c r="K139" s="82">
        <f t="shared" si="11"/>
        <v>0</v>
      </c>
      <c r="L139" s="82">
        <f t="shared" si="11"/>
        <v>0</v>
      </c>
      <c r="M139" s="82">
        <f t="shared" si="11"/>
        <v>0</v>
      </c>
      <c r="N139" s="82">
        <f t="shared" si="11"/>
        <v>13179033.130657271</v>
      </c>
      <c r="O139" s="82">
        <f t="shared" si="11"/>
        <v>13146913.298799999</v>
      </c>
      <c r="P139" s="82">
        <f t="shared" si="11"/>
        <v>16606290.826160001</v>
      </c>
      <c r="Q139" s="82">
        <f t="shared" si="11"/>
        <v>13938821.799999999</v>
      </c>
      <c r="R139" s="82">
        <f t="shared" si="11"/>
        <v>9896856.8000000007</v>
      </c>
      <c r="S139" s="82">
        <f t="shared" si="11"/>
        <v>10432406</v>
      </c>
      <c r="T139" s="82">
        <f t="shared" si="11"/>
        <v>6164132</v>
      </c>
    </row>
    <row r="140" spans="3:20" s="41" customFormat="1" hidden="1" outlineLevel="2"/>
    <row r="141" spans="3:20" s="41" customFormat="1" hidden="1" outlineLevel="2">
      <c r="C141" s="50" t="s">
        <v>130</v>
      </c>
    </row>
    <row r="142" spans="3:20" s="41" customFormat="1" ht="5.9" hidden="1" customHeight="1" outlineLevel="2"/>
    <row r="143" spans="3:20" s="41" customFormat="1" hidden="1" outlineLevel="2">
      <c r="D143" s="205" t="str">
        <f>Work_Codes!D12</f>
        <v>LP mains replacement program - Ascot Vale</v>
      </c>
      <c r="J143" s="80">
        <f>Work_Codes!$K12*J80*J$31</f>
        <v>0</v>
      </c>
      <c r="K143" s="80">
        <f>Work_Codes!$K12*K80*K$31</f>
        <v>0</v>
      </c>
      <c r="L143" s="80">
        <f>Work_Codes!$K12*L80*L$31</f>
        <v>0</v>
      </c>
      <c r="M143" s="80">
        <f>Work_Codes!$K12*M80*M$31</f>
        <v>0</v>
      </c>
      <c r="N143" s="80">
        <f>Work_Codes!$K12*N80*N$31</f>
        <v>0</v>
      </c>
      <c r="O143" s="80">
        <f>Work_Codes!$K12*O80*O$31</f>
        <v>1330328.9659999998</v>
      </c>
      <c r="P143" s="80">
        <f>Work_Codes!$K12*P80*P$31</f>
        <v>541562.53319999995</v>
      </c>
      <c r="Q143" s="80">
        <f>Work_Codes!$K12*Q80*Q$31</f>
        <v>0</v>
      </c>
      <c r="R143" s="80">
        <f>Work_Codes!$K12*R80*R$31</f>
        <v>0</v>
      </c>
      <c r="S143" s="80">
        <f>Work_Codes!$K12*S80*S$31</f>
        <v>0</v>
      </c>
      <c r="T143" s="80">
        <f>Work_Codes!$K12*T80*T$31</f>
        <v>0</v>
      </c>
    </row>
    <row r="144" spans="3:20" s="41" customFormat="1" hidden="1" outlineLevel="2">
      <c r="D144" s="205" t="str">
        <f>Work_Codes!D13</f>
        <v>LP mains replacement program - Geelong West</v>
      </c>
      <c r="J144" s="80">
        <f>Work_Codes!$K13*J81*J$31</f>
        <v>0</v>
      </c>
      <c r="K144" s="80">
        <f>Work_Codes!$K13*K81*K$31</f>
        <v>0</v>
      </c>
      <c r="L144" s="80">
        <f>Work_Codes!$K13*L81*L$31</f>
        <v>0</v>
      </c>
      <c r="M144" s="80">
        <f>Work_Codes!$K13*M81*M$31</f>
        <v>0</v>
      </c>
      <c r="N144" s="80">
        <f>Work_Codes!$K13*N81*N$31</f>
        <v>0</v>
      </c>
      <c r="O144" s="80">
        <f>Work_Codes!$K13*O81*O$31</f>
        <v>0</v>
      </c>
      <c r="P144" s="80">
        <f>Work_Codes!$K13*P81*P$31</f>
        <v>0</v>
      </c>
      <c r="Q144" s="80">
        <f>Work_Codes!$K13*Q81*Q$31</f>
        <v>1107199.9999999998</v>
      </c>
      <c r="R144" s="80">
        <f>Work_Codes!$K13*R81*R$31</f>
        <v>0</v>
      </c>
      <c r="S144" s="80">
        <f>Work_Codes!$K13*S81*S$31</f>
        <v>0</v>
      </c>
      <c r="T144" s="80">
        <f>Work_Codes!$K13*T81*T$31</f>
        <v>0</v>
      </c>
    </row>
    <row r="145" spans="3:20" s="41" customFormat="1" hidden="1" outlineLevel="2">
      <c r="D145" s="205" t="str">
        <f>Work_Codes!D14</f>
        <v>LP mains replacement program - Geelong</v>
      </c>
      <c r="J145" s="80">
        <f>Work_Codes!$K14*J82*J$31</f>
        <v>0</v>
      </c>
      <c r="K145" s="80">
        <f>Work_Codes!$K14*K82*K$31</f>
        <v>0</v>
      </c>
      <c r="L145" s="80">
        <f>Work_Codes!$K14*L82*L$31</f>
        <v>0</v>
      </c>
      <c r="M145" s="80">
        <f>Work_Codes!$K14*M82*M$31</f>
        <v>0</v>
      </c>
      <c r="N145" s="80">
        <f>Work_Codes!$K14*N82*N$31</f>
        <v>0</v>
      </c>
      <c r="O145" s="80">
        <f>Work_Codes!$K14*O82*O$31</f>
        <v>0</v>
      </c>
      <c r="P145" s="80">
        <f>Work_Codes!$K14*P82*P$31</f>
        <v>1215719.9999999998</v>
      </c>
      <c r="Q145" s="80">
        <f>Work_Codes!$K14*Q82*Q$31</f>
        <v>0</v>
      </c>
      <c r="R145" s="80">
        <f>Work_Codes!$K14*R82*R$31</f>
        <v>0</v>
      </c>
      <c r="S145" s="80">
        <f>Work_Codes!$K14*S82*S$31</f>
        <v>0</v>
      </c>
      <c r="T145" s="80">
        <f>Work_Codes!$K14*T82*T$31</f>
        <v>0</v>
      </c>
    </row>
    <row r="146" spans="3:20" s="41" customFormat="1" hidden="1" outlineLevel="2">
      <c r="D146" s="205" t="str">
        <f>Work_Codes!D15</f>
        <v>LP mains replacement program - Colac</v>
      </c>
      <c r="J146" s="80">
        <f>Work_Codes!$K15*J83*J$31</f>
        <v>0</v>
      </c>
      <c r="K146" s="80">
        <f>Work_Codes!$K15*K83*K$31</f>
        <v>0</v>
      </c>
      <c r="L146" s="80">
        <f>Work_Codes!$K15*L83*L$31</f>
        <v>0</v>
      </c>
      <c r="M146" s="80">
        <f>Work_Codes!$K15*M83*M$31</f>
        <v>0</v>
      </c>
      <c r="N146" s="80">
        <f>Work_Codes!$K15*N83*N$31</f>
        <v>0</v>
      </c>
      <c r="O146" s="80">
        <f>Work_Codes!$K15*O83*O$31</f>
        <v>405941.04599999991</v>
      </c>
      <c r="P146" s="80">
        <f>Work_Codes!$K15*P83*P$31</f>
        <v>0</v>
      </c>
      <c r="Q146" s="80">
        <f>Work_Codes!$K15*Q83*Q$31</f>
        <v>0</v>
      </c>
      <c r="R146" s="80">
        <f>Work_Codes!$K15*R83*R$31</f>
        <v>0</v>
      </c>
      <c r="S146" s="80">
        <f>Work_Codes!$K15*S83*S$31</f>
        <v>0</v>
      </c>
      <c r="T146" s="80">
        <f>Work_Codes!$K15*T83*T$31</f>
        <v>0</v>
      </c>
    </row>
    <row r="147" spans="3:20" s="41" customFormat="1" hidden="1" outlineLevel="2">
      <c r="D147" s="205" t="str">
        <f>Work_Codes!D16</f>
        <v>LP mains replacement program - Warrnambool</v>
      </c>
      <c r="J147" s="80">
        <f>Work_Codes!$K16*J84*J$31</f>
        <v>0</v>
      </c>
      <c r="K147" s="80">
        <f>Work_Codes!$K16*K84*K$31</f>
        <v>0</v>
      </c>
      <c r="L147" s="80">
        <f>Work_Codes!$K16*L84*L$31</f>
        <v>0</v>
      </c>
      <c r="M147" s="80">
        <f>Work_Codes!$K16*M84*M$31</f>
        <v>0</v>
      </c>
      <c r="N147" s="80">
        <f>Work_Codes!$K16*N84*N$31</f>
        <v>0</v>
      </c>
      <c r="O147" s="80">
        <f>Work_Codes!$K16*O84*O$31</f>
        <v>0</v>
      </c>
      <c r="P147" s="80">
        <f>Work_Codes!$K16*P84*P$31</f>
        <v>671621.99999999988</v>
      </c>
      <c r="Q147" s="80">
        <f>Work_Codes!$K16*Q84*Q$31</f>
        <v>732899.99999999988</v>
      </c>
      <c r="R147" s="80">
        <f>Work_Codes!$K16*R84*R$31</f>
        <v>854999.99999999977</v>
      </c>
      <c r="S147" s="80">
        <f>Work_Codes!$K16*S84*S$31</f>
        <v>1221247.9999999998</v>
      </c>
      <c r="T147" s="80">
        <f>Work_Codes!$K16*T84*T$31</f>
        <v>577485.99999999988</v>
      </c>
    </row>
    <row r="148" spans="3:20" s="41" customFormat="1" hidden="1" outlineLevel="2">
      <c r="D148" s="205" t="str">
        <f>Work_Codes!D17</f>
        <v>LP mains replacement program - Hamilton</v>
      </c>
      <c r="J148" s="80">
        <f>Work_Codes!$K17*J85*J$31</f>
        <v>0</v>
      </c>
      <c r="K148" s="80">
        <f>Work_Codes!$K17*K85*K$31</f>
        <v>0</v>
      </c>
      <c r="L148" s="80">
        <f>Work_Codes!$K17*L85*L$31</f>
        <v>0</v>
      </c>
      <c r="M148" s="80">
        <f>Work_Codes!$K17*M85*M$31</f>
        <v>0</v>
      </c>
      <c r="N148" s="80">
        <f>Work_Codes!$K17*N85*N$31</f>
        <v>0</v>
      </c>
      <c r="O148" s="80">
        <f>Work_Codes!$K17*O85*O$31</f>
        <v>0</v>
      </c>
      <c r="P148" s="80">
        <f>Work_Codes!$K17*P85*P$31</f>
        <v>0</v>
      </c>
      <c r="Q148" s="80">
        <f>Work_Codes!$K17*Q85*Q$31</f>
        <v>469403.99999999988</v>
      </c>
      <c r="R148" s="80">
        <f>Work_Codes!$K17*R85*R$31</f>
        <v>648535.99999999988</v>
      </c>
      <c r="S148" s="80">
        <f>Work_Codes!$K17*S85*S$31</f>
        <v>0</v>
      </c>
      <c r="T148" s="80">
        <f>Work_Codes!$K17*T85*T$31</f>
        <v>0</v>
      </c>
    </row>
    <row r="149" spans="3:20" s="41" customFormat="1" hidden="1" outlineLevel="2">
      <c r="D149" s="205" t="str">
        <f>Work_Codes!D18</f>
        <v>LP mains replacement program - Portland</v>
      </c>
      <c r="J149" s="80">
        <f>Work_Codes!$K18*J86*J$31</f>
        <v>0</v>
      </c>
      <c r="K149" s="80">
        <f>Work_Codes!$K18*K86*K$31</f>
        <v>0</v>
      </c>
      <c r="L149" s="80">
        <f>Work_Codes!$K18*L86*L$31</f>
        <v>0</v>
      </c>
      <c r="M149" s="80">
        <f>Work_Codes!$K18*M86*M$31</f>
        <v>0</v>
      </c>
      <c r="N149" s="80">
        <f>Work_Codes!$K18*N86*N$31</f>
        <v>0</v>
      </c>
      <c r="O149" s="80">
        <f>Work_Codes!$K18*O86*O$31</f>
        <v>552612.19999999984</v>
      </c>
      <c r="P149" s="80">
        <f>Work_Codes!$K18*P86*P$31</f>
        <v>504239.99999999988</v>
      </c>
      <c r="Q149" s="80">
        <f>Work_Codes!$K18*Q86*Q$31</f>
        <v>0</v>
      </c>
      <c r="R149" s="80">
        <f>Work_Codes!$K18*R86*R$31</f>
        <v>0</v>
      </c>
      <c r="S149" s="80">
        <f>Work_Codes!$K18*S86*S$31</f>
        <v>0</v>
      </c>
      <c r="T149" s="80">
        <f>Work_Codes!$K18*T86*T$31</f>
        <v>0</v>
      </c>
    </row>
    <row r="150" spans="3:20" s="41" customFormat="1" hidden="1" outlineLevel="2">
      <c r="D150" s="205" t="str">
        <f>Work_Codes!D19</f>
        <v>LP mains replacement program - Ballarat</v>
      </c>
      <c r="J150" s="80">
        <f>Work_Codes!$K19*J87*J$31</f>
        <v>0</v>
      </c>
      <c r="K150" s="80">
        <f>Work_Codes!$K19*K87*K$31</f>
        <v>0</v>
      </c>
      <c r="L150" s="80">
        <f>Work_Codes!$K19*L87*L$31</f>
        <v>0</v>
      </c>
      <c r="M150" s="80">
        <f>Work_Codes!$K19*M87*M$31</f>
        <v>0</v>
      </c>
      <c r="N150" s="80">
        <f>Work_Codes!$K19*N87*N$31</f>
        <v>0</v>
      </c>
      <c r="O150" s="80">
        <f>Work_Codes!$K19*O87*O$31</f>
        <v>651671.45599999977</v>
      </c>
      <c r="P150" s="80">
        <f>Work_Codes!$K19*P87*P$31</f>
        <v>0</v>
      </c>
      <c r="Q150" s="80">
        <f>Work_Codes!$K19*Q87*Q$31</f>
        <v>0</v>
      </c>
      <c r="R150" s="80">
        <f>Work_Codes!$K19*R87*R$31</f>
        <v>0</v>
      </c>
      <c r="S150" s="80">
        <f>Work_Codes!$K19*S87*S$31</f>
        <v>0</v>
      </c>
      <c r="T150" s="80">
        <f>Work_Codes!$K19*T87*T$31</f>
        <v>0</v>
      </c>
    </row>
    <row r="151" spans="3:20" s="41" customFormat="1" hidden="1" outlineLevel="2">
      <c r="D151" s="205" t="str">
        <f>Work_Codes!D20</f>
        <v>LP mains replacement program - Ararat</v>
      </c>
      <c r="J151" s="80">
        <f>Work_Codes!$K20*J88*J$31</f>
        <v>0</v>
      </c>
      <c r="K151" s="80">
        <f>Work_Codes!$K20*K88*K$31</f>
        <v>0</v>
      </c>
      <c r="L151" s="80">
        <f>Work_Codes!$K20*L88*L$31</f>
        <v>0</v>
      </c>
      <c r="M151" s="80">
        <f>Work_Codes!$K20*M88*M$31</f>
        <v>0</v>
      </c>
      <c r="N151" s="80">
        <f>Work_Codes!$K20*N88*N$31</f>
        <v>0</v>
      </c>
      <c r="O151" s="80">
        <f>Work_Codes!$K20*O88*O$31</f>
        <v>0</v>
      </c>
      <c r="P151" s="80">
        <f>Work_Codes!$K20*P88*P$31</f>
        <v>214775.99999999994</v>
      </c>
      <c r="Q151" s="80">
        <f>Work_Codes!$K20*Q88*Q$31</f>
        <v>396649.99999999988</v>
      </c>
      <c r="R151" s="80">
        <f>Work_Codes!$K20*R88*R$31</f>
        <v>532099.99999999988</v>
      </c>
      <c r="S151" s="80">
        <f>Work_Codes!$K20*S88*S$31</f>
        <v>421685.99999999988</v>
      </c>
      <c r="T151" s="80">
        <f>Work_Codes!$K20*T88*T$31</f>
        <v>379277.99999999994</v>
      </c>
    </row>
    <row r="152" spans="3:20" s="41" customFormat="1" hidden="1" outlineLevel="2">
      <c r="D152" s="205" t="str">
        <f>Work_Codes!D21</f>
        <v>LP mains replacement program - Stawell</v>
      </c>
      <c r="J152" s="80">
        <f>Work_Codes!$K21*J89*J$31</f>
        <v>0</v>
      </c>
      <c r="K152" s="80">
        <f>Work_Codes!$K21*K89*K$31</f>
        <v>0</v>
      </c>
      <c r="L152" s="80">
        <f>Work_Codes!$K21*L89*L$31</f>
        <v>0</v>
      </c>
      <c r="M152" s="80">
        <f>Work_Codes!$K21*M89*M$31</f>
        <v>0</v>
      </c>
      <c r="N152" s="80">
        <f>Work_Codes!$K21*N89*N$31</f>
        <v>0</v>
      </c>
      <c r="O152" s="80">
        <f>Work_Codes!$K21*O89*O$31</f>
        <v>225202.89999999994</v>
      </c>
      <c r="P152" s="80">
        <f>Work_Codes!$K21*P89*P$31</f>
        <v>272383.99999999994</v>
      </c>
      <c r="Q152" s="80">
        <f>Work_Codes!$K21*Q89*Q$31</f>
        <v>413156.99999999988</v>
      </c>
      <c r="R152" s="80">
        <f>Work_Codes!$K21*R89*R$31</f>
        <v>568799.99999999988</v>
      </c>
      <c r="S152" s="80">
        <f>Work_Codes!$K21*S89*S$31</f>
        <v>437059.99999999988</v>
      </c>
      <c r="T152" s="80">
        <f>Work_Codes!$K21*T89*T$31</f>
        <v>0</v>
      </c>
    </row>
    <row r="153" spans="3:20" s="41" customFormat="1" hidden="1" outlineLevel="2">
      <c r="D153" s="205" t="str">
        <f>Work_Codes!D22</f>
        <v>LP mains replacement program - Horsham</v>
      </c>
      <c r="J153" s="80">
        <f>Work_Codes!$K22*J90*J$31</f>
        <v>0</v>
      </c>
      <c r="K153" s="80">
        <f>Work_Codes!$K22*K90*K$31</f>
        <v>0</v>
      </c>
      <c r="L153" s="80">
        <f>Work_Codes!$K22*L90*L$31</f>
        <v>0</v>
      </c>
      <c r="M153" s="80">
        <f>Work_Codes!$K22*M90*M$31</f>
        <v>0</v>
      </c>
      <c r="N153" s="80">
        <f>Work_Codes!$K22*N90*N$31</f>
        <v>0</v>
      </c>
      <c r="O153" s="80">
        <f>Work_Codes!$K22*O90*O$31</f>
        <v>293957.45799999993</v>
      </c>
      <c r="P153" s="80">
        <f>Work_Codes!$K22*P90*P$31</f>
        <v>949771.99999999977</v>
      </c>
      <c r="Q153" s="80">
        <f>Work_Codes!$K22*Q90*Q$31</f>
        <v>548799.99999999988</v>
      </c>
      <c r="R153" s="80">
        <f>Work_Codes!$K22*R90*R$31</f>
        <v>0</v>
      </c>
      <c r="S153" s="80">
        <f>Work_Codes!$K22*S90*S$31</f>
        <v>0</v>
      </c>
      <c r="T153" s="80">
        <f>Work_Codes!$K22*T90*T$31</f>
        <v>0</v>
      </c>
    </row>
    <row r="154" spans="3:20" s="41" customFormat="1" hidden="1" outlineLevel="2">
      <c r="D154" s="205" t="str">
        <f>Work_Codes!D23</f>
        <v>LP mains replacement program - Bendigo</v>
      </c>
      <c r="J154" s="80">
        <f>Work_Codes!$K23*J91*J$31</f>
        <v>0</v>
      </c>
      <c r="K154" s="80">
        <f>Work_Codes!$K23*K91*K$31</f>
        <v>0</v>
      </c>
      <c r="L154" s="80">
        <f>Work_Codes!$K23*L91*L$31</f>
        <v>0</v>
      </c>
      <c r="M154" s="80">
        <f>Work_Codes!$K23*M91*M$31</f>
        <v>0</v>
      </c>
      <c r="N154" s="80">
        <f>Work_Codes!$K23*N91*N$31</f>
        <v>0</v>
      </c>
      <c r="O154" s="80">
        <f>Work_Codes!$K23*O91*O$31</f>
        <v>0</v>
      </c>
      <c r="P154" s="80">
        <f>Work_Codes!$K23*P91*P$31</f>
        <v>0</v>
      </c>
      <c r="Q154" s="80">
        <f>Work_Codes!$K23*Q91*Q$31</f>
        <v>0</v>
      </c>
      <c r="R154" s="80">
        <f>Work_Codes!$K23*R91*R$31</f>
        <v>0</v>
      </c>
      <c r="S154" s="80">
        <f>Work_Codes!$K23*S91*S$31</f>
        <v>665375.99999999988</v>
      </c>
      <c r="T154" s="80">
        <f>Work_Codes!$K23*T91*T$31</f>
        <v>665375.99999999988</v>
      </c>
    </row>
    <row r="155" spans="3:20" s="41" customFormat="1" hidden="1" outlineLevel="2">
      <c r="D155" s="205" t="str">
        <f>Work_Codes!D24</f>
        <v>Capex Items Category 13</v>
      </c>
      <c r="J155" s="80">
        <f>Work_Codes!$K24*J92*J$31</f>
        <v>0</v>
      </c>
      <c r="K155" s="80">
        <f>Work_Codes!$K24*K92*K$31</f>
        <v>0</v>
      </c>
      <c r="L155" s="80">
        <f>Work_Codes!$K24*L92*L$31</f>
        <v>0</v>
      </c>
      <c r="M155" s="80">
        <f>Work_Codes!$K24*M92*M$31</f>
        <v>0</v>
      </c>
      <c r="N155" s="80">
        <f>Work_Codes!$K24*N92*N$31</f>
        <v>3468166.6133308597</v>
      </c>
      <c r="O155" s="80">
        <f>Work_Codes!$K24*O92*O$31</f>
        <v>0</v>
      </c>
      <c r="P155" s="80">
        <f>Work_Codes!$K24*P92*P$31</f>
        <v>0</v>
      </c>
      <c r="Q155" s="80">
        <f>Work_Codes!$K24*Q92*Q$31</f>
        <v>0</v>
      </c>
      <c r="R155" s="80">
        <f>Work_Codes!$K24*R92*R$31</f>
        <v>0</v>
      </c>
      <c r="S155" s="80">
        <f>Work_Codes!$K24*S92*S$31</f>
        <v>0</v>
      </c>
      <c r="T155" s="80">
        <f>Work_Codes!$K24*T92*T$31</f>
        <v>0</v>
      </c>
    </row>
    <row r="156" spans="3:20" s="41" customFormat="1" ht="5.9" hidden="1" customHeight="1" outlineLevel="2"/>
    <row r="157" spans="3:20" s="41" customFormat="1" hidden="1" outlineLevel="2">
      <c r="D157" s="250" t="str">
        <f>"Total "&amp;C141</f>
        <v>Total Materials</v>
      </c>
      <c r="E157" s="250"/>
      <c r="F157" s="250"/>
      <c r="G157" s="250"/>
      <c r="H157" s="250"/>
      <c r="I157" s="250"/>
      <c r="J157" s="101">
        <f t="shared" ref="J157:T157" si="12">SUM(J143:J156)</f>
        <v>0</v>
      </c>
      <c r="K157" s="101">
        <f t="shared" si="12"/>
        <v>0</v>
      </c>
      <c r="L157" s="101">
        <f t="shared" si="12"/>
        <v>0</v>
      </c>
      <c r="M157" s="101">
        <f t="shared" si="12"/>
        <v>0</v>
      </c>
      <c r="N157" s="101">
        <f t="shared" si="12"/>
        <v>3468166.6133308597</v>
      </c>
      <c r="O157" s="101">
        <f t="shared" si="12"/>
        <v>3459714.0259999991</v>
      </c>
      <c r="P157" s="101">
        <f t="shared" si="12"/>
        <v>4370076.5331999995</v>
      </c>
      <c r="Q157" s="101">
        <f t="shared" si="12"/>
        <v>3668110.9999999995</v>
      </c>
      <c r="R157" s="101">
        <f t="shared" si="12"/>
        <v>2604435.9999999995</v>
      </c>
      <c r="S157" s="101">
        <f t="shared" si="12"/>
        <v>2745369.9999999995</v>
      </c>
      <c r="T157" s="101">
        <f t="shared" si="12"/>
        <v>1622139.9999999995</v>
      </c>
    </row>
    <row r="158" spans="3:20" s="41" customFormat="1" outlineLevel="1" collapsed="1"/>
    <row r="159" spans="3:20" s="41" customFormat="1" outlineLevel="1">
      <c r="C159" s="50" t="s">
        <v>217</v>
      </c>
    </row>
    <row r="160" spans="3:20" s="41" customFormat="1" ht="5.9" customHeight="1" outlineLevel="1"/>
    <row r="161" spans="2:20" s="41" customFormat="1" outlineLevel="1">
      <c r="D161" s="205" t="str">
        <f>Work_Codes!D12</f>
        <v>LP mains replacement program - Ascot Vale</v>
      </c>
      <c r="J161" s="80">
        <f t="shared" ref="J161:T161" si="13">J107+J125+J143</f>
        <v>0</v>
      </c>
      <c r="K161" s="80">
        <f t="shared" si="13"/>
        <v>0</v>
      </c>
      <c r="L161" s="80">
        <f t="shared" si="13"/>
        <v>0</v>
      </c>
      <c r="M161" s="80">
        <f t="shared" si="13"/>
        <v>0</v>
      </c>
      <c r="N161" s="80">
        <f t="shared" si="13"/>
        <v>0</v>
      </c>
      <c r="O161" s="80">
        <f t="shared" si="13"/>
        <v>6653027.2875266271</v>
      </c>
      <c r="P161" s="80">
        <f t="shared" si="13"/>
        <v>2708920.7218045299</v>
      </c>
      <c r="Q161" s="80">
        <f t="shared" si="13"/>
        <v>0</v>
      </c>
      <c r="R161" s="80">
        <f t="shared" si="13"/>
        <v>0</v>
      </c>
      <c r="S161" s="80">
        <f t="shared" si="13"/>
        <v>0</v>
      </c>
      <c r="T161" s="80">
        <f t="shared" si="13"/>
        <v>0</v>
      </c>
    </row>
    <row r="162" spans="2:20" s="41" customFormat="1" outlineLevel="1">
      <c r="D162" s="205" t="str">
        <f>Work_Codes!D13</f>
        <v>LP mains replacement program - Geelong West</v>
      </c>
      <c r="J162" s="80">
        <f t="shared" ref="J162:T162" si="14">J108+J126+J144</f>
        <v>0</v>
      </c>
      <c r="K162" s="80">
        <f t="shared" si="14"/>
        <v>0</v>
      </c>
      <c r="L162" s="80">
        <f t="shared" si="14"/>
        <v>0</v>
      </c>
      <c r="M162" s="80">
        <f t="shared" si="14"/>
        <v>0</v>
      </c>
      <c r="N162" s="80">
        <f t="shared" si="14"/>
        <v>0</v>
      </c>
      <c r="O162" s="80">
        <f t="shared" si="14"/>
        <v>0</v>
      </c>
      <c r="P162" s="80">
        <f t="shared" si="14"/>
        <v>0</v>
      </c>
      <c r="Q162" s="80">
        <f t="shared" si="14"/>
        <v>5540009.677709518</v>
      </c>
      <c r="R162" s="80">
        <f t="shared" si="14"/>
        <v>0</v>
      </c>
      <c r="S162" s="80">
        <f t="shared" si="14"/>
        <v>0</v>
      </c>
      <c r="T162" s="80">
        <f t="shared" si="14"/>
        <v>0</v>
      </c>
    </row>
    <row r="163" spans="2:20" s="41" customFormat="1" outlineLevel="1">
      <c r="D163" s="205" t="str">
        <f>Work_Codes!D14</f>
        <v>LP mains replacement program - Geelong</v>
      </c>
      <c r="J163" s="80">
        <f t="shared" ref="J163:T163" si="15">J109+J127+J145</f>
        <v>0</v>
      </c>
      <c r="K163" s="80">
        <f t="shared" si="15"/>
        <v>0</v>
      </c>
      <c r="L163" s="80">
        <f t="shared" si="15"/>
        <v>0</v>
      </c>
      <c r="M163" s="80">
        <f t="shared" si="15"/>
        <v>0</v>
      </c>
      <c r="N163" s="80">
        <f t="shared" si="15"/>
        <v>0</v>
      </c>
      <c r="O163" s="80">
        <f t="shared" si="15"/>
        <v>0</v>
      </c>
      <c r="P163" s="80">
        <f t="shared" si="15"/>
        <v>6081087.4054612359</v>
      </c>
      <c r="Q163" s="80">
        <f t="shared" si="15"/>
        <v>0</v>
      </c>
      <c r="R163" s="80">
        <f t="shared" si="15"/>
        <v>0</v>
      </c>
      <c r="S163" s="80">
        <f t="shared" si="15"/>
        <v>0</v>
      </c>
      <c r="T163" s="80">
        <f t="shared" si="15"/>
        <v>0</v>
      </c>
    </row>
    <row r="164" spans="2:20" s="41" customFormat="1" outlineLevel="1">
      <c r="D164" s="205" t="str">
        <f>Work_Codes!D15</f>
        <v>LP mains replacement program - Colac</v>
      </c>
      <c r="J164" s="80">
        <f t="shared" ref="J164:T164" si="16">J110+J128+J146</f>
        <v>0</v>
      </c>
      <c r="K164" s="80">
        <f t="shared" si="16"/>
        <v>0</v>
      </c>
      <c r="L164" s="80">
        <f t="shared" si="16"/>
        <v>0</v>
      </c>
      <c r="M164" s="80">
        <f t="shared" si="16"/>
        <v>0</v>
      </c>
      <c r="N164" s="80">
        <f t="shared" si="16"/>
        <v>0</v>
      </c>
      <c r="O164" s="80">
        <f t="shared" si="16"/>
        <v>2030127.0777299616</v>
      </c>
      <c r="P164" s="80">
        <f t="shared" si="16"/>
        <v>0</v>
      </c>
      <c r="Q164" s="80">
        <f t="shared" si="16"/>
        <v>0</v>
      </c>
      <c r="R164" s="80">
        <f t="shared" si="16"/>
        <v>0</v>
      </c>
      <c r="S164" s="80">
        <f t="shared" si="16"/>
        <v>0</v>
      </c>
      <c r="T164" s="80">
        <f t="shared" si="16"/>
        <v>0</v>
      </c>
    </row>
    <row r="165" spans="2:20" s="41" customFormat="1" outlineLevel="1">
      <c r="D165" s="205" t="str">
        <f>Work_Codes!D16</f>
        <v>LP mains replacement program - Warrnambool</v>
      </c>
      <c r="J165" s="80">
        <f t="shared" ref="J165:T165" si="17">J111+J129+J147</f>
        <v>0</v>
      </c>
      <c r="K165" s="80">
        <f t="shared" si="17"/>
        <v>0</v>
      </c>
      <c r="L165" s="80">
        <f t="shared" si="17"/>
        <v>0</v>
      </c>
      <c r="M165" s="80">
        <f t="shared" si="17"/>
        <v>0</v>
      </c>
      <c r="N165" s="80">
        <f t="shared" si="17"/>
        <v>0</v>
      </c>
      <c r="O165" s="80">
        <f t="shared" si="17"/>
        <v>0</v>
      </c>
      <c r="P165" s="80">
        <f t="shared" si="17"/>
        <v>3359484.1620033286</v>
      </c>
      <c r="Q165" s="80">
        <f t="shared" si="17"/>
        <v>3667154.1661789245</v>
      </c>
      <c r="R165" s="80">
        <f t="shared" si="17"/>
        <v>4280012.8767401315</v>
      </c>
      <c r="S165" s="80">
        <f t="shared" si="17"/>
        <v>6116167.8254793258</v>
      </c>
      <c r="T165" s="80">
        <f t="shared" si="17"/>
        <v>2893447.6501686885</v>
      </c>
    </row>
    <row r="166" spans="2:20" s="41" customFormat="1" outlineLevel="1">
      <c r="D166" s="205" t="str">
        <f>Work_Codes!D17</f>
        <v>LP mains replacement program - Hamilton</v>
      </c>
      <c r="J166" s="80">
        <f t="shared" ref="J166:T166" si="18">J112+J130+J148</f>
        <v>0</v>
      </c>
      <c r="K166" s="80">
        <f t="shared" si="18"/>
        <v>0</v>
      </c>
      <c r="L166" s="80">
        <f t="shared" si="18"/>
        <v>0</v>
      </c>
      <c r="M166" s="80">
        <f t="shared" si="18"/>
        <v>0</v>
      </c>
      <c r="N166" s="80">
        <f t="shared" si="18"/>
        <v>0</v>
      </c>
      <c r="O166" s="80">
        <f t="shared" si="18"/>
        <v>0</v>
      </c>
      <c r="P166" s="80">
        <f t="shared" si="18"/>
        <v>0</v>
      </c>
      <c r="Q166" s="80">
        <f t="shared" si="18"/>
        <v>2348719.9266217109</v>
      </c>
      <c r="R166" s="80">
        <f t="shared" si="18"/>
        <v>3246482.375473144</v>
      </c>
      <c r="S166" s="80">
        <f t="shared" si="18"/>
        <v>0</v>
      </c>
      <c r="T166" s="80">
        <f t="shared" si="18"/>
        <v>0</v>
      </c>
    </row>
    <row r="167" spans="2:20" s="41" customFormat="1" outlineLevel="1">
      <c r="D167" s="205" t="str">
        <f>Work_Codes!D18</f>
        <v>LP mains replacement program - Portland</v>
      </c>
      <c r="J167" s="80">
        <f t="shared" ref="J167:T167" si="19">J113+J131+J149</f>
        <v>0</v>
      </c>
      <c r="K167" s="80">
        <f t="shared" si="19"/>
        <v>0</v>
      </c>
      <c r="L167" s="80">
        <f t="shared" si="19"/>
        <v>0</v>
      </c>
      <c r="M167" s="80">
        <f t="shared" si="19"/>
        <v>0</v>
      </c>
      <c r="N167" s="80">
        <f t="shared" si="19"/>
        <v>0</v>
      </c>
      <c r="O167" s="80">
        <f t="shared" si="19"/>
        <v>2763635.2661512457</v>
      </c>
      <c r="P167" s="80">
        <f t="shared" si="19"/>
        <v>2522231.6926017287</v>
      </c>
      <c r="Q167" s="80">
        <f t="shared" si="19"/>
        <v>0</v>
      </c>
      <c r="R167" s="80">
        <f t="shared" si="19"/>
        <v>0</v>
      </c>
      <c r="S167" s="80">
        <f t="shared" si="19"/>
        <v>0</v>
      </c>
      <c r="T167" s="80">
        <f t="shared" si="19"/>
        <v>0</v>
      </c>
    </row>
    <row r="168" spans="2:20" s="41" customFormat="1" outlineLevel="1">
      <c r="D168" s="205" t="str">
        <f>Work_Codes!D19</f>
        <v>LP mains replacement program - Ballarat</v>
      </c>
      <c r="J168" s="80">
        <f t="shared" ref="J168:T168" si="20">J114+J132+J150</f>
        <v>0</v>
      </c>
      <c r="K168" s="80">
        <f t="shared" si="20"/>
        <v>0</v>
      </c>
      <c r="L168" s="80">
        <f t="shared" si="20"/>
        <v>0</v>
      </c>
      <c r="M168" s="80">
        <f t="shared" si="20"/>
        <v>0</v>
      </c>
      <c r="N168" s="80">
        <f t="shared" si="20"/>
        <v>0</v>
      </c>
      <c r="O168" s="80">
        <f t="shared" si="20"/>
        <v>3259034.487015903</v>
      </c>
      <c r="P168" s="80">
        <f t="shared" si="20"/>
        <v>0</v>
      </c>
      <c r="Q168" s="80">
        <f t="shared" si="20"/>
        <v>0</v>
      </c>
      <c r="R168" s="80">
        <f t="shared" si="20"/>
        <v>0</v>
      </c>
      <c r="S168" s="80">
        <f t="shared" si="20"/>
        <v>0</v>
      </c>
      <c r="T168" s="80">
        <f t="shared" si="20"/>
        <v>0</v>
      </c>
    </row>
    <row r="169" spans="2:20" s="41" customFormat="1" outlineLevel="1">
      <c r="D169" s="205" t="str">
        <f>Work_Codes!D20</f>
        <v>LP mains replacement program - Ararat</v>
      </c>
      <c r="J169" s="80">
        <f t="shared" ref="J169:T169" si="21">J115+J133+J151</f>
        <v>0</v>
      </c>
      <c r="K169" s="80">
        <f t="shared" si="21"/>
        <v>0</v>
      </c>
      <c r="L169" s="80">
        <f t="shared" si="21"/>
        <v>0</v>
      </c>
      <c r="M169" s="80">
        <f t="shared" si="21"/>
        <v>0</v>
      </c>
      <c r="N169" s="80">
        <f t="shared" si="21"/>
        <v>0</v>
      </c>
      <c r="O169" s="80">
        <f t="shared" si="21"/>
        <v>0</v>
      </c>
      <c r="P169" s="80">
        <f t="shared" si="21"/>
        <v>1074319.4391762433</v>
      </c>
      <c r="Q169" s="80">
        <f t="shared" si="21"/>
        <v>1984686.4511050219</v>
      </c>
      <c r="R169" s="80">
        <f t="shared" si="21"/>
        <v>2663619.7096063439</v>
      </c>
      <c r="S169" s="80">
        <f t="shared" si="21"/>
        <v>2111857.9892495829</v>
      </c>
      <c r="T169" s="80">
        <f t="shared" si="21"/>
        <v>1900342.2383584708</v>
      </c>
    </row>
    <row r="170" spans="2:20" s="41" customFormat="1" outlineLevel="1">
      <c r="D170" s="205" t="str">
        <f>Work_Codes!D21</f>
        <v>LP mains replacement program - Stawell</v>
      </c>
      <c r="J170" s="80">
        <f t="shared" ref="J170:T170" si="22">J116+J134+J152</f>
        <v>0</v>
      </c>
      <c r="K170" s="80">
        <f t="shared" si="22"/>
        <v>0</v>
      </c>
      <c r="L170" s="80">
        <f t="shared" si="22"/>
        <v>0</v>
      </c>
      <c r="M170" s="80">
        <f t="shared" si="22"/>
        <v>0</v>
      </c>
      <c r="N170" s="80">
        <f t="shared" si="22"/>
        <v>0</v>
      </c>
      <c r="O170" s="80">
        <f t="shared" si="22"/>
        <v>1126248.5274113247</v>
      </c>
      <c r="P170" s="80">
        <f t="shared" si="22"/>
        <v>1362477.3071506214</v>
      </c>
      <c r="Q170" s="80">
        <f t="shared" si="22"/>
        <v>2067281.2305034604</v>
      </c>
      <c r="R170" s="80">
        <f t="shared" si="22"/>
        <v>2847334.882210277</v>
      </c>
      <c r="S170" s="80">
        <f t="shared" si="22"/>
        <v>2188852.9682783466</v>
      </c>
      <c r="T170" s="80">
        <f t="shared" si="22"/>
        <v>0</v>
      </c>
    </row>
    <row r="171" spans="2:20" s="41" customFormat="1" outlineLevel="1">
      <c r="D171" s="205" t="str">
        <f>Work_Codes!D22</f>
        <v>LP mains replacement program - Horsham</v>
      </c>
      <c r="J171" s="80">
        <f t="shared" ref="J171:T171" si="23">J117+J135+J153</f>
        <v>0</v>
      </c>
      <c r="K171" s="80">
        <f t="shared" si="23"/>
        <v>0</v>
      </c>
      <c r="L171" s="80">
        <f t="shared" si="23"/>
        <v>0</v>
      </c>
      <c r="M171" s="80">
        <f t="shared" si="23"/>
        <v>0</v>
      </c>
      <c r="N171" s="80">
        <f t="shared" si="23"/>
        <v>0</v>
      </c>
      <c r="O171" s="80">
        <f t="shared" si="23"/>
        <v>1470092.7660970455</v>
      </c>
      <c r="P171" s="80">
        <f t="shared" si="23"/>
        <v>4750803.2665907685</v>
      </c>
      <c r="Q171" s="80">
        <f t="shared" si="23"/>
        <v>2745987.4558589081</v>
      </c>
      <c r="R171" s="80">
        <f t="shared" si="23"/>
        <v>0</v>
      </c>
      <c r="S171" s="80">
        <f t="shared" si="23"/>
        <v>0</v>
      </c>
      <c r="T171" s="80">
        <f t="shared" si="23"/>
        <v>0</v>
      </c>
    </row>
    <row r="172" spans="2:20" s="41" customFormat="1" outlineLevel="1">
      <c r="D172" s="205" t="str">
        <f>Work_Codes!D23</f>
        <v>LP mains replacement program - Bendigo</v>
      </c>
      <c r="J172" s="80">
        <f t="shared" ref="J172:T172" si="24">J118+J136+J154</f>
        <v>0</v>
      </c>
      <c r="K172" s="80">
        <f t="shared" si="24"/>
        <v>0</v>
      </c>
      <c r="L172" s="80">
        <f t="shared" si="24"/>
        <v>0</v>
      </c>
      <c r="M172" s="80">
        <f t="shared" si="24"/>
        <v>0</v>
      </c>
      <c r="N172" s="80">
        <f t="shared" si="24"/>
        <v>0</v>
      </c>
      <c r="O172" s="80">
        <f t="shared" si="24"/>
        <v>0</v>
      </c>
      <c r="P172" s="80">
        <f t="shared" si="24"/>
        <v>0</v>
      </c>
      <c r="Q172" s="80">
        <f t="shared" si="24"/>
        <v>0</v>
      </c>
      <c r="R172" s="80">
        <f t="shared" si="24"/>
        <v>0</v>
      </c>
      <c r="S172" s="80">
        <f t="shared" si="24"/>
        <v>3332289.005219359</v>
      </c>
      <c r="T172" s="80">
        <f t="shared" si="24"/>
        <v>3333813.5014158636</v>
      </c>
    </row>
    <row r="173" spans="2:20" s="41" customFormat="1" outlineLevel="1">
      <c r="D173" s="205" t="str">
        <f>Work_Codes!D24</f>
        <v>Capex Items Category 13</v>
      </c>
      <c r="J173" s="80">
        <f t="shared" ref="J173:T173" si="25">J119+J137+J155</f>
        <v>0</v>
      </c>
      <c r="K173" s="80">
        <f t="shared" si="25"/>
        <v>0</v>
      </c>
      <c r="L173" s="80">
        <f t="shared" si="25"/>
        <v>0</v>
      </c>
      <c r="M173" s="80">
        <f t="shared" si="25"/>
        <v>0</v>
      </c>
      <c r="N173" s="80">
        <f t="shared" si="25"/>
        <v>17340833.066654302</v>
      </c>
      <c r="O173" s="80">
        <f t="shared" si="25"/>
        <v>0</v>
      </c>
      <c r="P173" s="80">
        <f t="shared" si="25"/>
        <v>0</v>
      </c>
      <c r="Q173" s="80">
        <f t="shared" si="25"/>
        <v>0</v>
      </c>
      <c r="R173" s="80">
        <f t="shared" si="25"/>
        <v>0</v>
      </c>
      <c r="S173" s="80">
        <f t="shared" si="25"/>
        <v>0</v>
      </c>
      <c r="T173" s="80">
        <f t="shared" si="25"/>
        <v>0</v>
      </c>
    </row>
    <row r="174" spans="2:20" s="41" customFormat="1" ht="5.9" customHeight="1" outlineLevel="1"/>
    <row r="175" spans="2:20" s="41" customFormat="1" outlineLevel="1">
      <c r="D175" s="250" t="str">
        <f>C159</f>
        <v>Total Direct Capex including Escalation (Non CPI)</v>
      </c>
      <c r="E175" s="250"/>
      <c r="F175" s="250"/>
      <c r="G175" s="250"/>
      <c r="H175" s="250"/>
      <c r="I175" s="250"/>
      <c r="J175" s="101">
        <f t="shared" ref="J175:T175" si="26">SUM(J161:J174)</f>
        <v>0</v>
      </c>
      <c r="K175" s="101">
        <f t="shared" si="26"/>
        <v>0</v>
      </c>
      <c r="L175" s="101">
        <f t="shared" si="26"/>
        <v>0</v>
      </c>
      <c r="M175" s="101">
        <f t="shared" si="26"/>
        <v>0</v>
      </c>
      <c r="N175" s="101">
        <f t="shared" si="26"/>
        <v>17340833.066654302</v>
      </c>
      <c r="O175" s="101">
        <f t="shared" si="26"/>
        <v>17302165.411932107</v>
      </c>
      <c r="P175" s="101">
        <f t="shared" si="26"/>
        <v>21859323.99478846</v>
      </c>
      <c r="Q175" s="101">
        <f t="shared" si="26"/>
        <v>18353838.907977544</v>
      </c>
      <c r="R175" s="101">
        <f t="shared" si="26"/>
        <v>13037449.844029896</v>
      </c>
      <c r="S175" s="101">
        <f t="shared" si="26"/>
        <v>13749167.788226614</v>
      </c>
      <c r="T175" s="101">
        <f t="shared" si="26"/>
        <v>8127603.3899430232</v>
      </c>
    </row>
    <row r="176" spans="2:20" s="41" customFormat="1" outlineLevel="1">
      <c r="B176" s="109"/>
      <c r="C176" s="109"/>
      <c r="D176" s="109"/>
      <c r="E176" s="109"/>
      <c r="F176" s="109"/>
      <c r="G176" s="109"/>
      <c r="H176" s="109"/>
      <c r="I176" s="109"/>
      <c r="J176" s="109"/>
      <c r="K176" s="109"/>
      <c r="L176" s="109"/>
      <c r="M176" s="109"/>
      <c r="N176" s="109"/>
      <c r="O176" s="109"/>
      <c r="P176" s="109"/>
      <c r="Q176" s="109"/>
      <c r="R176" s="109"/>
      <c r="S176" s="109"/>
      <c r="T176" s="109"/>
    </row>
    <row r="177" spans="3:20" s="41" customFormat="1" outlineLevel="1"/>
    <row r="178" spans="3:20" s="41" customFormat="1" outlineLevel="1">
      <c r="C178" s="50" t="s">
        <v>195</v>
      </c>
    </row>
    <row r="179" spans="3:20" s="41" customFormat="1" ht="5.9" customHeight="1" outlineLevel="2"/>
    <row r="180" spans="3:20" s="41" customFormat="1" outlineLevel="2">
      <c r="D180" s="50" t="s">
        <v>215</v>
      </c>
    </row>
    <row r="181" spans="3:20" s="41" customFormat="1" ht="5.9" customHeight="1" outlineLevel="2"/>
    <row r="182" spans="3:20" s="41" customFormat="1" outlineLevel="2">
      <c r="E182" s="251" t="str">
        <f>GC!C40</f>
        <v>Transmission pipelines</v>
      </c>
      <c r="F182" s="251"/>
      <c r="G182" s="251"/>
      <c r="H182" s="251"/>
      <c r="I182" s="251"/>
      <c r="J182" s="80">
        <f ca="1">SUMPRODUCT((Work_Codes!$N$9:$Y$9=$E182)*(Work_Codes!$N$12:$Y$24)*(J$161:J$173))</f>
        <v>0</v>
      </c>
      <c r="K182" s="80">
        <f ca="1">SUMPRODUCT((Work_Codes!$N$9:$Y$9=$E182)*(Work_Codes!$N$12:$Y$24)*(K$161:K$173))</f>
        <v>0</v>
      </c>
      <c r="L182" s="80">
        <f ca="1">SUMPRODUCT((Work_Codes!$N$9:$Y$9=$E182)*(Work_Codes!$N$12:$Y$24)*(L$161:L$173))</f>
        <v>0</v>
      </c>
      <c r="M182" s="80">
        <f ca="1">SUMPRODUCT((Work_Codes!$N$9:$Y$9=$E182)*(Work_Codes!$N$12:$Y$24)*(M$161:M$173))</f>
        <v>0</v>
      </c>
      <c r="N182" s="80">
        <f ca="1">SUMPRODUCT((Work_Codes!$N$9:$Y$9=$E182)*(Work_Codes!$N$12:$Y$24)*(N$161:N$173))</f>
        <v>0</v>
      </c>
      <c r="O182" s="80">
        <f ca="1">SUMPRODUCT((Work_Codes!$N$9:$Y$9=$E182)*(Work_Codes!$N$12:$Y$24)*(O$161:O$173))</f>
        <v>0</v>
      </c>
      <c r="P182" s="80">
        <f ca="1">SUMPRODUCT((Work_Codes!$N$9:$Y$9=$E182)*(Work_Codes!$N$12:$Y$24)*(P$161:P$173))</f>
        <v>0</v>
      </c>
      <c r="Q182" s="80">
        <f ca="1">SUMPRODUCT((Work_Codes!$N$9:$Y$9=$E182)*(Work_Codes!$N$12:$Y$24)*(Q$161:Q$173))</f>
        <v>0</v>
      </c>
      <c r="R182" s="80">
        <f ca="1">SUMPRODUCT((Work_Codes!$N$9:$Y$9=$E182)*(Work_Codes!$N$12:$Y$24)*(R$161:R$173))</f>
        <v>0</v>
      </c>
      <c r="S182" s="80">
        <f ca="1">SUMPRODUCT((Work_Codes!$N$9:$Y$9=$E182)*(Work_Codes!$N$12:$Y$24)*(S$161:S$173))</f>
        <v>0</v>
      </c>
      <c r="T182" s="80">
        <f ca="1">SUMPRODUCT((Work_Codes!$N$9:$Y$9=$E182)*(Work_Codes!$N$12:$Y$24)*(T$161:T$173))</f>
        <v>0</v>
      </c>
    </row>
    <row r="183" spans="3:20" s="41" customFormat="1" outlineLevel="2">
      <c r="E183" s="251" t="str">
        <f>GC!C41</f>
        <v>Distribution pipelines</v>
      </c>
      <c r="F183" s="251"/>
      <c r="G183" s="251"/>
      <c r="H183" s="251"/>
      <c r="I183" s="251"/>
      <c r="J183" s="80">
        <f ca="1">SUMPRODUCT((Work_Codes!$N$9:$Y$9=$E183)*(Work_Codes!$N$12:$Y$24)*(J$161:J$173))</f>
        <v>0</v>
      </c>
      <c r="K183" s="80">
        <f ca="1">SUMPRODUCT((Work_Codes!$N$9:$Y$9=$E183)*(Work_Codes!$N$12:$Y$24)*(K$161:K$173))</f>
        <v>0</v>
      </c>
      <c r="L183" s="80">
        <f ca="1">SUMPRODUCT((Work_Codes!$N$9:$Y$9=$E183)*(Work_Codes!$N$12:$Y$24)*(L$161:L$173))</f>
        <v>0</v>
      </c>
      <c r="M183" s="80">
        <f ca="1">SUMPRODUCT((Work_Codes!$N$9:$Y$9=$E183)*(Work_Codes!$N$12:$Y$24)*(M$161:M$173))</f>
        <v>0</v>
      </c>
      <c r="N183" s="80">
        <f ca="1">SUMPRODUCT((Work_Codes!$N$9:$Y$9=$E183)*(Work_Codes!$N$12:$Y$24)*(N$161:N$173))</f>
        <v>0</v>
      </c>
      <c r="O183" s="80">
        <f ca="1">SUMPRODUCT((Work_Codes!$N$9:$Y$9=$E183)*(Work_Codes!$N$12:$Y$24)*(O$161:O$173))</f>
        <v>0</v>
      </c>
      <c r="P183" s="80">
        <f ca="1">SUMPRODUCT((Work_Codes!$N$9:$Y$9=$E183)*(Work_Codes!$N$12:$Y$24)*(P$161:P$173))</f>
        <v>0</v>
      </c>
      <c r="Q183" s="80">
        <f ca="1">SUMPRODUCT((Work_Codes!$N$9:$Y$9=$E183)*(Work_Codes!$N$12:$Y$24)*(Q$161:Q$173))</f>
        <v>0</v>
      </c>
      <c r="R183" s="80">
        <f ca="1">SUMPRODUCT((Work_Codes!$N$9:$Y$9=$E183)*(Work_Codes!$N$12:$Y$24)*(R$161:R$173))</f>
        <v>0</v>
      </c>
      <c r="S183" s="80">
        <f ca="1">SUMPRODUCT((Work_Codes!$N$9:$Y$9=$E183)*(Work_Codes!$N$12:$Y$24)*(S$161:S$173))</f>
        <v>0</v>
      </c>
      <c r="T183" s="80">
        <f ca="1">SUMPRODUCT((Work_Codes!$N$9:$Y$9=$E183)*(Work_Codes!$N$12:$Y$24)*(T$161:T$173))</f>
        <v>0</v>
      </c>
    </row>
    <row r="184" spans="3:20" s="41" customFormat="1" outlineLevel="2">
      <c r="E184" s="251" t="str">
        <f>GC!C42</f>
        <v>Service pipes</v>
      </c>
      <c r="F184" s="251"/>
      <c r="G184" s="251"/>
      <c r="H184" s="251"/>
      <c r="I184" s="251"/>
      <c r="J184" s="80">
        <f ca="1">SUMPRODUCT((Work_Codes!$N$9:$Y$9=$E184)*(Work_Codes!$N$12:$Y$24)*(J$161:J$173))</f>
        <v>0</v>
      </c>
      <c r="K184" s="80">
        <f ca="1">SUMPRODUCT((Work_Codes!$N$9:$Y$9=$E184)*(Work_Codes!$N$12:$Y$24)*(K$161:K$173))</f>
        <v>0</v>
      </c>
      <c r="L184" s="80">
        <f ca="1">SUMPRODUCT((Work_Codes!$N$9:$Y$9=$E184)*(Work_Codes!$N$12:$Y$24)*(L$161:L$173))</f>
        <v>0</v>
      </c>
      <c r="M184" s="80">
        <f ca="1">SUMPRODUCT((Work_Codes!$N$9:$Y$9=$E184)*(Work_Codes!$N$12:$Y$24)*(M$161:M$173))</f>
        <v>0</v>
      </c>
      <c r="N184" s="80">
        <f ca="1">SUMPRODUCT((Work_Codes!$N$9:$Y$9=$E184)*(Work_Codes!$N$12:$Y$24)*(N$161:N$173))</f>
        <v>0</v>
      </c>
      <c r="O184" s="80">
        <f ca="1">SUMPRODUCT((Work_Codes!$N$9:$Y$9=$E184)*(Work_Codes!$N$12:$Y$24)*(O$161:O$173))</f>
        <v>0</v>
      </c>
      <c r="P184" s="80">
        <f ca="1">SUMPRODUCT((Work_Codes!$N$9:$Y$9=$E184)*(Work_Codes!$N$12:$Y$24)*(P$161:P$173))</f>
        <v>0</v>
      </c>
      <c r="Q184" s="80">
        <f ca="1">SUMPRODUCT((Work_Codes!$N$9:$Y$9=$E184)*(Work_Codes!$N$12:$Y$24)*(Q$161:Q$173))</f>
        <v>0</v>
      </c>
      <c r="R184" s="80">
        <f ca="1">SUMPRODUCT((Work_Codes!$N$9:$Y$9=$E184)*(Work_Codes!$N$12:$Y$24)*(R$161:R$173))</f>
        <v>0</v>
      </c>
      <c r="S184" s="80">
        <f ca="1">SUMPRODUCT((Work_Codes!$N$9:$Y$9=$E184)*(Work_Codes!$N$12:$Y$24)*(S$161:S$173))</f>
        <v>0</v>
      </c>
      <c r="T184" s="80">
        <f ca="1">SUMPRODUCT((Work_Codes!$N$9:$Y$9=$E184)*(Work_Codes!$N$12:$Y$24)*(T$161:T$173))</f>
        <v>0</v>
      </c>
    </row>
    <row r="185" spans="3:20" s="41" customFormat="1" outlineLevel="2">
      <c r="E185" s="251" t="str">
        <f>GC!C43</f>
        <v>Cathodic protection</v>
      </c>
      <c r="F185" s="251"/>
      <c r="G185" s="251"/>
      <c r="H185" s="251"/>
      <c r="I185" s="251"/>
      <c r="J185" s="80">
        <f ca="1">SUMPRODUCT((Work_Codes!$N$9:$Y$9=$E185)*(Work_Codes!$N$12:$Y$24)*(J$161:J$173))</f>
        <v>0</v>
      </c>
      <c r="K185" s="80">
        <f ca="1">SUMPRODUCT((Work_Codes!$N$9:$Y$9=$E185)*(Work_Codes!$N$12:$Y$24)*(K$161:K$173))</f>
        <v>0</v>
      </c>
      <c r="L185" s="80">
        <f ca="1">SUMPRODUCT((Work_Codes!$N$9:$Y$9=$E185)*(Work_Codes!$N$12:$Y$24)*(L$161:L$173))</f>
        <v>0</v>
      </c>
      <c r="M185" s="80">
        <f ca="1">SUMPRODUCT((Work_Codes!$N$9:$Y$9=$E185)*(Work_Codes!$N$12:$Y$24)*(M$161:M$173))</f>
        <v>0</v>
      </c>
      <c r="N185" s="80">
        <f ca="1">SUMPRODUCT((Work_Codes!$N$9:$Y$9=$E185)*(Work_Codes!$N$12:$Y$24)*(N$161:N$173))</f>
        <v>0</v>
      </c>
      <c r="O185" s="80">
        <f ca="1">SUMPRODUCT((Work_Codes!$N$9:$Y$9=$E185)*(Work_Codes!$N$12:$Y$24)*(O$161:O$173))</f>
        <v>0</v>
      </c>
      <c r="P185" s="80">
        <f ca="1">SUMPRODUCT((Work_Codes!$N$9:$Y$9=$E185)*(Work_Codes!$N$12:$Y$24)*(P$161:P$173))</f>
        <v>0</v>
      </c>
      <c r="Q185" s="80">
        <f ca="1">SUMPRODUCT((Work_Codes!$N$9:$Y$9=$E185)*(Work_Codes!$N$12:$Y$24)*(Q$161:Q$173))</f>
        <v>0</v>
      </c>
      <c r="R185" s="80">
        <f ca="1">SUMPRODUCT((Work_Codes!$N$9:$Y$9=$E185)*(Work_Codes!$N$12:$Y$24)*(R$161:R$173))</f>
        <v>0</v>
      </c>
      <c r="S185" s="80">
        <f ca="1">SUMPRODUCT((Work_Codes!$N$9:$Y$9=$E185)*(Work_Codes!$N$12:$Y$24)*(S$161:S$173))</f>
        <v>0</v>
      </c>
      <c r="T185" s="80">
        <f ca="1">SUMPRODUCT((Work_Codes!$N$9:$Y$9=$E185)*(Work_Codes!$N$12:$Y$24)*(T$161:T$173))</f>
        <v>0</v>
      </c>
    </row>
    <row r="186" spans="3:20" s="41" customFormat="1" outlineLevel="2">
      <c r="E186" s="251" t="str">
        <f>GC!C44</f>
        <v>Supply Regulators / Valve Stations</v>
      </c>
      <c r="F186" s="251"/>
      <c r="G186" s="251"/>
      <c r="H186" s="251"/>
      <c r="I186" s="251"/>
      <c r="J186" s="80">
        <f ca="1">SUMPRODUCT((Work_Codes!$N$9:$Y$9=$E186)*(Work_Codes!$N$12:$Y$24)*(J$161:J$173))</f>
        <v>0</v>
      </c>
      <c r="K186" s="80">
        <f ca="1">SUMPRODUCT((Work_Codes!$N$9:$Y$9=$E186)*(Work_Codes!$N$12:$Y$24)*(K$161:K$173))</f>
        <v>0</v>
      </c>
      <c r="L186" s="80">
        <f ca="1">SUMPRODUCT((Work_Codes!$N$9:$Y$9=$E186)*(Work_Codes!$N$12:$Y$24)*(L$161:L$173))</f>
        <v>0</v>
      </c>
      <c r="M186" s="80">
        <f ca="1">SUMPRODUCT((Work_Codes!$N$9:$Y$9=$E186)*(Work_Codes!$N$12:$Y$24)*(M$161:M$173))</f>
        <v>0</v>
      </c>
      <c r="N186" s="80">
        <f ca="1">SUMPRODUCT((Work_Codes!$N$9:$Y$9=$E186)*(Work_Codes!$N$12:$Y$24)*(N$161:N$173))</f>
        <v>0</v>
      </c>
      <c r="O186" s="80">
        <f ca="1">SUMPRODUCT((Work_Codes!$N$9:$Y$9=$E186)*(Work_Codes!$N$12:$Y$24)*(O$161:O$173))</f>
        <v>0</v>
      </c>
      <c r="P186" s="80">
        <f ca="1">SUMPRODUCT((Work_Codes!$N$9:$Y$9=$E186)*(Work_Codes!$N$12:$Y$24)*(P$161:P$173))</f>
        <v>0</v>
      </c>
      <c r="Q186" s="80">
        <f ca="1">SUMPRODUCT((Work_Codes!$N$9:$Y$9=$E186)*(Work_Codes!$N$12:$Y$24)*(Q$161:Q$173))</f>
        <v>0</v>
      </c>
      <c r="R186" s="80">
        <f ca="1">SUMPRODUCT((Work_Codes!$N$9:$Y$9=$E186)*(Work_Codes!$N$12:$Y$24)*(R$161:R$173))</f>
        <v>0</v>
      </c>
      <c r="S186" s="80">
        <f ca="1">SUMPRODUCT((Work_Codes!$N$9:$Y$9=$E186)*(Work_Codes!$N$12:$Y$24)*(S$161:S$173))</f>
        <v>0</v>
      </c>
      <c r="T186" s="80">
        <f ca="1">SUMPRODUCT((Work_Codes!$N$9:$Y$9=$E186)*(Work_Codes!$N$12:$Y$24)*(T$161:T$173))</f>
        <v>0</v>
      </c>
    </row>
    <row r="187" spans="3:20" s="41" customFormat="1" outlineLevel="2">
      <c r="E187" s="251" t="str">
        <f>GC!C45</f>
        <v>Meters</v>
      </c>
      <c r="F187" s="251"/>
      <c r="G187" s="251"/>
      <c r="H187" s="251"/>
      <c r="I187" s="251"/>
      <c r="J187" s="80">
        <f ca="1">SUMPRODUCT((Work_Codes!$N$9:$Y$9=$E187)*(Work_Codes!$N$12:$Y$24)*(J$161:J$173))</f>
        <v>0</v>
      </c>
      <c r="K187" s="80">
        <f ca="1">SUMPRODUCT((Work_Codes!$N$9:$Y$9=$E187)*(Work_Codes!$N$12:$Y$24)*(K$161:K$173))</f>
        <v>0</v>
      </c>
      <c r="L187" s="80">
        <f ca="1">SUMPRODUCT((Work_Codes!$N$9:$Y$9=$E187)*(Work_Codes!$N$12:$Y$24)*(L$161:L$173))</f>
        <v>0</v>
      </c>
      <c r="M187" s="80">
        <f ca="1">SUMPRODUCT((Work_Codes!$N$9:$Y$9=$E187)*(Work_Codes!$N$12:$Y$24)*(M$161:M$173))</f>
        <v>0</v>
      </c>
      <c r="N187" s="80">
        <f ca="1">SUMPRODUCT((Work_Codes!$N$9:$Y$9=$E187)*(Work_Codes!$N$12:$Y$24)*(N$161:N$173))</f>
        <v>0</v>
      </c>
      <c r="O187" s="80">
        <f ca="1">SUMPRODUCT((Work_Codes!$N$9:$Y$9=$E187)*(Work_Codes!$N$12:$Y$24)*(O$161:O$173))</f>
        <v>0</v>
      </c>
      <c r="P187" s="80">
        <f ca="1">SUMPRODUCT((Work_Codes!$N$9:$Y$9=$E187)*(Work_Codes!$N$12:$Y$24)*(P$161:P$173))</f>
        <v>0</v>
      </c>
      <c r="Q187" s="80">
        <f ca="1">SUMPRODUCT((Work_Codes!$N$9:$Y$9=$E187)*(Work_Codes!$N$12:$Y$24)*(Q$161:Q$173))</f>
        <v>0</v>
      </c>
      <c r="R187" s="80">
        <f ca="1">SUMPRODUCT((Work_Codes!$N$9:$Y$9=$E187)*(Work_Codes!$N$12:$Y$24)*(R$161:R$173))</f>
        <v>0</v>
      </c>
      <c r="S187" s="80">
        <f ca="1">SUMPRODUCT((Work_Codes!$N$9:$Y$9=$E187)*(Work_Codes!$N$12:$Y$24)*(S$161:S$173))</f>
        <v>0</v>
      </c>
      <c r="T187" s="80">
        <f ca="1">SUMPRODUCT((Work_Codes!$N$9:$Y$9=$E187)*(Work_Codes!$N$12:$Y$24)*(T$161:T$173))</f>
        <v>0</v>
      </c>
    </row>
    <row r="188" spans="3:20" s="41" customFormat="1" outlineLevel="2">
      <c r="E188" s="251" t="str">
        <f>GC!C46</f>
        <v>SCADA and remote control</v>
      </c>
      <c r="F188" s="251"/>
      <c r="G188" s="251"/>
      <c r="H188" s="251"/>
      <c r="I188" s="251"/>
      <c r="J188" s="80">
        <f ca="1">SUMPRODUCT((Work_Codes!$N$9:$Y$9=$E188)*(Work_Codes!$N$12:$Y$24)*(J$161:J$173))</f>
        <v>0</v>
      </c>
      <c r="K188" s="80">
        <f ca="1">SUMPRODUCT((Work_Codes!$N$9:$Y$9=$E188)*(Work_Codes!$N$12:$Y$24)*(K$161:K$173))</f>
        <v>0</v>
      </c>
      <c r="L188" s="80">
        <f ca="1">SUMPRODUCT((Work_Codes!$N$9:$Y$9=$E188)*(Work_Codes!$N$12:$Y$24)*(L$161:L$173))</f>
        <v>0</v>
      </c>
      <c r="M188" s="80">
        <f ca="1">SUMPRODUCT((Work_Codes!$N$9:$Y$9=$E188)*(Work_Codes!$N$12:$Y$24)*(M$161:M$173))</f>
        <v>0</v>
      </c>
      <c r="N188" s="80">
        <f ca="1">SUMPRODUCT((Work_Codes!$N$9:$Y$9=$E188)*(Work_Codes!$N$12:$Y$24)*(N$161:N$173))</f>
        <v>0</v>
      </c>
      <c r="O188" s="80">
        <f ca="1">SUMPRODUCT((Work_Codes!$N$9:$Y$9=$E188)*(Work_Codes!$N$12:$Y$24)*(O$161:O$173))</f>
        <v>0</v>
      </c>
      <c r="P188" s="80">
        <f ca="1">SUMPRODUCT((Work_Codes!$N$9:$Y$9=$E188)*(Work_Codes!$N$12:$Y$24)*(P$161:P$173))</f>
        <v>0</v>
      </c>
      <c r="Q188" s="80">
        <f ca="1">SUMPRODUCT((Work_Codes!$N$9:$Y$9=$E188)*(Work_Codes!$N$12:$Y$24)*(Q$161:Q$173))</f>
        <v>0</v>
      </c>
      <c r="R188" s="80">
        <f ca="1">SUMPRODUCT((Work_Codes!$N$9:$Y$9=$E188)*(Work_Codes!$N$12:$Y$24)*(R$161:R$173))</f>
        <v>0</v>
      </c>
      <c r="S188" s="80">
        <f ca="1">SUMPRODUCT((Work_Codes!$N$9:$Y$9=$E188)*(Work_Codes!$N$12:$Y$24)*(S$161:S$173))</f>
        <v>0</v>
      </c>
      <c r="T188" s="80">
        <f ca="1">SUMPRODUCT((Work_Codes!$N$9:$Y$9=$E188)*(Work_Codes!$N$12:$Y$24)*(T$161:T$173))</f>
        <v>0</v>
      </c>
    </row>
    <row r="189" spans="3:20" s="41" customFormat="1" outlineLevel="2">
      <c r="E189" s="251" t="str">
        <f>GC!C47</f>
        <v>Buildings</v>
      </c>
      <c r="F189" s="251"/>
      <c r="G189" s="251"/>
      <c r="H189" s="251"/>
      <c r="I189" s="251"/>
      <c r="J189" s="80">
        <f ca="1">SUMPRODUCT((Work_Codes!$N$9:$Y$9=$E189)*(Work_Codes!$N$12:$Y$24)*(J$161:J$173))</f>
        <v>0</v>
      </c>
      <c r="K189" s="80">
        <f ca="1">SUMPRODUCT((Work_Codes!$N$9:$Y$9=$E189)*(Work_Codes!$N$12:$Y$24)*(K$161:K$173))</f>
        <v>0</v>
      </c>
      <c r="L189" s="80">
        <f ca="1">SUMPRODUCT((Work_Codes!$N$9:$Y$9=$E189)*(Work_Codes!$N$12:$Y$24)*(L$161:L$173))</f>
        <v>0</v>
      </c>
      <c r="M189" s="80">
        <f ca="1">SUMPRODUCT((Work_Codes!$N$9:$Y$9=$E189)*(Work_Codes!$N$12:$Y$24)*(M$161:M$173))</f>
        <v>0</v>
      </c>
      <c r="N189" s="80">
        <f ca="1">SUMPRODUCT((Work_Codes!$N$9:$Y$9=$E189)*(Work_Codes!$N$12:$Y$24)*(N$161:N$173))</f>
        <v>0</v>
      </c>
      <c r="O189" s="80">
        <f ca="1">SUMPRODUCT((Work_Codes!$N$9:$Y$9=$E189)*(Work_Codes!$N$12:$Y$24)*(O$161:O$173))</f>
        <v>0</v>
      </c>
      <c r="P189" s="80">
        <f ca="1">SUMPRODUCT((Work_Codes!$N$9:$Y$9=$E189)*(Work_Codes!$N$12:$Y$24)*(P$161:P$173))</f>
        <v>0</v>
      </c>
      <c r="Q189" s="80">
        <f ca="1">SUMPRODUCT((Work_Codes!$N$9:$Y$9=$E189)*(Work_Codes!$N$12:$Y$24)*(Q$161:Q$173))</f>
        <v>0</v>
      </c>
      <c r="R189" s="80">
        <f ca="1">SUMPRODUCT((Work_Codes!$N$9:$Y$9=$E189)*(Work_Codes!$N$12:$Y$24)*(R$161:R$173))</f>
        <v>0</v>
      </c>
      <c r="S189" s="80">
        <f ca="1">SUMPRODUCT((Work_Codes!$N$9:$Y$9=$E189)*(Work_Codes!$N$12:$Y$24)*(S$161:S$173))</f>
        <v>0</v>
      </c>
      <c r="T189" s="80">
        <f ca="1">SUMPRODUCT((Work_Codes!$N$9:$Y$9=$E189)*(Work_Codes!$N$12:$Y$24)*(T$161:T$173))</f>
        <v>0</v>
      </c>
    </row>
    <row r="190" spans="3:20" s="41" customFormat="1" outlineLevel="2">
      <c r="E190" s="251" t="str">
        <f>GC!C48</f>
        <v>Other - IT</v>
      </c>
      <c r="F190" s="251"/>
      <c r="G190" s="251"/>
      <c r="H190" s="251"/>
      <c r="I190" s="251"/>
      <c r="J190" s="80">
        <f ca="1">SUMPRODUCT((Work_Codes!$N$9:$Y$9=$E190)*(Work_Codes!$N$12:$Y$24)*(J$161:J$173))</f>
        <v>0</v>
      </c>
      <c r="K190" s="80">
        <f ca="1">SUMPRODUCT((Work_Codes!$N$9:$Y$9=$E190)*(Work_Codes!$N$12:$Y$24)*(K$161:K$173))</f>
        <v>0</v>
      </c>
      <c r="L190" s="80">
        <f ca="1">SUMPRODUCT((Work_Codes!$N$9:$Y$9=$E190)*(Work_Codes!$N$12:$Y$24)*(L$161:L$173))</f>
        <v>0</v>
      </c>
      <c r="M190" s="80">
        <f ca="1">SUMPRODUCT((Work_Codes!$N$9:$Y$9=$E190)*(Work_Codes!$N$12:$Y$24)*(M$161:M$173))</f>
        <v>0</v>
      </c>
      <c r="N190" s="80">
        <f ca="1">SUMPRODUCT((Work_Codes!$N$9:$Y$9=$E190)*(Work_Codes!$N$12:$Y$24)*(N$161:N$173))</f>
        <v>0</v>
      </c>
      <c r="O190" s="80">
        <f ca="1">SUMPRODUCT((Work_Codes!$N$9:$Y$9=$E190)*(Work_Codes!$N$12:$Y$24)*(O$161:O$173))</f>
        <v>0</v>
      </c>
      <c r="P190" s="80">
        <f ca="1">SUMPRODUCT((Work_Codes!$N$9:$Y$9=$E190)*(Work_Codes!$N$12:$Y$24)*(P$161:P$173))</f>
        <v>0</v>
      </c>
      <c r="Q190" s="80">
        <f ca="1">SUMPRODUCT((Work_Codes!$N$9:$Y$9=$E190)*(Work_Codes!$N$12:$Y$24)*(Q$161:Q$173))</f>
        <v>0</v>
      </c>
      <c r="R190" s="80">
        <f ca="1">SUMPRODUCT((Work_Codes!$N$9:$Y$9=$E190)*(Work_Codes!$N$12:$Y$24)*(R$161:R$173))</f>
        <v>0</v>
      </c>
      <c r="S190" s="80">
        <f ca="1">SUMPRODUCT((Work_Codes!$N$9:$Y$9=$E190)*(Work_Codes!$N$12:$Y$24)*(S$161:S$173))</f>
        <v>0</v>
      </c>
      <c r="T190" s="80">
        <f ca="1">SUMPRODUCT((Work_Codes!$N$9:$Y$9=$E190)*(Work_Codes!$N$12:$Y$24)*(T$161:T$173))</f>
        <v>0</v>
      </c>
    </row>
    <row r="191" spans="3:20" s="41" customFormat="1" outlineLevel="2">
      <c r="E191" s="251" t="str">
        <f>GC!C49</f>
        <v>Other - non IT</v>
      </c>
      <c r="F191" s="251"/>
      <c r="G191" s="251"/>
      <c r="H191" s="251"/>
      <c r="I191" s="251"/>
      <c r="J191" s="80">
        <f ca="1">SUMPRODUCT((Work_Codes!$N$9:$Y$9=$E191)*(Work_Codes!$N$12:$Y$24)*(J$161:J$173))</f>
        <v>0</v>
      </c>
      <c r="K191" s="80">
        <f ca="1">SUMPRODUCT((Work_Codes!$N$9:$Y$9=$E191)*(Work_Codes!$N$12:$Y$24)*(K$161:K$173))</f>
        <v>0</v>
      </c>
      <c r="L191" s="80">
        <f ca="1">SUMPRODUCT((Work_Codes!$N$9:$Y$9=$E191)*(Work_Codes!$N$12:$Y$24)*(L$161:L$173))</f>
        <v>0</v>
      </c>
      <c r="M191" s="80">
        <f ca="1">SUMPRODUCT((Work_Codes!$N$9:$Y$9=$E191)*(Work_Codes!$N$12:$Y$24)*(M$161:M$173))</f>
        <v>0</v>
      </c>
      <c r="N191" s="80">
        <f ca="1">SUMPRODUCT((Work_Codes!$N$9:$Y$9=$E191)*(Work_Codes!$N$12:$Y$24)*(N$161:N$173))</f>
        <v>0</v>
      </c>
      <c r="O191" s="80">
        <f ca="1">SUMPRODUCT((Work_Codes!$N$9:$Y$9=$E191)*(Work_Codes!$N$12:$Y$24)*(O$161:O$173))</f>
        <v>0</v>
      </c>
      <c r="P191" s="80">
        <f ca="1">SUMPRODUCT((Work_Codes!$N$9:$Y$9=$E191)*(Work_Codes!$N$12:$Y$24)*(P$161:P$173))</f>
        <v>0</v>
      </c>
      <c r="Q191" s="80">
        <f ca="1">SUMPRODUCT((Work_Codes!$N$9:$Y$9=$E191)*(Work_Codes!$N$12:$Y$24)*(Q$161:Q$173))</f>
        <v>0</v>
      </c>
      <c r="R191" s="80">
        <f ca="1">SUMPRODUCT((Work_Codes!$N$9:$Y$9=$E191)*(Work_Codes!$N$12:$Y$24)*(R$161:R$173))</f>
        <v>0</v>
      </c>
      <c r="S191" s="80">
        <f ca="1">SUMPRODUCT((Work_Codes!$N$9:$Y$9=$E191)*(Work_Codes!$N$12:$Y$24)*(S$161:S$173))</f>
        <v>0</v>
      </c>
      <c r="T191" s="80">
        <f ca="1">SUMPRODUCT((Work_Codes!$N$9:$Y$9=$E191)*(Work_Codes!$N$12:$Y$24)*(T$161:T$173))</f>
        <v>0</v>
      </c>
    </row>
    <row r="192" spans="3:20" s="41" customFormat="1" outlineLevel="2">
      <c r="E192" s="251" t="str">
        <f>GC!C50</f>
        <v>Land</v>
      </c>
      <c r="F192" s="251"/>
      <c r="G192" s="251"/>
      <c r="H192" s="251"/>
      <c r="I192" s="251"/>
      <c r="J192" s="80">
        <f ca="1">SUMPRODUCT((Work_Codes!$N$9:$Y$9=$E192)*(Work_Codes!$N$12:$Y$24)*(J$161:J$173))</f>
        <v>0</v>
      </c>
      <c r="K192" s="80">
        <f ca="1">SUMPRODUCT((Work_Codes!$N$9:$Y$9=$E192)*(Work_Codes!$N$12:$Y$24)*(K$161:K$173))</f>
        <v>0</v>
      </c>
      <c r="L192" s="80">
        <f ca="1">SUMPRODUCT((Work_Codes!$N$9:$Y$9=$E192)*(Work_Codes!$N$12:$Y$24)*(L$161:L$173))</f>
        <v>0</v>
      </c>
      <c r="M192" s="80">
        <f ca="1">SUMPRODUCT((Work_Codes!$N$9:$Y$9=$E192)*(Work_Codes!$N$12:$Y$24)*(M$161:M$173))</f>
        <v>0</v>
      </c>
      <c r="N192" s="80">
        <f ca="1">SUMPRODUCT((Work_Codes!$N$9:$Y$9=$E192)*(Work_Codes!$N$12:$Y$24)*(N$161:N$173))</f>
        <v>0</v>
      </c>
      <c r="O192" s="80">
        <f ca="1">SUMPRODUCT((Work_Codes!$N$9:$Y$9=$E192)*(Work_Codes!$N$12:$Y$24)*(O$161:O$173))</f>
        <v>0</v>
      </c>
      <c r="P192" s="80">
        <f ca="1">SUMPRODUCT((Work_Codes!$N$9:$Y$9=$E192)*(Work_Codes!$N$12:$Y$24)*(P$161:P$173))</f>
        <v>0</v>
      </c>
      <c r="Q192" s="80">
        <f ca="1">SUMPRODUCT((Work_Codes!$N$9:$Y$9=$E192)*(Work_Codes!$N$12:$Y$24)*(Q$161:Q$173))</f>
        <v>0</v>
      </c>
      <c r="R192" s="80">
        <f ca="1">SUMPRODUCT((Work_Codes!$N$9:$Y$9=$E192)*(Work_Codes!$N$12:$Y$24)*(R$161:R$173))</f>
        <v>0</v>
      </c>
      <c r="S192" s="80">
        <f ca="1">SUMPRODUCT((Work_Codes!$N$9:$Y$9=$E192)*(Work_Codes!$N$12:$Y$24)*(S$161:S$173))</f>
        <v>0</v>
      </c>
      <c r="T192" s="80">
        <f ca="1">SUMPRODUCT((Work_Codes!$N$9:$Y$9=$E192)*(Work_Codes!$N$12:$Y$24)*(T$161:T$173))</f>
        <v>0</v>
      </c>
    </row>
    <row r="193" spans="4:20" s="41" customFormat="1" outlineLevel="2">
      <c r="E193" s="251" t="str">
        <f>GC!C51</f>
        <v>Capitalised Leases</v>
      </c>
      <c r="F193" s="251"/>
      <c r="G193" s="251"/>
      <c r="H193" s="251"/>
      <c r="I193" s="251"/>
      <c r="J193" s="80">
        <f ca="1">SUMPRODUCT((Work_Codes!$N$9:$Y$9=$E193)*(Work_Codes!$N$12:$Y$24)*(J$161:J$173))</f>
        <v>0</v>
      </c>
      <c r="K193" s="80">
        <f ca="1">SUMPRODUCT((Work_Codes!$N$9:$Y$9=$E193)*(Work_Codes!$N$12:$Y$24)*(K$161:K$173))</f>
        <v>0</v>
      </c>
      <c r="L193" s="80">
        <f ca="1">SUMPRODUCT((Work_Codes!$N$9:$Y$9=$E193)*(Work_Codes!$N$12:$Y$24)*(L$161:L$173))</f>
        <v>0</v>
      </c>
      <c r="M193" s="80">
        <f ca="1">SUMPRODUCT((Work_Codes!$N$9:$Y$9=$E193)*(Work_Codes!$N$12:$Y$24)*(M$161:M$173))</f>
        <v>0</v>
      </c>
      <c r="N193" s="80">
        <f ca="1">SUMPRODUCT((Work_Codes!$N$9:$Y$9=$E193)*(Work_Codes!$N$12:$Y$24)*(N$161:N$173))</f>
        <v>0</v>
      </c>
      <c r="O193" s="80">
        <f ca="1">SUMPRODUCT((Work_Codes!$N$9:$Y$9=$E193)*(Work_Codes!$N$12:$Y$24)*(O$161:O$173))</f>
        <v>0</v>
      </c>
      <c r="P193" s="80">
        <f ca="1">SUMPRODUCT((Work_Codes!$N$9:$Y$9=$E193)*(Work_Codes!$N$12:$Y$24)*(P$161:P$173))</f>
        <v>0</v>
      </c>
      <c r="Q193" s="80">
        <f ca="1">SUMPRODUCT((Work_Codes!$N$9:$Y$9=$E193)*(Work_Codes!$N$12:$Y$24)*(Q$161:Q$173))</f>
        <v>0</v>
      </c>
      <c r="R193" s="80">
        <f ca="1">SUMPRODUCT((Work_Codes!$N$9:$Y$9=$E193)*(Work_Codes!$N$12:$Y$24)*(R$161:R$173))</f>
        <v>0</v>
      </c>
      <c r="S193" s="80">
        <f ca="1">SUMPRODUCT((Work_Codes!$N$9:$Y$9=$E193)*(Work_Codes!$N$12:$Y$24)*(S$161:S$173))</f>
        <v>0</v>
      </c>
      <c r="T193" s="80">
        <f ca="1">SUMPRODUCT((Work_Codes!$N$9:$Y$9=$E193)*(Work_Codes!$N$12:$Y$24)*(T$161:T$173))</f>
        <v>0</v>
      </c>
    </row>
    <row r="194" spans="4:20" s="41" customFormat="1" outlineLevel="2">
      <c r="E194" s="251" t="str">
        <f>GC!C52</f>
        <v>Transmission pipelines - post 1998</v>
      </c>
      <c r="F194" s="251"/>
      <c r="G194" s="251"/>
      <c r="H194" s="251"/>
      <c r="I194" s="251"/>
      <c r="J194" s="80">
        <f ca="1">SUMPRODUCT((Work_Codes!$N$9:$Y$9=$E194)*(Work_Codes!$N$12:$Y$24)*(J$161:J$173))</f>
        <v>0</v>
      </c>
      <c r="K194" s="80">
        <f ca="1">SUMPRODUCT((Work_Codes!$N$9:$Y$9=$E194)*(Work_Codes!$N$12:$Y$24)*(K$161:K$173))</f>
        <v>0</v>
      </c>
      <c r="L194" s="80">
        <f ca="1">SUMPRODUCT((Work_Codes!$N$9:$Y$9=$E194)*(Work_Codes!$N$12:$Y$24)*(L$161:L$173))</f>
        <v>0</v>
      </c>
      <c r="M194" s="80">
        <f ca="1">SUMPRODUCT((Work_Codes!$N$9:$Y$9=$E194)*(Work_Codes!$N$12:$Y$24)*(M$161:M$173))</f>
        <v>0</v>
      </c>
      <c r="N194" s="80">
        <f ca="1">SUMPRODUCT((Work_Codes!$N$9:$Y$9=$E194)*(Work_Codes!$N$12:$Y$24)*(N$161:N$173))</f>
        <v>0</v>
      </c>
      <c r="O194" s="80">
        <f ca="1">SUMPRODUCT((Work_Codes!$N$9:$Y$9=$E194)*(Work_Codes!$N$12:$Y$24)*(O$161:O$173))</f>
        <v>0</v>
      </c>
      <c r="P194" s="80">
        <f ca="1">SUMPRODUCT((Work_Codes!$N$9:$Y$9=$E194)*(Work_Codes!$N$12:$Y$24)*(P$161:P$173))</f>
        <v>0</v>
      </c>
      <c r="Q194" s="80">
        <f ca="1">SUMPRODUCT((Work_Codes!$N$9:$Y$9=$E194)*(Work_Codes!$N$12:$Y$24)*(Q$161:Q$173))</f>
        <v>0</v>
      </c>
      <c r="R194" s="80">
        <f ca="1">SUMPRODUCT((Work_Codes!$N$9:$Y$9=$E194)*(Work_Codes!$N$12:$Y$24)*(R$161:R$173))</f>
        <v>0</v>
      </c>
      <c r="S194" s="80">
        <f ca="1">SUMPRODUCT((Work_Codes!$N$9:$Y$9=$E194)*(Work_Codes!$N$12:$Y$24)*(S$161:S$173))</f>
        <v>0</v>
      </c>
      <c r="T194" s="80">
        <f ca="1">SUMPRODUCT((Work_Codes!$N$9:$Y$9=$E194)*(Work_Codes!$N$12:$Y$24)*(T$161:T$173))</f>
        <v>0</v>
      </c>
    </row>
    <row r="195" spans="4:20" s="41" customFormat="1" outlineLevel="2">
      <c r="E195" s="251" t="str">
        <f>GC!C53</f>
        <v>Distribution pipelines - post 1998</v>
      </c>
      <c r="F195" s="251"/>
      <c r="G195" s="251"/>
      <c r="H195" s="251"/>
      <c r="I195" s="251"/>
      <c r="J195" s="80">
        <f ca="1">SUMPRODUCT((Work_Codes!$N$9:$Y$9=$E195)*(Work_Codes!$N$12:$Y$24)*(J$161:J$173))</f>
        <v>0</v>
      </c>
      <c r="K195" s="80">
        <f ca="1">SUMPRODUCT((Work_Codes!$N$9:$Y$9=$E195)*(Work_Codes!$N$12:$Y$24)*(K$161:K$173))</f>
        <v>0</v>
      </c>
      <c r="L195" s="80">
        <f ca="1">SUMPRODUCT((Work_Codes!$N$9:$Y$9=$E195)*(Work_Codes!$N$12:$Y$24)*(L$161:L$173))</f>
        <v>0</v>
      </c>
      <c r="M195" s="80">
        <f ca="1">SUMPRODUCT((Work_Codes!$N$9:$Y$9=$E195)*(Work_Codes!$N$12:$Y$24)*(M$161:M$173))</f>
        <v>0</v>
      </c>
      <c r="N195" s="80">
        <f ca="1">SUMPRODUCT((Work_Codes!$N$9:$Y$9=$E195)*(Work_Codes!$N$12:$Y$24)*(N$161:N$173))</f>
        <v>8670416.5333271511</v>
      </c>
      <c r="O195" s="80">
        <f ca="1">SUMPRODUCT((Work_Codes!$N$9:$Y$9=$E195)*(Work_Codes!$N$12:$Y$24)*(O$161:O$173))</f>
        <v>8651082.7059660535</v>
      </c>
      <c r="P195" s="80">
        <f ca="1">SUMPRODUCT((Work_Codes!$N$9:$Y$9=$E195)*(Work_Codes!$N$12:$Y$24)*(P$161:P$173))</f>
        <v>10929661.99739423</v>
      </c>
      <c r="Q195" s="80">
        <f ca="1">SUMPRODUCT((Work_Codes!$N$9:$Y$9=$E195)*(Work_Codes!$N$12:$Y$24)*(Q$161:Q$173))</f>
        <v>9176919.4539887719</v>
      </c>
      <c r="R195" s="80">
        <f ca="1">SUMPRODUCT((Work_Codes!$N$9:$Y$9=$E195)*(Work_Codes!$N$12:$Y$24)*(R$161:R$173))</f>
        <v>6518724.922014948</v>
      </c>
      <c r="S195" s="80">
        <f ca="1">SUMPRODUCT((Work_Codes!$N$9:$Y$9=$E195)*(Work_Codes!$N$12:$Y$24)*(S$161:S$173))</f>
        <v>6874583.8941133069</v>
      </c>
      <c r="T195" s="80">
        <f ca="1">SUMPRODUCT((Work_Codes!$N$9:$Y$9=$E195)*(Work_Codes!$N$12:$Y$24)*(T$161:T$173))</f>
        <v>4063801.6949715116</v>
      </c>
    </row>
    <row r="196" spans="4:20" s="41" customFormat="1" outlineLevel="2">
      <c r="E196" s="251" t="str">
        <f>GC!C54</f>
        <v>Service pipes - post 1998</v>
      </c>
      <c r="F196" s="251"/>
      <c r="G196" s="251"/>
      <c r="H196" s="251"/>
      <c r="I196" s="251"/>
      <c r="J196" s="80">
        <f ca="1">SUMPRODUCT((Work_Codes!$N$9:$Y$9=$E196)*(Work_Codes!$N$12:$Y$24)*(J$161:J$173))</f>
        <v>0</v>
      </c>
      <c r="K196" s="80">
        <f ca="1">SUMPRODUCT((Work_Codes!$N$9:$Y$9=$E196)*(Work_Codes!$N$12:$Y$24)*(K$161:K$173))</f>
        <v>0</v>
      </c>
      <c r="L196" s="80">
        <f ca="1">SUMPRODUCT((Work_Codes!$N$9:$Y$9=$E196)*(Work_Codes!$N$12:$Y$24)*(L$161:L$173))</f>
        <v>0</v>
      </c>
      <c r="M196" s="80">
        <f ca="1">SUMPRODUCT((Work_Codes!$N$9:$Y$9=$E196)*(Work_Codes!$N$12:$Y$24)*(M$161:M$173))</f>
        <v>0</v>
      </c>
      <c r="N196" s="80">
        <f ca="1">SUMPRODUCT((Work_Codes!$N$9:$Y$9=$E196)*(Work_Codes!$N$12:$Y$24)*(N$161:N$173))</f>
        <v>8670416.5333271511</v>
      </c>
      <c r="O196" s="80">
        <f ca="1">SUMPRODUCT((Work_Codes!$N$9:$Y$9=$E196)*(Work_Codes!$N$12:$Y$24)*(O$161:O$173))</f>
        <v>8651082.7059660535</v>
      </c>
      <c r="P196" s="80">
        <f ca="1">SUMPRODUCT((Work_Codes!$N$9:$Y$9=$E196)*(Work_Codes!$N$12:$Y$24)*(P$161:P$173))</f>
        <v>10929661.99739423</v>
      </c>
      <c r="Q196" s="80">
        <f ca="1">SUMPRODUCT((Work_Codes!$N$9:$Y$9=$E196)*(Work_Codes!$N$12:$Y$24)*(Q$161:Q$173))</f>
        <v>9176919.4539887719</v>
      </c>
      <c r="R196" s="80">
        <f ca="1">SUMPRODUCT((Work_Codes!$N$9:$Y$9=$E196)*(Work_Codes!$N$12:$Y$24)*(R$161:R$173))</f>
        <v>6518724.922014948</v>
      </c>
      <c r="S196" s="80">
        <f ca="1">SUMPRODUCT((Work_Codes!$N$9:$Y$9=$E196)*(Work_Codes!$N$12:$Y$24)*(S$161:S$173))</f>
        <v>6874583.8941133069</v>
      </c>
      <c r="T196" s="80">
        <f ca="1">SUMPRODUCT((Work_Codes!$N$9:$Y$9=$E196)*(Work_Codes!$N$12:$Y$24)*(T$161:T$173))</f>
        <v>4063801.6949715116</v>
      </c>
    </row>
    <row r="197" spans="4:20" s="41" customFormat="1" outlineLevel="2">
      <c r="E197" s="251" t="str">
        <f>GC!C55</f>
        <v>Cathodic protection - post 1998</v>
      </c>
      <c r="F197" s="251"/>
      <c r="G197" s="251"/>
      <c r="H197" s="251"/>
      <c r="I197" s="251"/>
      <c r="J197" s="80">
        <f ca="1">SUMPRODUCT((Work_Codes!$N$9:$Y$9=$E197)*(Work_Codes!$N$12:$Y$24)*(J$161:J$173))</f>
        <v>0</v>
      </c>
      <c r="K197" s="80">
        <f ca="1">SUMPRODUCT((Work_Codes!$N$9:$Y$9=$E197)*(Work_Codes!$N$12:$Y$24)*(K$161:K$173))</f>
        <v>0</v>
      </c>
      <c r="L197" s="80">
        <f ca="1">SUMPRODUCT((Work_Codes!$N$9:$Y$9=$E197)*(Work_Codes!$N$12:$Y$24)*(L$161:L$173))</f>
        <v>0</v>
      </c>
      <c r="M197" s="80">
        <f ca="1">SUMPRODUCT((Work_Codes!$N$9:$Y$9=$E197)*(Work_Codes!$N$12:$Y$24)*(M$161:M$173))</f>
        <v>0</v>
      </c>
      <c r="N197" s="80">
        <f ca="1">SUMPRODUCT((Work_Codes!$N$9:$Y$9=$E197)*(Work_Codes!$N$12:$Y$24)*(N$161:N$173))</f>
        <v>0</v>
      </c>
      <c r="O197" s="80">
        <f ca="1">SUMPRODUCT((Work_Codes!$N$9:$Y$9=$E197)*(Work_Codes!$N$12:$Y$24)*(O$161:O$173))</f>
        <v>0</v>
      </c>
      <c r="P197" s="80">
        <f ca="1">SUMPRODUCT((Work_Codes!$N$9:$Y$9=$E197)*(Work_Codes!$N$12:$Y$24)*(P$161:P$173))</f>
        <v>0</v>
      </c>
      <c r="Q197" s="80">
        <f ca="1">SUMPRODUCT((Work_Codes!$N$9:$Y$9=$E197)*(Work_Codes!$N$12:$Y$24)*(Q$161:Q$173))</f>
        <v>0</v>
      </c>
      <c r="R197" s="80">
        <f ca="1">SUMPRODUCT((Work_Codes!$N$9:$Y$9=$E197)*(Work_Codes!$N$12:$Y$24)*(R$161:R$173))</f>
        <v>0</v>
      </c>
      <c r="S197" s="80">
        <f ca="1">SUMPRODUCT((Work_Codes!$N$9:$Y$9=$E197)*(Work_Codes!$N$12:$Y$24)*(S$161:S$173))</f>
        <v>0</v>
      </c>
      <c r="T197" s="80">
        <f ca="1">SUMPRODUCT((Work_Codes!$N$9:$Y$9=$E197)*(Work_Codes!$N$12:$Y$24)*(T$161:T$173))</f>
        <v>0</v>
      </c>
    </row>
    <row r="198" spans="4:20" s="41" customFormat="1" outlineLevel="2">
      <c r="E198" s="250" t="str">
        <f>"Total "&amp;D180</f>
        <v>Total Direct Costs</v>
      </c>
      <c r="F198" s="250"/>
      <c r="G198" s="250"/>
      <c r="H198" s="250"/>
      <c r="I198" s="250"/>
      <c r="J198" s="101">
        <f t="shared" ref="J198:T198" ca="1" si="27">SUM(J182:J197)</f>
        <v>0</v>
      </c>
      <c r="K198" s="101">
        <f t="shared" ca="1" si="27"/>
        <v>0</v>
      </c>
      <c r="L198" s="101">
        <f t="shared" ca="1" si="27"/>
        <v>0</v>
      </c>
      <c r="M198" s="101">
        <f t="shared" ca="1" si="27"/>
        <v>0</v>
      </c>
      <c r="N198" s="101">
        <f t="shared" ca="1" si="27"/>
        <v>17340833.066654302</v>
      </c>
      <c r="O198" s="101">
        <f t="shared" ca="1" si="27"/>
        <v>17302165.411932107</v>
      </c>
      <c r="P198" s="101">
        <f t="shared" ca="1" si="27"/>
        <v>21859323.99478846</v>
      </c>
      <c r="Q198" s="101">
        <f t="shared" ca="1" si="27"/>
        <v>18353838.907977544</v>
      </c>
      <c r="R198" s="101">
        <f t="shared" ca="1" si="27"/>
        <v>13037449.844029896</v>
      </c>
      <c r="S198" s="101">
        <f t="shared" ca="1" si="27"/>
        <v>13749167.788226614</v>
      </c>
      <c r="T198" s="101">
        <f t="shared" ca="1" si="27"/>
        <v>8127603.3899430232</v>
      </c>
    </row>
    <row r="199" spans="4:20" s="41" customFormat="1" outlineLevel="2"/>
    <row r="200" spans="4:20" s="41" customFormat="1" outlineLevel="2">
      <c r="D200" s="50" t="s">
        <v>364</v>
      </c>
    </row>
    <row r="201" spans="4:20" s="41" customFormat="1" ht="5.9" customHeight="1" outlineLevel="2"/>
    <row r="202" spans="4:20" s="41" customFormat="1" outlineLevel="2">
      <c r="E202" s="251" t="str">
        <f>GC!C40</f>
        <v>Transmission pipelines</v>
      </c>
      <c r="F202" s="251"/>
      <c r="G202" s="251"/>
      <c r="H202" s="251"/>
      <c r="I202" s="251"/>
      <c r="J202" s="80">
        <f ca="1">J182*(INDEX(J$35:J$37,MATCH(Work_Codes!$I$6,$D$35:$D$37,0)))</f>
        <v>0</v>
      </c>
      <c r="K202" s="80">
        <f ca="1">K182*(INDEX(K$35:K$37,MATCH(Work_Codes!$I$6,$D$35:$D$37,0)))</f>
        <v>0</v>
      </c>
      <c r="L202" s="80">
        <f ca="1">L182*(INDEX(L$35:L$37,MATCH(Work_Codes!$I$6,$D$35:$D$37,0)))</f>
        <v>0</v>
      </c>
      <c r="M202" s="80">
        <f ca="1">M182*(INDEX(M$35:M$37,MATCH(Work_Codes!$I$6,$D$35:$D$37,0)))</f>
        <v>0</v>
      </c>
      <c r="N202" s="80">
        <f ca="1">N182*(INDEX(N$35:N$37,MATCH(Work_Codes!$I$6,$D$35:$D$37,0)))</f>
        <v>0</v>
      </c>
      <c r="O202" s="80">
        <f ca="1">O182*(INDEX(O$35:O$37,MATCH(Work_Codes!$I$6,$D$35:$D$37,0)))</f>
        <v>0</v>
      </c>
      <c r="P202" s="80">
        <f ca="1">P182*(INDEX(P$35:P$37,MATCH(Work_Codes!$I$6,$D$35:$D$37,0)))</f>
        <v>0</v>
      </c>
      <c r="Q202" s="80">
        <f ca="1">Q182*(INDEX(Q$35:Q$37,MATCH(Work_Codes!$I$6,$D$35:$D$37,0)))</f>
        <v>0</v>
      </c>
      <c r="R202" s="80">
        <f ca="1">R182*(INDEX(R$35:R$37,MATCH(Work_Codes!$I$6,$D$35:$D$37,0)))</f>
        <v>0</v>
      </c>
      <c r="S202" s="80">
        <f ca="1">S182*(INDEX(S$35:S$37,MATCH(Work_Codes!$I$6,$D$35:$D$37,0)))</f>
        <v>0</v>
      </c>
      <c r="T202" s="80">
        <f ca="1">T182*(INDEX(T$35:T$37,MATCH(Work_Codes!$I$6,$D$35:$D$37,0)))</f>
        <v>0</v>
      </c>
    </row>
    <row r="203" spans="4:20" s="41" customFormat="1" outlineLevel="2">
      <c r="E203" s="251" t="str">
        <f>GC!C41</f>
        <v>Distribution pipelines</v>
      </c>
      <c r="F203" s="251"/>
      <c r="G203" s="251"/>
      <c r="H203" s="251"/>
      <c r="I203" s="251"/>
      <c r="J203" s="80">
        <f ca="1">J183*(INDEX(J$35:J$37,MATCH(Work_Codes!$I$6,$D$35:$D$37,0)))</f>
        <v>0</v>
      </c>
      <c r="K203" s="80">
        <f ca="1">K183*(INDEX(K$35:K$37,MATCH(Work_Codes!$I$6,$D$35:$D$37,0)))</f>
        <v>0</v>
      </c>
      <c r="L203" s="80">
        <f ca="1">L183*(INDEX(L$35:L$37,MATCH(Work_Codes!$I$6,$D$35:$D$37,0)))</f>
        <v>0</v>
      </c>
      <c r="M203" s="80">
        <f ca="1">M183*(INDEX(M$35:M$37,MATCH(Work_Codes!$I$6,$D$35:$D$37,0)))</f>
        <v>0</v>
      </c>
      <c r="N203" s="80">
        <f ca="1">N183*(INDEX(N$35:N$37,MATCH(Work_Codes!$I$6,$D$35:$D$37,0)))</f>
        <v>0</v>
      </c>
      <c r="O203" s="80">
        <f ca="1">O183*(INDEX(O$35:O$37,MATCH(Work_Codes!$I$6,$D$35:$D$37,0)))</f>
        <v>0</v>
      </c>
      <c r="P203" s="80">
        <f ca="1">P183*(INDEX(P$35:P$37,MATCH(Work_Codes!$I$6,$D$35:$D$37,0)))</f>
        <v>0</v>
      </c>
      <c r="Q203" s="80">
        <f ca="1">Q183*(INDEX(Q$35:Q$37,MATCH(Work_Codes!$I$6,$D$35:$D$37,0)))</f>
        <v>0</v>
      </c>
      <c r="R203" s="80">
        <f ca="1">R183*(INDEX(R$35:R$37,MATCH(Work_Codes!$I$6,$D$35:$D$37,0)))</f>
        <v>0</v>
      </c>
      <c r="S203" s="80">
        <f ca="1">S183*(INDEX(S$35:S$37,MATCH(Work_Codes!$I$6,$D$35:$D$37,0)))</f>
        <v>0</v>
      </c>
      <c r="T203" s="80">
        <f ca="1">T183*(INDEX(T$35:T$37,MATCH(Work_Codes!$I$6,$D$35:$D$37,0)))</f>
        <v>0</v>
      </c>
    </row>
    <row r="204" spans="4:20" s="41" customFormat="1" outlineLevel="2">
      <c r="E204" s="251" t="str">
        <f>GC!C42</f>
        <v>Service pipes</v>
      </c>
      <c r="F204" s="251"/>
      <c r="G204" s="251"/>
      <c r="H204" s="251"/>
      <c r="I204" s="251"/>
      <c r="J204" s="80">
        <f ca="1">J184*(INDEX(J$35:J$37,MATCH(Work_Codes!$I$6,$D$35:$D$37,0)))</f>
        <v>0</v>
      </c>
      <c r="K204" s="80">
        <f ca="1">K184*(INDEX(K$35:K$37,MATCH(Work_Codes!$I$6,$D$35:$D$37,0)))</f>
        <v>0</v>
      </c>
      <c r="L204" s="80">
        <f ca="1">L184*(INDEX(L$35:L$37,MATCH(Work_Codes!$I$6,$D$35:$D$37,0)))</f>
        <v>0</v>
      </c>
      <c r="M204" s="80">
        <f ca="1">M184*(INDEX(M$35:M$37,MATCH(Work_Codes!$I$6,$D$35:$D$37,0)))</f>
        <v>0</v>
      </c>
      <c r="N204" s="80">
        <f ca="1">N184*(INDEX(N$35:N$37,MATCH(Work_Codes!$I$6,$D$35:$D$37,0)))</f>
        <v>0</v>
      </c>
      <c r="O204" s="80">
        <f ca="1">O184*(INDEX(O$35:O$37,MATCH(Work_Codes!$I$6,$D$35:$D$37,0)))</f>
        <v>0</v>
      </c>
      <c r="P204" s="80">
        <f ca="1">P184*(INDEX(P$35:P$37,MATCH(Work_Codes!$I$6,$D$35:$D$37,0)))</f>
        <v>0</v>
      </c>
      <c r="Q204" s="80">
        <f ca="1">Q184*(INDEX(Q$35:Q$37,MATCH(Work_Codes!$I$6,$D$35:$D$37,0)))</f>
        <v>0</v>
      </c>
      <c r="R204" s="80">
        <f ca="1">R184*(INDEX(R$35:R$37,MATCH(Work_Codes!$I$6,$D$35:$D$37,0)))</f>
        <v>0</v>
      </c>
      <c r="S204" s="80">
        <f ca="1">S184*(INDEX(S$35:S$37,MATCH(Work_Codes!$I$6,$D$35:$D$37,0)))</f>
        <v>0</v>
      </c>
      <c r="T204" s="80">
        <f ca="1">T184*(INDEX(T$35:T$37,MATCH(Work_Codes!$I$6,$D$35:$D$37,0)))</f>
        <v>0</v>
      </c>
    </row>
    <row r="205" spans="4:20" s="41" customFormat="1" outlineLevel="2">
      <c r="E205" s="251" t="str">
        <f>GC!C43</f>
        <v>Cathodic protection</v>
      </c>
      <c r="F205" s="251"/>
      <c r="G205" s="251"/>
      <c r="H205" s="251"/>
      <c r="I205" s="251"/>
      <c r="J205" s="80">
        <f ca="1">J185*(INDEX(J$35:J$37,MATCH(Work_Codes!$I$6,$D$35:$D$37,0)))</f>
        <v>0</v>
      </c>
      <c r="K205" s="80">
        <f ca="1">K185*(INDEX(K$35:K$37,MATCH(Work_Codes!$I$6,$D$35:$D$37,0)))</f>
        <v>0</v>
      </c>
      <c r="L205" s="80">
        <f ca="1">L185*(INDEX(L$35:L$37,MATCH(Work_Codes!$I$6,$D$35:$D$37,0)))</f>
        <v>0</v>
      </c>
      <c r="M205" s="80">
        <f ca="1">M185*(INDEX(M$35:M$37,MATCH(Work_Codes!$I$6,$D$35:$D$37,0)))</f>
        <v>0</v>
      </c>
      <c r="N205" s="80">
        <f ca="1">N185*(INDEX(N$35:N$37,MATCH(Work_Codes!$I$6,$D$35:$D$37,0)))</f>
        <v>0</v>
      </c>
      <c r="O205" s="80">
        <f ca="1">O185*(INDEX(O$35:O$37,MATCH(Work_Codes!$I$6,$D$35:$D$37,0)))</f>
        <v>0</v>
      </c>
      <c r="P205" s="80">
        <f ca="1">P185*(INDEX(P$35:P$37,MATCH(Work_Codes!$I$6,$D$35:$D$37,0)))</f>
        <v>0</v>
      </c>
      <c r="Q205" s="80">
        <f ca="1">Q185*(INDEX(Q$35:Q$37,MATCH(Work_Codes!$I$6,$D$35:$D$37,0)))</f>
        <v>0</v>
      </c>
      <c r="R205" s="80">
        <f ca="1">R185*(INDEX(R$35:R$37,MATCH(Work_Codes!$I$6,$D$35:$D$37,0)))</f>
        <v>0</v>
      </c>
      <c r="S205" s="80">
        <f ca="1">S185*(INDEX(S$35:S$37,MATCH(Work_Codes!$I$6,$D$35:$D$37,0)))</f>
        <v>0</v>
      </c>
      <c r="T205" s="80">
        <f ca="1">T185*(INDEX(T$35:T$37,MATCH(Work_Codes!$I$6,$D$35:$D$37,0)))</f>
        <v>0</v>
      </c>
    </row>
    <row r="206" spans="4:20" s="41" customFormat="1" outlineLevel="2">
      <c r="E206" s="251" t="str">
        <f>GC!C44</f>
        <v>Supply Regulators / Valve Stations</v>
      </c>
      <c r="F206" s="251"/>
      <c r="G206" s="251"/>
      <c r="H206" s="251"/>
      <c r="I206" s="251"/>
      <c r="J206" s="80">
        <f ca="1">J186*(INDEX(J$35:J$37,MATCH(Work_Codes!$I$6,$D$35:$D$37,0)))</f>
        <v>0</v>
      </c>
      <c r="K206" s="80">
        <f ca="1">K186*(INDEX(K$35:K$37,MATCH(Work_Codes!$I$6,$D$35:$D$37,0)))</f>
        <v>0</v>
      </c>
      <c r="L206" s="80">
        <f ca="1">L186*(INDEX(L$35:L$37,MATCH(Work_Codes!$I$6,$D$35:$D$37,0)))</f>
        <v>0</v>
      </c>
      <c r="M206" s="80">
        <f ca="1">M186*(INDEX(M$35:M$37,MATCH(Work_Codes!$I$6,$D$35:$D$37,0)))</f>
        <v>0</v>
      </c>
      <c r="N206" s="80">
        <f ca="1">N186*(INDEX(N$35:N$37,MATCH(Work_Codes!$I$6,$D$35:$D$37,0)))</f>
        <v>0</v>
      </c>
      <c r="O206" s="80">
        <f ca="1">O186*(INDEX(O$35:O$37,MATCH(Work_Codes!$I$6,$D$35:$D$37,0)))</f>
        <v>0</v>
      </c>
      <c r="P206" s="80">
        <f ca="1">P186*(INDEX(P$35:P$37,MATCH(Work_Codes!$I$6,$D$35:$D$37,0)))</f>
        <v>0</v>
      </c>
      <c r="Q206" s="80">
        <f ca="1">Q186*(INDEX(Q$35:Q$37,MATCH(Work_Codes!$I$6,$D$35:$D$37,0)))</f>
        <v>0</v>
      </c>
      <c r="R206" s="80">
        <f ca="1">R186*(INDEX(R$35:R$37,MATCH(Work_Codes!$I$6,$D$35:$D$37,0)))</f>
        <v>0</v>
      </c>
      <c r="S206" s="80">
        <f ca="1">S186*(INDEX(S$35:S$37,MATCH(Work_Codes!$I$6,$D$35:$D$37,0)))</f>
        <v>0</v>
      </c>
      <c r="T206" s="80">
        <f ca="1">T186*(INDEX(T$35:T$37,MATCH(Work_Codes!$I$6,$D$35:$D$37,0)))</f>
        <v>0</v>
      </c>
    </row>
    <row r="207" spans="4:20" s="41" customFormat="1" outlineLevel="2">
      <c r="E207" s="251" t="str">
        <f>GC!C45</f>
        <v>Meters</v>
      </c>
      <c r="F207" s="251"/>
      <c r="G207" s="251"/>
      <c r="H207" s="251"/>
      <c r="I207" s="251"/>
      <c r="J207" s="80">
        <f ca="1">J187*(INDEX(J$35:J$37,MATCH(Work_Codes!$I$6,$D$35:$D$37,0)))</f>
        <v>0</v>
      </c>
      <c r="K207" s="80">
        <f ca="1">K187*(INDEX(K$35:K$37,MATCH(Work_Codes!$I$6,$D$35:$D$37,0)))</f>
        <v>0</v>
      </c>
      <c r="L207" s="80">
        <f ca="1">L187*(INDEX(L$35:L$37,MATCH(Work_Codes!$I$6,$D$35:$D$37,0)))</f>
        <v>0</v>
      </c>
      <c r="M207" s="80">
        <f ca="1">M187*(INDEX(M$35:M$37,MATCH(Work_Codes!$I$6,$D$35:$D$37,0)))</f>
        <v>0</v>
      </c>
      <c r="N207" s="80">
        <f ca="1">N187*(INDEX(N$35:N$37,MATCH(Work_Codes!$I$6,$D$35:$D$37,0)))</f>
        <v>0</v>
      </c>
      <c r="O207" s="80">
        <f ca="1">O187*(INDEX(O$35:O$37,MATCH(Work_Codes!$I$6,$D$35:$D$37,0)))</f>
        <v>0</v>
      </c>
      <c r="P207" s="80">
        <f ca="1">P187*(INDEX(P$35:P$37,MATCH(Work_Codes!$I$6,$D$35:$D$37,0)))</f>
        <v>0</v>
      </c>
      <c r="Q207" s="80">
        <f ca="1">Q187*(INDEX(Q$35:Q$37,MATCH(Work_Codes!$I$6,$D$35:$D$37,0)))</f>
        <v>0</v>
      </c>
      <c r="R207" s="80">
        <f ca="1">R187*(INDEX(R$35:R$37,MATCH(Work_Codes!$I$6,$D$35:$D$37,0)))</f>
        <v>0</v>
      </c>
      <c r="S207" s="80">
        <f ca="1">S187*(INDEX(S$35:S$37,MATCH(Work_Codes!$I$6,$D$35:$D$37,0)))</f>
        <v>0</v>
      </c>
      <c r="T207" s="80">
        <f ca="1">T187*(INDEX(T$35:T$37,MATCH(Work_Codes!$I$6,$D$35:$D$37,0)))</f>
        <v>0</v>
      </c>
    </row>
    <row r="208" spans="4:20" s="41" customFormat="1" outlineLevel="2">
      <c r="E208" s="251" t="str">
        <f>GC!C46</f>
        <v>SCADA and remote control</v>
      </c>
      <c r="F208" s="251"/>
      <c r="G208" s="251"/>
      <c r="H208" s="251"/>
      <c r="I208" s="251"/>
      <c r="J208" s="80">
        <f ca="1">J188*(INDEX(J$35:J$37,MATCH(Work_Codes!$I$6,$D$35:$D$37,0)))</f>
        <v>0</v>
      </c>
      <c r="K208" s="80">
        <f ca="1">K188*(INDEX(K$35:K$37,MATCH(Work_Codes!$I$6,$D$35:$D$37,0)))</f>
        <v>0</v>
      </c>
      <c r="L208" s="80">
        <f ca="1">L188*(INDEX(L$35:L$37,MATCH(Work_Codes!$I$6,$D$35:$D$37,0)))</f>
        <v>0</v>
      </c>
      <c r="M208" s="80">
        <f ca="1">M188*(INDEX(M$35:M$37,MATCH(Work_Codes!$I$6,$D$35:$D$37,0)))</f>
        <v>0</v>
      </c>
      <c r="N208" s="80">
        <f ca="1">N188*(INDEX(N$35:N$37,MATCH(Work_Codes!$I$6,$D$35:$D$37,0)))</f>
        <v>0</v>
      </c>
      <c r="O208" s="80">
        <f ca="1">O188*(INDEX(O$35:O$37,MATCH(Work_Codes!$I$6,$D$35:$D$37,0)))</f>
        <v>0</v>
      </c>
      <c r="P208" s="80">
        <f ca="1">P188*(INDEX(P$35:P$37,MATCH(Work_Codes!$I$6,$D$35:$D$37,0)))</f>
        <v>0</v>
      </c>
      <c r="Q208" s="80">
        <f ca="1">Q188*(INDEX(Q$35:Q$37,MATCH(Work_Codes!$I$6,$D$35:$D$37,0)))</f>
        <v>0</v>
      </c>
      <c r="R208" s="80">
        <f ca="1">R188*(INDEX(R$35:R$37,MATCH(Work_Codes!$I$6,$D$35:$D$37,0)))</f>
        <v>0</v>
      </c>
      <c r="S208" s="80">
        <f ca="1">S188*(INDEX(S$35:S$37,MATCH(Work_Codes!$I$6,$D$35:$D$37,0)))</f>
        <v>0</v>
      </c>
      <c r="T208" s="80">
        <f ca="1">T188*(INDEX(T$35:T$37,MATCH(Work_Codes!$I$6,$D$35:$D$37,0)))</f>
        <v>0</v>
      </c>
    </row>
    <row r="209" spans="4:20" s="41" customFormat="1" outlineLevel="2">
      <c r="E209" s="251" t="str">
        <f>GC!C47</f>
        <v>Buildings</v>
      </c>
      <c r="F209" s="251"/>
      <c r="G209" s="251"/>
      <c r="H209" s="251"/>
      <c r="I209" s="251"/>
      <c r="J209" s="80">
        <f ca="1">J189*(INDEX(J$35:J$37,MATCH(Work_Codes!$I$6,$D$35:$D$37,0)))</f>
        <v>0</v>
      </c>
      <c r="K209" s="80">
        <f ca="1">K189*(INDEX(K$35:K$37,MATCH(Work_Codes!$I$6,$D$35:$D$37,0)))</f>
        <v>0</v>
      </c>
      <c r="L209" s="80">
        <f ca="1">L189*(INDEX(L$35:L$37,MATCH(Work_Codes!$I$6,$D$35:$D$37,0)))</f>
        <v>0</v>
      </c>
      <c r="M209" s="80">
        <f ca="1">M189*(INDEX(M$35:M$37,MATCH(Work_Codes!$I$6,$D$35:$D$37,0)))</f>
        <v>0</v>
      </c>
      <c r="N209" s="80">
        <f ca="1">N189*(INDEX(N$35:N$37,MATCH(Work_Codes!$I$6,$D$35:$D$37,0)))</f>
        <v>0</v>
      </c>
      <c r="O209" s="80">
        <f ca="1">O189*(INDEX(O$35:O$37,MATCH(Work_Codes!$I$6,$D$35:$D$37,0)))</f>
        <v>0</v>
      </c>
      <c r="P209" s="80">
        <f ca="1">P189*(INDEX(P$35:P$37,MATCH(Work_Codes!$I$6,$D$35:$D$37,0)))</f>
        <v>0</v>
      </c>
      <c r="Q209" s="80">
        <f ca="1">Q189*(INDEX(Q$35:Q$37,MATCH(Work_Codes!$I$6,$D$35:$D$37,0)))</f>
        <v>0</v>
      </c>
      <c r="R209" s="80">
        <f ca="1">R189*(INDEX(R$35:R$37,MATCH(Work_Codes!$I$6,$D$35:$D$37,0)))</f>
        <v>0</v>
      </c>
      <c r="S209" s="80">
        <f ca="1">S189*(INDEX(S$35:S$37,MATCH(Work_Codes!$I$6,$D$35:$D$37,0)))</f>
        <v>0</v>
      </c>
      <c r="T209" s="80">
        <f ca="1">T189*(INDEX(T$35:T$37,MATCH(Work_Codes!$I$6,$D$35:$D$37,0)))</f>
        <v>0</v>
      </c>
    </row>
    <row r="210" spans="4:20" s="41" customFormat="1" outlineLevel="2">
      <c r="E210" s="251" t="str">
        <f>GC!C48</f>
        <v>Other - IT</v>
      </c>
      <c r="F210" s="251"/>
      <c r="G210" s="251"/>
      <c r="H210" s="251"/>
      <c r="I210" s="251"/>
      <c r="J210" s="80">
        <f ca="1">J190*(INDEX(J$35:J$37,MATCH(Work_Codes!$I$6,$D$35:$D$37,0)))</f>
        <v>0</v>
      </c>
      <c r="K210" s="80">
        <f ca="1">K190*(INDEX(K$35:K$37,MATCH(Work_Codes!$I$6,$D$35:$D$37,0)))</f>
        <v>0</v>
      </c>
      <c r="L210" s="80">
        <f ca="1">L190*(INDEX(L$35:L$37,MATCH(Work_Codes!$I$6,$D$35:$D$37,0)))</f>
        <v>0</v>
      </c>
      <c r="M210" s="80">
        <f ca="1">M190*(INDEX(M$35:M$37,MATCH(Work_Codes!$I$6,$D$35:$D$37,0)))</f>
        <v>0</v>
      </c>
      <c r="N210" s="80">
        <f ca="1">N190*(INDEX(N$35:N$37,MATCH(Work_Codes!$I$6,$D$35:$D$37,0)))</f>
        <v>0</v>
      </c>
      <c r="O210" s="80">
        <f ca="1">O190*(INDEX(O$35:O$37,MATCH(Work_Codes!$I$6,$D$35:$D$37,0)))</f>
        <v>0</v>
      </c>
      <c r="P210" s="80">
        <f ca="1">P190*(INDEX(P$35:P$37,MATCH(Work_Codes!$I$6,$D$35:$D$37,0)))</f>
        <v>0</v>
      </c>
      <c r="Q210" s="80">
        <f ca="1">Q190*(INDEX(Q$35:Q$37,MATCH(Work_Codes!$I$6,$D$35:$D$37,0)))</f>
        <v>0</v>
      </c>
      <c r="R210" s="80">
        <f ca="1">R190*(INDEX(R$35:R$37,MATCH(Work_Codes!$I$6,$D$35:$D$37,0)))</f>
        <v>0</v>
      </c>
      <c r="S210" s="80">
        <f ca="1">S190*(INDEX(S$35:S$37,MATCH(Work_Codes!$I$6,$D$35:$D$37,0)))</f>
        <v>0</v>
      </c>
      <c r="T210" s="80">
        <f ca="1">T190*(INDEX(T$35:T$37,MATCH(Work_Codes!$I$6,$D$35:$D$37,0)))</f>
        <v>0</v>
      </c>
    </row>
    <row r="211" spans="4:20" s="41" customFormat="1" outlineLevel="2">
      <c r="E211" s="251" t="str">
        <f>GC!C49</f>
        <v>Other - non IT</v>
      </c>
      <c r="F211" s="251"/>
      <c r="G211" s="251"/>
      <c r="H211" s="251"/>
      <c r="I211" s="251"/>
      <c r="J211" s="80">
        <f ca="1">J191*(INDEX(J$35:J$37,MATCH(Work_Codes!$I$6,$D$35:$D$37,0)))</f>
        <v>0</v>
      </c>
      <c r="K211" s="80">
        <f ca="1">K191*(INDEX(K$35:K$37,MATCH(Work_Codes!$I$6,$D$35:$D$37,0)))</f>
        <v>0</v>
      </c>
      <c r="L211" s="80">
        <f ca="1">L191*(INDEX(L$35:L$37,MATCH(Work_Codes!$I$6,$D$35:$D$37,0)))</f>
        <v>0</v>
      </c>
      <c r="M211" s="80">
        <f ca="1">M191*(INDEX(M$35:M$37,MATCH(Work_Codes!$I$6,$D$35:$D$37,0)))</f>
        <v>0</v>
      </c>
      <c r="N211" s="80">
        <f ca="1">N191*(INDEX(N$35:N$37,MATCH(Work_Codes!$I$6,$D$35:$D$37,0)))</f>
        <v>0</v>
      </c>
      <c r="O211" s="80">
        <f ca="1">O191*(INDEX(O$35:O$37,MATCH(Work_Codes!$I$6,$D$35:$D$37,0)))</f>
        <v>0</v>
      </c>
      <c r="P211" s="80">
        <f ca="1">P191*(INDEX(P$35:P$37,MATCH(Work_Codes!$I$6,$D$35:$D$37,0)))</f>
        <v>0</v>
      </c>
      <c r="Q211" s="80">
        <f ca="1">Q191*(INDEX(Q$35:Q$37,MATCH(Work_Codes!$I$6,$D$35:$D$37,0)))</f>
        <v>0</v>
      </c>
      <c r="R211" s="80">
        <f ca="1">R191*(INDEX(R$35:R$37,MATCH(Work_Codes!$I$6,$D$35:$D$37,0)))</f>
        <v>0</v>
      </c>
      <c r="S211" s="80">
        <f ca="1">S191*(INDEX(S$35:S$37,MATCH(Work_Codes!$I$6,$D$35:$D$37,0)))</f>
        <v>0</v>
      </c>
      <c r="T211" s="80">
        <f ca="1">T191*(INDEX(T$35:T$37,MATCH(Work_Codes!$I$6,$D$35:$D$37,0)))</f>
        <v>0</v>
      </c>
    </row>
    <row r="212" spans="4:20" s="41" customFormat="1" outlineLevel="2">
      <c r="E212" s="251" t="str">
        <f>GC!C50</f>
        <v>Land</v>
      </c>
      <c r="F212" s="251"/>
      <c r="G212" s="251"/>
      <c r="H212" s="251"/>
      <c r="I212" s="251"/>
      <c r="J212" s="80">
        <f ca="1">J192*(INDEX(J$35:J$37,MATCH(Work_Codes!$I$6,$D$35:$D$37,0)))</f>
        <v>0</v>
      </c>
      <c r="K212" s="80">
        <f ca="1">K192*(INDEX(K$35:K$37,MATCH(Work_Codes!$I$6,$D$35:$D$37,0)))</f>
        <v>0</v>
      </c>
      <c r="L212" s="80">
        <f ca="1">L192*(INDEX(L$35:L$37,MATCH(Work_Codes!$I$6,$D$35:$D$37,0)))</f>
        <v>0</v>
      </c>
      <c r="M212" s="80">
        <f ca="1">M192*(INDEX(M$35:M$37,MATCH(Work_Codes!$I$6,$D$35:$D$37,0)))</f>
        <v>0</v>
      </c>
      <c r="N212" s="80">
        <f ca="1">N192*(INDEX(N$35:N$37,MATCH(Work_Codes!$I$6,$D$35:$D$37,0)))</f>
        <v>0</v>
      </c>
      <c r="O212" s="80">
        <f ca="1">O192*(INDEX(O$35:O$37,MATCH(Work_Codes!$I$6,$D$35:$D$37,0)))</f>
        <v>0</v>
      </c>
      <c r="P212" s="80">
        <f ca="1">P192*(INDEX(P$35:P$37,MATCH(Work_Codes!$I$6,$D$35:$D$37,0)))</f>
        <v>0</v>
      </c>
      <c r="Q212" s="80">
        <f ca="1">Q192*(INDEX(Q$35:Q$37,MATCH(Work_Codes!$I$6,$D$35:$D$37,0)))</f>
        <v>0</v>
      </c>
      <c r="R212" s="80">
        <f ca="1">R192*(INDEX(R$35:R$37,MATCH(Work_Codes!$I$6,$D$35:$D$37,0)))</f>
        <v>0</v>
      </c>
      <c r="S212" s="80">
        <f ca="1">S192*(INDEX(S$35:S$37,MATCH(Work_Codes!$I$6,$D$35:$D$37,0)))</f>
        <v>0</v>
      </c>
      <c r="T212" s="80">
        <f ca="1">T192*(INDEX(T$35:T$37,MATCH(Work_Codes!$I$6,$D$35:$D$37,0)))</f>
        <v>0</v>
      </c>
    </row>
    <row r="213" spans="4:20" s="41" customFormat="1" outlineLevel="2">
      <c r="E213" s="251" t="str">
        <f>GC!C51</f>
        <v>Capitalised Leases</v>
      </c>
      <c r="F213" s="251"/>
      <c r="G213" s="251"/>
      <c r="H213" s="251"/>
      <c r="I213" s="251"/>
      <c r="J213" s="80">
        <f ca="1">J193*(INDEX(J$35:J$37,MATCH(Work_Codes!$I$6,$D$35:$D$37,0)))</f>
        <v>0</v>
      </c>
      <c r="K213" s="80">
        <f ca="1">K193*(INDEX(K$35:K$37,MATCH(Work_Codes!$I$6,$D$35:$D$37,0)))</f>
        <v>0</v>
      </c>
      <c r="L213" s="80">
        <f ca="1">L193*(INDEX(L$35:L$37,MATCH(Work_Codes!$I$6,$D$35:$D$37,0)))</f>
        <v>0</v>
      </c>
      <c r="M213" s="80">
        <f ca="1">M193*(INDEX(M$35:M$37,MATCH(Work_Codes!$I$6,$D$35:$D$37,0)))</f>
        <v>0</v>
      </c>
      <c r="N213" s="80">
        <f ca="1">N193*(INDEX(N$35:N$37,MATCH(Work_Codes!$I$6,$D$35:$D$37,0)))</f>
        <v>0</v>
      </c>
      <c r="O213" s="80">
        <f ca="1">O193*(INDEX(O$35:O$37,MATCH(Work_Codes!$I$6,$D$35:$D$37,0)))</f>
        <v>0</v>
      </c>
      <c r="P213" s="80">
        <f ca="1">P193*(INDEX(P$35:P$37,MATCH(Work_Codes!$I$6,$D$35:$D$37,0)))</f>
        <v>0</v>
      </c>
      <c r="Q213" s="80">
        <f ca="1">Q193*(INDEX(Q$35:Q$37,MATCH(Work_Codes!$I$6,$D$35:$D$37,0)))</f>
        <v>0</v>
      </c>
      <c r="R213" s="80">
        <f ca="1">R193*(INDEX(R$35:R$37,MATCH(Work_Codes!$I$6,$D$35:$D$37,0)))</f>
        <v>0</v>
      </c>
      <c r="S213" s="80">
        <f ca="1">S193*(INDEX(S$35:S$37,MATCH(Work_Codes!$I$6,$D$35:$D$37,0)))</f>
        <v>0</v>
      </c>
      <c r="T213" s="80">
        <f ca="1">T193*(INDEX(T$35:T$37,MATCH(Work_Codes!$I$6,$D$35:$D$37,0)))</f>
        <v>0</v>
      </c>
    </row>
    <row r="214" spans="4:20" s="41" customFormat="1" outlineLevel="2">
      <c r="E214" s="251" t="str">
        <f>GC!C52</f>
        <v>Transmission pipelines - post 1998</v>
      </c>
      <c r="F214" s="251"/>
      <c r="G214" s="251"/>
      <c r="H214" s="251"/>
      <c r="I214" s="251"/>
      <c r="J214" s="80">
        <f ca="1">J194*(INDEX(J$35:J$37,MATCH(Work_Codes!$I$6,$D$35:$D$37,0)))</f>
        <v>0</v>
      </c>
      <c r="K214" s="80">
        <f ca="1">K194*(INDEX(K$35:K$37,MATCH(Work_Codes!$I$6,$D$35:$D$37,0)))</f>
        <v>0</v>
      </c>
      <c r="L214" s="80">
        <f ca="1">L194*(INDEX(L$35:L$37,MATCH(Work_Codes!$I$6,$D$35:$D$37,0)))</f>
        <v>0</v>
      </c>
      <c r="M214" s="80">
        <f ca="1">M194*(INDEX(M$35:M$37,MATCH(Work_Codes!$I$6,$D$35:$D$37,0)))</f>
        <v>0</v>
      </c>
      <c r="N214" s="80">
        <f ca="1">N194*(INDEX(N$35:N$37,MATCH(Work_Codes!$I$6,$D$35:$D$37,0)))</f>
        <v>0</v>
      </c>
      <c r="O214" s="80">
        <f ca="1">O194*(INDEX(O$35:O$37,MATCH(Work_Codes!$I$6,$D$35:$D$37,0)))</f>
        <v>0</v>
      </c>
      <c r="P214" s="80">
        <f ca="1">P194*(INDEX(P$35:P$37,MATCH(Work_Codes!$I$6,$D$35:$D$37,0)))</f>
        <v>0</v>
      </c>
      <c r="Q214" s="80">
        <f ca="1">Q194*(INDEX(Q$35:Q$37,MATCH(Work_Codes!$I$6,$D$35:$D$37,0)))</f>
        <v>0</v>
      </c>
      <c r="R214" s="80">
        <f ca="1">R194*(INDEX(R$35:R$37,MATCH(Work_Codes!$I$6,$D$35:$D$37,0)))</f>
        <v>0</v>
      </c>
      <c r="S214" s="80">
        <f ca="1">S194*(INDEX(S$35:S$37,MATCH(Work_Codes!$I$6,$D$35:$D$37,0)))</f>
        <v>0</v>
      </c>
      <c r="T214" s="80">
        <f ca="1">T194*(INDEX(T$35:T$37,MATCH(Work_Codes!$I$6,$D$35:$D$37,0)))</f>
        <v>0</v>
      </c>
    </row>
    <row r="215" spans="4:20" s="41" customFormat="1" outlineLevel="2">
      <c r="E215" s="251" t="str">
        <f>GC!C53</f>
        <v>Distribution pipelines - post 1998</v>
      </c>
      <c r="F215" s="251"/>
      <c r="G215" s="251"/>
      <c r="H215" s="251"/>
      <c r="I215" s="251"/>
      <c r="J215" s="80">
        <f ca="1">J195*(INDEX(J$35:J$37,MATCH(Work_Codes!$I$6,$D$35:$D$37,0)))</f>
        <v>0</v>
      </c>
      <c r="K215" s="80">
        <f ca="1">K195*(INDEX(K$35:K$37,MATCH(Work_Codes!$I$6,$D$35:$D$37,0)))</f>
        <v>0</v>
      </c>
      <c r="L215" s="80">
        <f ca="1">L195*(INDEX(L$35:L$37,MATCH(Work_Codes!$I$6,$D$35:$D$37,0)))</f>
        <v>0</v>
      </c>
      <c r="M215" s="80">
        <f ca="1">M195*(INDEX(M$35:M$37,MATCH(Work_Codes!$I$6,$D$35:$D$37,0)))</f>
        <v>0</v>
      </c>
      <c r="N215" s="80">
        <f ca="1">N195*(INDEX(N$35:N$37,MATCH(Work_Codes!$I$6,$D$35:$D$37,0)))</f>
        <v>326970.1419014397</v>
      </c>
      <c r="O215" s="80">
        <f ca="1">O195*(INDEX(O$35:O$37,MATCH(Work_Codes!$I$6,$D$35:$D$37,0)))</f>
        <v>287942.36907508312</v>
      </c>
      <c r="P215" s="80">
        <f ca="1">P195*(INDEX(P$35:P$37,MATCH(Work_Codes!$I$6,$D$35:$D$37,0)))</f>
        <v>292397.53694299411</v>
      </c>
      <c r="Q215" s="80">
        <f ca="1">Q195*(INDEX(Q$35:Q$37,MATCH(Work_Codes!$I$6,$D$35:$D$37,0)))</f>
        <v>239155.91102535464</v>
      </c>
      <c r="R215" s="80">
        <f ca="1">R195*(INDEX(R$35:R$37,MATCH(Work_Codes!$I$6,$D$35:$D$37,0)))</f>
        <v>175177.73386074119</v>
      </c>
      <c r="S215" s="80">
        <f ca="1">S195*(INDEX(S$35:S$37,MATCH(Work_Codes!$I$6,$D$35:$D$37,0)))</f>
        <v>196243.10189762051</v>
      </c>
      <c r="T215" s="80">
        <f ca="1">T195*(INDEX(T$35:T$37,MATCH(Work_Codes!$I$6,$D$35:$D$37,0)))</f>
        <v>121590.48365833001</v>
      </c>
    </row>
    <row r="216" spans="4:20" s="41" customFormat="1" outlineLevel="2">
      <c r="E216" s="251" t="str">
        <f>GC!C54</f>
        <v>Service pipes - post 1998</v>
      </c>
      <c r="F216" s="251"/>
      <c r="G216" s="251"/>
      <c r="H216" s="251"/>
      <c r="I216" s="251"/>
      <c r="J216" s="80">
        <f ca="1">J196*(INDEX(J$35:J$37,MATCH(Work_Codes!$I$6,$D$35:$D$37,0)))</f>
        <v>0</v>
      </c>
      <c r="K216" s="80">
        <f ca="1">K196*(INDEX(K$35:K$37,MATCH(Work_Codes!$I$6,$D$35:$D$37,0)))</f>
        <v>0</v>
      </c>
      <c r="L216" s="80">
        <f ca="1">L196*(INDEX(L$35:L$37,MATCH(Work_Codes!$I$6,$D$35:$D$37,0)))</f>
        <v>0</v>
      </c>
      <c r="M216" s="80">
        <f ca="1">M196*(INDEX(M$35:M$37,MATCH(Work_Codes!$I$6,$D$35:$D$37,0)))</f>
        <v>0</v>
      </c>
      <c r="N216" s="80">
        <f ca="1">N196*(INDEX(N$35:N$37,MATCH(Work_Codes!$I$6,$D$35:$D$37,0)))</f>
        <v>326970.1419014397</v>
      </c>
      <c r="O216" s="80">
        <f ca="1">O196*(INDEX(O$35:O$37,MATCH(Work_Codes!$I$6,$D$35:$D$37,0)))</f>
        <v>287942.36907508312</v>
      </c>
      <c r="P216" s="80">
        <f ca="1">P196*(INDEX(P$35:P$37,MATCH(Work_Codes!$I$6,$D$35:$D$37,0)))</f>
        <v>292397.53694299411</v>
      </c>
      <c r="Q216" s="80">
        <f ca="1">Q196*(INDEX(Q$35:Q$37,MATCH(Work_Codes!$I$6,$D$35:$D$37,0)))</f>
        <v>239155.91102535464</v>
      </c>
      <c r="R216" s="80">
        <f ca="1">R196*(INDEX(R$35:R$37,MATCH(Work_Codes!$I$6,$D$35:$D$37,0)))</f>
        <v>175177.73386074119</v>
      </c>
      <c r="S216" s="80">
        <f ca="1">S196*(INDEX(S$35:S$37,MATCH(Work_Codes!$I$6,$D$35:$D$37,0)))</f>
        <v>196243.10189762051</v>
      </c>
      <c r="T216" s="80">
        <f ca="1">T196*(INDEX(T$35:T$37,MATCH(Work_Codes!$I$6,$D$35:$D$37,0)))</f>
        <v>121590.48365833001</v>
      </c>
    </row>
    <row r="217" spans="4:20" s="41" customFormat="1" outlineLevel="2">
      <c r="E217" s="251" t="str">
        <f>GC!C55</f>
        <v>Cathodic protection - post 1998</v>
      </c>
      <c r="F217" s="251"/>
      <c r="G217" s="251"/>
      <c r="H217" s="251"/>
      <c r="I217" s="251"/>
      <c r="J217" s="80">
        <f ca="1">J197*(INDEX(J$35:J$37,MATCH(Work_Codes!$I$6,$D$35:$D$37,0)))</f>
        <v>0</v>
      </c>
      <c r="K217" s="80">
        <f ca="1">K197*(INDEX(K$35:K$37,MATCH(Work_Codes!$I$6,$D$35:$D$37,0)))</f>
        <v>0</v>
      </c>
      <c r="L217" s="80">
        <f ca="1">L197*(INDEX(L$35:L$37,MATCH(Work_Codes!$I$6,$D$35:$D$37,0)))</f>
        <v>0</v>
      </c>
      <c r="M217" s="80">
        <f ca="1">M197*(INDEX(M$35:M$37,MATCH(Work_Codes!$I$6,$D$35:$D$37,0)))</f>
        <v>0</v>
      </c>
      <c r="N217" s="80">
        <f ca="1">N197*(INDEX(N$35:N$37,MATCH(Work_Codes!$I$6,$D$35:$D$37,0)))</f>
        <v>0</v>
      </c>
      <c r="O217" s="80">
        <f ca="1">O197*(INDEX(O$35:O$37,MATCH(Work_Codes!$I$6,$D$35:$D$37,0)))</f>
        <v>0</v>
      </c>
      <c r="P217" s="80">
        <f ca="1">P197*(INDEX(P$35:P$37,MATCH(Work_Codes!$I$6,$D$35:$D$37,0)))</f>
        <v>0</v>
      </c>
      <c r="Q217" s="80">
        <f ca="1">Q197*(INDEX(Q$35:Q$37,MATCH(Work_Codes!$I$6,$D$35:$D$37,0)))</f>
        <v>0</v>
      </c>
      <c r="R217" s="80">
        <f ca="1">R197*(INDEX(R$35:R$37,MATCH(Work_Codes!$I$6,$D$35:$D$37,0)))</f>
        <v>0</v>
      </c>
      <c r="S217" s="80">
        <f ca="1">S197*(INDEX(S$35:S$37,MATCH(Work_Codes!$I$6,$D$35:$D$37,0)))</f>
        <v>0</v>
      </c>
      <c r="T217" s="80">
        <f ca="1">T197*(INDEX(T$35:T$37,MATCH(Work_Codes!$I$6,$D$35:$D$37,0)))</f>
        <v>0</v>
      </c>
    </row>
    <row r="218" spans="4:20" s="41" customFormat="1" outlineLevel="2">
      <c r="E218" s="250" t="str">
        <f>"Total "&amp;D200</f>
        <v>Total Overheads</v>
      </c>
      <c r="F218" s="250"/>
      <c r="G218" s="250"/>
      <c r="H218" s="250"/>
      <c r="I218" s="250"/>
      <c r="J218" s="101">
        <f t="shared" ref="J218:T218" ca="1" si="28">SUM(J202:J217)</f>
        <v>0</v>
      </c>
      <c r="K218" s="101">
        <f t="shared" ca="1" si="28"/>
        <v>0</v>
      </c>
      <c r="L218" s="101">
        <f t="shared" ca="1" si="28"/>
        <v>0</v>
      </c>
      <c r="M218" s="101">
        <f t="shared" ca="1" si="28"/>
        <v>0</v>
      </c>
      <c r="N218" s="101">
        <f t="shared" ca="1" si="28"/>
        <v>653940.28380287939</v>
      </c>
      <c r="O218" s="101">
        <f t="shared" ca="1" si="28"/>
        <v>575884.73815016623</v>
      </c>
      <c r="P218" s="101">
        <f t="shared" ca="1" si="28"/>
        <v>584795.07388598821</v>
      </c>
      <c r="Q218" s="101">
        <f t="shared" ca="1" si="28"/>
        <v>478311.82205070928</v>
      </c>
      <c r="R218" s="101">
        <f t="shared" ca="1" si="28"/>
        <v>350355.46772148239</v>
      </c>
      <c r="S218" s="101">
        <f t="shared" ca="1" si="28"/>
        <v>392486.20379524102</v>
      </c>
      <c r="T218" s="101">
        <f t="shared" ca="1" si="28"/>
        <v>243180.96731666001</v>
      </c>
    </row>
    <row r="219" spans="4:20" s="41" customFormat="1" outlineLevel="2"/>
    <row r="220" spans="4:20" s="41" customFormat="1" outlineLevel="2">
      <c r="D220" s="50" t="s">
        <v>216</v>
      </c>
    </row>
    <row r="221" spans="4:20" s="41" customFormat="1" ht="5.9" customHeight="1" outlineLevel="2"/>
    <row r="222" spans="4:20" s="41" customFormat="1" outlineLevel="2">
      <c r="E222" s="247" t="str">
        <f>GC!C40</f>
        <v>Transmission pipelines</v>
      </c>
      <c r="F222" s="247"/>
      <c r="G222" s="247"/>
      <c r="H222" s="247"/>
      <c r="I222" s="247"/>
      <c r="J222" s="81">
        <f ca="1">J182*(1+INDEX(J$35:J$37,MATCH(Work_Codes!$I$6,$D$35:$D$37,0)))</f>
        <v>0</v>
      </c>
      <c r="K222" s="81">
        <f ca="1">K182*(1+INDEX(K$35:K$37,MATCH(Work_Codes!$I$6,$D$35:$D$37,0)))</f>
        <v>0</v>
      </c>
      <c r="L222" s="81">
        <f ca="1">L182*(1+INDEX(L$35:L$37,MATCH(Work_Codes!$I$6,$D$35:$D$37,0)))</f>
        <v>0</v>
      </c>
      <c r="M222" s="81">
        <f ca="1">M182*(1+INDEX(M$35:M$37,MATCH(Work_Codes!$I$6,$D$35:$D$37,0)))</f>
        <v>0</v>
      </c>
      <c r="N222" s="81">
        <f ca="1">N182*(1+INDEX(N$35:N$37,MATCH(Work_Codes!$I$6,$D$35:$D$37,0)))</f>
        <v>0</v>
      </c>
      <c r="O222" s="81">
        <f ca="1">O182*(1+INDEX(O$35:O$37,MATCH(Work_Codes!$I$6,$D$35:$D$37,0)))</f>
        <v>0</v>
      </c>
      <c r="P222" s="81">
        <f ca="1">P182*(1+INDEX(P$35:P$37,MATCH(Work_Codes!$I$6,$D$35:$D$37,0)))</f>
        <v>0</v>
      </c>
      <c r="Q222" s="81">
        <f ca="1">Q182*(1+INDEX(Q$35:Q$37,MATCH(Work_Codes!$I$6,$D$35:$D$37,0)))</f>
        <v>0</v>
      </c>
      <c r="R222" s="81">
        <f ca="1">R182*(1+INDEX(R$35:R$37,MATCH(Work_Codes!$I$6,$D$35:$D$37,0)))</f>
        <v>0</v>
      </c>
      <c r="S222" s="81">
        <f ca="1">S182*(1+INDEX(S$35:S$37,MATCH(Work_Codes!$I$6,$D$35:$D$37,0)))</f>
        <v>0</v>
      </c>
      <c r="T222" s="81">
        <f ca="1">T182*(1+INDEX(T$35:T$37,MATCH(Work_Codes!$I$6,$D$35:$D$37,0)))</f>
        <v>0</v>
      </c>
    </row>
    <row r="223" spans="4:20" s="41" customFormat="1" outlineLevel="2">
      <c r="E223" s="247" t="str">
        <f>GC!C41</f>
        <v>Distribution pipelines</v>
      </c>
      <c r="F223" s="247"/>
      <c r="G223" s="247"/>
      <c r="H223" s="247"/>
      <c r="I223" s="247"/>
      <c r="J223" s="81">
        <f ca="1">J183*(1+INDEX(J$35:J$37,MATCH(Work_Codes!$I$6,$D$35:$D$37,0)))</f>
        <v>0</v>
      </c>
      <c r="K223" s="81">
        <f ca="1">K183*(1+INDEX(K$35:K$37,MATCH(Work_Codes!$I$6,$D$35:$D$37,0)))</f>
        <v>0</v>
      </c>
      <c r="L223" s="81">
        <f ca="1">L183*(1+INDEX(L$35:L$37,MATCH(Work_Codes!$I$6,$D$35:$D$37,0)))</f>
        <v>0</v>
      </c>
      <c r="M223" s="81">
        <f ca="1">M183*(1+INDEX(M$35:M$37,MATCH(Work_Codes!$I$6,$D$35:$D$37,0)))</f>
        <v>0</v>
      </c>
      <c r="N223" s="81">
        <f ca="1">N183*(1+INDEX(N$35:N$37,MATCH(Work_Codes!$I$6,$D$35:$D$37,0)))</f>
        <v>0</v>
      </c>
      <c r="O223" s="81">
        <f ca="1">O183*(1+INDEX(O$35:O$37,MATCH(Work_Codes!$I$6,$D$35:$D$37,0)))</f>
        <v>0</v>
      </c>
      <c r="P223" s="81">
        <f ca="1">P183*(1+INDEX(P$35:P$37,MATCH(Work_Codes!$I$6,$D$35:$D$37,0)))</f>
        <v>0</v>
      </c>
      <c r="Q223" s="81">
        <f ca="1">Q183*(1+INDEX(Q$35:Q$37,MATCH(Work_Codes!$I$6,$D$35:$D$37,0)))</f>
        <v>0</v>
      </c>
      <c r="R223" s="81">
        <f ca="1">R183*(1+INDEX(R$35:R$37,MATCH(Work_Codes!$I$6,$D$35:$D$37,0)))</f>
        <v>0</v>
      </c>
      <c r="S223" s="81">
        <f ca="1">S183*(1+INDEX(S$35:S$37,MATCH(Work_Codes!$I$6,$D$35:$D$37,0)))</f>
        <v>0</v>
      </c>
      <c r="T223" s="81">
        <f ca="1">T183*(1+INDEX(T$35:T$37,MATCH(Work_Codes!$I$6,$D$35:$D$37,0)))</f>
        <v>0</v>
      </c>
    </row>
    <row r="224" spans="4:20" s="41" customFormat="1" outlineLevel="2">
      <c r="E224" s="247" t="str">
        <f>GC!C42</f>
        <v>Service pipes</v>
      </c>
      <c r="F224" s="247"/>
      <c r="G224" s="247"/>
      <c r="H224" s="247"/>
      <c r="I224" s="247"/>
      <c r="J224" s="81">
        <f ca="1">J184*(1+INDEX(J$35:J$37,MATCH(Work_Codes!$I$6,$D$35:$D$37,0)))</f>
        <v>0</v>
      </c>
      <c r="K224" s="81">
        <f ca="1">K184*(1+INDEX(K$35:K$37,MATCH(Work_Codes!$I$6,$D$35:$D$37,0)))</f>
        <v>0</v>
      </c>
      <c r="L224" s="81">
        <f ca="1">L184*(1+INDEX(L$35:L$37,MATCH(Work_Codes!$I$6,$D$35:$D$37,0)))</f>
        <v>0</v>
      </c>
      <c r="M224" s="81">
        <f ca="1">M184*(1+INDEX(M$35:M$37,MATCH(Work_Codes!$I$6,$D$35:$D$37,0)))</f>
        <v>0</v>
      </c>
      <c r="N224" s="81">
        <f ca="1">N184*(1+INDEX(N$35:N$37,MATCH(Work_Codes!$I$6,$D$35:$D$37,0)))</f>
        <v>0</v>
      </c>
      <c r="O224" s="81">
        <f ca="1">O184*(1+INDEX(O$35:O$37,MATCH(Work_Codes!$I$6,$D$35:$D$37,0)))</f>
        <v>0</v>
      </c>
      <c r="P224" s="81">
        <f ca="1">P184*(1+INDEX(P$35:P$37,MATCH(Work_Codes!$I$6,$D$35:$D$37,0)))</f>
        <v>0</v>
      </c>
      <c r="Q224" s="81">
        <f ca="1">Q184*(1+INDEX(Q$35:Q$37,MATCH(Work_Codes!$I$6,$D$35:$D$37,0)))</f>
        <v>0</v>
      </c>
      <c r="R224" s="81">
        <f ca="1">R184*(1+INDEX(R$35:R$37,MATCH(Work_Codes!$I$6,$D$35:$D$37,0)))</f>
        <v>0</v>
      </c>
      <c r="S224" s="81">
        <f ca="1">S184*(1+INDEX(S$35:S$37,MATCH(Work_Codes!$I$6,$D$35:$D$37,0)))</f>
        <v>0</v>
      </c>
      <c r="T224" s="81">
        <f ca="1">T184*(1+INDEX(T$35:T$37,MATCH(Work_Codes!$I$6,$D$35:$D$37,0)))</f>
        <v>0</v>
      </c>
    </row>
    <row r="225" spans="4:20" s="41" customFormat="1" outlineLevel="2">
      <c r="E225" s="247" t="str">
        <f>GC!C43</f>
        <v>Cathodic protection</v>
      </c>
      <c r="F225" s="247"/>
      <c r="G225" s="247"/>
      <c r="H225" s="247"/>
      <c r="I225" s="247"/>
      <c r="J225" s="81">
        <f ca="1">J185*(1+INDEX(J$35:J$37,MATCH(Work_Codes!$I$6,$D$35:$D$37,0)))</f>
        <v>0</v>
      </c>
      <c r="K225" s="81">
        <f ca="1">K185*(1+INDEX(K$35:K$37,MATCH(Work_Codes!$I$6,$D$35:$D$37,0)))</f>
        <v>0</v>
      </c>
      <c r="L225" s="81">
        <f ca="1">L185*(1+INDEX(L$35:L$37,MATCH(Work_Codes!$I$6,$D$35:$D$37,0)))</f>
        <v>0</v>
      </c>
      <c r="M225" s="81">
        <f ca="1">M185*(1+INDEX(M$35:M$37,MATCH(Work_Codes!$I$6,$D$35:$D$37,0)))</f>
        <v>0</v>
      </c>
      <c r="N225" s="81">
        <f ca="1">N185*(1+INDEX(N$35:N$37,MATCH(Work_Codes!$I$6,$D$35:$D$37,0)))</f>
        <v>0</v>
      </c>
      <c r="O225" s="81">
        <f ca="1">O185*(1+INDEX(O$35:O$37,MATCH(Work_Codes!$I$6,$D$35:$D$37,0)))</f>
        <v>0</v>
      </c>
      <c r="P225" s="81">
        <f ca="1">P185*(1+INDEX(P$35:P$37,MATCH(Work_Codes!$I$6,$D$35:$D$37,0)))</f>
        <v>0</v>
      </c>
      <c r="Q225" s="81">
        <f ca="1">Q185*(1+INDEX(Q$35:Q$37,MATCH(Work_Codes!$I$6,$D$35:$D$37,0)))</f>
        <v>0</v>
      </c>
      <c r="R225" s="81">
        <f ca="1">R185*(1+INDEX(R$35:R$37,MATCH(Work_Codes!$I$6,$D$35:$D$37,0)))</f>
        <v>0</v>
      </c>
      <c r="S225" s="81">
        <f ca="1">S185*(1+INDEX(S$35:S$37,MATCH(Work_Codes!$I$6,$D$35:$D$37,0)))</f>
        <v>0</v>
      </c>
      <c r="T225" s="81">
        <f ca="1">T185*(1+INDEX(T$35:T$37,MATCH(Work_Codes!$I$6,$D$35:$D$37,0)))</f>
        <v>0</v>
      </c>
    </row>
    <row r="226" spans="4:20" s="41" customFormat="1" outlineLevel="2">
      <c r="E226" s="247" t="str">
        <f>GC!C44</f>
        <v>Supply Regulators / Valve Stations</v>
      </c>
      <c r="F226" s="247"/>
      <c r="G226" s="247"/>
      <c r="H226" s="247"/>
      <c r="I226" s="247"/>
      <c r="J226" s="81">
        <f ca="1">J186*(1+INDEX(J$35:J$37,MATCH(Work_Codes!$I$6,$D$35:$D$37,0)))</f>
        <v>0</v>
      </c>
      <c r="K226" s="81">
        <f ca="1">K186*(1+INDEX(K$35:K$37,MATCH(Work_Codes!$I$6,$D$35:$D$37,0)))</f>
        <v>0</v>
      </c>
      <c r="L226" s="81">
        <f ca="1">L186*(1+INDEX(L$35:L$37,MATCH(Work_Codes!$I$6,$D$35:$D$37,0)))</f>
        <v>0</v>
      </c>
      <c r="M226" s="81">
        <f ca="1">M186*(1+INDEX(M$35:M$37,MATCH(Work_Codes!$I$6,$D$35:$D$37,0)))</f>
        <v>0</v>
      </c>
      <c r="N226" s="81">
        <f ca="1">N186*(1+INDEX(N$35:N$37,MATCH(Work_Codes!$I$6,$D$35:$D$37,0)))</f>
        <v>0</v>
      </c>
      <c r="O226" s="81">
        <f ca="1">O186*(1+INDEX(O$35:O$37,MATCH(Work_Codes!$I$6,$D$35:$D$37,0)))</f>
        <v>0</v>
      </c>
      <c r="P226" s="81">
        <f ca="1">P186*(1+INDEX(P$35:P$37,MATCH(Work_Codes!$I$6,$D$35:$D$37,0)))</f>
        <v>0</v>
      </c>
      <c r="Q226" s="81">
        <f ca="1">Q186*(1+INDEX(Q$35:Q$37,MATCH(Work_Codes!$I$6,$D$35:$D$37,0)))</f>
        <v>0</v>
      </c>
      <c r="R226" s="81">
        <f ca="1">R186*(1+INDEX(R$35:R$37,MATCH(Work_Codes!$I$6,$D$35:$D$37,0)))</f>
        <v>0</v>
      </c>
      <c r="S226" s="81">
        <f ca="1">S186*(1+INDEX(S$35:S$37,MATCH(Work_Codes!$I$6,$D$35:$D$37,0)))</f>
        <v>0</v>
      </c>
      <c r="T226" s="81">
        <f ca="1">T186*(1+INDEX(T$35:T$37,MATCH(Work_Codes!$I$6,$D$35:$D$37,0)))</f>
        <v>0</v>
      </c>
    </row>
    <row r="227" spans="4:20" s="41" customFormat="1" outlineLevel="2">
      <c r="E227" s="247" t="str">
        <f>GC!C45</f>
        <v>Meters</v>
      </c>
      <c r="F227" s="247"/>
      <c r="G227" s="247"/>
      <c r="H227" s="247"/>
      <c r="I227" s="247"/>
      <c r="J227" s="81">
        <f ca="1">J187*(1+INDEX(J$35:J$37,MATCH(Work_Codes!$I$6,$D$35:$D$37,0)))</f>
        <v>0</v>
      </c>
      <c r="K227" s="81">
        <f ca="1">K187*(1+INDEX(K$35:K$37,MATCH(Work_Codes!$I$6,$D$35:$D$37,0)))</f>
        <v>0</v>
      </c>
      <c r="L227" s="81">
        <f ca="1">L187*(1+INDEX(L$35:L$37,MATCH(Work_Codes!$I$6,$D$35:$D$37,0)))</f>
        <v>0</v>
      </c>
      <c r="M227" s="81">
        <f ca="1">M187*(1+INDEX(M$35:M$37,MATCH(Work_Codes!$I$6,$D$35:$D$37,0)))</f>
        <v>0</v>
      </c>
      <c r="N227" s="81">
        <f ca="1">N187*(1+INDEX(N$35:N$37,MATCH(Work_Codes!$I$6,$D$35:$D$37,0)))</f>
        <v>0</v>
      </c>
      <c r="O227" s="81">
        <f ca="1">O187*(1+INDEX(O$35:O$37,MATCH(Work_Codes!$I$6,$D$35:$D$37,0)))</f>
        <v>0</v>
      </c>
      <c r="P227" s="81">
        <f ca="1">P187*(1+INDEX(P$35:P$37,MATCH(Work_Codes!$I$6,$D$35:$D$37,0)))</f>
        <v>0</v>
      </c>
      <c r="Q227" s="81">
        <f ca="1">Q187*(1+INDEX(Q$35:Q$37,MATCH(Work_Codes!$I$6,$D$35:$D$37,0)))</f>
        <v>0</v>
      </c>
      <c r="R227" s="81">
        <f ca="1">R187*(1+INDEX(R$35:R$37,MATCH(Work_Codes!$I$6,$D$35:$D$37,0)))</f>
        <v>0</v>
      </c>
      <c r="S227" s="81">
        <f ca="1">S187*(1+INDEX(S$35:S$37,MATCH(Work_Codes!$I$6,$D$35:$D$37,0)))</f>
        <v>0</v>
      </c>
      <c r="T227" s="81">
        <f ca="1">T187*(1+INDEX(T$35:T$37,MATCH(Work_Codes!$I$6,$D$35:$D$37,0)))</f>
        <v>0</v>
      </c>
    </row>
    <row r="228" spans="4:20" s="41" customFormat="1" outlineLevel="2">
      <c r="E228" s="247" t="str">
        <f>GC!C46</f>
        <v>SCADA and remote control</v>
      </c>
      <c r="F228" s="247"/>
      <c r="G228" s="247"/>
      <c r="H228" s="247"/>
      <c r="I228" s="247"/>
      <c r="J228" s="81">
        <f ca="1">J188*(1+INDEX(J$35:J$37,MATCH(Work_Codes!$I$6,$D$35:$D$37,0)))</f>
        <v>0</v>
      </c>
      <c r="K228" s="81">
        <f ca="1">K188*(1+INDEX(K$35:K$37,MATCH(Work_Codes!$I$6,$D$35:$D$37,0)))</f>
        <v>0</v>
      </c>
      <c r="L228" s="81">
        <f ca="1">L188*(1+INDEX(L$35:L$37,MATCH(Work_Codes!$I$6,$D$35:$D$37,0)))</f>
        <v>0</v>
      </c>
      <c r="M228" s="81">
        <f ca="1">M188*(1+INDEX(M$35:M$37,MATCH(Work_Codes!$I$6,$D$35:$D$37,0)))</f>
        <v>0</v>
      </c>
      <c r="N228" s="81">
        <f ca="1">N188*(1+INDEX(N$35:N$37,MATCH(Work_Codes!$I$6,$D$35:$D$37,0)))</f>
        <v>0</v>
      </c>
      <c r="O228" s="81">
        <f ca="1">O188*(1+INDEX(O$35:O$37,MATCH(Work_Codes!$I$6,$D$35:$D$37,0)))</f>
        <v>0</v>
      </c>
      <c r="P228" s="81">
        <f ca="1">P188*(1+INDEX(P$35:P$37,MATCH(Work_Codes!$I$6,$D$35:$D$37,0)))</f>
        <v>0</v>
      </c>
      <c r="Q228" s="81">
        <f ca="1">Q188*(1+INDEX(Q$35:Q$37,MATCH(Work_Codes!$I$6,$D$35:$D$37,0)))</f>
        <v>0</v>
      </c>
      <c r="R228" s="81">
        <f ca="1">R188*(1+INDEX(R$35:R$37,MATCH(Work_Codes!$I$6,$D$35:$D$37,0)))</f>
        <v>0</v>
      </c>
      <c r="S228" s="81">
        <f ca="1">S188*(1+INDEX(S$35:S$37,MATCH(Work_Codes!$I$6,$D$35:$D$37,0)))</f>
        <v>0</v>
      </c>
      <c r="T228" s="81">
        <f ca="1">T188*(1+INDEX(T$35:T$37,MATCH(Work_Codes!$I$6,$D$35:$D$37,0)))</f>
        <v>0</v>
      </c>
    </row>
    <row r="229" spans="4:20" s="41" customFormat="1" outlineLevel="2">
      <c r="E229" s="247" t="str">
        <f>GC!C47</f>
        <v>Buildings</v>
      </c>
      <c r="F229" s="247"/>
      <c r="G229" s="247"/>
      <c r="H229" s="247"/>
      <c r="I229" s="247"/>
      <c r="J229" s="81">
        <f ca="1">J189*(1+INDEX(J$35:J$37,MATCH(Work_Codes!$I$6,$D$35:$D$37,0)))</f>
        <v>0</v>
      </c>
      <c r="K229" s="81">
        <f ca="1">K189*(1+INDEX(K$35:K$37,MATCH(Work_Codes!$I$6,$D$35:$D$37,0)))</f>
        <v>0</v>
      </c>
      <c r="L229" s="81">
        <f ca="1">L189*(1+INDEX(L$35:L$37,MATCH(Work_Codes!$I$6,$D$35:$D$37,0)))</f>
        <v>0</v>
      </c>
      <c r="M229" s="81">
        <f ca="1">M189*(1+INDEX(M$35:M$37,MATCH(Work_Codes!$I$6,$D$35:$D$37,0)))</f>
        <v>0</v>
      </c>
      <c r="N229" s="81">
        <f ca="1">N189*(1+INDEX(N$35:N$37,MATCH(Work_Codes!$I$6,$D$35:$D$37,0)))</f>
        <v>0</v>
      </c>
      <c r="O229" s="81">
        <f ca="1">O189*(1+INDEX(O$35:O$37,MATCH(Work_Codes!$I$6,$D$35:$D$37,0)))</f>
        <v>0</v>
      </c>
      <c r="P229" s="81">
        <f ca="1">P189*(1+INDEX(P$35:P$37,MATCH(Work_Codes!$I$6,$D$35:$D$37,0)))</f>
        <v>0</v>
      </c>
      <c r="Q229" s="81">
        <f ca="1">Q189*(1+INDEX(Q$35:Q$37,MATCH(Work_Codes!$I$6,$D$35:$D$37,0)))</f>
        <v>0</v>
      </c>
      <c r="R229" s="81">
        <f ca="1">R189*(1+INDEX(R$35:R$37,MATCH(Work_Codes!$I$6,$D$35:$D$37,0)))</f>
        <v>0</v>
      </c>
      <c r="S229" s="81">
        <f ca="1">S189*(1+INDEX(S$35:S$37,MATCH(Work_Codes!$I$6,$D$35:$D$37,0)))</f>
        <v>0</v>
      </c>
      <c r="T229" s="81">
        <f ca="1">T189*(1+INDEX(T$35:T$37,MATCH(Work_Codes!$I$6,$D$35:$D$37,0)))</f>
        <v>0</v>
      </c>
    </row>
    <row r="230" spans="4:20" s="41" customFormat="1" outlineLevel="2">
      <c r="E230" s="247" t="str">
        <f>GC!C48</f>
        <v>Other - IT</v>
      </c>
      <c r="F230" s="247"/>
      <c r="G230" s="247"/>
      <c r="H230" s="247"/>
      <c r="I230" s="247"/>
      <c r="J230" s="81">
        <f ca="1">J190*(1+INDEX(J$35:J$37,MATCH(Work_Codes!$I$6,$D$35:$D$37,0)))</f>
        <v>0</v>
      </c>
      <c r="K230" s="81">
        <f ca="1">K190*(1+INDEX(K$35:K$37,MATCH(Work_Codes!$I$6,$D$35:$D$37,0)))</f>
        <v>0</v>
      </c>
      <c r="L230" s="81">
        <f ca="1">L190*(1+INDEX(L$35:L$37,MATCH(Work_Codes!$I$6,$D$35:$D$37,0)))</f>
        <v>0</v>
      </c>
      <c r="M230" s="81">
        <f ca="1">M190*(1+INDEX(M$35:M$37,MATCH(Work_Codes!$I$6,$D$35:$D$37,0)))</f>
        <v>0</v>
      </c>
      <c r="N230" s="81">
        <f ca="1">N190*(1+INDEX(N$35:N$37,MATCH(Work_Codes!$I$6,$D$35:$D$37,0)))</f>
        <v>0</v>
      </c>
      <c r="O230" s="81">
        <f ca="1">O190*(1+INDEX(O$35:O$37,MATCH(Work_Codes!$I$6,$D$35:$D$37,0)))</f>
        <v>0</v>
      </c>
      <c r="P230" s="81">
        <f ca="1">P190*(1+INDEX(P$35:P$37,MATCH(Work_Codes!$I$6,$D$35:$D$37,0)))</f>
        <v>0</v>
      </c>
      <c r="Q230" s="81">
        <f ca="1">Q190*(1+INDEX(Q$35:Q$37,MATCH(Work_Codes!$I$6,$D$35:$D$37,0)))</f>
        <v>0</v>
      </c>
      <c r="R230" s="81">
        <f ca="1">R190*(1+INDEX(R$35:R$37,MATCH(Work_Codes!$I$6,$D$35:$D$37,0)))</f>
        <v>0</v>
      </c>
      <c r="S230" s="81">
        <f ca="1">S190*(1+INDEX(S$35:S$37,MATCH(Work_Codes!$I$6,$D$35:$D$37,0)))</f>
        <v>0</v>
      </c>
      <c r="T230" s="81">
        <f ca="1">T190*(1+INDEX(T$35:T$37,MATCH(Work_Codes!$I$6,$D$35:$D$37,0)))</f>
        <v>0</v>
      </c>
    </row>
    <row r="231" spans="4:20" s="41" customFormat="1" outlineLevel="2">
      <c r="E231" s="247" t="str">
        <f>GC!C49</f>
        <v>Other - non IT</v>
      </c>
      <c r="F231" s="247"/>
      <c r="G231" s="247"/>
      <c r="H231" s="247"/>
      <c r="I231" s="247"/>
      <c r="J231" s="81">
        <f ca="1">J191*(1+INDEX(J$35:J$37,MATCH(Work_Codes!$I$6,$D$35:$D$37,0)))</f>
        <v>0</v>
      </c>
      <c r="K231" s="81">
        <f ca="1">K191*(1+INDEX(K$35:K$37,MATCH(Work_Codes!$I$6,$D$35:$D$37,0)))</f>
        <v>0</v>
      </c>
      <c r="L231" s="81">
        <f ca="1">L191*(1+INDEX(L$35:L$37,MATCH(Work_Codes!$I$6,$D$35:$D$37,0)))</f>
        <v>0</v>
      </c>
      <c r="M231" s="81">
        <f ca="1">M191*(1+INDEX(M$35:M$37,MATCH(Work_Codes!$I$6,$D$35:$D$37,0)))</f>
        <v>0</v>
      </c>
      <c r="N231" s="81">
        <f ca="1">N191*(1+INDEX(N$35:N$37,MATCH(Work_Codes!$I$6,$D$35:$D$37,0)))</f>
        <v>0</v>
      </c>
      <c r="O231" s="81">
        <f ca="1">O191*(1+INDEX(O$35:O$37,MATCH(Work_Codes!$I$6,$D$35:$D$37,0)))</f>
        <v>0</v>
      </c>
      <c r="P231" s="81">
        <f ca="1">P191*(1+INDEX(P$35:P$37,MATCH(Work_Codes!$I$6,$D$35:$D$37,0)))</f>
        <v>0</v>
      </c>
      <c r="Q231" s="81">
        <f ca="1">Q191*(1+INDEX(Q$35:Q$37,MATCH(Work_Codes!$I$6,$D$35:$D$37,0)))</f>
        <v>0</v>
      </c>
      <c r="R231" s="81">
        <f ca="1">R191*(1+INDEX(R$35:R$37,MATCH(Work_Codes!$I$6,$D$35:$D$37,0)))</f>
        <v>0</v>
      </c>
      <c r="S231" s="81">
        <f ca="1">S191*(1+INDEX(S$35:S$37,MATCH(Work_Codes!$I$6,$D$35:$D$37,0)))</f>
        <v>0</v>
      </c>
      <c r="T231" s="81">
        <f ca="1">T191*(1+INDEX(T$35:T$37,MATCH(Work_Codes!$I$6,$D$35:$D$37,0)))</f>
        <v>0</v>
      </c>
    </row>
    <row r="232" spans="4:20" s="41" customFormat="1" outlineLevel="2">
      <c r="E232" s="247" t="str">
        <f>GC!C50</f>
        <v>Land</v>
      </c>
      <c r="F232" s="247"/>
      <c r="G232" s="247"/>
      <c r="H232" s="247"/>
      <c r="I232" s="247"/>
      <c r="J232" s="81">
        <f ca="1">J192*(1+INDEX(J$35:J$37,MATCH(Work_Codes!$I$6,$D$35:$D$37,0)))</f>
        <v>0</v>
      </c>
      <c r="K232" s="81">
        <f ca="1">K192*(1+INDEX(K$35:K$37,MATCH(Work_Codes!$I$6,$D$35:$D$37,0)))</f>
        <v>0</v>
      </c>
      <c r="L232" s="81">
        <f ca="1">L192*(1+INDEX(L$35:L$37,MATCH(Work_Codes!$I$6,$D$35:$D$37,0)))</f>
        <v>0</v>
      </c>
      <c r="M232" s="81">
        <f ca="1">M192*(1+INDEX(M$35:M$37,MATCH(Work_Codes!$I$6,$D$35:$D$37,0)))</f>
        <v>0</v>
      </c>
      <c r="N232" s="81">
        <f ca="1">N192*(1+INDEX(N$35:N$37,MATCH(Work_Codes!$I$6,$D$35:$D$37,0)))</f>
        <v>0</v>
      </c>
      <c r="O232" s="81">
        <f ca="1">O192*(1+INDEX(O$35:O$37,MATCH(Work_Codes!$I$6,$D$35:$D$37,0)))</f>
        <v>0</v>
      </c>
      <c r="P232" s="81">
        <f ca="1">P192*(1+INDEX(P$35:P$37,MATCH(Work_Codes!$I$6,$D$35:$D$37,0)))</f>
        <v>0</v>
      </c>
      <c r="Q232" s="81">
        <f ca="1">Q192*(1+INDEX(Q$35:Q$37,MATCH(Work_Codes!$I$6,$D$35:$D$37,0)))</f>
        <v>0</v>
      </c>
      <c r="R232" s="81">
        <f ca="1">R192*(1+INDEX(R$35:R$37,MATCH(Work_Codes!$I$6,$D$35:$D$37,0)))</f>
        <v>0</v>
      </c>
      <c r="S232" s="81">
        <f ca="1">S192*(1+INDEX(S$35:S$37,MATCH(Work_Codes!$I$6,$D$35:$D$37,0)))</f>
        <v>0</v>
      </c>
      <c r="T232" s="81">
        <f ca="1">T192*(1+INDEX(T$35:T$37,MATCH(Work_Codes!$I$6,$D$35:$D$37,0)))</f>
        <v>0</v>
      </c>
    </row>
    <row r="233" spans="4:20" s="41" customFormat="1" outlineLevel="2">
      <c r="E233" s="247" t="str">
        <f>GC!C51</f>
        <v>Capitalised Leases</v>
      </c>
      <c r="F233" s="247"/>
      <c r="G233" s="247"/>
      <c r="H233" s="247"/>
      <c r="I233" s="247"/>
      <c r="J233" s="81">
        <f ca="1">J193*(1+INDEX(J$35:J$37,MATCH(Work_Codes!$I$6,$D$35:$D$37,0)))</f>
        <v>0</v>
      </c>
      <c r="K233" s="81">
        <f ca="1">K193*(1+INDEX(K$35:K$37,MATCH(Work_Codes!$I$6,$D$35:$D$37,0)))</f>
        <v>0</v>
      </c>
      <c r="L233" s="81">
        <f ca="1">L193*(1+INDEX(L$35:L$37,MATCH(Work_Codes!$I$6,$D$35:$D$37,0)))</f>
        <v>0</v>
      </c>
      <c r="M233" s="81">
        <f ca="1">M193*(1+INDEX(M$35:M$37,MATCH(Work_Codes!$I$6,$D$35:$D$37,0)))</f>
        <v>0</v>
      </c>
      <c r="N233" s="81">
        <f ca="1">N193*(1+INDEX(N$35:N$37,MATCH(Work_Codes!$I$6,$D$35:$D$37,0)))</f>
        <v>0</v>
      </c>
      <c r="O233" s="81">
        <f ca="1">O193*(1+INDEX(O$35:O$37,MATCH(Work_Codes!$I$6,$D$35:$D$37,0)))</f>
        <v>0</v>
      </c>
      <c r="P233" s="81">
        <f ca="1">P193*(1+INDEX(P$35:P$37,MATCH(Work_Codes!$I$6,$D$35:$D$37,0)))</f>
        <v>0</v>
      </c>
      <c r="Q233" s="81">
        <f ca="1">Q193*(1+INDEX(Q$35:Q$37,MATCH(Work_Codes!$I$6,$D$35:$D$37,0)))</f>
        <v>0</v>
      </c>
      <c r="R233" s="81">
        <f ca="1">R193*(1+INDEX(R$35:R$37,MATCH(Work_Codes!$I$6,$D$35:$D$37,0)))</f>
        <v>0</v>
      </c>
      <c r="S233" s="81">
        <f ca="1">S193*(1+INDEX(S$35:S$37,MATCH(Work_Codes!$I$6,$D$35:$D$37,0)))</f>
        <v>0</v>
      </c>
      <c r="T233" s="81">
        <f ca="1">T193*(1+INDEX(T$35:T$37,MATCH(Work_Codes!$I$6,$D$35:$D$37,0)))</f>
        <v>0</v>
      </c>
    </row>
    <row r="234" spans="4:20" outlineLevel="2">
      <c r="E234" s="247" t="str">
        <f>GC!C52</f>
        <v>Transmission pipelines - post 1998</v>
      </c>
      <c r="F234" s="247"/>
      <c r="G234" s="247"/>
      <c r="H234" s="247"/>
      <c r="I234" s="247"/>
      <c r="J234" s="81">
        <f ca="1">J194*(1+INDEX(J$35:J$37,MATCH(Work_Codes!$I$6,$D$35:$D$37,0)))</f>
        <v>0</v>
      </c>
      <c r="K234" s="81">
        <f ca="1">K194*(1+INDEX(K$35:K$37,MATCH(Work_Codes!$I$6,$D$35:$D$37,0)))</f>
        <v>0</v>
      </c>
      <c r="L234" s="81">
        <f ca="1">L194*(1+INDEX(L$35:L$37,MATCH(Work_Codes!$I$6,$D$35:$D$37,0)))</f>
        <v>0</v>
      </c>
      <c r="M234" s="81">
        <f ca="1">M194*(1+INDEX(M$35:M$37,MATCH(Work_Codes!$I$6,$D$35:$D$37,0)))</f>
        <v>0</v>
      </c>
      <c r="N234" s="81">
        <f ca="1">N194*(1+INDEX(N$35:N$37,MATCH(Work_Codes!$I$6,$D$35:$D$37,0)))</f>
        <v>0</v>
      </c>
      <c r="O234" s="81">
        <f ca="1">O194*(1+INDEX(O$35:O$37,MATCH(Work_Codes!$I$6,$D$35:$D$37,0)))</f>
        <v>0</v>
      </c>
      <c r="P234" s="81">
        <f ca="1">P194*(1+INDEX(P$35:P$37,MATCH(Work_Codes!$I$6,$D$35:$D$37,0)))</f>
        <v>0</v>
      </c>
      <c r="Q234" s="81">
        <f ca="1">Q194*(1+INDEX(Q$35:Q$37,MATCH(Work_Codes!$I$6,$D$35:$D$37,0)))</f>
        <v>0</v>
      </c>
      <c r="R234" s="81">
        <f ca="1">R194*(1+INDEX(R$35:R$37,MATCH(Work_Codes!$I$6,$D$35:$D$37,0)))</f>
        <v>0</v>
      </c>
      <c r="S234" s="81">
        <f ca="1">S194*(1+INDEX(S$35:S$37,MATCH(Work_Codes!$I$6,$D$35:$D$37,0)))</f>
        <v>0</v>
      </c>
      <c r="T234" s="81">
        <f ca="1">T194*(1+INDEX(T$35:T$37,MATCH(Work_Codes!$I$6,$D$35:$D$37,0)))</f>
        <v>0</v>
      </c>
    </row>
    <row r="235" spans="4:20" outlineLevel="2">
      <c r="E235" s="247" t="str">
        <f>GC!C53</f>
        <v>Distribution pipelines - post 1998</v>
      </c>
      <c r="F235" s="247"/>
      <c r="G235" s="247"/>
      <c r="H235" s="247"/>
      <c r="I235" s="247"/>
      <c r="J235" s="81">
        <f ca="1">J195*(1+INDEX(J$35:J$37,MATCH(Work_Codes!$I$6,$D$35:$D$37,0)))</f>
        <v>0</v>
      </c>
      <c r="K235" s="81">
        <f ca="1">K195*(1+INDEX(K$35:K$37,MATCH(Work_Codes!$I$6,$D$35:$D$37,0)))</f>
        <v>0</v>
      </c>
      <c r="L235" s="81">
        <f ca="1">L195*(1+INDEX(L$35:L$37,MATCH(Work_Codes!$I$6,$D$35:$D$37,0)))</f>
        <v>0</v>
      </c>
      <c r="M235" s="81">
        <f ca="1">M195*(1+INDEX(M$35:M$37,MATCH(Work_Codes!$I$6,$D$35:$D$37,0)))</f>
        <v>0</v>
      </c>
      <c r="N235" s="81">
        <f ca="1">N195*(1+INDEX(N$35:N$37,MATCH(Work_Codes!$I$6,$D$35:$D$37,0)))</f>
        <v>8997386.6752285901</v>
      </c>
      <c r="O235" s="81">
        <f ca="1">O195*(1+INDEX(O$35:O$37,MATCH(Work_Codes!$I$6,$D$35:$D$37,0)))</f>
        <v>8939025.0750411376</v>
      </c>
      <c r="P235" s="81">
        <f ca="1">P195*(1+INDEX(P$35:P$37,MATCH(Work_Codes!$I$6,$D$35:$D$37,0)))</f>
        <v>11222059.534337223</v>
      </c>
      <c r="Q235" s="81">
        <f ca="1">Q195*(1+INDEX(Q$35:Q$37,MATCH(Work_Codes!$I$6,$D$35:$D$37,0)))</f>
        <v>9416075.3650141265</v>
      </c>
      <c r="R235" s="81">
        <f ca="1">R195*(1+INDEX(R$35:R$37,MATCH(Work_Codes!$I$6,$D$35:$D$37,0)))</f>
        <v>6693902.6558756903</v>
      </c>
      <c r="S235" s="81">
        <f ca="1">S195*(1+INDEX(S$35:S$37,MATCH(Work_Codes!$I$6,$D$35:$D$37,0)))</f>
        <v>7070826.9960109275</v>
      </c>
      <c r="T235" s="81">
        <f ca="1">T195*(1+INDEX(T$35:T$37,MATCH(Work_Codes!$I$6,$D$35:$D$37,0)))</f>
        <v>4185392.1786298417</v>
      </c>
    </row>
    <row r="236" spans="4:20" outlineLevel="2">
      <c r="E236" s="247" t="str">
        <f>GC!C54</f>
        <v>Service pipes - post 1998</v>
      </c>
      <c r="F236" s="247"/>
      <c r="G236" s="247"/>
      <c r="H236" s="247"/>
      <c r="I236" s="247"/>
      <c r="J236" s="81">
        <f ca="1">J196*(1+INDEX(J$35:J$37,MATCH(Work_Codes!$I$6,$D$35:$D$37,0)))</f>
        <v>0</v>
      </c>
      <c r="K236" s="81">
        <f ca="1">K196*(1+INDEX(K$35:K$37,MATCH(Work_Codes!$I$6,$D$35:$D$37,0)))</f>
        <v>0</v>
      </c>
      <c r="L236" s="81">
        <f ca="1">L196*(1+INDEX(L$35:L$37,MATCH(Work_Codes!$I$6,$D$35:$D$37,0)))</f>
        <v>0</v>
      </c>
      <c r="M236" s="81">
        <f ca="1">M196*(1+INDEX(M$35:M$37,MATCH(Work_Codes!$I$6,$D$35:$D$37,0)))</f>
        <v>0</v>
      </c>
      <c r="N236" s="81">
        <f ca="1">N196*(1+INDEX(N$35:N$37,MATCH(Work_Codes!$I$6,$D$35:$D$37,0)))</f>
        <v>8997386.6752285901</v>
      </c>
      <c r="O236" s="81">
        <f ca="1">O196*(1+INDEX(O$35:O$37,MATCH(Work_Codes!$I$6,$D$35:$D$37,0)))</f>
        <v>8939025.0750411376</v>
      </c>
      <c r="P236" s="81">
        <f ca="1">P196*(1+INDEX(P$35:P$37,MATCH(Work_Codes!$I$6,$D$35:$D$37,0)))</f>
        <v>11222059.534337223</v>
      </c>
      <c r="Q236" s="81">
        <f ca="1">Q196*(1+INDEX(Q$35:Q$37,MATCH(Work_Codes!$I$6,$D$35:$D$37,0)))</f>
        <v>9416075.3650141265</v>
      </c>
      <c r="R236" s="81">
        <f ca="1">R196*(1+INDEX(R$35:R$37,MATCH(Work_Codes!$I$6,$D$35:$D$37,0)))</f>
        <v>6693902.6558756903</v>
      </c>
      <c r="S236" s="81">
        <f ca="1">S196*(1+INDEX(S$35:S$37,MATCH(Work_Codes!$I$6,$D$35:$D$37,0)))</f>
        <v>7070826.9960109275</v>
      </c>
      <c r="T236" s="81">
        <f ca="1">T196*(1+INDEX(T$35:T$37,MATCH(Work_Codes!$I$6,$D$35:$D$37,0)))</f>
        <v>4185392.1786298417</v>
      </c>
    </row>
    <row r="237" spans="4:20" outlineLevel="2">
      <c r="E237" s="247" t="str">
        <f>GC!C55</f>
        <v>Cathodic protection - post 1998</v>
      </c>
      <c r="F237" s="247"/>
      <c r="G237" s="247"/>
      <c r="H237" s="247"/>
      <c r="I237" s="247"/>
      <c r="J237" s="81">
        <f ca="1">J197*(1+INDEX(J$35:J$37,MATCH(Work_Codes!$I$6,$D$35:$D$37,0)))</f>
        <v>0</v>
      </c>
      <c r="K237" s="81">
        <f ca="1">K197*(1+INDEX(K$35:K$37,MATCH(Work_Codes!$I$6,$D$35:$D$37,0)))</f>
        <v>0</v>
      </c>
      <c r="L237" s="81">
        <f ca="1">L197*(1+INDEX(L$35:L$37,MATCH(Work_Codes!$I$6,$D$35:$D$37,0)))</f>
        <v>0</v>
      </c>
      <c r="M237" s="81">
        <f ca="1">M197*(1+INDEX(M$35:M$37,MATCH(Work_Codes!$I$6,$D$35:$D$37,0)))</f>
        <v>0</v>
      </c>
      <c r="N237" s="81">
        <f ca="1">N197*(1+INDEX(N$35:N$37,MATCH(Work_Codes!$I$6,$D$35:$D$37,0)))</f>
        <v>0</v>
      </c>
      <c r="O237" s="81">
        <f ca="1">O197*(1+INDEX(O$35:O$37,MATCH(Work_Codes!$I$6,$D$35:$D$37,0)))</f>
        <v>0</v>
      </c>
      <c r="P237" s="81">
        <f ca="1">P197*(1+INDEX(P$35:P$37,MATCH(Work_Codes!$I$6,$D$35:$D$37,0)))</f>
        <v>0</v>
      </c>
      <c r="Q237" s="81">
        <f ca="1">Q197*(1+INDEX(Q$35:Q$37,MATCH(Work_Codes!$I$6,$D$35:$D$37,0)))</f>
        <v>0</v>
      </c>
      <c r="R237" s="81">
        <f ca="1">R197*(1+INDEX(R$35:R$37,MATCH(Work_Codes!$I$6,$D$35:$D$37,0)))</f>
        <v>0</v>
      </c>
      <c r="S237" s="81">
        <f ca="1">S197*(1+INDEX(S$35:S$37,MATCH(Work_Codes!$I$6,$D$35:$D$37,0)))</f>
        <v>0</v>
      </c>
      <c r="T237" s="81">
        <f ca="1">T197*(1+INDEX(T$35:T$37,MATCH(Work_Codes!$I$6,$D$35:$D$37,0)))</f>
        <v>0</v>
      </c>
    </row>
    <row r="238" spans="4:20" s="41" customFormat="1" outlineLevel="2">
      <c r="E238" s="249" t="str">
        <f>"Total "&amp;D220</f>
        <v>Total Direct Costs + Overheads</v>
      </c>
      <c r="F238" s="249"/>
      <c r="G238" s="249"/>
      <c r="H238" s="249"/>
      <c r="I238" s="249"/>
      <c r="J238" s="82">
        <f t="shared" ref="J238:T238" ca="1" si="29">SUM(J222:J237)</f>
        <v>0</v>
      </c>
      <c r="K238" s="82">
        <f t="shared" ca="1" si="29"/>
        <v>0</v>
      </c>
      <c r="L238" s="82">
        <f t="shared" ca="1" si="29"/>
        <v>0</v>
      </c>
      <c r="M238" s="82">
        <f t="shared" ca="1" si="29"/>
        <v>0</v>
      </c>
      <c r="N238" s="82">
        <f t="shared" ca="1" si="29"/>
        <v>17994773.35045718</v>
      </c>
      <c r="O238" s="82">
        <f t="shared" ca="1" si="29"/>
        <v>17878050.150082275</v>
      </c>
      <c r="P238" s="82">
        <f t="shared" ca="1" si="29"/>
        <v>22444119.068674445</v>
      </c>
      <c r="Q238" s="82">
        <f t="shared" ca="1" si="29"/>
        <v>18832150.730028253</v>
      </c>
      <c r="R238" s="82">
        <f t="shared" ca="1" si="29"/>
        <v>13387805.311751381</v>
      </c>
      <c r="S238" s="82">
        <f t="shared" ca="1" si="29"/>
        <v>14141653.992021855</v>
      </c>
      <c r="T238" s="82">
        <f t="shared" ca="1" si="29"/>
        <v>8370784.3572596833</v>
      </c>
    </row>
    <row r="239" spans="4:20" s="41" customFormat="1" outlineLevel="2"/>
    <row r="240" spans="4:20" s="41" customFormat="1" outlineLevel="2">
      <c r="D240" s="50" t="s">
        <v>367</v>
      </c>
    </row>
    <row r="241" spans="5:20" s="41" customFormat="1" ht="5.9" customHeight="1" outlineLevel="2"/>
    <row r="242" spans="5:20" s="41" customFormat="1" outlineLevel="2">
      <c r="E242" s="247" t="str">
        <f>GC!C40</f>
        <v>Transmission pipelines</v>
      </c>
      <c r="F242" s="247"/>
      <c r="G242" s="247"/>
      <c r="H242" s="247"/>
      <c r="I242" s="247"/>
      <c r="J242" s="81">
        <f ca="1">SUMPRODUCT((Work_Codes!$N$9:$Y$9=$E242)*(Work_Codes!$N$28:$Y$28)*(J$98:J$98))</f>
        <v>0</v>
      </c>
      <c r="K242" s="81">
        <f ca="1">SUMPRODUCT((Work_Codes!$N$9:$Y$9=$E242)*(Work_Codes!$N$28:$Y$28)*(K$98:K$98))</f>
        <v>0</v>
      </c>
      <c r="L242" s="81">
        <f ca="1">SUMPRODUCT((Work_Codes!$N$9:$Y$9=$E242)*(Work_Codes!$N$28:$Y$28)*(L$98:L$98))</f>
        <v>0</v>
      </c>
      <c r="M242" s="81">
        <f ca="1">SUMPRODUCT((Work_Codes!$N$9:$Y$9=$E242)*(Work_Codes!$N$28:$Y$28)*(M$98:M$98))</f>
        <v>0</v>
      </c>
      <c r="N242" s="81">
        <f ca="1">SUMPRODUCT((Work_Codes!$N$9:$Y$9=$E242)*(Work_Codes!$N$28:$Y$28)*(N$98:N$98))</f>
        <v>0</v>
      </c>
      <c r="O242" s="81">
        <f ca="1">SUMPRODUCT((Work_Codes!$N$9:$Y$9=$E242)*(Work_Codes!$N$28:$Y$28)*(O$98:O$98))</f>
        <v>0</v>
      </c>
      <c r="P242" s="81">
        <f ca="1">SUMPRODUCT((Work_Codes!$N$9:$Y$9=$E242)*(Work_Codes!$N$28:$Y$28)*(P$98:P$98))</f>
        <v>0</v>
      </c>
      <c r="Q242" s="81">
        <f ca="1">SUMPRODUCT((Work_Codes!$N$9:$Y$9=$E242)*(Work_Codes!$N$28:$Y$28)*(Q$98:Q$98))</f>
        <v>0</v>
      </c>
      <c r="R242" s="81">
        <f ca="1">SUMPRODUCT((Work_Codes!$N$9:$Y$9=$E242)*(Work_Codes!$N$28:$Y$28)*(R$98:R$98))</f>
        <v>0</v>
      </c>
      <c r="S242" s="81">
        <f ca="1">SUMPRODUCT((Work_Codes!$N$9:$Y$9=$E242)*(Work_Codes!$N$28:$Y$28)*(S$98:S$98))</f>
        <v>0</v>
      </c>
      <c r="T242" s="81">
        <f ca="1">SUMPRODUCT((Work_Codes!$N$9:$Y$9=$E242)*(Work_Codes!$N$28:$Y$28)*(T$98:T$98))</f>
        <v>0</v>
      </c>
    </row>
    <row r="243" spans="5:20" s="41" customFormat="1" outlineLevel="2">
      <c r="E243" s="247" t="str">
        <f>GC!C41</f>
        <v>Distribution pipelines</v>
      </c>
      <c r="F243" s="247"/>
      <c r="G243" s="247"/>
      <c r="H243" s="247"/>
      <c r="I243" s="247"/>
      <c r="J243" s="81">
        <f ca="1">SUMPRODUCT((Work_Codes!$N$9:$Y$9=$E243)*(Work_Codes!$N$28:$Y$28)*(J$98:J$98))</f>
        <v>0</v>
      </c>
      <c r="K243" s="81">
        <f ca="1">SUMPRODUCT((Work_Codes!$N$9:$Y$9=$E243)*(Work_Codes!$N$28:$Y$28)*(K$98:K$98))</f>
        <v>0</v>
      </c>
      <c r="L243" s="81">
        <f ca="1">SUMPRODUCT((Work_Codes!$N$9:$Y$9=$E243)*(Work_Codes!$N$28:$Y$28)*(L$98:L$98))</f>
        <v>0</v>
      </c>
      <c r="M243" s="81">
        <f ca="1">SUMPRODUCT((Work_Codes!$N$9:$Y$9=$E243)*(Work_Codes!$N$28:$Y$28)*(M$98:M$98))</f>
        <v>0</v>
      </c>
      <c r="N243" s="81">
        <f ca="1">SUMPRODUCT((Work_Codes!$N$9:$Y$9=$E243)*(Work_Codes!$N$28:$Y$28)*(N$98:N$98))</f>
        <v>0</v>
      </c>
      <c r="O243" s="81">
        <f ca="1">SUMPRODUCT((Work_Codes!$N$9:$Y$9=$E243)*(Work_Codes!$N$28:$Y$28)*(O$98:O$98))</f>
        <v>0</v>
      </c>
      <c r="P243" s="81">
        <f ca="1">SUMPRODUCT((Work_Codes!$N$9:$Y$9=$E243)*(Work_Codes!$N$28:$Y$28)*(P$98:P$98))</f>
        <v>0</v>
      </c>
      <c r="Q243" s="81">
        <f ca="1">SUMPRODUCT((Work_Codes!$N$9:$Y$9=$E243)*(Work_Codes!$N$28:$Y$28)*(Q$98:Q$98))</f>
        <v>0</v>
      </c>
      <c r="R243" s="81">
        <f ca="1">SUMPRODUCT((Work_Codes!$N$9:$Y$9=$E243)*(Work_Codes!$N$28:$Y$28)*(R$98:R$98))</f>
        <v>0</v>
      </c>
      <c r="S243" s="81">
        <f ca="1">SUMPRODUCT((Work_Codes!$N$9:$Y$9=$E243)*(Work_Codes!$N$28:$Y$28)*(S$98:S$98))</f>
        <v>0</v>
      </c>
      <c r="T243" s="81">
        <f ca="1">SUMPRODUCT((Work_Codes!$N$9:$Y$9=$E243)*(Work_Codes!$N$28:$Y$28)*(T$98:T$98))</f>
        <v>0</v>
      </c>
    </row>
    <row r="244" spans="5:20" s="41" customFormat="1" outlineLevel="2">
      <c r="E244" s="247" t="str">
        <f>GC!C42</f>
        <v>Service pipes</v>
      </c>
      <c r="F244" s="247"/>
      <c r="G244" s="247"/>
      <c r="H244" s="247"/>
      <c r="I244" s="247"/>
      <c r="J244" s="81">
        <f ca="1">SUMPRODUCT((Work_Codes!$N$9:$Y$9=$E244)*(Work_Codes!$N$28:$Y$28)*(J$98:J$98))</f>
        <v>0</v>
      </c>
      <c r="K244" s="81">
        <f ca="1">SUMPRODUCT((Work_Codes!$N$9:$Y$9=$E244)*(Work_Codes!$N$28:$Y$28)*(K$98:K$98))</f>
        <v>0</v>
      </c>
      <c r="L244" s="81">
        <f ca="1">SUMPRODUCT((Work_Codes!$N$9:$Y$9=$E244)*(Work_Codes!$N$28:$Y$28)*(L$98:L$98))</f>
        <v>0</v>
      </c>
      <c r="M244" s="81">
        <f ca="1">SUMPRODUCT((Work_Codes!$N$9:$Y$9=$E244)*(Work_Codes!$N$28:$Y$28)*(M$98:M$98))</f>
        <v>0</v>
      </c>
      <c r="N244" s="81">
        <f ca="1">SUMPRODUCT((Work_Codes!$N$9:$Y$9=$E244)*(Work_Codes!$N$28:$Y$28)*(N$98:N$98))</f>
        <v>0</v>
      </c>
      <c r="O244" s="81">
        <f ca="1">SUMPRODUCT((Work_Codes!$N$9:$Y$9=$E244)*(Work_Codes!$N$28:$Y$28)*(O$98:O$98))</f>
        <v>0</v>
      </c>
      <c r="P244" s="81">
        <f ca="1">SUMPRODUCT((Work_Codes!$N$9:$Y$9=$E244)*(Work_Codes!$N$28:$Y$28)*(P$98:P$98))</f>
        <v>0</v>
      </c>
      <c r="Q244" s="81">
        <f ca="1">SUMPRODUCT((Work_Codes!$N$9:$Y$9=$E244)*(Work_Codes!$N$28:$Y$28)*(Q$98:Q$98))</f>
        <v>0</v>
      </c>
      <c r="R244" s="81">
        <f ca="1">SUMPRODUCT((Work_Codes!$N$9:$Y$9=$E244)*(Work_Codes!$N$28:$Y$28)*(R$98:R$98))</f>
        <v>0</v>
      </c>
      <c r="S244" s="81">
        <f ca="1">SUMPRODUCT((Work_Codes!$N$9:$Y$9=$E244)*(Work_Codes!$N$28:$Y$28)*(S$98:S$98))</f>
        <v>0</v>
      </c>
      <c r="T244" s="81">
        <f ca="1">SUMPRODUCT((Work_Codes!$N$9:$Y$9=$E244)*(Work_Codes!$N$28:$Y$28)*(T$98:T$98))</f>
        <v>0</v>
      </c>
    </row>
    <row r="245" spans="5:20" s="41" customFormat="1" outlineLevel="2">
      <c r="E245" s="247" t="str">
        <f>GC!C43</f>
        <v>Cathodic protection</v>
      </c>
      <c r="F245" s="247"/>
      <c r="G245" s="247"/>
      <c r="H245" s="247"/>
      <c r="I245" s="247"/>
      <c r="J245" s="81">
        <f ca="1">SUMPRODUCT((Work_Codes!$N$9:$Y$9=$E245)*(Work_Codes!$N$28:$Y$28)*(J$98:J$98))</f>
        <v>0</v>
      </c>
      <c r="K245" s="81">
        <f ca="1">SUMPRODUCT((Work_Codes!$N$9:$Y$9=$E245)*(Work_Codes!$N$28:$Y$28)*(K$98:K$98))</f>
        <v>0</v>
      </c>
      <c r="L245" s="81">
        <f ca="1">SUMPRODUCT((Work_Codes!$N$9:$Y$9=$E245)*(Work_Codes!$N$28:$Y$28)*(L$98:L$98))</f>
        <v>0</v>
      </c>
      <c r="M245" s="81">
        <f ca="1">SUMPRODUCT((Work_Codes!$N$9:$Y$9=$E245)*(Work_Codes!$N$28:$Y$28)*(M$98:M$98))</f>
        <v>0</v>
      </c>
      <c r="N245" s="81">
        <f ca="1">SUMPRODUCT((Work_Codes!$N$9:$Y$9=$E245)*(Work_Codes!$N$28:$Y$28)*(N$98:N$98))</f>
        <v>0</v>
      </c>
      <c r="O245" s="81">
        <f ca="1">SUMPRODUCT((Work_Codes!$N$9:$Y$9=$E245)*(Work_Codes!$N$28:$Y$28)*(O$98:O$98))</f>
        <v>0</v>
      </c>
      <c r="P245" s="81">
        <f ca="1">SUMPRODUCT((Work_Codes!$N$9:$Y$9=$E245)*(Work_Codes!$N$28:$Y$28)*(P$98:P$98))</f>
        <v>0</v>
      </c>
      <c r="Q245" s="81">
        <f ca="1">SUMPRODUCT((Work_Codes!$N$9:$Y$9=$E245)*(Work_Codes!$N$28:$Y$28)*(Q$98:Q$98))</f>
        <v>0</v>
      </c>
      <c r="R245" s="81">
        <f ca="1">SUMPRODUCT((Work_Codes!$N$9:$Y$9=$E245)*(Work_Codes!$N$28:$Y$28)*(R$98:R$98))</f>
        <v>0</v>
      </c>
      <c r="S245" s="81">
        <f ca="1">SUMPRODUCT((Work_Codes!$N$9:$Y$9=$E245)*(Work_Codes!$N$28:$Y$28)*(S$98:S$98))</f>
        <v>0</v>
      </c>
      <c r="T245" s="81">
        <f ca="1">SUMPRODUCT((Work_Codes!$N$9:$Y$9=$E245)*(Work_Codes!$N$28:$Y$28)*(T$98:T$98))</f>
        <v>0</v>
      </c>
    </row>
    <row r="246" spans="5:20" s="41" customFormat="1" outlineLevel="2">
      <c r="E246" s="247" t="str">
        <f>GC!C44</f>
        <v>Supply Regulators / Valve Stations</v>
      </c>
      <c r="F246" s="247"/>
      <c r="G246" s="247"/>
      <c r="H246" s="247"/>
      <c r="I246" s="247"/>
      <c r="J246" s="81">
        <f ca="1">SUMPRODUCT((Work_Codes!$N$9:$Y$9=$E246)*(Work_Codes!$N$28:$Y$28)*(J$98:J$98))</f>
        <v>0</v>
      </c>
      <c r="K246" s="81">
        <f ca="1">SUMPRODUCT((Work_Codes!$N$9:$Y$9=$E246)*(Work_Codes!$N$28:$Y$28)*(K$98:K$98))</f>
        <v>0</v>
      </c>
      <c r="L246" s="81">
        <f ca="1">SUMPRODUCT((Work_Codes!$N$9:$Y$9=$E246)*(Work_Codes!$N$28:$Y$28)*(L$98:L$98))</f>
        <v>0</v>
      </c>
      <c r="M246" s="81">
        <f ca="1">SUMPRODUCT((Work_Codes!$N$9:$Y$9=$E246)*(Work_Codes!$N$28:$Y$28)*(M$98:M$98))</f>
        <v>0</v>
      </c>
      <c r="N246" s="81">
        <f ca="1">SUMPRODUCT((Work_Codes!$N$9:$Y$9=$E246)*(Work_Codes!$N$28:$Y$28)*(N$98:N$98))</f>
        <v>0</v>
      </c>
      <c r="O246" s="81">
        <f ca="1">SUMPRODUCT((Work_Codes!$N$9:$Y$9=$E246)*(Work_Codes!$N$28:$Y$28)*(O$98:O$98))</f>
        <v>0</v>
      </c>
      <c r="P246" s="81">
        <f ca="1">SUMPRODUCT((Work_Codes!$N$9:$Y$9=$E246)*(Work_Codes!$N$28:$Y$28)*(P$98:P$98))</f>
        <v>0</v>
      </c>
      <c r="Q246" s="81">
        <f ca="1">SUMPRODUCT((Work_Codes!$N$9:$Y$9=$E246)*(Work_Codes!$N$28:$Y$28)*(Q$98:Q$98))</f>
        <v>0</v>
      </c>
      <c r="R246" s="81">
        <f ca="1">SUMPRODUCT((Work_Codes!$N$9:$Y$9=$E246)*(Work_Codes!$N$28:$Y$28)*(R$98:R$98))</f>
        <v>0</v>
      </c>
      <c r="S246" s="81">
        <f ca="1">SUMPRODUCT((Work_Codes!$N$9:$Y$9=$E246)*(Work_Codes!$N$28:$Y$28)*(S$98:S$98))</f>
        <v>0</v>
      </c>
      <c r="T246" s="81">
        <f ca="1">SUMPRODUCT((Work_Codes!$N$9:$Y$9=$E246)*(Work_Codes!$N$28:$Y$28)*(T$98:T$98))</f>
        <v>0</v>
      </c>
    </row>
    <row r="247" spans="5:20" s="41" customFormat="1" outlineLevel="2">
      <c r="E247" s="247" t="str">
        <f>GC!C45</f>
        <v>Meters</v>
      </c>
      <c r="F247" s="247"/>
      <c r="G247" s="247"/>
      <c r="H247" s="247"/>
      <c r="I247" s="247"/>
      <c r="J247" s="81">
        <f ca="1">SUMPRODUCT((Work_Codes!$N$9:$Y$9=$E247)*(Work_Codes!$N$28:$Y$28)*(J$98:J$98))</f>
        <v>0</v>
      </c>
      <c r="K247" s="81">
        <f ca="1">SUMPRODUCT((Work_Codes!$N$9:$Y$9=$E247)*(Work_Codes!$N$28:$Y$28)*(K$98:K$98))</f>
        <v>0</v>
      </c>
      <c r="L247" s="81">
        <f ca="1">SUMPRODUCT((Work_Codes!$N$9:$Y$9=$E247)*(Work_Codes!$N$28:$Y$28)*(L$98:L$98))</f>
        <v>0</v>
      </c>
      <c r="M247" s="81">
        <f ca="1">SUMPRODUCT((Work_Codes!$N$9:$Y$9=$E247)*(Work_Codes!$N$28:$Y$28)*(M$98:M$98))</f>
        <v>0</v>
      </c>
      <c r="N247" s="81">
        <f ca="1">SUMPRODUCT((Work_Codes!$N$9:$Y$9=$E247)*(Work_Codes!$N$28:$Y$28)*(N$98:N$98))</f>
        <v>0</v>
      </c>
      <c r="O247" s="81">
        <f ca="1">SUMPRODUCT((Work_Codes!$N$9:$Y$9=$E247)*(Work_Codes!$N$28:$Y$28)*(O$98:O$98))</f>
        <v>0</v>
      </c>
      <c r="P247" s="81">
        <f ca="1">SUMPRODUCT((Work_Codes!$N$9:$Y$9=$E247)*(Work_Codes!$N$28:$Y$28)*(P$98:P$98))</f>
        <v>0</v>
      </c>
      <c r="Q247" s="81">
        <f ca="1">SUMPRODUCT((Work_Codes!$N$9:$Y$9=$E247)*(Work_Codes!$N$28:$Y$28)*(Q$98:Q$98))</f>
        <v>0</v>
      </c>
      <c r="R247" s="81">
        <f ca="1">SUMPRODUCT((Work_Codes!$N$9:$Y$9=$E247)*(Work_Codes!$N$28:$Y$28)*(R$98:R$98))</f>
        <v>0</v>
      </c>
      <c r="S247" s="81">
        <f ca="1">SUMPRODUCT((Work_Codes!$N$9:$Y$9=$E247)*(Work_Codes!$N$28:$Y$28)*(S$98:S$98))</f>
        <v>0</v>
      </c>
      <c r="T247" s="81">
        <f ca="1">SUMPRODUCT((Work_Codes!$N$9:$Y$9=$E247)*(Work_Codes!$N$28:$Y$28)*(T$98:T$98))</f>
        <v>0</v>
      </c>
    </row>
    <row r="248" spans="5:20" s="41" customFormat="1" outlineLevel="2">
      <c r="E248" s="247" t="str">
        <f>GC!C46</f>
        <v>SCADA and remote control</v>
      </c>
      <c r="F248" s="247"/>
      <c r="G248" s="247"/>
      <c r="H248" s="247"/>
      <c r="I248" s="247"/>
      <c r="J248" s="81">
        <f ca="1">SUMPRODUCT((Work_Codes!$N$9:$Y$9=$E248)*(Work_Codes!$N$28:$Y$28)*(J$98:J$98))</f>
        <v>0</v>
      </c>
      <c r="K248" s="81">
        <f ca="1">SUMPRODUCT((Work_Codes!$N$9:$Y$9=$E248)*(Work_Codes!$N$28:$Y$28)*(K$98:K$98))</f>
        <v>0</v>
      </c>
      <c r="L248" s="81">
        <f ca="1">SUMPRODUCT((Work_Codes!$N$9:$Y$9=$E248)*(Work_Codes!$N$28:$Y$28)*(L$98:L$98))</f>
        <v>0</v>
      </c>
      <c r="M248" s="81">
        <f ca="1">SUMPRODUCT((Work_Codes!$N$9:$Y$9=$E248)*(Work_Codes!$N$28:$Y$28)*(M$98:M$98))</f>
        <v>0</v>
      </c>
      <c r="N248" s="81">
        <f ca="1">SUMPRODUCT((Work_Codes!$N$9:$Y$9=$E248)*(Work_Codes!$N$28:$Y$28)*(N$98:N$98))</f>
        <v>0</v>
      </c>
      <c r="O248" s="81">
        <f ca="1">SUMPRODUCT((Work_Codes!$N$9:$Y$9=$E248)*(Work_Codes!$N$28:$Y$28)*(O$98:O$98))</f>
        <v>0</v>
      </c>
      <c r="P248" s="81">
        <f ca="1">SUMPRODUCT((Work_Codes!$N$9:$Y$9=$E248)*(Work_Codes!$N$28:$Y$28)*(P$98:P$98))</f>
        <v>0</v>
      </c>
      <c r="Q248" s="81">
        <f ca="1">SUMPRODUCT((Work_Codes!$N$9:$Y$9=$E248)*(Work_Codes!$N$28:$Y$28)*(Q$98:Q$98))</f>
        <v>0</v>
      </c>
      <c r="R248" s="81">
        <f ca="1">SUMPRODUCT((Work_Codes!$N$9:$Y$9=$E248)*(Work_Codes!$N$28:$Y$28)*(R$98:R$98))</f>
        <v>0</v>
      </c>
      <c r="S248" s="81">
        <f ca="1">SUMPRODUCT((Work_Codes!$N$9:$Y$9=$E248)*(Work_Codes!$N$28:$Y$28)*(S$98:S$98))</f>
        <v>0</v>
      </c>
      <c r="T248" s="81">
        <f ca="1">SUMPRODUCT((Work_Codes!$N$9:$Y$9=$E248)*(Work_Codes!$N$28:$Y$28)*(T$98:T$98))</f>
        <v>0</v>
      </c>
    </row>
    <row r="249" spans="5:20" s="41" customFormat="1" outlineLevel="2">
      <c r="E249" s="247" t="str">
        <f>GC!C47</f>
        <v>Buildings</v>
      </c>
      <c r="F249" s="247"/>
      <c r="G249" s="247"/>
      <c r="H249" s="247"/>
      <c r="I249" s="247"/>
      <c r="J249" s="81">
        <f ca="1">SUMPRODUCT((Work_Codes!$N$9:$Y$9=$E249)*(Work_Codes!$N$28:$Y$28)*(J$98:J$98))</f>
        <v>0</v>
      </c>
      <c r="K249" s="81">
        <f ca="1">SUMPRODUCT((Work_Codes!$N$9:$Y$9=$E249)*(Work_Codes!$N$28:$Y$28)*(K$98:K$98))</f>
        <v>0</v>
      </c>
      <c r="L249" s="81">
        <f ca="1">SUMPRODUCT((Work_Codes!$N$9:$Y$9=$E249)*(Work_Codes!$N$28:$Y$28)*(L$98:L$98))</f>
        <v>0</v>
      </c>
      <c r="M249" s="81">
        <f ca="1">SUMPRODUCT((Work_Codes!$N$9:$Y$9=$E249)*(Work_Codes!$N$28:$Y$28)*(M$98:M$98))</f>
        <v>0</v>
      </c>
      <c r="N249" s="81">
        <f ca="1">SUMPRODUCT((Work_Codes!$N$9:$Y$9=$E249)*(Work_Codes!$N$28:$Y$28)*(N$98:N$98))</f>
        <v>0</v>
      </c>
      <c r="O249" s="81">
        <f ca="1">SUMPRODUCT((Work_Codes!$N$9:$Y$9=$E249)*(Work_Codes!$N$28:$Y$28)*(O$98:O$98))</f>
        <v>0</v>
      </c>
      <c r="P249" s="81">
        <f ca="1">SUMPRODUCT((Work_Codes!$N$9:$Y$9=$E249)*(Work_Codes!$N$28:$Y$28)*(P$98:P$98))</f>
        <v>0</v>
      </c>
      <c r="Q249" s="81">
        <f ca="1">SUMPRODUCT((Work_Codes!$N$9:$Y$9=$E249)*(Work_Codes!$N$28:$Y$28)*(Q$98:Q$98))</f>
        <v>0</v>
      </c>
      <c r="R249" s="81">
        <f ca="1">SUMPRODUCT((Work_Codes!$N$9:$Y$9=$E249)*(Work_Codes!$N$28:$Y$28)*(R$98:R$98))</f>
        <v>0</v>
      </c>
      <c r="S249" s="81">
        <f ca="1">SUMPRODUCT((Work_Codes!$N$9:$Y$9=$E249)*(Work_Codes!$N$28:$Y$28)*(S$98:S$98))</f>
        <v>0</v>
      </c>
      <c r="T249" s="81">
        <f ca="1">SUMPRODUCT((Work_Codes!$N$9:$Y$9=$E249)*(Work_Codes!$N$28:$Y$28)*(T$98:T$98))</f>
        <v>0</v>
      </c>
    </row>
    <row r="250" spans="5:20" s="41" customFormat="1" outlineLevel="2">
      <c r="E250" s="247" t="str">
        <f>GC!C48</f>
        <v>Other - IT</v>
      </c>
      <c r="F250" s="247"/>
      <c r="G250" s="247"/>
      <c r="H250" s="247"/>
      <c r="I250" s="247"/>
      <c r="J250" s="81">
        <f ca="1">SUMPRODUCT((Work_Codes!$N$9:$Y$9=$E250)*(Work_Codes!$N$28:$Y$28)*(J$98:J$98))</f>
        <v>0</v>
      </c>
      <c r="K250" s="81">
        <f ca="1">SUMPRODUCT((Work_Codes!$N$9:$Y$9=$E250)*(Work_Codes!$N$28:$Y$28)*(K$98:K$98))</f>
        <v>0</v>
      </c>
      <c r="L250" s="81">
        <f ca="1">SUMPRODUCT((Work_Codes!$N$9:$Y$9=$E250)*(Work_Codes!$N$28:$Y$28)*(L$98:L$98))</f>
        <v>0</v>
      </c>
      <c r="M250" s="81">
        <f ca="1">SUMPRODUCT((Work_Codes!$N$9:$Y$9=$E250)*(Work_Codes!$N$28:$Y$28)*(M$98:M$98))</f>
        <v>0</v>
      </c>
      <c r="N250" s="81">
        <f ca="1">SUMPRODUCT((Work_Codes!$N$9:$Y$9=$E250)*(Work_Codes!$N$28:$Y$28)*(N$98:N$98))</f>
        <v>0</v>
      </c>
      <c r="O250" s="81">
        <f ca="1">SUMPRODUCT((Work_Codes!$N$9:$Y$9=$E250)*(Work_Codes!$N$28:$Y$28)*(O$98:O$98))</f>
        <v>0</v>
      </c>
      <c r="P250" s="81">
        <f ca="1">SUMPRODUCT((Work_Codes!$N$9:$Y$9=$E250)*(Work_Codes!$N$28:$Y$28)*(P$98:P$98))</f>
        <v>0</v>
      </c>
      <c r="Q250" s="81">
        <f ca="1">SUMPRODUCT((Work_Codes!$N$9:$Y$9=$E250)*(Work_Codes!$N$28:$Y$28)*(Q$98:Q$98))</f>
        <v>0</v>
      </c>
      <c r="R250" s="81">
        <f ca="1">SUMPRODUCT((Work_Codes!$N$9:$Y$9=$E250)*(Work_Codes!$N$28:$Y$28)*(R$98:R$98))</f>
        <v>0</v>
      </c>
      <c r="S250" s="81">
        <f ca="1">SUMPRODUCT((Work_Codes!$N$9:$Y$9=$E250)*(Work_Codes!$N$28:$Y$28)*(S$98:S$98))</f>
        <v>0</v>
      </c>
      <c r="T250" s="81">
        <f ca="1">SUMPRODUCT((Work_Codes!$N$9:$Y$9=$E250)*(Work_Codes!$N$28:$Y$28)*(T$98:T$98))</f>
        <v>0</v>
      </c>
    </row>
    <row r="251" spans="5:20" s="41" customFormat="1" outlineLevel="2">
      <c r="E251" s="247" t="str">
        <f>GC!C49</f>
        <v>Other - non IT</v>
      </c>
      <c r="F251" s="247"/>
      <c r="G251" s="247"/>
      <c r="H251" s="247"/>
      <c r="I251" s="247"/>
      <c r="J251" s="81">
        <f ca="1">SUMPRODUCT((Work_Codes!$N$9:$Y$9=$E251)*(Work_Codes!$N$28:$Y$28)*(J$98:J$98))</f>
        <v>0</v>
      </c>
      <c r="K251" s="81">
        <f ca="1">SUMPRODUCT((Work_Codes!$N$9:$Y$9=$E251)*(Work_Codes!$N$28:$Y$28)*(K$98:K$98))</f>
        <v>0</v>
      </c>
      <c r="L251" s="81">
        <f ca="1">SUMPRODUCT((Work_Codes!$N$9:$Y$9=$E251)*(Work_Codes!$N$28:$Y$28)*(L$98:L$98))</f>
        <v>0</v>
      </c>
      <c r="M251" s="81">
        <f ca="1">SUMPRODUCT((Work_Codes!$N$9:$Y$9=$E251)*(Work_Codes!$N$28:$Y$28)*(M$98:M$98))</f>
        <v>0</v>
      </c>
      <c r="N251" s="81">
        <f ca="1">SUMPRODUCT((Work_Codes!$N$9:$Y$9=$E251)*(Work_Codes!$N$28:$Y$28)*(N$98:N$98))</f>
        <v>0</v>
      </c>
      <c r="O251" s="81">
        <f ca="1">SUMPRODUCT((Work_Codes!$N$9:$Y$9=$E251)*(Work_Codes!$N$28:$Y$28)*(O$98:O$98))</f>
        <v>0</v>
      </c>
      <c r="P251" s="81">
        <f ca="1">SUMPRODUCT((Work_Codes!$N$9:$Y$9=$E251)*(Work_Codes!$N$28:$Y$28)*(P$98:P$98))</f>
        <v>0</v>
      </c>
      <c r="Q251" s="81">
        <f ca="1">SUMPRODUCT((Work_Codes!$N$9:$Y$9=$E251)*(Work_Codes!$N$28:$Y$28)*(Q$98:Q$98))</f>
        <v>0</v>
      </c>
      <c r="R251" s="81">
        <f ca="1">SUMPRODUCT((Work_Codes!$N$9:$Y$9=$E251)*(Work_Codes!$N$28:$Y$28)*(R$98:R$98))</f>
        <v>0</v>
      </c>
      <c r="S251" s="81">
        <f ca="1">SUMPRODUCT((Work_Codes!$N$9:$Y$9=$E251)*(Work_Codes!$N$28:$Y$28)*(S$98:S$98))</f>
        <v>0</v>
      </c>
      <c r="T251" s="81">
        <f ca="1">SUMPRODUCT((Work_Codes!$N$9:$Y$9=$E251)*(Work_Codes!$N$28:$Y$28)*(T$98:T$98))</f>
        <v>0</v>
      </c>
    </row>
    <row r="252" spans="5:20" s="41" customFormat="1" outlineLevel="2">
      <c r="E252" s="247" t="str">
        <f>GC!C50</f>
        <v>Land</v>
      </c>
      <c r="F252" s="247"/>
      <c r="G252" s="247"/>
      <c r="H252" s="247"/>
      <c r="I252" s="247"/>
      <c r="J252" s="81">
        <f ca="1">SUMPRODUCT((Work_Codes!$N$9:$Y$9=$E252)*(Work_Codes!$N$28:$Y$28)*(J$98:J$98))</f>
        <v>0</v>
      </c>
      <c r="K252" s="81">
        <f ca="1">SUMPRODUCT((Work_Codes!$N$9:$Y$9=$E252)*(Work_Codes!$N$28:$Y$28)*(K$98:K$98))</f>
        <v>0</v>
      </c>
      <c r="L252" s="81">
        <f ca="1">SUMPRODUCT((Work_Codes!$N$9:$Y$9=$E252)*(Work_Codes!$N$28:$Y$28)*(L$98:L$98))</f>
        <v>0</v>
      </c>
      <c r="M252" s="81">
        <f ca="1">SUMPRODUCT((Work_Codes!$N$9:$Y$9=$E252)*(Work_Codes!$N$28:$Y$28)*(M$98:M$98))</f>
        <v>0</v>
      </c>
      <c r="N252" s="81">
        <f ca="1">SUMPRODUCT((Work_Codes!$N$9:$Y$9=$E252)*(Work_Codes!$N$28:$Y$28)*(N$98:N$98))</f>
        <v>0</v>
      </c>
      <c r="O252" s="81">
        <f ca="1">SUMPRODUCT((Work_Codes!$N$9:$Y$9=$E252)*(Work_Codes!$N$28:$Y$28)*(O$98:O$98))</f>
        <v>0</v>
      </c>
      <c r="P252" s="81">
        <f ca="1">SUMPRODUCT((Work_Codes!$N$9:$Y$9=$E252)*(Work_Codes!$N$28:$Y$28)*(P$98:P$98))</f>
        <v>0</v>
      </c>
      <c r="Q252" s="81">
        <f ca="1">SUMPRODUCT((Work_Codes!$N$9:$Y$9=$E252)*(Work_Codes!$N$28:$Y$28)*(Q$98:Q$98))</f>
        <v>0</v>
      </c>
      <c r="R252" s="81">
        <f ca="1">SUMPRODUCT((Work_Codes!$N$9:$Y$9=$E252)*(Work_Codes!$N$28:$Y$28)*(R$98:R$98))</f>
        <v>0</v>
      </c>
      <c r="S252" s="81">
        <f ca="1">SUMPRODUCT((Work_Codes!$N$9:$Y$9=$E252)*(Work_Codes!$N$28:$Y$28)*(S$98:S$98))</f>
        <v>0</v>
      </c>
      <c r="T252" s="81">
        <f ca="1">SUMPRODUCT((Work_Codes!$N$9:$Y$9=$E252)*(Work_Codes!$N$28:$Y$28)*(T$98:T$98))</f>
        <v>0</v>
      </c>
    </row>
    <row r="253" spans="5:20" s="41" customFormat="1" outlineLevel="2">
      <c r="E253" s="247" t="str">
        <f>GC!C51</f>
        <v>Capitalised Leases</v>
      </c>
      <c r="F253" s="247"/>
      <c r="G253" s="247"/>
      <c r="H253" s="247"/>
      <c r="I253" s="247"/>
      <c r="J253" s="81">
        <f ca="1">SUMPRODUCT((Work_Codes!$N$9:$Y$9=$E253)*(Work_Codes!$N$28:$Y$28)*(J$98:J$98))</f>
        <v>0</v>
      </c>
      <c r="K253" s="81">
        <f ca="1">SUMPRODUCT((Work_Codes!$N$9:$Y$9=$E253)*(Work_Codes!$N$28:$Y$28)*(K$98:K$98))</f>
        <v>0</v>
      </c>
      <c r="L253" s="81">
        <f ca="1">SUMPRODUCT((Work_Codes!$N$9:$Y$9=$E253)*(Work_Codes!$N$28:$Y$28)*(L$98:L$98))</f>
        <v>0</v>
      </c>
      <c r="M253" s="81">
        <f ca="1">SUMPRODUCT((Work_Codes!$N$9:$Y$9=$E253)*(Work_Codes!$N$28:$Y$28)*(M$98:M$98))</f>
        <v>0</v>
      </c>
      <c r="N253" s="81">
        <f ca="1">SUMPRODUCT((Work_Codes!$N$9:$Y$9=$E253)*(Work_Codes!$N$28:$Y$28)*(N$98:N$98))</f>
        <v>0</v>
      </c>
      <c r="O253" s="81">
        <f ca="1">SUMPRODUCT((Work_Codes!$N$9:$Y$9=$E253)*(Work_Codes!$N$28:$Y$28)*(O$98:O$98))</f>
        <v>0</v>
      </c>
      <c r="P253" s="81">
        <f ca="1">SUMPRODUCT((Work_Codes!$N$9:$Y$9=$E253)*(Work_Codes!$N$28:$Y$28)*(P$98:P$98))</f>
        <v>0</v>
      </c>
      <c r="Q253" s="81">
        <f ca="1">SUMPRODUCT((Work_Codes!$N$9:$Y$9=$E253)*(Work_Codes!$N$28:$Y$28)*(Q$98:Q$98))</f>
        <v>0</v>
      </c>
      <c r="R253" s="81">
        <f ca="1">SUMPRODUCT((Work_Codes!$N$9:$Y$9=$E253)*(Work_Codes!$N$28:$Y$28)*(R$98:R$98))</f>
        <v>0</v>
      </c>
      <c r="S253" s="81">
        <f ca="1">SUMPRODUCT((Work_Codes!$N$9:$Y$9=$E253)*(Work_Codes!$N$28:$Y$28)*(S$98:S$98))</f>
        <v>0</v>
      </c>
      <c r="T253" s="81">
        <f ca="1">SUMPRODUCT((Work_Codes!$N$9:$Y$9=$E253)*(Work_Codes!$N$28:$Y$28)*(T$98:T$98))</f>
        <v>0</v>
      </c>
    </row>
    <row r="254" spans="5:20" outlineLevel="2">
      <c r="E254" s="247" t="str">
        <f>GC!C52</f>
        <v>Transmission pipelines - post 1998</v>
      </c>
      <c r="F254" s="247"/>
      <c r="G254" s="247"/>
      <c r="H254" s="247"/>
      <c r="I254" s="247"/>
      <c r="J254" s="81">
        <f ca="1">SUMPRODUCT((Work_Codes!$N$9:$Y$9=$E254)*(Work_Codes!$N$28:$Y$28)*(J$98:J$98))</f>
        <v>0</v>
      </c>
      <c r="K254" s="81">
        <f ca="1">SUMPRODUCT((Work_Codes!$N$9:$Y$9=$E254)*(Work_Codes!$N$28:$Y$28)*(K$98:K$98))</f>
        <v>0</v>
      </c>
      <c r="L254" s="81">
        <f ca="1">SUMPRODUCT((Work_Codes!$N$9:$Y$9=$E254)*(Work_Codes!$N$28:$Y$28)*(L$98:L$98))</f>
        <v>0</v>
      </c>
      <c r="M254" s="81">
        <f ca="1">SUMPRODUCT((Work_Codes!$N$9:$Y$9=$E254)*(Work_Codes!$N$28:$Y$28)*(M$98:M$98))</f>
        <v>0</v>
      </c>
      <c r="N254" s="81">
        <f ca="1">SUMPRODUCT((Work_Codes!$N$9:$Y$9=$E254)*(Work_Codes!$N$28:$Y$28)*(N$98:N$98))</f>
        <v>0</v>
      </c>
      <c r="O254" s="81">
        <f ca="1">SUMPRODUCT((Work_Codes!$N$9:$Y$9=$E254)*(Work_Codes!$N$28:$Y$28)*(O$98:O$98))</f>
        <v>0</v>
      </c>
      <c r="P254" s="81">
        <f ca="1">SUMPRODUCT((Work_Codes!$N$9:$Y$9=$E254)*(Work_Codes!$N$28:$Y$28)*(P$98:P$98))</f>
        <v>0</v>
      </c>
      <c r="Q254" s="81">
        <f ca="1">SUMPRODUCT((Work_Codes!$N$9:$Y$9=$E254)*(Work_Codes!$N$28:$Y$28)*(Q$98:Q$98))</f>
        <v>0</v>
      </c>
      <c r="R254" s="81">
        <f ca="1">SUMPRODUCT((Work_Codes!$N$9:$Y$9=$E254)*(Work_Codes!$N$28:$Y$28)*(R$98:R$98))</f>
        <v>0</v>
      </c>
      <c r="S254" s="81">
        <f ca="1">SUMPRODUCT((Work_Codes!$N$9:$Y$9=$E254)*(Work_Codes!$N$28:$Y$28)*(S$98:S$98))</f>
        <v>0</v>
      </c>
      <c r="T254" s="81">
        <f ca="1">SUMPRODUCT((Work_Codes!$N$9:$Y$9=$E254)*(Work_Codes!$N$28:$Y$28)*(T$98:T$98))</f>
        <v>0</v>
      </c>
    </row>
    <row r="255" spans="5:20" outlineLevel="2">
      <c r="E255" s="247" t="str">
        <f>GC!C53</f>
        <v>Distribution pipelines - post 1998</v>
      </c>
      <c r="F255" s="247"/>
      <c r="G255" s="247"/>
      <c r="H255" s="247"/>
      <c r="I255" s="247"/>
      <c r="J255" s="81">
        <f ca="1">SUMPRODUCT((Work_Codes!$N$9:$Y$9=$E255)*(Work_Codes!$N$28:$Y$28)*(J$98:J$98))</f>
        <v>0</v>
      </c>
      <c r="K255" s="81">
        <f ca="1">SUMPRODUCT((Work_Codes!$N$9:$Y$9=$E255)*(Work_Codes!$N$28:$Y$28)*(K$98:K$98))</f>
        <v>0</v>
      </c>
      <c r="L255" s="81">
        <f ca="1">SUMPRODUCT((Work_Codes!$N$9:$Y$9=$E255)*(Work_Codes!$N$28:$Y$28)*(L$98:L$98))</f>
        <v>0</v>
      </c>
      <c r="M255" s="81">
        <f ca="1">SUMPRODUCT((Work_Codes!$N$9:$Y$9=$E255)*(Work_Codes!$N$28:$Y$28)*(M$98:M$98))</f>
        <v>0</v>
      </c>
      <c r="N255" s="81">
        <f ca="1">SUMPRODUCT((Work_Codes!$N$9:$Y$9=$E255)*(Work_Codes!$N$28:$Y$28)*(N$98:N$98))</f>
        <v>0</v>
      </c>
      <c r="O255" s="81">
        <f ca="1">SUMPRODUCT((Work_Codes!$N$9:$Y$9=$E255)*(Work_Codes!$N$28:$Y$28)*(O$98:O$98))</f>
        <v>0</v>
      </c>
      <c r="P255" s="81">
        <f ca="1">SUMPRODUCT((Work_Codes!$N$9:$Y$9=$E255)*(Work_Codes!$N$28:$Y$28)*(P$98:P$98))</f>
        <v>0</v>
      </c>
      <c r="Q255" s="81">
        <f ca="1">SUMPRODUCT((Work_Codes!$N$9:$Y$9=$E255)*(Work_Codes!$N$28:$Y$28)*(Q$98:Q$98))</f>
        <v>0</v>
      </c>
      <c r="R255" s="81">
        <f ca="1">SUMPRODUCT((Work_Codes!$N$9:$Y$9=$E255)*(Work_Codes!$N$28:$Y$28)*(R$98:R$98))</f>
        <v>0</v>
      </c>
      <c r="S255" s="81">
        <f ca="1">SUMPRODUCT((Work_Codes!$N$9:$Y$9=$E255)*(Work_Codes!$N$28:$Y$28)*(S$98:S$98))</f>
        <v>0</v>
      </c>
      <c r="T255" s="81">
        <f ca="1">SUMPRODUCT((Work_Codes!$N$9:$Y$9=$E255)*(Work_Codes!$N$28:$Y$28)*(T$98:T$98))</f>
        <v>0</v>
      </c>
    </row>
    <row r="256" spans="5:20" outlineLevel="2">
      <c r="E256" s="247" t="str">
        <f>GC!C54</f>
        <v>Service pipes - post 1998</v>
      </c>
      <c r="F256" s="247"/>
      <c r="G256" s="247"/>
      <c r="H256" s="247"/>
      <c r="I256" s="247"/>
      <c r="J256" s="81">
        <f ca="1">SUMPRODUCT((Work_Codes!$N$9:$Y$9=$E256)*(Work_Codes!$N$28:$Y$28)*(J$98:J$98))</f>
        <v>0</v>
      </c>
      <c r="K256" s="81">
        <f ca="1">SUMPRODUCT((Work_Codes!$N$9:$Y$9=$E256)*(Work_Codes!$N$28:$Y$28)*(K$98:K$98))</f>
        <v>0</v>
      </c>
      <c r="L256" s="81">
        <f ca="1">SUMPRODUCT((Work_Codes!$N$9:$Y$9=$E256)*(Work_Codes!$N$28:$Y$28)*(L$98:L$98))</f>
        <v>0</v>
      </c>
      <c r="M256" s="81">
        <f ca="1">SUMPRODUCT((Work_Codes!$N$9:$Y$9=$E256)*(Work_Codes!$N$28:$Y$28)*(M$98:M$98))</f>
        <v>0</v>
      </c>
      <c r="N256" s="81">
        <f ca="1">SUMPRODUCT((Work_Codes!$N$9:$Y$9=$E256)*(Work_Codes!$N$28:$Y$28)*(N$98:N$98))</f>
        <v>0</v>
      </c>
      <c r="O256" s="81">
        <f ca="1">SUMPRODUCT((Work_Codes!$N$9:$Y$9=$E256)*(Work_Codes!$N$28:$Y$28)*(O$98:O$98))</f>
        <v>0</v>
      </c>
      <c r="P256" s="81">
        <f ca="1">SUMPRODUCT((Work_Codes!$N$9:$Y$9=$E256)*(Work_Codes!$N$28:$Y$28)*(P$98:P$98))</f>
        <v>0</v>
      </c>
      <c r="Q256" s="81">
        <f ca="1">SUMPRODUCT((Work_Codes!$N$9:$Y$9=$E256)*(Work_Codes!$N$28:$Y$28)*(Q$98:Q$98))</f>
        <v>0</v>
      </c>
      <c r="R256" s="81">
        <f ca="1">SUMPRODUCT((Work_Codes!$N$9:$Y$9=$E256)*(Work_Codes!$N$28:$Y$28)*(R$98:R$98))</f>
        <v>0</v>
      </c>
      <c r="S256" s="81">
        <f ca="1">SUMPRODUCT((Work_Codes!$N$9:$Y$9=$E256)*(Work_Codes!$N$28:$Y$28)*(S$98:S$98))</f>
        <v>0</v>
      </c>
      <c r="T256" s="81">
        <f ca="1">SUMPRODUCT((Work_Codes!$N$9:$Y$9=$E256)*(Work_Codes!$N$28:$Y$28)*(T$98:T$98))</f>
        <v>0</v>
      </c>
    </row>
    <row r="257" spans="2:20" outlineLevel="2">
      <c r="E257" s="247" t="str">
        <f>GC!C55</f>
        <v>Cathodic protection - post 1998</v>
      </c>
      <c r="F257" s="247"/>
      <c r="G257" s="247"/>
      <c r="H257" s="247"/>
      <c r="I257" s="247"/>
      <c r="J257" s="81">
        <f ca="1">SUMPRODUCT((Work_Codes!$N$9:$Y$9=$E257)*(Work_Codes!$N$28:$Y$28)*(J$98:J$98))</f>
        <v>0</v>
      </c>
      <c r="K257" s="81">
        <f ca="1">SUMPRODUCT((Work_Codes!$N$9:$Y$9=$E257)*(Work_Codes!$N$28:$Y$28)*(K$98:K$98))</f>
        <v>0</v>
      </c>
      <c r="L257" s="81">
        <f ca="1">SUMPRODUCT((Work_Codes!$N$9:$Y$9=$E257)*(Work_Codes!$N$28:$Y$28)*(L$98:L$98))</f>
        <v>0</v>
      </c>
      <c r="M257" s="81">
        <f ca="1">SUMPRODUCT((Work_Codes!$N$9:$Y$9=$E257)*(Work_Codes!$N$28:$Y$28)*(M$98:M$98))</f>
        <v>0</v>
      </c>
      <c r="N257" s="81">
        <f ca="1">SUMPRODUCT((Work_Codes!$N$9:$Y$9=$E257)*(Work_Codes!$N$28:$Y$28)*(N$98:N$98))</f>
        <v>0</v>
      </c>
      <c r="O257" s="81">
        <f ca="1">SUMPRODUCT((Work_Codes!$N$9:$Y$9=$E257)*(Work_Codes!$N$28:$Y$28)*(O$98:O$98))</f>
        <v>0</v>
      </c>
      <c r="P257" s="81">
        <f ca="1">SUMPRODUCT((Work_Codes!$N$9:$Y$9=$E257)*(Work_Codes!$N$28:$Y$28)*(P$98:P$98))</f>
        <v>0</v>
      </c>
      <c r="Q257" s="81">
        <f ca="1">SUMPRODUCT((Work_Codes!$N$9:$Y$9=$E257)*(Work_Codes!$N$28:$Y$28)*(Q$98:Q$98))</f>
        <v>0</v>
      </c>
      <c r="R257" s="81">
        <f ca="1">SUMPRODUCT((Work_Codes!$N$9:$Y$9=$E257)*(Work_Codes!$N$28:$Y$28)*(R$98:R$98))</f>
        <v>0</v>
      </c>
      <c r="S257" s="81">
        <f ca="1">SUMPRODUCT((Work_Codes!$N$9:$Y$9=$E257)*(Work_Codes!$N$28:$Y$28)*(S$98:S$98))</f>
        <v>0</v>
      </c>
      <c r="T257" s="81">
        <f ca="1">SUMPRODUCT((Work_Codes!$N$9:$Y$9=$E257)*(Work_Codes!$N$28:$Y$28)*(T$98:T$98))</f>
        <v>0</v>
      </c>
    </row>
    <row r="258" spans="2:20" s="41" customFormat="1" outlineLevel="2">
      <c r="E258" s="249" t="str">
        <f>"Total "&amp;D240</f>
        <v>Total Customer Contributions</v>
      </c>
      <c r="F258" s="249"/>
      <c r="G258" s="249"/>
      <c r="H258" s="249"/>
      <c r="I258" s="249"/>
      <c r="J258" s="82">
        <f t="shared" ref="J258:T258" ca="1" si="30">SUM(J242:J257)</f>
        <v>0</v>
      </c>
      <c r="K258" s="82">
        <f t="shared" ca="1" si="30"/>
        <v>0</v>
      </c>
      <c r="L258" s="82">
        <f t="shared" ca="1" si="30"/>
        <v>0</v>
      </c>
      <c r="M258" s="82">
        <f t="shared" ca="1" si="30"/>
        <v>0</v>
      </c>
      <c r="N258" s="82">
        <f t="shared" ca="1" si="30"/>
        <v>0</v>
      </c>
      <c r="O258" s="82">
        <f t="shared" ca="1" si="30"/>
        <v>0</v>
      </c>
      <c r="P258" s="82">
        <f t="shared" ca="1" si="30"/>
        <v>0</v>
      </c>
      <c r="Q258" s="82">
        <f t="shared" ca="1" si="30"/>
        <v>0</v>
      </c>
      <c r="R258" s="82">
        <f t="shared" ca="1" si="30"/>
        <v>0</v>
      </c>
      <c r="S258" s="82">
        <f t="shared" ca="1" si="30"/>
        <v>0</v>
      </c>
      <c r="T258" s="82">
        <f t="shared" ca="1" si="30"/>
        <v>0</v>
      </c>
    </row>
    <row r="259" spans="2:20" s="41" customFormat="1" outlineLevel="1">
      <c r="B259" s="109"/>
      <c r="C259" s="109"/>
      <c r="D259" s="109"/>
      <c r="E259" s="109"/>
      <c r="F259" s="109"/>
      <c r="G259" s="109"/>
      <c r="H259" s="109"/>
      <c r="I259" s="109"/>
      <c r="J259" s="109"/>
      <c r="K259" s="109"/>
      <c r="L259" s="109"/>
      <c r="M259" s="109"/>
      <c r="N259" s="109"/>
      <c r="O259" s="109"/>
      <c r="P259" s="109"/>
      <c r="Q259" s="109"/>
      <c r="R259" s="109"/>
      <c r="S259" s="109"/>
      <c r="T259" s="109"/>
    </row>
    <row r="260" spans="2:20" s="41" customFormat="1" outlineLevel="1"/>
    <row r="261" spans="2:20" s="41" customFormat="1" outlineLevel="1">
      <c r="C261" s="50" t="s">
        <v>196</v>
      </c>
    </row>
    <row r="262" spans="2:20" s="41" customFormat="1" ht="5.9" customHeight="1" outlineLevel="2"/>
    <row r="263" spans="2:20" s="41" customFormat="1" outlineLevel="2">
      <c r="D263" s="50" t="s">
        <v>215</v>
      </c>
    </row>
    <row r="264" spans="2:20" s="41" customFormat="1" ht="5.9" customHeight="1" outlineLevel="2"/>
    <row r="265" spans="2:20" s="41" customFormat="1" outlineLevel="2">
      <c r="E265" s="251" t="str">
        <f>GC!C60</f>
        <v>Mains replacement</v>
      </c>
      <c r="F265" s="251"/>
      <c r="G265" s="251"/>
      <c r="H265" s="251"/>
      <c r="I265" s="251"/>
      <c r="J265" s="80">
        <f ca="1">SUMPRODUCT((Work_Codes!$AC$9:$AO$9=$E265)*(Work_Codes!$AC$12:$AO$24)*(J$161:J$173))</f>
        <v>0</v>
      </c>
      <c r="K265" s="80">
        <f ca="1">SUMPRODUCT((Work_Codes!$AC$9:$AO$9=$E265)*(Work_Codes!$AC$12:$AO$24)*(K$161:K$173))</f>
        <v>0</v>
      </c>
      <c r="L265" s="80">
        <f ca="1">SUMPRODUCT((Work_Codes!$AC$9:$AO$9=$E265)*(Work_Codes!$AC$12:$AO$24)*(L$161:L$173))</f>
        <v>0</v>
      </c>
      <c r="M265" s="80">
        <f ca="1">SUMPRODUCT((Work_Codes!$AC$9:$AO$9=$E265)*(Work_Codes!$AC$12:$AO$24)*(M$161:M$173))</f>
        <v>0</v>
      </c>
      <c r="N265" s="80">
        <f ca="1">SUMPRODUCT((Work_Codes!$AC$9:$AO$9=$E265)*(Work_Codes!$AC$12:$AO$24)*(N$161:N$173))</f>
        <v>17340833.066654302</v>
      </c>
      <c r="O265" s="80">
        <f ca="1">SUMPRODUCT((Work_Codes!$AC$9:$AO$9=$E265)*(Work_Codes!$AC$12:$AO$24)*(O$161:O$173))</f>
        <v>17302165.411932107</v>
      </c>
      <c r="P265" s="80">
        <f ca="1">SUMPRODUCT((Work_Codes!$AC$9:$AO$9=$E265)*(Work_Codes!$AC$12:$AO$24)*(P$161:P$173))</f>
        <v>21859323.99478846</v>
      </c>
      <c r="Q265" s="80">
        <f ca="1">SUMPRODUCT((Work_Codes!$AC$9:$AO$9=$E265)*(Work_Codes!$AC$12:$AO$24)*(Q$161:Q$173))</f>
        <v>18353838.907977544</v>
      </c>
      <c r="R265" s="80">
        <f ca="1">SUMPRODUCT((Work_Codes!$AC$9:$AO$9=$E265)*(Work_Codes!$AC$12:$AO$24)*(R$161:R$173))</f>
        <v>13037449.844029896</v>
      </c>
      <c r="S265" s="80">
        <f ca="1">SUMPRODUCT((Work_Codes!$AC$9:$AO$9=$E265)*(Work_Codes!$AC$12:$AO$24)*(S$161:S$173))</f>
        <v>13749167.788226614</v>
      </c>
      <c r="T265" s="80">
        <f ca="1">SUMPRODUCT((Work_Codes!$AC$9:$AO$9=$E265)*(Work_Codes!$AC$12:$AO$24)*(T$161:T$173))</f>
        <v>8127603.3899430232</v>
      </c>
    </row>
    <row r="266" spans="2:20" s="41" customFormat="1" outlineLevel="2">
      <c r="E266" s="251" t="str">
        <f>GC!C61</f>
        <v>Residential new customer connections</v>
      </c>
      <c r="F266" s="251"/>
      <c r="G266" s="251"/>
      <c r="H266" s="251"/>
      <c r="I266" s="251"/>
      <c r="J266" s="80">
        <f ca="1">SUMPRODUCT((Work_Codes!$AC$9:$AO$9=$E266)*(Work_Codes!$AC$12:$AO$24)*(J$161:J$173))</f>
        <v>0</v>
      </c>
      <c r="K266" s="80">
        <f ca="1">SUMPRODUCT((Work_Codes!$AC$9:$AO$9=$E266)*(Work_Codes!$AC$12:$AO$24)*(K$161:K$173))</f>
        <v>0</v>
      </c>
      <c r="L266" s="80">
        <f ca="1">SUMPRODUCT((Work_Codes!$AC$9:$AO$9=$E266)*(Work_Codes!$AC$12:$AO$24)*(L$161:L$173))</f>
        <v>0</v>
      </c>
      <c r="M266" s="80">
        <f ca="1">SUMPRODUCT((Work_Codes!$AC$9:$AO$9=$E266)*(Work_Codes!$AC$12:$AO$24)*(M$161:M$173))</f>
        <v>0</v>
      </c>
      <c r="N266" s="80">
        <f ca="1">SUMPRODUCT((Work_Codes!$AC$9:$AO$9=$E266)*(Work_Codes!$AC$12:$AO$24)*(N$161:N$173))</f>
        <v>0</v>
      </c>
      <c r="O266" s="80">
        <f ca="1">SUMPRODUCT((Work_Codes!$AC$9:$AO$9=$E266)*(Work_Codes!$AC$12:$AO$24)*(O$161:O$173))</f>
        <v>0</v>
      </c>
      <c r="P266" s="80">
        <f ca="1">SUMPRODUCT((Work_Codes!$AC$9:$AO$9=$E266)*(Work_Codes!$AC$12:$AO$24)*(P$161:P$173))</f>
        <v>0</v>
      </c>
      <c r="Q266" s="80">
        <f ca="1">SUMPRODUCT((Work_Codes!$AC$9:$AO$9=$E266)*(Work_Codes!$AC$12:$AO$24)*(Q$161:Q$173))</f>
        <v>0</v>
      </c>
      <c r="R266" s="80">
        <f ca="1">SUMPRODUCT((Work_Codes!$AC$9:$AO$9=$E266)*(Work_Codes!$AC$12:$AO$24)*(R$161:R$173))</f>
        <v>0</v>
      </c>
      <c r="S266" s="80">
        <f ca="1">SUMPRODUCT((Work_Codes!$AC$9:$AO$9=$E266)*(Work_Codes!$AC$12:$AO$24)*(S$161:S$173))</f>
        <v>0</v>
      </c>
      <c r="T266" s="80">
        <f ca="1">SUMPRODUCT((Work_Codes!$AC$9:$AO$9=$E266)*(Work_Codes!$AC$12:$AO$24)*(T$161:T$173))</f>
        <v>0</v>
      </c>
    </row>
    <row r="267" spans="2:20" s="41" customFormat="1" outlineLevel="2">
      <c r="E267" s="251" t="str">
        <f>GC!C62</f>
        <v>Commercial and industrial new customer connections</v>
      </c>
      <c r="F267" s="251"/>
      <c r="G267" s="251"/>
      <c r="H267" s="251"/>
      <c r="I267" s="251"/>
      <c r="J267" s="80">
        <f ca="1">SUMPRODUCT((Work_Codes!$AC$9:$AO$9=$E267)*(Work_Codes!$AC$12:$AO$24)*(J$161:J$173))</f>
        <v>0</v>
      </c>
      <c r="K267" s="80">
        <f ca="1">SUMPRODUCT((Work_Codes!$AC$9:$AO$9=$E267)*(Work_Codes!$AC$12:$AO$24)*(K$161:K$173))</f>
        <v>0</v>
      </c>
      <c r="L267" s="80">
        <f ca="1">SUMPRODUCT((Work_Codes!$AC$9:$AO$9=$E267)*(Work_Codes!$AC$12:$AO$24)*(L$161:L$173))</f>
        <v>0</v>
      </c>
      <c r="M267" s="80">
        <f ca="1">SUMPRODUCT((Work_Codes!$AC$9:$AO$9=$E267)*(Work_Codes!$AC$12:$AO$24)*(M$161:M$173))</f>
        <v>0</v>
      </c>
      <c r="N267" s="80">
        <f ca="1">SUMPRODUCT((Work_Codes!$AC$9:$AO$9=$E267)*(Work_Codes!$AC$12:$AO$24)*(N$161:N$173))</f>
        <v>0</v>
      </c>
      <c r="O267" s="80">
        <f ca="1">SUMPRODUCT((Work_Codes!$AC$9:$AO$9=$E267)*(Work_Codes!$AC$12:$AO$24)*(O$161:O$173))</f>
        <v>0</v>
      </c>
      <c r="P267" s="80">
        <f ca="1">SUMPRODUCT((Work_Codes!$AC$9:$AO$9=$E267)*(Work_Codes!$AC$12:$AO$24)*(P$161:P$173))</f>
        <v>0</v>
      </c>
      <c r="Q267" s="80">
        <f ca="1">SUMPRODUCT((Work_Codes!$AC$9:$AO$9=$E267)*(Work_Codes!$AC$12:$AO$24)*(Q$161:Q$173))</f>
        <v>0</v>
      </c>
      <c r="R267" s="80">
        <f ca="1">SUMPRODUCT((Work_Codes!$AC$9:$AO$9=$E267)*(Work_Codes!$AC$12:$AO$24)*(R$161:R$173))</f>
        <v>0</v>
      </c>
      <c r="S267" s="80">
        <f ca="1">SUMPRODUCT((Work_Codes!$AC$9:$AO$9=$E267)*(Work_Codes!$AC$12:$AO$24)*(S$161:S$173))</f>
        <v>0</v>
      </c>
      <c r="T267" s="80">
        <f ca="1">SUMPRODUCT((Work_Codes!$AC$9:$AO$9=$E267)*(Work_Codes!$AC$12:$AO$24)*(T$161:T$173))</f>
        <v>0</v>
      </c>
    </row>
    <row r="268" spans="2:20" s="41" customFormat="1" outlineLevel="2">
      <c r="E268" s="251" t="str">
        <f>GC!C63</f>
        <v>Residential meter replacement</v>
      </c>
      <c r="F268" s="251"/>
      <c r="G268" s="251"/>
      <c r="H268" s="251"/>
      <c r="I268" s="251"/>
      <c r="J268" s="80">
        <f ca="1">SUMPRODUCT((Work_Codes!$AC$9:$AO$9=$E268)*(Work_Codes!$AC$12:$AO$24)*(J$161:J$173))</f>
        <v>0</v>
      </c>
      <c r="K268" s="80">
        <f ca="1">SUMPRODUCT((Work_Codes!$AC$9:$AO$9=$E268)*(Work_Codes!$AC$12:$AO$24)*(K$161:K$173))</f>
        <v>0</v>
      </c>
      <c r="L268" s="80">
        <f ca="1">SUMPRODUCT((Work_Codes!$AC$9:$AO$9=$E268)*(Work_Codes!$AC$12:$AO$24)*(L$161:L$173))</f>
        <v>0</v>
      </c>
      <c r="M268" s="80">
        <f ca="1">SUMPRODUCT((Work_Codes!$AC$9:$AO$9=$E268)*(Work_Codes!$AC$12:$AO$24)*(M$161:M$173))</f>
        <v>0</v>
      </c>
      <c r="N268" s="80">
        <f ca="1">SUMPRODUCT((Work_Codes!$AC$9:$AO$9=$E268)*(Work_Codes!$AC$12:$AO$24)*(N$161:N$173))</f>
        <v>0</v>
      </c>
      <c r="O268" s="80">
        <f ca="1">SUMPRODUCT((Work_Codes!$AC$9:$AO$9=$E268)*(Work_Codes!$AC$12:$AO$24)*(O$161:O$173))</f>
        <v>0</v>
      </c>
      <c r="P268" s="80">
        <f ca="1">SUMPRODUCT((Work_Codes!$AC$9:$AO$9=$E268)*(Work_Codes!$AC$12:$AO$24)*(P$161:P$173))</f>
        <v>0</v>
      </c>
      <c r="Q268" s="80">
        <f ca="1">SUMPRODUCT((Work_Codes!$AC$9:$AO$9=$E268)*(Work_Codes!$AC$12:$AO$24)*(Q$161:Q$173))</f>
        <v>0</v>
      </c>
      <c r="R268" s="80">
        <f ca="1">SUMPRODUCT((Work_Codes!$AC$9:$AO$9=$E268)*(Work_Codes!$AC$12:$AO$24)*(R$161:R$173))</f>
        <v>0</v>
      </c>
      <c r="S268" s="80">
        <f ca="1">SUMPRODUCT((Work_Codes!$AC$9:$AO$9=$E268)*(Work_Codes!$AC$12:$AO$24)*(S$161:S$173))</f>
        <v>0</v>
      </c>
      <c r="T268" s="80">
        <f ca="1">SUMPRODUCT((Work_Codes!$AC$9:$AO$9=$E268)*(Work_Codes!$AC$12:$AO$24)*(T$161:T$173))</f>
        <v>0</v>
      </c>
    </row>
    <row r="269" spans="2:20" s="41" customFormat="1" outlineLevel="2">
      <c r="E269" s="251" t="str">
        <f>GC!C64</f>
        <v>Commercial and industrial meter replacement</v>
      </c>
      <c r="F269" s="251"/>
      <c r="G269" s="251"/>
      <c r="H269" s="251"/>
      <c r="I269" s="251"/>
      <c r="J269" s="80">
        <f ca="1">SUMPRODUCT((Work_Codes!$AC$9:$AO$9=$E269)*(Work_Codes!$AC$12:$AO$24)*(J$161:J$173))</f>
        <v>0</v>
      </c>
      <c r="K269" s="80">
        <f ca="1">SUMPRODUCT((Work_Codes!$AC$9:$AO$9=$E269)*(Work_Codes!$AC$12:$AO$24)*(K$161:K$173))</f>
        <v>0</v>
      </c>
      <c r="L269" s="80">
        <f ca="1">SUMPRODUCT((Work_Codes!$AC$9:$AO$9=$E269)*(Work_Codes!$AC$12:$AO$24)*(L$161:L$173))</f>
        <v>0</v>
      </c>
      <c r="M269" s="80">
        <f ca="1">SUMPRODUCT((Work_Codes!$AC$9:$AO$9=$E269)*(Work_Codes!$AC$12:$AO$24)*(M$161:M$173))</f>
        <v>0</v>
      </c>
      <c r="N269" s="80">
        <f ca="1">SUMPRODUCT((Work_Codes!$AC$9:$AO$9=$E269)*(Work_Codes!$AC$12:$AO$24)*(N$161:N$173))</f>
        <v>0</v>
      </c>
      <c r="O269" s="80">
        <f ca="1">SUMPRODUCT((Work_Codes!$AC$9:$AO$9=$E269)*(Work_Codes!$AC$12:$AO$24)*(O$161:O$173))</f>
        <v>0</v>
      </c>
      <c r="P269" s="80">
        <f ca="1">SUMPRODUCT((Work_Codes!$AC$9:$AO$9=$E269)*(Work_Codes!$AC$12:$AO$24)*(P$161:P$173))</f>
        <v>0</v>
      </c>
      <c r="Q269" s="80">
        <f ca="1">SUMPRODUCT((Work_Codes!$AC$9:$AO$9=$E269)*(Work_Codes!$AC$12:$AO$24)*(Q$161:Q$173))</f>
        <v>0</v>
      </c>
      <c r="R269" s="80">
        <f ca="1">SUMPRODUCT((Work_Codes!$AC$9:$AO$9=$E269)*(Work_Codes!$AC$12:$AO$24)*(R$161:R$173))</f>
        <v>0</v>
      </c>
      <c r="S269" s="80">
        <f ca="1">SUMPRODUCT((Work_Codes!$AC$9:$AO$9=$E269)*(Work_Codes!$AC$12:$AO$24)*(S$161:S$173))</f>
        <v>0</v>
      </c>
      <c r="T269" s="80">
        <f ca="1">SUMPRODUCT((Work_Codes!$AC$9:$AO$9=$E269)*(Work_Codes!$AC$12:$AO$24)*(T$161:T$173))</f>
        <v>0</v>
      </c>
    </row>
    <row r="270" spans="2:20" s="41" customFormat="1" outlineLevel="2">
      <c r="E270" s="251" t="str">
        <f>GC!C65</f>
        <v>Augmentation</v>
      </c>
      <c r="F270" s="251"/>
      <c r="G270" s="251"/>
      <c r="H270" s="251"/>
      <c r="I270" s="251"/>
      <c r="J270" s="80">
        <f ca="1">SUMPRODUCT((Work_Codes!$AC$9:$AO$9=$E270)*(Work_Codes!$AC$12:$AO$24)*(J$161:J$173))</f>
        <v>0</v>
      </c>
      <c r="K270" s="80">
        <f ca="1">SUMPRODUCT((Work_Codes!$AC$9:$AO$9=$E270)*(Work_Codes!$AC$12:$AO$24)*(K$161:K$173))</f>
        <v>0</v>
      </c>
      <c r="L270" s="80">
        <f ca="1">SUMPRODUCT((Work_Codes!$AC$9:$AO$9=$E270)*(Work_Codes!$AC$12:$AO$24)*(L$161:L$173))</f>
        <v>0</v>
      </c>
      <c r="M270" s="80">
        <f ca="1">SUMPRODUCT((Work_Codes!$AC$9:$AO$9=$E270)*(Work_Codes!$AC$12:$AO$24)*(M$161:M$173))</f>
        <v>0</v>
      </c>
      <c r="N270" s="80">
        <f ca="1">SUMPRODUCT((Work_Codes!$AC$9:$AO$9=$E270)*(Work_Codes!$AC$12:$AO$24)*(N$161:N$173))</f>
        <v>0</v>
      </c>
      <c r="O270" s="80">
        <f ca="1">SUMPRODUCT((Work_Codes!$AC$9:$AO$9=$E270)*(Work_Codes!$AC$12:$AO$24)*(O$161:O$173))</f>
        <v>0</v>
      </c>
      <c r="P270" s="80">
        <f ca="1">SUMPRODUCT((Work_Codes!$AC$9:$AO$9=$E270)*(Work_Codes!$AC$12:$AO$24)*(P$161:P$173))</f>
        <v>0</v>
      </c>
      <c r="Q270" s="80">
        <f ca="1">SUMPRODUCT((Work_Codes!$AC$9:$AO$9=$E270)*(Work_Codes!$AC$12:$AO$24)*(Q$161:Q$173))</f>
        <v>0</v>
      </c>
      <c r="R270" s="80">
        <f ca="1">SUMPRODUCT((Work_Codes!$AC$9:$AO$9=$E270)*(Work_Codes!$AC$12:$AO$24)*(R$161:R$173))</f>
        <v>0</v>
      </c>
      <c r="S270" s="80">
        <f ca="1">SUMPRODUCT((Work_Codes!$AC$9:$AO$9=$E270)*(Work_Codes!$AC$12:$AO$24)*(S$161:S$173))</f>
        <v>0</v>
      </c>
      <c r="T270" s="80">
        <f ca="1">SUMPRODUCT((Work_Codes!$AC$9:$AO$9=$E270)*(Work_Codes!$AC$12:$AO$24)*(T$161:T$173))</f>
        <v>0</v>
      </c>
    </row>
    <row r="271" spans="2:20" s="41" customFormat="1" outlineLevel="2">
      <c r="E271" s="251" t="str">
        <f>GC!C66</f>
        <v>IT capex</v>
      </c>
      <c r="F271" s="251"/>
      <c r="G271" s="251"/>
      <c r="H271" s="251"/>
      <c r="I271" s="251"/>
      <c r="J271" s="80">
        <f ca="1">SUMPRODUCT((Work_Codes!$AC$9:$AO$9=$E271)*(Work_Codes!$AC$12:$AO$24)*(J$161:J$173))</f>
        <v>0</v>
      </c>
      <c r="K271" s="80">
        <f ca="1">SUMPRODUCT((Work_Codes!$AC$9:$AO$9=$E271)*(Work_Codes!$AC$12:$AO$24)*(K$161:K$173))</f>
        <v>0</v>
      </c>
      <c r="L271" s="80">
        <f ca="1">SUMPRODUCT((Work_Codes!$AC$9:$AO$9=$E271)*(Work_Codes!$AC$12:$AO$24)*(L$161:L$173))</f>
        <v>0</v>
      </c>
      <c r="M271" s="80">
        <f ca="1">SUMPRODUCT((Work_Codes!$AC$9:$AO$9=$E271)*(Work_Codes!$AC$12:$AO$24)*(M$161:M$173))</f>
        <v>0</v>
      </c>
      <c r="N271" s="80">
        <f ca="1">SUMPRODUCT((Work_Codes!$AC$9:$AO$9=$E271)*(Work_Codes!$AC$12:$AO$24)*(N$161:N$173))</f>
        <v>0</v>
      </c>
      <c r="O271" s="80">
        <f ca="1">SUMPRODUCT((Work_Codes!$AC$9:$AO$9=$E271)*(Work_Codes!$AC$12:$AO$24)*(O$161:O$173))</f>
        <v>0</v>
      </c>
      <c r="P271" s="80">
        <f ca="1">SUMPRODUCT((Work_Codes!$AC$9:$AO$9=$E271)*(Work_Codes!$AC$12:$AO$24)*(P$161:P$173))</f>
        <v>0</v>
      </c>
      <c r="Q271" s="80">
        <f ca="1">SUMPRODUCT((Work_Codes!$AC$9:$AO$9=$E271)*(Work_Codes!$AC$12:$AO$24)*(Q$161:Q$173))</f>
        <v>0</v>
      </c>
      <c r="R271" s="80">
        <f ca="1">SUMPRODUCT((Work_Codes!$AC$9:$AO$9=$E271)*(Work_Codes!$AC$12:$AO$24)*(R$161:R$173))</f>
        <v>0</v>
      </c>
      <c r="S271" s="80">
        <f ca="1">SUMPRODUCT((Work_Codes!$AC$9:$AO$9=$E271)*(Work_Codes!$AC$12:$AO$24)*(S$161:S$173))</f>
        <v>0</v>
      </c>
      <c r="T271" s="80">
        <f ca="1">SUMPRODUCT((Work_Codes!$AC$9:$AO$9=$E271)*(Work_Codes!$AC$12:$AO$24)*(T$161:T$173))</f>
        <v>0</v>
      </c>
    </row>
    <row r="272" spans="2:20" s="41" customFormat="1" outlineLevel="2">
      <c r="E272" s="251" t="str">
        <f>GC!C67</f>
        <v>SCADA</v>
      </c>
      <c r="F272" s="251"/>
      <c r="G272" s="251"/>
      <c r="H272" s="251"/>
      <c r="I272" s="251"/>
      <c r="J272" s="80">
        <f ca="1">SUMPRODUCT((Work_Codes!$AC$9:$AO$9=$E272)*(Work_Codes!$AC$12:$AO$24)*(J$161:J$173))</f>
        <v>0</v>
      </c>
      <c r="K272" s="80">
        <f ca="1">SUMPRODUCT((Work_Codes!$AC$9:$AO$9=$E272)*(Work_Codes!$AC$12:$AO$24)*(K$161:K$173))</f>
        <v>0</v>
      </c>
      <c r="L272" s="80">
        <f ca="1">SUMPRODUCT((Work_Codes!$AC$9:$AO$9=$E272)*(Work_Codes!$AC$12:$AO$24)*(L$161:L$173))</f>
        <v>0</v>
      </c>
      <c r="M272" s="80">
        <f ca="1">SUMPRODUCT((Work_Codes!$AC$9:$AO$9=$E272)*(Work_Codes!$AC$12:$AO$24)*(M$161:M$173))</f>
        <v>0</v>
      </c>
      <c r="N272" s="80">
        <f ca="1">SUMPRODUCT((Work_Codes!$AC$9:$AO$9=$E272)*(Work_Codes!$AC$12:$AO$24)*(N$161:N$173))</f>
        <v>0</v>
      </c>
      <c r="O272" s="80">
        <f ca="1">SUMPRODUCT((Work_Codes!$AC$9:$AO$9=$E272)*(Work_Codes!$AC$12:$AO$24)*(O$161:O$173))</f>
        <v>0</v>
      </c>
      <c r="P272" s="80">
        <f ca="1">SUMPRODUCT((Work_Codes!$AC$9:$AO$9=$E272)*(Work_Codes!$AC$12:$AO$24)*(P$161:P$173))</f>
        <v>0</v>
      </c>
      <c r="Q272" s="80">
        <f ca="1">SUMPRODUCT((Work_Codes!$AC$9:$AO$9=$E272)*(Work_Codes!$AC$12:$AO$24)*(Q$161:Q$173))</f>
        <v>0</v>
      </c>
      <c r="R272" s="80">
        <f ca="1">SUMPRODUCT((Work_Codes!$AC$9:$AO$9=$E272)*(Work_Codes!$AC$12:$AO$24)*(R$161:R$173))</f>
        <v>0</v>
      </c>
      <c r="S272" s="80">
        <f ca="1">SUMPRODUCT((Work_Codes!$AC$9:$AO$9=$E272)*(Work_Codes!$AC$12:$AO$24)*(S$161:S$173))</f>
        <v>0</v>
      </c>
      <c r="T272" s="80">
        <f ca="1">SUMPRODUCT((Work_Codes!$AC$9:$AO$9=$E272)*(Work_Codes!$AC$12:$AO$24)*(T$161:T$173))</f>
        <v>0</v>
      </c>
    </row>
    <row r="273" spans="4:20" s="41" customFormat="1" outlineLevel="2">
      <c r="E273" s="251" t="str">
        <f>GC!C68</f>
        <v>Other</v>
      </c>
      <c r="F273" s="251"/>
      <c r="G273" s="251"/>
      <c r="H273" s="251"/>
      <c r="I273" s="251"/>
      <c r="J273" s="80">
        <f ca="1">SUMPRODUCT((Work_Codes!$AC$9:$AO$9=$E273)*(Work_Codes!$AC$12:$AO$24)*(J$161:J$173))</f>
        <v>0</v>
      </c>
      <c r="K273" s="80">
        <f ca="1">SUMPRODUCT((Work_Codes!$AC$9:$AO$9=$E273)*(Work_Codes!$AC$12:$AO$24)*(K$161:K$173))</f>
        <v>0</v>
      </c>
      <c r="L273" s="80">
        <f ca="1">SUMPRODUCT((Work_Codes!$AC$9:$AO$9=$E273)*(Work_Codes!$AC$12:$AO$24)*(L$161:L$173))</f>
        <v>0</v>
      </c>
      <c r="M273" s="80">
        <f ca="1">SUMPRODUCT((Work_Codes!$AC$9:$AO$9=$E273)*(Work_Codes!$AC$12:$AO$24)*(M$161:M$173))</f>
        <v>0</v>
      </c>
      <c r="N273" s="80">
        <f ca="1">SUMPRODUCT((Work_Codes!$AC$9:$AO$9=$E273)*(Work_Codes!$AC$12:$AO$24)*(N$161:N$173))</f>
        <v>0</v>
      </c>
      <c r="O273" s="80">
        <f ca="1">SUMPRODUCT((Work_Codes!$AC$9:$AO$9=$E273)*(Work_Codes!$AC$12:$AO$24)*(O$161:O$173))</f>
        <v>0</v>
      </c>
      <c r="P273" s="80">
        <f ca="1">SUMPRODUCT((Work_Codes!$AC$9:$AO$9=$E273)*(Work_Codes!$AC$12:$AO$24)*(P$161:P$173))</f>
        <v>0</v>
      </c>
      <c r="Q273" s="80">
        <f ca="1">SUMPRODUCT((Work_Codes!$AC$9:$AO$9=$E273)*(Work_Codes!$AC$12:$AO$24)*(Q$161:Q$173))</f>
        <v>0</v>
      </c>
      <c r="R273" s="80">
        <f ca="1">SUMPRODUCT((Work_Codes!$AC$9:$AO$9=$E273)*(Work_Codes!$AC$12:$AO$24)*(R$161:R$173))</f>
        <v>0</v>
      </c>
      <c r="S273" s="80">
        <f ca="1">SUMPRODUCT((Work_Codes!$AC$9:$AO$9=$E273)*(Work_Codes!$AC$12:$AO$24)*(S$161:S$173))</f>
        <v>0</v>
      </c>
      <c r="T273" s="80">
        <f ca="1">SUMPRODUCT((Work_Codes!$AC$9:$AO$9=$E273)*(Work_Codes!$AC$12:$AO$24)*(T$161:T$173))</f>
        <v>0</v>
      </c>
    </row>
    <row r="274" spans="4:20" s="41" customFormat="1" outlineLevel="2">
      <c r="E274" s="251" t="str">
        <f>GC!C69</f>
        <v>Capitalised Leases</v>
      </c>
      <c r="F274" s="251"/>
      <c r="G274" s="251"/>
      <c r="H274" s="251"/>
      <c r="I274" s="251"/>
      <c r="J274" s="80">
        <f ca="1">SUMPRODUCT((Work_Codes!$AC$9:$AO$9=$E274)*(Work_Codes!$AC$12:$AO$24)*(J$161:J$173))</f>
        <v>0</v>
      </c>
      <c r="K274" s="80">
        <f ca="1">SUMPRODUCT((Work_Codes!$AC$9:$AO$9=$E274)*(Work_Codes!$AC$12:$AO$24)*(K$161:K$173))</f>
        <v>0</v>
      </c>
      <c r="L274" s="80">
        <f ca="1">SUMPRODUCT((Work_Codes!$AC$9:$AO$9=$E274)*(Work_Codes!$AC$12:$AO$24)*(L$161:L$173))</f>
        <v>0</v>
      </c>
      <c r="M274" s="80">
        <f ca="1">SUMPRODUCT((Work_Codes!$AC$9:$AO$9=$E274)*(Work_Codes!$AC$12:$AO$24)*(M$161:M$173))</f>
        <v>0</v>
      </c>
      <c r="N274" s="80">
        <f ca="1">SUMPRODUCT((Work_Codes!$AC$9:$AO$9=$E274)*(Work_Codes!$AC$12:$AO$24)*(N$161:N$173))</f>
        <v>0</v>
      </c>
      <c r="O274" s="80">
        <f ca="1">SUMPRODUCT((Work_Codes!$AC$9:$AO$9=$E274)*(Work_Codes!$AC$12:$AO$24)*(O$161:O$173))</f>
        <v>0</v>
      </c>
      <c r="P274" s="80">
        <f ca="1">SUMPRODUCT((Work_Codes!$AC$9:$AO$9=$E274)*(Work_Codes!$AC$12:$AO$24)*(P$161:P$173))</f>
        <v>0</v>
      </c>
      <c r="Q274" s="80">
        <f ca="1">SUMPRODUCT((Work_Codes!$AC$9:$AO$9=$E274)*(Work_Codes!$AC$12:$AO$24)*(Q$161:Q$173))</f>
        <v>0</v>
      </c>
      <c r="R274" s="80">
        <f ca="1">SUMPRODUCT((Work_Codes!$AC$9:$AO$9=$E274)*(Work_Codes!$AC$12:$AO$24)*(R$161:R$173))</f>
        <v>0</v>
      </c>
      <c r="S274" s="80">
        <f ca="1">SUMPRODUCT((Work_Codes!$AC$9:$AO$9=$E274)*(Work_Codes!$AC$12:$AO$24)*(S$161:S$173))</f>
        <v>0</v>
      </c>
      <c r="T274" s="80">
        <f ca="1">SUMPRODUCT((Work_Codes!$AC$9:$AO$9=$E274)*(Work_Codes!$AC$12:$AO$24)*(T$161:T$173))</f>
        <v>0</v>
      </c>
    </row>
    <row r="275" spans="4:20" s="41" customFormat="1" outlineLevel="2">
      <c r="E275" s="251" t="str">
        <f>GC!C70</f>
        <v>Gas Extensions - Energy for the Regions</v>
      </c>
      <c r="F275" s="251"/>
      <c r="G275" s="251"/>
      <c r="H275" s="251"/>
      <c r="I275" s="251"/>
      <c r="J275" s="80">
        <f ca="1">SUMPRODUCT((Work_Codes!$AC$9:$AO$9=$E275)*(Work_Codes!$AC$12:$AO$24)*(J$161:J$173))</f>
        <v>0</v>
      </c>
      <c r="K275" s="80">
        <f ca="1">SUMPRODUCT((Work_Codes!$AC$9:$AO$9=$E275)*(Work_Codes!$AC$12:$AO$24)*(K$161:K$173))</f>
        <v>0</v>
      </c>
      <c r="L275" s="80">
        <f ca="1">SUMPRODUCT((Work_Codes!$AC$9:$AO$9=$E275)*(Work_Codes!$AC$12:$AO$24)*(L$161:L$173))</f>
        <v>0</v>
      </c>
      <c r="M275" s="80">
        <f ca="1">SUMPRODUCT((Work_Codes!$AC$9:$AO$9=$E275)*(Work_Codes!$AC$12:$AO$24)*(M$161:M$173))</f>
        <v>0</v>
      </c>
      <c r="N275" s="80">
        <f ca="1">SUMPRODUCT((Work_Codes!$AC$9:$AO$9=$E275)*(Work_Codes!$AC$12:$AO$24)*(N$161:N$173))</f>
        <v>0</v>
      </c>
      <c r="O275" s="80">
        <f ca="1">SUMPRODUCT((Work_Codes!$AC$9:$AO$9=$E275)*(Work_Codes!$AC$12:$AO$24)*(O$161:O$173))</f>
        <v>0</v>
      </c>
      <c r="P275" s="80">
        <f ca="1">SUMPRODUCT((Work_Codes!$AC$9:$AO$9=$E275)*(Work_Codes!$AC$12:$AO$24)*(P$161:P$173))</f>
        <v>0</v>
      </c>
      <c r="Q275" s="80">
        <f ca="1">SUMPRODUCT((Work_Codes!$AC$9:$AO$9=$E275)*(Work_Codes!$AC$12:$AO$24)*(Q$161:Q$173))</f>
        <v>0</v>
      </c>
      <c r="R275" s="80">
        <f ca="1">SUMPRODUCT((Work_Codes!$AC$9:$AO$9=$E275)*(Work_Codes!$AC$12:$AO$24)*(R$161:R$173))</f>
        <v>0</v>
      </c>
      <c r="S275" s="80">
        <f ca="1">SUMPRODUCT((Work_Codes!$AC$9:$AO$9=$E275)*(Work_Codes!$AC$12:$AO$24)*(S$161:S$173))</f>
        <v>0</v>
      </c>
      <c r="T275" s="80">
        <f ca="1">SUMPRODUCT((Work_Codes!$AC$9:$AO$9=$E275)*(Work_Codes!$AC$12:$AO$24)*(T$161:T$173))</f>
        <v>0</v>
      </c>
    </row>
    <row r="276" spans="4:20" s="41" customFormat="1" outlineLevel="2">
      <c r="E276" s="251" t="str">
        <f>GC!C71</f>
        <v>Gas Extensions - Other</v>
      </c>
      <c r="F276" s="251"/>
      <c r="G276" s="251"/>
      <c r="H276" s="251"/>
      <c r="I276" s="251"/>
      <c r="J276" s="80">
        <f ca="1">SUMPRODUCT((Work_Codes!$AC$9:$AO$9=$E276)*(Work_Codes!$AC$12:$AO$24)*(J$161:J$173))</f>
        <v>0</v>
      </c>
      <c r="K276" s="80">
        <f ca="1">SUMPRODUCT((Work_Codes!$AC$9:$AO$9=$E276)*(Work_Codes!$AC$12:$AO$24)*(K$161:K$173))</f>
        <v>0</v>
      </c>
      <c r="L276" s="80">
        <f ca="1">SUMPRODUCT((Work_Codes!$AC$9:$AO$9=$E276)*(Work_Codes!$AC$12:$AO$24)*(L$161:L$173))</f>
        <v>0</v>
      </c>
      <c r="M276" s="80">
        <f ca="1">SUMPRODUCT((Work_Codes!$AC$9:$AO$9=$E276)*(Work_Codes!$AC$12:$AO$24)*(M$161:M$173))</f>
        <v>0</v>
      </c>
      <c r="N276" s="80">
        <f ca="1">SUMPRODUCT((Work_Codes!$AC$9:$AO$9=$E276)*(Work_Codes!$AC$12:$AO$24)*(N$161:N$173))</f>
        <v>0</v>
      </c>
      <c r="O276" s="80">
        <f ca="1">SUMPRODUCT((Work_Codes!$AC$9:$AO$9=$E276)*(Work_Codes!$AC$12:$AO$24)*(O$161:O$173))</f>
        <v>0</v>
      </c>
      <c r="P276" s="80">
        <f ca="1">SUMPRODUCT((Work_Codes!$AC$9:$AO$9=$E276)*(Work_Codes!$AC$12:$AO$24)*(P$161:P$173))</f>
        <v>0</v>
      </c>
      <c r="Q276" s="80">
        <f ca="1">SUMPRODUCT((Work_Codes!$AC$9:$AO$9=$E276)*(Work_Codes!$AC$12:$AO$24)*(Q$161:Q$173))</f>
        <v>0</v>
      </c>
      <c r="R276" s="80">
        <f ca="1">SUMPRODUCT((Work_Codes!$AC$9:$AO$9=$E276)*(Work_Codes!$AC$12:$AO$24)*(R$161:R$173))</f>
        <v>0</v>
      </c>
      <c r="S276" s="80">
        <f ca="1">SUMPRODUCT((Work_Codes!$AC$9:$AO$9=$E276)*(Work_Codes!$AC$12:$AO$24)*(S$161:S$173))</f>
        <v>0</v>
      </c>
      <c r="T276" s="80">
        <f ca="1">SUMPRODUCT((Work_Codes!$AC$9:$AO$9=$E276)*(Work_Codes!$AC$12:$AO$24)*(T$161:T$173))</f>
        <v>0</v>
      </c>
    </row>
    <row r="277" spans="4:20" s="41" customFormat="1" outlineLevel="2">
      <c r="E277" s="251" t="str">
        <f>GC!C72</f>
        <v>Customer contributions</v>
      </c>
      <c r="F277" s="251"/>
      <c r="G277" s="251"/>
      <c r="H277" s="251"/>
      <c r="I277" s="251"/>
      <c r="J277" s="80">
        <f ca="1">SUMPRODUCT((Work_Codes!$AC$9:$AO$9=$E277)*(Work_Codes!$AC$12:$AO$24)*(J$161:J$173))</f>
        <v>0</v>
      </c>
      <c r="K277" s="80">
        <f ca="1">SUMPRODUCT((Work_Codes!$AC$9:$AO$9=$E277)*(Work_Codes!$AC$12:$AO$24)*(K$161:K$173))</f>
        <v>0</v>
      </c>
      <c r="L277" s="80">
        <f ca="1">SUMPRODUCT((Work_Codes!$AC$9:$AO$9=$E277)*(Work_Codes!$AC$12:$AO$24)*(L$161:L$173))</f>
        <v>0</v>
      </c>
      <c r="M277" s="80">
        <f ca="1">SUMPRODUCT((Work_Codes!$AC$9:$AO$9=$E277)*(Work_Codes!$AC$12:$AO$24)*(M$161:M$173))</f>
        <v>0</v>
      </c>
      <c r="N277" s="80">
        <f ca="1">SUMPRODUCT((Work_Codes!$AC$9:$AO$9=$E277)*(Work_Codes!$AC$12:$AO$24)*(N$161:N$173))</f>
        <v>0</v>
      </c>
      <c r="O277" s="80">
        <f ca="1">SUMPRODUCT((Work_Codes!$AC$9:$AO$9=$E277)*(Work_Codes!$AC$12:$AO$24)*(O$161:O$173))</f>
        <v>0</v>
      </c>
      <c r="P277" s="80">
        <f ca="1">SUMPRODUCT((Work_Codes!$AC$9:$AO$9=$E277)*(Work_Codes!$AC$12:$AO$24)*(P$161:P$173))</f>
        <v>0</v>
      </c>
      <c r="Q277" s="80">
        <f ca="1">SUMPRODUCT((Work_Codes!$AC$9:$AO$9=$E277)*(Work_Codes!$AC$12:$AO$24)*(Q$161:Q$173))</f>
        <v>0</v>
      </c>
      <c r="R277" s="80">
        <f ca="1">SUMPRODUCT((Work_Codes!$AC$9:$AO$9=$E277)*(Work_Codes!$AC$12:$AO$24)*(R$161:R$173))</f>
        <v>0</v>
      </c>
      <c r="S277" s="80">
        <f ca="1">SUMPRODUCT((Work_Codes!$AC$9:$AO$9=$E277)*(Work_Codes!$AC$12:$AO$24)*(S$161:S$173))</f>
        <v>0</v>
      </c>
      <c r="T277" s="80">
        <f ca="1">SUMPRODUCT((Work_Codes!$AC$9:$AO$9=$E277)*(Work_Codes!$AC$12:$AO$24)*(T$161:T$173))</f>
        <v>0</v>
      </c>
    </row>
    <row r="278" spans="4:20" s="41" customFormat="1" outlineLevel="2">
      <c r="E278" s="251" t="str">
        <f>GC!C73</f>
        <v>Government contributions</v>
      </c>
      <c r="F278" s="251"/>
      <c r="G278" s="251"/>
      <c r="H278" s="251"/>
      <c r="I278" s="251"/>
      <c r="J278" s="80">
        <f ca="1">SUMPRODUCT((Work_Codes!$AC$9:$AO$9=$E278)*(Work_Codes!$AC$12:$AO$24)*(J$161:J$173))</f>
        <v>0</v>
      </c>
      <c r="K278" s="80">
        <f ca="1">SUMPRODUCT((Work_Codes!$AC$9:$AO$9=$E278)*(Work_Codes!$AC$12:$AO$24)*(K$161:K$173))</f>
        <v>0</v>
      </c>
      <c r="L278" s="80">
        <f ca="1">SUMPRODUCT((Work_Codes!$AC$9:$AO$9=$E278)*(Work_Codes!$AC$12:$AO$24)*(L$161:L$173))</f>
        <v>0</v>
      </c>
      <c r="M278" s="80">
        <f ca="1">SUMPRODUCT((Work_Codes!$AC$9:$AO$9=$E278)*(Work_Codes!$AC$12:$AO$24)*(M$161:M$173))</f>
        <v>0</v>
      </c>
      <c r="N278" s="80">
        <f ca="1">SUMPRODUCT((Work_Codes!$AC$9:$AO$9=$E278)*(Work_Codes!$AC$12:$AO$24)*(N$161:N$173))</f>
        <v>0</v>
      </c>
      <c r="O278" s="80">
        <f ca="1">SUMPRODUCT((Work_Codes!$AC$9:$AO$9=$E278)*(Work_Codes!$AC$12:$AO$24)*(O$161:O$173))</f>
        <v>0</v>
      </c>
      <c r="P278" s="80">
        <f ca="1">SUMPRODUCT((Work_Codes!$AC$9:$AO$9=$E278)*(Work_Codes!$AC$12:$AO$24)*(P$161:P$173))</f>
        <v>0</v>
      </c>
      <c r="Q278" s="80">
        <f ca="1">SUMPRODUCT((Work_Codes!$AC$9:$AO$9=$E278)*(Work_Codes!$AC$12:$AO$24)*(Q$161:Q$173))</f>
        <v>0</v>
      </c>
      <c r="R278" s="80">
        <f ca="1">SUMPRODUCT((Work_Codes!$AC$9:$AO$9=$E278)*(Work_Codes!$AC$12:$AO$24)*(R$161:R$173))</f>
        <v>0</v>
      </c>
      <c r="S278" s="80">
        <f ca="1">SUMPRODUCT((Work_Codes!$AC$9:$AO$9=$E278)*(Work_Codes!$AC$12:$AO$24)*(S$161:S$173))</f>
        <v>0</v>
      </c>
      <c r="T278" s="80">
        <f ca="1">SUMPRODUCT((Work_Codes!$AC$9:$AO$9=$E278)*(Work_Codes!$AC$12:$AO$24)*(T$161:T$173))</f>
        <v>0</v>
      </c>
    </row>
    <row r="279" spans="4:20" s="41" customFormat="1" outlineLevel="2">
      <c r="E279" s="250" t="str">
        <f>"Total "&amp;D263</f>
        <v>Total Direct Costs</v>
      </c>
      <c r="F279" s="250"/>
      <c r="G279" s="250"/>
      <c r="H279" s="250"/>
      <c r="I279" s="250"/>
      <c r="J279" s="101">
        <f t="shared" ref="J279:T279" ca="1" si="31">SUM(J265:J278)</f>
        <v>0</v>
      </c>
      <c r="K279" s="101">
        <f t="shared" ca="1" si="31"/>
        <v>0</v>
      </c>
      <c r="L279" s="101">
        <f t="shared" ca="1" si="31"/>
        <v>0</v>
      </c>
      <c r="M279" s="101">
        <f t="shared" ca="1" si="31"/>
        <v>0</v>
      </c>
      <c r="N279" s="101">
        <f t="shared" ca="1" si="31"/>
        <v>17340833.066654302</v>
      </c>
      <c r="O279" s="101">
        <f t="shared" ca="1" si="31"/>
        <v>17302165.411932107</v>
      </c>
      <c r="P279" s="101">
        <f t="shared" ca="1" si="31"/>
        <v>21859323.99478846</v>
      </c>
      <c r="Q279" s="101">
        <f t="shared" ca="1" si="31"/>
        <v>18353838.907977544</v>
      </c>
      <c r="R279" s="101">
        <f t="shared" ca="1" si="31"/>
        <v>13037449.844029896</v>
      </c>
      <c r="S279" s="101">
        <f t="shared" ca="1" si="31"/>
        <v>13749167.788226614</v>
      </c>
      <c r="T279" s="101">
        <f t="shared" ca="1" si="31"/>
        <v>8127603.3899430232</v>
      </c>
    </row>
    <row r="280" spans="4:20" s="41" customFormat="1" outlineLevel="2"/>
    <row r="281" spans="4:20" s="41" customFormat="1" outlineLevel="2">
      <c r="D281" s="50" t="s">
        <v>216</v>
      </c>
    </row>
    <row r="282" spans="4:20" s="41" customFormat="1" ht="5.9" customHeight="1" outlineLevel="2"/>
    <row r="283" spans="4:20" s="41" customFormat="1" outlineLevel="2">
      <c r="E283" s="251" t="str">
        <f>GC!C60</f>
        <v>Mains replacement</v>
      </c>
      <c r="F283" s="251"/>
      <c r="G283" s="251"/>
      <c r="H283" s="251"/>
      <c r="I283" s="251"/>
      <c r="J283" s="80">
        <f ca="1">J265*(1+INDEX(J$35:J$37,MATCH(Work_Codes!$I$6,$D$35:$D$37,0)))</f>
        <v>0</v>
      </c>
      <c r="K283" s="80">
        <f ca="1">K265*(1+INDEX(K$35:K$37,MATCH(Work_Codes!$I$6,$D$35:$D$37,0)))</f>
        <v>0</v>
      </c>
      <c r="L283" s="80">
        <f ca="1">L265*(1+INDEX(L$35:L$37,MATCH(Work_Codes!$I$6,$D$35:$D$37,0)))</f>
        <v>0</v>
      </c>
      <c r="M283" s="80">
        <f ca="1">M265*(1+INDEX(M$35:M$37,MATCH(Work_Codes!$I$6,$D$35:$D$37,0)))</f>
        <v>0</v>
      </c>
      <c r="N283" s="80">
        <f ca="1">N265*(1+INDEX(N$35:N$37,MATCH(Work_Codes!$I$6,$D$35:$D$37,0)))</f>
        <v>17994773.35045718</v>
      </c>
      <c r="O283" s="80">
        <f ca="1">O265*(1+INDEX(O$35:O$37,MATCH(Work_Codes!$I$6,$D$35:$D$37,0)))</f>
        <v>17878050.150082275</v>
      </c>
      <c r="P283" s="80">
        <f ca="1">P265*(1+INDEX(P$35:P$37,MATCH(Work_Codes!$I$6,$D$35:$D$37,0)))</f>
        <v>22444119.068674445</v>
      </c>
      <c r="Q283" s="80">
        <f ca="1">Q265*(1+INDEX(Q$35:Q$37,MATCH(Work_Codes!$I$6,$D$35:$D$37,0)))</f>
        <v>18832150.730028253</v>
      </c>
      <c r="R283" s="80">
        <f ca="1">R265*(1+INDEX(R$35:R$37,MATCH(Work_Codes!$I$6,$D$35:$D$37,0)))</f>
        <v>13387805.311751381</v>
      </c>
      <c r="S283" s="80">
        <f ca="1">S265*(1+INDEX(S$35:S$37,MATCH(Work_Codes!$I$6,$D$35:$D$37,0)))</f>
        <v>14141653.992021855</v>
      </c>
      <c r="T283" s="80">
        <f ca="1">T265*(1+INDEX(T$35:T$37,MATCH(Work_Codes!$I$6,$D$35:$D$37,0)))</f>
        <v>8370784.3572596833</v>
      </c>
    </row>
    <row r="284" spans="4:20" s="41" customFormat="1" outlineLevel="2">
      <c r="E284" s="251" t="str">
        <f>GC!C61</f>
        <v>Residential new customer connections</v>
      </c>
      <c r="F284" s="251"/>
      <c r="G284" s="251"/>
      <c r="H284" s="251"/>
      <c r="I284" s="251"/>
      <c r="J284" s="80">
        <f ca="1">J266*(1+INDEX(J$35:J$37,MATCH(Work_Codes!$I$6,$D$35:$D$37,0)))</f>
        <v>0</v>
      </c>
      <c r="K284" s="80">
        <f ca="1">K266*(1+INDEX(K$35:K$37,MATCH(Work_Codes!$I$6,$D$35:$D$37,0)))</f>
        <v>0</v>
      </c>
      <c r="L284" s="80">
        <f ca="1">L266*(1+INDEX(L$35:L$37,MATCH(Work_Codes!$I$6,$D$35:$D$37,0)))</f>
        <v>0</v>
      </c>
      <c r="M284" s="80">
        <f ca="1">M266*(1+INDEX(M$35:M$37,MATCH(Work_Codes!$I$6,$D$35:$D$37,0)))</f>
        <v>0</v>
      </c>
      <c r="N284" s="80">
        <f ca="1">N266*(1+INDEX(N$35:N$37,MATCH(Work_Codes!$I$6,$D$35:$D$37,0)))</f>
        <v>0</v>
      </c>
      <c r="O284" s="80">
        <f ca="1">O266*(1+INDEX(O$35:O$37,MATCH(Work_Codes!$I$6,$D$35:$D$37,0)))</f>
        <v>0</v>
      </c>
      <c r="P284" s="80">
        <f ca="1">P266*(1+INDEX(P$35:P$37,MATCH(Work_Codes!$I$6,$D$35:$D$37,0)))</f>
        <v>0</v>
      </c>
      <c r="Q284" s="80">
        <f ca="1">Q266*(1+INDEX(Q$35:Q$37,MATCH(Work_Codes!$I$6,$D$35:$D$37,0)))</f>
        <v>0</v>
      </c>
      <c r="R284" s="80">
        <f ca="1">R266*(1+INDEX(R$35:R$37,MATCH(Work_Codes!$I$6,$D$35:$D$37,0)))</f>
        <v>0</v>
      </c>
      <c r="S284" s="80">
        <f ca="1">S266*(1+INDEX(S$35:S$37,MATCH(Work_Codes!$I$6,$D$35:$D$37,0)))</f>
        <v>0</v>
      </c>
      <c r="T284" s="80">
        <f ca="1">T266*(1+INDEX(T$35:T$37,MATCH(Work_Codes!$I$6,$D$35:$D$37,0)))</f>
        <v>0</v>
      </c>
    </row>
    <row r="285" spans="4:20" s="41" customFormat="1" outlineLevel="2">
      <c r="E285" s="251" t="str">
        <f>GC!C62</f>
        <v>Commercial and industrial new customer connections</v>
      </c>
      <c r="F285" s="251"/>
      <c r="G285" s="251"/>
      <c r="H285" s="251"/>
      <c r="I285" s="251"/>
      <c r="J285" s="80">
        <f ca="1">J267*(1+INDEX(J$35:J$37,MATCH(Work_Codes!$I$6,$D$35:$D$37,0)))</f>
        <v>0</v>
      </c>
      <c r="K285" s="80">
        <f ca="1">K267*(1+INDEX(K$35:K$37,MATCH(Work_Codes!$I$6,$D$35:$D$37,0)))</f>
        <v>0</v>
      </c>
      <c r="L285" s="80">
        <f ca="1">L267*(1+INDEX(L$35:L$37,MATCH(Work_Codes!$I$6,$D$35:$D$37,0)))</f>
        <v>0</v>
      </c>
      <c r="M285" s="80">
        <f ca="1">M267*(1+INDEX(M$35:M$37,MATCH(Work_Codes!$I$6,$D$35:$D$37,0)))</f>
        <v>0</v>
      </c>
      <c r="N285" s="80">
        <f ca="1">N267*(1+INDEX(N$35:N$37,MATCH(Work_Codes!$I$6,$D$35:$D$37,0)))</f>
        <v>0</v>
      </c>
      <c r="O285" s="80">
        <f ca="1">O267*(1+INDEX(O$35:O$37,MATCH(Work_Codes!$I$6,$D$35:$D$37,0)))</f>
        <v>0</v>
      </c>
      <c r="P285" s="80">
        <f ca="1">P267*(1+INDEX(P$35:P$37,MATCH(Work_Codes!$I$6,$D$35:$D$37,0)))</f>
        <v>0</v>
      </c>
      <c r="Q285" s="80">
        <f ca="1">Q267*(1+INDEX(Q$35:Q$37,MATCH(Work_Codes!$I$6,$D$35:$D$37,0)))</f>
        <v>0</v>
      </c>
      <c r="R285" s="80">
        <f ca="1">R267*(1+INDEX(R$35:R$37,MATCH(Work_Codes!$I$6,$D$35:$D$37,0)))</f>
        <v>0</v>
      </c>
      <c r="S285" s="80">
        <f ca="1">S267*(1+INDEX(S$35:S$37,MATCH(Work_Codes!$I$6,$D$35:$D$37,0)))</f>
        <v>0</v>
      </c>
      <c r="T285" s="80">
        <f ca="1">T267*(1+INDEX(T$35:T$37,MATCH(Work_Codes!$I$6,$D$35:$D$37,0)))</f>
        <v>0</v>
      </c>
    </row>
    <row r="286" spans="4:20" s="41" customFormat="1" outlineLevel="2">
      <c r="E286" s="251" t="str">
        <f>GC!C63</f>
        <v>Residential meter replacement</v>
      </c>
      <c r="F286" s="251"/>
      <c r="G286" s="251"/>
      <c r="H286" s="251"/>
      <c r="I286" s="251"/>
      <c r="J286" s="80">
        <f ca="1">J268*(1+INDEX(J$35:J$37,MATCH(Work_Codes!$I$6,$D$35:$D$37,0)))</f>
        <v>0</v>
      </c>
      <c r="K286" s="80">
        <f ca="1">K268*(1+INDEX(K$35:K$37,MATCH(Work_Codes!$I$6,$D$35:$D$37,0)))</f>
        <v>0</v>
      </c>
      <c r="L286" s="80">
        <f ca="1">L268*(1+INDEX(L$35:L$37,MATCH(Work_Codes!$I$6,$D$35:$D$37,0)))</f>
        <v>0</v>
      </c>
      <c r="M286" s="80">
        <f ca="1">M268*(1+INDEX(M$35:M$37,MATCH(Work_Codes!$I$6,$D$35:$D$37,0)))</f>
        <v>0</v>
      </c>
      <c r="N286" s="80">
        <f ca="1">N268*(1+INDEX(N$35:N$37,MATCH(Work_Codes!$I$6,$D$35:$D$37,0)))</f>
        <v>0</v>
      </c>
      <c r="O286" s="80">
        <f ca="1">O268*(1+INDEX(O$35:O$37,MATCH(Work_Codes!$I$6,$D$35:$D$37,0)))</f>
        <v>0</v>
      </c>
      <c r="P286" s="80">
        <f ca="1">P268*(1+INDEX(P$35:P$37,MATCH(Work_Codes!$I$6,$D$35:$D$37,0)))</f>
        <v>0</v>
      </c>
      <c r="Q286" s="80">
        <f ca="1">Q268*(1+INDEX(Q$35:Q$37,MATCH(Work_Codes!$I$6,$D$35:$D$37,0)))</f>
        <v>0</v>
      </c>
      <c r="R286" s="80">
        <f ca="1">R268*(1+INDEX(R$35:R$37,MATCH(Work_Codes!$I$6,$D$35:$D$37,0)))</f>
        <v>0</v>
      </c>
      <c r="S286" s="80">
        <f ca="1">S268*(1+INDEX(S$35:S$37,MATCH(Work_Codes!$I$6,$D$35:$D$37,0)))</f>
        <v>0</v>
      </c>
      <c r="T286" s="80">
        <f ca="1">T268*(1+INDEX(T$35:T$37,MATCH(Work_Codes!$I$6,$D$35:$D$37,0)))</f>
        <v>0</v>
      </c>
    </row>
    <row r="287" spans="4:20" s="41" customFormat="1" outlineLevel="2">
      <c r="E287" s="251" t="str">
        <f>GC!C64</f>
        <v>Commercial and industrial meter replacement</v>
      </c>
      <c r="F287" s="251"/>
      <c r="G287" s="251"/>
      <c r="H287" s="251"/>
      <c r="I287" s="251"/>
      <c r="J287" s="80">
        <f ca="1">J269*(1+INDEX(J$35:J$37,MATCH(Work_Codes!$I$6,$D$35:$D$37,0)))</f>
        <v>0</v>
      </c>
      <c r="K287" s="80">
        <f ca="1">K269*(1+INDEX(K$35:K$37,MATCH(Work_Codes!$I$6,$D$35:$D$37,0)))</f>
        <v>0</v>
      </c>
      <c r="L287" s="80">
        <f ca="1">L269*(1+INDEX(L$35:L$37,MATCH(Work_Codes!$I$6,$D$35:$D$37,0)))</f>
        <v>0</v>
      </c>
      <c r="M287" s="80">
        <f ca="1">M269*(1+INDEX(M$35:M$37,MATCH(Work_Codes!$I$6,$D$35:$D$37,0)))</f>
        <v>0</v>
      </c>
      <c r="N287" s="80">
        <f ca="1">N269*(1+INDEX(N$35:N$37,MATCH(Work_Codes!$I$6,$D$35:$D$37,0)))</f>
        <v>0</v>
      </c>
      <c r="O287" s="80">
        <f ca="1">O269*(1+INDEX(O$35:O$37,MATCH(Work_Codes!$I$6,$D$35:$D$37,0)))</f>
        <v>0</v>
      </c>
      <c r="P287" s="80">
        <f ca="1">P269*(1+INDEX(P$35:P$37,MATCH(Work_Codes!$I$6,$D$35:$D$37,0)))</f>
        <v>0</v>
      </c>
      <c r="Q287" s="80">
        <f ca="1">Q269*(1+INDEX(Q$35:Q$37,MATCH(Work_Codes!$I$6,$D$35:$D$37,0)))</f>
        <v>0</v>
      </c>
      <c r="R287" s="80">
        <f ca="1">R269*(1+INDEX(R$35:R$37,MATCH(Work_Codes!$I$6,$D$35:$D$37,0)))</f>
        <v>0</v>
      </c>
      <c r="S287" s="80">
        <f ca="1">S269*(1+INDEX(S$35:S$37,MATCH(Work_Codes!$I$6,$D$35:$D$37,0)))</f>
        <v>0</v>
      </c>
      <c r="T287" s="80">
        <f ca="1">T269*(1+INDEX(T$35:T$37,MATCH(Work_Codes!$I$6,$D$35:$D$37,0)))</f>
        <v>0</v>
      </c>
    </row>
    <row r="288" spans="4:20" s="41" customFormat="1" outlineLevel="2">
      <c r="E288" s="251" t="str">
        <f>GC!C65</f>
        <v>Augmentation</v>
      </c>
      <c r="F288" s="251"/>
      <c r="G288" s="251"/>
      <c r="H288" s="251"/>
      <c r="I288" s="251"/>
      <c r="J288" s="80">
        <f ca="1">J270*(1+INDEX(J$35:J$37,MATCH(Work_Codes!$I$6,$D$35:$D$37,0)))</f>
        <v>0</v>
      </c>
      <c r="K288" s="80">
        <f ca="1">K270*(1+INDEX(K$35:K$37,MATCH(Work_Codes!$I$6,$D$35:$D$37,0)))</f>
        <v>0</v>
      </c>
      <c r="L288" s="80">
        <f ca="1">L270*(1+INDEX(L$35:L$37,MATCH(Work_Codes!$I$6,$D$35:$D$37,0)))</f>
        <v>0</v>
      </c>
      <c r="M288" s="80">
        <f ca="1">M270*(1+INDEX(M$35:M$37,MATCH(Work_Codes!$I$6,$D$35:$D$37,0)))</f>
        <v>0</v>
      </c>
      <c r="N288" s="80">
        <f ca="1">N270*(1+INDEX(N$35:N$37,MATCH(Work_Codes!$I$6,$D$35:$D$37,0)))</f>
        <v>0</v>
      </c>
      <c r="O288" s="80">
        <f ca="1">O270*(1+INDEX(O$35:O$37,MATCH(Work_Codes!$I$6,$D$35:$D$37,0)))</f>
        <v>0</v>
      </c>
      <c r="P288" s="80">
        <f ca="1">P270*(1+INDEX(P$35:P$37,MATCH(Work_Codes!$I$6,$D$35:$D$37,0)))</f>
        <v>0</v>
      </c>
      <c r="Q288" s="80">
        <f ca="1">Q270*(1+INDEX(Q$35:Q$37,MATCH(Work_Codes!$I$6,$D$35:$D$37,0)))</f>
        <v>0</v>
      </c>
      <c r="R288" s="80">
        <f ca="1">R270*(1+INDEX(R$35:R$37,MATCH(Work_Codes!$I$6,$D$35:$D$37,0)))</f>
        <v>0</v>
      </c>
      <c r="S288" s="80">
        <f ca="1">S270*(1+INDEX(S$35:S$37,MATCH(Work_Codes!$I$6,$D$35:$D$37,0)))</f>
        <v>0</v>
      </c>
      <c r="T288" s="80">
        <f ca="1">T270*(1+INDEX(T$35:T$37,MATCH(Work_Codes!$I$6,$D$35:$D$37,0)))</f>
        <v>0</v>
      </c>
    </row>
    <row r="289" spans="4:20" s="41" customFormat="1" outlineLevel="2">
      <c r="E289" s="251" t="str">
        <f>GC!C66</f>
        <v>IT capex</v>
      </c>
      <c r="F289" s="251"/>
      <c r="G289" s="251"/>
      <c r="H289" s="251"/>
      <c r="I289" s="251"/>
      <c r="J289" s="80">
        <f ca="1">J271*(1+INDEX(J$35:J$37,MATCH(Work_Codes!$I$6,$D$35:$D$37,0)))</f>
        <v>0</v>
      </c>
      <c r="K289" s="80">
        <f ca="1">K271*(1+INDEX(K$35:K$37,MATCH(Work_Codes!$I$6,$D$35:$D$37,0)))</f>
        <v>0</v>
      </c>
      <c r="L289" s="80">
        <f ca="1">L271*(1+INDEX(L$35:L$37,MATCH(Work_Codes!$I$6,$D$35:$D$37,0)))</f>
        <v>0</v>
      </c>
      <c r="M289" s="80">
        <f ca="1">M271*(1+INDEX(M$35:M$37,MATCH(Work_Codes!$I$6,$D$35:$D$37,0)))</f>
        <v>0</v>
      </c>
      <c r="N289" s="80">
        <f ca="1">N271*(1+INDEX(N$35:N$37,MATCH(Work_Codes!$I$6,$D$35:$D$37,0)))</f>
        <v>0</v>
      </c>
      <c r="O289" s="80">
        <f ca="1">O271*(1+INDEX(O$35:O$37,MATCH(Work_Codes!$I$6,$D$35:$D$37,0)))</f>
        <v>0</v>
      </c>
      <c r="P289" s="80">
        <f ca="1">P271*(1+INDEX(P$35:P$37,MATCH(Work_Codes!$I$6,$D$35:$D$37,0)))</f>
        <v>0</v>
      </c>
      <c r="Q289" s="80">
        <f ca="1">Q271*(1+INDEX(Q$35:Q$37,MATCH(Work_Codes!$I$6,$D$35:$D$37,0)))</f>
        <v>0</v>
      </c>
      <c r="R289" s="80">
        <f ca="1">R271*(1+INDEX(R$35:R$37,MATCH(Work_Codes!$I$6,$D$35:$D$37,0)))</f>
        <v>0</v>
      </c>
      <c r="S289" s="80">
        <f ca="1">S271*(1+INDEX(S$35:S$37,MATCH(Work_Codes!$I$6,$D$35:$D$37,0)))</f>
        <v>0</v>
      </c>
      <c r="T289" s="80">
        <f ca="1">T271*(1+INDEX(T$35:T$37,MATCH(Work_Codes!$I$6,$D$35:$D$37,0)))</f>
        <v>0</v>
      </c>
    </row>
    <row r="290" spans="4:20" s="41" customFormat="1" outlineLevel="2">
      <c r="E290" s="251" t="str">
        <f>GC!C67</f>
        <v>SCADA</v>
      </c>
      <c r="F290" s="251"/>
      <c r="G290" s="251"/>
      <c r="H290" s="251"/>
      <c r="I290" s="251"/>
      <c r="J290" s="80">
        <f ca="1">J272*(1+INDEX(J$35:J$37,MATCH(Work_Codes!$I$6,$D$35:$D$37,0)))</f>
        <v>0</v>
      </c>
      <c r="K290" s="80">
        <f ca="1">K272*(1+INDEX(K$35:K$37,MATCH(Work_Codes!$I$6,$D$35:$D$37,0)))</f>
        <v>0</v>
      </c>
      <c r="L290" s="80">
        <f ca="1">L272*(1+INDEX(L$35:L$37,MATCH(Work_Codes!$I$6,$D$35:$D$37,0)))</f>
        <v>0</v>
      </c>
      <c r="M290" s="80">
        <f ca="1">M272*(1+INDEX(M$35:M$37,MATCH(Work_Codes!$I$6,$D$35:$D$37,0)))</f>
        <v>0</v>
      </c>
      <c r="N290" s="80">
        <f ca="1">N272*(1+INDEX(N$35:N$37,MATCH(Work_Codes!$I$6,$D$35:$D$37,0)))</f>
        <v>0</v>
      </c>
      <c r="O290" s="80">
        <f ca="1">O272*(1+INDEX(O$35:O$37,MATCH(Work_Codes!$I$6,$D$35:$D$37,0)))</f>
        <v>0</v>
      </c>
      <c r="P290" s="80">
        <f ca="1">P272*(1+INDEX(P$35:P$37,MATCH(Work_Codes!$I$6,$D$35:$D$37,0)))</f>
        <v>0</v>
      </c>
      <c r="Q290" s="80">
        <f ca="1">Q272*(1+INDEX(Q$35:Q$37,MATCH(Work_Codes!$I$6,$D$35:$D$37,0)))</f>
        <v>0</v>
      </c>
      <c r="R290" s="80">
        <f ca="1">R272*(1+INDEX(R$35:R$37,MATCH(Work_Codes!$I$6,$D$35:$D$37,0)))</f>
        <v>0</v>
      </c>
      <c r="S290" s="80">
        <f ca="1">S272*(1+INDEX(S$35:S$37,MATCH(Work_Codes!$I$6,$D$35:$D$37,0)))</f>
        <v>0</v>
      </c>
      <c r="T290" s="80">
        <f ca="1">T272*(1+INDEX(T$35:T$37,MATCH(Work_Codes!$I$6,$D$35:$D$37,0)))</f>
        <v>0</v>
      </c>
    </row>
    <row r="291" spans="4:20" s="41" customFormat="1" outlineLevel="2">
      <c r="E291" s="251" t="str">
        <f>GC!C68</f>
        <v>Other</v>
      </c>
      <c r="F291" s="251"/>
      <c r="G291" s="251"/>
      <c r="H291" s="251"/>
      <c r="I291" s="251"/>
      <c r="J291" s="80">
        <f ca="1">J273*(1+INDEX(J$35:J$37,MATCH(Work_Codes!$I$6,$D$35:$D$37,0)))</f>
        <v>0</v>
      </c>
      <c r="K291" s="80">
        <f ca="1">K273*(1+INDEX(K$35:K$37,MATCH(Work_Codes!$I$6,$D$35:$D$37,0)))</f>
        <v>0</v>
      </c>
      <c r="L291" s="80">
        <f ca="1">L273*(1+INDEX(L$35:L$37,MATCH(Work_Codes!$I$6,$D$35:$D$37,0)))</f>
        <v>0</v>
      </c>
      <c r="M291" s="80">
        <f ca="1">M273*(1+INDEX(M$35:M$37,MATCH(Work_Codes!$I$6,$D$35:$D$37,0)))</f>
        <v>0</v>
      </c>
      <c r="N291" s="80">
        <f ca="1">N273*(1+INDEX(N$35:N$37,MATCH(Work_Codes!$I$6,$D$35:$D$37,0)))</f>
        <v>0</v>
      </c>
      <c r="O291" s="80">
        <f ca="1">O273*(1+INDEX(O$35:O$37,MATCH(Work_Codes!$I$6,$D$35:$D$37,0)))</f>
        <v>0</v>
      </c>
      <c r="P291" s="80">
        <f ca="1">P273*(1+INDEX(P$35:P$37,MATCH(Work_Codes!$I$6,$D$35:$D$37,0)))</f>
        <v>0</v>
      </c>
      <c r="Q291" s="80">
        <f ca="1">Q273*(1+INDEX(Q$35:Q$37,MATCH(Work_Codes!$I$6,$D$35:$D$37,0)))</f>
        <v>0</v>
      </c>
      <c r="R291" s="80">
        <f ca="1">R273*(1+INDEX(R$35:R$37,MATCH(Work_Codes!$I$6,$D$35:$D$37,0)))</f>
        <v>0</v>
      </c>
      <c r="S291" s="80">
        <f ca="1">S273*(1+INDEX(S$35:S$37,MATCH(Work_Codes!$I$6,$D$35:$D$37,0)))</f>
        <v>0</v>
      </c>
      <c r="T291" s="80">
        <f ca="1">T273*(1+INDEX(T$35:T$37,MATCH(Work_Codes!$I$6,$D$35:$D$37,0)))</f>
        <v>0</v>
      </c>
    </row>
    <row r="292" spans="4:20" s="41" customFormat="1" outlineLevel="2">
      <c r="E292" s="251" t="str">
        <f>GC!C69</f>
        <v>Capitalised Leases</v>
      </c>
      <c r="F292" s="251"/>
      <c r="G292" s="251"/>
      <c r="H292" s="251"/>
      <c r="I292" s="251"/>
      <c r="J292" s="80">
        <f ca="1">J274*(1+INDEX(J$35:J$37,MATCH(Work_Codes!$I$6,$D$35:$D$37,0)))</f>
        <v>0</v>
      </c>
      <c r="K292" s="80">
        <f ca="1">K274*(1+INDEX(K$35:K$37,MATCH(Work_Codes!$I$6,$D$35:$D$37,0)))</f>
        <v>0</v>
      </c>
      <c r="L292" s="80">
        <f ca="1">L274*(1+INDEX(L$35:L$37,MATCH(Work_Codes!$I$6,$D$35:$D$37,0)))</f>
        <v>0</v>
      </c>
      <c r="M292" s="80">
        <f ca="1">M274*(1+INDEX(M$35:M$37,MATCH(Work_Codes!$I$6,$D$35:$D$37,0)))</f>
        <v>0</v>
      </c>
      <c r="N292" s="80">
        <f ca="1">N274*(1+INDEX(N$35:N$37,MATCH(Work_Codes!$I$6,$D$35:$D$37,0)))</f>
        <v>0</v>
      </c>
      <c r="O292" s="80">
        <f ca="1">O274*(1+INDEX(O$35:O$37,MATCH(Work_Codes!$I$6,$D$35:$D$37,0)))</f>
        <v>0</v>
      </c>
      <c r="P292" s="80">
        <f ca="1">P274*(1+INDEX(P$35:P$37,MATCH(Work_Codes!$I$6,$D$35:$D$37,0)))</f>
        <v>0</v>
      </c>
      <c r="Q292" s="80">
        <f ca="1">Q274*(1+INDEX(Q$35:Q$37,MATCH(Work_Codes!$I$6,$D$35:$D$37,0)))</f>
        <v>0</v>
      </c>
      <c r="R292" s="80">
        <f ca="1">R274*(1+INDEX(R$35:R$37,MATCH(Work_Codes!$I$6,$D$35:$D$37,0)))</f>
        <v>0</v>
      </c>
      <c r="S292" s="80">
        <f ca="1">S274*(1+INDEX(S$35:S$37,MATCH(Work_Codes!$I$6,$D$35:$D$37,0)))</f>
        <v>0</v>
      </c>
      <c r="T292" s="80">
        <f ca="1">T274*(1+INDEX(T$35:T$37,MATCH(Work_Codes!$I$6,$D$35:$D$37,0)))</f>
        <v>0</v>
      </c>
    </row>
    <row r="293" spans="4:20" s="41" customFormat="1" outlineLevel="2">
      <c r="E293" s="251" t="str">
        <f>GC!C70</f>
        <v>Gas Extensions - Energy for the Regions</v>
      </c>
      <c r="F293" s="251"/>
      <c r="G293" s="251"/>
      <c r="H293" s="251"/>
      <c r="I293" s="251"/>
      <c r="J293" s="80">
        <f ca="1">J275*(1+INDEX(J$35:J$37,MATCH(Work_Codes!$I$6,$D$35:$D$37,0)))</f>
        <v>0</v>
      </c>
      <c r="K293" s="80">
        <f ca="1">K275*(1+INDEX(K$35:K$37,MATCH(Work_Codes!$I$6,$D$35:$D$37,0)))</f>
        <v>0</v>
      </c>
      <c r="L293" s="80">
        <f ca="1">L275*(1+INDEX(L$35:L$37,MATCH(Work_Codes!$I$6,$D$35:$D$37,0)))</f>
        <v>0</v>
      </c>
      <c r="M293" s="80">
        <f ca="1">M275*(1+INDEX(M$35:M$37,MATCH(Work_Codes!$I$6,$D$35:$D$37,0)))</f>
        <v>0</v>
      </c>
      <c r="N293" s="80">
        <f ca="1">N275*(1+INDEX(N$35:N$37,MATCH(Work_Codes!$I$6,$D$35:$D$37,0)))</f>
        <v>0</v>
      </c>
      <c r="O293" s="80">
        <f ca="1">O275*(1+INDEX(O$35:O$37,MATCH(Work_Codes!$I$6,$D$35:$D$37,0)))</f>
        <v>0</v>
      </c>
      <c r="P293" s="80">
        <f ca="1">P275*(1+INDEX(P$35:P$37,MATCH(Work_Codes!$I$6,$D$35:$D$37,0)))</f>
        <v>0</v>
      </c>
      <c r="Q293" s="80">
        <f ca="1">Q275*(1+INDEX(Q$35:Q$37,MATCH(Work_Codes!$I$6,$D$35:$D$37,0)))</f>
        <v>0</v>
      </c>
      <c r="R293" s="80">
        <f ca="1">R275*(1+INDEX(R$35:R$37,MATCH(Work_Codes!$I$6,$D$35:$D$37,0)))</f>
        <v>0</v>
      </c>
      <c r="S293" s="80">
        <f ca="1">S275*(1+INDEX(S$35:S$37,MATCH(Work_Codes!$I$6,$D$35:$D$37,0)))</f>
        <v>0</v>
      </c>
      <c r="T293" s="80">
        <f ca="1">T275*(1+INDEX(T$35:T$37,MATCH(Work_Codes!$I$6,$D$35:$D$37,0)))</f>
        <v>0</v>
      </c>
    </row>
    <row r="294" spans="4:20" s="41" customFormat="1" outlineLevel="2">
      <c r="E294" s="251" t="str">
        <f>GC!C71</f>
        <v>Gas Extensions - Other</v>
      </c>
      <c r="F294" s="251"/>
      <c r="G294" s="251"/>
      <c r="H294" s="251"/>
      <c r="I294" s="251"/>
      <c r="J294" s="80">
        <f ca="1">J276*(1+INDEX(J$35:J$37,MATCH(Work_Codes!$I$6,$D$35:$D$37,0)))</f>
        <v>0</v>
      </c>
      <c r="K294" s="80">
        <f ca="1">K276*(1+INDEX(K$35:K$37,MATCH(Work_Codes!$I$6,$D$35:$D$37,0)))</f>
        <v>0</v>
      </c>
      <c r="L294" s="80">
        <f ca="1">L276*(1+INDEX(L$35:L$37,MATCH(Work_Codes!$I$6,$D$35:$D$37,0)))</f>
        <v>0</v>
      </c>
      <c r="M294" s="80">
        <f ca="1">M276*(1+INDEX(M$35:M$37,MATCH(Work_Codes!$I$6,$D$35:$D$37,0)))</f>
        <v>0</v>
      </c>
      <c r="N294" s="80">
        <f ca="1">N276*(1+INDEX(N$35:N$37,MATCH(Work_Codes!$I$6,$D$35:$D$37,0)))</f>
        <v>0</v>
      </c>
      <c r="O294" s="80">
        <f ca="1">O276*(1+INDEX(O$35:O$37,MATCH(Work_Codes!$I$6,$D$35:$D$37,0)))</f>
        <v>0</v>
      </c>
      <c r="P294" s="80">
        <f ca="1">P276*(1+INDEX(P$35:P$37,MATCH(Work_Codes!$I$6,$D$35:$D$37,0)))</f>
        <v>0</v>
      </c>
      <c r="Q294" s="80">
        <f ca="1">Q276*(1+INDEX(Q$35:Q$37,MATCH(Work_Codes!$I$6,$D$35:$D$37,0)))</f>
        <v>0</v>
      </c>
      <c r="R294" s="80">
        <f ca="1">R276*(1+INDEX(R$35:R$37,MATCH(Work_Codes!$I$6,$D$35:$D$37,0)))</f>
        <v>0</v>
      </c>
      <c r="S294" s="80">
        <f ca="1">S276*(1+INDEX(S$35:S$37,MATCH(Work_Codes!$I$6,$D$35:$D$37,0)))</f>
        <v>0</v>
      </c>
      <c r="T294" s="80">
        <f ca="1">T276*(1+INDEX(T$35:T$37,MATCH(Work_Codes!$I$6,$D$35:$D$37,0)))</f>
        <v>0</v>
      </c>
    </row>
    <row r="295" spans="4:20" s="41" customFormat="1" outlineLevel="2">
      <c r="E295" s="251" t="str">
        <f>GC!C72</f>
        <v>Customer contributions</v>
      </c>
      <c r="F295" s="251"/>
      <c r="G295" s="251"/>
      <c r="H295" s="251"/>
      <c r="I295" s="251"/>
      <c r="J295" s="80">
        <f ca="1">J277*(1+INDEX(J$35:J$37,MATCH(Work_Codes!$I$6,$D$35:$D$37,0)))</f>
        <v>0</v>
      </c>
      <c r="K295" s="80">
        <f ca="1">K277*(1+INDEX(K$35:K$37,MATCH(Work_Codes!$I$6,$D$35:$D$37,0)))</f>
        <v>0</v>
      </c>
      <c r="L295" s="80">
        <f ca="1">L277*(1+INDEX(L$35:L$37,MATCH(Work_Codes!$I$6,$D$35:$D$37,0)))</f>
        <v>0</v>
      </c>
      <c r="M295" s="80">
        <f ca="1">M277*(1+INDEX(M$35:M$37,MATCH(Work_Codes!$I$6,$D$35:$D$37,0)))</f>
        <v>0</v>
      </c>
      <c r="N295" s="80">
        <f ca="1">N277*(1+INDEX(N$35:N$37,MATCH(Work_Codes!$I$6,$D$35:$D$37,0)))</f>
        <v>0</v>
      </c>
      <c r="O295" s="80">
        <f ca="1">O277*(1+INDEX(O$35:O$37,MATCH(Work_Codes!$I$6,$D$35:$D$37,0)))</f>
        <v>0</v>
      </c>
      <c r="P295" s="80">
        <f ca="1">P277*(1+INDEX(P$35:P$37,MATCH(Work_Codes!$I$6,$D$35:$D$37,0)))</f>
        <v>0</v>
      </c>
      <c r="Q295" s="80">
        <f ca="1">Q277*(1+INDEX(Q$35:Q$37,MATCH(Work_Codes!$I$6,$D$35:$D$37,0)))</f>
        <v>0</v>
      </c>
      <c r="R295" s="80">
        <f ca="1">R277*(1+INDEX(R$35:R$37,MATCH(Work_Codes!$I$6,$D$35:$D$37,0)))</f>
        <v>0</v>
      </c>
      <c r="S295" s="80">
        <f ca="1">S277*(1+INDEX(S$35:S$37,MATCH(Work_Codes!$I$6,$D$35:$D$37,0)))</f>
        <v>0</v>
      </c>
      <c r="T295" s="80">
        <f ca="1">T277*(1+INDEX(T$35:T$37,MATCH(Work_Codes!$I$6,$D$35:$D$37,0)))</f>
        <v>0</v>
      </c>
    </row>
    <row r="296" spans="4:20" s="41" customFormat="1" outlineLevel="2">
      <c r="E296" s="251" t="str">
        <f>GC!C73</f>
        <v>Government contributions</v>
      </c>
      <c r="F296" s="251"/>
      <c r="G296" s="251"/>
      <c r="H296" s="251"/>
      <c r="I296" s="251"/>
      <c r="J296" s="80">
        <f ca="1">J278*(1+INDEX(J$35:J$37,MATCH(Work_Codes!$I$6,$D$35:$D$37,0)))</f>
        <v>0</v>
      </c>
      <c r="K296" s="80">
        <f ca="1">K278*(1+INDEX(K$35:K$37,MATCH(Work_Codes!$I$6,$D$35:$D$37,0)))</f>
        <v>0</v>
      </c>
      <c r="L296" s="80">
        <f ca="1">L278*(1+INDEX(L$35:L$37,MATCH(Work_Codes!$I$6,$D$35:$D$37,0)))</f>
        <v>0</v>
      </c>
      <c r="M296" s="80">
        <f ca="1">M278*(1+INDEX(M$35:M$37,MATCH(Work_Codes!$I$6,$D$35:$D$37,0)))</f>
        <v>0</v>
      </c>
      <c r="N296" s="80">
        <f ca="1">N278*(1+INDEX(N$35:N$37,MATCH(Work_Codes!$I$6,$D$35:$D$37,0)))</f>
        <v>0</v>
      </c>
      <c r="O296" s="80">
        <f ca="1">O278*(1+INDEX(O$35:O$37,MATCH(Work_Codes!$I$6,$D$35:$D$37,0)))</f>
        <v>0</v>
      </c>
      <c r="P296" s="80">
        <f ca="1">P278*(1+INDEX(P$35:P$37,MATCH(Work_Codes!$I$6,$D$35:$D$37,0)))</f>
        <v>0</v>
      </c>
      <c r="Q296" s="80">
        <f ca="1">Q278*(1+INDEX(Q$35:Q$37,MATCH(Work_Codes!$I$6,$D$35:$D$37,0)))</f>
        <v>0</v>
      </c>
      <c r="R296" s="80">
        <f ca="1">R278*(1+INDEX(R$35:R$37,MATCH(Work_Codes!$I$6,$D$35:$D$37,0)))</f>
        <v>0</v>
      </c>
      <c r="S296" s="80">
        <f ca="1">S278*(1+INDEX(S$35:S$37,MATCH(Work_Codes!$I$6,$D$35:$D$37,0)))</f>
        <v>0</v>
      </c>
      <c r="T296" s="80">
        <f ca="1">T278*(1+INDEX(T$35:T$37,MATCH(Work_Codes!$I$6,$D$35:$D$37,0)))</f>
        <v>0</v>
      </c>
    </row>
    <row r="297" spans="4:20" s="41" customFormat="1" outlineLevel="2">
      <c r="E297" s="250" t="str">
        <f>"Total "&amp;D281</f>
        <v>Total Direct Costs + Overheads</v>
      </c>
      <c r="F297" s="250"/>
      <c r="G297" s="250"/>
      <c r="H297" s="250"/>
      <c r="I297" s="250"/>
      <c r="J297" s="101">
        <f t="shared" ref="J297:T297" ca="1" si="32">SUM(J283:J296)</f>
        <v>0</v>
      </c>
      <c r="K297" s="101">
        <f t="shared" ca="1" si="32"/>
        <v>0</v>
      </c>
      <c r="L297" s="101">
        <f t="shared" ca="1" si="32"/>
        <v>0</v>
      </c>
      <c r="M297" s="101">
        <f t="shared" ca="1" si="32"/>
        <v>0</v>
      </c>
      <c r="N297" s="101">
        <f t="shared" ca="1" si="32"/>
        <v>17994773.35045718</v>
      </c>
      <c r="O297" s="101">
        <f t="shared" ca="1" si="32"/>
        <v>17878050.150082275</v>
      </c>
      <c r="P297" s="101">
        <f t="shared" ca="1" si="32"/>
        <v>22444119.068674445</v>
      </c>
      <c r="Q297" s="101">
        <f t="shared" ca="1" si="32"/>
        <v>18832150.730028253</v>
      </c>
      <c r="R297" s="101">
        <f t="shared" ca="1" si="32"/>
        <v>13387805.311751381</v>
      </c>
      <c r="S297" s="101">
        <f t="shared" ca="1" si="32"/>
        <v>14141653.992021855</v>
      </c>
      <c r="T297" s="101">
        <f t="shared" ca="1" si="32"/>
        <v>8370784.3572596833</v>
      </c>
    </row>
    <row r="298" spans="4:20" outlineLevel="2"/>
    <row r="299" spans="4:20" outlineLevel="2">
      <c r="D299" s="37" t="s">
        <v>367</v>
      </c>
    </row>
    <row r="300" spans="4:20" ht="5.75" customHeight="1" outlineLevel="2"/>
    <row r="301" spans="4:20" outlineLevel="2">
      <c r="E301" s="247" t="str">
        <f>GC!C60</f>
        <v>Mains replacement</v>
      </c>
      <c r="F301" s="247"/>
      <c r="G301" s="247"/>
      <c r="H301" s="247"/>
      <c r="I301" s="247"/>
      <c r="J301" s="81">
        <f ca="1">SUMPRODUCT((Work_Codes!$AC$9:$AO$9=$E301)*(Work_Codes!$AC$28:$AO$28)*(J$98:J$98))</f>
        <v>0</v>
      </c>
      <c r="K301" s="81">
        <f ca="1">SUMPRODUCT((Work_Codes!$AC$9:$AO$9=$E301)*(Work_Codes!$AC$28:$AO$28)*(K$98:K$98))</f>
        <v>0</v>
      </c>
      <c r="L301" s="81">
        <f ca="1">SUMPRODUCT((Work_Codes!$AC$9:$AO$9=$E301)*(Work_Codes!$AC$28:$AO$28)*(L$98:L$98))</f>
        <v>0</v>
      </c>
      <c r="M301" s="81">
        <f ca="1">SUMPRODUCT((Work_Codes!$AC$9:$AO$9=$E301)*(Work_Codes!$AC$28:$AO$28)*(M$98:M$98))</f>
        <v>0</v>
      </c>
      <c r="N301" s="81">
        <f ca="1">SUMPRODUCT((Work_Codes!$AC$9:$AO$9=$E301)*(Work_Codes!$AC$28:$AO$28)*(N$98:N$98))</f>
        <v>0</v>
      </c>
      <c r="O301" s="81">
        <f ca="1">SUMPRODUCT((Work_Codes!$AC$9:$AO$9=$E301)*(Work_Codes!$AC$28:$AO$28)*(O$98:O$98))</f>
        <v>0</v>
      </c>
      <c r="P301" s="81">
        <f ca="1">SUMPRODUCT((Work_Codes!$AC$9:$AO$9=$E301)*(Work_Codes!$AC$28:$AO$28)*(P$98:P$98))</f>
        <v>0</v>
      </c>
      <c r="Q301" s="81">
        <f ca="1">SUMPRODUCT((Work_Codes!$AC$9:$AO$9=$E301)*(Work_Codes!$AC$28:$AO$28)*(Q$98:Q$98))</f>
        <v>0</v>
      </c>
      <c r="R301" s="81">
        <f ca="1">SUMPRODUCT((Work_Codes!$AC$9:$AO$9=$E301)*(Work_Codes!$AC$28:$AO$28)*(R$98:R$98))</f>
        <v>0</v>
      </c>
      <c r="S301" s="81">
        <f ca="1">SUMPRODUCT((Work_Codes!$AC$9:$AO$9=$E301)*(Work_Codes!$AC$28:$AO$28)*(S$98:S$98))</f>
        <v>0</v>
      </c>
      <c r="T301" s="81">
        <f ca="1">SUMPRODUCT((Work_Codes!$AC$9:$AO$9=$E301)*(Work_Codes!$AC$28:$AO$28)*(T$98:T$98))</f>
        <v>0</v>
      </c>
    </row>
    <row r="302" spans="4:20" outlineLevel="2">
      <c r="E302" s="247" t="str">
        <f>GC!C61</f>
        <v>Residential new customer connections</v>
      </c>
      <c r="F302" s="247"/>
      <c r="G302" s="247"/>
      <c r="H302" s="247"/>
      <c r="I302" s="247"/>
      <c r="J302" s="81">
        <f ca="1">SUMPRODUCT((Work_Codes!$AC$9:$AO$9=$E302)*(Work_Codes!$AC$28:$AO$28)*(J$98:J$98))</f>
        <v>0</v>
      </c>
      <c r="K302" s="81">
        <f ca="1">SUMPRODUCT((Work_Codes!$AC$9:$AO$9=$E302)*(Work_Codes!$AC$28:$AO$28)*(K$98:K$98))</f>
        <v>0</v>
      </c>
      <c r="L302" s="81">
        <f ca="1">SUMPRODUCT((Work_Codes!$AC$9:$AO$9=$E302)*(Work_Codes!$AC$28:$AO$28)*(L$98:L$98))</f>
        <v>0</v>
      </c>
      <c r="M302" s="81">
        <f ca="1">SUMPRODUCT((Work_Codes!$AC$9:$AO$9=$E302)*(Work_Codes!$AC$28:$AO$28)*(M$98:M$98))</f>
        <v>0</v>
      </c>
      <c r="N302" s="81">
        <f ca="1">SUMPRODUCT((Work_Codes!$AC$9:$AO$9=$E302)*(Work_Codes!$AC$28:$AO$28)*(N$98:N$98))</f>
        <v>0</v>
      </c>
      <c r="O302" s="81">
        <f ca="1">SUMPRODUCT((Work_Codes!$AC$9:$AO$9=$E302)*(Work_Codes!$AC$28:$AO$28)*(O$98:O$98))</f>
        <v>0</v>
      </c>
      <c r="P302" s="81">
        <f ca="1">SUMPRODUCT((Work_Codes!$AC$9:$AO$9=$E302)*(Work_Codes!$AC$28:$AO$28)*(P$98:P$98))</f>
        <v>0</v>
      </c>
      <c r="Q302" s="81">
        <f ca="1">SUMPRODUCT((Work_Codes!$AC$9:$AO$9=$E302)*(Work_Codes!$AC$28:$AO$28)*(Q$98:Q$98))</f>
        <v>0</v>
      </c>
      <c r="R302" s="81">
        <f ca="1">SUMPRODUCT((Work_Codes!$AC$9:$AO$9=$E302)*(Work_Codes!$AC$28:$AO$28)*(R$98:R$98))</f>
        <v>0</v>
      </c>
      <c r="S302" s="81">
        <f ca="1">SUMPRODUCT((Work_Codes!$AC$9:$AO$9=$E302)*(Work_Codes!$AC$28:$AO$28)*(S$98:S$98))</f>
        <v>0</v>
      </c>
      <c r="T302" s="81">
        <f ca="1">SUMPRODUCT((Work_Codes!$AC$9:$AO$9=$E302)*(Work_Codes!$AC$28:$AO$28)*(T$98:T$98))</f>
        <v>0</v>
      </c>
    </row>
    <row r="303" spans="4:20" outlineLevel="2">
      <c r="E303" s="247" t="str">
        <f>GC!C62</f>
        <v>Commercial and industrial new customer connections</v>
      </c>
      <c r="F303" s="247"/>
      <c r="G303" s="247"/>
      <c r="H303" s="247"/>
      <c r="I303" s="247"/>
      <c r="J303" s="81">
        <f ca="1">SUMPRODUCT((Work_Codes!$AC$9:$AO$9=$E303)*(Work_Codes!$AC$28:$AO$28)*(J$98:J$98))</f>
        <v>0</v>
      </c>
      <c r="K303" s="81">
        <f ca="1">SUMPRODUCT((Work_Codes!$AC$9:$AO$9=$E303)*(Work_Codes!$AC$28:$AO$28)*(K$98:K$98))</f>
        <v>0</v>
      </c>
      <c r="L303" s="81">
        <f ca="1">SUMPRODUCT((Work_Codes!$AC$9:$AO$9=$E303)*(Work_Codes!$AC$28:$AO$28)*(L$98:L$98))</f>
        <v>0</v>
      </c>
      <c r="M303" s="81">
        <f ca="1">SUMPRODUCT((Work_Codes!$AC$9:$AO$9=$E303)*(Work_Codes!$AC$28:$AO$28)*(M$98:M$98))</f>
        <v>0</v>
      </c>
      <c r="N303" s="81">
        <f ca="1">SUMPRODUCT((Work_Codes!$AC$9:$AO$9=$E303)*(Work_Codes!$AC$28:$AO$28)*(N$98:N$98))</f>
        <v>0</v>
      </c>
      <c r="O303" s="81">
        <f ca="1">SUMPRODUCT((Work_Codes!$AC$9:$AO$9=$E303)*(Work_Codes!$AC$28:$AO$28)*(O$98:O$98))</f>
        <v>0</v>
      </c>
      <c r="P303" s="81">
        <f ca="1">SUMPRODUCT((Work_Codes!$AC$9:$AO$9=$E303)*(Work_Codes!$AC$28:$AO$28)*(P$98:P$98))</f>
        <v>0</v>
      </c>
      <c r="Q303" s="81">
        <f ca="1">SUMPRODUCT((Work_Codes!$AC$9:$AO$9=$E303)*(Work_Codes!$AC$28:$AO$28)*(Q$98:Q$98))</f>
        <v>0</v>
      </c>
      <c r="R303" s="81">
        <f ca="1">SUMPRODUCT((Work_Codes!$AC$9:$AO$9=$E303)*(Work_Codes!$AC$28:$AO$28)*(R$98:R$98))</f>
        <v>0</v>
      </c>
      <c r="S303" s="81">
        <f ca="1">SUMPRODUCT((Work_Codes!$AC$9:$AO$9=$E303)*(Work_Codes!$AC$28:$AO$28)*(S$98:S$98))</f>
        <v>0</v>
      </c>
      <c r="T303" s="81">
        <f ca="1">SUMPRODUCT((Work_Codes!$AC$9:$AO$9=$E303)*(Work_Codes!$AC$28:$AO$28)*(T$98:T$98))</f>
        <v>0</v>
      </c>
    </row>
    <row r="304" spans="4:20" outlineLevel="2">
      <c r="E304" s="247" t="str">
        <f>GC!C63</f>
        <v>Residential meter replacement</v>
      </c>
      <c r="F304" s="247"/>
      <c r="G304" s="247"/>
      <c r="H304" s="247"/>
      <c r="I304" s="247"/>
      <c r="J304" s="81">
        <f ca="1">SUMPRODUCT((Work_Codes!$AC$9:$AO$9=$E304)*(Work_Codes!$AC$28:$AO$28)*(J$98:J$98))</f>
        <v>0</v>
      </c>
      <c r="K304" s="81">
        <f ca="1">SUMPRODUCT((Work_Codes!$AC$9:$AO$9=$E304)*(Work_Codes!$AC$28:$AO$28)*(K$98:K$98))</f>
        <v>0</v>
      </c>
      <c r="L304" s="81">
        <f ca="1">SUMPRODUCT((Work_Codes!$AC$9:$AO$9=$E304)*(Work_Codes!$AC$28:$AO$28)*(L$98:L$98))</f>
        <v>0</v>
      </c>
      <c r="M304" s="81">
        <f ca="1">SUMPRODUCT((Work_Codes!$AC$9:$AO$9=$E304)*(Work_Codes!$AC$28:$AO$28)*(M$98:M$98))</f>
        <v>0</v>
      </c>
      <c r="N304" s="81">
        <f ca="1">SUMPRODUCT((Work_Codes!$AC$9:$AO$9=$E304)*(Work_Codes!$AC$28:$AO$28)*(N$98:N$98))</f>
        <v>0</v>
      </c>
      <c r="O304" s="81">
        <f ca="1">SUMPRODUCT((Work_Codes!$AC$9:$AO$9=$E304)*(Work_Codes!$AC$28:$AO$28)*(O$98:O$98))</f>
        <v>0</v>
      </c>
      <c r="P304" s="81">
        <f ca="1">SUMPRODUCT((Work_Codes!$AC$9:$AO$9=$E304)*(Work_Codes!$AC$28:$AO$28)*(P$98:P$98))</f>
        <v>0</v>
      </c>
      <c r="Q304" s="81">
        <f ca="1">SUMPRODUCT((Work_Codes!$AC$9:$AO$9=$E304)*(Work_Codes!$AC$28:$AO$28)*(Q$98:Q$98))</f>
        <v>0</v>
      </c>
      <c r="R304" s="81">
        <f ca="1">SUMPRODUCT((Work_Codes!$AC$9:$AO$9=$E304)*(Work_Codes!$AC$28:$AO$28)*(R$98:R$98))</f>
        <v>0</v>
      </c>
      <c r="S304" s="81">
        <f ca="1">SUMPRODUCT((Work_Codes!$AC$9:$AO$9=$E304)*(Work_Codes!$AC$28:$AO$28)*(S$98:S$98))</f>
        <v>0</v>
      </c>
      <c r="T304" s="81">
        <f ca="1">SUMPRODUCT((Work_Codes!$AC$9:$AO$9=$E304)*(Work_Codes!$AC$28:$AO$28)*(T$98:T$98))</f>
        <v>0</v>
      </c>
    </row>
    <row r="305" spans="2:20" outlineLevel="2">
      <c r="E305" s="247" t="str">
        <f>GC!C64</f>
        <v>Commercial and industrial meter replacement</v>
      </c>
      <c r="F305" s="247"/>
      <c r="G305" s="247"/>
      <c r="H305" s="247"/>
      <c r="I305" s="247"/>
      <c r="J305" s="81">
        <f ca="1">SUMPRODUCT((Work_Codes!$AC$9:$AO$9=$E305)*(Work_Codes!$AC$28:$AO$28)*(J$98:J$98))</f>
        <v>0</v>
      </c>
      <c r="K305" s="81">
        <f ca="1">SUMPRODUCT((Work_Codes!$AC$9:$AO$9=$E305)*(Work_Codes!$AC$28:$AO$28)*(K$98:K$98))</f>
        <v>0</v>
      </c>
      <c r="L305" s="81">
        <f ca="1">SUMPRODUCT((Work_Codes!$AC$9:$AO$9=$E305)*(Work_Codes!$AC$28:$AO$28)*(L$98:L$98))</f>
        <v>0</v>
      </c>
      <c r="M305" s="81">
        <f ca="1">SUMPRODUCT((Work_Codes!$AC$9:$AO$9=$E305)*(Work_Codes!$AC$28:$AO$28)*(M$98:M$98))</f>
        <v>0</v>
      </c>
      <c r="N305" s="81">
        <f ca="1">SUMPRODUCT((Work_Codes!$AC$9:$AO$9=$E305)*(Work_Codes!$AC$28:$AO$28)*(N$98:N$98))</f>
        <v>0</v>
      </c>
      <c r="O305" s="81">
        <f ca="1">SUMPRODUCT((Work_Codes!$AC$9:$AO$9=$E305)*(Work_Codes!$AC$28:$AO$28)*(O$98:O$98))</f>
        <v>0</v>
      </c>
      <c r="P305" s="81">
        <f ca="1">SUMPRODUCT((Work_Codes!$AC$9:$AO$9=$E305)*(Work_Codes!$AC$28:$AO$28)*(P$98:P$98))</f>
        <v>0</v>
      </c>
      <c r="Q305" s="81">
        <f ca="1">SUMPRODUCT((Work_Codes!$AC$9:$AO$9=$E305)*(Work_Codes!$AC$28:$AO$28)*(Q$98:Q$98))</f>
        <v>0</v>
      </c>
      <c r="R305" s="81">
        <f ca="1">SUMPRODUCT((Work_Codes!$AC$9:$AO$9=$E305)*(Work_Codes!$AC$28:$AO$28)*(R$98:R$98))</f>
        <v>0</v>
      </c>
      <c r="S305" s="81">
        <f ca="1">SUMPRODUCT((Work_Codes!$AC$9:$AO$9=$E305)*(Work_Codes!$AC$28:$AO$28)*(S$98:S$98))</f>
        <v>0</v>
      </c>
      <c r="T305" s="81">
        <f ca="1">SUMPRODUCT((Work_Codes!$AC$9:$AO$9=$E305)*(Work_Codes!$AC$28:$AO$28)*(T$98:T$98))</f>
        <v>0</v>
      </c>
    </row>
    <row r="306" spans="2:20" outlineLevel="2">
      <c r="E306" s="247" t="str">
        <f>GC!C65</f>
        <v>Augmentation</v>
      </c>
      <c r="F306" s="247"/>
      <c r="G306" s="247"/>
      <c r="H306" s="247"/>
      <c r="I306" s="247"/>
      <c r="J306" s="81">
        <f ca="1">SUMPRODUCT((Work_Codes!$AC$9:$AO$9=$E306)*(Work_Codes!$AC$28:$AO$28)*(J$98:J$98))</f>
        <v>0</v>
      </c>
      <c r="K306" s="81">
        <f ca="1">SUMPRODUCT((Work_Codes!$AC$9:$AO$9=$E306)*(Work_Codes!$AC$28:$AO$28)*(K$98:K$98))</f>
        <v>0</v>
      </c>
      <c r="L306" s="81">
        <f ca="1">SUMPRODUCT((Work_Codes!$AC$9:$AO$9=$E306)*(Work_Codes!$AC$28:$AO$28)*(L$98:L$98))</f>
        <v>0</v>
      </c>
      <c r="M306" s="81">
        <f ca="1">SUMPRODUCT((Work_Codes!$AC$9:$AO$9=$E306)*(Work_Codes!$AC$28:$AO$28)*(M$98:M$98))</f>
        <v>0</v>
      </c>
      <c r="N306" s="81">
        <f ca="1">SUMPRODUCT((Work_Codes!$AC$9:$AO$9=$E306)*(Work_Codes!$AC$28:$AO$28)*(N$98:N$98))</f>
        <v>0</v>
      </c>
      <c r="O306" s="81">
        <f ca="1">SUMPRODUCT((Work_Codes!$AC$9:$AO$9=$E306)*(Work_Codes!$AC$28:$AO$28)*(O$98:O$98))</f>
        <v>0</v>
      </c>
      <c r="P306" s="81">
        <f ca="1">SUMPRODUCT((Work_Codes!$AC$9:$AO$9=$E306)*(Work_Codes!$AC$28:$AO$28)*(P$98:P$98))</f>
        <v>0</v>
      </c>
      <c r="Q306" s="81">
        <f ca="1">SUMPRODUCT((Work_Codes!$AC$9:$AO$9=$E306)*(Work_Codes!$AC$28:$AO$28)*(Q$98:Q$98))</f>
        <v>0</v>
      </c>
      <c r="R306" s="81">
        <f ca="1">SUMPRODUCT((Work_Codes!$AC$9:$AO$9=$E306)*(Work_Codes!$AC$28:$AO$28)*(R$98:R$98))</f>
        <v>0</v>
      </c>
      <c r="S306" s="81">
        <f ca="1">SUMPRODUCT((Work_Codes!$AC$9:$AO$9=$E306)*(Work_Codes!$AC$28:$AO$28)*(S$98:S$98))</f>
        <v>0</v>
      </c>
      <c r="T306" s="81">
        <f ca="1">SUMPRODUCT((Work_Codes!$AC$9:$AO$9=$E306)*(Work_Codes!$AC$28:$AO$28)*(T$98:T$98))</f>
        <v>0</v>
      </c>
    </row>
    <row r="307" spans="2:20" outlineLevel="2">
      <c r="E307" s="247" t="str">
        <f>GC!C66</f>
        <v>IT capex</v>
      </c>
      <c r="F307" s="247"/>
      <c r="G307" s="247"/>
      <c r="H307" s="247"/>
      <c r="I307" s="247"/>
      <c r="J307" s="81">
        <f ca="1">SUMPRODUCT((Work_Codes!$AC$9:$AO$9=$E307)*(Work_Codes!$AC$28:$AO$28)*(J$98:J$98))</f>
        <v>0</v>
      </c>
      <c r="K307" s="81">
        <f ca="1">SUMPRODUCT((Work_Codes!$AC$9:$AO$9=$E307)*(Work_Codes!$AC$28:$AO$28)*(K$98:K$98))</f>
        <v>0</v>
      </c>
      <c r="L307" s="81">
        <f ca="1">SUMPRODUCT((Work_Codes!$AC$9:$AO$9=$E307)*(Work_Codes!$AC$28:$AO$28)*(L$98:L$98))</f>
        <v>0</v>
      </c>
      <c r="M307" s="81">
        <f ca="1">SUMPRODUCT((Work_Codes!$AC$9:$AO$9=$E307)*(Work_Codes!$AC$28:$AO$28)*(M$98:M$98))</f>
        <v>0</v>
      </c>
      <c r="N307" s="81">
        <f ca="1">SUMPRODUCT((Work_Codes!$AC$9:$AO$9=$E307)*(Work_Codes!$AC$28:$AO$28)*(N$98:N$98))</f>
        <v>0</v>
      </c>
      <c r="O307" s="81">
        <f ca="1">SUMPRODUCT((Work_Codes!$AC$9:$AO$9=$E307)*(Work_Codes!$AC$28:$AO$28)*(O$98:O$98))</f>
        <v>0</v>
      </c>
      <c r="P307" s="81">
        <f ca="1">SUMPRODUCT((Work_Codes!$AC$9:$AO$9=$E307)*(Work_Codes!$AC$28:$AO$28)*(P$98:P$98))</f>
        <v>0</v>
      </c>
      <c r="Q307" s="81">
        <f ca="1">SUMPRODUCT((Work_Codes!$AC$9:$AO$9=$E307)*(Work_Codes!$AC$28:$AO$28)*(Q$98:Q$98))</f>
        <v>0</v>
      </c>
      <c r="R307" s="81">
        <f ca="1">SUMPRODUCT((Work_Codes!$AC$9:$AO$9=$E307)*(Work_Codes!$AC$28:$AO$28)*(R$98:R$98))</f>
        <v>0</v>
      </c>
      <c r="S307" s="81">
        <f ca="1">SUMPRODUCT((Work_Codes!$AC$9:$AO$9=$E307)*(Work_Codes!$AC$28:$AO$28)*(S$98:S$98))</f>
        <v>0</v>
      </c>
      <c r="T307" s="81">
        <f ca="1">SUMPRODUCT((Work_Codes!$AC$9:$AO$9=$E307)*(Work_Codes!$AC$28:$AO$28)*(T$98:T$98))</f>
        <v>0</v>
      </c>
    </row>
    <row r="308" spans="2:20" outlineLevel="2">
      <c r="E308" s="247" t="str">
        <f>GC!C67</f>
        <v>SCADA</v>
      </c>
      <c r="F308" s="247"/>
      <c r="G308" s="247"/>
      <c r="H308" s="247"/>
      <c r="I308" s="247"/>
      <c r="J308" s="81">
        <f ca="1">SUMPRODUCT((Work_Codes!$AC$9:$AO$9=$E308)*(Work_Codes!$AC$28:$AO$28)*(J$98:J$98))</f>
        <v>0</v>
      </c>
      <c r="K308" s="81">
        <f ca="1">SUMPRODUCT((Work_Codes!$AC$9:$AO$9=$E308)*(Work_Codes!$AC$28:$AO$28)*(K$98:K$98))</f>
        <v>0</v>
      </c>
      <c r="L308" s="81">
        <f ca="1">SUMPRODUCT((Work_Codes!$AC$9:$AO$9=$E308)*(Work_Codes!$AC$28:$AO$28)*(L$98:L$98))</f>
        <v>0</v>
      </c>
      <c r="M308" s="81">
        <f ca="1">SUMPRODUCT((Work_Codes!$AC$9:$AO$9=$E308)*(Work_Codes!$AC$28:$AO$28)*(M$98:M$98))</f>
        <v>0</v>
      </c>
      <c r="N308" s="81">
        <f ca="1">SUMPRODUCT((Work_Codes!$AC$9:$AO$9=$E308)*(Work_Codes!$AC$28:$AO$28)*(N$98:N$98))</f>
        <v>0</v>
      </c>
      <c r="O308" s="81">
        <f ca="1">SUMPRODUCT((Work_Codes!$AC$9:$AO$9=$E308)*(Work_Codes!$AC$28:$AO$28)*(O$98:O$98))</f>
        <v>0</v>
      </c>
      <c r="P308" s="81">
        <f ca="1">SUMPRODUCT((Work_Codes!$AC$9:$AO$9=$E308)*(Work_Codes!$AC$28:$AO$28)*(P$98:P$98))</f>
        <v>0</v>
      </c>
      <c r="Q308" s="81">
        <f ca="1">SUMPRODUCT((Work_Codes!$AC$9:$AO$9=$E308)*(Work_Codes!$AC$28:$AO$28)*(Q$98:Q$98))</f>
        <v>0</v>
      </c>
      <c r="R308" s="81">
        <f ca="1">SUMPRODUCT((Work_Codes!$AC$9:$AO$9=$E308)*(Work_Codes!$AC$28:$AO$28)*(R$98:R$98))</f>
        <v>0</v>
      </c>
      <c r="S308" s="81">
        <f ca="1">SUMPRODUCT((Work_Codes!$AC$9:$AO$9=$E308)*(Work_Codes!$AC$28:$AO$28)*(S$98:S$98))</f>
        <v>0</v>
      </c>
      <c r="T308" s="81">
        <f ca="1">SUMPRODUCT((Work_Codes!$AC$9:$AO$9=$E308)*(Work_Codes!$AC$28:$AO$28)*(T$98:T$98))</f>
        <v>0</v>
      </c>
    </row>
    <row r="309" spans="2:20" outlineLevel="2">
      <c r="E309" s="247" t="str">
        <f>GC!C68</f>
        <v>Other</v>
      </c>
      <c r="F309" s="247"/>
      <c r="G309" s="247"/>
      <c r="H309" s="247"/>
      <c r="I309" s="247"/>
      <c r="J309" s="81">
        <f ca="1">SUMPRODUCT((Work_Codes!$AC$9:$AO$9=$E309)*(Work_Codes!$AC$28:$AO$28)*(J$98:J$98))</f>
        <v>0</v>
      </c>
      <c r="K309" s="81">
        <f ca="1">SUMPRODUCT((Work_Codes!$AC$9:$AO$9=$E309)*(Work_Codes!$AC$28:$AO$28)*(K$98:K$98))</f>
        <v>0</v>
      </c>
      <c r="L309" s="81">
        <f ca="1">SUMPRODUCT((Work_Codes!$AC$9:$AO$9=$E309)*(Work_Codes!$AC$28:$AO$28)*(L$98:L$98))</f>
        <v>0</v>
      </c>
      <c r="M309" s="81">
        <f ca="1">SUMPRODUCT((Work_Codes!$AC$9:$AO$9=$E309)*(Work_Codes!$AC$28:$AO$28)*(M$98:M$98))</f>
        <v>0</v>
      </c>
      <c r="N309" s="81">
        <f ca="1">SUMPRODUCT((Work_Codes!$AC$9:$AO$9=$E309)*(Work_Codes!$AC$28:$AO$28)*(N$98:N$98))</f>
        <v>0</v>
      </c>
      <c r="O309" s="81">
        <f ca="1">SUMPRODUCT((Work_Codes!$AC$9:$AO$9=$E309)*(Work_Codes!$AC$28:$AO$28)*(O$98:O$98))</f>
        <v>0</v>
      </c>
      <c r="P309" s="81">
        <f ca="1">SUMPRODUCT((Work_Codes!$AC$9:$AO$9=$E309)*(Work_Codes!$AC$28:$AO$28)*(P$98:P$98))</f>
        <v>0</v>
      </c>
      <c r="Q309" s="81">
        <f ca="1">SUMPRODUCT((Work_Codes!$AC$9:$AO$9=$E309)*(Work_Codes!$AC$28:$AO$28)*(Q$98:Q$98))</f>
        <v>0</v>
      </c>
      <c r="R309" s="81">
        <f ca="1">SUMPRODUCT((Work_Codes!$AC$9:$AO$9=$E309)*(Work_Codes!$AC$28:$AO$28)*(R$98:R$98))</f>
        <v>0</v>
      </c>
      <c r="S309" s="81">
        <f ca="1">SUMPRODUCT((Work_Codes!$AC$9:$AO$9=$E309)*(Work_Codes!$AC$28:$AO$28)*(S$98:S$98))</f>
        <v>0</v>
      </c>
      <c r="T309" s="81">
        <f ca="1">SUMPRODUCT((Work_Codes!$AC$9:$AO$9=$E309)*(Work_Codes!$AC$28:$AO$28)*(T$98:T$98))</f>
        <v>0</v>
      </c>
    </row>
    <row r="310" spans="2:20" outlineLevel="2">
      <c r="E310" s="247" t="str">
        <f>GC!C69</f>
        <v>Capitalised Leases</v>
      </c>
      <c r="F310" s="247"/>
      <c r="G310" s="247"/>
      <c r="H310" s="247"/>
      <c r="I310" s="247"/>
      <c r="J310" s="81">
        <f ca="1">SUMPRODUCT((Work_Codes!$AC$9:$AO$9=$E310)*(Work_Codes!$AC$28:$AO$28)*(J$98:J$98))</f>
        <v>0</v>
      </c>
      <c r="K310" s="81">
        <f ca="1">SUMPRODUCT((Work_Codes!$AC$9:$AO$9=$E310)*(Work_Codes!$AC$28:$AO$28)*(K$98:K$98))</f>
        <v>0</v>
      </c>
      <c r="L310" s="81">
        <f ca="1">SUMPRODUCT((Work_Codes!$AC$9:$AO$9=$E310)*(Work_Codes!$AC$28:$AO$28)*(L$98:L$98))</f>
        <v>0</v>
      </c>
      <c r="M310" s="81">
        <f ca="1">SUMPRODUCT((Work_Codes!$AC$9:$AO$9=$E310)*(Work_Codes!$AC$28:$AO$28)*(M$98:M$98))</f>
        <v>0</v>
      </c>
      <c r="N310" s="81">
        <f ca="1">SUMPRODUCT((Work_Codes!$AC$9:$AO$9=$E310)*(Work_Codes!$AC$28:$AO$28)*(N$98:N$98))</f>
        <v>0</v>
      </c>
      <c r="O310" s="81">
        <f ca="1">SUMPRODUCT((Work_Codes!$AC$9:$AO$9=$E310)*(Work_Codes!$AC$28:$AO$28)*(O$98:O$98))</f>
        <v>0</v>
      </c>
      <c r="P310" s="81">
        <f ca="1">SUMPRODUCT((Work_Codes!$AC$9:$AO$9=$E310)*(Work_Codes!$AC$28:$AO$28)*(P$98:P$98))</f>
        <v>0</v>
      </c>
      <c r="Q310" s="81">
        <f ca="1">SUMPRODUCT((Work_Codes!$AC$9:$AO$9=$E310)*(Work_Codes!$AC$28:$AO$28)*(Q$98:Q$98))</f>
        <v>0</v>
      </c>
      <c r="R310" s="81">
        <f ca="1">SUMPRODUCT((Work_Codes!$AC$9:$AO$9=$E310)*(Work_Codes!$AC$28:$AO$28)*(R$98:R$98))</f>
        <v>0</v>
      </c>
      <c r="S310" s="81">
        <f ca="1">SUMPRODUCT((Work_Codes!$AC$9:$AO$9=$E310)*(Work_Codes!$AC$28:$AO$28)*(S$98:S$98))</f>
        <v>0</v>
      </c>
      <c r="T310" s="81">
        <f ca="1">SUMPRODUCT((Work_Codes!$AC$9:$AO$9=$E310)*(Work_Codes!$AC$28:$AO$28)*(T$98:T$98))</f>
        <v>0</v>
      </c>
    </row>
    <row r="311" spans="2:20" outlineLevel="2">
      <c r="E311" s="247" t="str">
        <f>GC!C70</f>
        <v>Gas Extensions - Energy for the Regions</v>
      </c>
      <c r="F311" s="247"/>
      <c r="G311" s="247"/>
      <c r="H311" s="247"/>
      <c r="I311" s="247"/>
      <c r="J311" s="81">
        <f ca="1">SUMPRODUCT((Work_Codes!$AC$9:$AO$9=$E311)*(Work_Codes!$AC$28:$AO$28)*(J$98:J$98))</f>
        <v>0</v>
      </c>
      <c r="K311" s="81">
        <f ca="1">SUMPRODUCT((Work_Codes!$AC$9:$AO$9=$E311)*(Work_Codes!$AC$28:$AO$28)*(K$98:K$98))</f>
        <v>0</v>
      </c>
      <c r="L311" s="81">
        <f ca="1">SUMPRODUCT((Work_Codes!$AC$9:$AO$9=$E311)*(Work_Codes!$AC$28:$AO$28)*(L$98:L$98))</f>
        <v>0</v>
      </c>
      <c r="M311" s="81">
        <f ca="1">SUMPRODUCT((Work_Codes!$AC$9:$AO$9=$E311)*(Work_Codes!$AC$28:$AO$28)*(M$98:M$98))</f>
        <v>0</v>
      </c>
      <c r="N311" s="81">
        <f ca="1">SUMPRODUCT((Work_Codes!$AC$9:$AO$9=$E311)*(Work_Codes!$AC$28:$AO$28)*(N$98:N$98))</f>
        <v>0</v>
      </c>
      <c r="O311" s="81">
        <f ca="1">SUMPRODUCT((Work_Codes!$AC$9:$AO$9=$E311)*(Work_Codes!$AC$28:$AO$28)*(O$98:O$98))</f>
        <v>0</v>
      </c>
      <c r="P311" s="81">
        <f ca="1">SUMPRODUCT((Work_Codes!$AC$9:$AO$9=$E311)*(Work_Codes!$AC$28:$AO$28)*(P$98:P$98))</f>
        <v>0</v>
      </c>
      <c r="Q311" s="81">
        <f ca="1">SUMPRODUCT((Work_Codes!$AC$9:$AO$9=$E311)*(Work_Codes!$AC$28:$AO$28)*(Q$98:Q$98))</f>
        <v>0</v>
      </c>
      <c r="R311" s="81">
        <f ca="1">SUMPRODUCT((Work_Codes!$AC$9:$AO$9=$E311)*(Work_Codes!$AC$28:$AO$28)*(R$98:R$98))</f>
        <v>0</v>
      </c>
      <c r="S311" s="81">
        <f ca="1">SUMPRODUCT((Work_Codes!$AC$9:$AO$9=$E311)*(Work_Codes!$AC$28:$AO$28)*(S$98:S$98))</f>
        <v>0</v>
      </c>
      <c r="T311" s="81">
        <f ca="1">SUMPRODUCT((Work_Codes!$AC$9:$AO$9=$E311)*(Work_Codes!$AC$28:$AO$28)*(T$98:T$98))</f>
        <v>0</v>
      </c>
    </row>
    <row r="312" spans="2:20" outlineLevel="2">
      <c r="E312" s="247" t="str">
        <f>GC!C71</f>
        <v>Gas Extensions - Other</v>
      </c>
      <c r="F312" s="247"/>
      <c r="G312" s="247"/>
      <c r="H312" s="247"/>
      <c r="I312" s="247"/>
      <c r="J312" s="81">
        <f ca="1">SUMPRODUCT((Work_Codes!$AC$9:$AO$9=$E312)*(Work_Codes!$AC$28:$AO$28)*(J$98:J$98))</f>
        <v>0</v>
      </c>
      <c r="K312" s="81">
        <f ca="1">SUMPRODUCT((Work_Codes!$AC$9:$AO$9=$E312)*(Work_Codes!$AC$28:$AO$28)*(K$98:K$98))</f>
        <v>0</v>
      </c>
      <c r="L312" s="81">
        <f ca="1">SUMPRODUCT((Work_Codes!$AC$9:$AO$9=$E312)*(Work_Codes!$AC$28:$AO$28)*(L$98:L$98))</f>
        <v>0</v>
      </c>
      <c r="M312" s="81">
        <f ca="1">SUMPRODUCT((Work_Codes!$AC$9:$AO$9=$E312)*(Work_Codes!$AC$28:$AO$28)*(M$98:M$98))</f>
        <v>0</v>
      </c>
      <c r="N312" s="81">
        <f ca="1">SUMPRODUCT((Work_Codes!$AC$9:$AO$9=$E312)*(Work_Codes!$AC$28:$AO$28)*(N$98:N$98))</f>
        <v>0</v>
      </c>
      <c r="O312" s="81">
        <f ca="1">SUMPRODUCT((Work_Codes!$AC$9:$AO$9=$E312)*(Work_Codes!$AC$28:$AO$28)*(O$98:O$98))</f>
        <v>0</v>
      </c>
      <c r="P312" s="81">
        <f ca="1">SUMPRODUCT((Work_Codes!$AC$9:$AO$9=$E312)*(Work_Codes!$AC$28:$AO$28)*(P$98:P$98))</f>
        <v>0</v>
      </c>
      <c r="Q312" s="81">
        <f ca="1">SUMPRODUCT((Work_Codes!$AC$9:$AO$9=$E312)*(Work_Codes!$AC$28:$AO$28)*(Q$98:Q$98))</f>
        <v>0</v>
      </c>
      <c r="R312" s="81">
        <f ca="1">SUMPRODUCT((Work_Codes!$AC$9:$AO$9=$E312)*(Work_Codes!$AC$28:$AO$28)*(R$98:R$98))</f>
        <v>0</v>
      </c>
      <c r="S312" s="81">
        <f ca="1">SUMPRODUCT((Work_Codes!$AC$9:$AO$9=$E312)*(Work_Codes!$AC$28:$AO$28)*(S$98:S$98))</f>
        <v>0</v>
      </c>
      <c r="T312" s="81">
        <f ca="1">SUMPRODUCT((Work_Codes!$AC$9:$AO$9=$E312)*(Work_Codes!$AC$28:$AO$28)*(T$98:T$98))</f>
        <v>0</v>
      </c>
    </row>
    <row r="313" spans="2:20" outlineLevel="2">
      <c r="E313" s="247" t="str">
        <f>GC!C72</f>
        <v>Customer contributions</v>
      </c>
      <c r="F313" s="247"/>
      <c r="G313" s="247"/>
      <c r="H313" s="247"/>
      <c r="I313" s="247"/>
      <c r="J313" s="81">
        <f ca="1">SUMPRODUCT((Work_Codes!$AC$9:$AO$9=$E313)*(Work_Codes!$AC$28:$AO$28)*(J$98:J$98))</f>
        <v>0</v>
      </c>
      <c r="K313" s="81">
        <f ca="1">SUMPRODUCT((Work_Codes!$AC$9:$AO$9=$E313)*(Work_Codes!$AC$28:$AO$28)*(K$98:K$98))</f>
        <v>0</v>
      </c>
      <c r="L313" s="81">
        <f ca="1">SUMPRODUCT((Work_Codes!$AC$9:$AO$9=$E313)*(Work_Codes!$AC$28:$AO$28)*(L$98:L$98))</f>
        <v>0</v>
      </c>
      <c r="M313" s="81">
        <f ca="1">SUMPRODUCT((Work_Codes!$AC$9:$AO$9=$E313)*(Work_Codes!$AC$28:$AO$28)*(M$98:M$98))</f>
        <v>0</v>
      </c>
      <c r="N313" s="81">
        <f ca="1">SUMPRODUCT((Work_Codes!$AC$9:$AO$9=$E313)*(Work_Codes!$AC$28:$AO$28)*(N$98:N$98))</f>
        <v>0</v>
      </c>
      <c r="O313" s="81">
        <f ca="1">SUMPRODUCT((Work_Codes!$AC$9:$AO$9=$E313)*(Work_Codes!$AC$28:$AO$28)*(O$98:O$98))</f>
        <v>0</v>
      </c>
      <c r="P313" s="81">
        <f ca="1">SUMPRODUCT((Work_Codes!$AC$9:$AO$9=$E313)*(Work_Codes!$AC$28:$AO$28)*(P$98:P$98))</f>
        <v>0</v>
      </c>
      <c r="Q313" s="81">
        <f ca="1">SUMPRODUCT((Work_Codes!$AC$9:$AO$9=$E313)*(Work_Codes!$AC$28:$AO$28)*(Q$98:Q$98))</f>
        <v>0</v>
      </c>
      <c r="R313" s="81">
        <f ca="1">SUMPRODUCT((Work_Codes!$AC$9:$AO$9=$E313)*(Work_Codes!$AC$28:$AO$28)*(R$98:R$98))</f>
        <v>0</v>
      </c>
      <c r="S313" s="81">
        <f ca="1">SUMPRODUCT((Work_Codes!$AC$9:$AO$9=$E313)*(Work_Codes!$AC$28:$AO$28)*(S$98:S$98))</f>
        <v>0</v>
      </c>
      <c r="T313" s="81">
        <f ca="1">SUMPRODUCT((Work_Codes!$AC$9:$AO$9=$E313)*(Work_Codes!$AC$28:$AO$28)*(T$98:T$98))</f>
        <v>0</v>
      </c>
    </row>
    <row r="314" spans="2:20" outlineLevel="2">
      <c r="E314" s="247" t="str">
        <f>GC!C73</f>
        <v>Government contributions</v>
      </c>
      <c r="F314" s="247"/>
      <c r="G314" s="247"/>
      <c r="H314" s="247"/>
      <c r="I314" s="247"/>
      <c r="J314" s="81">
        <f ca="1">SUMPRODUCT((Work_Codes!$AC$9:$AO$9=$E314)*(Work_Codes!$AC$28:$AO$28)*(J$98:J$98))</f>
        <v>0</v>
      </c>
      <c r="K314" s="81">
        <f ca="1">SUMPRODUCT((Work_Codes!$AC$9:$AO$9=$E314)*(Work_Codes!$AC$28:$AO$28)*(K$98:K$98))</f>
        <v>0</v>
      </c>
      <c r="L314" s="81">
        <f ca="1">SUMPRODUCT((Work_Codes!$AC$9:$AO$9=$E314)*(Work_Codes!$AC$28:$AO$28)*(L$98:L$98))</f>
        <v>0</v>
      </c>
      <c r="M314" s="81">
        <f ca="1">SUMPRODUCT((Work_Codes!$AC$9:$AO$9=$E314)*(Work_Codes!$AC$28:$AO$28)*(M$98:M$98))</f>
        <v>0</v>
      </c>
      <c r="N314" s="81">
        <f ca="1">SUMPRODUCT((Work_Codes!$AC$9:$AO$9=$E314)*(Work_Codes!$AC$28:$AO$28)*(N$98:N$98))</f>
        <v>0</v>
      </c>
      <c r="O314" s="81">
        <f ca="1">SUMPRODUCT((Work_Codes!$AC$9:$AO$9=$E314)*(Work_Codes!$AC$28:$AO$28)*(O$98:O$98))</f>
        <v>0</v>
      </c>
      <c r="P314" s="81">
        <f ca="1">SUMPRODUCT((Work_Codes!$AC$9:$AO$9=$E314)*(Work_Codes!$AC$28:$AO$28)*(P$98:P$98))</f>
        <v>0</v>
      </c>
      <c r="Q314" s="81">
        <f ca="1">SUMPRODUCT((Work_Codes!$AC$9:$AO$9=$E314)*(Work_Codes!$AC$28:$AO$28)*(Q$98:Q$98))</f>
        <v>0</v>
      </c>
      <c r="R314" s="81">
        <f ca="1">SUMPRODUCT((Work_Codes!$AC$9:$AO$9=$E314)*(Work_Codes!$AC$28:$AO$28)*(R$98:R$98))</f>
        <v>0</v>
      </c>
      <c r="S314" s="81">
        <f ca="1">SUMPRODUCT((Work_Codes!$AC$9:$AO$9=$E314)*(Work_Codes!$AC$28:$AO$28)*(S$98:S$98))</f>
        <v>0</v>
      </c>
      <c r="T314" s="81">
        <f ca="1">SUMPRODUCT((Work_Codes!$AC$9:$AO$9=$E314)*(Work_Codes!$AC$28:$AO$28)*(T$98:T$98))</f>
        <v>0</v>
      </c>
    </row>
    <row r="315" spans="2:20" outlineLevel="2">
      <c r="E315" s="249" t="str">
        <f t="shared" ref="E315" si="33">"Total "&amp;D299</f>
        <v>Total Customer Contributions</v>
      </c>
      <c r="F315" s="249"/>
      <c r="G315" s="249"/>
      <c r="H315" s="249"/>
      <c r="I315" s="249"/>
      <c r="J315" s="82">
        <f t="shared" ref="J315:T315" ca="1" si="34">SUM(J301:J314)</f>
        <v>0</v>
      </c>
      <c r="K315" s="82">
        <f t="shared" ca="1" si="34"/>
        <v>0</v>
      </c>
      <c r="L315" s="82">
        <f t="shared" ca="1" si="34"/>
        <v>0</v>
      </c>
      <c r="M315" s="82">
        <f t="shared" ca="1" si="34"/>
        <v>0</v>
      </c>
      <c r="N315" s="82">
        <f t="shared" ca="1" si="34"/>
        <v>0</v>
      </c>
      <c r="O315" s="82">
        <f t="shared" ca="1" si="34"/>
        <v>0</v>
      </c>
      <c r="P315" s="82">
        <f t="shared" ca="1" si="34"/>
        <v>0</v>
      </c>
      <c r="Q315" s="82">
        <f t="shared" ca="1" si="34"/>
        <v>0</v>
      </c>
      <c r="R315" s="82">
        <f t="shared" ca="1" si="34"/>
        <v>0</v>
      </c>
      <c r="S315" s="82">
        <f t="shared" ca="1" si="34"/>
        <v>0</v>
      </c>
      <c r="T315" s="82">
        <f t="shared" ca="1" si="34"/>
        <v>0</v>
      </c>
    </row>
    <row r="316" spans="2:20" s="41" customFormat="1" outlineLevel="2">
      <c r="B316" s="109"/>
      <c r="C316" s="109"/>
      <c r="D316" s="109"/>
      <c r="E316" s="109"/>
      <c r="F316" s="109"/>
      <c r="G316" s="109"/>
      <c r="H316" s="109"/>
      <c r="I316" s="109"/>
      <c r="J316" s="109"/>
      <c r="K316" s="109"/>
      <c r="L316" s="109"/>
      <c r="M316" s="109"/>
      <c r="N316" s="109"/>
      <c r="O316" s="109"/>
      <c r="P316" s="109"/>
      <c r="Q316" s="109"/>
      <c r="R316" s="109"/>
      <c r="S316" s="109"/>
      <c r="T316" s="109"/>
    </row>
    <row r="317" spans="2:20" s="41" customFormat="1" outlineLevel="2"/>
    <row r="318" spans="2:20" s="41" customFormat="1" outlineLevel="2">
      <c r="C318" s="50" t="s">
        <v>311</v>
      </c>
    </row>
    <row r="319" spans="2:20" s="41" customFormat="1" ht="5.9" customHeight="1" outlineLevel="2"/>
    <row r="320" spans="2:20" s="41" customFormat="1" outlineLevel="2">
      <c r="D320" s="50" t="s">
        <v>215</v>
      </c>
    </row>
    <row r="321" spans="4:20" s="41" customFormat="1" ht="5.9" customHeight="1" outlineLevel="2"/>
    <row r="322" spans="4:20" s="41" customFormat="1" outlineLevel="2">
      <c r="E322" s="251" t="str">
        <f>GC!C78</f>
        <v>Mains &amp; Services</v>
      </c>
      <c r="F322" s="251"/>
      <c r="G322" s="251"/>
      <c r="H322" s="251"/>
      <c r="I322" s="251"/>
      <c r="J322" s="80">
        <f ca="1">SUMPRODUCT((Work_Codes!$AR$9:$AX$9=$E322)*(Work_Codes!$AR$12:$AX$24)*(J$161:J$173))</f>
        <v>0</v>
      </c>
      <c r="K322" s="80">
        <f ca="1">SUMPRODUCT((Work_Codes!$AR$9:$AX$9=$E322)*(Work_Codes!$AR$12:$AX$24)*(K$161:K$173))</f>
        <v>0</v>
      </c>
      <c r="L322" s="80">
        <f ca="1">SUMPRODUCT((Work_Codes!$AR$9:$AX$9=$E322)*(Work_Codes!$AR$12:$AX$24)*(L$161:L$173))</f>
        <v>0</v>
      </c>
      <c r="M322" s="80">
        <f ca="1">SUMPRODUCT((Work_Codes!$AR$9:$AX$9=$E322)*(Work_Codes!$AR$12:$AX$24)*(M$161:M$173))</f>
        <v>0</v>
      </c>
      <c r="N322" s="80">
        <f ca="1">SUMPRODUCT((Work_Codes!$AR$9:$AX$9=$E322)*(Work_Codes!$AR$12:$AX$24)*(N$161:N$173))</f>
        <v>17340833.066654302</v>
      </c>
      <c r="O322" s="80">
        <f ca="1">SUMPRODUCT((Work_Codes!$AR$9:$AX$9=$E322)*(Work_Codes!$AR$12:$AX$24)*(O$161:O$173))</f>
        <v>17302165.411932107</v>
      </c>
      <c r="P322" s="80">
        <f ca="1">SUMPRODUCT((Work_Codes!$AR$9:$AX$9=$E322)*(Work_Codes!$AR$12:$AX$24)*(P$161:P$173))</f>
        <v>21859323.99478846</v>
      </c>
      <c r="Q322" s="80">
        <f ca="1">SUMPRODUCT((Work_Codes!$AR$9:$AX$9=$E322)*(Work_Codes!$AR$12:$AX$24)*(Q$161:Q$173))</f>
        <v>18353838.907977544</v>
      </c>
      <c r="R322" s="80">
        <f ca="1">SUMPRODUCT((Work_Codes!$AR$9:$AX$9=$E322)*(Work_Codes!$AR$12:$AX$24)*(R$161:R$173))</f>
        <v>13037449.844029896</v>
      </c>
      <c r="S322" s="80">
        <f ca="1">SUMPRODUCT((Work_Codes!$AR$9:$AX$9=$E322)*(Work_Codes!$AR$12:$AX$24)*(S$161:S$173))</f>
        <v>13749167.788226614</v>
      </c>
      <c r="T322" s="80">
        <f ca="1">SUMPRODUCT((Work_Codes!$AR$9:$AX$9=$E322)*(Work_Codes!$AR$12:$AX$24)*(T$161:T$173))</f>
        <v>8127603.3899430232</v>
      </c>
    </row>
    <row r="323" spans="4:20" s="41" customFormat="1" outlineLevel="2">
      <c r="E323" s="251" t="str">
        <f>GC!C79</f>
        <v>Meters Domestic</v>
      </c>
      <c r="F323" s="251"/>
      <c r="G323" s="251"/>
      <c r="H323" s="251"/>
      <c r="I323" s="251"/>
      <c r="J323" s="80">
        <f ca="1">SUMPRODUCT((Work_Codes!$AR$9:$AX$9=$E323)*(Work_Codes!$AR$12:$AX$24)*(J$161:J$173))</f>
        <v>0</v>
      </c>
      <c r="K323" s="80">
        <f ca="1">SUMPRODUCT((Work_Codes!$AR$9:$AX$9=$E323)*(Work_Codes!$AR$12:$AX$24)*(K$161:K$173))</f>
        <v>0</v>
      </c>
      <c r="L323" s="80">
        <f ca="1">SUMPRODUCT((Work_Codes!$AR$9:$AX$9=$E323)*(Work_Codes!$AR$12:$AX$24)*(L$161:L$173))</f>
        <v>0</v>
      </c>
      <c r="M323" s="80">
        <f ca="1">SUMPRODUCT((Work_Codes!$AR$9:$AX$9=$E323)*(Work_Codes!$AR$12:$AX$24)*(M$161:M$173))</f>
        <v>0</v>
      </c>
      <c r="N323" s="80">
        <f ca="1">SUMPRODUCT((Work_Codes!$AR$9:$AX$9=$E323)*(Work_Codes!$AR$12:$AX$24)*(N$161:N$173))</f>
        <v>0</v>
      </c>
      <c r="O323" s="80">
        <f ca="1">SUMPRODUCT((Work_Codes!$AR$9:$AX$9=$E323)*(Work_Codes!$AR$12:$AX$24)*(O$161:O$173))</f>
        <v>0</v>
      </c>
      <c r="P323" s="80">
        <f ca="1">SUMPRODUCT((Work_Codes!$AR$9:$AX$9=$E323)*(Work_Codes!$AR$12:$AX$24)*(P$161:P$173))</f>
        <v>0</v>
      </c>
      <c r="Q323" s="80">
        <f ca="1">SUMPRODUCT((Work_Codes!$AR$9:$AX$9=$E323)*(Work_Codes!$AR$12:$AX$24)*(Q$161:Q$173))</f>
        <v>0</v>
      </c>
      <c r="R323" s="80">
        <f ca="1">SUMPRODUCT((Work_Codes!$AR$9:$AX$9=$E323)*(Work_Codes!$AR$12:$AX$24)*(R$161:R$173))</f>
        <v>0</v>
      </c>
      <c r="S323" s="80">
        <f ca="1">SUMPRODUCT((Work_Codes!$AR$9:$AX$9=$E323)*(Work_Codes!$AR$12:$AX$24)*(S$161:S$173))</f>
        <v>0</v>
      </c>
      <c r="T323" s="80">
        <f ca="1">SUMPRODUCT((Work_Codes!$AR$9:$AX$9=$E323)*(Work_Codes!$AR$12:$AX$24)*(T$161:T$173))</f>
        <v>0</v>
      </c>
    </row>
    <row r="324" spans="4:20" s="41" customFormat="1" outlineLevel="2">
      <c r="E324" s="251" t="str">
        <f>GC!C80</f>
        <v>Meters Industrial &amp; Commercial</v>
      </c>
      <c r="F324" s="251"/>
      <c r="G324" s="251"/>
      <c r="H324" s="251"/>
      <c r="I324" s="251"/>
      <c r="J324" s="80">
        <f ca="1">SUMPRODUCT((Work_Codes!$AR$9:$AX$9=$E324)*(Work_Codes!$AR$12:$AX$24)*(J$161:J$173))</f>
        <v>0</v>
      </c>
      <c r="K324" s="80">
        <f ca="1">SUMPRODUCT((Work_Codes!$AR$9:$AX$9=$E324)*(Work_Codes!$AR$12:$AX$24)*(K$161:K$173))</f>
        <v>0</v>
      </c>
      <c r="L324" s="80">
        <f ca="1">SUMPRODUCT((Work_Codes!$AR$9:$AX$9=$E324)*(Work_Codes!$AR$12:$AX$24)*(L$161:L$173))</f>
        <v>0</v>
      </c>
      <c r="M324" s="80">
        <f ca="1">SUMPRODUCT((Work_Codes!$AR$9:$AX$9=$E324)*(Work_Codes!$AR$12:$AX$24)*(M$161:M$173))</f>
        <v>0</v>
      </c>
      <c r="N324" s="80">
        <f ca="1">SUMPRODUCT((Work_Codes!$AR$9:$AX$9=$E324)*(Work_Codes!$AR$12:$AX$24)*(N$161:N$173))</f>
        <v>0</v>
      </c>
      <c r="O324" s="80">
        <f ca="1">SUMPRODUCT((Work_Codes!$AR$9:$AX$9=$E324)*(Work_Codes!$AR$12:$AX$24)*(O$161:O$173))</f>
        <v>0</v>
      </c>
      <c r="P324" s="80">
        <f ca="1">SUMPRODUCT((Work_Codes!$AR$9:$AX$9=$E324)*(Work_Codes!$AR$12:$AX$24)*(P$161:P$173))</f>
        <v>0</v>
      </c>
      <c r="Q324" s="80">
        <f ca="1">SUMPRODUCT((Work_Codes!$AR$9:$AX$9=$E324)*(Work_Codes!$AR$12:$AX$24)*(Q$161:Q$173))</f>
        <v>0</v>
      </c>
      <c r="R324" s="80">
        <f ca="1">SUMPRODUCT((Work_Codes!$AR$9:$AX$9=$E324)*(Work_Codes!$AR$12:$AX$24)*(R$161:R$173))</f>
        <v>0</v>
      </c>
      <c r="S324" s="80">
        <f ca="1">SUMPRODUCT((Work_Codes!$AR$9:$AX$9=$E324)*(Work_Codes!$AR$12:$AX$24)*(S$161:S$173))</f>
        <v>0</v>
      </c>
      <c r="T324" s="80">
        <f ca="1">SUMPRODUCT((Work_Codes!$AR$9:$AX$9=$E324)*(Work_Codes!$AR$12:$AX$24)*(T$161:T$173))</f>
        <v>0</v>
      </c>
    </row>
    <row r="325" spans="4:20" s="41" customFormat="1" outlineLevel="2">
      <c r="E325" s="251" t="str">
        <f>GC!C81</f>
        <v>Buildings</v>
      </c>
      <c r="F325" s="251"/>
      <c r="G325" s="251"/>
      <c r="H325" s="251"/>
      <c r="I325" s="251"/>
      <c r="J325" s="80">
        <f ca="1">SUMPRODUCT((Work_Codes!$AR$9:$AX$9=$E325)*(Work_Codes!$AR$12:$AX$24)*(J$161:J$173))</f>
        <v>0</v>
      </c>
      <c r="K325" s="80">
        <f ca="1">SUMPRODUCT((Work_Codes!$AR$9:$AX$9=$E325)*(Work_Codes!$AR$12:$AX$24)*(K$161:K$173))</f>
        <v>0</v>
      </c>
      <c r="L325" s="80">
        <f ca="1">SUMPRODUCT((Work_Codes!$AR$9:$AX$9=$E325)*(Work_Codes!$AR$12:$AX$24)*(L$161:L$173))</f>
        <v>0</v>
      </c>
      <c r="M325" s="80">
        <f ca="1">SUMPRODUCT((Work_Codes!$AR$9:$AX$9=$E325)*(Work_Codes!$AR$12:$AX$24)*(M$161:M$173))</f>
        <v>0</v>
      </c>
      <c r="N325" s="80">
        <f ca="1">SUMPRODUCT((Work_Codes!$AR$9:$AX$9=$E325)*(Work_Codes!$AR$12:$AX$24)*(N$161:N$173))</f>
        <v>0</v>
      </c>
      <c r="O325" s="80">
        <f ca="1">SUMPRODUCT((Work_Codes!$AR$9:$AX$9=$E325)*(Work_Codes!$AR$12:$AX$24)*(O$161:O$173))</f>
        <v>0</v>
      </c>
      <c r="P325" s="80">
        <f ca="1">SUMPRODUCT((Work_Codes!$AR$9:$AX$9=$E325)*(Work_Codes!$AR$12:$AX$24)*(P$161:P$173))</f>
        <v>0</v>
      </c>
      <c r="Q325" s="80">
        <f ca="1">SUMPRODUCT((Work_Codes!$AR$9:$AX$9=$E325)*(Work_Codes!$AR$12:$AX$24)*(Q$161:Q$173))</f>
        <v>0</v>
      </c>
      <c r="R325" s="80">
        <f ca="1">SUMPRODUCT((Work_Codes!$AR$9:$AX$9=$E325)*(Work_Codes!$AR$12:$AX$24)*(R$161:R$173))</f>
        <v>0</v>
      </c>
      <c r="S325" s="80">
        <f ca="1">SUMPRODUCT((Work_Codes!$AR$9:$AX$9=$E325)*(Work_Codes!$AR$12:$AX$24)*(S$161:S$173))</f>
        <v>0</v>
      </c>
      <c r="T325" s="80">
        <f ca="1">SUMPRODUCT((Work_Codes!$AR$9:$AX$9=$E325)*(Work_Codes!$AR$12:$AX$24)*(T$161:T$173))</f>
        <v>0</v>
      </c>
    </row>
    <row r="326" spans="4:20" s="41" customFormat="1" outlineLevel="2">
      <c r="E326" s="251" t="str">
        <f>GC!C82</f>
        <v>Other Assets</v>
      </c>
      <c r="F326" s="251"/>
      <c r="G326" s="251"/>
      <c r="H326" s="251"/>
      <c r="I326" s="251"/>
      <c r="J326" s="80">
        <f ca="1">SUMPRODUCT((Work_Codes!$AR$9:$AX$9=$E326)*(Work_Codes!$AR$12:$AX$24)*(J$161:J$173))</f>
        <v>0</v>
      </c>
      <c r="K326" s="80">
        <f ca="1">SUMPRODUCT((Work_Codes!$AR$9:$AX$9=$E326)*(Work_Codes!$AR$12:$AX$24)*(K$161:K$173))</f>
        <v>0</v>
      </c>
      <c r="L326" s="80">
        <f ca="1">SUMPRODUCT((Work_Codes!$AR$9:$AX$9=$E326)*(Work_Codes!$AR$12:$AX$24)*(L$161:L$173))</f>
        <v>0</v>
      </c>
      <c r="M326" s="80">
        <f ca="1">SUMPRODUCT((Work_Codes!$AR$9:$AX$9=$E326)*(Work_Codes!$AR$12:$AX$24)*(M$161:M$173))</f>
        <v>0</v>
      </c>
      <c r="N326" s="80">
        <f ca="1">SUMPRODUCT((Work_Codes!$AR$9:$AX$9=$E326)*(Work_Codes!$AR$12:$AX$24)*(N$161:N$173))</f>
        <v>0</v>
      </c>
      <c r="O326" s="80">
        <f ca="1">SUMPRODUCT((Work_Codes!$AR$9:$AX$9=$E326)*(Work_Codes!$AR$12:$AX$24)*(O$161:O$173))</f>
        <v>0</v>
      </c>
      <c r="P326" s="80">
        <f ca="1">SUMPRODUCT((Work_Codes!$AR$9:$AX$9=$E326)*(Work_Codes!$AR$12:$AX$24)*(P$161:P$173))</f>
        <v>0</v>
      </c>
      <c r="Q326" s="80">
        <f ca="1">SUMPRODUCT((Work_Codes!$AR$9:$AX$9=$E326)*(Work_Codes!$AR$12:$AX$24)*(Q$161:Q$173))</f>
        <v>0</v>
      </c>
      <c r="R326" s="80">
        <f ca="1">SUMPRODUCT((Work_Codes!$AR$9:$AX$9=$E326)*(Work_Codes!$AR$12:$AX$24)*(R$161:R$173))</f>
        <v>0</v>
      </c>
      <c r="S326" s="80">
        <f ca="1">SUMPRODUCT((Work_Codes!$AR$9:$AX$9=$E326)*(Work_Codes!$AR$12:$AX$24)*(S$161:S$173))</f>
        <v>0</v>
      </c>
      <c r="T326" s="80">
        <f ca="1">SUMPRODUCT((Work_Codes!$AR$9:$AX$9=$E326)*(Work_Codes!$AR$12:$AX$24)*(T$161:T$173))</f>
        <v>0</v>
      </c>
    </row>
    <row r="327" spans="4:20" s="41" customFormat="1" outlineLevel="2">
      <c r="E327" s="251" t="str">
        <f>GC!C83</f>
        <v>Repairs</v>
      </c>
      <c r="F327" s="251"/>
      <c r="G327" s="251"/>
      <c r="H327" s="251"/>
      <c r="I327" s="251"/>
      <c r="J327" s="80">
        <f ca="1">SUMPRODUCT((Work_Codes!$AR$9:$AX$9=$E327)*(Work_Codes!$AR$12:$AX$24)*(J$161:J$173))</f>
        <v>0</v>
      </c>
      <c r="K327" s="80">
        <f ca="1">SUMPRODUCT((Work_Codes!$AR$9:$AX$9=$E327)*(Work_Codes!$AR$12:$AX$24)*(K$161:K$173))</f>
        <v>0</v>
      </c>
      <c r="L327" s="80">
        <f ca="1">SUMPRODUCT((Work_Codes!$AR$9:$AX$9=$E327)*(Work_Codes!$AR$12:$AX$24)*(L$161:L$173))</f>
        <v>0</v>
      </c>
      <c r="M327" s="80">
        <f ca="1">SUMPRODUCT((Work_Codes!$AR$9:$AX$9=$E327)*(Work_Codes!$AR$12:$AX$24)*(M$161:M$173))</f>
        <v>0</v>
      </c>
      <c r="N327" s="80">
        <f ca="1">SUMPRODUCT((Work_Codes!$AR$9:$AX$9=$E327)*(Work_Codes!$AR$12:$AX$24)*(N$161:N$173))</f>
        <v>0</v>
      </c>
      <c r="O327" s="80">
        <f ca="1">SUMPRODUCT((Work_Codes!$AR$9:$AX$9=$E327)*(Work_Codes!$AR$12:$AX$24)*(O$161:O$173))</f>
        <v>0</v>
      </c>
      <c r="P327" s="80">
        <f ca="1">SUMPRODUCT((Work_Codes!$AR$9:$AX$9=$E327)*(Work_Codes!$AR$12:$AX$24)*(P$161:P$173))</f>
        <v>0</v>
      </c>
      <c r="Q327" s="80">
        <f ca="1">SUMPRODUCT((Work_Codes!$AR$9:$AX$9=$E327)*(Work_Codes!$AR$12:$AX$24)*(Q$161:Q$173))</f>
        <v>0</v>
      </c>
      <c r="R327" s="80">
        <f ca="1">SUMPRODUCT((Work_Codes!$AR$9:$AX$9=$E327)*(Work_Codes!$AR$12:$AX$24)*(R$161:R$173))</f>
        <v>0</v>
      </c>
      <c r="S327" s="80">
        <f ca="1">SUMPRODUCT((Work_Codes!$AR$9:$AX$9=$E327)*(Work_Codes!$AR$12:$AX$24)*(S$161:S$173))</f>
        <v>0</v>
      </c>
      <c r="T327" s="80">
        <f ca="1">SUMPRODUCT((Work_Codes!$AR$9:$AX$9=$E327)*(Work_Codes!$AR$12:$AX$24)*(T$161:T$173))</f>
        <v>0</v>
      </c>
    </row>
    <row r="328" spans="4:20" s="41" customFormat="1" outlineLevel="2">
      <c r="E328" s="251" t="str">
        <f>GC!C84</f>
        <v>Land</v>
      </c>
      <c r="F328" s="251"/>
      <c r="G328" s="251"/>
      <c r="H328" s="251"/>
      <c r="I328" s="251"/>
      <c r="J328" s="80">
        <f ca="1">SUMPRODUCT((Work_Codes!$AR$9:$AX$9=$E328)*(Work_Codes!$AR$12:$AX$24)*(J$161:J$173))</f>
        <v>0</v>
      </c>
      <c r="K328" s="80">
        <f ca="1">SUMPRODUCT((Work_Codes!$AR$9:$AX$9=$E328)*(Work_Codes!$AR$12:$AX$24)*(K$161:K$173))</f>
        <v>0</v>
      </c>
      <c r="L328" s="80">
        <f ca="1">SUMPRODUCT((Work_Codes!$AR$9:$AX$9=$E328)*(Work_Codes!$AR$12:$AX$24)*(L$161:L$173))</f>
        <v>0</v>
      </c>
      <c r="M328" s="80">
        <f ca="1">SUMPRODUCT((Work_Codes!$AR$9:$AX$9=$E328)*(Work_Codes!$AR$12:$AX$24)*(M$161:M$173))</f>
        <v>0</v>
      </c>
      <c r="N328" s="80">
        <f ca="1">SUMPRODUCT((Work_Codes!$AR$9:$AX$9=$E328)*(Work_Codes!$AR$12:$AX$24)*(N$161:N$173))</f>
        <v>0</v>
      </c>
      <c r="O328" s="80">
        <f ca="1">SUMPRODUCT((Work_Codes!$AR$9:$AX$9=$E328)*(Work_Codes!$AR$12:$AX$24)*(O$161:O$173))</f>
        <v>0</v>
      </c>
      <c r="P328" s="80">
        <f ca="1">SUMPRODUCT((Work_Codes!$AR$9:$AX$9=$E328)*(Work_Codes!$AR$12:$AX$24)*(P$161:P$173))</f>
        <v>0</v>
      </c>
      <c r="Q328" s="80">
        <f ca="1">SUMPRODUCT((Work_Codes!$AR$9:$AX$9=$E328)*(Work_Codes!$AR$12:$AX$24)*(Q$161:Q$173))</f>
        <v>0</v>
      </c>
      <c r="R328" s="80">
        <f ca="1">SUMPRODUCT((Work_Codes!$AR$9:$AX$9=$E328)*(Work_Codes!$AR$12:$AX$24)*(R$161:R$173))</f>
        <v>0</v>
      </c>
      <c r="S328" s="80">
        <f ca="1">SUMPRODUCT((Work_Codes!$AR$9:$AX$9=$E328)*(Work_Codes!$AR$12:$AX$24)*(S$161:S$173))</f>
        <v>0</v>
      </c>
      <c r="T328" s="80">
        <f ca="1">SUMPRODUCT((Work_Codes!$AR$9:$AX$9=$E328)*(Work_Codes!$AR$12:$AX$24)*(T$161:T$173))</f>
        <v>0</v>
      </c>
    </row>
    <row r="329" spans="4:20" s="41" customFormat="1" outlineLevel="2">
      <c r="E329" s="250" t="str">
        <f>"Total "&amp;D320</f>
        <v>Total Direct Costs</v>
      </c>
      <c r="F329" s="250"/>
      <c r="G329" s="250"/>
      <c r="H329" s="250"/>
      <c r="I329" s="250"/>
      <c r="J329" s="101">
        <f t="shared" ref="J329:T329" ca="1" si="35">SUM(J322:J328)</f>
        <v>0</v>
      </c>
      <c r="K329" s="101">
        <f t="shared" ca="1" si="35"/>
        <v>0</v>
      </c>
      <c r="L329" s="101">
        <f t="shared" ca="1" si="35"/>
        <v>0</v>
      </c>
      <c r="M329" s="101">
        <f t="shared" ca="1" si="35"/>
        <v>0</v>
      </c>
      <c r="N329" s="101">
        <f t="shared" ca="1" si="35"/>
        <v>17340833.066654302</v>
      </c>
      <c r="O329" s="101">
        <f t="shared" ca="1" si="35"/>
        <v>17302165.411932107</v>
      </c>
      <c r="P329" s="101">
        <f t="shared" ca="1" si="35"/>
        <v>21859323.99478846</v>
      </c>
      <c r="Q329" s="101">
        <f t="shared" ca="1" si="35"/>
        <v>18353838.907977544</v>
      </c>
      <c r="R329" s="101">
        <f t="shared" ca="1" si="35"/>
        <v>13037449.844029896</v>
      </c>
      <c r="S329" s="101">
        <f t="shared" ca="1" si="35"/>
        <v>13749167.788226614</v>
      </c>
      <c r="T329" s="101">
        <f t="shared" ca="1" si="35"/>
        <v>8127603.3899430232</v>
      </c>
    </row>
    <row r="330" spans="4:20" s="41" customFormat="1" outlineLevel="2"/>
    <row r="331" spans="4:20" s="41" customFormat="1" outlineLevel="2">
      <c r="D331" s="50" t="s">
        <v>313</v>
      </c>
    </row>
    <row r="332" spans="4:20" s="41" customFormat="1" ht="5.9" customHeight="1" outlineLevel="2"/>
    <row r="333" spans="4:20" s="41" customFormat="1" outlineLevel="2">
      <c r="E333" s="251" t="str">
        <f>GC!C78</f>
        <v>Mains &amp; Services</v>
      </c>
      <c r="F333" s="251"/>
      <c r="G333" s="251"/>
      <c r="H333" s="251"/>
      <c r="I333" s="251"/>
      <c r="J333" s="80">
        <f ca="1">J322*(1+INDEX(J$35:J$37,MATCH(Work_Codes!$I$6,$D$35:$D$37,0)))</f>
        <v>0</v>
      </c>
      <c r="K333" s="80">
        <f ca="1">K322*(1+INDEX(K$35:K$37,MATCH(Work_Codes!$I$6,$D$35:$D$37,0)))</f>
        <v>0</v>
      </c>
      <c r="L333" s="80">
        <f ca="1">L322*(1+INDEX(L$35:L$37,MATCH(Work_Codes!$I$6,$D$35:$D$37,0)))</f>
        <v>0</v>
      </c>
      <c r="M333" s="80">
        <f ca="1">M322*(1+INDEX(M$35:M$37,MATCH(Work_Codes!$I$6,$D$35:$D$37,0)))</f>
        <v>0</v>
      </c>
      <c r="N333" s="80">
        <f ca="1">N322*(1+INDEX(N$35:N$37,MATCH(Work_Codes!$I$6,$D$35:$D$37,0)))</f>
        <v>17994773.35045718</v>
      </c>
      <c r="O333" s="80">
        <f ca="1">O322*(1+INDEX(O$35:O$37,MATCH(Work_Codes!$I$6,$D$35:$D$37,0)))</f>
        <v>17878050.150082275</v>
      </c>
      <c r="P333" s="80">
        <f ca="1">P322*(1+INDEX(P$35:P$37,MATCH(Work_Codes!$I$6,$D$35:$D$37,0)))</f>
        <v>22444119.068674445</v>
      </c>
      <c r="Q333" s="80">
        <f ca="1">Q322*(1+INDEX(Q$35:Q$37,MATCH(Work_Codes!$I$6,$D$35:$D$37,0)))</f>
        <v>18832150.730028253</v>
      </c>
      <c r="R333" s="80">
        <f ca="1">R322*(1+INDEX(R$35:R$37,MATCH(Work_Codes!$I$6,$D$35:$D$37,0)))</f>
        <v>13387805.311751381</v>
      </c>
      <c r="S333" s="80">
        <f ca="1">S322*(1+INDEX(S$35:S$37,MATCH(Work_Codes!$I$6,$D$35:$D$37,0)))</f>
        <v>14141653.992021855</v>
      </c>
      <c r="T333" s="80">
        <f ca="1">T322*(1+INDEX(T$35:T$37,MATCH(Work_Codes!$I$6,$D$35:$D$37,0)))</f>
        <v>8370784.3572596833</v>
      </c>
    </row>
    <row r="334" spans="4:20" s="41" customFormat="1" outlineLevel="2">
      <c r="E334" s="251" t="str">
        <f>GC!C79</f>
        <v>Meters Domestic</v>
      </c>
      <c r="F334" s="251"/>
      <c r="G334" s="251"/>
      <c r="H334" s="251"/>
      <c r="I334" s="251"/>
      <c r="J334" s="80">
        <f ca="1">J323*(1+INDEX(J$35:J$37,MATCH(Work_Codes!$I$6,$D$35:$D$37,0)))</f>
        <v>0</v>
      </c>
      <c r="K334" s="80">
        <f ca="1">K323*(1+INDEX(K$35:K$37,MATCH(Work_Codes!$I$6,$D$35:$D$37,0)))</f>
        <v>0</v>
      </c>
      <c r="L334" s="80">
        <f ca="1">L323*(1+INDEX(L$35:L$37,MATCH(Work_Codes!$I$6,$D$35:$D$37,0)))</f>
        <v>0</v>
      </c>
      <c r="M334" s="80">
        <f ca="1">M323*(1+INDEX(M$35:M$37,MATCH(Work_Codes!$I$6,$D$35:$D$37,0)))</f>
        <v>0</v>
      </c>
      <c r="N334" s="80">
        <f ca="1">N323*(1+INDEX(N$35:N$37,MATCH(Work_Codes!$I$6,$D$35:$D$37,0)))</f>
        <v>0</v>
      </c>
      <c r="O334" s="80">
        <f ca="1">O323*(1+INDEX(O$35:O$37,MATCH(Work_Codes!$I$6,$D$35:$D$37,0)))</f>
        <v>0</v>
      </c>
      <c r="P334" s="80">
        <f ca="1">P323*(1+INDEX(P$35:P$37,MATCH(Work_Codes!$I$6,$D$35:$D$37,0)))</f>
        <v>0</v>
      </c>
      <c r="Q334" s="80">
        <f ca="1">Q323*(1+INDEX(Q$35:Q$37,MATCH(Work_Codes!$I$6,$D$35:$D$37,0)))</f>
        <v>0</v>
      </c>
      <c r="R334" s="80">
        <f ca="1">R323*(1+INDEX(R$35:R$37,MATCH(Work_Codes!$I$6,$D$35:$D$37,0)))</f>
        <v>0</v>
      </c>
      <c r="S334" s="80">
        <f ca="1">S323*(1+INDEX(S$35:S$37,MATCH(Work_Codes!$I$6,$D$35:$D$37,0)))</f>
        <v>0</v>
      </c>
      <c r="T334" s="80">
        <f ca="1">T323*(1+INDEX(T$35:T$37,MATCH(Work_Codes!$I$6,$D$35:$D$37,0)))</f>
        <v>0</v>
      </c>
    </row>
    <row r="335" spans="4:20" s="41" customFormat="1" outlineLevel="2">
      <c r="E335" s="251" t="str">
        <f>GC!C80</f>
        <v>Meters Industrial &amp; Commercial</v>
      </c>
      <c r="F335" s="251"/>
      <c r="G335" s="251"/>
      <c r="H335" s="251"/>
      <c r="I335" s="251"/>
      <c r="J335" s="80">
        <f ca="1">J324*(1+INDEX(J$35:J$37,MATCH(Work_Codes!$I$6,$D$35:$D$37,0)))</f>
        <v>0</v>
      </c>
      <c r="K335" s="80">
        <f ca="1">K324*(1+INDEX(K$35:K$37,MATCH(Work_Codes!$I$6,$D$35:$D$37,0)))</f>
        <v>0</v>
      </c>
      <c r="L335" s="80">
        <f ca="1">L324*(1+INDEX(L$35:L$37,MATCH(Work_Codes!$I$6,$D$35:$D$37,0)))</f>
        <v>0</v>
      </c>
      <c r="M335" s="80">
        <f ca="1">M324*(1+INDEX(M$35:M$37,MATCH(Work_Codes!$I$6,$D$35:$D$37,0)))</f>
        <v>0</v>
      </c>
      <c r="N335" s="80">
        <f ca="1">N324*(1+INDEX(N$35:N$37,MATCH(Work_Codes!$I$6,$D$35:$D$37,0)))</f>
        <v>0</v>
      </c>
      <c r="O335" s="80">
        <f ca="1">O324*(1+INDEX(O$35:O$37,MATCH(Work_Codes!$I$6,$D$35:$D$37,0)))</f>
        <v>0</v>
      </c>
      <c r="P335" s="80">
        <f ca="1">P324*(1+INDEX(P$35:P$37,MATCH(Work_Codes!$I$6,$D$35:$D$37,0)))</f>
        <v>0</v>
      </c>
      <c r="Q335" s="80">
        <f ca="1">Q324*(1+INDEX(Q$35:Q$37,MATCH(Work_Codes!$I$6,$D$35:$D$37,0)))</f>
        <v>0</v>
      </c>
      <c r="R335" s="80">
        <f ca="1">R324*(1+INDEX(R$35:R$37,MATCH(Work_Codes!$I$6,$D$35:$D$37,0)))</f>
        <v>0</v>
      </c>
      <c r="S335" s="80">
        <f ca="1">S324*(1+INDEX(S$35:S$37,MATCH(Work_Codes!$I$6,$D$35:$D$37,0)))</f>
        <v>0</v>
      </c>
      <c r="T335" s="80">
        <f ca="1">T324*(1+INDEX(T$35:T$37,MATCH(Work_Codes!$I$6,$D$35:$D$37,0)))</f>
        <v>0</v>
      </c>
    </row>
    <row r="336" spans="4:20" s="41" customFormat="1" outlineLevel="2">
      <c r="E336" s="251" t="str">
        <f>GC!C81</f>
        <v>Buildings</v>
      </c>
      <c r="F336" s="251"/>
      <c r="G336" s="251"/>
      <c r="H336" s="251"/>
      <c r="I336" s="251"/>
      <c r="J336" s="80">
        <f ca="1">J325*(1+INDEX(J$35:J$37,MATCH(Work_Codes!$I$6,$D$35:$D$37,0)))</f>
        <v>0</v>
      </c>
      <c r="K336" s="80">
        <f ca="1">K325*(1+INDEX(K$35:K$37,MATCH(Work_Codes!$I$6,$D$35:$D$37,0)))</f>
        <v>0</v>
      </c>
      <c r="L336" s="80">
        <f ca="1">L325*(1+INDEX(L$35:L$37,MATCH(Work_Codes!$I$6,$D$35:$D$37,0)))</f>
        <v>0</v>
      </c>
      <c r="M336" s="80">
        <f ca="1">M325*(1+INDEX(M$35:M$37,MATCH(Work_Codes!$I$6,$D$35:$D$37,0)))</f>
        <v>0</v>
      </c>
      <c r="N336" s="80">
        <f ca="1">N325*(1+INDEX(N$35:N$37,MATCH(Work_Codes!$I$6,$D$35:$D$37,0)))</f>
        <v>0</v>
      </c>
      <c r="O336" s="80">
        <f ca="1">O325*(1+INDEX(O$35:O$37,MATCH(Work_Codes!$I$6,$D$35:$D$37,0)))</f>
        <v>0</v>
      </c>
      <c r="P336" s="80">
        <f ca="1">P325*(1+INDEX(P$35:P$37,MATCH(Work_Codes!$I$6,$D$35:$D$37,0)))</f>
        <v>0</v>
      </c>
      <c r="Q336" s="80">
        <f ca="1">Q325*(1+INDEX(Q$35:Q$37,MATCH(Work_Codes!$I$6,$D$35:$D$37,0)))</f>
        <v>0</v>
      </c>
      <c r="R336" s="80">
        <f ca="1">R325*(1+INDEX(R$35:R$37,MATCH(Work_Codes!$I$6,$D$35:$D$37,0)))</f>
        <v>0</v>
      </c>
      <c r="S336" s="80">
        <f ca="1">S325*(1+INDEX(S$35:S$37,MATCH(Work_Codes!$I$6,$D$35:$D$37,0)))</f>
        <v>0</v>
      </c>
      <c r="T336" s="80">
        <f ca="1">T325*(1+INDEX(T$35:T$37,MATCH(Work_Codes!$I$6,$D$35:$D$37,0)))</f>
        <v>0</v>
      </c>
    </row>
    <row r="337" spans="2:20" s="41" customFormat="1" outlineLevel="2">
      <c r="E337" s="251" t="str">
        <f>GC!C82</f>
        <v>Other Assets</v>
      </c>
      <c r="F337" s="251"/>
      <c r="G337" s="251"/>
      <c r="H337" s="251"/>
      <c r="I337" s="251"/>
      <c r="J337" s="80">
        <f ca="1">J326*(1+INDEX(J$35:J$37,MATCH(Work_Codes!$I$6,$D$35:$D$37,0)))</f>
        <v>0</v>
      </c>
      <c r="K337" s="80">
        <f ca="1">K326*(1+INDEX(K$35:K$37,MATCH(Work_Codes!$I$6,$D$35:$D$37,0)))</f>
        <v>0</v>
      </c>
      <c r="L337" s="80">
        <f ca="1">L326*(1+INDEX(L$35:L$37,MATCH(Work_Codes!$I$6,$D$35:$D$37,0)))</f>
        <v>0</v>
      </c>
      <c r="M337" s="80">
        <f ca="1">M326*(1+INDEX(M$35:M$37,MATCH(Work_Codes!$I$6,$D$35:$D$37,0)))</f>
        <v>0</v>
      </c>
      <c r="N337" s="80">
        <f ca="1">N326*(1+INDEX(N$35:N$37,MATCH(Work_Codes!$I$6,$D$35:$D$37,0)))</f>
        <v>0</v>
      </c>
      <c r="O337" s="80">
        <f ca="1">O326*(1+INDEX(O$35:O$37,MATCH(Work_Codes!$I$6,$D$35:$D$37,0)))</f>
        <v>0</v>
      </c>
      <c r="P337" s="80">
        <f ca="1">P326*(1+INDEX(P$35:P$37,MATCH(Work_Codes!$I$6,$D$35:$D$37,0)))</f>
        <v>0</v>
      </c>
      <c r="Q337" s="80">
        <f ca="1">Q326*(1+INDEX(Q$35:Q$37,MATCH(Work_Codes!$I$6,$D$35:$D$37,0)))</f>
        <v>0</v>
      </c>
      <c r="R337" s="80">
        <f ca="1">R326*(1+INDEX(R$35:R$37,MATCH(Work_Codes!$I$6,$D$35:$D$37,0)))</f>
        <v>0</v>
      </c>
      <c r="S337" s="80">
        <f ca="1">S326*(1+INDEX(S$35:S$37,MATCH(Work_Codes!$I$6,$D$35:$D$37,0)))</f>
        <v>0</v>
      </c>
      <c r="T337" s="80">
        <f ca="1">T326*(1+INDEX(T$35:T$37,MATCH(Work_Codes!$I$6,$D$35:$D$37,0)))</f>
        <v>0</v>
      </c>
    </row>
    <row r="338" spans="2:20" s="41" customFormat="1" outlineLevel="2">
      <c r="E338" s="251" t="str">
        <f>GC!C83</f>
        <v>Repairs</v>
      </c>
      <c r="F338" s="251"/>
      <c r="G338" s="251"/>
      <c r="H338" s="251"/>
      <c r="I338" s="251"/>
      <c r="J338" s="80">
        <f ca="1">J327*(1+INDEX(J$35:J$37,MATCH(Work_Codes!$I$6,$D$35:$D$37,0)))</f>
        <v>0</v>
      </c>
      <c r="K338" s="80">
        <f ca="1">K327*(1+INDEX(K$35:K$37,MATCH(Work_Codes!$I$6,$D$35:$D$37,0)))</f>
        <v>0</v>
      </c>
      <c r="L338" s="80">
        <f ca="1">L327*(1+INDEX(L$35:L$37,MATCH(Work_Codes!$I$6,$D$35:$D$37,0)))</f>
        <v>0</v>
      </c>
      <c r="M338" s="80">
        <f ca="1">M327*(1+INDEX(M$35:M$37,MATCH(Work_Codes!$I$6,$D$35:$D$37,0)))</f>
        <v>0</v>
      </c>
      <c r="N338" s="80">
        <f ca="1">N327*(1+INDEX(N$35:N$37,MATCH(Work_Codes!$I$6,$D$35:$D$37,0)))</f>
        <v>0</v>
      </c>
      <c r="O338" s="80">
        <f ca="1">O327*(1+INDEX(O$35:O$37,MATCH(Work_Codes!$I$6,$D$35:$D$37,0)))</f>
        <v>0</v>
      </c>
      <c r="P338" s="80">
        <f ca="1">P327*(1+INDEX(P$35:P$37,MATCH(Work_Codes!$I$6,$D$35:$D$37,0)))</f>
        <v>0</v>
      </c>
      <c r="Q338" s="80">
        <f ca="1">Q327*(1+INDEX(Q$35:Q$37,MATCH(Work_Codes!$I$6,$D$35:$D$37,0)))</f>
        <v>0</v>
      </c>
      <c r="R338" s="80">
        <f ca="1">R327*(1+INDEX(R$35:R$37,MATCH(Work_Codes!$I$6,$D$35:$D$37,0)))</f>
        <v>0</v>
      </c>
      <c r="S338" s="80">
        <f ca="1">S327*(1+INDEX(S$35:S$37,MATCH(Work_Codes!$I$6,$D$35:$D$37,0)))</f>
        <v>0</v>
      </c>
      <c r="T338" s="80">
        <f ca="1">T327*(1+INDEX(T$35:T$37,MATCH(Work_Codes!$I$6,$D$35:$D$37,0)))</f>
        <v>0</v>
      </c>
    </row>
    <row r="339" spans="2:20" s="41" customFormat="1" outlineLevel="2">
      <c r="E339" s="251" t="str">
        <f>GC!C84</f>
        <v>Land</v>
      </c>
      <c r="F339" s="251"/>
      <c r="G339" s="251"/>
      <c r="H339" s="251"/>
      <c r="I339" s="251"/>
      <c r="J339" s="80">
        <f ca="1">J328*(1+INDEX(J$35:J$37,MATCH(Work_Codes!$I$6,$D$35:$D$37,0)))</f>
        <v>0</v>
      </c>
      <c r="K339" s="80">
        <f ca="1">K328*(1+INDEX(K$35:K$37,MATCH(Work_Codes!$I$6,$D$35:$D$37,0)))</f>
        <v>0</v>
      </c>
      <c r="L339" s="80">
        <f ca="1">L328*(1+INDEX(L$35:L$37,MATCH(Work_Codes!$I$6,$D$35:$D$37,0)))</f>
        <v>0</v>
      </c>
      <c r="M339" s="80">
        <f ca="1">M328*(1+INDEX(M$35:M$37,MATCH(Work_Codes!$I$6,$D$35:$D$37,0)))</f>
        <v>0</v>
      </c>
      <c r="N339" s="80">
        <f ca="1">N328*(1+INDEX(N$35:N$37,MATCH(Work_Codes!$I$6,$D$35:$D$37,0)))</f>
        <v>0</v>
      </c>
      <c r="O339" s="80">
        <f ca="1">O328*(1+INDEX(O$35:O$37,MATCH(Work_Codes!$I$6,$D$35:$D$37,0)))</f>
        <v>0</v>
      </c>
      <c r="P339" s="80">
        <f ca="1">P328*(1+INDEX(P$35:P$37,MATCH(Work_Codes!$I$6,$D$35:$D$37,0)))</f>
        <v>0</v>
      </c>
      <c r="Q339" s="80">
        <f ca="1">Q328*(1+INDEX(Q$35:Q$37,MATCH(Work_Codes!$I$6,$D$35:$D$37,0)))</f>
        <v>0</v>
      </c>
      <c r="R339" s="80">
        <f ca="1">R328*(1+INDEX(R$35:R$37,MATCH(Work_Codes!$I$6,$D$35:$D$37,0)))</f>
        <v>0</v>
      </c>
      <c r="S339" s="80">
        <f ca="1">S328*(1+INDEX(S$35:S$37,MATCH(Work_Codes!$I$6,$D$35:$D$37,0)))</f>
        <v>0</v>
      </c>
      <c r="T339" s="80">
        <f ca="1">T328*(1+INDEX(T$35:T$37,MATCH(Work_Codes!$I$6,$D$35:$D$37,0)))</f>
        <v>0</v>
      </c>
    </row>
    <row r="340" spans="2:20" s="41" customFormat="1" outlineLevel="2">
      <c r="E340" s="250" t="str">
        <f>"Total "&amp;D331</f>
        <v>Total Direct Costs +  Overheads</v>
      </c>
      <c r="F340" s="250"/>
      <c r="G340" s="250"/>
      <c r="H340" s="250"/>
      <c r="I340" s="250"/>
      <c r="J340" s="101">
        <f t="shared" ref="J340:T340" ca="1" si="36">SUM(J333:J339)</f>
        <v>0</v>
      </c>
      <c r="K340" s="101">
        <f t="shared" ca="1" si="36"/>
        <v>0</v>
      </c>
      <c r="L340" s="101">
        <f t="shared" ca="1" si="36"/>
        <v>0</v>
      </c>
      <c r="M340" s="101">
        <f t="shared" ca="1" si="36"/>
        <v>0</v>
      </c>
      <c r="N340" s="101">
        <f t="shared" ca="1" si="36"/>
        <v>17994773.35045718</v>
      </c>
      <c r="O340" s="101">
        <f t="shared" ca="1" si="36"/>
        <v>17878050.150082275</v>
      </c>
      <c r="P340" s="101">
        <f t="shared" ca="1" si="36"/>
        <v>22444119.068674445</v>
      </c>
      <c r="Q340" s="101">
        <f t="shared" ca="1" si="36"/>
        <v>18832150.730028253</v>
      </c>
      <c r="R340" s="101">
        <f t="shared" ca="1" si="36"/>
        <v>13387805.311751381</v>
      </c>
      <c r="S340" s="101">
        <f t="shared" ca="1" si="36"/>
        <v>14141653.992021855</v>
      </c>
      <c r="T340" s="101">
        <f t="shared" ca="1" si="36"/>
        <v>8370784.3572596833</v>
      </c>
    </row>
    <row r="341" spans="2:20" s="41" customFormat="1" outlineLevel="1">
      <c r="B341" s="109"/>
      <c r="C341" s="109"/>
      <c r="D341" s="109"/>
      <c r="E341" s="109"/>
      <c r="F341" s="109"/>
      <c r="G341" s="109"/>
      <c r="H341" s="109"/>
      <c r="I341" s="109"/>
      <c r="J341" s="109"/>
      <c r="K341" s="109"/>
      <c r="L341" s="109"/>
      <c r="M341" s="109"/>
      <c r="N341" s="109"/>
      <c r="O341" s="109"/>
      <c r="P341" s="109"/>
      <c r="Q341" s="109"/>
      <c r="R341" s="109"/>
      <c r="S341" s="109"/>
      <c r="T341" s="109"/>
    </row>
    <row r="342" spans="2:20" s="41" customFormat="1" outlineLevel="1"/>
    <row r="343" spans="2:20" s="41" customFormat="1" outlineLevel="1">
      <c r="C343" s="50" t="s">
        <v>19</v>
      </c>
    </row>
    <row r="344" spans="2:20" s="41" customFormat="1" ht="5.9" customHeight="1" outlineLevel="1"/>
    <row r="345" spans="2:20" s="41" customFormat="1" outlineLevel="1">
      <c r="F345" s="52" t="str">
        <f>$B$23&amp;" Work Code v RAB Category Direct Check"</f>
        <v>3001 - Inputs Work Code v RAB Category Direct Check</v>
      </c>
      <c r="I345" s="130">
        <f ca="1">IF(ISERROR(SUM(J345:T345)),1,MIN(SUM(J345:T345),1))</f>
        <v>0</v>
      </c>
      <c r="J345" s="81">
        <f t="shared" ref="J345:T345" ca="1" si="37">J175-J198</f>
        <v>0</v>
      </c>
      <c r="K345" s="81">
        <f t="shared" ca="1" si="37"/>
        <v>0</v>
      </c>
      <c r="L345" s="81">
        <f t="shared" ca="1" si="37"/>
        <v>0</v>
      </c>
      <c r="M345" s="81">
        <f t="shared" ca="1" si="37"/>
        <v>0</v>
      </c>
      <c r="N345" s="81">
        <f t="shared" ca="1" si="37"/>
        <v>0</v>
      </c>
      <c r="O345" s="81">
        <f t="shared" ca="1" si="37"/>
        <v>0</v>
      </c>
      <c r="P345" s="81">
        <f t="shared" ca="1" si="37"/>
        <v>0</v>
      </c>
      <c r="Q345" s="81">
        <f t="shared" ca="1" si="37"/>
        <v>0</v>
      </c>
      <c r="R345" s="81">
        <f t="shared" ca="1" si="37"/>
        <v>0</v>
      </c>
      <c r="S345" s="81">
        <f t="shared" ca="1" si="37"/>
        <v>0</v>
      </c>
      <c r="T345" s="81">
        <f t="shared" ca="1" si="37"/>
        <v>0</v>
      </c>
    </row>
    <row r="346" spans="2:20" s="41" customFormat="1" outlineLevel="1">
      <c r="F346" s="52" t="str">
        <f>$B$23&amp;" Work Code v RIN Category Direct Check"</f>
        <v>3001 - Inputs Work Code v RIN Category Direct Check</v>
      </c>
      <c r="I346" s="130">
        <f ca="1">IF(ISERROR(SUM(J346:T346)),1,MIN(SUM(J346:T346),1))</f>
        <v>0</v>
      </c>
      <c r="J346" s="81">
        <f t="shared" ref="J346:T346" ca="1" si="38">J175-J279</f>
        <v>0</v>
      </c>
      <c r="K346" s="81">
        <f t="shared" ca="1" si="38"/>
        <v>0</v>
      </c>
      <c r="L346" s="81">
        <f t="shared" ca="1" si="38"/>
        <v>0</v>
      </c>
      <c r="M346" s="81">
        <f t="shared" ca="1" si="38"/>
        <v>0</v>
      </c>
      <c r="N346" s="81">
        <f t="shared" ca="1" si="38"/>
        <v>0</v>
      </c>
      <c r="O346" s="81">
        <f t="shared" ca="1" si="38"/>
        <v>0</v>
      </c>
      <c r="P346" s="81">
        <f t="shared" ca="1" si="38"/>
        <v>0</v>
      </c>
      <c r="Q346" s="81">
        <f t="shared" ca="1" si="38"/>
        <v>0</v>
      </c>
      <c r="R346" s="81">
        <f t="shared" ca="1" si="38"/>
        <v>0</v>
      </c>
      <c r="S346" s="81">
        <f t="shared" ca="1" si="38"/>
        <v>0</v>
      </c>
      <c r="T346" s="81">
        <f t="shared" ca="1" si="38"/>
        <v>0</v>
      </c>
    </row>
    <row r="347" spans="2:20" s="41" customFormat="1" outlineLevel="1">
      <c r="F347" s="52" t="str">
        <f>$B$23&amp;" Work Code v Tax Category Direct Check"</f>
        <v>3001 - Inputs Work Code v Tax Category Direct Check</v>
      </c>
      <c r="I347" s="130">
        <f ca="1">IF(ISERROR(SUM(J347:T347)),1,MIN(SUM(J347:T347),1))</f>
        <v>0</v>
      </c>
      <c r="J347" s="81">
        <f t="shared" ref="J347:T347" ca="1" si="39">J175-J329</f>
        <v>0</v>
      </c>
      <c r="K347" s="81">
        <f t="shared" ca="1" si="39"/>
        <v>0</v>
      </c>
      <c r="L347" s="81">
        <f t="shared" ca="1" si="39"/>
        <v>0</v>
      </c>
      <c r="M347" s="81">
        <f t="shared" ca="1" si="39"/>
        <v>0</v>
      </c>
      <c r="N347" s="81">
        <f t="shared" ca="1" si="39"/>
        <v>0</v>
      </c>
      <c r="O347" s="81">
        <f t="shared" ca="1" si="39"/>
        <v>0</v>
      </c>
      <c r="P347" s="81">
        <f t="shared" ca="1" si="39"/>
        <v>0</v>
      </c>
      <c r="Q347" s="81">
        <f t="shared" ca="1" si="39"/>
        <v>0</v>
      </c>
      <c r="R347" s="81">
        <f t="shared" ca="1" si="39"/>
        <v>0</v>
      </c>
      <c r="S347" s="81">
        <f t="shared" ca="1" si="39"/>
        <v>0</v>
      </c>
      <c r="T347" s="81">
        <f t="shared" ca="1" si="39"/>
        <v>0</v>
      </c>
    </row>
    <row r="348" spans="2:20" outlineLevel="1">
      <c r="F348" s="51" t="str">
        <f>$B$23&amp;" Customer Contributions v RAB Category Direct Check"</f>
        <v>3001 - Inputs Customer Contributions v RAB Category Direct Check</v>
      </c>
      <c r="I348" s="130">
        <f ca="1">IF(ISERROR(SUM(J348:T348)),1,MIN(SUM(J348:T348),1))</f>
        <v>0</v>
      </c>
      <c r="J348" s="81">
        <f t="shared" ref="J348:T348" ca="1" si="40">J100-J258</f>
        <v>0</v>
      </c>
      <c r="K348" s="81">
        <f t="shared" ca="1" si="40"/>
        <v>0</v>
      </c>
      <c r="L348" s="81">
        <f t="shared" ca="1" si="40"/>
        <v>0</v>
      </c>
      <c r="M348" s="81">
        <f t="shared" ca="1" si="40"/>
        <v>0</v>
      </c>
      <c r="N348" s="81">
        <f t="shared" ca="1" si="40"/>
        <v>0</v>
      </c>
      <c r="O348" s="81">
        <f t="shared" ca="1" si="40"/>
        <v>0</v>
      </c>
      <c r="P348" s="81">
        <f t="shared" ca="1" si="40"/>
        <v>0</v>
      </c>
      <c r="Q348" s="81">
        <f t="shared" ca="1" si="40"/>
        <v>0</v>
      </c>
      <c r="R348" s="81">
        <f t="shared" ca="1" si="40"/>
        <v>0</v>
      </c>
      <c r="S348" s="81">
        <f t="shared" ca="1" si="40"/>
        <v>0</v>
      </c>
      <c r="T348" s="81">
        <f t="shared" ca="1" si="40"/>
        <v>0</v>
      </c>
    </row>
    <row r="349" spans="2:20" s="41" customFormat="1" ht="5.9" customHeight="1" outlineLevel="1"/>
    <row r="350" spans="2:20" s="41" customFormat="1" outlineLevel="1">
      <c r="F350" s="52" t="str">
        <f>$B$23&amp;" RAB v RIN Direct + Overhead Check"</f>
        <v>3001 - Inputs RAB v RIN Direct + Overhead Check</v>
      </c>
      <c r="I350" s="130">
        <f ca="1">IF(ISERROR(SUM(J350:T350)),1,MIN(SUM(J350:T350),1))</f>
        <v>0</v>
      </c>
      <c r="J350" s="81">
        <f t="shared" ref="J350:T350" ca="1" si="41">J238-J297</f>
        <v>0</v>
      </c>
      <c r="K350" s="81">
        <f t="shared" ca="1" si="41"/>
        <v>0</v>
      </c>
      <c r="L350" s="81">
        <f t="shared" ca="1" si="41"/>
        <v>0</v>
      </c>
      <c r="M350" s="81">
        <f t="shared" ca="1" si="41"/>
        <v>0</v>
      </c>
      <c r="N350" s="81">
        <f t="shared" ca="1" si="41"/>
        <v>0</v>
      </c>
      <c r="O350" s="81">
        <f t="shared" ca="1" si="41"/>
        <v>0</v>
      </c>
      <c r="P350" s="81">
        <f t="shared" ca="1" si="41"/>
        <v>0</v>
      </c>
      <c r="Q350" s="81">
        <f t="shared" ca="1" si="41"/>
        <v>0</v>
      </c>
      <c r="R350" s="81">
        <f t="shared" ca="1" si="41"/>
        <v>0</v>
      </c>
      <c r="S350" s="81">
        <f t="shared" ca="1" si="41"/>
        <v>0</v>
      </c>
      <c r="T350" s="81">
        <f t="shared" ca="1" si="41"/>
        <v>0</v>
      </c>
    </row>
    <row r="351" spans="2:20" s="41" customFormat="1" outlineLevel="1">
      <c r="F351" s="52" t="str">
        <f>$B$23&amp;" RAB v Tax Direct + Overhead Check"</f>
        <v>3001 - Inputs RAB v Tax Direct + Overhead Check</v>
      </c>
      <c r="I351" s="130">
        <f ca="1">IF(ISERROR(SUM(J351:T351)),1,MIN(SUM(J351:T351),1))</f>
        <v>0</v>
      </c>
      <c r="J351" s="81">
        <f t="shared" ref="J351:T351" ca="1" si="42">J238-J340</f>
        <v>0</v>
      </c>
      <c r="K351" s="81">
        <f t="shared" ca="1" si="42"/>
        <v>0</v>
      </c>
      <c r="L351" s="81">
        <f t="shared" ca="1" si="42"/>
        <v>0</v>
      </c>
      <c r="M351" s="81">
        <f t="shared" ca="1" si="42"/>
        <v>0</v>
      </c>
      <c r="N351" s="81">
        <f t="shared" ca="1" si="42"/>
        <v>0</v>
      </c>
      <c r="O351" s="81">
        <f t="shared" ca="1" si="42"/>
        <v>0</v>
      </c>
      <c r="P351" s="81">
        <f t="shared" ca="1" si="42"/>
        <v>0</v>
      </c>
      <c r="Q351" s="81">
        <f t="shared" ca="1" si="42"/>
        <v>0</v>
      </c>
      <c r="R351" s="81">
        <f t="shared" ca="1" si="42"/>
        <v>0</v>
      </c>
      <c r="S351" s="81">
        <f t="shared" ca="1" si="42"/>
        <v>0</v>
      </c>
      <c r="T351" s="81">
        <f t="shared" ca="1" si="42"/>
        <v>0</v>
      </c>
    </row>
    <row r="352" spans="2:20" s="41" customFormat="1" ht="12" outlineLevel="1" thickBot="1">
      <c r="B352" s="104"/>
      <c r="C352" s="104"/>
      <c r="D352" s="104"/>
      <c r="E352" s="104"/>
      <c r="F352" s="104"/>
      <c r="G352" s="104"/>
      <c r="H352" s="104"/>
      <c r="I352" s="104"/>
      <c r="J352" s="104"/>
      <c r="K352" s="104"/>
      <c r="L352" s="104"/>
      <c r="M352" s="104"/>
      <c r="N352" s="104"/>
      <c r="O352" s="104"/>
      <c r="P352" s="104"/>
      <c r="Q352" s="104"/>
      <c r="R352" s="104"/>
      <c r="S352" s="104"/>
      <c r="T352" s="104"/>
    </row>
  </sheetData>
  <sheetProtection formatColumns="0" formatRows="0"/>
  <mergeCells count="136">
    <mergeCell ref="E315:I315"/>
    <mergeCell ref="E301:I301"/>
    <mergeCell ref="E302:I302"/>
    <mergeCell ref="E303:I303"/>
    <mergeCell ref="E304:I304"/>
    <mergeCell ref="E305:I305"/>
    <mergeCell ref="E306:I306"/>
    <mergeCell ref="E307:I307"/>
    <mergeCell ref="E308:I308"/>
    <mergeCell ref="E309:I309"/>
    <mergeCell ref="E310:I310"/>
    <mergeCell ref="E311:I311"/>
    <mergeCell ref="E312:I312"/>
    <mergeCell ref="E313:I313"/>
    <mergeCell ref="E314:I314"/>
    <mergeCell ref="E187:I187"/>
    <mergeCell ref="E188:I188"/>
    <mergeCell ref="D175:I175"/>
    <mergeCell ref="E229:I229"/>
    <mergeCell ref="E230:I230"/>
    <mergeCell ref="E205:I205"/>
    <mergeCell ref="E206:I206"/>
    <mergeCell ref="E207:I207"/>
    <mergeCell ref="E208:I208"/>
    <mergeCell ref="E209:I209"/>
    <mergeCell ref="E210:I210"/>
    <mergeCell ref="E211:I211"/>
    <mergeCell ref="E212:I212"/>
    <mergeCell ref="E228:I228"/>
    <mergeCell ref="E272:I272"/>
    <mergeCell ref="E273:I273"/>
    <mergeCell ref="E254:I254"/>
    <mergeCell ref="E255:I255"/>
    <mergeCell ref="E256:I256"/>
    <mergeCell ref="E257:I257"/>
    <mergeCell ref="E249:I249"/>
    <mergeCell ref="E250:I250"/>
    <mergeCell ref="E251:I251"/>
    <mergeCell ref="E252:I252"/>
    <mergeCell ref="E265:I265"/>
    <mergeCell ref="E266:I266"/>
    <mergeCell ref="E267:I267"/>
    <mergeCell ref="E268:I268"/>
    <mergeCell ref="E269:I269"/>
    <mergeCell ref="E270:I270"/>
    <mergeCell ref="E271:I271"/>
    <mergeCell ref="E247:I247"/>
    <mergeCell ref="E253:I253"/>
    <mergeCell ref="E258:I258"/>
    <mergeCell ref="E242:I242"/>
    <mergeCell ref="E243:I243"/>
    <mergeCell ref="E244:I244"/>
    <mergeCell ref="E245:I245"/>
    <mergeCell ref="E246:I246"/>
    <mergeCell ref="E248:I248"/>
    <mergeCell ref="E235:I235"/>
    <mergeCell ref="E236:I236"/>
    <mergeCell ref="E237:I237"/>
    <mergeCell ref="E238:I238"/>
    <mergeCell ref="E340:I340"/>
    <mergeCell ref="E333:I333"/>
    <mergeCell ref="E334:I334"/>
    <mergeCell ref="E335:I335"/>
    <mergeCell ref="E336:I336"/>
    <mergeCell ref="E337:I337"/>
    <mergeCell ref="E338:I338"/>
    <mergeCell ref="E339:I339"/>
    <mergeCell ref="E297:I297"/>
    <mergeCell ref="E329:I329"/>
    <mergeCell ref="E322:I322"/>
    <mergeCell ref="E323:I323"/>
    <mergeCell ref="E324:I324"/>
    <mergeCell ref="E325:I325"/>
    <mergeCell ref="E326:I326"/>
    <mergeCell ref="E327:I327"/>
    <mergeCell ref="E328:I328"/>
    <mergeCell ref="E294:I294"/>
    <mergeCell ref="E296:I296"/>
    <mergeCell ref="E289:I289"/>
    <mergeCell ref="E295:I295"/>
    <mergeCell ref="E274:I274"/>
    <mergeCell ref="E292:I292"/>
    <mergeCell ref="E283:I283"/>
    <mergeCell ref="E284:I284"/>
    <mergeCell ref="E285:I285"/>
    <mergeCell ref="E275:I275"/>
    <mergeCell ref="E277:I277"/>
    <mergeCell ref="E278:I278"/>
    <mergeCell ref="E291:I291"/>
    <mergeCell ref="E293:I293"/>
    <mergeCell ref="E286:I286"/>
    <mergeCell ref="E287:I287"/>
    <mergeCell ref="E288:I288"/>
    <mergeCell ref="E290:I290"/>
    <mergeCell ref="E276:I276"/>
    <mergeCell ref="E279:I279"/>
    <mergeCell ref="E234:I234"/>
    <mergeCell ref="E224:I224"/>
    <mergeCell ref="E225:I225"/>
    <mergeCell ref="E226:I226"/>
    <mergeCell ref="E227:I227"/>
    <mergeCell ref="E231:I231"/>
    <mergeCell ref="E232:I232"/>
    <mergeCell ref="E198:I198"/>
    <mergeCell ref="E213:I213"/>
    <mergeCell ref="E233:I233"/>
    <mergeCell ref="E222:I222"/>
    <mergeCell ref="E223:I223"/>
    <mergeCell ref="E218:I218"/>
    <mergeCell ref="E202:I202"/>
    <mergeCell ref="E203:I203"/>
    <mergeCell ref="E204:I204"/>
    <mergeCell ref="N2:O2"/>
    <mergeCell ref="E194:I194"/>
    <mergeCell ref="E195:I195"/>
    <mergeCell ref="E196:I196"/>
    <mergeCell ref="E197:I197"/>
    <mergeCell ref="E214:I214"/>
    <mergeCell ref="E215:I215"/>
    <mergeCell ref="E216:I216"/>
    <mergeCell ref="E217:I217"/>
    <mergeCell ref="D94:I94"/>
    <mergeCell ref="E189:I189"/>
    <mergeCell ref="E190:I190"/>
    <mergeCell ref="E191:I191"/>
    <mergeCell ref="E193:I193"/>
    <mergeCell ref="D100:I100"/>
    <mergeCell ref="E192:I192"/>
    <mergeCell ref="D121:I121"/>
    <mergeCell ref="D139:I139"/>
    <mergeCell ref="D157:I157"/>
    <mergeCell ref="E182:I182"/>
    <mergeCell ref="E183:I183"/>
    <mergeCell ref="E184:I184"/>
    <mergeCell ref="E185:I185"/>
    <mergeCell ref="E186:I186"/>
  </mergeCells>
  <conditionalFormatting sqref="I345">
    <cfRule type="cellIs" dxfId="983" priority="1" operator="notEqual">
      <formula>0</formula>
    </cfRule>
  </conditionalFormatting>
  <conditionalFormatting sqref="J345:T345">
    <cfRule type="cellIs" dxfId="982" priority="2" operator="notEqual">
      <formula>0</formula>
    </cfRule>
  </conditionalFormatting>
  <conditionalFormatting sqref="I346">
    <cfRule type="cellIs" dxfId="981" priority="3" operator="notEqual">
      <formula>0</formula>
    </cfRule>
  </conditionalFormatting>
  <conditionalFormatting sqref="J346:T346">
    <cfRule type="cellIs" dxfId="980" priority="4" operator="notEqual">
      <formula>0</formula>
    </cfRule>
  </conditionalFormatting>
  <conditionalFormatting sqref="I347">
    <cfRule type="cellIs" dxfId="979" priority="5" operator="notEqual">
      <formula>0</formula>
    </cfRule>
  </conditionalFormatting>
  <conditionalFormatting sqref="J347:T347">
    <cfRule type="cellIs" dxfId="978" priority="6" operator="notEqual">
      <formula>0</formula>
    </cfRule>
  </conditionalFormatting>
  <conditionalFormatting sqref="I350">
    <cfRule type="cellIs" dxfId="977" priority="7" operator="notEqual">
      <formula>0</formula>
    </cfRule>
  </conditionalFormatting>
  <conditionalFormatting sqref="J350:T350">
    <cfRule type="cellIs" dxfId="976" priority="8" operator="notEqual">
      <formula>0</formula>
    </cfRule>
  </conditionalFormatting>
  <conditionalFormatting sqref="I351">
    <cfRule type="cellIs" dxfId="975" priority="9" operator="notEqual">
      <formula>0</formula>
    </cfRule>
  </conditionalFormatting>
  <conditionalFormatting sqref="J351:T351">
    <cfRule type="cellIs" dxfId="974" priority="10" operator="notEqual">
      <formula>0</formula>
    </cfRule>
  </conditionalFormatting>
  <conditionalFormatting sqref="I348">
    <cfRule type="cellIs" dxfId="973" priority="11" operator="notEqual">
      <formula>0</formula>
    </cfRule>
  </conditionalFormatting>
  <conditionalFormatting sqref="J348:T348">
    <cfRule type="cellIs" dxfId="972" priority="12" operator="notEqual">
      <formula>0</formula>
    </cfRule>
  </conditionalFormatting>
  <dataValidations count="1">
    <dataValidation type="custom" showErrorMessage="1" errorTitle="Invalid Assumption" error="Assumption must be a number." sqref="J98:T98 J62:T74 J44:T56" xr:uid="{08FF8954-1F4D-46F7-9DDB-5BF7575BB46D}">
      <formula1>NOT(ISERROR(J44/1))</formula1>
    </dataValidation>
  </dataValidations>
  <hyperlinks>
    <hyperlink ref="A1" location="HL_Home" tooltip="Go to Table of Contents" display="HL_Home" xr:uid="{2EA2D5D3-EF86-475E-AE15-11DF13234739}"/>
    <hyperlink ref="A2" location="HL_Err_Chk" tooltip="Go to Error Checks" display="HL_Err_Chk" xr:uid="{F22AFC78-2888-4ABB-A5C4-25B2639ABB85}"/>
  </hyperlinks>
  <pageMargins left="0.39370078740157499" right="0.39370078740157499" top="0.59055118110236204" bottom="0.98425196850393704" header="0" footer="0.31496062992126"/>
  <pageSetup paperSize="9" orientation="landscape" r:id="rId1"/>
  <headerFooter>
    <oddFooter>&amp;L&amp;F
&amp;A
Printed: &amp;T on &amp;D&amp;CPage &amp;P of &amp;N</oddFooter>
  </headerFooter>
  <customProperties>
    <customPr name="EpmWorksheetKeyString_GUID" r:id="rId2"/>
  </customProperties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F41E93-45AE-4B49-9B68-5A5DA5F9BA99}">
  <sheetPr>
    <pageSetUpPr autoPageBreaks="0"/>
  </sheetPr>
  <dimension ref="A1:T345"/>
  <sheetViews>
    <sheetView showGridLines="0" zoomScaleNormal="100" workbookViewId="0">
      <pane xSplit="9" ySplit="21" topLeftCell="J25" activePane="bottomRight" state="frozen"/>
      <selection activeCell="N2" sqref="N2:O2"/>
      <selection pane="topRight" activeCell="N2" sqref="N2:O2"/>
      <selection pane="bottomLeft" activeCell="N2" sqref="N2:O2"/>
      <selection pane="bottomRight" activeCell="N2" sqref="N2:O2"/>
    </sheetView>
  </sheetViews>
  <sheetFormatPr defaultColWidth="11.59765625" defaultRowHeight="11.5" outlineLevelRow="3"/>
  <cols>
    <col min="1" max="5" width="3.59765625" customWidth="1"/>
    <col min="6" max="7" width="15.59765625" customWidth="1"/>
  </cols>
  <sheetData>
    <row r="1" spans="1:20" ht="14">
      <c r="A1" s="10" t="s">
        <v>11</v>
      </c>
      <c r="B1" s="6" t="s">
        <v>278</v>
      </c>
    </row>
    <row r="2" spans="1:20" ht="13">
      <c r="A2" s="23" t="s">
        <v>26</v>
      </c>
      <c r="B2" s="7" t="str">
        <f ca="1">Model_Name</f>
        <v>GAAR Capex Forecast</v>
      </c>
      <c r="N2" s="253" t="s">
        <v>493</v>
      </c>
      <c r="O2" s="253"/>
    </row>
    <row r="3" spans="1:20">
      <c r="B3" s="30"/>
      <c r="C3" s="30"/>
      <c r="D3" s="30"/>
      <c r="E3" s="30"/>
      <c r="F3" s="30"/>
      <c r="G3" s="30"/>
      <c r="H3" s="30"/>
      <c r="I3" s="30"/>
      <c r="J3" s="30"/>
      <c r="K3" s="30"/>
      <c r="L3" s="30"/>
      <c r="M3" s="30"/>
      <c r="N3" s="30"/>
      <c r="O3" s="30"/>
      <c r="P3" s="30"/>
      <c r="Q3" s="30"/>
      <c r="R3" s="30"/>
      <c r="S3" s="30"/>
      <c r="T3" s="30"/>
    </row>
    <row r="4" spans="1:20">
      <c r="B4" s="116" t="s">
        <v>74</v>
      </c>
      <c r="C4" s="118"/>
      <c r="D4" s="118"/>
      <c r="E4" s="118"/>
      <c r="F4" s="118"/>
      <c r="G4" s="118"/>
      <c r="H4" s="118"/>
      <c r="I4" s="118"/>
      <c r="J4" s="119">
        <f t="shared" ref="J4:T4" si="0">J8</f>
        <v>43465</v>
      </c>
      <c r="K4" s="119">
        <f t="shared" si="0"/>
        <v>43830</v>
      </c>
      <c r="L4" s="119">
        <f t="shared" si="0"/>
        <v>44196</v>
      </c>
      <c r="M4" s="119">
        <f t="shared" si="0"/>
        <v>44561</v>
      </c>
      <c r="N4" s="119">
        <f t="shared" si="0"/>
        <v>44926</v>
      </c>
      <c r="O4" s="121">
        <f t="shared" si="0"/>
        <v>45107</v>
      </c>
      <c r="P4" s="121">
        <f t="shared" si="0"/>
        <v>45473</v>
      </c>
      <c r="Q4" s="121">
        <f t="shared" si="0"/>
        <v>45838</v>
      </c>
      <c r="R4" s="121">
        <f t="shared" si="0"/>
        <v>46203</v>
      </c>
      <c r="S4" s="121">
        <f t="shared" si="0"/>
        <v>46568</v>
      </c>
      <c r="T4" s="121">
        <f t="shared" si="0"/>
        <v>46934</v>
      </c>
    </row>
    <row r="5" spans="1:20">
      <c r="B5" s="117" t="s">
        <v>100</v>
      </c>
      <c r="C5" s="117"/>
      <c r="D5" s="117"/>
      <c r="E5" s="117"/>
      <c r="F5" s="117"/>
      <c r="G5" s="117"/>
      <c r="H5" s="117"/>
      <c r="I5" s="117"/>
      <c r="J5" s="120">
        <f t="shared" ref="J5:T5" si="1">YEAR(J8)</f>
        <v>2018</v>
      </c>
      <c r="K5" s="120">
        <f t="shared" si="1"/>
        <v>2019</v>
      </c>
      <c r="L5" s="120">
        <f t="shared" si="1"/>
        <v>2020</v>
      </c>
      <c r="M5" s="120">
        <f t="shared" si="1"/>
        <v>2021</v>
      </c>
      <c r="N5" s="120">
        <f t="shared" si="1"/>
        <v>2022</v>
      </c>
      <c r="O5" s="120">
        <f t="shared" si="1"/>
        <v>2023</v>
      </c>
      <c r="P5" s="120">
        <f t="shared" si="1"/>
        <v>2024</v>
      </c>
      <c r="Q5" s="120">
        <f t="shared" si="1"/>
        <v>2025</v>
      </c>
      <c r="R5" s="120">
        <f t="shared" si="1"/>
        <v>2026</v>
      </c>
      <c r="S5" s="120">
        <f t="shared" si="1"/>
        <v>2027</v>
      </c>
      <c r="T5" s="120">
        <f t="shared" si="1"/>
        <v>2028</v>
      </c>
    </row>
    <row r="6" spans="1:20">
      <c r="B6" s="113" t="s">
        <v>91</v>
      </c>
      <c r="C6" s="113"/>
      <c r="D6" s="113"/>
      <c r="E6" s="113"/>
      <c r="F6" s="113"/>
      <c r="G6" s="113"/>
      <c r="H6" s="113"/>
      <c r="I6" s="113"/>
      <c r="J6" s="115" t="str">
        <f t="shared" ref="J6:T6" si="2">IF(J$17,"Actual","Forecast")</f>
        <v>Actual</v>
      </c>
      <c r="K6" s="115" t="str">
        <f t="shared" si="2"/>
        <v>Actual</v>
      </c>
      <c r="L6" s="115" t="str">
        <f t="shared" si="2"/>
        <v>Actual</v>
      </c>
      <c r="M6" s="115" t="str">
        <f t="shared" si="2"/>
        <v>Actual</v>
      </c>
      <c r="N6" s="115" t="str">
        <f t="shared" si="2"/>
        <v>Forecast</v>
      </c>
      <c r="O6" s="114" t="str">
        <f t="shared" si="2"/>
        <v>Forecast</v>
      </c>
      <c r="P6" s="114" t="str">
        <f t="shared" si="2"/>
        <v>Forecast</v>
      </c>
      <c r="Q6" s="114" t="str">
        <f t="shared" si="2"/>
        <v>Forecast</v>
      </c>
      <c r="R6" s="114" t="str">
        <f t="shared" si="2"/>
        <v>Forecast</v>
      </c>
      <c r="S6" s="114" t="str">
        <f t="shared" si="2"/>
        <v>Forecast</v>
      </c>
      <c r="T6" s="114" t="str">
        <f t="shared" si="2"/>
        <v>Forecast</v>
      </c>
    </row>
    <row r="7" spans="1:20" hidden="1" outlineLevel="3">
      <c r="B7" s="30" t="s">
        <v>101</v>
      </c>
      <c r="C7" s="30"/>
      <c r="D7" s="30"/>
      <c r="E7" s="30"/>
      <c r="F7" s="30"/>
      <c r="G7" s="30"/>
      <c r="H7" s="30"/>
      <c r="I7" s="30"/>
      <c r="J7" s="36">
        <f>EDATE(Ts_Start_Date,(J10-1)*Ts_Mths_In_Yr)</f>
        <v>43101</v>
      </c>
      <c r="K7" s="36">
        <f>EDATE(Ts_Start_Date,(K10-1)*Ts_Mths_In_Yr)</f>
        <v>43466</v>
      </c>
      <c r="L7" s="36">
        <f>EDATE(Ts_Start_Date,(L10-1)*Ts_Mths_In_Yr)</f>
        <v>43831</v>
      </c>
      <c r="M7" s="36">
        <f>EDATE(Ts_Start_Date,(M10-1)*Ts_Mths_In_Yr)</f>
        <v>44197</v>
      </c>
      <c r="N7" s="36">
        <f>EDATE(Ts_Start_Date,(N10-1)*Ts_Mths_In_Yr)</f>
        <v>44562</v>
      </c>
      <c r="O7" s="36">
        <f>Ts_Stub_Start_Date</f>
        <v>44927</v>
      </c>
      <c r="P7" s="36">
        <f>EDATE(Ts_Forecast_Reg_Start_Date,(P16-1)*Ts_Mths_In_Yr)</f>
        <v>45108</v>
      </c>
      <c r="Q7" s="36">
        <f>EDATE(Ts_Forecast_Reg_Start_Date,(Q16-1)*Ts_Mths_In_Yr)</f>
        <v>45474</v>
      </c>
      <c r="R7" s="36">
        <f>EDATE(Ts_Forecast_Reg_Start_Date,(R16-1)*Ts_Mths_In_Yr)</f>
        <v>45839</v>
      </c>
      <c r="S7" s="36">
        <f>EDATE(Ts_Forecast_Reg_Start_Date,(S16-1)*Ts_Mths_In_Yr)</f>
        <v>46204</v>
      </c>
      <c r="T7" s="36">
        <f>EDATE(Ts_Forecast_Reg_Start_Date,(T16-1)*Ts_Mths_In_Yr)</f>
        <v>46569</v>
      </c>
    </row>
    <row r="8" spans="1:20" hidden="1" outlineLevel="3">
      <c r="B8" s="30" t="s">
        <v>102</v>
      </c>
      <c r="C8" s="30"/>
      <c r="D8" s="30"/>
      <c r="E8" s="30"/>
      <c r="F8" s="30"/>
      <c r="G8" s="30"/>
      <c r="H8" s="30"/>
      <c r="I8" s="30"/>
      <c r="J8" s="36">
        <f>EOMONTH(J7,Ts_Mths_In_Yr-1)</f>
        <v>43465</v>
      </c>
      <c r="K8" s="36">
        <f>EOMONTH(K7,Ts_Mths_In_Yr-1)</f>
        <v>43830</v>
      </c>
      <c r="L8" s="36">
        <f>EOMONTH(L7,Ts_Mths_In_Yr-1)</f>
        <v>44196</v>
      </c>
      <c r="M8" s="36">
        <f>EOMONTH(M7,Ts_Mths_In_Yr-1)</f>
        <v>44561</v>
      </c>
      <c r="N8" s="36">
        <f>EOMONTH(N7,Ts_Mths_In_Yr-1)</f>
        <v>44926</v>
      </c>
      <c r="O8" s="36">
        <f>EOMONTH(O7,Ts_Stub_Length-1)</f>
        <v>45107</v>
      </c>
      <c r="P8" s="36">
        <f>EOMONTH(P7,Ts_Mths_In_Yr-1)</f>
        <v>45473</v>
      </c>
      <c r="Q8" s="36">
        <f>EOMONTH(Q7,Ts_Mths_In_Yr-1)</f>
        <v>45838</v>
      </c>
      <c r="R8" s="36">
        <f>EOMONTH(R7,Ts_Mths_In_Yr-1)</f>
        <v>46203</v>
      </c>
      <c r="S8" s="36">
        <f>EOMONTH(S7,Ts_Mths_In_Yr-1)</f>
        <v>46568</v>
      </c>
      <c r="T8" s="36">
        <f>EOMONTH(T7,Ts_Mths_In_Yr-1)</f>
        <v>46934</v>
      </c>
    </row>
    <row r="9" spans="1:20" hidden="1" outlineLevel="3">
      <c r="B9" s="30" t="s">
        <v>87</v>
      </c>
      <c r="C9" s="30"/>
      <c r="D9" s="30"/>
      <c r="E9" s="30"/>
      <c r="F9" s="30"/>
      <c r="G9" s="30"/>
      <c r="H9" s="30"/>
      <c r="I9" s="30"/>
      <c r="J9" s="14">
        <f t="shared" ref="J9:T9" si="3">DATEDIF(J7,J8,"m")+1</f>
        <v>12</v>
      </c>
      <c r="K9" s="14">
        <f t="shared" si="3"/>
        <v>12</v>
      </c>
      <c r="L9" s="14">
        <f t="shared" si="3"/>
        <v>12</v>
      </c>
      <c r="M9" s="14">
        <f t="shared" si="3"/>
        <v>12</v>
      </c>
      <c r="N9" s="14">
        <f t="shared" si="3"/>
        <v>12</v>
      </c>
      <c r="O9" s="14">
        <f t="shared" si="3"/>
        <v>6</v>
      </c>
      <c r="P9" s="38">
        <f t="shared" si="3"/>
        <v>12</v>
      </c>
      <c r="Q9" s="38">
        <f t="shared" si="3"/>
        <v>12</v>
      </c>
      <c r="R9" s="38">
        <f t="shared" si="3"/>
        <v>12</v>
      </c>
      <c r="S9" s="38">
        <f t="shared" si="3"/>
        <v>12</v>
      </c>
      <c r="T9" s="38">
        <f t="shared" si="3"/>
        <v>12</v>
      </c>
    </row>
    <row r="10" spans="1:20" hidden="1" outlineLevel="3">
      <c r="B10" s="30" t="s">
        <v>72</v>
      </c>
      <c r="C10" s="30"/>
      <c r="D10" s="30"/>
      <c r="E10" s="30"/>
      <c r="F10" s="30"/>
      <c r="G10" s="30"/>
      <c r="H10" s="30"/>
      <c r="I10" s="30"/>
      <c r="J10" s="40">
        <f>COLUMNS($J$10:J10)</f>
        <v>1</v>
      </c>
      <c r="K10" s="40">
        <f>COLUMNS($J$10:K10)</f>
        <v>2</v>
      </c>
      <c r="L10" s="40">
        <f>COLUMNS($J$10:L10)</f>
        <v>3</v>
      </c>
      <c r="M10" s="40">
        <f>COLUMNS($J$10:M10)</f>
        <v>4</v>
      </c>
      <c r="N10" s="40">
        <f>COLUMNS($J$10:N10)</f>
        <v>5</v>
      </c>
      <c r="O10" s="40">
        <f>COLUMNS($J$10:O10)</f>
        <v>6</v>
      </c>
      <c r="P10" s="40">
        <f>COLUMNS($J$10:P10)</f>
        <v>7</v>
      </c>
      <c r="Q10" s="40">
        <f>COLUMNS($J$10:Q10)</f>
        <v>8</v>
      </c>
      <c r="R10" s="40">
        <f>COLUMNS($J$10:R10)</f>
        <v>9</v>
      </c>
      <c r="S10" s="40">
        <f>COLUMNS($J$10:S10)</f>
        <v>10</v>
      </c>
      <c r="T10" s="40">
        <f>COLUMNS($J$10:T10)</f>
        <v>11</v>
      </c>
    </row>
    <row r="11" spans="1:20" hidden="1" outlineLevel="3">
      <c r="B11" s="30" t="s">
        <v>76</v>
      </c>
      <c r="C11" s="30"/>
      <c r="D11" s="30"/>
      <c r="E11" s="30"/>
      <c r="F11" s="30"/>
      <c r="G11" s="30"/>
      <c r="H11" s="30"/>
      <c r="I11" s="30"/>
      <c r="J11" s="40">
        <f>(J12&lt;&gt;0)*1</f>
        <v>1</v>
      </c>
      <c r="K11" s="40">
        <f>(K12&lt;&gt;0)*1</f>
        <v>1</v>
      </c>
      <c r="L11" s="40">
        <f>(L12&lt;&gt;0)*1</f>
        <v>1</v>
      </c>
      <c r="M11" s="40">
        <f>(M12&lt;&gt;0)*1</f>
        <v>1</v>
      </c>
      <c r="N11" s="40">
        <f>(N12&lt;&gt;0)*1</f>
        <v>1</v>
      </c>
      <c r="O11" s="45">
        <v>0</v>
      </c>
      <c r="P11" s="45">
        <v>0</v>
      </c>
      <c r="Q11" s="45">
        <v>0</v>
      </c>
      <c r="R11" s="45">
        <v>0</v>
      </c>
      <c r="S11" s="45">
        <v>0</v>
      </c>
      <c r="T11" s="45">
        <v>0</v>
      </c>
    </row>
    <row r="12" spans="1:20" hidden="1" outlineLevel="3">
      <c r="B12" s="30" t="s">
        <v>96</v>
      </c>
      <c r="C12" s="30"/>
      <c r="D12" s="30"/>
      <c r="E12" s="30"/>
      <c r="F12" s="30"/>
      <c r="G12" s="30"/>
      <c r="H12" s="30"/>
      <c r="I12" s="30"/>
      <c r="J12" s="40">
        <f>COLUMNS($J$10:J10)</f>
        <v>1</v>
      </c>
      <c r="K12" s="40">
        <f>COLUMNS($J$10:K10)</f>
        <v>2</v>
      </c>
      <c r="L12" s="40">
        <f>COLUMNS($J$10:L10)</f>
        <v>3</v>
      </c>
      <c r="M12" s="40">
        <f>COLUMNS($J$10:M10)</f>
        <v>4</v>
      </c>
      <c r="N12" s="40">
        <f>COLUMNS($J$10:N10)</f>
        <v>5</v>
      </c>
      <c r="O12" s="45">
        <v>0</v>
      </c>
      <c r="P12" s="45">
        <v>0</v>
      </c>
      <c r="Q12" s="45">
        <v>0</v>
      </c>
      <c r="R12" s="45">
        <v>0</v>
      </c>
      <c r="S12" s="45">
        <v>0</v>
      </c>
      <c r="T12" s="45">
        <v>0</v>
      </c>
    </row>
    <row r="13" spans="1:20" hidden="1" outlineLevel="3">
      <c r="B13" s="30" t="s">
        <v>79</v>
      </c>
      <c r="C13" s="30"/>
      <c r="D13" s="30"/>
      <c r="E13" s="30"/>
      <c r="F13" s="30"/>
      <c r="G13" s="30"/>
      <c r="H13" s="30"/>
      <c r="I13" s="30"/>
      <c r="J13" s="45">
        <v>0</v>
      </c>
      <c r="K13" s="45">
        <v>0</v>
      </c>
      <c r="L13" s="45">
        <v>0</v>
      </c>
      <c r="M13" s="45">
        <v>0</v>
      </c>
      <c r="N13" s="45">
        <v>0</v>
      </c>
      <c r="O13" s="40">
        <f>(O14&lt;&gt;0)*1</f>
        <v>1</v>
      </c>
      <c r="P13" s="45">
        <v>0</v>
      </c>
      <c r="Q13" s="45">
        <v>0</v>
      </c>
      <c r="R13" s="45">
        <v>0</v>
      </c>
      <c r="S13" s="45">
        <v>0</v>
      </c>
      <c r="T13" s="45">
        <v>0</v>
      </c>
    </row>
    <row r="14" spans="1:20" hidden="1" outlineLevel="3">
      <c r="B14" s="30" t="s">
        <v>97</v>
      </c>
      <c r="C14" s="30"/>
      <c r="D14" s="30"/>
      <c r="E14" s="30"/>
      <c r="F14" s="30"/>
      <c r="G14" s="30"/>
      <c r="H14" s="30"/>
      <c r="I14" s="30"/>
      <c r="J14" s="45">
        <v>0</v>
      </c>
      <c r="K14" s="45">
        <v>0</v>
      </c>
      <c r="L14" s="45">
        <v>0</v>
      </c>
      <c r="M14" s="45">
        <v>0</v>
      </c>
      <c r="N14" s="45">
        <v>0</v>
      </c>
      <c r="O14" s="40">
        <f>COLUMNS($O$14:O14)</f>
        <v>1</v>
      </c>
      <c r="P14" s="45">
        <v>0</v>
      </c>
      <c r="Q14" s="45">
        <v>0</v>
      </c>
      <c r="R14" s="45">
        <v>0</v>
      </c>
      <c r="S14" s="45">
        <v>0</v>
      </c>
      <c r="T14" s="45">
        <v>0</v>
      </c>
    </row>
    <row r="15" spans="1:20" hidden="1" outlineLevel="3">
      <c r="B15" s="30" t="s">
        <v>82</v>
      </c>
      <c r="C15" s="30"/>
      <c r="D15" s="30"/>
      <c r="E15" s="30"/>
      <c r="F15" s="30"/>
      <c r="G15" s="30"/>
      <c r="H15" s="30"/>
      <c r="I15" s="30"/>
      <c r="J15" s="45">
        <v>0</v>
      </c>
      <c r="K15" s="45">
        <v>0</v>
      </c>
      <c r="L15" s="45">
        <v>0</v>
      </c>
      <c r="M15" s="45">
        <v>0</v>
      </c>
      <c r="N15" s="45">
        <v>0</v>
      </c>
      <c r="O15" s="45">
        <v>0</v>
      </c>
      <c r="P15" s="39">
        <f>(P16&lt;&gt;0)*1</f>
        <v>1</v>
      </c>
      <c r="Q15" s="39">
        <f>(Q16&lt;&gt;0)*1</f>
        <v>1</v>
      </c>
      <c r="R15" s="39">
        <f>(R16&lt;&gt;0)*1</f>
        <v>1</v>
      </c>
      <c r="S15" s="39">
        <f>(S16&lt;&gt;0)*1</f>
        <v>1</v>
      </c>
      <c r="T15" s="39">
        <f>(T16&lt;&gt;0)*1</f>
        <v>1</v>
      </c>
    </row>
    <row r="16" spans="1:20" hidden="1" outlineLevel="3">
      <c r="B16" s="30" t="s">
        <v>98</v>
      </c>
      <c r="C16" s="30"/>
      <c r="D16" s="30"/>
      <c r="E16" s="30"/>
      <c r="F16" s="30"/>
      <c r="G16" s="30"/>
      <c r="H16" s="30"/>
      <c r="I16" s="30"/>
      <c r="J16" s="45">
        <v>0</v>
      </c>
      <c r="K16" s="45">
        <v>0</v>
      </c>
      <c r="L16" s="45">
        <v>0</v>
      </c>
      <c r="M16" s="45">
        <v>0</v>
      </c>
      <c r="N16" s="45">
        <v>0</v>
      </c>
      <c r="O16" s="45">
        <v>0</v>
      </c>
      <c r="P16" s="39">
        <f>COLUMNS($P$16:P16)</f>
        <v>1</v>
      </c>
      <c r="Q16" s="39">
        <f>COLUMNS($P$16:Q16)</f>
        <v>2</v>
      </c>
      <c r="R16" s="39">
        <f>COLUMNS($P$16:R16)</f>
        <v>3</v>
      </c>
      <c r="S16" s="39">
        <f>COLUMNS($P$16:S16)</f>
        <v>4</v>
      </c>
      <c r="T16" s="39">
        <f>COLUMNS($P$16:T16)</f>
        <v>5</v>
      </c>
    </row>
    <row r="17" spans="2:20" hidden="1" outlineLevel="3">
      <c r="B17" s="30" t="s">
        <v>206</v>
      </c>
      <c r="C17" s="30"/>
      <c r="D17" s="30"/>
      <c r="E17" s="30"/>
      <c r="F17" s="30"/>
      <c r="G17" s="30"/>
      <c r="H17" s="30"/>
      <c r="I17" s="30"/>
      <c r="J17" s="39">
        <f t="shared" ref="J17:T17" si="4">IF(J$5&lt;=Ts_Last_Actual_Year,1,0)</f>
        <v>1</v>
      </c>
      <c r="K17" s="39">
        <f t="shared" si="4"/>
        <v>1</v>
      </c>
      <c r="L17" s="39">
        <f t="shared" si="4"/>
        <v>1</v>
      </c>
      <c r="M17" s="39">
        <f t="shared" si="4"/>
        <v>1</v>
      </c>
      <c r="N17" s="39">
        <f t="shared" si="4"/>
        <v>0</v>
      </c>
      <c r="O17" s="39">
        <f t="shared" si="4"/>
        <v>0</v>
      </c>
      <c r="P17" s="39">
        <f t="shared" si="4"/>
        <v>0</v>
      </c>
      <c r="Q17" s="39">
        <f t="shared" si="4"/>
        <v>0</v>
      </c>
      <c r="R17" s="39">
        <f t="shared" si="4"/>
        <v>0</v>
      </c>
      <c r="S17" s="39">
        <f t="shared" si="4"/>
        <v>0</v>
      </c>
      <c r="T17" s="39">
        <f t="shared" si="4"/>
        <v>0</v>
      </c>
    </row>
    <row r="18" spans="2:20" hidden="1" outlineLevel="3">
      <c r="B18" s="30" t="s">
        <v>207</v>
      </c>
      <c r="C18" s="30"/>
      <c r="D18" s="30"/>
      <c r="E18" s="30"/>
      <c r="F18" s="30"/>
      <c r="G18" s="30"/>
      <c r="H18" s="30"/>
      <c r="I18" s="30"/>
      <c r="J18" s="39">
        <f t="shared" ref="J18:T18" si="5">IF(J$5&gt;Ts_Last_Actual_Year,1,0)</f>
        <v>0</v>
      </c>
      <c r="K18" s="39">
        <f t="shared" si="5"/>
        <v>0</v>
      </c>
      <c r="L18" s="39">
        <f t="shared" si="5"/>
        <v>0</v>
      </c>
      <c r="M18" s="39">
        <f t="shared" si="5"/>
        <v>0</v>
      </c>
      <c r="N18" s="39">
        <f t="shared" si="5"/>
        <v>1</v>
      </c>
      <c r="O18" s="40">
        <f t="shared" si="5"/>
        <v>1</v>
      </c>
      <c r="P18" s="40">
        <f t="shared" si="5"/>
        <v>1</v>
      </c>
      <c r="Q18" s="40">
        <f t="shared" si="5"/>
        <v>1</v>
      </c>
      <c r="R18" s="40">
        <f t="shared" si="5"/>
        <v>1</v>
      </c>
      <c r="S18" s="40">
        <f t="shared" si="5"/>
        <v>1</v>
      </c>
      <c r="T18" s="40">
        <f t="shared" si="5"/>
        <v>1</v>
      </c>
    </row>
    <row r="19" spans="2:20" hidden="1" outlineLevel="3">
      <c r="B19" s="30" t="s">
        <v>208</v>
      </c>
      <c r="C19" s="30"/>
      <c r="D19" s="30"/>
      <c r="E19" s="30"/>
      <c r="F19" s="30"/>
      <c r="G19" s="30"/>
      <c r="H19" s="30"/>
      <c r="I19" s="30"/>
      <c r="J19" s="39">
        <f>SUM($J18:J18)</f>
        <v>0</v>
      </c>
      <c r="K19" s="39">
        <f>SUM($J18:K18)</f>
        <v>0</v>
      </c>
      <c r="L19" s="39">
        <f>SUM($J18:L18)</f>
        <v>0</v>
      </c>
      <c r="M19" s="39">
        <f>SUM($J18:M18)</f>
        <v>0</v>
      </c>
      <c r="N19" s="39">
        <f>SUM($J18:N18)</f>
        <v>1</v>
      </c>
      <c r="O19" s="40">
        <f>SUM($J18:O18)</f>
        <v>2</v>
      </c>
      <c r="P19" s="40">
        <f>SUM($J18:P18)</f>
        <v>3</v>
      </c>
      <c r="Q19" s="40">
        <f>SUM($J18:Q18)</f>
        <v>4</v>
      </c>
      <c r="R19" s="40">
        <f>SUM($J18:R18)</f>
        <v>5</v>
      </c>
      <c r="S19" s="40">
        <f>SUM($J18:S18)</f>
        <v>6</v>
      </c>
      <c r="T19" s="40">
        <f>SUM($J18:T18)</f>
        <v>7</v>
      </c>
    </row>
    <row r="20" spans="2:20" hidden="1" outlineLevel="3">
      <c r="B20" s="30" t="s">
        <v>481</v>
      </c>
      <c r="C20" s="30"/>
      <c r="D20" s="30"/>
      <c r="E20" s="30"/>
      <c r="F20" s="30"/>
      <c r="G20" s="30"/>
      <c r="H20" s="30"/>
      <c r="I20" s="30"/>
      <c r="J20" s="38">
        <f t="shared" ref="J20:N20" si="6">J9/12</f>
        <v>1</v>
      </c>
      <c r="K20" s="38">
        <f t="shared" si="6"/>
        <v>1</v>
      </c>
      <c r="L20" s="38">
        <f t="shared" si="6"/>
        <v>1</v>
      </c>
      <c r="M20" s="38">
        <f t="shared" si="6"/>
        <v>1</v>
      </c>
      <c r="N20" s="38">
        <f t="shared" si="6"/>
        <v>1</v>
      </c>
      <c r="O20" s="38">
        <f>O9/12</f>
        <v>0.5</v>
      </c>
      <c r="P20" s="38">
        <f t="shared" ref="P20:T20" si="7">P9/12</f>
        <v>1</v>
      </c>
      <c r="Q20" s="38">
        <f t="shared" si="7"/>
        <v>1</v>
      </c>
      <c r="R20" s="38">
        <f t="shared" si="7"/>
        <v>1</v>
      </c>
      <c r="S20" s="38">
        <f t="shared" si="7"/>
        <v>1</v>
      </c>
      <c r="T20" s="38">
        <f t="shared" si="7"/>
        <v>1</v>
      </c>
    </row>
    <row r="21" spans="2:20" hidden="1" outlineLevel="3">
      <c r="B21" s="30"/>
      <c r="C21" s="30"/>
      <c r="D21" s="30"/>
      <c r="E21" s="30"/>
      <c r="F21" s="30"/>
      <c r="G21" s="30"/>
      <c r="H21" s="30"/>
      <c r="I21" s="30"/>
      <c r="J21" s="30"/>
      <c r="K21" s="30"/>
      <c r="L21" s="30"/>
      <c r="M21" s="30"/>
      <c r="N21" s="30"/>
      <c r="O21" s="30"/>
      <c r="P21" s="30"/>
      <c r="Q21" s="30"/>
      <c r="R21" s="30"/>
      <c r="S21" s="30"/>
      <c r="T21" s="30"/>
    </row>
    <row r="22" spans="2:20" collapsed="1"/>
    <row r="23" spans="2:20" ht="14">
      <c r="B23" s="110" t="s">
        <v>221</v>
      </c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</row>
    <row r="24" spans="2:20" ht="5.9" customHeight="1"/>
    <row r="25" spans="2:20" ht="14">
      <c r="B25" s="56" t="str">
        <f>GC!F10</f>
        <v>Medium Pressure Replacement - Planned</v>
      </c>
    </row>
    <row r="26" spans="2:20" ht="5.9" customHeight="1" outlineLevel="1"/>
    <row r="27" spans="2:20" hidden="1" outlineLevel="2">
      <c r="C27" s="37" t="s">
        <v>204</v>
      </c>
    </row>
    <row r="28" spans="2:20" ht="5.9" hidden="1" customHeight="1" outlineLevel="2"/>
    <row r="29" spans="2:20" hidden="1" outlineLevel="2">
      <c r="D29" s="51" t="s">
        <v>103</v>
      </c>
      <c r="J29" s="92">
        <f>Rates!J42</f>
        <v>1</v>
      </c>
      <c r="K29" s="92">
        <f>Rates!K42</f>
        <v>1</v>
      </c>
      <c r="L29" s="92">
        <f>Rates!L42</f>
        <v>1</v>
      </c>
      <c r="M29" s="92">
        <f>Rates!M42</f>
        <v>1</v>
      </c>
      <c r="N29" s="92">
        <f>Rates!N42</f>
        <v>1</v>
      </c>
      <c r="O29" s="92">
        <f>Rates!O42</f>
        <v>1.0051959235721353</v>
      </c>
      <c r="P29" s="92">
        <f>Rates!P42</f>
        <v>1.0102301741405761</v>
      </c>
      <c r="Q29" s="92">
        <f>Rates!Q42</f>
        <v>1.0181072873442809</v>
      </c>
      <c r="R29" s="92">
        <f>Rates!R42</f>
        <v>1.0293150686557422</v>
      </c>
      <c r="S29" s="92">
        <f>Rates!S42</f>
        <v>1.040646230246951</v>
      </c>
      <c r="T29" s="92">
        <f>Rates!T42</f>
        <v>1.0521021303433229</v>
      </c>
    </row>
    <row r="30" spans="2:20" hidden="1" outlineLevel="2">
      <c r="D30" s="51" t="s">
        <v>104</v>
      </c>
      <c r="J30" s="92">
        <f>Rates!J43</f>
        <v>1</v>
      </c>
      <c r="K30" s="92">
        <f>Rates!K43</f>
        <v>1</v>
      </c>
      <c r="L30" s="92">
        <f>Rates!L43</f>
        <v>1</v>
      </c>
      <c r="M30" s="92">
        <f>Rates!M43</f>
        <v>1</v>
      </c>
      <c r="N30" s="92">
        <f>Rates!N43</f>
        <v>1</v>
      </c>
      <c r="O30" s="92">
        <f>Rates!O43</f>
        <v>1</v>
      </c>
      <c r="P30" s="92">
        <f>Rates!P43</f>
        <v>1</v>
      </c>
      <c r="Q30" s="92">
        <f>Rates!Q43</f>
        <v>1</v>
      </c>
      <c r="R30" s="92">
        <f>Rates!R43</f>
        <v>1</v>
      </c>
      <c r="S30" s="92">
        <f>Rates!S43</f>
        <v>1</v>
      </c>
      <c r="T30" s="92">
        <f>Rates!T43</f>
        <v>1</v>
      </c>
    </row>
    <row r="31" spans="2:20" hidden="1" outlineLevel="2">
      <c r="D31" s="51" t="s">
        <v>130</v>
      </c>
      <c r="J31" s="92">
        <f>Rates!J45</f>
        <v>1</v>
      </c>
      <c r="K31" s="92">
        <f>Rates!K45</f>
        <v>1</v>
      </c>
      <c r="L31" s="92">
        <f>Rates!L45</f>
        <v>1</v>
      </c>
      <c r="M31" s="92">
        <f>Rates!M45</f>
        <v>1</v>
      </c>
      <c r="N31" s="92">
        <f>Rates!N45</f>
        <v>1</v>
      </c>
      <c r="O31" s="92">
        <f>Rates!O45</f>
        <v>1</v>
      </c>
      <c r="P31" s="92">
        <f>Rates!P45</f>
        <v>1</v>
      </c>
      <c r="Q31" s="92">
        <f>Rates!Q45</f>
        <v>1</v>
      </c>
      <c r="R31" s="92">
        <f>Rates!R45</f>
        <v>1</v>
      </c>
      <c r="S31" s="92">
        <f>Rates!S45</f>
        <v>1</v>
      </c>
      <c r="T31" s="92">
        <f>Rates!T45</f>
        <v>1</v>
      </c>
    </row>
    <row r="32" spans="2:20" ht="5.9" hidden="1" customHeight="1" outlineLevel="2"/>
    <row r="33" spans="3:20" hidden="1" outlineLevel="2">
      <c r="C33" s="37" t="s">
        <v>105</v>
      </c>
    </row>
    <row r="34" spans="3:20" ht="5.9" hidden="1" customHeight="1" outlineLevel="2"/>
    <row r="35" spans="3:20" hidden="1" outlineLevel="2">
      <c r="D35" s="51" t="s">
        <v>106</v>
      </c>
      <c r="J35" s="100">
        <f>Rates!J50</f>
        <v>6.9591273870889495E-2</v>
      </c>
      <c r="K35" s="100">
        <f>Rates!K50</f>
        <v>7.3934468928182201E-2</v>
      </c>
      <c r="L35" s="100">
        <f>Rates!L50</f>
        <v>7.5085976469407303E-2</v>
      </c>
      <c r="M35" s="100">
        <f>Rates!M50</f>
        <v>8.0103391005934096E-2</v>
      </c>
      <c r="N35" s="100">
        <f>Rates!N50</f>
        <v>3.7711007382937055E-2</v>
      </c>
      <c r="O35" s="100">
        <f>Rates!O50</f>
        <v>3.3283969054706777E-2</v>
      </c>
      <c r="P35" s="100">
        <f>Rates!P50</f>
        <v>2.6752660513445464E-2</v>
      </c>
      <c r="Q35" s="100">
        <f>Rates!Q50</f>
        <v>2.6060587348993774E-2</v>
      </c>
      <c r="R35" s="100">
        <f>Rates!R50</f>
        <v>2.6873005987587139E-2</v>
      </c>
      <c r="S35" s="100">
        <f>Rates!S50</f>
        <v>2.8546178928104012E-2</v>
      </c>
      <c r="T35" s="100">
        <f>Rates!T50</f>
        <v>2.9920378203686534E-2</v>
      </c>
    </row>
    <row r="36" spans="3:20" hidden="1" outlineLevel="2">
      <c r="D36" s="51" t="s">
        <v>107</v>
      </c>
      <c r="J36" s="100">
        <f>Rates!J51</f>
        <v>5.5842732834613398E-2</v>
      </c>
      <c r="K36" s="100">
        <f>Rates!K51</f>
        <v>5.16564294790849E-2</v>
      </c>
      <c r="L36" s="100">
        <f>Rates!L51</f>
        <v>6.0535031919173997E-2</v>
      </c>
      <c r="M36" s="100">
        <f>Rates!M51</f>
        <v>7.1630695797579302E-2</v>
      </c>
      <c r="N36" s="100">
        <f>Rates!N51</f>
        <v>7.4343858126268231E-2</v>
      </c>
      <c r="O36" s="100">
        <f>Rates!O51</f>
        <v>7.4059082290758096E-2</v>
      </c>
      <c r="P36" s="100">
        <f>Rates!P51</f>
        <v>2.4388539961794877E-2</v>
      </c>
      <c r="Q36" s="100">
        <f>Rates!Q51</f>
        <v>2.1171310758207256E-2</v>
      </c>
      <c r="R36" s="100">
        <f>Rates!R51</f>
        <v>2.0024144075344485E-2</v>
      </c>
      <c r="S36" s="100">
        <f>Rates!S51</f>
        <v>3.9620009613577346E-2</v>
      </c>
      <c r="T36" s="100">
        <f>Rates!T51</f>
        <v>5.404914337922874E-2</v>
      </c>
    </row>
    <row r="37" spans="3:20" hidden="1" outlineLevel="2">
      <c r="D37" s="51" t="s">
        <v>108</v>
      </c>
      <c r="J37" s="100">
        <f>Rates!J52</f>
        <v>0</v>
      </c>
      <c r="K37" s="100">
        <f>Rates!K52</f>
        <v>0</v>
      </c>
      <c r="L37" s="100">
        <f>Rates!L52</f>
        <v>0</v>
      </c>
      <c r="M37" s="100">
        <f>Rates!M52</f>
        <v>0</v>
      </c>
      <c r="N37" s="100">
        <f>Rates!N52</f>
        <v>0</v>
      </c>
      <c r="O37" s="100">
        <f>Rates!O52</f>
        <v>0</v>
      </c>
      <c r="P37" s="100">
        <f>Rates!P52</f>
        <v>0</v>
      </c>
      <c r="Q37" s="100">
        <f>Rates!Q52</f>
        <v>0</v>
      </c>
      <c r="R37" s="100">
        <f>Rates!R52</f>
        <v>0</v>
      </c>
      <c r="S37" s="100">
        <f>Rates!S52</f>
        <v>0</v>
      </c>
      <c r="T37" s="100">
        <f>Rates!T52</f>
        <v>0</v>
      </c>
    </row>
    <row r="38" spans="3:20" outlineLevel="1" collapsed="1"/>
    <row r="39" spans="3:20" ht="5.9" customHeight="1" outlineLevel="1"/>
    <row r="40" spans="3:20" outlineLevel="1">
      <c r="C40" s="37" t="s">
        <v>118</v>
      </c>
    </row>
    <row r="41" spans="3:20" ht="5.9" customHeight="1" outlineLevel="1"/>
    <row r="42" spans="3:20" outlineLevel="1">
      <c r="D42" s="37" t="s">
        <v>160</v>
      </c>
      <c r="H42" s="107" t="s">
        <v>192</v>
      </c>
    </row>
    <row r="43" spans="3:20" ht="5.9" customHeight="1" outlineLevel="1"/>
    <row r="44" spans="3:20" outlineLevel="1">
      <c r="D44" s="102" t="str">
        <f>Work_Codes!D56</f>
        <v>MP mains replacement program - Altona North</v>
      </c>
      <c r="H44" s="167" t="s">
        <v>198</v>
      </c>
      <c r="J44" s="125"/>
      <c r="K44" s="125"/>
      <c r="L44" s="125"/>
      <c r="M44" s="125"/>
      <c r="N44" s="212"/>
      <c r="O44" s="212"/>
      <c r="P44" s="212"/>
      <c r="Q44" s="212"/>
      <c r="R44" s="212"/>
      <c r="S44" s="212"/>
      <c r="T44" s="212"/>
    </row>
    <row r="45" spans="3:20" outlineLevel="1">
      <c r="D45" s="168" t="str">
        <f>Work_Codes!D57</f>
        <v>MP mains replacement program - Braybrook</v>
      </c>
      <c r="H45" s="63"/>
      <c r="J45" s="125"/>
      <c r="K45" s="125"/>
      <c r="L45" s="125"/>
      <c r="M45" s="125"/>
      <c r="N45" s="212"/>
      <c r="O45" s="212"/>
      <c r="P45" s="212"/>
      <c r="Q45" s="212"/>
      <c r="R45" s="212"/>
      <c r="S45" s="212"/>
      <c r="T45" s="212"/>
    </row>
    <row r="46" spans="3:20" outlineLevel="1">
      <c r="D46" s="168" t="str">
        <f>Work_Codes!D58</f>
        <v>MP mains replacement program - Sunshine</v>
      </c>
      <c r="H46" s="63"/>
      <c r="J46" s="125"/>
      <c r="K46" s="125"/>
      <c r="L46" s="125"/>
      <c r="M46" s="125"/>
      <c r="N46" s="212"/>
      <c r="O46" s="212"/>
      <c r="P46" s="212"/>
      <c r="Q46" s="211"/>
      <c r="R46" s="211"/>
      <c r="S46" s="212"/>
      <c r="T46" s="212"/>
    </row>
    <row r="47" spans="3:20" outlineLevel="1">
      <c r="D47" s="168" t="str">
        <f>Work_Codes!D59</f>
        <v>MP mains replacement program - Deer Park</v>
      </c>
      <c r="H47" s="63"/>
      <c r="J47" s="125"/>
      <c r="K47" s="125"/>
      <c r="L47" s="125"/>
      <c r="M47" s="125"/>
      <c r="N47" s="212"/>
      <c r="O47" s="212"/>
      <c r="P47" s="212"/>
      <c r="Q47" s="212"/>
      <c r="R47" s="212"/>
      <c r="S47" s="212"/>
      <c r="T47" s="212"/>
    </row>
    <row r="48" spans="3:20" outlineLevel="1">
      <c r="D48" s="168" t="str">
        <f>Work_Codes!D60</f>
        <v>MP mains replacement program - Ardeer</v>
      </c>
      <c r="H48" s="63"/>
      <c r="J48" s="125"/>
      <c r="K48" s="125"/>
      <c r="L48" s="125"/>
      <c r="M48" s="125"/>
      <c r="N48" s="212"/>
      <c r="O48" s="212"/>
      <c r="P48" s="212"/>
      <c r="Q48" s="212"/>
      <c r="R48" s="212"/>
      <c r="S48" s="212"/>
      <c r="T48" s="212"/>
    </row>
    <row r="49" spans="3:20" outlineLevel="1">
      <c r="D49" s="168" t="str">
        <f>Work_Codes!D61</f>
        <v>MP mains replacement program - Footscray</v>
      </c>
      <c r="H49" s="63"/>
      <c r="J49" s="125"/>
      <c r="K49" s="125"/>
      <c r="L49" s="125"/>
      <c r="M49" s="125"/>
      <c r="N49" s="212"/>
      <c r="O49" s="212"/>
      <c r="P49" s="212"/>
      <c r="Q49" s="212"/>
      <c r="R49" s="212"/>
      <c r="S49" s="212"/>
      <c r="T49" s="212"/>
    </row>
    <row r="50" spans="3:20" outlineLevel="1">
      <c r="D50" s="168" t="str">
        <f>Work_Codes!D62</f>
        <v>MP mains replacement program - St Albans</v>
      </c>
      <c r="H50" s="63"/>
      <c r="J50" s="125"/>
      <c r="K50" s="125"/>
      <c r="L50" s="125"/>
      <c r="M50" s="125"/>
      <c r="N50" s="212"/>
      <c r="O50" s="212"/>
      <c r="P50" s="212"/>
      <c r="Q50" s="212"/>
      <c r="R50" s="212"/>
      <c r="S50" s="212"/>
      <c r="T50" s="212"/>
    </row>
    <row r="51" spans="3:20" outlineLevel="1">
      <c r="D51" s="168" t="str">
        <f>Work_Codes!D63</f>
        <v>MP mains replacement program - Maidstone</v>
      </c>
      <c r="H51" s="63"/>
      <c r="J51" s="125"/>
      <c r="K51" s="125"/>
      <c r="L51" s="125"/>
      <c r="M51" s="125"/>
      <c r="N51" s="212"/>
      <c r="O51" s="212"/>
      <c r="P51" s="212"/>
      <c r="Q51" s="212"/>
      <c r="R51" s="211"/>
      <c r="S51" s="212"/>
      <c r="T51" s="212"/>
    </row>
    <row r="52" spans="3:20" outlineLevel="1">
      <c r="D52" s="168" t="str">
        <f>Work_Codes!D64</f>
        <v>MP mains replacement program - Yarraville</v>
      </c>
      <c r="H52" s="63"/>
      <c r="J52" s="125"/>
      <c r="K52" s="125"/>
      <c r="L52" s="125"/>
      <c r="M52" s="125"/>
      <c r="N52" s="212"/>
      <c r="O52" s="212"/>
      <c r="P52" s="212"/>
      <c r="Q52" s="212"/>
      <c r="R52" s="212"/>
      <c r="S52" s="212"/>
      <c r="T52" s="212"/>
    </row>
    <row r="53" spans="3:20" outlineLevel="1">
      <c r="D53" s="168" t="str">
        <f>Work_Codes!D65</f>
        <v xml:space="preserve">MP mains replacement program - Newport </v>
      </c>
      <c r="H53" s="63"/>
      <c r="J53" s="125"/>
      <c r="K53" s="125"/>
      <c r="L53" s="125"/>
      <c r="M53" s="125"/>
      <c r="N53" s="212"/>
      <c r="O53" s="212"/>
      <c r="P53" s="212"/>
      <c r="Q53" s="212"/>
      <c r="R53" s="212"/>
      <c r="S53" s="212"/>
      <c r="T53" s="212"/>
    </row>
    <row r="54" spans="3:20" outlineLevel="1">
      <c r="D54" s="168" t="str">
        <f>Work_Codes!D66</f>
        <v>MP mains replacement program - Williamstown</v>
      </c>
      <c r="H54" s="63"/>
      <c r="J54" s="125"/>
      <c r="K54" s="125"/>
      <c r="L54" s="125"/>
      <c r="M54" s="125"/>
      <c r="N54" s="212"/>
      <c r="O54" s="212"/>
      <c r="P54" s="212"/>
      <c r="Q54" s="212"/>
      <c r="R54" s="212"/>
      <c r="S54" s="212"/>
      <c r="T54" s="212"/>
    </row>
    <row r="55" spans="3:20" outlineLevel="1">
      <c r="D55" s="102" t="str">
        <f>Work_Codes!D67</f>
        <v>Capex Items Category 12</v>
      </c>
      <c r="H55" s="63"/>
      <c r="J55" s="125"/>
      <c r="K55" s="125"/>
      <c r="L55" s="125"/>
      <c r="M55" s="125"/>
      <c r="N55" s="212"/>
      <c r="O55" s="212"/>
      <c r="P55" s="212"/>
      <c r="Q55" s="212"/>
      <c r="R55" s="212"/>
      <c r="S55" s="212"/>
      <c r="T55" s="212"/>
    </row>
    <row r="56" spans="3:20" outlineLevel="1">
      <c r="D56" s="105"/>
      <c r="H56" s="58"/>
      <c r="J56" s="66"/>
      <c r="K56" s="66"/>
      <c r="L56" s="66"/>
      <c r="M56" s="66"/>
      <c r="N56" s="66"/>
      <c r="O56" s="66"/>
      <c r="P56" s="66"/>
      <c r="Q56" s="66"/>
      <c r="R56" s="66"/>
      <c r="S56" s="66"/>
      <c r="T56" s="66"/>
    </row>
    <row r="57" spans="3:20" outlineLevel="1">
      <c r="C57" s="37" t="s">
        <v>119</v>
      </c>
    </row>
    <row r="58" spans="3:20" ht="5.9" customHeight="1" outlineLevel="1"/>
    <row r="59" spans="3:20" outlineLevel="1">
      <c r="D59" s="37" t="str">
        <f>D42</f>
        <v>Capex Category</v>
      </c>
    </row>
    <row r="60" spans="3:20" ht="5.9" customHeight="1" outlineLevel="1"/>
    <row r="61" spans="3:20" outlineLevel="1">
      <c r="D61" s="102" t="str">
        <f>Work_Codes!D56</f>
        <v>MP mains replacement program - Altona North</v>
      </c>
      <c r="J61" s="163"/>
      <c r="K61" s="163"/>
      <c r="L61" s="163"/>
      <c r="M61" s="163"/>
      <c r="N61" s="213"/>
      <c r="O61" s="213"/>
      <c r="P61" s="213"/>
      <c r="Q61" s="213"/>
      <c r="R61" s="213"/>
      <c r="S61" s="213"/>
      <c r="T61" s="213"/>
    </row>
    <row r="62" spans="3:20" outlineLevel="1">
      <c r="D62" s="168" t="str">
        <f>Work_Codes!D57</f>
        <v>MP mains replacement program - Braybrook</v>
      </c>
      <c r="J62" s="163"/>
      <c r="K62" s="163"/>
      <c r="L62" s="163"/>
      <c r="M62" s="163"/>
      <c r="N62" s="213"/>
      <c r="O62" s="213"/>
      <c r="P62" s="213"/>
      <c r="Q62" s="213"/>
      <c r="R62" s="213"/>
      <c r="S62" s="213"/>
      <c r="T62" s="213"/>
    </row>
    <row r="63" spans="3:20" outlineLevel="1">
      <c r="D63" s="168" t="str">
        <f>Work_Codes!D58</f>
        <v>MP mains replacement program - Sunshine</v>
      </c>
      <c r="J63" s="163"/>
      <c r="K63" s="163"/>
      <c r="L63" s="163"/>
      <c r="M63" s="163"/>
      <c r="N63" s="213"/>
      <c r="O63" s="213"/>
      <c r="P63" s="213"/>
      <c r="Q63" s="213"/>
      <c r="R63" s="213"/>
      <c r="S63" s="213"/>
      <c r="T63" s="213"/>
    </row>
    <row r="64" spans="3:20" outlineLevel="1">
      <c r="D64" s="168" t="str">
        <f>Work_Codes!D59</f>
        <v>MP mains replacement program - Deer Park</v>
      </c>
      <c r="J64" s="163"/>
      <c r="K64" s="163"/>
      <c r="L64" s="163"/>
      <c r="M64" s="163"/>
      <c r="N64" s="213"/>
      <c r="O64" s="213"/>
      <c r="P64" s="213"/>
      <c r="Q64" s="213"/>
      <c r="R64" s="213"/>
      <c r="S64" s="213"/>
      <c r="T64" s="213"/>
    </row>
    <row r="65" spans="3:20" outlineLevel="1">
      <c r="D65" s="168" t="str">
        <f>Work_Codes!D60</f>
        <v>MP mains replacement program - Ardeer</v>
      </c>
      <c r="J65" s="163"/>
      <c r="K65" s="163"/>
      <c r="L65" s="163"/>
      <c r="M65" s="163"/>
      <c r="N65" s="213"/>
      <c r="O65" s="213"/>
      <c r="P65" s="213"/>
      <c r="Q65" s="213"/>
      <c r="R65" s="213"/>
      <c r="S65" s="213"/>
      <c r="T65" s="213"/>
    </row>
    <row r="66" spans="3:20" outlineLevel="1">
      <c r="D66" s="168" t="str">
        <f>Work_Codes!D61</f>
        <v>MP mains replacement program - Footscray</v>
      </c>
      <c r="J66" s="163"/>
      <c r="K66" s="163"/>
      <c r="L66" s="163"/>
      <c r="M66" s="163"/>
      <c r="N66" s="213"/>
      <c r="O66" s="213"/>
      <c r="P66" s="213"/>
      <c r="Q66" s="213"/>
      <c r="R66" s="213"/>
      <c r="S66" s="213"/>
      <c r="T66" s="213"/>
    </row>
    <row r="67" spans="3:20" outlineLevel="1">
      <c r="D67" s="168" t="str">
        <f>Work_Codes!D62</f>
        <v>MP mains replacement program - St Albans</v>
      </c>
      <c r="J67" s="163"/>
      <c r="K67" s="163"/>
      <c r="L67" s="163"/>
      <c r="M67" s="163"/>
      <c r="N67" s="213"/>
      <c r="O67" s="213"/>
      <c r="P67" s="213"/>
      <c r="Q67" s="213"/>
      <c r="R67" s="213"/>
      <c r="S67" s="213"/>
      <c r="T67" s="213"/>
    </row>
    <row r="68" spans="3:20" outlineLevel="1">
      <c r="D68" s="168" t="str">
        <f>Work_Codes!D63</f>
        <v>MP mains replacement program - Maidstone</v>
      </c>
      <c r="J68" s="163"/>
      <c r="K68" s="163"/>
      <c r="L68" s="163"/>
      <c r="M68" s="163"/>
      <c r="N68" s="213"/>
      <c r="O68" s="213"/>
      <c r="P68" s="213"/>
      <c r="Q68" s="213"/>
      <c r="R68" s="213"/>
      <c r="S68" s="213"/>
      <c r="T68" s="213"/>
    </row>
    <row r="69" spans="3:20" outlineLevel="1">
      <c r="D69" s="168" t="str">
        <f>Work_Codes!D64</f>
        <v>MP mains replacement program - Yarraville</v>
      </c>
      <c r="J69" s="163"/>
      <c r="K69" s="163"/>
      <c r="L69" s="163"/>
      <c r="M69" s="163"/>
      <c r="N69" s="213"/>
      <c r="O69" s="213"/>
      <c r="P69" s="213"/>
      <c r="Q69" s="213"/>
      <c r="R69" s="213"/>
      <c r="S69" s="213"/>
      <c r="T69" s="213"/>
    </row>
    <row r="70" spans="3:20" outlineLevel="1">
      <c r="D70" s="168" t="str">
        <f>Work_Codes!D65</f>
        <v xml:space="preserve">MP mains replacement program - Newport </v>
      </c>
      <c r="J70" s="163"/>
      <c r="K70" s="163"/>
      <c r="L70" s="163"/>
      <c r="M70" s="163"/>
      <c r="N70" s="213"/>
      <c r="O70" s="213"/>
      <c r="P70" s="213"/>
      <c r="Q70" s="213"/>
      <c r="R70" s="213"/>
      <c r="S70" s="213"/>
      <c r="T70" s="213"/>
    </row>
    <row r="71" spans="3:20" outlineLevel="1">
      <c r="D71" s="168" t="str">
        <f>Work_Codes!D66</f>
        <v>MP mains replacement program - Williamstown</v>
      </c>
      <c r="J71" s="163"/>
      <c r="K71" s="163"/>
      <c r="L71" s="163"/>
      <c r="M71" s="163"/>
      <c r="N71" s="213"/>
      <c r="O71" s="213"/>
      <c r="P71" s="213"/>
      <c r="Q71" s="213"/>
      <c r="R71" s="213"/>
      <c r="S71" s="213"/>
      <c r="T71" s="213"/>
    </row>
    <row r="72" spans="3:20" outlineLevel="1">
      <c r="D72" s="102" t="str">
        <f>Work_Codes!D67</f>
        <v>Capex Items Category 12</v>
      </c>
      <c r="J72" s="163"/>
      <c r="K72" s="163"/>
      <c r="L72" s="163"/>
      <c r="M72" s="163"/>
      <c r="N72" s="213"/>
      <c r="O72" s="214"/>
      <c r="P72" s="213"/>
      <c r="Q72" s="213"/>
      <c r="R72" s="213"/>
      <c r="S72" s="213"/>
      <c r="T72" s="213"/>
    </row>
    <row r="73" spans="3:20" outlineLevel="1"/>
    <row r="74" spans="3:20" outlineLevel="1">
      <c r="C74" s="37" t="s">
        <v>193</v>
      </c>
    </row>
    <row r="75" spans="3:20" ht="5.9" customHeight="1" outlineLevel="1"/>
    <row r="76" spans="3:20" outlineLevel="1">
      <c r="D76" s="37" t="str">
        <f>D42</f>
        <v>Capex Category</v>
      </c>
    </row>
    <row r="77" spans="3:20" ht="5.9" customHeight="1" outlineLevel="1"/>
    <row r="78" spans="3:20" outlineLevel="1">
      <c r="D78" s="102" t="str">
        <f>Work_Codes!D56</f>
        <v>MP mains replacement program - Altona North</v>
      </c>
      <c r="J78" s="81">
        <v>0</v>
      </c>
      <c r="K78" s="81">
        <v>0</v>
      </c>
      <c r="L78" s="81">
        <v>0</v>
      </c>
      <c r="M78" s="81">
        <v>0</v>
      </c>
      <c r="N78" s="81">
        <v>0</v>
      </c>
      <c r="O78" s="81">
        <v>2000000</v>
      </c>
      <c r="P78" s="81">
        <v>1680000</v>
      </c>
      <c r="Q78" s="81">
        <v>0</v>
      </c>
      <c r="R78" s="81">
        <v>0</v>
      </c>
      <c r="S78" s="81">
        <v>1848000</v>
      </c>
      <c r="T78" s="81">
        <v>0</v>
      </c>
    </row>
    <row r="79" spans="3:20" outlineLevel="1">
      <c r="D79" s="168" t="str">
        <f>Work_Codes!D57</f>
        <v>MP mains replacement program - Braybrook</v>
      </c>
      <c r="J79" s="81">
        <v>0</v>
      </c>
      <c r="K79" s="81">
        <v>0</v>
      </c>
      <c r="L79" s="81">
        <v>0</v>
      </c>
      <c r="M79" s="81">
        <v>0</v>
      </c>
      <c r="N79" s="81">
        <v>0</v>
      </c>
      <c r="O79" s="81">
        <v>0</v>
      </c>
      <c r="P79" s="81">
        <v>0</v>
      </c>
      <c r="Q79" s="81">
        <v>0</v>
      </c>
      <c r="R79" s="81">
        <v>0</v>
      </c>
      <c r="S79" s="81">
        <v>1860000</v>
      </c>
      <c r="T79" s="81">
        <v>1922000</v>
      </c>
    </row>
    <row r="80" spans="3:20" outlineLevel="1">
      <c r="D80" s="168" t="str">
        <f>Work_Codes!D58</f>
        <v>MP mains replacement program - Sunshine</v>
      </c>
      <c r="J80" s="81">
        <v>0</v>
      </c>
      <c r="K80" s="81">
        <v>0</v>
      </c>
      <c r="L80" s="81">
        <v>0</v>
      </c>
      <c r="M80" s="81">
        <v>0</v>
      </c>
      <c r="N80" s="81">
        <v>0</v>
      </c>
      <c r="O80" s="81">
        <v>0</v>
      </c>
      <c r="P80" s="81">
        <v>0</v>
      </c>
      <c r="Q80" s="81">
        <v>2000000</v>
      </c>
      <c r="R80" s="81">
        <v>2000000</v>
      </c>
      <c r="S80" s="81">
        <v>0</v>
      </c>
      <c r="T80" s="81">
        <v>2000000</v>
      </c>
    </row>
    <row r="81" spans="3:20" outlineLevel="1">
      <c r="D81" s="168" t="str">
        <f>Work_Codes!D59</f>
        <v>MP mains replacement program - Deer Park</v>
      </c>
      <c r="J81" s="81">
        <v>0</v>
      </c>
      <c r="K81" s="81">
        <v>0</v>
      </c>
      <c r="L81" s="81">
        <v>0</v>
      </c>
      <c r="M81" s="81">
        <v>0</v>
      </c>
      <c r="N81" s="81">
        <v>0</v>
      </c>
      <c r="O81" s="81">
        <v>0</v>
      </c>
      <c r="P81" s="81">
        <v>0</v>
      </c>
      <c r="Q81" s="81">
        <v>0</v>
      </c>
      <c r="R81" s="81">
        <v>0</v>
      </c>
      <c r="S81" s="81">
        <v>0</v>
      </c>
      <c r="T81" s="81">
        <v>0</v>
      </c>
    </row>
    <row r="82" spans="3:20" outlineLevel="1">
      <c r="D82" s="168" t="str">
        <f>Work_Codes!D60</f>
        <v>MP mains replacement program - Ardeer</v>
      </c>
      <c r="J82" s="81">
        <v>0</v>
      </c>
      <c r="K82" s="81">
        <v>0</v>
      </c>
      <c r="L82" s="81">
        <v>0</v>
      </c>
      <c r="M82" s="81">
        <v>0</v>
      </c>
      <c r="N82" s="81">
        <v>0</v>
      </c>
      <c r="O82" s="81">
        <v>0</v>
      </c>
      <c r="P82" s="81">
        <v>0</v>
      </c>
      <c r="Q82" s="81">
        <v>0</v>
      </c>
      <c r="R82" s="81">
        <v>0</v>
      </c>
      <c r="S82" s="81">
        <v>0</v>
      </c>
      <c r="T82" s="81">
        <v>0</v>
      </c>
    </row>
    <row r="83" spans="3:20" outlineLevel="1">
      <c r="D83" s="168" t="str">
        <f>Work_Codes!D61</f>
        <v>MP mains replacement program - Footscray</v>
      </c>
      <c r="J83" s="81">
        <v>0</v>
      </c>
      <c r="K83" s="81">
        <v>0</v>
      </c>
      <c r="L83" s="81">
        <v>0</v>
      </c>
      <c r="M83" s="81">
        <v>0</v>
      </c>
      <c r="N83" s="81">
        <v>0</v>
      </c>
      <c r="O83" s="81">
        <v>0</v>
      </c>
      <c r="P83" s="81">
        <v>0</v>
      </c>
      <c r="Q83" s="81">
        <v>0</v>
      </c>
      <c r="R83" s="81">
        <v>0</v>
      </c>
      <c r="S83" s="81">
        <v>2500000</v>
      </c>
      <c r="T83" s="81">
        <v>0</v>
      </c>
    </row>
    <row r="84" spans="3:20" outlineLevel="1">
      <c r="D84" s="168" t="str">
        <f>Work_Codes!D62</f>
        <v>MP mains replacement program - St Albans</v>
      </c>
      <c r="J84" s="81">
        <v>0</v>
      </c>
      <c r="K84" s="81">
        <v>0</v>
      </c>
      <c r="L84" s="81">
        <v>0</v>
      </c>
      <c r="M84" s="81">
        <v>0</v>
      </c>
      <c r="N84" s="81">
        <v>0</v>
      </c>
      <c r="O84" s="81">
        <v>0</v>
      </c>
      <c r="P84" s="81">
        <v>0</v>
      </c>
      <c r="Q84" s="81">
        <v>0</v>
      </c>
      <c r="R84" s="81">
        <v>2730000</v>
      </c>
      <c r="S84" s="81">
        <v>2700000</v>
      </c>
      <c r="T84" s="81">
        <v>2700000</v>
      </c>
    </row>
    <row r="85" spans="3:20" outlineLevel="1">
      <c r="D85" s="168" t="str">
        <f>Work_Codes!D63</f>
        <v>MP mains replacement program - Maidstone</v>
      </c>
      <c r="J85" s="81">
        <v>0</v>
      </c>
      <c r="K85" s="81">
        <v>0</v>
      </c>
      <c r="L85" s="81">
        <v>0</v>
      </c>
      <c r="M85" s="81">
        <v>0</v>
      </c>
      <c r="N85" s="81">
        <v>0</v>
      </c>
      <c r="O85" s="81">
        <v>0</v>
      </c>
      <c r="P85" s="81">
        <v>0</v>
      </c>
      <c r="Q85" s="81">
        <v>1150000</v>
      </c>
      <c r="R85" s="81">
        <v>1495000</v>
      </c>
      <c r="S85" s="81">
        <v>0</v>
      </c>
      <c r="T85" s="81">
        <v>0</v>
      </c>
    </row>
    <row r="86" spans="3:20" outlineLevel="1">
      <c r="D86" s="168" t="str">
        <f>Work_Codes!D64</f>
        <v>MP mains replacement program - Yarraville</v>
      </c>
      <c r="J86" s="81">
        <v>0</v>
      </c>
      <c r="K86" s="81">
        <v>0</v>
      </c>
      <c r="L86" s="81">
        <v>0</v>
      </c>
      <c r="M86" s="81">
        <v>0</v>
      </c>
      <c r="N86" s="81">
        <v>0</v>
      </c>
      <c r="O86" s="81">
        <v>0</v>
      </c>
      <c r="P86" s="81">
        <v>0</v>
      </c>
      <c r="Q86" s="81">
        <v>0</v>
      </c>
      <c r="R86" s="81">
        <v>0</v>
      </c>
      <c r="S86" s="81">
        <v>0</v>
      </c>
      <c r="T86" s="81">
        <v>0</v>
      </c>
    </row>
    <row r="87" spans="3:20" outlineLevel="1">
      <c r="D87" s="168" t="str">
        <f>Work_Codes!D65</f>
        <v xml:space="preserve">MP mains replacement program - Newport </v>
      </c>
      <c r="J87" s="81">
        <v>0</v>
      </c>
      <c r="K87" s="81">
        <v>0</v>
      </c>
      <c r="L87" s="81">
        <v>0</v>
      </c>
      <c r="M87" s="81">
        <v>0</v>
      </c>
      <c r="N87" s="81">
        <v>0</v>
      </c>
      <c r="O87" s="81">
        <v>0</v>
      </c>
      <c r="P87" s="81">
        <v>0</v>
      </c>
      <c r="Q87" s="81">
        <v>0</v>
      </c>
      <c r="R87" s="81">
        <v>0</v>
      </c>
      <c r="S87" s="81">
        <v>0</v>
      </c>
      <c r="T87" s="81">
        <v>0</v>
      </c>
    </row>
    <row r="88" spans="3:20" outlineLevel="1">
      <c r="D88" s="168" t="str">
        <f>Work_Codes!D66</f>
        <v>MP mains replacement program - Williamstown</v>
      </c>
      <c r="J88" s="81">
        <v>0</v>
      </c>
      <c r="K88" s="81">
        <v>0</v>
      </c>
      <c r="L88" s="81">
        <v>0</v>
      </c>
      <c r="M88" s="81">
        <v>0</v>
      </c>
      <c r="N88" s="81">
        <v>0</v>
      </c>
      <c r="O88" s="81">
        <v>0</v>
      </c>
      <c r="P88" s="81">
        <v>0</v>
      </c>
      <c r="Q88" s="81">
        <v>0</v>
      </c>
      <c r="R88" s="81">
        <v>0</v>
      </c>
      <c r="S88" s="81">
        <v>0</v>
      </c>
      <c r="T88" s="81">
        <v>0</v>
      </c>
    </row>
    <row r="89" spans="3:20" outlineLevel="1">
      <c r="D89" s="102" t="str">
        <f>Work_Codes!D67</f>
        <v>Capex Items Category 12</v>
      </c>
      <c r="J89" s="81">
        <v>0</v>
      </c>
      <c r="K89" s="81">
        <v>0</v>
      </c>
      <c r="L89" s="81">
        <v>0</v>
      </c>
      <c r="M89" s="81">
        <v>0</v>
      </c>
      <c r="N89" s="81">
        <v>396906.43742264062</v>
      </c>
      <c r="O89" s="81">
        <v>0</v>
      </c>
      <c r="P89" s="81">
        <v>200000</v>
      </c>
      <c r="Q89" s="81">
        <v>0</v>
      </c>
      <c r="R89" s="81">
        <v>0</v>
      </c>
      <c r="S89" s="81">
        <v>0</v>
      </c>
      <c r="T89" s="81">
        <v>0</v>
      </c>
    </row>
    <row r="90" spans="3:20" ht="5.9" customHeight="1" outlineLevel="1">
      <c r="D90" s="37"/>
      <c r="J90" s="78"/>
      <c r="K90" s="78"/>
      <c r="L90" s="78"/>
      <c r="M90" s="78"/>
      <c r="N90" s="78"/>
      <c r="O90" s="78"/>
      <c r="P90" s="78"/>
      <c r="Q90" s="78"/>
      <c r="R90" s="78"/>
      <c r="S90" s="78"/>
      <c r="T90" s="78"/>
    </row>
    <row r="91" spans="3:20" outlineLevel="1">
      <c r="D91" s="249" t="str">
        <f>"Total "&amp;B25</f>
        <v>Total Medium Pressure Replacement - Planned</v>
      </c>
      <c r="E91" s="249"/>
      <c r="F91" s="249"/>
      <c r="G91" s="249"/>
      <c r="H91" s="249"/>
      <c r="I91" s="249"/>
      <c r="J91" s="82">
        <f t="shared" ref="J91:T91" si="8">SUM(J78:J90)</f>
        <v>0</v>
      </c>
      <c r="K91" s="82">
        <f t="shared" si="8"/>
        <v>0</v>
      </c>
      <c r="L91" s="82">
        <f t="shared" si="8"/>
        <v>0</v>
      </c>
      <c r="M91" s="82">
        <f t="shared" si="8"/>
        <v>0</v>
      </c>
      <c r="N91" s="82">
        <f t="shared" si="8"/>
        <v>396906.43742264062</v>
      </c>
      <c r="O91" s="82">
        <f t="shared" si="8"/>
        <v>2000000</v>
      </c>
      <c r="P91" s="82">
        <f t="shared" si="8"/>
        <v>1880000</v>
      </c>
      <c r="Q91" s="82">
        <f t="shared" si="8"/>
        <v>3150000</v>
      </c>
      <c r="R91" s="82">
        <f t="shared" si="8"/>
        <v>6225000</v>
      </c>
      <c r="S91" s="82">
        <f t="shared" si="8"/>
        <v>8908000</v>
      </c>
      <c r="T91" s="82">
        <f t="shared" si="8"/>
        <v>6622000</v>
      </c>
    </row>
    <row r="92" spans="3:20" outlineLevel="1"/>
    <row r="93" spans="3:20" outlineLevel="1">
      <c r="C93" s="37" t="s">
        <v>286</v>
      </c>
    </row>
    <row r="94" spans="3:20" ht="5.9" customHeight="1" outlineLevel="1"/>
    <row r="95" spans="3:20" outlineLevel="1">
      <c r="D95" s="143" t="str">
        <f>Work_Codes!D71</f>
        <v>Customer Contributions Category 1</v>
      </c>
      <c r="J95" s="148">
        <v>0</v>
      </c>
      <c r="K95" s="148">
        <v>0</v>
      </c>
      <c r="L95" s="148">
        <v>0</v>
      </c>
      <c r="M95" s="148">
        <v>0</v>
      </c>
      <c r="N95" s="148">
        <v>0</v>
      </c>
      <c r="O95" s="148">
        <v>0</v>
      </c>
      <c r="P95" s="148">
        <v>0</v>
      </c>
      <c r="Q95" s="148">
        <v>0</v>
      </c>
      <c r="R95" s="148">
        <v>0</v>
      </c>
      <c r="S95" s="148">
        <v>0</v>
      </c>
      <c r="T95" s="148">
        <v>0</v>
      </c>
    </row>
    <row r="96" spans="3:20" ht="5.9" customHeight="1" outlineLevel="1"/>
    <row r="97" spans="3:20" outlineLevel="1">
      <c r="D97" s="249" t="str">
        <f>"Total "&amp;C93</f>
        <v>Total Customer Connections</v>
      </c>
      <c r="E97" s="249"/>
      <c r="F97" s="249"/>
      <c r="G97" s="249"/>
      <c r="H97" s="249"/>
      <c r="I97" s="249"/>
      <c r="J97" s="82">
        <f t="shared" ref="J97:T97" si="9">SUM(J95:J96)</f>
        <v>0</v>
      </c>
      <c r="K97" s="82">
        <f t="shared" si="9"/>
        <v>0</v>
      </c>
      <c r="L97" s="82">
        <f t="shared" si="9"/>
        <v>0</v>
      </c>
      <c r="M97" s="82">
        <f t="shared" si="9"/>
        <v>0</v>
      </c>
      <c r="N97" s="82">
        <f t="shared" si="9"/>
        <v>0</v>
      </c>
      <c r="O97" s="82">
        <f t="shared" si="9"/>
        <v>0</v>
      </c>
      <c r="P97" s="82">
        <f t="shared" si="9"/>
        <v>0</v>
      </c>
      <c r="Q97" s="82">
        <f t="shared" si="9"/>
        <v>0</v>
      </c>
      <c r="R97" s="82">
        <f t="shared" si="9"/>
        <v>0</v>
      </c>
      <c r="S97" s="82">
        <f t="shared" si="9"/>
        <v>0</v>
      </c>
      <c r="T97" s="82">
        <f t="shared" si="9"/>
        <v>0</v>
      </c>
    </row>
    <row r="98" spans="3:20" outlineLevel="1">
      <c r="C98" s="12"/>
      <c r="D98" s="12"/>
      <c r="E98" s="12"/>
      <c r="F98" s="12"/>
      <c r="G98" s="12"/>
      <c r="H98" s="12"/>
      <c r="I98" s="12"/>
      <c r="J98" s="12"/>
      <c r="K98" s="12"/>
      <c r="L98" s="12"/>
      <c r="M98" s="12"/>
      <c r="N98" s="12"/>
      <c r="O98" s="12"/>
      <c r="P98" s="12"/>
      <c r="Q98" s="12"/>
      <c r="R98" s="12"/>
      <c r="S98" s="12"/>
      <c r="T98" s="12"/>
    </row>
    <row r="99" spans="3:20" outlineLevel="1"/>
    <row r="100" spans="3:20" outlineLevel="1">
      <c r="C100" s="37" t="s">
        <v>213</v>
      </c>
    </row>
    <row r="101" spans="3:20" ht="5.9" hidden="1" customHeight="1" outlineLevel="2"/>
    <row r="102" spans="3:20" hidden="1" outlineLevel="2">
      <c r="C102" s="37" t="s">
        <v>128</v>
      </c>
    </row>
    <row r="103" spans="3:20" ht="5.9" hidden="1" customHeight="1" outlineLevel="2"/>
    <row r="104" spans="3:20" hidden="1" outlineLevel="2">
      <c r="D104" s="102" t="str">
        <f>Work_Codes!D56</f>
        <v>MP mains replacement program - Altona North</v>
      </c>
      <c r="J104" s="81">
        <f>Work_Codes!$I56*J78*J$29</f>
        <v>0</v>
      </c>
      <c r="K104" s="81">
        <f>Work_Codes!$I56*K78*K$29</f>
        <v>0</v>
      </c>
      <c r="L104" s="81">
        <f>Work_Codes!$I56*L78*L$29</f>
        <v>0</v>
      </c>
      <c r="M104" s="81">
        <f>Work_Codes!$I56*M78*M$29</f>
        <v>0</v>
      </c>
      <c r="N104" s="81">
        <f>Work_Codes!$I56*N78*N$29</f>
        <v>0</v>
      </c>
      <c r="O104" s="81">
        <f>Work_Codes!$I56*O78*O$29</f>
        <v>80415.673885770826</v>
      </c>
      <c r="P104" s="81">
        <f>Work_Codes!$I56*P78*P$29</f>
        <v>67887.467702246722</v>
      </c>
      <c r="Q104" s="81">
        <f>Work_Codes!$I56*Q78*Q$29</f>
        <v>0</v>
      </c>
      <c r="R104" s="81">
        <f>Work_Codes!$I56*R78*R$29</f>
        <v>0</v>
      </c>
      <c r="S104" s="81">
        <f>Work_Codes!$I56*S78*S$29</f>
        <v>76924.569339854614</v>
      </c>
      <c r="T104" s="81">
        <f>Work_Codes!$I56*T78*T$29</f>
        <v>0</v>
      </c>
    </row>
    <row r="105" spans="3:20" hidden="1" outlineLevel="2" collapsed="1">
      <c r="D105" s="168" t="str">
        <f>Work_Codes!D57</f>
        <v>MP mains replacement program - Braybrook</v>
      </c>
      <c r="J105" s="81">
        <f>Work_Codes!$I57*J79*J$29</f>
        <v>0</v>
      </c>
      <c r="K105" s="81">
        <f>Work_Codes!$I57*K79*K$29</f>
        <v>0</v>
      </c>
      <c r="L105" s="81">
        <f>Work_Codes!$I57*L79*L$29</f>
        <v>0</v>
      </c>
      <c r="M105" s="81">
        <f>Work_Codes!$I57*M79*M$29</f>
        <v>0</v>
      </c>
      <c r="N105" s="81">
        <f>Work_Codes!$I57*N79*N$29</f>
        <v>0</v>
      </c>
      <c r="O105" s="81">
        <f>Work_Codes!$I57*O79*O$29</f>
        <v>0</v>
      </c>
      <c r="P105" s="81">
        <f>Work_Codes!$I57*P79*P$29</f>
        <v>0</v>
      </c>
      <c r="Q105" s="81">
        <f>Work_Codes!$I57*Q79*Q$29</f>
        <v>0</v>
      </c>
      <c r="R105" s="81">
        <f>Work_Codes!$I57*R79*R$29</f>
        <v>0</v>
      </c>
      <c r="S105" s="81">
        <f>Work_Codes!$I57*S79*S$29</f>
        <v>77424.079530373157</v>
      </c>
      <c r="T105" s="81">
        <f>Work_Codes!$I57*T79*T$29</f>
        <v>80885.611780794658</v>
      </c>
    </row>
    <row r="106" spans="3:20" hidden="1" outlineLevel="2">
      <c r="D106" s="168" t="str">
        <f>Work_Codes!D58</f>
        <v>MP mains replacement program - Sunshine</v>
      </c>
      <c r="J106" s="81">
        <f>Work_Codes!$I58*J80*J$29</f>
        <v>0</v>
      </c>
      <c r="K106" s="81">
        <f>Work_Codes!$I58*K80*K$29</f>
        <v>0</v>
      </c>
      <c r="L106" s="81">
        <f>Work_Codes!$I58*L80*L$29</f>
        <v>0</v>
      </c>
      <c r="M106" s="81">
        <f>Work_Codes!$I58*M80*M$29</f>
        <v>0</v>
      </c>
      <c r="N106" s="81">
        <f>Work_Codes!$I58*N80*N$29</f>
        <v>0</v>
      </c>
      <c r="O106" s="81">
        <f>Work_Codes!$I58*O80*O$29</f>
        <v>0</v>
      </c>
      <c r="P106" s="81">
        <f>Work_Codes!$I58*P80*P$29</f>
        <v>0</v>
      </c>
      <c r="Q106" s="81">
        <f>Work_Codes!$I58*Q80*Q$29</f>
        <v>81448.582987542468</v>
      </c>
      <c r="R106" s="81">
        <f>Work_Codes!$I58*R80*R$29</f>
        <v>82345.205492459369</v>
      </c>
      <c r="S106" s="81">
        <f>Work_Codes!$I58*S80*S$29</f>
        <v>0</v>
      </c>
      <c r="T106" s="81">
        <f>Work_Codes!$I58*T80*T$29</f>
        <v>84168.170427465826</v>
      </c>
    </row>
    <row r="107" spans="3:20" hidden="1" outlineLevel="2">
      <c r="D107" s="168" t="str">
        <f>Work_Codes!D59</f>
        <v>MP mains replacement program - Deer Park</v>
      </c>
      <c r="J107" s="81">
        <f>Work_Codes!$I59*J81*J$29</f>
        <v>0</v>
      </c>
      <c r="K107" s="81">
        <f>Work_Codes!$I59*K81*K$29</f>
        <v>0</v>
      </c>
      <c r="L107" s="81">
        <f>Work_Codes!$I59*L81*L$29</f>
        <v>0</v>
      </c>
      <c r="M107" s="81">
        <f>Work_Codes!$I59*M81*M$29</f>
        <v>0</v>
      </c>
      <c r="N107" s="81">
        <f>Work_Codes!$I59*N81*N$29</f>
        <v>0</v>
      </c>
      <c r="O107" s="81">
        <f>Work_Codes!$I59*O81*O$29</f>
        <v>0</v>
      </c>
      <c r="P107" s="81">
        <f>Work_Codes!$I59*P81*P$29</f>
        <v>0</v>
      </c>
      <c r="Q107" s="81">
        <f>Work_Codes!$I59*Q81*Q$29</f>
        <v>0</v>
      </c>
      <c r="R107" s="81">
        <f>Work_Codes!$I59*R81*R$29</f>
        <v>0</v>
      </c>
      <c r="S107" s="81">
        <f>Work_Codes!$I59*S81*S$29</f>
        <v>0</v>
      </c>
      <c r="T107" s="81">
        <f>Work_Codes!$I59*T81*T$29</f>
        <v>0</v>
      </c>
    </row>
    <row r="108" spans="3:20" hidden="1" outlineLevel="2">
      <c r="D108" s="168" t="str">
        <f>Work_Codes!D60</f>
        <v>MP mains replacement program - Ardeer</v>
      </c>
      <c r="J108" s="81">
        <f>Work_Codes!$I60*J82*J$29</f>
        <v>0</v>
      </c>
      <c r="K108" s="81">
        <f>Work_Codes!$I60*K82*K$29</f>
        <v>0</v>
      </c>
      <c r="L108" s="81">
        <f>Work_Codes!$I60*L82*L$29</f>
        <v>0</v>
      </c>
      <c r="M108" s="81">
        <f>Work_Codes!$I60*M82*M$29</f>
        <v>0</v>
      </c>
      <c r="N108" s="81">
        <f>Work_Codes!$I60*N82*N$29</f>
        <v>0</v>
      </c>
      <c r="O108" s="81">
        <f>Work_Codes!$I60*O82*O$29</f>
        <v>0</v>
      </c>
      <c r="P108" s="81">
        <f>Work_Codes!$I60*P82*P$29</f>
        <v>0</v>
      </c>
      <c r="Q108" s="81">
        <f>Work_Codes!$I60*Q82*Q$29</f>
        <v>0</v>
      </c>
      <c r="R108" s="81">
        <f>Work_Codes!$I60*R82*R$29</f>
        <v>0</v>
      </c>
      <c r="S108" s="81">
        <f>Work_Codes!$I60*S82*S$29</f>
        <v>0</v>
      </c>
      <c r="T108" s="81">
        <f>Work_Codes!$I60*T82*T$29</f>
        <v>0</v>
      </c>
    </row>
    <row r="109" spans="3:20" hidden="1" outlineLevel="2">
      <c r="D109" s="168" t="str">
        <f>Work_Codes!D61</f>
        <v>MP mains replacement program - Footscray</v>
      </c>
      <c r="J109" s="81">
        <f>Work_Codes!$I61*J83*J$29</f>
        <v>0</v>
      </c>
      <c r="K109" s="81">
        <f>Work_Codes!$I61*K83*K$29</f>
        <v>0</v>
      </c>
      <c r="L109" s="81">
        <f>Work_Codes!$I61*L83*L$29</f>
        <v>0</v>
      </c>
      <c r="M109" s="81">
        <f>Work_Codes!$I61*M83*M$29</f>
        <v>0</v>
      </c>
      <c r="N109" s="81">
        <f>Work_Codes!$I61*N83*N$29</f>
        <v>0</v>
      </c>
      <c r="O109" s="81">
        <f>Work_Codes!$I61*O83*O$29</f>
        <v>0</v>
      </c>
      <c r="P109" s="81">
        <f>Work_Codes!$I61*P83*P$29</f>
        <v>0</v>
      </c>
      <c r="Q109" s="81">
        <f>Work_Codes!$I61*Q83*Q$29</f>
        <v>0</v>
      </c>
      <c r="R109" s="81">
        <f>Work_Codes!$I61*R83*R$29</f>
        <v>0</v>
      </c>
      <c r="S109" s="81">
        <f>Work_Codes!$I61*S83*S$29</f>
        <v>104064.6230246951</v>
      </c>
      <c r="T109" s="81">
        <f>Work_Codes!$I61*T83*T$29</f>
        <v>0</v>
      </c>
    </row>
    <row r="110" spans="3:20" hidden="1" outlineLevel="2">
      <c r="D110" s="168" t="str">
        <f>Work_Codes!D62</f>
        <v>MP mains replacement program - St Albans</v>
      </c>
      <c r="J110" s="81">
        <f>Work_Codes!$I62*J84*J$29</f>
        <v>0</v>
      </c>
      <c r="K110" s="81">
        <f>Work_Codes!$I62*K84*K$29</f>
        <v>0</v>
      </c>
      <c r="L110" s="81">
        <f>Work_Codes!$I62*L84*L$29</f>
        <v>0</v>
      </c>
      <c r="M110" s="81">
        <f>Work_Codes!$I62*M84*M$29</f>
        <v>0</v>
      </c>
      <c r="N110" s="81">
        <f>Work_Codes!$I62*N84*N$29</f>
        <v>0</v>
      </c>
      <c r="O110" s="81">
        <f>Work_Codes!$I62*O84*O$29</f>
        <v>0</v>
      </c>
      <c r="P110" s="81">
        <f>Work_Codes!$I62*P84*P$29</f>
        <v>0</v>
      </c>
      <c r="Q110" s="81">
        <f>Work_Codes!$I62*Q84*Q$29</f>
        <v>0</v>
      </c>
      <c r="R110" s="81">
        <f>Work_Codes!$I62*R84*R$29</f>
        <v>112401.20549720705</v>
      </c>
      <c r="S110" s="81">
        <f>Work_Codes!$I62*S84*S$29</f>
        <v>112389.79286667072</v>
      </c>
      <c r="T110" s="81">
        <f>Work_Codes!$I62*T84*T$29</f>
        <v>113627.03007707887</v>
      </c>
    </row>
    <row r="111" spans="3:20" hidden="1" outlineLevel="2">
      <c r="D111" s="168" t="str">
        <f>Work_Codes!D63</f>
        <v>MP mains replacement program - Maidstone</v>
      </c>
      <c r="J111" s="81">
        <f>Work_Codes!$I63*J85*J$29</f>
        <v>0</v>
      </c>
      <c r="K111" s="81">
        <f>Work_Codes!$I63*K85*K$29</f>
        <v>0</v>
      </c>
      <c r="L111" s="81">
        <f>Work_Codes!$I63*L85*L$29</f>
        <v>0</v>
      </c>
      <c r="M111" s="81">
        <f>Work_Codes!$I63*M85*M$29</f>
        <v>0</v>
      </c>
      <c r="N111" s="81">
        <f>Work_Codes!$I63*N85*N$29</f>
        <v>0</v>
      </c>
      <c r="O111" s="81">
        <f>Work_Codes!$I63*O85*O$29</f>
        <v>0</v>
      </c>
      <c r="P111" s="81">
        <f>Work_Codes!$I63*P85*P$29</f>
        <v>0</v>
      </c>
      <c r="Q111" s="81">
        <f>Work_Codes!$I63*Q85*Q$29</f>
        <v>46832.935217836923</v>
      </c>
      <c r="R111" s="81">
        <f>Work_Codes!$I63*R85*R$29</f>
        <v>61553.041105613382</v>
      </c>
      <c r="S111" s="81">
        <f>Work_Codes!$I63*S85*S$29</f>
        <v>0</v>
      </c>
      <c r="T111" s="81">
        <f>Work_Codes!$I63*T85*T$29</f>
        <v>0</v>
      </c>
    </row>
    <row r="112" spans="3:20" hidden="1" outlineLevel="2">
      <c r="D112" s="168" t="str">
        <f>Work_Codes!D64</f>
        <v>MP mains replacement program - Yarraville</v>
      </c>
      <c r="J112" s="81">
        <f>Work_Codes!$I64*J86*J$29</f>
        <v>0</v>
      </c>
      <c r="K112" s="81">
        <f>Work_Codes!$I64*K86*K$29</f>
        <v>0</v>
      </c>
      <c r="L112" s="81">
        <f>Work_Codes!$I64*L86*L$29</f>
        <v>0</v>
      </c>
      <c r="M112" s="81">
        <f>Work_Codes!$I64*M86*M$29</f>
        <v>0</v>
      </c>
      <c r="N112" s="81">
        <f>Work_Codes!$I64*N86*N$29</f>
        <v>0</v>
      </c>
      <c r="O112" s="81">
        <f>Work_Codes!$I64*O86*O$29</f>
        <v>0</v>
      </c>
      <c r="P112" s="81">
        <f>Work_Codes!$I64*P86*P$29</f>
        <v>0</v>
      </c>
      <c r="Q112" s="81">
        <f>Work_Codes!$I64*Q86*Q$29</f>
        <v>0</v>
      </c>
      <c r="R112" s="81">
        <f>Work_Codes!$I64*R86*R$29</f>
        <v>0</v>
      </c>
      <c r="S112" s="81">
        <f>Work_Codes!$I64*S86*S$29</f>
        <v>0</v>
      </c>
      <c r="T112" s="81">
        <f>Work_Codes!$I64*T86*T$29</f>
        <v>0</v>
      </c>
    </row>
    <row r="113" spans="3:20" hidden="1" outlineLevel="2">
      <c r="D113" s="168" t="str">
        <f>Work_Codes!D65</f>
        <v xml:space="preserve">MP mains replacement program - Newport </v>
      </c>
      <c r="J113" s="81">
        <f>Work_Codes!$I65*J87*J$29</f>
        <v>0</v>
      </c>
      <c r="K113" s="81">
        <f>Work_Codes!$I65*K87*K$29</f>
        <v>0</v>
      </c>
      <c r="L113" s="81">
        <f>Work_Codes!$I65*L87*L$29</f>
        <v>0</v>
      </c>
      <c r="M113" s="81">
        <f>Work_Codes!$I65*M87*M$29</f>
        <v>0</v>
      </c>
      <c r="N113" s="81">
        <f>Work_Codes!$I65*N87*N$29</f>
        <v>0</v>
      </c>
      <c r="O113" s="81">
        <f>Work_Codes!$I65*O87*O$29</f>
        <v>0</v>
      </c>
      <c r="P113" s="81">
        <f>Work_Codes!$I65*P87*P$29</f>
        <v>0</v>
      </c>
      <c r="Q113" s="81">
        <f>Work_Codes!$I65*Q87*Q$29</f>
        <v>0</v>
      </c>
      <c r="R113" s="81">
        <f>Work_Codes!$I65*R87*R$29</f>
        <v>0</v>
      </c>
      <c r="S113" s="81">
        <f>Work_Codes!$I65*S87*S$29</f>
        <v>0</v>
      </c>
      <c r="T113" s="81">
        <f>Work_Codes!$I65*T87*T$29</f>
        <v>0</v>
      </c>
    </row>
    <row r="114" spans="3:20" hidden="1" outlineLevel="2">
      <c r="D114" s="168" t="str">
        <f>Work_Codes!D66</f>
        <v>MP mains replacement program - Williamstown</v>
      </c>
      <c r="J114" s="81">
        <f>Work_Codes!$I66*J88*J$29</f>
        <v>0</v>
      </c>
      <c r="K114" s="81">
        <f>Work_Codes!$I66*K88*K$29</f>
        <v>0</v>
      </c>
      <c r="L114" s="81">
        <f>Work_Codes!$I66*L88*L$29</f>
        <v>0</v>
      </c>
      <c r="M114" s="81">
        <f>Work_Codes!$I66*M88*M$29</f>
        <v>0</v>
      </c>
      <c r="N114" s="81">
        <f>Work_Codes!$I66*N88*N$29</f>
        <v>0</v>
      </c>
      <c r="O114" s="81">
        <f>Work_Codes!$I66*O88*O$29</f>
        <v>0</v>
      </c>
      <c r="P114" s="81">
        <f>Work_Codes!$I66*P88*P$29</f>
        <v>0</v>
      </c>
      <c r="Q114" s="81">
        <f>Work_Codes!$I66*Q88*Q$29</f>
        <v>0</v>
      </c>
      <c r="R114" s="81">
        <f>Work_Codes!$I66*R88*R$29</f>
        <v>0</v>
      </c>
      <c r="S114" s="81">
        <f>Work_Codes!$I66*S88*S$29</f>
        <v>0</v>
      </c>
      <c r="T114" s="81">
        <f>Work_Codes!$I66*T88*T$29</f>
        <v>0</v>
      </c>
    </row>
    <row r="115" spans="3:20" hidden="1" outlineLevel="2">
      <c r="D115" s="102" t="str">
        <f>Work_Codes!D67</f>
        <v>Capex Items Category 12</v>
      </c>
      <c r="J115" s="81">
        <f>Work_Codes!$I67*J89*J$29</f>
        <v>0</v>
      </c>
      <c r="K115" s="81">
        <f>Work_Codes!$I67*K89*K$29</f>
        <v>0</v>
      </c>
      <c r="L115" s="81">
        <f>Work_Codes!$I67*L89*L$29</f>
        <v>0</v>
      </c>
      <c r="M115" s="81">
        <f>Work_Codes!$I67*M89*M$29</f>
        <v>0</v>
      </c>
      <c r="N115" s="81">
        <f>Work_Codes!$I67*N89*N$29</f>
        <v>15876.257496905626</v>
      </c>
      <c r="O115" s="81">
        <f>Work_Codes!$I67*O89*O$29</f>
        <v>0</v>
      </c>
      <c r="P115" s="81">
        <f>Work_Codes!$I67*P89*P$29</f>
        <v>8081.8413931246096</v>
      </c>
      <c r="Q115" s="81">
        <f>Work_Codes!$I67*Q89*Q$29</f>
        <v>0</v>
      </c>
      <c r="R115" s="81">
        <f>Work_Codes!$I67*R89*R$29</f>
        <v>0</v>
      </c>
      <c r="S115" s="81">
        <f>Work_Codes!$I67*S89*S$29</f>
        <v>0</v>
      </c>
      <c r="T115" s="81">
        <f>Work_Codes!$I67*T89*T$29</f>
        <v>0</v>
      </c>
    </row>
    <row r="116" spans="3:20" ht="5.9" hidden="1" customHeight="1" outlineLevel="2"/>
    <row r="117" spans="3:20" hidden="1" outlineLevel="2">
      <c r="D117" s="249" t="str">
        <f>"Total "&amp;C102</f>
        <v>Total Internal Labour</v>
      </c>
      <c r="E117" s="249"/>
      <c r="F117" s="249"/>
      <c r="G117" s="249"/>
      <c r="H117" s="249"/>
      <c r="I117" s="249"/>
      <c r="J117" s="82">
        <f t="shared" ref="J117:T117" si="10">SUM(J104:J116)</f>
        <v>0</v>
      </c>
      <c r="K117" s="82">
        <f t="shared" si="10"/>
        <v>0</v>
      </c>
      <c r="L117" s="82">
        <f t="shared" si="10"/>
        <v>0</v>
      </c>
      <c r="M117" s="82">
        <f t="shared" si="10"/>
        <v>0</v>
      </c>
      <c r="N117" s="82">
        <f t="shared" si="10"/>
        <v>15876.257496905626</v>
      </c>
      <c r="O117" s="82">
        <f t="shared" si="10"/>
        <v>80415.673885770826</v>
      </c>
      <c r="P117" s="82">
        <f t="shared" si="10"/>
        <v>75969.309095371325</v>
      </c>
      <c r="Q117" s="82">
        <f t="shared" si="10"/>
        <v>128281.5182053794</v>
      </c>
      <c r="R117" s="82">
        <f t="shared" si="10"/>
        <v>256299.45209527979</v>
      </c>
      <c r="S117" s="82">
        <f t="shared" si="10"/>
        <v>370803.06476159359</v>
      </c>
      <c r="T117" s="82">
        <f t="shared" si="10"/>
        <v>278680.81228533934</v>
      </c>
    </row>
    <row r="118" spans="3:20" hidden="1" outlineLevel="2"/>
    <row r="119" spans="3:20" hidden="1" outlineLevel="2">
      <c r="C119" s="37" t="s">
        <v>129</v>
      </c>
    </row>
    <row r="120" spans="3:20" ht="5.9" hidden="1" customHeight="1" outlineLevel="2"/>
    <row r="121" spans="3:20" hidden="1" outlineLevel="2">
      <c r="D121" s="102" t="str">
        <f>Work_Codes!D56</f>
        <v>MP mains replacement program - Altona North</v>
      </c>
      <c r="J121" s="81">
        <f>Work_Codes!$J56*J78*J$30</f>
        <v>0</v>
      </c>
      <c r="K121" s="81">
        <f>Work_Codes!$J56*K78*K$30</f>
        <v>0</v>
      </c>
      <c r="L121" s="81">
        <f>Work_Codes!$J56*L78*L$30</f>
        <v>0</v>
      </c>
      <c r="M121" s="81">
        <f>Work_Codes!$J56*M78*M$30</f>
        <v>0</v>
      </c>
      <c r="N121" s="81">
        <f>Work_Codes!$J56*N78*N$30</f>
        <v>0</v>
      </c>
      <c r="O121" s="81">
        <f>Work_Codes!$J56*O78*O$30</f>
        <v>1520000</v>
      </c>
      <c r="P121" s="81">
        <f>Work_Codes!$J56*P78*P$30</f>
        <v>1276800</v>
      </c>
      <c r="Q121" s="81">
        <f>Work_Codes!$J56*Q78*Q$30</f>
        <v>0</v>
      </c>
      <c r="R121" s="81">
        <f>Work_Codes!$J56*R78*R$30</f>
        <v>0</v>
      </c>
      <c r="S121" s="81">
        <f>Work_Codes!$J56*S78*S$30</f>
        <v>1404480</v>
      </c>
      <c r="T121" s="81">
        <f>Work_Codes!$J56*T78*T$30</f>
        <v>0</v>
      </c>
    </row>
    <row r="122" spans="3:20" hidden="1" outlineLevel="2">
      <c r="D122" s="168" t="str">
        <f>Work_Codes!D57</f>
        <v>MP mains replacement program - Braybrook</v>
      </c>
      <c r="J122" s="81">
        <f>Work_Codes!$J57*J79*J$30</f>
        <v>0</v>
      </c>
      <c r="K122" s="81">
        <f>Work_Codes!$J57*K79*K$30</f>
        <v>0</v>
      </c>
      <c r="L122" s="81">
        <f>Work_Codes!$J57*L79*L$30</f>
        <v>0</v>
      </c>
      <c r="M122" s="81">
        <f>Work_Codes!$J57*M79*M$30</f>
        <v>0</v>
      </c>
      <c r="N122" s="81">
        <f>Work_Codes!$J57*N79*N$30</f>
        <v>0</v>
      </c>
      <c r="O122" s="81">
        <f>Work_Codes!$J57*O79*O$30</f>
        <v>0</v>
      </c>
      <c r="P122" s="81">
        <f>Work_Codes!$J57*P79*P$30</f>
        <v>0</v>
      </c>
      <c r="Q122" s="81">
        <f>Work_Codes!$J57*Q79*Q$30</f>
        <v>0</v>
      </c>
      <c r="R122" s="81">
        <f>Work_Codes!$J57*R79*R$30</f>
        <v>0</v>
      </c>
      <c r="S122" s="81">
        <f>Work_Codes!$J57*S79*S$30</f>
        <v>1413600</v>
      </c>
      <c r="T122" s="81">
        <f>Work_Codes!$J57*T79*T$30</f>
        <v>1460720</v>
      </c>
    </row>
    <row r="123" spans="3:20" hidden="1" outlineLevel="2">
      <c r="D123" s="168" t="str">
        <f>Work_Codes!D58</f>
        <v>MP mains replacement program - Sunshine</v>
      </c>
      <c r="J123" s="81">
        <f>Work_Codes!$J58*J80*J$30</f>
        <v>0</v>
      </c>
      <c r="K123" s="81">
        <f>Work_Codes!$J58*K80*K$30</f>
        <v>0</v>
      </c>
      <c r="L123" s="81">
        <f>Work_Codes!$J58*L80*L$30</f>
        <v>0</v>
      </c>
      <c r="M123" s="81">
        <f>Work_Codes!$J58*M80*M$30</f>
        <v>0</v>
      </c>
      <c r="N123" s="81">
        <f>Work_Codes!$J58*N80*N$30</f>
        <v>0</v>
      </c>
      <c r="O123" s="81">
        <f>Work_Codes!$J58*O80*O$30</f>
        <v>0</v>
      </c>
      <c r="P123" s="81">
        <f>Work_Codes!$J58*P80*P$30</f>
        <v>0</v>
      </c>
      <c r="Q123" s="81">
        <f>Work_Codes!$J58*Q80*Q$30</f>
        <v>1520000</v>
      </c>
      <c r="R123" s="81">
        <f>Work_Codes!$J58*R80*R$30</f>
        <v>1520000</v>
      </c>
      <c r="S123" s="81">
        <f>Work_Codes!$J58*S80*S$30</f>
        <v>0</v>
      </c>
      <c r="T123" s="81">
        <f>Work_Codes!$J58*T80*T$30</f>
        <v>1520000</v>
      </c>
    </row>
    <row r="124" spans="3:20" hidden="1" outlineLevel="2">
      <c r="D124" s="168" t="str">
        <f>Work_Codes!D59</f>
        <v>MP mains replacement program - Deer Park</v>
      </c>
      <c r="J124" s="81">
        <f>Work_Codes!$J59*J81*J$30</f>
        <v>0</v>
      </c>
      <c r="K124" s="81">
        <f>Work_Codes!$J59*K81*K$30</f>
        <v>0</v>
      </c>
      <c r="L124" s="81">
        <f>Work_Codes!$J59*L81*L$30</f>
        <v>0</v>
      </c>
      <c r="M124" s="81">
        <f>Work_Codes!$J59*M81*M$30</f>
        <v>0</v>
      </c>
      <c r="N124" s="81">
        <f>Work_Codes!$J59*N81*N$30</f>
        <v>0</v>
      </c>
      <c r="O124" s="81">
        <f>Work_Codes!$J59*O81*O$30</f>
        <v>0</v>
      </c>
      <c r="P124" s="81">
        <f>Work_Codes!$J59*P81*P$30</f>
        <v>0</v>
      </c>
      <c r="Q124" s="81">
        <f>Work_Codes!$J59*Q81*Q$30</f>
        <v>0</v>
      </c>
      <c r="R124" s="81">
        <f>Work_Codes!$J59*R81*R$30</f>
        <v>0</v>
      </c>
      <c r="S124" s="81">
        <f>Work_Codes!$J59*S81*S$30</f>
        <v>0</v>
      </c>
      <c r="T124" s="81">
        <f>Work_Codes!$J59*T81*T$30</f>
        <v>0</v>
      </c>
    </row>
    <row r="125" spans="3:20" hidden="1" outlineLevel="2">
      <c r="D125" s="168" t="str">
        <f>Work_Codes!D60</f>
        <v>MP mains replacement program - Ardeer</v>
      </c>
      <c r="J125" s="81">
        <f>Work_Codes!$J60*J82*J$30</f>
        <v>0</v>
      </c>
      <c r="K125" s="81">
        <f>Work_Codes!$J60*K82*K$30</f>
        <v>0</v>
      </c>
      <c r="L125" s="81">
        <f>Work_Codes!$J60*L82*L$30</f>
        <v>0</v>
      </c>
      <c r="M125" s="81">
        <f>Work_Codes!$J60*M82*M$30</f>
        <v>0</v>
      </c>
      <c r="N125" s="81">
        <f>Work_Codes!$J60*N82*N$30</f>
        <v>0</v>
      </c>
      <c r="O125" s="81">
        <f>Work_Codes!$J60*O82*O$30</f>
        <v>0</v>
      </c>
      <c r="P125" s="81">
        <f>Work_Codes!$J60*P82*P$30</f>
        <v>0</v>
      </c>
      <c r="Q125" s="81">
        <f>Work_Codes!$J60*Q82*Q$30</f>
        <v>0</v>
      </c>
      <c r="R125" s="81">
        <f>Work_Codes!$J60*R82*R$30</f>
        <v>0</v>
      </c>
      <c r="S125" s="81">
        <f>Work_Codes!$J60*S82*S$30</f>
        <v>0</v>
      </c>
      <c r="T125" s="81">
        <f>Work_Codes!$J60*T82*T$30</f>
        <v>0</v>
      </c>
    </row>
    <row r="126" spans="3:20" hidden="1" outlineLevel="2">
      <c r="D126" s="168" t="str">
        <f>Work_Codes!D61</f>
        <v>MP mains replacement program - Footscray</v>
      </c>
      <c r="J126" s="81">
        <f>Work_Codes!$J61*J83*J$30</f>
        <v>0</v>
      </c>
      <c r="K126" s="81">
        <f>Work_Codes!$J61*K83*K$30</f>
        <v>0</v>
      </c>
      <c r="L126" s="81">
        <f>Work_Codes!$J61*L83*L$30</f>
        <v>0</v>
      </c>
      <c r="M126" s="81">
        <f>Work_Codes!$J61*M83*M$30</f>
        <v>0</v>
      </c>
      <c r="N126" s="81">
        <f>Work_Codes!$J61*N83*N$30</f>
        <v>0</v>
      </c>
      <c r="O126" s="81">
        <f>Work_Codes!$J61*O83*O$30</f>
        <v>0</v>
      </c>
      <c r="P126" s="81">
        <f>Work_Codes!$J61*P83*P$30</f>
        <v>0</v>
      </c>
      <c r="Q126" s="81">
        <f>Work_Codes!$J61*Q83*Q$30</f>
        <v>0</v>
      </c>
      <c r="R126" s="81">
        <f>Work_Codes!$J61*R83*R$30</f>
        <v>0</v>
      </c>
      <c r="S126" s="81">
        <f>Work_Codes!$J61*S83*S$30</f>
        <v>1900000</v>
      </c>
      <c r="T126" s="81">
        <f>Work_Codes!$J61*T83*T$30</f>
        <v>0</v>
      </c>
    </row>
    <row r="127" spans="3:20" hidden="1" outlineLevel="2">
      <c r="D127" s="168" t="str">
        <f>Work_Codes!D62</f>
        <v>MP mains replacement program - St Albans</v>
      </c>
      <c r="J127" s="81">
        <f>Work_Codes!$J62*J84*J$30</f>
        <v>0</v>
      </c>
      <c r="K127" s="81">
        <f>Work_Codes!$J62*K84*K$30</f>
        <v>0</v>
      </c>
      <c r="L127" s="81">
        <f>Work_Codes!$J62*L84*L$30</f>
        <v>0</v>
      </c>
      <c r="M127" s="81">
        <f>Work_Codes!$J62*M84*M$30</f>
        <v>0</v>
      </c>
      <c r="N127" s="81">
        <f>Work_Codes!$J62*N84*N$30</f>
        <v>0</v>
      </c>
      <c r="O127" s="81">
        <f>Work_Codes!$J62*O84*O$30</f>
        <v>0</v>
      </c>
      <c r="P127" s="81">
        <f>Work_Codes!$J62*P84*P$30</f>
        <v>0</v>
      </c>
      <c r="Q127" s="81">
        <f>Work_Codes!$J62*Q84*Q$30</f>
        <v>0</v>
      </c>
      <c r="R127" s="81">
        <f>Work_Codes!$J62*R84*R$30</f>
        <v>2074800</v>
      </c>
      <c r="S127" s="81">
        <f>Work_Codes!$J62*S84*S$30</f>
        <v>2052000</v>
      </c>
      <c r="T127" s="81">
        <f>Work_Codes!$J62*T84*T$30</f>
        <v>2052000</v>
      </c>
    </row>
    <row r="128" spans="3:20" hidden="1" outlineLevel="2">
      <c r="D128" s="168" t="str">
        <f>Work_Codes!D63</f>
        <v>MP mains replacement program - Maidstone</v>
      </c>
      <c r="J128" s="81">
        <f>Work_Codes!$J63*J85*J$30</f>
        <v>0</v>
      </c>
      <c r="K128" s="81">
        <f>Work_Codes!$J63*K85*K$30</f>
        <v>0</v>
      </c>
      <c r="L128" s="81">
        <f>Work_Codes!$J63*L85*L$30</f>
        <v>0</v>
      </c>
      <c r="M128" s="81">
        <f>Work_Codes!$J63*M85*M$30</f>
        <v>0</v>
      </c>
      <c r="N128" s="81">
        <f>Work_Codes!$J63*N85*N$30</f>
        <v>0</v>
      </c>
      <c r="O128" s="81">
        <f>Work_Codes!$J63*O85*O$30</f>
        <v>0</v>
      </c>
      <c r="P128" s="81">
        <f>Work_Codes!$J63*P85*P$30</f>
        <v>0</v>
      </c>
      <c r="Q128" s="81">
        <f>Work_Codes!$J63*Q85*Q$30</f>
        <v>874000</v>
      </c>
      <c r="R128" s="81">
        <f>Work_Codes!$J63*R85*R$30</f>
        <v>1136200</v>
      </c>
      <c r="S128" s="81">
        <f>Work_Codes!$J63*S85*S$30</f>
        <v>0</v>
      </c>
      <c r="T128" s="81">
        <f>Work_Codes!$J63*T85*T$30</f>
        <v>0</v>
      </c>
    </row>
    <row r="129" spans="3:20" hidden="1" outlineLevel="2">
      <c r="D129" s="168" t="str">
        <f>Work_Codes!D64</f>
        <v>MP mains replacement program - Yarraville</v>
      </c>
      <c r="J129" s="81">
        <f>Work_Codes!$J64*J86*J$30</f>
        <v>0</v>
      </c>
      <c r="K129" s="81">
        <f>Work_Codes!$J64*K86*K$30</f>
        <v>0</v>
      </c>
      <c r="L129" s="81">
        <f>Work_Codes!$J64*L86*L$30</f>
        <v>0</v>
      </c>
      <c r="M129" s="81">
        <f>Work_Codes!$J64*M86*M$30</f>
        <v>0</v>
      </c>
      <c r="N129" s="81">
        <f>Work_Codes!$J64*N86*N$30</f>
        <v>0</v>
      </c>
      <c r="O129" s="81">
        <f>Work_Codes!$J64*O86*O$30</f>
        <v>0</v>
      </c>
      <c r="P129" s="81">
        <f>Work_Codes!$J64*P86*P$30</f>
        <v>0</v>
      </c>
      <c r="Q129" s="81">
        <f>Work_Codes!$J64*Q86*Q$30</f>
        <v>0</v>
      </c>
      <c r="R129" s="81">
        <f>Work_Codes!$J64*R86*R$30</f>
        <v>0</v>
      </c>
      <c r="S129" s="81">
        <f>Work_Codes!$J64*S86*S$30</f>
        <v>0</v>
      </c>
      <c r="T129" s="81">
        <f>Work_Codes!$J64*T86*T$30</f>
        <v>0</v>
      </c>
    </row>
    <row r="130" spans="3:20" hidden="1" outlineLevel="2">
      <c r="D130" s="168" t="str">
        <f>Work_Codes!D65</f>
        <v xml:space="preserve">MP mains replacement program - Newport </v>
      </c>
      <c r="J130" s="81">
        <f>Work_Codes!$J65*J87*J$30</f>
        <v>0</v>
      </c>
      <c r="K130" s="81">
        <f>Work_Codes!$J65*K87*K$30</f>
        <v>0</v>
      </c>
      <c r="L130" s="81">
        <f>Work_Codes!$J65*L87*L$30</f>
        <v>0</v>
      </c>
      <c r="M130" s="81">
        <f>Work_Codes!$J65*M87*M$30</f>
        <v>0</v>
      </c>
      <c r="N130" s="81">
        <f>Work_Codes!$J65*N87*N$30</f>
        <v>0</v>
      </c>
      <c r="O130" s="81">
        <f>Work_Codes!$J65*O87*O$30</f>
        <v>0</v>
      </c>
      <c r="P130" s="81">
        <f>Work_Codes!$J65*P87*P$30</f>
        <v>0</v>
      </c>
      <c r="Q130" s="81">
        <f>Work_Codes!$J65*Q87*Q$30</f>
        <v>0</v>
      </c>
      <c r="R130" s="81">
        <f>Work_Codes!$J65*R87*R$30</f>
        <v>0</v>
      </c>
      <c r="S130" s="81">
        <f>Work_Codes!$J65*S87*S$30</f>
        <v>0</v>
      </c>
      <c r="T130" s="81">
        <f>Work_Codes!$J65*T87*T$30</f>
        <v>0</v>
      </c>
    </row>
    <row r="131" spans="3:20" hidden="1" outlineLevel="2">
      <c r="D131" s="168" t="str">
        <f>Work_Codes!D66</f>
        <v>MP mains replacement program - Williamstown</v>
      </c>
      <c r="J131" s="81">
        <f>Work_Codes!$J66*J88*J$30</f>
        <v>0</v>
      </c>
      <c r="K131" s="81">
        <f>Work_Codes!$J66*K88*K$30</f>
        <v>0</v>
      </c>
      <c r="L131" s="81">
        <f>Work_Codes!$J66*L88*L$30</f>
        <v>0</v>
      </c>
      <c r="M131" s="81">
        <f>Work_Codes!$J66*M88*M$30</f>
        <v>0</v>
      </c>
      <c r="N131" s="81">
        <f>Work_Codes!$J66*N88*N$30</f>
        <v>0</v>
      </c>
      <c r="O131" s="81">
        <f>Work_Codes!$J66*O88*O$30</f>
        <v>0</v>
      </c>
      <c r="P131" s="81">
        <f>Work_Codes!$J66*P88*P$30</f>
        <v>0</v>
      </c>
      <c r="Q131" s="81">
        <f>Work_Codes!$J66*Q88*Q$30</f>
        <v>0</v>
      </c>
      <c r="R131" s="81">
        <f>Work_Codes!$J66*R88*R$30</f>
        <v>0</v>
      </c>
      <c r="S131" s="81">
        <f>Work_Codes!$J66*S88*S$30</f>
        <v>0</v>
      </c>
      <c r="T131" s="81">
        <f>Work_Codes!$J66*T88*T$30</f>
        <v>0</v>
      </c>
    </row>
    <row r="132" spans="3:20" hidden="1" outlineLevel="2">
      <c r="D132" s="102" t="str">
        <f>Work_Codes!D67</f>
        <v>Capex Items Category 12</v>
      </c>
      <c r="J132" s="81">
        <f>Work_Codes!$J67*J89*J$30</f>
        <v>0</v>
      </c>
      <c r="K132" s="81">
        <f>Work_Codes!$J67*K89*K$30</f>
        <v>0</v>
      </c>
      <c r="L132" s="81">
        <f>Work_Codes!$J67*L89*L$30</f>
        <v>0</v>
      </c>
      <c r="M132" s="81">
        <f>Work_Codes!$J67*M89*M$30</f>
        <v>0</v>
      </c>
      <c r="N132" s="81">
        <f>Work_Codes!$J67*N89*N$30</f>
        <v>301648.8924412069</v>
      </c>
      <c r="O132" s="81">
        <f>Work_Codes!$J67*O89*O$30</f>
        <v>0</v>
      </c>
      <c r="P132" s="81">
        <f>Work_Codes!$J67*P89*P$30</f>
        <v>152000</v>
      </c>
      <c r="Q132" s="81">
        <f>Work_Codes!$J67*Q89*Q$30</f>
        <v>0</v>
      </c>
      <c r="R132" s="81">
        <f>Work_Codes!$J67*R89*R$30</f>
        <v>0</v>
      </c>
      <c r="S132" s="81">
        <f>Work_Codes!$J67*S89*S$30</f>
        <v>0</v>
      </c>
      <c r="T132" s="81">
        <f>Work_Codes!$J67*T89*T$30</f>
        <v>0</v>
      </c>
    </row>
    <row r="133" spans="3:20" ht="5.9" hidden="1" customHeight="1" outlineLevel="2"/>
    <row r="134" spans="3:20" hidden="1" outlineLevel="2">
      <c r="D134" s="249" t="str">
        <f>"Total "&amp;C119</f>
        <v>Total External Labour</v>
      </c>
      <c r="E134" s="249"/>
      <c r="F134" s="249"/>
      <c r="G134" s="249"/>
      <c r="H134" s="249"/>
      <c r="I134" s="249"/>
      <c r="J134" s="82">
        <f t="shared" ref="J134:T134" si="11">SUM(J121:J133)</f>
        <v>0</v>
      </c>
      <c r="K134" s="82">
        <f t="shared" si="11"/>
        <v>0</v>
      </c>
      <c r="L134" s="82">
        <f t="shared" si="11"/>
        <v>0</v>
      </c>
      <c r="M134" s="82">
        <f t="shared" si="11"/>
        <v>0</v>
      </c>
      <c r="N134" s="82">
        <f t="shared" si="11"/>
        <v>301648.8924412069</v>
      </c>
      <c r="O134" s="82">
        <f t="shared" si="11"/>
        <v>1520000</v>
      </c>
      <c r="P134" s="82">
        <f t="shared" si="11"/>
        <v>1428800</v>
      </c>
      <c r="Q134" s="82">
        <f t="shared" si="11"/>
        <v>2394000</v>
      </c>
      <c r="R134" s="82">
        <f t="shared" si="11"/>
        <v>4731000</v>
      </c>
      <c r="S134" s="82">
        <f t="shared" si="11"/>
        <v>6770080</v>
      </c>
      <c r="T134" s="82">
        <f t="shared" si="11"/>
        <v>5032720</v>
      </c>
    </row>
    <row r="135" spans="3:20" hidden="1" outlineLevel="2"/>
    <row r="136" spans="3:20" hidden="1" outlineLevel="2">
      <c r="C136" s="37" t="s">
        <v>130</v>
      </c>
    </row>
    <row r="137" spans="3:20" ht="5.9" hidden="1" customHeight="1" outlineLevel="2"/>
    <row r="138" spans="3:20" hidden="1" outlineLevel="2">
      <c r="D138" s="102" t="str">
        <f>Work_Codes!D56</f>
        <v>MP mains replacement program - Altona North</v>
      </c>
      <c r="J138" s="81">
        <f>Work_Codes!$K56*J78*J$31</f>
        <v>0</v>
      </c>
      <c r="K138" s="81">
        <f>Work_Codes!$K56*K78*K$31</f>
        <v>0</v>
      </c>
      <c r="L138" s="81">
        <f>Work_Codes!$K56*L78*L$31</f>
        <v>0</v>
      </c>
      <c r="M138" s="81">
        <f>Work_Codes!$K56*M78*M$31</f>
        <v>0</v>
      </c>
      <c r="N138" s="81">
        <f>Work_Codes!$K56*N78*N$31</f>
        <v>0</v>
      </c>
      <c r="O138" s="81">
        <f>Work_Codes!$K56*O78*O$31</f>
        <v>399999.99999999988</v>
      </c>
      <c r="P138" s="81">
        <f>Work_Codes!$K56*P78*P$31</f>
        <v>335999.99999999994</v>
      </c>
      <c r="Q138" s="81">
        <f>Work_Codes!$K56*Q78*Q$31</f>
        <v>0</v>
      </c>
      <c r="R138" s="81">
        <f>Work_Codes!$K56*R78*R$31</f>
        <v>0</v>
      </c>
      <c r="S138" s="81">
        <f>Work_Codes!$K56*S78*S$31</f>
        <v>369599.99999999994</v>
      </c>
      <c r="T138" s="81">
        <f>Work_Codes!$K56*T78*T$31</f>
        <v>0</v>
      </c>
    </row>
    <row r="139" spans="3:20" hidden="1" outlineLevel="2">
      <c r="D139" s="168" t="str">
        <f>Work_Codes!D57</f>
        <v>MP mains replacement program - Braybrook</v>
      </c>
      <c r="J139" s="81">
        <f>Work_Codes!$K57*J79*J$31</f>
        <v>0</v>
      </c>
      <c r="K139" s="81">
        <f>Work_Codes!$K57*K79*K$31</f>
        <v>0</v>
      </c>
      <c r="L139" s="81">
        <f>Work_Codes!$K57*L79*L$31</f>
        <v>0</v>
      </c>
      <c r="M139" s="81">
        <f>Work_Codes!$K57*M79*M$31</f>
        <v>0</v>
      </c>
      <c r="N139" s="81">
        <f>Work_Codes!$K57*N79*N$31</f>
        <v>0</v>
      </c>
      <c r="O139" s="81">
        <f>Work_Codes!$K57*O79*O$31</f>
        <v>0</v>
      </c>
      <c r="P139" s="81">
        <f>Work_Codes!$K57*P79*P$31</f>
        <v>0</v>
      </c>
      <c r="Q139" s="81">
        <f>Work_Codes!$K57*Q79*Q$31</f>
        <v>0</v>
      </c>
      <c r="R139" s="81">
        <f>Work_Codes!$K57*R79*R$31</f>
        <v>0</v>
      </c>
      <c r="S139" s="81">
        <f>Work_Codes!$K57*S79*S$31</f>
        <v>371999.99999999994</v>
      </c>
      <c r="T139" s="81">
        <f>Work_Codes!$K57*T79*T$31</f>
        <v>384399.99999999994</v>
      </c>
    </row>
    <row r="140" spans="3:20" hidden="1" outlineLevel="2">
      <c r="D140" s="168" t="str">
        <f>Work_Codes!D58</f>
        <v>MP mains replacement program - Sunshine</v>
      </c>
      <c r="J140" s="81">
        <f>Work_Codes!$K58*J80*J$31</f>
        <v>0</v>
      </c>
      <c r="K140" s="81">
        <f>Work_Codes!$K58*K80*K$31</f>
        <v>0</v>
      </c>
      <c r="L140" s="81">
        <f>Work_Codes!$K58*L80*L$31</f>
        <v>0</v>
      </c>
      <c r="M140" s="81">
        <f>Work_Codes!$K58*M80*M$31</f>
        <v>0</v>
      </c>
      <c r="N140" s="81">
        <f>Work_Codes!$K58*N80*N$31</f>
        <v>0</v>
      </c>
      <c r="O140" s="81">
        <f>Work_Codes!$K58*O80*O$31</f>
        <v>0</v>
      </c>
      <c r="P140" s="81">
        <f>Work_Codes!$K58*P80*P$31</f>
        <v>0</v>
      </c>
      <c r="Q140" s="81">
        <f>Work_Codes!$K58*Q80*Q$31</f>
        <v>399999.99999999988</v>
      </c>
      <c r="R140" s="81">
        <f>Work_Codes!$K58*R80*R$31</f>
        <v>399999.99999999988</v>
      </c>
      <c r="S140" s="81">
        <f>Work_Codes!$K58*S80*S$31</f>
        <v>0</v>
      </c>
      <c r="T140" s="81">
        <f>Work_Codes!$K58*T80*T$31</f>
        <v>399999.99999999988</v>
      </c>
    </row>
    <row r="141" spans="3:20" hidden="1" outlineLevel="2">
      <c r="D141" s="168" t="str">
        <f>Work_Codes!D59</f>
        <v>MP mains replacement program - Deer Park</v>
      </c>
      <c r="J141" s="81">
        <f>Work_Codes!$K59*J81*J$31</f>
        <v>0</v>
      </c>
      <c r="K141" s="81">
        <f>Work_Codes!$K59*K81*K$31</f>
        <v>0</v>
      </c>
      <c r="L141" s="81">
        <f>Work_Codes!$K59*L81*L$31</f>
        <v>0</v>
      </c>
      <c r="M141" s="81">
        <f>Work_Codes!$K59*M81*M$31</f>
        <v>0</v>
      </c>
      <c r="N141" s="81">
        <f>Work_Codes!$K59*N81*N$31</f>
        <v>0</v>
      </c>
      <c r="O141" s="81">
        <f>Work_Codes!$K59*O81*O$31</f>
        <v>0</v>
      </c>
      <c r="P141" s="81">
        <f>Work_Codes!$K59*P81*P$31</f>
        <v>0</v>
      </c>
      <c r="Q141" s="81">
        <f>Work_Codes!$K59*Q81*Q$31</f>
        <v>0</v>
      </c>
      <c r="R141" s="81">
        <f>Work_Codes!$K59*R81*R$31</f>
        <v>0</v>
      </c>
      <c r="S141" s="81">
        <f>Work_Codes!$K59*S81*S$31</f>
        <v>0</v>
      </c>
      <c r="T141" s="81">
        <f>Work_Codes!$K59*T81*T$31</f>
        <v>0</v>
      </c>
    </row>
    <row r="142" spans="3:20" hidden="1" outlineLevel="2">
      <c r="D142" s="168" t="str">
        <f>Work_Codes!D60</f>
        <v>MP mains replacement program - Ardeer</v>
      </c>
      <c r="J142" s="81">
        <f>Work_Codes!$K60*J82*J$31</f>
        <v>0</v>
      </c>
      <c r="K142" s="81">
        <f>Work_Codes!$K60*K82*K$31</f>
        <v>0</v>
      </c>
      <c r="L142" s="81">
        <f>Work_Codes!$K60*L82*L$31</f>
        <v>0</v>
      </c>
      <c r="M142" s="81">
        <f>Work_Codes!$K60*M82*M$31</f>
        <v>0</v>
      </c>
      <c r="N142" s="81">
        <f>Work_Codes!$K60*N82*N$31</f>
        <v>0</v>
      </c>
      <c r="O142" s="81">
        <f>Work_Codes!$K60*O82*O$31</f>
        <v>0</v>
      </c>
      <c r="P142" s="81">
        <f>Work_Codes!$K60*P82*P$31</f>
        <v>0</v>
      </c>
      <c r="Q142" s="81">
        <f>Work_Codes!$K60*Q82*Q$31</f>
        <v>0</v>
      </c>
      <c r="R142" s="81">
        <f>Work_Codes!$K60*R82*R$31</f>
        <v>0</v>
      </c>
      <c r="S142" s="81">
        <f>Work_Codes!$K60*S82*S$31</f>
        <v>0</v>
      </c>
      <c r="T142" s="81">
        <f>Work_Codes!$K60*T82*T$31</f>
        <v>0</v>
      </c>
    </row>
    <row r="143" spans="3:20" hidden="1" outlineLevel="2">
      <c r="D143" s="168" t="str">
        <f>Work_Codes!D61</f>
        <v>MP mains replacement program - Footscray</v>
      </c>
      <c r="J143" s="81">
        <f>Work_Codes!$K61*J83*J$31</f>
        <v>0</v>
      </c>
      <c r="K143" s="81">
        <f>Work_Codes!$K61*K83*K$31</f>
        <v>0</v>
      </c>
      <c r="L143" s="81">
        <f>Work_Codes!$K61*L83*L$31</f>
        <v>0</v>
      </c>
      <c r="M143" s="81">
        <f>Work_Codes!$K61*M83*M$31</f>
        <v>0</v>
      </c>
      <c r="N143" s="81">
        <f>Work_Codes!$K61*N83*N$31</f>
        <v>0</v>
      </c>
      <c r="O143" s="81">
        <f>Work_Codes!$K61*O83*O$31</f>
        <v>0</v>
      </c>
      <c r="P143" s="81">
        <f>Work_Codes!$K61*P83*P$31</f>
        <v>0</v>
      </c>
      <c r="Q143" s="81">
        <f>Work_Codes!$K61*Q83*Q$31</f>
        <v>0</v>
      </c>
      <c r="R143" s="81">
        <f>Work_Codes!$K61*R83*R$31</f>
        <v>0</v>
      </c>
      <c r="S143" s="81">
        <f>Work_Codes!$K61*S83*S$31</f>
        <v>499999.99999999988</v>
      </c>
      <c r="T143" s="81">
        <f>Work_Codes!$K61*T83*T$31</f>
        <v>0</v>
      </c>
    </row>
    <row r="144" spans="3:20" hidden="1" outlineLevel="2">
      <c r="D144" s="168" t="str">
        <f>Work_Codes!D62</f>
        <v>MP mains replacement program - St Albans</v>
      </c>
      <c r="J144" s="81">
        <f>Work_Codes!$K62*J84*J$31</f>
        <v>0</v>
      </c>
      <c r="K144" s="81">
        <f>Work_Codes!$K62*K84*K$31</f>
        <v>0</v>
      </c>
      <c r="L144" s="81">
        <f>Work_Codes!$K62*L84*L$31</f>
        <v>0</v>
      </c>
      <c r="M144" s="81">
        <f>Work_Codes!$K62*M84*M$31</f>
        <v>0</v>
      </c>
      <c r="N144" s="81">
        <f>Work_Codes!$K62*N84*N$31</f>
        <v>0</v>
      </c>
      <c r="O144" s="81">
        <f>Work_Codes!$K62*O84*O$31</f>
        <v>0</v>
      </c>
      <c r="P144" s="81">
        <f>Work_Codes!$K62*P84*P$31</f>
        <v>0</v>
      </c>
      <c r="Q144" s="81">
        <f>Work_Codes!$K62*Q84*Q$31</f>
        <v>0</v>
      </c>
      <c r="R144" s="81">
        <f>Work_Codes!$K62*R84*R$31</f>
        <v>545999.99999999988</v>
      </c>
      <c r="S144" s="81">
        <f>Work_Codes!$K62*S84*S$31</f>
        <v>539999.99999999988</v>
      </c>
      <c r="T144" s="81">
        <f>Work_Codes!$K62*T84*T$31</f>
        <v>539999.99999999988</v>
      </c>
    </row>
    <row r="145" spans="3:20" hidden="1" outlineLevel="2">
      <c r="D145" s="168" t="str">
        <f>Work_Codes!D63</f>
        <v>MP mains replacement program - Maidstone</v>
      </c>
      <c r="J145" s="81">
        <f>Work_Codes!$K63*J85*J$31</f>
        <v>0</v>
      </c>
      <c r="K145" s="81">
        <f>Work_Codes!$K63*K85*K$31</f>
        <v>0</v>
      </c>
      <c r="L145" s="81">
        <f>Work_Codes!$K63*L85*L$31</f>
        <v>0</v>
      </c>
      <c r="M145" s="81">
        <f>Work_Codes!$K63*M85*M$31</f>
        <v>0</v>
      </c>
      <c r="N145" s="81">
        <f>Work_Codes!$K63*N85*N$31</f>
        <v>0</v>
      </c>
      <c r="O145" s="81">
        <f>Work_Codes!$K63*O85*O$31</f>
        <v>0</v>
      </c>
      <c r="P145" s="81">
        <f>Work_Codes!$K63*P85*P$31</f>
        <v>0</v>
      </c>
      <c r="Q145" s="81">
        <f>Work_Codes!$K63*Q85*Q$31</f>
        <v>229999.99999999994</v>
      </c>
      <c r="R145" s="81">
        <f>Work_Codes!$K63*R85*R$31</f>
        <v>298999.99999999994</v>
      </c>
      <c r="S145" s="81">
        <f>Work_Codes!$K63*S85*S$31</f>
        <v>0</v>
      </c>
      <c r="T145" s="81">
        <f>Work_Codes!$K63*T85*T$31</f>
        <v>0</v>
      </c>
    </row>
    <row r="146" spans="3:20" hidden="1" outlineLevel="2">
      <c r="D146" s="168" t="str">
        <f>Work_Codes!D64</f>
        <v>MP mains replacement program - Yarraville</v>
      </c>
      <c r="J146" s="81">
        <f>Work_Codes!$K64*J86*J$31</f>
        <v>0</v>
      </c>
      <c r="K146" s="81">
        <f>Work_Codes!$K64*K86*K$31</f>
        <v>0</v>
      </c>
      <c r="L146" s="81">
        <f>Work_Codes!$K64*L86*L$31</f>
        <v>0</v>
      </c>
      <c r="M146" s="81">
        <f>Work_Codes!$K64*M86*M$31</f>
        <v>0</v>
      </c>
      <c r="N146" s="81">
        <f>Work_Codes!$K64*N86*N$31</f>
        <v>0</v>
      </c>
      <c r="O146" s="81">
        <f>Work_Codes!$K64*O86*O$31</f>
        <v>0</v>
      </c>
      <c r="P146" s="81">
        <f>Work_Codes!$K64*P86*P$31</f>
        <v>0</v>
      </c>
      <c r="Q146" s="81">
        <f>Work_Codes!$K64*Q86*Q$31</f>
        <v>0</v>
      </c>
      <c r="R146" s="81">
        <f>Work_Codes!$K64*R86*R$31</f>
        <v>0</v>
      </c>
      <c r="S146" s="81">
        <f>Work_Codes!$K64*S86*S$31</f>
        <v>0</v>
      </c>
      <c r="T146" s="81">
        <f>Work_Codes!$K64*T86*T$31</f>
        <v>0</v>
      </c>
    </row>
    <row r="147" spans="3:20" hidden="1" outlineLevel="2">
      <c r="D147" s="168" t="str">
        <f>Work_Codes!D65</f>
        <v xml:space="preserve">MP mains replacement program - Newport </v>
      </c>
      <c r="J147" s="81">
        <f>Work_Codes!$K65*J87*J$31</f>
        <v>0</v>
      </c>
      <c r="K147" s="81">
        <f>Work_Codes!$K65*K87*K$31</f>
        <v>0</v>
      </c>
      <c r="L147" s="81">
        <f>Work_Codes!$K65*L87*L$31</f>
        <v>0</v>
      </c>
      <c r="M147" s="81">
        <f>Work_Codes!$K65*M87*M$31</f>
        <v>0</v>
      </c>
      <c r="N147" s="81">
        <f>Work_Codes!$K65*N87*N$31</f>
        <v>0</v>
      </c>
      <c r="O147" s="81">
        <f>Work_Codes!$K65*O87*O$31</f>
        <v>0</v>
      </c>
      <c r="P147" s="81">
        <f>Work_Codes!$K65*P87*P$31</f>
        <v>0</v>
      </c>
      <c r="Q147" s="81">
        <f>Work_Codes!$K65*Q87*Q$31</f>
        <v>0</v>
      </c>
      <c r="R147" s="81">
        <f>Work_Codes!$K65*R87*R$31</f>
        <v>0</v>
      </c>
      <c r="S147" s="81">
        <f>Work_Codes!$K65*S87*S$31</f>
        <v>0</v>
      </c>
      <c r="T147" s="81">
        <f>Work_Codes!$K65*T87*T$31</f>
        <v>0</v>
      </c>
    </row>
    <row r="148" spans="3:20" hidden="1" outlineLevel="2">
      <c r="D148" s="168" t="str">
        <f>Work_Codes!D66</f>
        <v>MP mains replacement program - Williamstown</v>
      </c>
      <c r="J148" s="81">
        <f>Work_Codes!$K66*J88*J$31</f>
        <v>0</v>
      </c>
      <c r="K148" s="81">
        <f>Work_Codes!$K66*K88*K$31</f>
        <v>0</v>
      </c>
      <c r="L148" s="81">
        <f>Work_Codes!$K66*L88*L$31</f>
        <v>0</v>
      </c>
      <c r="M148" s="81">
        <f>Work_Codes!$K66*M88*M$31</f>
        <v>0</v>
      </c>
      <c r="N148" s="81">
        <f>Work_Codes!$K66*N88*N$31</f>
        <v>0</v>
      </c>
      <c r="O148" s="81">
        <f>Work_Codes!$K66*O88*O$31</f>
        <v>0</v>
      </c>
      <c r="P148" s="81">
        <f>Work_Codes!$K66*P88*P$31</f>
        <v>0</v>
      </c>
      <c r="Q148" s="81">
        <f>Work_Codes!$K66*Q88*Q$31</f>
        <v>0</v>
      </c>
      <c r="R148" s="81">
        <f>Work_Codes!$K66*R88*R$31</f>
        <v>0</v>
      </c>
      <c r="S148" s="81">
        <f>Work_Codes!$K66*S88*S$31</f>
        <v>0</v>
      </c>
      <c r="T148" s="81">
        <f>Work_Codes!$K66*T88*T$31</f>
        <v>0</v>
      </c>
    </row>
    <row r="149" spans="3:20" hidden="1" outlineLevel="2">
      <c r="D149" s="102" t="str">
        <f>Work_Codes!D67</f>
        <v>Capex Items Category 12</v>
      </c>
      <c r="J149" s="81">
        <f>Work_Codes!$K67*J89*J$31</f>
        <v>0</v>
      </c>
      <c r="K149" s="81">
        <f>Work_Codes!$K67*K89*K$31</f>
        <v>0</v>
      </c>
      <c r="L149" s="81">
        <f>Work_Codes!$K67*L89*L$31</f>
        <v>0</v>
      </c>
      <c r="M149" s="81">
        <f>Work_Codes!$K67*M89*M$31</f>
        <v>0</v>
      </c>
      <c r="N149" s="81">
        <f>Work_Codes!$K67*N89*N$31</f>
        <v>79381.287484528104</v>
      </c>
      <c r="O149" s="81">
        <f>Work_Codes!$K67*O89*O$31</f>
        <v>0</v>
      </c>
      <c r="P149" s="81">
        <f>Work_Codes!$K67*P89*P$31</f>
        <v>39999.999999999993</v>
      </c>
      <c r="Q149" s="81">
        <f>Work_Codes!$K67*Q89*Q$31</f>
        <v>0</v>
      </c>
      <c r="R149" s="81">
        <f>Work_Codes!$K67*R89*R$31</f>
        <v>0</v>
      </c>
      <c r="S149" s="81">
        <f>Work_Codes!$K67*S89*S$31</f>
        <v>0</v>
      </c>
      <c r="T149" s="81">
        <f>Work_Codes!$K67*T89*T$31</f>
        <v>0</v>
      </c>
    </row>
    <row r="150" spans="3:20" ht="5.9" hidden="1" customHeight="1" outlineLevel="2"/>
    <row r="151" spans="3:20" hidden="1" outlineLevel="2">
      <c r="D151" s="249" t="str">
        <f>"Total "&amp;C136</f>
        <v>Total Materials</v>
      </c>
      <c r="E151" s="249"/>
      <c r="F151" s="249"/>
      <c r="G151" s="249"/>
      <c r="H151" s="249"/>
      <c r="I151" s="249"/>
      <c r="J151" s="82">
        <f t="shared" ref="J151:T151" si="12">SUM(J138:J150)</f>
        <v>0</v>
      </c>
      <c r="K151" s="82">
        <f t="shared" si="12"/>
        <v>0</v>
      </c>
      <c r="L151" s="82">
        <f t="shared" si="12"/>
        <v>0</v>
      </c>
      <c r="M151" s="82">
        <f t="shared" si="12"/>
        <v>0</v>
      </c>
      <c r="N151" s="82">
        <f t="shared" si="12"/>
        <v>79381.287484528104</v>
      </c>
      <c r="O151" s="82">
        <f t="shared" si="12"/>
        <v>399999.99999999988</v>
      </c>
      <c r="P151" s="82">
        <f t="shared" si="12"/>
        <v>375999.99999999994</v>
      </c>
      <c r="Q151" s="82">
        <f t="shared" si="12"/>
        <v>629999.99999999977</v>
      </c>
      <c r="R151" s="82">
        <f t="shared" si="12"/>
        <v>1244999.9999999998</v>
      </c>
      <c r="S151" s="82">
        <f t="shared" si="12"/>
        <v>1781599.9999999995</v>
      </c>
      <c r="T151" s="82">
        <f t="shared" si="12"/>
        <v>1324399.9999999995</v>
      </c>
    </row>
    <row r="152" spans="3:20" outlineLevel="1" collapsed="1"/>
    <row r="153" spans="3:20" outlineLevel="1">
      <c r="C153" s="37" t="s">
        <v>217</v>
      </c>
    </row>
    <row r="154" spans="3:20" ht="5.9" customHeight="1" outlineLevel="1"/>
    <row r="155" spans="3:20" outlineLevel="1">
      <c r="D155" s="102" t="str">
        <f>Work_Codes!D56</f>
        <v>MP mains replacement program - Altona North</v>
      </c>
      <c r="J155" s="81">
        <f t="shared" ref="J155:T155" si="13">J104+J121+J138</f>
        <v>0</v>
      </c>
      <c r="K155" s="81">
        <f t="shared" si="13"/>
        <v>0</v>
      </c>
      <c r="L155" s="81">
        <f t="shared" si="13"/>
        <v>0</v>
      </c>
      <c r="M155" s="81">
        <f t="shared" si="13"/>
        <v>0</v>
      </c>
      <c r="N155" s="81">
        <f t="shared" si="13"/>
        <v>0</v>
      </c>
      <c r="O155" s="81">
        <f t="shared" si="13"/>
        <v>2000415.6738857706</v>
      </c>
      <c r="P155" s="81">
        <f t="shared" si="13"/>
        <v>1680687.4677022467</v>
      </c>
      <c r="Q155" s="81">
        <f t="shared" si="13"/>
        <v>0</v>
      </c>
      <c r="R155" s="81">
        <f t="shared" si="13"/>
        <v>0</v>
      </c>
      <c r="S155" s="81">
        <f t="shared" si="13"/>
        <v>1851004.5693398546</v>
      </c>
      <c r="T155" s="81">
        <f t="shared" si="13"/>
        <v>0</v>
      </c>
    </row>
    <row r="156" spans="3:20" outlineLevel="1">
      <c r="D156" s="168" t="str">
        <f>Work_Codes!D57</f>
        <v>MP mains replacement program - Braybrook</v>
      </c>
      <c r="J156" s="81">
        <f t="shared" ref="J156:T156" si="14">J105+J122+J139</f>
        <v>0</v>
      </c>
      <c r="K156" s="81">
        <f t="shared" si="14"/>
        <v>0</v>
      </c>
      <c r="L156" s="81">
        <f t="shared" si="14"/>
        <v>0</v>
      </c>
      <c r="M156" s="81">
        <f t="shared" si="14"/>
        <v>0</v>
      </c>
      <c r="N156" s="81">
        <f t="shared" si="14"/>
        <v>0</v>
      </c>
      <c r="O156" s="81">
        <f t="shared" si="14"/>
        <v>0</v>
      </c>
      <c r="P156" s="81">
        <f t="shared" si="14"/>
        <v>0</v>
      </c>
      <c r="Q156" s="81">
        <f t="shared" si="14"/>
        <v>0</v>
      </c>
      <c r="R156" s="81">
        <f t="shared" si="14"/>
        <v>0</v>
      </c>
      <c r="S156" s="81">
        <f t="shared" si="14"/>
        <v>1863024.0795303732</v>
      </c>
      <c r="T156" s="81">
        <f t="shared" si="14"/>
        <v>1926005.6117807946</v>
      </c>
    </row>
    <row r="157" spans="3:20" outlineLevel="1">
      <c r="D157" s="168" t="str">
        <f>Work_Codes!D58</f>
        <v>MP mains replacement program - Sunshine</v>
      </c>
      <c r="J157" s="81">
        <f t="shared" ref="J157:T157" si="15">J106+J123+J140</f>
        <v>0</v>
      </c>
      <c r="K157" s="81">
        <f t="shared" si="15"/>
        <v>0</v>
      </c>
      <c r="L157" s="81">
        <f t="shared" si="15"/>
        <v>0</v>
      </c>
      <c r="M157" s="81">
        <f t="shared" si="15"/>
        <v>0</v>
      </c>
      <c r="N157" s="81">
        <f t="shared" si="15"/>
        <v>0</v>
      </c>
      <c r="O157" s="81">
        <f t="shared" si="15"/>
        <v>0</v>
      </c>
      <c r="P157" s="81">
        <f t="shared" si="15"/>
        <v>0</v>
      </c>
      <c r="Q157" s="81">
        <f t="shared" si="15"/>
        <v>2001448.5829875423</v>
      </c>
      <c r="R157" s="81">
        <f t="shared" si="15"/>
        <v>2002345.2054924592</v>
      </c>
      <c r="S157" s="81">
        <f t="shared" si="15"/>
        <v>0</v>
      </c>
      <c r="T157" s="81">
        <f t="shared" si="15"/>
        <v>2004168.1704274658</v>
      </c>
    </row>
    <row r="158" spans="3:20" outlineLevel="1">
      <c r="D158" s="168" t="str">
        <f>Work_Codes!D59</f>
        <v>MP mains replacement program - Deer Park</v>
      </c>
      <c r="J158" s="81">
        <f t="shared" ref="J158:T158" si="16">J107+J124+J141</f>
        <v>0</v>
      </c>
      <c r="K158" s="81">
        <f t="shared" si="16"/>
        <v>0</v>
      </c>
      <c r="L158" s="81">
        <f t="shared" si="16"/>
        <v>0</v>
      </c>
      <c r="M158" s="81">
        <f t="shared" si="16"/>
        <v>0</v>
      </c>
      <c r="N158" s="81">
        <f t="shared" si="16"/>
        <v>0</v>
      </c>
      <c r="O158" s="81">
        <f t="shared" si="16"/>
        <v>0</v>
      </c>
      <c r="P158" s="81">
        <f t="shared" si="16"/>
        <v>0</v>
      </c>
      <c r="Q158" s="81">
        <f t="shared" si="16"/>
        <v>0</v>
      </c>
      <c r="R158" s="81">
        <f t="shared" si="16"/>
        <v>0</v>
      </c>
      <c r="S158" s="81">
        <f t="shared" si="16"/>
        <v>0</v>
      </c>
      <c r="T158" s="81">
        <f t="shared" si="16"/>
        <v>0</v>
      </c>
    </row>
    <row r="159" spans="3:20" outlineLevel="1">
      <c r="D159" s="168" t="str">
        <f>Work_Codes!D60</f>
        <v>MP mains replacement program - Ardeer</v>
      </c>
      <c r="J159" s="81">
        <f t="shared" ref="J159:T159" si="17">J108+J125+J142</f>
        <v>0</v>
      </c>
      <c r="K159" s="81">
        <f t="shared" si="17"/>
        <v>0</v>
      </c>
      <c r="L159" s="81">
        <f t="shared" si="17"/>
        <v>0</v>
      </c>
      <c r="M159" s="81">
        <f t="shared" si="17"/>
        <v>0</v>
      </c>
      <c r="N159" s="81">
        <f t="shared" si="17"/>
        <v>0</v>
      </c>
      <c r="O159" s="81">
        <f t="shared" si="17"/>
        <v>0</v>
      </c>
      <c r="P159" s="81">
        <f t="shared" si="17"/>
        <v>0</v>
      </c>
      <c r="Q159" s="81">
        <f t="shared" si="17"/>
        <v>0</v>
      </c>
      <c r="R159" s="81">
        <f t="shared" si="17"/>
        <v>0</v>
      </c>
      <c r="S159" s="81">
        <f t="shared" si="17"/>
        <v>0</v>
      </c>
      <c r="T159" s="81">
        <f t="shared" si="17"/>
        <v>0</v>
      </c>
    </row>
    <row r="160" spans="3:20" outlineLevel="1">
      <c r="D160" s="168" t="str">
        <f>Work_Codes!D61</f>
        <v>MP mains replacement program - Footscray</v>
      </c>
      <c r="J160" s="81">
        <f t="shared" ref="J160:T160" si="18">J109+J126+J143</f>
        <v>0</v>
      </c>
      <c r="K160" s="81">
        <f t="shared" si="18"/>
        <v>0</v>
      </c>
      <c r="L160" s="81">
        <f t="shared" si="18"/>
        <v>0</v>
      </c>
      <c r="M160" s="81">
        <f t="shared" si="18"/>
        <v>0</v>
      </c>
      <c r="N160" s="81">
        <f t="shared" si="18"/>
        <v>0</v>
      </c>
      <c r="O160" s="81">
        <f t="shared" si="18"/>
        <v>0</v>
      </c>
      <c r="P160" s="81">
        <f t="shared" si="18"/>
        <v>0</v>
      </c>
      <c r="Q160" s="81">
        <f t="shared" si="18"/>
        <v>0</v>
      </c>
      <c r="R160" s="81">
        <f t="shared" si="18"/>
        <v>0</v>
      </c>
      <c r="S160" s="81">
        <f t="shared" si="18"/>
        <v>2504064.6230246951</v>
      </c>
      <c r="T160" s="81">
        <f t="shared" si="18"/>
        <v>0</v>
      </c>
    </row>
    <row r="161" spans="2:20" outlineLevel="1">
      <c r="D161" s="168" t="str">
        <f>Work_Codes!D62</f>
        <v>MP mains replacement program - St Albans</v>
      </c>
      <c r="J161" s="81">
        <f t="shared" ref="J161:T161" si="19">J110+J127+J144</f>
        <v>0</v>
      </c>
      <c r="K161" s="81">
        <f t="shared" si="19"/>
        <v>0</v>
      </c>
      <c r="L161" s="81">
        <f t="shared" si="19"/>
        <v>0</v>
      </c>
      <c r="M161" s="81">
        <f t="shared" si="19"/>
        <v>0</v>
      </c>
      <c r="N161" s="81">
        <f t="shared" si="19"/>
        <v>0</v>
      </c>
      <c r="O161" s="81">
        <f t="shared" si="19"/>
        <v>0</v>
      </c>
      <c r="P161" s="81">
        <f t="shared" si="19"/>
        <v>0</v>
      </c>
      <c r="Q161" s="81">
        <f t="shared" si="19"/>
        <v>0</v>
      </c>
      <c r="R161" s="81">
        <f t="shared" si="19"/>
        <v>2733201.2054972071</v>
      </c>
      <c r="S161" s="81">
        <f t="shared" si="19"/>
        <v>2704389.7928666705</v>
      </c>
      <c r="T161" s="81">
        <f t="shared" si="19"/>
        <v>2705627.0300770788</v>
      </c>
    </row>
    <row r="162" spans="2:20" outlineLevel="1">
      <c r="D162" s="168" t="str">
        <f>Work_Codes!D63</f>
        <v>MP mains replacement program - Maidstone</v>
      </c>
      <c r="J162" s="81">
        <f t="shared" ref="J162:T162" si="20">J111+J128+J145</f>
        <v>0</v>
      </c>
      <c r="K162" s="81">
        <f t="shared" si="20"/>
        <v>0</v>
      </c>
      <c r="L162" s="81">
        <f t="shared" si="20"/>
        <v>0</v>
      </c>
      <c r="M162" s="81">
        <f t="shared" si="20"/>
        <v>0</v>
      </c>
      <c r="N162" s="81">
        <f t="shared" si="20"/>
        <v>0</v>
      </c>
      <c r="O162" s="81">
        <f t="shared" si="20"/>
        <v>0</v>
      </c>
      <c r="P162" s="81">
        <f t="shared" si="20"/>
        <v>0</v>
      </c>
      <c r="Q162" s="81">
        <f t="shared" si="20"/>
        <v>1150832.9352178369</v>
      </c>
      <c r="R162" s="81">
        <f t="shared" si="20"/>
        <v>1496753.0411056133</v>
      </c>
      <c r="S162" s="81">
        <f t="shared" si="20"/>
        <v>0</v>
      </c>
      <c r="T162" s="81">
        <f t="shared" si="20"/>
        <v>0</v>
      </c>
    </row>
    <row r="163" spans="2:20" outlineLevel="1">
      <c r="D163" s="168" t="str">
        <f>Work_Codes!D64</f>
        <v>MP mains replacement program - Yarraville</v>
      </c>
      <c r="J163" s="81">
        <f t="shared" ref="J163:T163" si="21">J112+J129+J146</f>
        <v>0</v>
      </c>
      <c r="K163" s="81">
        <f t="shared" si="21"/>
        <v>0</v>
      </c>
      <c r="L163" s="81">
        <f t="shared" si="21"/>
        <v>0</v>
      </c>
      <c r="M163" s="81">
        <f t="shared" si="21"/>
        <v>0</v>
      </c>
      <c r="N163" s="81">
        <f t="shared" si="21"/>
        <v>0</v>
      </c>
      <c r="O163" s="81">
        <f t="shared" si="21"/>
        <v>0</v>
      </c>
      <c r="P163" s="81">
        <f t="shared" si="21"/>
        <v>0</v>
      </c>
      <c r="Q163" s="81">
        <f t="shared" si="21"/>
        <v>0</v>
      </c>
      <c r="R163" s="81">
        <f t="shared" si="21"/>
        <v>0</v>
      </c>
      <c r="S163" s="81">
        <f t="shared" si="21"/>
        <v>0</v>
      </c>
      <c r="T163" s="81">
        <f t="shared" si="21"/>
        <v>0</v>
      </c>
    </row>
    <row r="164" spans="2:20" outlineLevel="1">
      <c r="D164" s="168" t="str">
        <f>Work_Codes!D65</f>
        <v xml:space="preserve">MP mains replacement program - Newport </v>
      </c>
      <c r="J164" s="81">
        <f t="shared" ref="J164:T164" si="22">J113+J130+J147</f>
        <v>0</v>
      </c>
      <c r="K164" s="81">
        <f t="shared" si="22"/>
        <v>0</v>
      </c>
      <c r="L164" s="81">
        <f t="shared" si="22"/>
        <v>0</v>
      </c>
      <c r="M164" s="81">
        <f t="shared" si="22"/>
        <v>0</v>
      </c>
      <c r="N164" s="81">
        <f t="shared" si="22"/>
        <v>0</v>
      </c>
      <c r="O164" s="81">
        <f t="shared" si="22"/>
        <v>0</v>
      </c>
      <c r="P164" s="81">
        <f t="shared" si="22"/>
        <v>0</v>
      </c>
      <c r="Q164" s="81">
        <f t="shared" si="22"/>
        <v>0</v>
      </c>
      <c r="R164" s="81">
        <f t="shared" si="22"/>
        <v>0</v>
      </c>
      <c r="S164" s="81">
        <f t="shared" si="22"/>
        <v>0</v>
      </c>
      <c r="T164" s="81">
        <f t="shared" si="22"/>
        <v>0</v>
      </c>
    </row>
    <row r="165" spans="2:20" outlineLevel="1">
      <c r="D165" s="168" t="str">
        <f>Work_Codes!D66</f>
        <v>MP mains replacement program - Williamstown</v>
      </c>
      <c r="J165" s="81">
        <f t="shared" ref="J165:T165" si="23">J114+J131+J148</f>
        <v>0</v>
      </c>
      <c r="K165" s="81">
        <f t="shared" si="23"/>
        <v>0</v>
      </c>
      <c r="L165" s="81">
        <f t="shared" si="23"/>
        <v>0</v>
      </c>
      <c r="M165" s="81">
        <f t="shared" si="23"/>
        <v>0</v>
      </c>
      <c r="N165" s="81">
        <f t="shared" si="23"/>
        <v>0</v>
      </c>
      <c r="O165" s="81">
        <f t="shared" si="23"/>
        <v>0</v>
      </c>
      <c r="P165" s="81">
        <f t="shared" si="23"/>
        <v>0</v>
      </c>
      <c r="Q165" s="81">
        <f t="shared" si="23"/>
        <v>0</v>
      </c>
      <c r="R165" s="81">
        <f t="shared" si="23"/>
        <v>0</v>
      </c>
      <c r="S165" s="81">
        <f t="shared" si="23"/>
        <v>0</v>
      </c>
      <c r="T165" s="81">
        <f t="shared" si="23"/>
        <v>0</v>
      </c>
    </row>
    <row r="166" spans="2:20" outlineLevel="1">
      <c r="D166" s="102" t="str">
        <f>Work_Codes!D67</f>
        <v>Capex Items Category 12</v>
      </c>
      <c r="J166" s="81">
        <f t="shared" ref="J166:T166" si="24">J115+J132+J149</f>
        <v>0</v>
      </c>
      <c r="K166" s="81">
        <f t="shared" si="24"/>
        <v>0</v>
      </c>
      <c r="L166" s="81">
        <f t="shared" si="24"/>
        <v>0</v>
      </c>
      <c r="M166" s="81">
        <f t="shared" si="24"/>
        <v>0</v>
      </c>
      <c r="N166" s="81">
        <f t="shared" si="24"/>
        <v>396906.43742264062</v>
      </c>
      <c r="O166" s="81">
        <f t="shared" si="24"/>
        <v>0</v>
      </c>
      <c r="P166" s="81">
        <f t="shared" si="24"/>
        <v>200081.8413931246</v>
      </c>
      <c r="Q166" s="81">
        <f t="shared" si="24"/>
        <v>0</v>
      </c>
      <c r="R166" s="81">
        <f t="shared" si="24"/>
        <v>0</v>
      </c>
      <c r="S166" s="81">
        <f t="shared" si="24"/>
        <v>0</v>
      </c>
      <c r="T166" s="81">
        <f t="shared" si="24"/>
        <v>0</v>
      </c>
    </row>
    <row r="167" spans="2:20" ht="5.9" customHeight="1" outlineLevel="1"/>
    <row r="168" spans="2:20" outlineLevel="1">
      <c r="D168" s="249" t="str">
        <f>C153</f>
        <v>Total Direct Capex including Escalation (Non CPI)</v>
      </c>
      <c r="E168" s="249"/>
      <c r="F168" s="249"/>
      <c r="G168" s="249"/>
      <c r="H168" s="249"/>
      <c r="I168" s="249"/>
      <c r="J168" s="82">
        <f t="shared" ref="J168:T168" si="25">SUM(J155:J167)</f>
        <v>0</v>
      </c>
      <c r="K168" s="82">
        <f t="shared" si="25"/>
        <v>0</v>
      </c>
      <c r="L168" s="82">
        <f t="shared" si="25"/>
        <v>0</v>
      </c>
      <c r="M168" s="82">
        <f t="shared" si="25"/>
        <v>0</v>
      </c>
      <c r="N168" s="82">
        <f t="shared" si="25"/>
        <v>396906.43742264062</v>
      </c>
      <c r="O168" s="82">
        <f t="shared" si="25"/>
        <v>2000415.6738857706</v>
      </c>
      <c r="P168" s="82">
        <f t="shared" si="25"/>
        <v>1880769.3090953713</v>
      </c>
      <c r="Q168" s="82">
        <f t="shared" si="25"/>
        <v>3152281.5182053791</v>
      </c>
      <c r="R168" s="82">
        <f t="shared" si="25"/>
        <v>6232299.4520952795</v>
      </c>
      <c r="S168" s="82">
        <f t="shared" si="25"/>
        <v>8922483.0647615939</v>
      </c>
      <c r="T168" s="82">
        <f t="shared" si="25"/>
        <v>6635800.8122853395</v>
      </c>
    </row>
    <row r="169" spans="2:20" outlineLevel="1">
      <c r="B169" s="12"/>
      <c r="C169" s="12"/>
      <c r="D169" s="12"/>
      <c r="E169" s="12"/>
      <c r="F169" s="12"/>
      <c r="G169" s="12"/>
      <c r="H169" s="12"/>
      <c r="I169" s="12"/>
      <c r="J169" s="12"/>
      <c r="K169" s="12"/>
      <c r="L169" s="12"/>
      <c r="M169" s="12"/>
      <c r="N169" s="12"/>
      <c r="O169" s="12"/>
      <c r="P169" s="12"/>
      <c r="Q169" s="12"/>
      <c r="R169" s="12"/>
      <c r="S169" s="12"/>
      <c r="T169" s="12"/>
    </row>
    <row r="170" spans="2:20" outlineLevel="1"/>
    <row r="171" spans="2:20" outlineLevel="1">
      <c r="C171" s="37" t="s">
        <v>195</v>
      </c>
    </row>
    <row r="172" spans="2:20" ht="5.9" customHeight="1" outlineLevel="2"/>
    <row r="173" spans="2:20" outlineLevel="2">
      <c r="D173" s="37" t="s">
        <v>215</v>
      </c>
    </row>
    <row r="174" spans="2:20" ht="5.9" customHeight="1" outlineLevel="2"/>
    <row r="175" spans="2:20" ht="11.5" customHeight="1" outlineLevel="2">
      <c r="E175" s="247" t="str">
        <f>GC!C40</f>
        <v>Transmission pipelines</v>
      </c>
      <c r="F175" s="247"/>
      <c r="G175" s="247"/>
      <c r="H175" s="247"/>
      <c r="I175" s="247"/>
      <c r="J175" s="81">
        <f ca="1">SUMPRODUCT((Work_Codes!$N$53:$Y$53=$E175)*(Work_Codes!$N$56:$Y$67)*(J$155:J$166))</f>
        <v>0</v>
      </c>
      <c r="K175" s="81">
        <f ca="1">SUMPRODUCT((Work_Codes!$N$53:$Y$53=$E175)*(Work_Codes!$N$56:$Y$67)*(K$155:K$166))</f>
        <v>0</v>
      </c>
      <c r="L175" s="81">
        <f ca="1">SUMPRODUCT((Work_Codes!$N$53:$Y$53=$E175)*(Work_Codes!$N$56:$Y$67)*(L$155:L$166))</f>
        <v>0</v>
      </c>
      <c r="M175" s="81">
        <f ca="1">SUMPRODUCT((Work_Codes!$N$53:$Y$53=$E175)*(Work_Codes!$N$56:$Y$67)*(M$155:M$166))</f>
        <v>0</v>
      </c>
      <c r="N175" s="81">
        <f ca="1">SUMPRODUCT((Work_Codes!$N$53:$Y$53=$E175)*(Work_Codes!$N$56:$Y$67)*(N$155:N$166))</f>
        <v>0</v>
      </c>
      <c r="O175" s="81">
        <f ca="1">SUMPRODUCT((Work_Codes!$N$53:$Y$53=$E175)*(Work_Codes!$N$56:$Y$67)*(O$155:O$166))</f>
        <v>0</v>
      </c>
      <c r="P175" s="81">
        <f ca="1">SUMPRODUCT((Work_Codes!$N$53:$Y$53=$E175)*(Work_Codes!$N$56:$Y$67)*(P$155:P$166))</f>
        <v>0</v>
      </c>
      <c r="Q175" s="81">
        <f ca="1">SUMPRODUCT((Work_Codes!$N$53:$Y$53=$E175)*(Work_Codes!$N$56:$Y$67)*(Q$155:Q$166))</f>
        <v>0</v>
      </c>
      <c r="R175" s="81">
        <f ca="1">SUMPRODUCT((Work_Codes!$N$53:$Y$53=$E175)*(Work_Codes!$N$56:$Y$67)*(R$155:R$166))</f>
        <v>0</v>
      </c>
      <c r="S175" s="81">
        <f ca="1">SUMPRODUCT((Work_Codes!$N$53:$Y$53=$E175)*(Work_Codes!$N$56:$Y$67)*(S$155:S$166))</f>
        <v>0</v>
      </c>
      <c r="T175" s="81">
        <f ca="1">SUMPRODUCT((Work_Codes!$N$53:$Y$53=$E175)*(Work_Codes!$N$56:$Y$67)*(T$155:T$166))</f>
        <v>0</v>
      </c>
    </row>
    <row r="176" spans="2:20" ht="11.5" customHeight="1" outlineLevel="2">
      <c r="E176" s="247" t="str">
        <f>GC!C41</f>
        <v>Distribution pipelines</v>
      </c>
      <c r="F176" s="247"/>
      <c r="G176" s="247"/>
      <c r="H176" s="247"/>
      <c r="I176" s="247"/>
      <c r="J176" s="81">
        <f ca="1">SUMPRODUCT((Work_Codes!$N$53:$Y$53=$E176)*(Work_Codes!$N$56:$Y$67)*(J$155:J$166))</f>
        <v>0</v>
      </c>
      <c r="K176" s="81">
        <f ca="1">SUMPRODUCT((Work_Codes!$N$53:$Y$53=$E176)*(Work_Codes!$N$56:$Y$67)*(K$155:K$166))</f>
        <v>0</v>
      </c>
      <c r="L176" s="81">
        <f ca="1">SUMPRODUCT((Work_Codes!$N$53:$Y$53=$E176)*(Work_Codes!$N$56:$Y$67)*(L$155:L$166))</f>
        <v>0</v>
      </c>
      <c r="M176" s="81">
        <f ca="1">SUMPRODUCT((Work_Codes!$N$53:$Y$53=$E176)*(Work_Codes!$N$56:$Y$67)*(M$155:M$166))</f>
        <v>0</v>
      </c>
      <c r="N176" s="81">
        <f ca="1">SUMPRODUCT((Work_Codes!$N$53:$Y$53=$E176)*(Work_Codes!$N$56:$Y$67)*(N$155:N$166))</f>
        <v>0</v>
      </c>
      <c r="O176" s="81">
        <f ca="1">SUMPRODUCT((Work_Codes!$N$53:$Y$53=$E176)*(Work_Codes!$N$56:$Y$67)*(O$155:O$166))</f>
        <v>0</v>
      </c>
      <c r="P176" s="81">
        <f ca="1">SUMPRODUCT((Work_Codes!$N$53:$Y$53=$E176)*(Work_Codes!$N$56:$Y$67)*(P$155:P$166))</f>
        <v>0</v>
      </c>
      <c r="Q176" s="81">
        <f ca="1">SUMPRODUCT((Work_Codes!$N$53:$Y$53=$E176)*(Work_Codes!$N$56:$Y$67)*(Q$155:Q$166))</f>
        <v>0</v>
      </c>
      <c r="R176" s="81">
        <f ca="1">SUMPRODUCT((Work_Codes!$N$53:$Y$53=$E176)*(Work_Codes!$N$56:$Y$67)*(R$155:R$166))</f>
        <v>0</v>
      </c>
      <c r="S176" s="81">
        <f ca="1">SUMPRODUCT((Work_Codes!$N$53:$Y$53=$E176)*(Work_Codes!$N$56:$Y$67)*(S$155:S$166))</f>
        <v>0</v>
      </c>
      <c r="T176" s="81">
        <f ca="1">SUMPRODUCT((Work_Codes!$N$53:$Y$53=$E176)*(Work_Codes!$N$56:$Y$67)*(T$155:T$166))</f>
        <v>0</v>
      </c>
    </row>
    <row r="177" spans="5:20" ht="11.5" customHeight="1" outlineLevel="2">
      <c r="E177" s="247" t="str">
        <f>GC!C42</f>
        <v>Service pipes</v>
      </c>
      <c r="F177" s="247"/>
      <c r="G177" s="247"/>
      <c r="H177" s="247"/>
      <c r="I177" s="247"/>
      <c r="J177" s="81">
        <f ca="1">SUMPRODUCT((Work_Codes!$N$53:$Y$53=$E177)*(Work_Codes!$N$56:$Y$67)*(J$155:J$166))</f>
        <v>0</v>
      </c>
      <c r="K177" s="81">
        <f ca="1">SUMPRODUCT((Work_Codes!$N$53:$Y$53=$E177)*(Work_Codes!$N$56:$Y$67)*(K$155:K$166))</f>
        <v>0</v>
      </c>
      <c r="L177" s="81">
        <f ca="1">SUMPRODUCT((Work_Codes!$N$53:$Y$53=$E177)*(Work_Codes!$N$56:$Y$67)*(L$155:L$166))</f>
        <v>0</v>
      </c>
      <c r="M177" s="81">
        <f ca="1">SUMPRODUCT((Work_Codes!$N$53:$Y$53=$E177)*(Work_Codes!$N$56:$Y$67)*(M$155:M$166))</f>
        <v>0</v>
      </c>
      <c r="N177" s="81">
        <f ca="1">SUMPRODUCT((Work_Codes!$N$53:$Y$53=$E177)*(Work_Codes!$N$56:$Y$67)*(N$155:N$166))</f>
        <v>0</v>
      </c>
      <c r="O177" s="81">
        <f ca="1">SUMPRODUCT((Work_Codes!$N$53:$Y$53=$E177)*(Work_Codes!$N$56:$Y$67)*(O$155:O$166))</f>
        <v>0</v>
      </c>
      <c r="P177" s="81">
        <f ca="1">SUMPRODUCT((Work_Codes!$N$53:$Y$53=$E177)*(Work_Codes!$N$56:$Y$67)*(P$155:P$166))</f>
        <v>0</v>
      </c>
      <c r="Q177" s="81">
        <f ca="1">SUMPRODUCT((Work_Codes!$N$53:$Y$53=$E177)*(Work_Codes!$N$56:$Y$67)*(Q$155:Q$166))</f>
        <v>0</v>
      </c>
      <c r="R177" s="81">
        <f ca="1">SUMPRODUCT((Work_Codes!$N$53:$Y$53=$E177)*(Work_Codes!$N$56:$Y$67)*(R$155:R$166))</f>
        <v>0</v>
      </c>
      <c r="S177" s="81">
        <f ca="1">SUMPRODUCT((Work_Codes!$N$53:$Y$53=$E177)*(Work_Codes!$N$56:$Y$67)*(S$155:S$166))</f>
        <v>0</v>
      </c>
      <c r="T177" s="81">
        <f ca="1">SUMPRODUCT((Work_Codes!$N$53:$Y$53=$E177)*(Work_Codes!$N$56:$Y$67)*(T$155:T$166))</f>
        <v>0</v>
      </c>
    </row>
    <row r="178" spans="5:20" ht="11.5" customHeight="1" outlineLevel="2">
      <c r="E178" s="247" t="str">
        <f>GC!C43</f>
        <v>Cathodic protection</v>
      </c>
      <c r="F178" s="247"/>
      <c r="G178" s="247"/>
      <c r="H178" s="247"/>
      <c r="I178" s="247"/>
      <c r="J178" s="81">
        <f ca="1">SUMPRODUCT((Work_Codes!$N$53:$Y$53=$E178)*(Work_Codes!$N$56:$Y$67)*(J$155:J$166))</f>
        <v>0</v>
      </c>
      <c r="K178" s="81">
        <f ca="1">SUMPRODUCT((Work_Codes!$N$53:$Y$53=$E178)*(Work_Codes!$N$56:$Y$67)*(K$155:K$166))</f>
        <v>0</v>
      </c>
      <c r="L178" s="81">
        <f ca="1">SUMPRODUCT((Work_Codes!$N$53:$Y$53=$E178)*(Work_Codes!$N$56:$Y$67)*(L$155:L$166))</f>
        <v>0</v>
      </c>
      <c r="M178" s="81">
        <f ca="1">SUMPRODUCT((Work_Codes!$N$53:$Y$53=$E178)*(Work_Codes!$N$56:$Y$67)*(M$155:M$166))</f>
        <v>0</v>
      </c>
      <c r="N178" s="81">
        <f ca="1">SUMPRODUCT((Work_Codes!$N$53:$Y$53=$E178)*(Work_Codes!$N$56:$Y$67)*(N$155:N$166))</f>
        <v>0</v>
      </c>
      <c r="O178" s="81">
        <f ca="1">SUMPRODUCT((Work_Codes!$N$53:$Y$53=$E178)*(Work_Codes!$N$56:$Y$67)*(O$155:O$166))</f>
        <v>0</v>
      </c>
      <c r="P178" s="81">
        <f ca="1">SUMPRODUCT((Work_Codes!$N$53:$Y$53=$E178)*(Work_Codes!$N$56:$Y$67)*(P$155:P$166))</f>
        <v>0</v>
      </c>
      <c r="Q178" s="81">
        <f ca="1">SUMPRODUCT((Work_Codes!$N$53:$Y$53=$E178)*(Work_Codes!$N$56:$Y$67)*(Q$155:Q$166))</f>
        <v>0</v>
      </c>
      <c r="R178" s="81">
        <f ca="1">SUMPRODUCT((Work_Codes!$N$53:$Y$53=$E178)*(Work_Codes!$N$56:$Y$67)*(R$155:R$166))</f>
        <v>0</v>
      </c>
      <c r="S178" s="81">
        <f ca="1">SUMPRODUCT((Work_Codes!$N$53:$Y$53=$E178)*(Work_Codes!$N$56:$Y$67)*(S$155:S$166))</f>
        <v>0</v>
      </c>
      <c r="T178" s="81">
        <f ca="1">SUMPRODUCT((Work_Codes!$N$53:$Y$53=$E178)*(Work_Codes!$N$56:$Y$67)*(T$155:T$166))</f>
        <v>0</v>
      </c>
    </row>
    <row r="179" spans="5:20" ht="11.5" customHeight="1" outlineLevel="2">
      <c r="E179" s="247" t="str">
        <f>GC!C44</f>
        <v>Supply Regulators / Valve Stations</v>
      </c>
      <c r="F179" s="247"/>
      <c r="G179" s="247"/>
      <c r="H179" s="247"/>
      <c r="I179" s="247"/>
      <c r="J179" s="81">
        <f ca="1">SUMPRODUCT((Work_Codes!$N$53:$Y$53=$E179)*(Work_Codes!$N$56:$Y$67)*(J$155:J$166))</f>
        <v>0</v>
      </c>
      <c r="K179" s="81">
        <f ca="1">SUMPRODUCT((Work_Codes!$N$53:$Y$53=$E179)*(Work_Codes!$N$56:$Y$67)*(K$155:K$166))</f>
        <v>0</v>
      </c>
      <c r="L179" s="81">
        <f ca="1">SUMPRODUCT((Work_Codes!$N$53:$Y$53=$E179)*(Work_Codes!$N$56:$Y$67)*(L$155:L$166))</f>
        <v>0</v>
      </c>
      <c r="M179" s="81">
        <f ca="1">SUMPRODUCT((Work_Codes!$N$53:$Y$53=$E179)*(Work_Codes!$N$56:$Y$67)*(M$155:M$166))</f>
        <v>0</v>
      </c>
      <c r="N179" s="81">
        <f ca="1">SUMPRODUCT((Work_Codes!$N$53:$Y$53=$E179)*(Work_Codes!$N$56:$Y$67)*(N$155:N$166))</f>
        <v>0</v>
      </c>
      <c r="O179" s="81">
        <f ca="1">SUMPRODUCT((Work_Codes!$N$53:$Y$53=$E179)*(Work_Codes!$N$56:$Y$67)*(O$155:O$166))</f>
        <v>0</v>
      </c>
      <c r="P179" s="81">
        <f ca="1">SUMPRODUCT((Work_Codes!$N$53:$Y$53=$E179)*(Work_Codes!$N$56:$Y$67)*(P$155:P$166))</f>
        <v>0</v>
      </c>
      <c r="Q179" s="81">
        <f ca="1">SUMPRODUCT((Work_Codes!$N$53:$Y$53=$E179)*(Work_Codes!$N$56:$Y$67)*(Q$155:Q$166))</f>
        <v>0</v>
      </c>
      <c r="R179" s="81">
        <f ca="1">SUMPRODUCT((Work_Codes!$N$53:$Y$53=$E179)*(Work_Codes!$N$56:$Y$67)*(R$155:R$166))</f>
        <v>0</v>
      </c>
      <c r="S179" s="81">
        <f ca="1">SUMPRODUCT((Work_Codes!$N$53:$Y$53=$E179)*(Work_Codes!$N$56:$Y$67)*(S$155:S$166))</f>
        <v>0</v>
      </c>
      <c r="T179" s="81">
        <f ca="1">SUMPRODUCT((Work_Codes!$N$53:$Y$53=$E179)*(Work_Codes!$N$56:$Y$67)*(T$155:T$166))</f>
        <v>0</v>
      </c>
    </row>
    <row r="180" spans="5:20" ht="11.5" customHeight="1" outlineLevel="2">
      <c r="E180" s="247" t="str">
        <f>GC!C45</f>
        <v>Meters</v>
      </c>
      <c r="F180" s="247"/>
      <c r="G180" s="247"/>
      <c r="H180" s="247"/>
      <c r="I180" s="247"/>
      <c r="J180" s="81">
        <f ca="1">SUMPRODUCT((Work_Codes!$N$53:$Y$53=$E180)*(Work_Codes!$N$56:$Y$67)*(J$155:J$166))</f>
        <v>0</v>
      </c>
      <c r="K180" s="81">
        <f ca="1">SUMPRODUCT((Work_Codes!$N$53:$Y$53=$E180)*(Work_Codes!$N$56:$Y$67)*(K$155:K$166))</f>
        <v>0</v>
      </c>
      <c r="L180" s="81">
        <f ca="1">SUMPRODUCT((Work_Codes!$N$53:$Y$53=$E180)*(Work_Codes!$N$56:$Y$67)*(L$155:L$166))</f>
        <v>0</v>
      </c>
      <c r="M180" s="81">
        <f ca="1">SUMPRODUCT((Work_Codes!$N$53:$Y$53=$E180)*(Work_Codes!$N$56:$Y$67)*(M$155:M$166))</f>
        <v>0</v>
      </c>
      <c r="N180" s="81">
        <f ca="1">SUMPRODUCT((Work_Codes!$N$53:$Y$53=$E180)*(Work_Codes!$N$56:$Y$67)*(N$155:N$166))</f>
        <v>0</v>
      </c>
      <c r="O180" s="81">
        <f ca="1">SUMPRODUCT((Work_Codes!$N$53:$Y$53=$E180)*(Work_Codes!$N$56:$Y$67)*(O$155:O$166))</f>
        <v>0</v>
      </c>
      <c r="P180" s="81">
        <f ca="1">SUMPRODUCT((Work_Codes!$N$53:$Y$53=$E180)*(Work_Codes!$N$56:$Y$67)*(P$155:P$166))</f>
        <v>0</v>
      </c>
      <c r="Q180" s="81">
        <f ca="1">SUMPRODUCT((Work_Codes!$N$53:$Y$53=$E180)*(Work_Codes!$N$56:$Y$67)*(Q$155:Q$166))</f>
        <v>0</v>
      </c>
      <c r="R180" s="81">
        <f ca="1">SUMPRODUCT((Work_Codes!$N$53:$Y$53=$E180)*(Work_Codes!$N$56:$Y$67)*(R$155:R$166))</f>
        <v>0</v>
      </c>
      <c r="S180" s="81">
        <f ca="1">SUMPRODUCT((Work_Codes!$N$53:$Y$53=$E180)*(Work_Codes!$N$56:$Y$67)*(S$155:S$166))</f>
        <v>0</v>
      </c>
      <c r="T180" s="81">
        <f ca="1">SUMPRODUCT((Work_Codes!$N$53:$Y$53=$E180)*(Work_Codes!$N$56:$Y$67)*(T$155:T$166))</f>
        <v>0</v>
      </c>
    </row>
    <row r="181" spans="5:20" ht="11.5" customHeight="1" outlineLevel="2">
      <c r="E181" s="247" t="str">
        <f>GC!C46</f>
        <v>SCADA and remote control</v>
      </c>
      <c r="F181" s="247"/>
      <c r="G181" s="247"/>
      <c r="H181" s="247"/>
      <c r="I181" s="247"/>
      <c r="J181" s="81">
        <f ca="1">SUMPRODUCT((Work_Codes!$N$53:$Y$53=$E181)*(Work_Codes!$N$56:$Y$67)*(J$155:J$166))</f>
        <v>0</v>
      </c>
      <c r="K181" s="81">
        <f ca="1">SUMPRODUCT((Work_Codes!$N$53:$Y$53=$E181)*(Work_Codes!$N$56:$Y$67)*(K$155:K$166))</f>
        <v>0</v>
      </c>
      <c r="L181" s="81">
        <f ca="1">SUMPRODUCT((Work_Codes!$N$53:$Y$53=$E181)*(Work_Codes!$N$56:$Y$67)*(L$155:L$166))</f>
        <v>0</v>
      </c>
      <c r="M181" s="81">
        <f ca="1">SUMPRODUCT((Work_Codes!$N$53:$Y$53=$E181)*(Work_Codes!$N$56:$Y$67)*(M$155:M$166))</f>
        <v>0</v>
      </c>
      <c r="N181" s="81">
        <f ca="1">SUMPRODUCT((Work_Codes!$N$53:$Y$53=$E181)*(Work_Codes!$N$56:$Y$67)*(N$155:N$166))</f>
        <v>0</v>
      </c>
      <c r="O181" s="81">
        <f ca="1">SUMPRODUCT((Work_Codes!$N$53:$Y$53=$E181)*(Work_Codes!$N$56:$Y$67)*(O$155:O$166))</f>
        <v>0</v>
      </c>
      <c r="P181" s="81">
        <f ca="1">SUMPRODUCT((Work_Codes!$N$53:$Y$53=$E181)*(Work_Codes!$N$56:$Y$67)*(P$155:P$166))</f>
        <v>0</v>
      </c>
      <c r="Q181" s="81">
        <f ca="1">SUMPRODUCT((Work_Codes!$N$53:$Y$53=$E181)*(Work_Codes!$N$56:$Y$67)*(Q$155:Q$166))</f>
        <v>0</v>
      </c>
      <c r="R181" s="81">
        <f ca="1">SUMPRODUCT((Work_Codes!$N$53:$Y$53=$E181)*(Work_Codes!$N$56:$Y$67)*(R$155:R$166))</f>
        <v>0</v>
      </c>
      <c r="S181" s="81">
        <f ca="1">SUMPRODUCT((Work_Codes!$N$53:$Y$53=$E181)*(Work_Codes!$N$56:$Y$67)*(S$155:S$166))</f>
        <v>0</v>
      </c>
      <c r="T181" s="81">
        <f ca="1">SUMPRODUCT((Work_Codes!$N$53:$Y$53=$E181)*(Work_Codes!$N$56:$Y$67)*(T$155:T$166))</f>
        <v>0</v>
      </c>
    </row>
    <row r="182" spans="5:20" ht="11.5" customHeight="1" outlineLevel="2">
      <c r="E182" s="247" t="str">
        <f>GC!C47</f>
        <v>Buildings</v>
      </c>
      <c r="F182" s="247"/>
      <c r="G182" s="247"/>
      <c r="H182" s="247"/>
      <c r="I182" s="247"/>
      <c r="J182" s="81">
        <f ca="1">SUMPRODUCT((Work_Codes!$N$53:$Y$53=$E182)*(Work_Codes!$N$56:$Y$67)*(J$155:J$166))</f>
        <v>0</v>
      </c>
      <c r="K182" s="81">
        <f ca="1">SUMPRODUCT((Work_Codes!$N$53:$Y$53=$E182)*(Work_Codes!$N$56:$Y$67)*(K$155:K$166))</f>
        <v>0</v>
      </c>
      <c r="L182" s="81">
        <f ca="1">SUMPRODUCT((Work_Codes!$N$53:$Y$53=$E182)*(Work_Codes!$N$56:$Y$67)*(L$155:L$166))</f>
        <v>0</v>
      </c>
      <c r="M182" s="81">
        <f ca="1">SUMPRODUCT((Work_Codes!$N$53:$Y$53=$E182)*(Work_Codes!$N$56:$Y$67)*(M$155:M$166))</f>
        <v>0</v>
      </c>
      <c r="N182" s="81">
        <f ca="1">SUMPRODUCT((Work_Codes!$N$53:$Y$53=$E182)*(Work_Codes!$N$56:$Y$67)*(N$155:N$166))</f>
        <v>0</v>
      </c>
      <c r="O182" s="81">
        <f ca="1">SUMPRODUCT((Work_Codes!$N$53:$Y$53=$E182)*(Work_Codes!$N$56:$Y$67)*(O$155:O$166))</f>
        <v>0</v>
      </c>
      <c r="P182" s="81">
        <f ca="1">SUMPRODUCT((Work_Codes!$N$53:$Y$53=$E182)*(Work_Codes!$N$56:$Y$67)*(P$155:P$166))</f>
        <v>0</v>
      </c>
      <c r="Q182" s="81">
        <f ca="1">SUMPRODUCT((Work_Codes!$N$53:$Y$53=$E182)*(Work_Codes!$N$56:$Y$67)*(Q$155:Q$166))</f>
        <v>0</v>
      </c>
      <c r="R182" s="81">
        <f ca="1">SUMPRODUCT((Work_Codes!$N$53:$Y$53=$E182)*(Work_Codes!$N$56:$Y$67)*(R$155:R$166))</f>
        <v>0</v>
      </c>
      <c r="S182" s="81">
        <f ca="1">SUMPRODUCT((Work_Codes!$N$53:$Y$53=$E182)*(Work_Codes!$N$56:$Y$67)*(S$155:S$166))</f>
        <v>0</v>
      </c>
      <c r="T182" s="81">
        <f ca="1">SUMPRODUCT((Work_Codes!$N$53:$Y$53=$E182)*(Work_Codes!$N$56:$Y$67)*(T$155:T$166))</f>
        <v>0</v>
      </c>
    </row>
    <row r="183" spans="5:20" ht="11.5" customHeight="1" outlineLevel="2">
      <c r="E183" s="247" t="str">
        <f>GC!C48</f>
        <v>Other - IT</v>
      </c>
      <c r="F183" s="247"/>
      <c r="G183" s="247"/>
      <c r="H183" s="247"/>
      <c r="I183" s="247"/>
      <c r="J183" s="81">
        <f ca="1">SUMPRODUCT((Work_Codes!$N$53:$Y$53=$E183)*(Work_Codes!$N$56:$Y$67)*(J$155:J$166))</f>
        <v>0</v>
      </c>
      <c r="K183" s="81">
        <f ca="1">SUMPRODUCT((Work_Codes!$N$53:$Y$53=$E183)*(Work_Codes!$N$56:$Y$67)*(K$155:K$166))</f>
        <v>0</v>
      </c>
      <c r="L183" s="81">
        <f ca="1">SUMPRODUCT((Work_Codes!$N$53:$Y$53=$E183)*(Work_Codes!$N$56:$Y$67)*(L$155:L$166))</f>
        <v>0</v>
      </c>
      <c r="M183" s="81">
        <f ca="1">SUMPRODUCT((Work_Codes!$N$53:$Y$53=$E183)*(Work_Codes!$N$56:$Y$67)*(M$155:M$166))</f>
        <v>0</v>
      </c>
      <c r="N183" s="81">
        <f ca="1">SUMPRODUCT((Work_Codes!$N$53:$Y$53=$E183)*(Work_Codes!$N$56:$Y$67)*(N$155:N$166))</f>
        <v>0</v>
      </c>
      <c r="O183" s="81">
        <f ca="1">SUMPRODUCT((Work_Codes!$N$53:$Y$53=$E183)*(Work_Codes!$N$56:$Y$67)*(O$155:O$166))</f>
        <v>0</v>
      </c>
      <c r="P183" s="81">
        <f ca="1">SUMPRODUCT((Work_Codes!$N$53:$Y$53=$E183)*(Work_Codes!$N$56:$Y$67)*(P$155:P$166))</f>
        <v>0</v>
      </c>
      <c r="Q183" s="81">
        <f ca="1">SUMPRODUCT((Work_Codes!$N$53:$Y$53=$E183)*(Work_Codes!$N$56:$Y$67)*(Q$155:Q$166))</f>
        <v>0</v>
      </c>
      <c r="R183" s="81">
        <f ca="1">SUMPRODUCT((Work_Codes!$N$53:$Y$53=$E183)*(Work_Codes!$N$56:$Y$67)*(R$155:R$166))</f>
        <v>0</v>
      </c>
      <c r="S183" s="81">
        <f ca="1">SUMPRODUCT((Work_Codes!$N$53:$Y$53=$E183)*(Work_Codes!$N$56:$Y$67)*(S$155:S$166))</f>
        <v>0</v>
      </c>
      <c r="T183" s="81">
        <f ca="1">SUMPRODUCT((Work_Codes!$N$53:$Y$53=$E183)*(Work_Codes!$N$56:$Y$67)*(T$155:T$166))</f>
        <v>0</v>
      </c>
    </row>
    <row r="184" spans="5:20" ht="11.5" customHeight="1" outlineLevel="2">
      <c r="E184" s="247" t="str">
        <f>GC!C49</f>
        <v>Other - non IT</v>
      </c>
      <c r="F184" s="247"/>
      <c r="G184" s="247"/>
      <c r="H184" s="247"/>
      <c r="I184" s="247"/>
      <c r="J184" s="81">
        <f ca="1">SUMPRODUCT((Work_Codes!$N$53:$Y$53=$E184)*(Work_Codes!$N$56:$Y$67)*(J$155:J$166))</f>
        <v>0</v>
      </c>
      <c r="K184" s="81">
        <f ca="1">SUMPRODUCT((Work_Codes!$N$53:$Y$53=$E184)*(Work_Codes!$N$56:$Y$67)*(K$155:K$166))</f>
        <v>0</v>
      </c>
      <c r="L184" s="81">
        <f ca="1">SUMPRODUCT((Work_Codes!$N$53:$Y$53=$E184)*(Work_Codes!$N$56:$Y$67)*(L$155:L$166))</f>
        <v>0</v>
      </c>
      <c r="M184" s="81">
        <f ca="1">SUMPRODUCT((Work_Codes!$N$53:$Y$53=$E184)*(Work_Codes!$N$56:$Y$67)*(M$155:M$166))</f>
        <v>0</v>
      </c>
      <c r="N184" s="81">
        <f ca="1">SUMPRODUCT((Work_Codes!$N$53:$Y$53=$E184)*(Work_Codes!$N$56:$Y$67)*(N$155:N$166))</f>
        <v>0</v>
      </c>
      <c r="O184" s="81">
        <f ca="1">SUMPRODUCT((Work_Codes!$N$53:$Y$53=$E184)*(Work_Codes!$N$56:$Y$67)*(O$155:O$166))</f>
        <v>0</v>
      </c>
      <c r="P184" s="81">
        <f ca="1">SUMPRODUCT((Work_Codes!$N$53:$Y$53=$E184)*(Work_Codes!$N$56:$Y$67)*(P$155:P$166))</f>
        <v>0</v>
      </c>
      <c r="Q184" s="81">
        <f ca="1">SUMPRODUCT((Work_Codes!$N$53:$Y$53=$E184)*(Work_Codes!$N$56:$Y$67)*(Q$155:Q$166))</f>
        <v>0</v>
      </c>
      <c r="R184" s="81">
        <f ca="1">SUMPRODUCT((Work_Codes!$N$53:$Y$53=$E184)*(Work_Codes!$N$56:$Y$67)*(R$155:R$166))</f>
        <v>0</v>
      </c>
      <c r="S184" s="81">
        <f ca="1">SUMPRODUCT((Work_Codes!$N$53:$Y$53=$E184)*(Work_Codes!$N$56:$Y$67)*(S$155:S$166))</f>
        <v>0</v>
      </c>
      <c r="T184" s="81">
        <f ca="1">SUMPRODUCT((Work_Codes!$N$53:$Y$53=$E184)*(Work_Codes!$N$56:$Y$67)*(T$155:T$166))</f>
        <v>0</v>
      </c>
    </row>
    <row r="185" spans="5:20" ht="11.5" customHeight="1" outlineLevel="2">
      <c r="E185" s="247" t="str">
        <f>GC!C50</f>
        <v>Land</v>
      </c>
      <c r="F185" s="247"/>
      <c r="G185" s="247"/>
      <c r="H185" s="247"/>
      <c r="I185" s="247"/>
      <c r="J185" s="81">
        <f ca="1">SUMPRODUCT((Work_Codes!$N$53:$Y$53=$E185)*(Work_Codes!$N$56:$Y$67)*(J$155:J$166))</f>
        <v>0</v>
      </c>
      <c r="K185" s="81">
        <f ca="1">SUMPRODUCT((Work_Codes!$N$53:$Y$53=$E185)*(Work_Codes!$N$56:$Y$67)*(K$155:K$166))</f>
        <v>0</v>
      </c>
      <c r="L185" s="81">
        <f ca="1">SUMPRODUCT((Work_Codes!$N$53:$Y$53=$E185)*(Work_Codes!$N$56:$Y$67)*(L$155:L$166))</f>
        <v>0</v>
      </c>
      <c r="M185" s="81">
        <f ca="1">SUMPRODUCT((Work_Codes!$N$53:$Y$53=$E185)*(Work_Codes!$N$56:$Y$67)*(M$155:M$166))</f>
        <v>0</v>
      </c>
      <c r="N185" s="81">
        <f ca="1">SUMPRODUCT((Work_Codes!$N$53:$Y$53=$E185)*(Work_Codes!$N$56:$Y$67)*(N$155:N$166))</f>
        <v>0</v>
      </c>
      <c r="O185" s="81">
        <f ca="1">SUMPRODUCT((Work_Codes!$N$53:$Y$53=$E185)*(Work_Codes!$N$56:$Y$67)*(O$155:O$166))</f>
        <v>0</v>
      </c>
      <c r="P185" s="81">
        <f ca="1">SUMPRODUCT((Work_Codes!$N$53:$Y$53=$E185)*(Work_Codes!$N$56:$Y$67)*(P$155:P$166))</f>
        <v>0</v>
      </c>
      <c r="Q185" s="81">
        <f ca="1">SUMPRODUCT((Work_Codes!$N$53:$Y$53=$E185)*(Work_Codes!$N$56:$Y$67)*(Q$155:Q$166))</f>
        <v>0</v>
      </c>
      <c r="R185" s="81">
        <f ca="1">SUMPRODUCT((Work_Codes!$N$53:$Y$53=$E185)*(Work_Codes!$N$56:$Y$67)*(R$155:R$166))</f>
        <v>0</v>
      </c>
      <c r="S185" s="81">
        <f ca="1">SUMPRODUCT((Work_Codes!$N$53:$Y$53=$E185)*(Work_Codes!$N$56:$Y$67)*(S$155:S$166))</f>
        <v>0</v>
      </c>
      <c r="T185" s="81">
        <f ca="1">SUMPRODUCT((Work_Codes!$N$53:$Y$53=$E185)*(Work_Codes!$N$56:$Y$67)*(T$155:T$166))</f>
        <v>0</v>
      </c>
    </row>
    <row r="186" spans="5:20" outlineLevel="2">
      <c r="E186" s="247" t="str">
        <f>GC!C51</f>
        <v>Capitalised Leases</v>
      </c>
      <c r="F186" s="247"/>
      <c r="G186" s="247"/>
      <c r="H186" s="247"/>
      <c r="I186" s="247"/>
      <c r="J186" s="81">
        <f ca="1">SUMPRODUCT((Work_Codes!$N$53:$Y$53=$E186)*(Work_Codes!$N$56:$Y$67)*(J$155:J$166))</f>
        <v>0</v>
      </c>
      <c r="K186" s="81">
        <f ca="1">SUMPRODUCT((Work_Codes!$N$53:$Y$53=$E186)*(Work_Codes!$N$56:$Y$67)*(K$155:K$166))</f>
        <v>0</v>
      </c>
      <c r="L186" s="81">
        <f ca="1">SUMPRODUCT((Work_Codes!$N$53:$Y$53=$E186)*(Work_Codes!$N$56:$Y$67)*(L$155:L$166))</f>
        <v>0</v>
      </c>
      <c r="M186" s="81">
        <f ca="1">SUMPRODUCT((Work_Codes!$N$53:$Y$53=$E186)*(Work_Codes!$N$56:$Y$67)*(M$155:M$166))</f>
        <v>0</v>
      </c>
      <c r="N186" s="81">
        <f ca="1">SUMPRODUCT((Work_Codes!$N$53:$Y$53=$E186)*(Work_Codes!$N$56:$Y$67)*(N$155:N$166))</f>
        <v>0</v>
      </c>
      <c r="O186" s="81">
        <f ca="1">SUMPRODUCT((Work_Codes!$N$53:$Y$53=$E186)*(Work_Codes!$N$56:$Y$67)*(O$155:O$166))</f>
        <v>0</v>
      </c>
      <c r="P186" s="81">
        <f ca="1">SUMPRODUCT((Work_Codes!$N$53:$Y$53=$E186)*(Work_Codes!$N$56:$Y$67)*(P$155:P$166))</f>
        <v>0</v>
      </c>
      <c r="Q186" s="81">
        <f ca="1">SUMPRODUCT((Work_Codes!$N$53:$Y$53=$E186)*(Work_Codes!$N$56:$Y$67)*(Q$155:Q$166))</f>
        <v>0</v>
      </c>
      <c r="R186" s="81">
        <f ca="1">SUMPRODUCT((Work_Codes!$N$53:$Y$53=$E186)*(Work_Codes!$N$56:$Y$67)*(R$155:R$166))</f>
        <v>0</v>
      </c>
      <c r="S186" s="81">
        <f ca="1">SUMPRODUCT((Work_Codes!$N$53:$Y$53=$E186)*(Work_Codes!$N$56:$Y$67)*(S$155:S$166))</f>
        <v>0</v>
      </c>
      <c r="T186" s="81">
        <f ca="1">SUMPRODUCT((Work_Codes!$N$53:$Y$53=$E186)*(Work_Codes!$N$56:$Y$67)*(T$155:T$166))</f>
        <v>0</v>
      </c>
    </row>
    <row r="187" spans="5:20" outlineLevel="2">
      <c r="E187" s="247" t="str">
        <f>GC!C52</f>
        <v>Transmission pipelines - post 1998</v>
      </c>
      <c r="F187" s="247"/>
      <c r="G187" s="247"/>
      <c r="H187" s="247"/>
      <c r="I187" s="247"/>
      <c r="J187" s="81">
        <f ca="1">SUMPRODUCT((Work_Codes!$N$53:$Y$53=$E187)*(Work_Codes!$N$56:$Y$67)*(J$155:J$166))</f>
        <v>0</v>
      </c>
      <c r="K187" s="81">
        <f ca="1">SUMPRODUCT((Work_Codes!$N$53:$Y$53=$E187)*(Work_Codes!$N$56:$Y$67)*(K$155:K$166))</f>
        <v>0</v>
      </c>
      <c r="L187" s="81">
        <f ca="1">SUMPRODUCT((Work_Codes!$N$53:$Y$53=$E187)*(Work_Codes!$N$56:$Y$67)*(L$155:L$166))</f>
        <v>0</v>
      </c>
      <c r="M187" s="81">
        <f ca="1">SUMPRODUCT((Work_Codes!$N$53:$Y$53=$E187)*(Work_Codes!$N$56:$Y$67)*(M$155:M$166))</f>
        <v>0</v>
      </c>
      <c r="N187" s="81">
        <f ca="1">SUMPRODUCT((Work_Codes!$N$53:$Y$53=$E187)*(Work_Codes!$N$56:$Y$67)*(N$155:N$166))</f>
        <v>0</v>
      </c>
      <c r="O187" s="81">
        <f ca="1">SUMPRODUCT((Work_Codes!$N$53:$Y$53=$E187)*(Work_Codes!$N$56:$Y$67)*(O$155:O$166))</f>
        <v>0</v>
      </c>
      <c r="P187" s="81">
        <f ca="1">SUMPRODUCT((Work_Codes!$N$53:$Y$53=$E187)*(Work_Codes!$N$56:$Y$67)*(P$155:P$166))</f>
        <v>0</v>
      </c>
      <c r="Q187" s="81">
        <f ca="1">SUMPRODUCT((Work_Codes!$N$53:$Y$53=$E187)*(Work_Codes!$N$56:$Y$67)*(Q$155:Q$166))</f>
        <v>0</v>
      </c>
      <c r="R187" s="81">
        <f ca="1">SUMPRODUCT((Work_Codes!$N$53:$Y$53=$E187)*(Work_Codes!$N$56:$Y$67)*(R$155:R$166))</f>
        <v>0</v>
      </c>
      <c r="S187" s="81">
        <f ca="1">SUMPRODUCT((Work_Codes!$N$53:$Y$53=$E187)*(Work_Codes!$N$56:$Y$67)*(S$155:S$166))</f>
        <v>0</v>
      </c>
      <c r="T187" s="81">
        <f ca="1">SUMPRODUCT((Work_Codes!$N$53:$Y$53=$E187)*(Work_Codes!$N$56:$Y$67)*(T$155:T$166))</f>
        <v>0</v>
      </c>
    </row>
    <row r="188" spans="5:20" outlineLevel="2">
      <c r="E188" s="247" t="str">
        <f>GC!C53</f>
        <v>Distribution pipelines - post 1998</v>
      </c>
      <c r="F188" s="247"/>
      <c r="G188" s="247"/>
      <c r="H188" s="247"/>
      <c r="I188" s="247"/>
      <c r="J188" s="81">
        <f ca="1">SUMPRODUCT((Work_Codes!$N$53:$Y$53=$E188)*(Work_Codes!$N$56:$Y$67)*(J$155:J$166))</f>
        <v>0</v>
      </c>
      <c r="K188" s="81">
        <f ca="1">SUMPRODUCT((Work_Codes!$N$53:$Y$53=$E188)*(Work_Codes!$N$56:$Y$67)*(K$155:K$166))</f>
        <v>0</v>
      </c>
      <c r="L188" s="81">
        <f ca="1">SUMPRODUCT((Work_Codes!$N$53:$Y$53=$E188)*(Work_Codes!$N$56:$Y$67)*(L$155:L$166))</f>
        <v>0</v>
      </c>
      <c r="M188" s="81">
        <f ca="1">SUMPRODUCT((Work_Codes!$N$53:$Y$53=$E188)*(Work_Codes!$N$56:$Y$67)*(M$155:M$166))</f>
        <v>0</v>
      </c>
      <c r="N188" s="81">
        <f ca="1">SUMPRODUCT((Work_Codes!$N$53:$Y$53=$E188)*(Work_Codes!$N$56:$Y$67)*(N$155:N$166))</f>
        <v>198453.21871132031</v>
      </c>
      <c r="O188" s="81">
        <f ca="1">SUMPRODUCT((Work_Codes!$N$53:$Y$53=$E188)*(Work_Codes!$N$56:$Y$67)*(O$155:O$166))</f>
        <v>1000207.8369428853</v>
      </c>
      <c r="P188" s="81">
        <f ca="1">SUMPRODUCT((Work_Codes!$N$53:$Y$53=$E188)*(Work_Codes!$N$56:$Y$67)*(P$155:P$166))</f>
        <v>940384.65454768564</v>
      </c>
      <c r="Q188" s="81">
        <f ca="1">SUMPRODUCT((Work_Codes!$N$53:$Y$53=$E188)*(Work_Codes!$N$56:$Y$67)*(Q$155:Q$166))</f>
        <v>1576140.7591026896</v>
      </c>
      <c r="R188" s="81">
        <f ca="1">SUMPRODUCT((Work_Codes!$N$53:$Y$53=$E188)*(Work_Codes!$N$56:$Y$67)*(R$155:R$166))</f>
        <v>3116149.7260476397</v>
      </c>
      <c r="S188" s="81">
        <f ca="1">SUMPRODUCT((Work_Codes!$N$53:$Y$53=$E188)*(Work_Codes!$N$56:$Y$67)*(S$155:S$166))</f>
        <v>4461241.532380797</v>
      </c>
      <c r="T188" s="81">
        <f ca="1">SUMPRODUCT((Work_Codes!$N$53:$Y$53=$E188)*(Work_Codes!$N$56:$Y$67)*(T$155:T$166))</f>
        <v>3317900.4061426697</v>
      </c>
    </row>
    <row r="189" spans="5:20" outlineLevel="2">
      <c r="E189" s="247" t="str">
        <f>GC!C54</f>
        <v>Service pipes - post 1998</v>
      </c>
      <c r="F189" s="247"/>
      <c r="G189" s="247"/>
      <c r="H189" s="247"/>
      <c r="I189" s="247"/>
      <c r="J189" s="81">
        <f ca="1">SUMPRODUCT((Work_Codes!$N$53:$Y$53=$E189)*(Work_Codes!$N$56:$Y$67)*(J$155:J$166))</f>
        <v>0</v>
      </c>
      <c r="K189" s="81">
        <f ca="1">SUMPRODUCT((Work_Codes!$N$53:$Y$53=$E189)*(Work_Codes!$N$56:$Y$67)*(K$155:K$166))</f>
        <v>0</v>
      </c>
      <c r="L189" s="81">
        <f ca="1">SUMPRODUCT((Work_Codes!$N$53:$Y$53=$E189)*(Work_Codes!$N$56:$Y$67)*(L$155:L$166))</f>
        <v>0</v>
      </c>
      <c r="M189" s="81">
        <f ca="1">SUMPRODUCT((Work_Codes!$N$53:$Y$53=$E189)*(Work_Codes!$N$56:$Y$67)*(M$155:M$166))</f>
        <v>0</v>
      </c>
      <c r="N189" s="81">
        <f ca="1">SUMPRODUCT((Work_Codes!$N$53:$Y$53=$E189)*(Work_Codes!$N$56:$Y$67)*(N$155:N$166))</f>
        <v>198453.21871132031</v>
      </c>
      <c r="O189" s="81">
        <f ca="1">SUMPRODUCT((Work_Codes!$N$53:$Y$53=$E189)*(Work_Codes!$N$56:$Y$67)*(O$155:O$166))</f>
        <v>1000207.8369428853</v>
      </c>
      <c r="P189" s="81">
        <f ca="1">SUMPRODUCT((Work_Codes!$N$53:$Y$53=$E189)*(Work_Codes!$N$56:$Y$67)*(P$155:P$166))</f>
        <v>940384.65454768564</v>
      </c>
      <c r="Q189" s="81">
        <f ca="1">SUMPRODUCT((Work_Codes!$N$53:$Y$53=$E189)*(Work_Codes!$N$56:$Y$67)*(Q$155:Q$166))</f>
        <v>1576140.7591026896</v>
      </c>
      <c r="R189" s="81">
        <f ca="1">SUMPRODUCT((Work_Codes!$N$53:$Y$53=$E189)*(Work_Codes!$N$56:$Y$67)*(R$155:R$166))</f>
        <v>3116149.7260476397</v>
      </c>
      <c r="S189" s="81">
        <f ca="1">SUMPRODUCT((Work_Codes!$N$53:$Y$53=$E189)*(Work_Codes!$N$56:$Y$67)*(S$155:S$166))</f>
        <v>4461241.532380797</v>
      </c>
      <c r="T189" s="81">
        <f ca="1">SUMPRODUCT((Work_Codes!$N$53:$Y$53=$E189)*(Work_Codes!$N$56:$Y$67)*(T$155:T$166))</f>
        <v>3317900.4061426697</v>
      </c>
    </row>
    <row r="190" spans="5:20" outlineLevel="2">
      <c r="E190" s="247" t="str">
        <f>GC!C55</f>
        <v>Cathodic protection - post 1998</v>
      </c>
      <c r="F190" s="247"/>
      <c r="G190" s="247"/>
      <c r="H190" s="247"/>
      <c r="I190" s="247"/>
      <c r="J190" s="81">
        <f ca="1">SUMPRODUCT((Work_Codes!$N$53:$Y$53=$E190)*(Work_Codes!$N$56:$Y$67)*(J$155:J$166))</f>
        <v>0</v>
      </c>
      <c r="K190" s="81">
        <f ca="1">SUMPRODUCT((Work_Codes!$N$53:$Y$53=$E190)*(Work_Codes!$N$56:$Y$67)*(K$155:K$166))</f>
        <v>0</v>
      </c>
      <c r="L190" s="81">
        <f ca="1">SUMPRODUCT((Work_Codes!$N$53:$Y$53=$E190)*(Work_Codes!$N$56:$Y$67)*(L$155:L$166))</f>
        <v>0</v>
      </c>
      <c r="M190" s="81">
        <f ca="1">SUMPRODUCT((Work_Codes!$N$53:$Y$53=$E190)*(Work_Codes!$N$56:$Y$67)*(M$155:M$166))</f>
        <v>0</v>
      </c>
      <c r="N190" s="81">
        <f ca="1">SUMPRODUCT((Work_Codes!$N$53:$Y$53=$E190)*(Work_Codes!$N$56:$Y$67)*(N$155:N$166))</f>
        <v>0</v>
      </c>
      <c r="O190" s="81">
        <f ca="1">SUMPRODUCT((Work_Codes!$N$53:$Y$53=$E190)*(Work_Codes!$N$56:$Y$67)*(O$155:O$166))</f>
        <v>0</v>
      </c>
      <c r="P190" s="81">
        <f ca="1">SUMPRODUCT((Work_Codes!$N$53:$Y$53=$E190)*(Work_Codes!$N$56:$Y$67)*(P$155:P$166))</f>
        <v>0</v>
      </c>
      <c r="Q190" s="81">
        <f ca="1">SUMPRODUCT((Work_Codes!$N$53:$Y$53=$E190)*(Work_Codes!$N$56:$Y$67)*(Q$155:Q$166))</f>
        <v>0</v>
      </c>
      <c r="R190" s="81">
        <f ca="1">SUMPRODUCT((Work_Codes!$N$53:$Y$53=$E190)*(Work_Codes!$N$56:$Y$67)*(R$155:R$166))</f>
        <v>0</v>
      </c>
      <c r="S190" s="81">
        <f ca="1">SUMPRODUCT((Work_Codes!$N$53:$Y$53=$E190)*(Work_Codes!$N$56:$Y$67)*(S$155:S$166))</f>
        <v>0</v>
      </c>
      <c r="T190" s="81">
        <f ca="1">SUMPRODUCT((Work_Codes!$N$53:$Y$53=$E190)*(Work_Codes!$N$56:$Y$67)*(T$155:T$166))</f>
        <v>0</v>
      </c>
    </row>
    <row r="191" spans="5:20" ht="12" customHeight="1" outlineLevel="2">
      <c r="E191" s="249" t="str">
        <f>"Total "&amp;D173</f>
        <v>Total Direct Costs</v>
      </c>
      <c r="F191" s="249"/>
      <c r="G191" s="249"/>
      <c r="H191" s="249"/>
      <c r="I191" s="249"/>
      <c r="J191" s="82">
        <f t="shared" ref="J191:T191" ca="1" si="26">SUM(J175:J190)</f>
        <v>0</v>
      </c>
      <c r="K191" s="82">
        <f t="shared" ca="1" si="26"/>
        <v>0</v>
      </c>
      <c r="L191" s="82">
        <f t="shared" ca="1" si="26"/>
        <v>0</v>
      </c>
      <c r="M191" s="82">
        <f t="shared" ca="1" si="26"/>
        <v>0</v>
      </c>
      <c r="N191" s="82">
        <f t="shared" ca="1" si="26"/>
        <v>396906.43742264062</v>
      </c>
      <c r="O191" s="82">
        <f t="shared" ca="1" si="26"/>
        <v>2000415.6738857706</v>
      </c>
      <c r="P191" s="82">
        <f t="shared" ca="1" si="26"/>
        <v>1880769.3090953713</v>
      </c>
      <c r="Q191" s="82">
        <f t="shared" ca="1" si="26"/>
        <v>3152281.5182053791</v>
      </c>
      <c r="R191" s="82">
        <f t="shared" ca="1" si="26"/>
        <v>6232299.4520952795</v>
      </c>
      <c r="S191" s="82">
        <f t="shared" ca="1" si="26"/>
        <v>8922483.0647615939</v>
      </c>
      <c r="T191" s="82">
        <f t="shared" ca="1" si="26"/>
        <v>6635800.8122853395</v>
      </c>
    </row>
    <row r="192" spans="5:20" outlineLevel="2"/>
    <row r="193" spans="4:20" outlineLevel="2">
      <c r="D193" s="37" t="s">
        <v>364</v>
      </c>
    </row>
    <row r="194" spans="4:20" ht="5.9" customHeight="1" outlineLevel="2"/>
    <row r="195" spans="4:20" outlineLevel="2">
      <c r="E195" s="247" t="str">
        <f>GC!C40</f>
        <v>Transmission pipelines</v>
      </c>
      <c r="F195" s="247"/>
      <c r="G195" s="247"/>
      <c r="H195" s="247"/>
      <c r="I195" s="247"/>
      <c r="J195" s="81">
        <f ca="1">J175*(INDEX(J$35:J$37,MATCH(Work_Codes!$I$50,$D$35:$D$37,0)))</f>
        <v>0</v>
      </c>
      <c r="K195" s="81">
        <f ca="1">K175*(INDEX(K$35:K$37,MATCH(Work_Codes!$I$50,$D$35:$D$37,0)))</f>
        <v>0</v>
      </c>
      <c r="L195" s="81">
        <f ca="1">L175*(INDEX(L$35:L$37,MATCH(Work_Codes!$I$50,$D$35:$D$37,0)))</f>
        <v>0</v>
      </c>
      <c r="M195" s="81">
        <f ca="1">M175*(INDEX(M$35:M$37,MATCH(Work_Codes!$I$50,$D$35:$D$37,0)))</f>
        <v>0</v>
      </c>
      <c r="N195" s="81">
        <f ca="1">N175*(INDEX(N$35:N$37,MATCH(Work_Codes!$I$50,$D$35:$D$37,0)))</f>
        <v>0</v>
      </c>
      <c r="O195" s="81">
        <f ca="1">O175*(INDEX(O$35:O$37,MATCH(Work_Codes!$I$50,$D$35:$D$37,0)))</f>
        <v>0</v>
      </c>
      <c r="P195" s="81">
        <f ca="1">P175*(INDEX(P$35:P$37,MATCH(Work_Codes!$I$50,$D$35:$D$37,0)))</f>
        <v>0</v>
      </c>
      <c r="Q195" s="81">
        <f ca="1">Q175*(INDEX(Q$35:Q$37,MATCH(Work_Codes!$I$50,$D$35:$D$37,0)))</f>
        <v>0</v>
      </c>
      <c r="R195" s="81">
        <f ca="1">R175*(INDEX(R$35:R$37,MATCH(Work_Codes!$I$50,$D$35:$D$37,0)))</f>
        <v>0</v>
      </c>
      <c r="S195" s="81">
        <f ca="1">S175*(INDEX(S$35:S$37,MATCH(Work_Codes!$I$50,$D$35:$D$37,0)))</f>
        <v>0</v>
      </c>
      <c r="T195" s="81">
        <f ca="1">T175*(INDEX(T$35:T$37,MATCH(Work_Codes!$I$50,$D$35:$D$37,0)))</f>
        <v>0</v>
      </c>
    </row>
    <row r="196" spans="4:20" outlineLevel="2">
      <c r="E196" s="247" t="str">
        <f>GC!C41</f>
        <v>Distribution pipelines</v>
      </c>
      <c r="F196" s="247"/>
      <c r="G196" s="247"/>
      <c r="H196" s="247"/>
      <c r="I196" s="247"/>
      <c r="J196" s="81">
        <f ca="1">J176*(INDEX(J$35:J$37,MATCH(Work_Codes!$I$50,$D$35:$D$37,0)))</f>
        <v>0</v>
      </c>
      <c r="K196" s="81">
        <f ca="1">K176*(INDEX(K$35:K$37,MATCH(Work_Codes!$I$50,$D$35:$D$37,0)))</f>
        <v>0</v>
      </c>
      <c r="L196" s="81">
        <f ca="1">L176*(INDEX(L$35:L$37,MATCH(Work_Codes!$I$50,$D$35:$D$37,0)))</f>
        <v>0</v>
      </c>
      <c r="M196" s="81">
        <f ca="1">M176*(INDEX(M$35:M$37,MATCH(Work_Codes!$I$50,$D$35:$D$37,0)))</f>
        <v>0</v>
      </c>
      <c r="N196" s="81">
        <f ca="1">N176*(INDEX(N$35:N$37,MATCH(Work_Codes!$I$50,$D$35:$D$37,0)))</f>
        <v>0</v>
      </c>
      <c r="O196" s="81">
        <f ca="1">O176*(INDEX(O$35:O$37,MATCH(Work_Codes!$I$50,$D$35:$D$37,0)))</f>
        <v>0</v>
      </c>
      <c r="P196" s="81">
        <f ca="1">P176*(INDEX(P$35:P$37,MATCH(Work_Codes!$I$50,$D$35:$D$37,0)))</f>
        <v>0</v>
      </c>
      <c r="Q196" s="81">
        <f ca="1">Q176*(INDEX(Q$35:Q$37,MATCH(Work_Codes!$I$50,$D$35:$D$37,0)))</f>
        <v>0</v>
      </c>
      <c r="R196" s="81">
        <f ca="1">R176*(INDEX(R$35:R$37,MATCH(Work_Codes!$I$50,$D$35:$D$37,0)))</f>
        <v>0</v>
      </c>
      <c r="S196" s="81">
        <f ca="1">S176*(INDEX(S$35:S$37,MATCH(Work_Codes!$I$50,$D$35:$D$37,0)))</f>
        <v>0</v>
      </c>
      <c r="T196" s="81">
        <f ca="1">T176*(INDEX(T$35:T$37,MATCH(Work_Codes!$I$50,$D$35:$D$37,0)))</f>
        <v>0</v>
      </c>
    </row>
    <row r="197" spans="4:20" outlineLevel="2">
      <c r="E197" s="247" t="str">
        <f>GC!C42</f>
        <v>Service pipes</v>
      </c>
      <c r="F197" s="247"/>
      <c r="G197" s="247"/>
      <c r="H197" s="247"/>
      <c r="I197" s="247"/>
      <c r="J197" s="81">
        <f ca="1">J177*(INDEX(J$35:J$37,MATCH(Work_Codes!$I$50,$D$35:$D$37,0)))</f>
        <v>0</v>
      </c>
      <c r="K197" s="81">
        <f ca="1">K177*(INDEX(K$35:K$37,MATCH(Work_Codes!$I$50,$D$35:$D$37,0)))</f>
        <v>0</v>
      </c>
      <c r="L197" s="81">
        <f ca="1">L177*(INDEX(L$35:L$37,MATCH(Work_Codes!$I$50,$D$35:$D$37,0)))</f>
        <v>0</v>
      </c>
      <c r="M197" s="81">
        <f ca="1">M177*(INDEX(M$35:M$37,MATCH(Work_Codes!$I$50,$D$35:$D$37,0)))</f>
        <v>0</v>
      </c>
      <c r="N197" s="81">
        <f ca="1">N177*(INDEX(N$35:N$37,MATCH(Work_Codes!$I$50,$D$35:$D$37,0)))</f>
        <v>0</v>
      </c>
      <c r="O197" s="81">
        <f ca="1">O177*(INDEX(O$35:O$37,MATCH(Work_Codes!$I$50,$D$35:$D$37,0)))</f>
        <v>0</v>
      </c>
      <c r="P197" s="81">
        <f ca="1">P177*(INDEX(P$35:P$37,MATCH(Work_Codes!$I$50,$D$35:$D$37,0)))</f>
        <v>0</v>
      </c>
      <c r="Q197" s="81">
        <f ca="1">Q177*(INDEX(Q$35:Q$37,MATCH(Work_Codes!$I$50,$D$35:$D$37,0)))</f>
        <v>0</v>
      </c>
      <c r="R197" s="81">
        <f ca="1">R177*(INDEX(R$35:R$37,MATCH(Work_Codes!$I$50,$D$35:$D$37,0)))</f>
        <v>0</v>
      </c>
      <c r="S197" s="81">
        <f ca="1">S177*(INDEX(S$35:S$37,MATCH(Work_Codes!$I$50,$D$35:$D$37,0)))</f>
        <v>0</v>
      </c>
      <c r="T197" s="81">
        <f ca="1">T177*(INDEX(T$35:T$37,MATCH(Work_Codes!$I$50,$D$35:$D$37,0)))</f>
        <v>0</v>
      </c>
    </row>
    <row r="198" spans="4:20" outlineLevel="2">
      <c r="E198" s="247" t="str">
        <f>GC!C43</f>
        <v>Cathodic protection</v>
      </c>
      <c r="F198" s="247"/>
      <c r="G198" s="247"/>
      <c r="H198" s="247"/>
      <c r="I198" s="247"/>
      <c r="J198" s="81">
        <f ca="1">J178*(INDEX(J$35:J$37,MATCH(Work_Codes!$I$50,$D$35:$D$37,0)))</f>
        <v>0</v>
      </c>
      <c r="K198" s="81">
        <f ca="1">K178*(INDEX(K$35:K$37,MATCH(Work_Codes!$I$50,$D$35:$D$37,0)))</f>
        <v>0</v>
      </c>
      <c r="L198" s="81">
        <f ca="1">L178*(INDEX(L$35:L$37,MATCH(Work_Codes!$I$50,$D$35:$D$37,0)))</f>
        <v>0</v>
      </c>
      <c r="M198" s="81">
        <f ca="1">M178*(INDEX(M$35:M$37,MATCH(Work_Codes!$I$50,$D$35:$D$37,0)))</f>
        <v>0</v>
      </c>
      <c r="N198" s="81">
        <f ca="1">N178*(INDEX(N$35:N$37,MATCH(Work_Codes!$I$50,$D$35:$D$37,0)))</f>
        <v>0</v>
      </c>
      <c r="O198" s="81">
        <f ca="1">O178*(INDEX(O$35:O$37,MATCH(Work_Codes!$I$50,$D$35:$D$37,0)))</f>
        <v>0</v>
      </c>
      <c r="P198" s="81">
        <f ca="1">P178*(INDEX(P$35:P$37,MATCH(Work_Codes!$I$50,$D$35:$D$37,0)))</f>
        <v>0</v>
      </c>
      <c r="Q198" s="81">
        <f ca="1">Q178*(INDEX(Q$35:Q$37,MATCH(Work_Codes!$I$50,$D$35:$D$37,0)))</f>
        <v>0</v>
      </c>
      <c r="R198" s="81">
        <f ca="1">R178*(INDEX(R$35:R$37,MATCH(Work_Codes!$I$50,$D$35:$D$37,0)))</f>
        <v>0</v>
      </c>
      <c r="S198" s="81">
        <f ca="1">S178*(INDEX(S$35:S$37,MATCH(Work_Codes!$I$50,$D$35:$D$37,0)))</f>
        <v>0</v>
      </c>
      <c r="T198" s="81">
        <f ca="1">T178*(INDEX(T$35:T$37,MATCH(Work_Codes!$I$50,$D$35:$D$37,0)))</f>
        <v>0</v>
      </c>
    </row>
    <row r="199" spans="4:20" outlineLevel="2">
      <c r="E199" s="247" t="str">
        <f>GC!C44</f>
        <v>Supply Regulators / Valve Stations</v>
      </c>
      <c r="F199" s="247"/>
      <c r="G199" s="247"/>
      <c r="H199" s="247"/>
      <c r="I199" s="247"/>
      <c r="J199" s="81">
        <f ca="1">J179*(INDEX(J$35:J$37,MATCH(Work_Codes!$I$50,$D$35:$D$37,0)))</f>
        <v>0</v>
      </c>
      <c r="K199" s="81">
        <f ca="1">K179*(INDEX(K$35:K$37,MATCH(Work_Codes!$I$50,$D$35:$D$37,0)))</f>
        <v>0</v>
      </c>
      <c r="L199" s="81">
        <f ca="1">L179*(INDEX(L$35:L$37,MATCH(Work_Codes!$I$50,$D$35:$D$37,0)))</f>
        <v>0</v>
      </c>
      <c r="M199" s="81">
        <f ca="1">M179*(INDEX(M$35:M$37,MATCH(Work_Codes!$I$50,$D$35:$D$37,0)))</f>
        <v>0</v>
      </c>
      <c r="N199" s="81">
        <f ca="1">N179*(INDEX(N$35:N$37,MATCH(Work_Codes!$I$50,$D$35:$D$37,0)))</f>
        <v>0</v>
      </c>
      <c r="O199" s="81">
        <f ca="1">O179*(INDEX(O$35:O$37,MATCH(Work_Codes!$I$50,$D$35:$D$37,0)))</f>
        <v>0</v>
      </c>
      <c r="P199" s="81">
        <f ca="1">P179*(INDEX(P$35:P$37,MATCH(Work_Codes!$I$50,$D$35:$D$37,0)))</f>
        <v>0</v>
      </c>
      <c r="Q199" s="81">
        <f ca="1">Q179*(INDEX(Q$35:Q$37,MATCH(Work_Codes!$I$50,$D$35:$D$37,0)))</f>
        <v>0</v>
      </c>
      <c r="R199" s="81">
        <f ca="1">R179*(INDEX(R$35:R$37,MATCH(Work_Codes!$I$50,$D$35:$D$37,0)))</f>
        <v>0</v>
      </c>
      <c r="S199" s="81">
        <f ca="1">S179*(INDEX(S$35:S$37,MATCH(Work_Codes!$I$50,$D$35:$D$37,0)))</f>
        <v>0</v>
      </c>
      <c r="T199" s="81">
        <f ca="1">T179*(INDEX(T$35:T$37,MATCH(Work_Codes!$I$50,$D$35:$D$37,0)))</f>
        <v>0</v>
      </c>
    </row>
    <row r="200" spans="4:20" outlineLevel="2">
      <c r="E200" s="247" t="str">
        <f>GC!C45</f>
        <v>Meters</v>
      </c>
      <c r="F200" s="247"/>
      <c r="G200" s="247"/>
      <c r="H200" s="247"/>
      <c r="I200" s="247"/>
      <c r="J200" s="81">
        <f ca="1">J180*(INDEX(J$35:J$37,MATCH(Work_Codes!$I$50,$D$35:$D$37,0)))</f>
        <v>0</v>
      </c>
      <c r="K200" s="81">
        <f ca="1">K180*(INDEX(K$35:K$37,MATCH(Work_Codes!$I$50,$D$35:$D$37,0)))</f>
        <v>0</v>
      </c>
      <c r="L200" s="81">
        <f ca="1">L180*(INDEX(L$35:L$37,MATCH(Work_Codes!$I$50,$D$35:$D$37,0)))</f>
        <v>0</v>
      </c>
      <c r="M200" s="81">
        <f ca="1">M180*(INDEX(M$35:M$37,MATCH(Work_Codes!$I$50,$D$35:$D$37,0)))</f>
        <v>0</v>
      </c>
      <c r="N200" s="81">
        <f ca="1">N180*(INDEX(N$35:N$37,MATCH(Work_Codes!$I$50,$D$35:$D$37,0)))</f>
        <v>0</v>
      </c>
      <c r="O200" s="81">
        <f ca="1">O180*(INDEX(O$35:O$37,MATCH(Work_Codes!$I$50,$D$35:$D$37,0)))</f>
        <v>0</v>
      </c>
      <c r="P200" s="81">
        <f ca="1">P180*(INDEX(P$35:P$37,MATCH(Work_Codes!$I$50,$D$35:$D$37,0)))</f>
        <v>0</v>
      </c>
      <c r="Q200" s="81">
        <f ca="1">Q180*(INDEX(Q$35:Q$37,MATCH(Work_Codes!$I$50,$D$35:$D$37,0)))</f>
        <v>0</v>
      </c>
      <c r="R200" s="81">
        <f ca="1">R180*(INDEX(R$35:R$37,MATCH(Work_Codes!$I$50,$D$35:$D$37,0)))</f>
        <v>0</v>
      </c>
      <c r="S200" s="81">
        <f ca="1">S180*(INDEX(S$35:S$37,MATCH(Work_Codes!$I$50,$D$35:$D$37,0)))</f>
        <v>0</v>
      </c>
      <c r="T200" s="81">
        <f ca="1">T180*(INDEX(T$35:T$37,MATCH(Work_Codes!$I$50,$D$35:$D$37,0)))</f>
        <v>0</v>
      </c>
    </row>
    <row r="201" spans="4:20" outlineLevel="2">
      <c r="E201" s="247" t="str">
        <f>GC!C46</f>
        <v>SCADA and remote control</v>
      </c>
      <c r="F201" s="247"/>
      <c r="G201" s="247"/>
      <c r="H201" s="247"/>
      <c r="I201" s="247"/>
      <c r="J201" s="81">
        <f ca="1">J181*(INDEX(J$35:J$37,MATCH(Work_Codes!$I$50,$D$35:$D$37,0)))</f>
        <v>0</v>
      </c>
      <c r="K201" s="81">
        <f ca="1">K181*(INDEX(K$35:K$37,MATCH(Work_Codes!$I$50,$D$35:$D$37,0)))</f>
        <v>0</v>
      </c>
      <c r="L201" s="81">
        <f ca="1">L181*(INDEX(L$35:L$37,MATCH(Work_Codes!$I$50,$D$35:$D$37,0)))</f>
        <v>0</v>
      </c>
      <c r="M201" s="81">
        <f ca="1">M181*(INDEX(M$35:M$37,MATCH(Work_Codes!$I$50,$D$35:$D$37,0)))</f>
        <v>0</v>
      </c>
      <c r="N201" s="81">
        <f ca="1">N181*(INDEX(N$35:N$37,MATCH(Work_Codes!$I$50,$D$35:$D$37,0)))</f>
        <v>0</v>
      </c>
      <c r="O201" s="81">
        <f ca="1">O181*(INDEX(O$35:O$37,MATCH(Work_Codes!$I$50,$D$35:$D$37,0)))</f>
        <v>0</v>
      </c>
      <c r="P201" s="81">
        <f ca="1">P181*(INDEX(P$35:P$37,MATCH(Work_Codes!$I$50,$D$35:$D$37,0)))</f>
        <v>0</v>
      </c>
      <c r="Q201" s="81">
        <f ca="1">Q181*(INDEX(Q$35:Q$37,MATCH(Work_Codes!$I$50,$D$35:$D$37,0)))</f>
        <v>0</v>
      </c>
      <c r="R201" s="81">
        <f ca="1">R181*(INDEX(R$35:R$37,MATCH(Work_Codes!$I$50,$D$35:$D$37,0)))</f>
        <v>0</v>
      </c>
      <c r="S201" s="81">
        <f ca="1">S181*(INDEX(S$35:S$37,MATCH(Work_Codes!$I$50,$D$35:$D$37,0)))</f>
        <v>0</v>
      </c>
      <c r="T201" s="81">
        <f ca="1">T181*(INDEX(T$35:T$37,MATCH(Work_Codes!$I$50,$D$35:$D$37,0)))</f>
        <v>0</v>
      </c>
    </row>
    <row r="202" spans="4:20" outlineLevel="2">
      <c r="E202" s="247" t="str">
        <f>GC!C47</f>
        <v>Buildings</v>
      </c>
      <c r="F202" s="247"/>
      <c r="G202" s="247"/>
      <c r="H202" s="247"/>
      <c r="I202" s="247"/>
      <c r="J202" s="81">
        <f ca="1">J182*(INDEX(J$35:J$37,MATCH(Work_Codes!$I$50,$D$35:$D$37,0)))</f>
        <v>0</v>
      </c>
      <c r="K202" s="81">
        <f ca="1">K182*(INDEX(K$35:K$37,MATCH(Work_Codes!$I$50,$D$35:$D$37,0)))</f>
        <v>0</v>
      </c>
      <c r="L202" s="81">
        <f ca="1">L182*(INDEX(L$35:L$37,MATCH(Work_Codes!$I$50,$D$35:$D$37,0)))</f>
        <v>0</v>
      </c>
      <c r="M202" s="81">
        <f ca="1">M182*(INDEX(M$35:M$37,MATCH(Work_Codes!$I$50,$D$35:$D$37,0)))</f>
        <v>0</v>
      </c>
      <c r="N202" s="81">
        <f ca="1">N182*(INDEX(N$35:N$37,MATCH(Work_Codes!$I$50,$D$35:$D$37,0)))</f>
        <v>0</v>
      </c>
      <c r="O202" s="81">
        <f ca="1">O182*(INDEX(O$35:O$37,MATCH(Work_Codes!$I$50,$D$35:$D$37,0)))</f>
        <v>0</v>
      </c>
      <c r="P202" s="81">
        <f ca="1">P182*(INDEX(P$35:P$37,MATCH(Work_Codes!$I$50,$D$35:$D$37,0)))</f>
        <v>0</v>
      </c>
      <c r="Q202" s="81">
        <f ca="1">Q182*(INDEX(Q$35:Q$37,MATCH(Work_Codes!$I$50,$D$35:$D$37,0)))</f>
        <v>0</v>
      </c>
      <c r="R202" s="81">
        <f ca="1">R182*(INDEX(R$35:R$37,MATCH(Work_Codes!$I$50,$D$35:$D$37,0)))</f>
        <v>0</v>
      </c>
      <c r="S202" s="81">
        <f ca="1">S182*(INDEX(S$35:S$37,MATCH(Work_Codes!$I$50,$D$35:$D$37,0)))</f>
        <v>0</v>
      </c>
      <c r="T202" s="81">
        <f ca="1">T182*(INDEX(T$35:T$37,MATCH(Work_Codes!$I$50,$D$35:$D$37,0)))</f>
        <v>0</v>
      </c>
    </row>
    <row r="203" spans="4:20" outlineLevel="2">
      <c r="E203" s="247" t="str">
        <f>GC!C48</f>
        <v>Other - IT</v>
      </c>
      <c r="F203" s="247"/>
      <c r="G203" s="247"/>
      <c r="H203" s="247"/>
      <c r="I203" s="247"/>
      <c r="J203" s="81">
        <f ca="1">J183*(INDEX(J$35:J$37,MATCH(Work_Codes!$I$50,$D$35:$D$37,0)))</f>
        <v>0</v>
      </c>
      <c r="K203" s="81">
        <f ca="1">K183*(INDEX(K$35:K$37,MATCH(Work_Codes!$I$50,$D$35:$D$37,0)))</f>
        <v>0</v>
      </c>
      <c r="L203" s="81">
        <f ca="1">L183*(INDEX(L$35:L$37,MATCH(Work_Codes!$I$50,$D$35:$D$37,0)))</f>
        <v>0</v>
      </c>
      <c r="M203" s="81">
        <f ca="1">M183*(INDEX(M$35:M$37,MATCH(Work_Codes!$I$50,$D$35:$D$37,0)))</f>
        <v>0</v>
      </c>
      <c r="N203" s="81">
        <f ca="1">N183*(INDEX(N$35:N$37,MATCH(Work_Codes!$I$50,$D$35:$D$37,0)))</f>
        <v>0</v>
      </c>
      <c r="O203" s="81">
        <f ca="1">O183*(INDEX(O$35:O$37,MATCH(Work_Codes!$I$50,$D$35:$D$37,0)))</f>
        <v>0</v>
      </c>
      <c r="P203" s="81">
        <f ca="1">P183*(INDEX(P$35:P$37,MATCH(Work_Codes!$I$50,$D$35:$D$37,0)))</f>
        <v>0</v>
      </c>
      <c r="Q203" s="81">
        <f ca="1">Q183*(INDEX(Q$35:Q$37,MATCH(Work_Codes!$I$50,$D$35:$D$37,0)))</f>
        <v>0</v>
      </c>
      <c r="R203" s="81">
        <f ca="1">R183*(INDEX(R$35:R$37,MATCH(Work_Codes!$I$50,$D$35:$D$37,0)))</f>
        <v>0</v>
      </c>
      <c r="S203" s="81">
        <f ca="1">S183*(INDEX(S$35:S$37,MATCH(Work_Codes!$I$50,$D$35:$D$37,0)))</f>
        <v>0</v>
      </c>
      <c r="T203" s="81">
        <f ca="1">T183*(INDEX(T$35:T$37,MATCH(Work_Codes!$I$50,$D$35:$D$37,0)))</f>
        <v>0</v>
      </c>
    </row>
    <row r="204" spans="4:20" outlineLevel="2">
      <c r="E204" s="247" t="str">
        <f>GC!C49</f>
        <v>Other - non IT</v>
      </c>
      <c r="F204" s="247"/>
      <c r="G204" s="247"/>
      <c r="H204" s="247"/>
      <c r="I204" s="247"/>
      <c r="J204" s="81">
        <f ca="1">J184*(INDEX(J$35:J$37,MATCH(Work_Codes!$I$50,$D$35:$D$37,0)))</f>
        <v>0</v>
      </c>
      <c r="K204" s="81">
        <f ca="1">K184*(INDEX(K$35:K$37,MATCH(Work_Codes!$I$50,$D$35:$D$37,0)))</f>
        <v>0</v>
      </c>
      <c r="L204" s="81">
        <f ca="1">L184*(INDEX(L$35:L$37,MATCH(Work_Codes!$I$50,$D$35:$D$37,0)))</f>
        <v>0</v>
      </c>
      <c r="M204" s="81">
        <f ca="1">M184*(INDEX(M$35:M$37,MATCH(Work_Codes!$I$50,$D$35:$D$37,0)))</f>
        <v>0</v>
      </c>
      <c r="N204" s="81">
        <f ca="1">N184*(INDEX(N$35:N$37,MATCH(Work_Codes!$I$50,$D$35:$D$37,0)))</f>
        <v>0</v>
      </c>
      <c r="O204" s="81">
        <f ca="1">O184*(INDEX(O$35:O$37,MATCH(Work_Codes!$I$50,$D$35:$D$37,0)))</f>
        <v>0</v>
      </c>
      <c r="P204" s="81">
        <f ca="1">P184*(INDEX(P$35:P$37,MATCH(Work_Codes!$I$50,$D$35:$D$37,0)))</f>
        <v>0</v>
      </c>
      <c r="Q204" s="81">
        <f ca="1">Q184*(INDEX(Q$35:Q$37,MATCH(Work_Codes!$I$50,$D$35:$D$37,0)))</f>
        <v>0</v>
      </c>
      <c r="R204" s="81">
        <f ca="1">R184*(INDEX(R$35:R$37,MATCH(Work_Codes!$I$50,$D$35:$D$37,0)))</f>
        <v>0</v>
      </c>
      <c r="S204" s="81">
        <f ca="1">S184*(INDEX(S$35:S$37,MATCH(Work_Codes!$I$50,$D$35:$D$37,0)))</f>
        <v>0</v>
      </c>
      <c r="T204" s="81">
        <f ca="1">T184*(INDEX(T$35:T$37,MATCH(Work_Codes!$I$50,$D$35:$D$37,0)))</f>
        <v>0</v>
      </c>
    </row>
    <row r="205" spans="4:20" outlineLevel="2">
      <c r="E205" s="247" t="str">
        <f>GC!C50</f>
        <v>Land</v>
      </c>
      <c r="F205" s="247"/>
      <c r="G205" s="247"/>
      <c r="H205" s="247"/>
      <c r="I205" s="247"/>
      <c r="J205" s="81">
        <f ca="1">J185*(INDEX(J$35:J$37,MATCH(Work_Codes!$I$50,$D$35:$D$37,0)))</f>
        <v>0</v>
      </c>
      <c r="K205" s="81">
        <f ca="1">K185*(INDEX(K$35:K$37,MATCH(Work_Codes!$I$50,$D$35:$D$37,0)))</f>
        <v>0</v>
      </c>
      <c r="L205" s="81">
        <f ca="1">L185*(INDEX(L$35:L$37,MATCH(Work_Codes!$I$50,$D$35:$D$37,0)))</f>
        <v>0</v>
      </c>
      <c r="M205" s="81">
        <f ca="1">M185*(INDEX(M$35:M$37,MATCH(Work_Codes!$I$50,$D$35:$D$37,0)))</f>
        <v>0</v>
      </c>
      <c r="N205" s="81">
        <f ca="1">N185*(INDEX(N$35:N$37,MATCH(Work_Codes!$I$50,$D$35:$D$37,0)))</f>
        <v>0</v>
      </c>
      <c r="O205" s="81">
        <f ca="1">O185*(INDEX(O$35:O$37,MATCH(Work_Codes!$I$50,$D$35:$D$37,0)))</f>
        <v>0</v>
      </c>
      <c r="P205" s="81">
        <f ca="1">P185*(INDEX(P$35:P$37,MATCH(Work_Codes!$I$50,$D$35:$D$37,0)))</f>
        <v>0</v>
      </c>
      <c r="Q205" s="81">
        <f ca="1">Q185*(INDEX(Q$35:Q$37,MATCH(Work_Codes!$I$50,$D$35:$D$37,0)))</f>
        <v>0</v>
      </c>
      <c r="R205" s="81">
        <f ca="1">R185*(INDEX(R$35:R$37,MATCH(Work_Codes!$I$50,$D$35:$D$37,0)))</f>
        <v>0</v>
      </c>
      <c r="S205" s="81">
        <f ca="1">S185*(INDEX(S$35:S$37,MATCH(Work_Codes!$I$50,$D$35:$D$37,0)))</f>
        <v>0</v>
      </c>
      <c r="T205" s="81">
        <f ca="1">T185*(INDEX(T$35:T$37,MATCH(Work_Codes!$I$50,$D$35:$D$37,0)))</f>
        <v>0</v>
      </c>
    </row>
    <row r="206" spans="4:20" outlineLevel="2">
      <c r="E206" s="247" t="str">
        <f>GC!C51</f>
        <v>Capitalised Leases</v>
      </c>
      <c r="F206" s="247"/>
      <c r="G206" s="247"/>
      <c r="H206" s="247"/>
      <c r="I206" s="247"/>
      <c r="J206" s="81">
        <f ca="1">J186*(INDEX(J$35:J$37,MATCH(Work_Codes!$I$50,$D$35:$D$37,0)))</f>
        <v>0</v>
      </c>
      <c r="K206" s="81">
        <f ca="1">K186*(INDEX(K$35:K$37,MATCH(Work_Codes!$I$50,$D$35:$D$37,0)))</f>
        <v>0</v>
      </c>
      <c r="L206" s="81">
        <f ca="1">L186*(INDEX(L$35:L$37,MATCH(Work_Codes!$I$50,$D$35:$D$37,0)))</f>
        <v>0</v>
      </c>
      <c r="M206" s="81">
        <f ca="1">M186*(INDEX(M$35:M$37,MATCH(Work_Codes!$I$50,$D$35:$D$37,0)))</f>
        <v>0</v>
      </c>
      <c r="N206" s="81">
        <f ca="1">N186*(INDEX(N$35:N$37,MATCH(Work_Codes!$I$50,$D$35:$D$37,0)))</f>
        <v>0</v>
      </c>
      <c r="O206" s="81">
        <f ca="1">O186*(INDEX(O$35:O$37,MATCH(Work_Codes!$I$50,$D$35:$D$37,0)))</f>
        <v>0</v>
      </c>
      <c r="P206" s="81">
        <f ca="1">P186*(INDEX(P$35:P$37,MATCH(Work_Codes!$I$50,$D$35:$D$37,0)))</f>
        <v>0</v>
      </c>
      <c r="Q206" s="81">
        <f ca="1">Q186*(INDEX(Q$35:Q$37,MATCH(Work_Codes!$I$50,$D$35:$D$37,0)))</f>
        <v>0</v>
      </c>
      <c r="R206" s="81">
        <f ca="1">R186*(INDEX(R$35:R$37,MATCH(Work_Codes!$I$50,$D$35:$D$37,0)))</f>
        <v>0</v>
      </c>
      <c r="S206" s="81">
        <f ca="1">S186*(INDEX(S$35:S$37,MATCH(Work_Codes!$I$50,$D$35:$D$37,0)))</f>
        <v>0</v>
      </c>
      <c r="T206" s="81">
        <f ca="1">T186*(INDEX(T$35:T$37,MATCH(Work_Codes!$I$50,$D$35:$D$37,0)))</f>
        <v>0</v>
      </c>
    </row>
    <row r="207" spans="4:20" outlineLevel="2">
      <c r="E207" s="247" t="str">
        <f>GC!C52</f>
        <v>Transmission pipelines - post 1998</v>
      </c>
      <c r="F207" s="247"/>
      <c r="G207" s="247"/>
      <c r="H207" s="247"/>
      <c r="I207" s="247"/>
      <c r="J207" s="81">
        <f ca="1">J187*(INDEX(J$35:J$37,MATCH(Work_Codes!$I$50,$D$35:$D$37,0)))</f>
        <v>0</v>
      </c>
      <c r="K207" s="81">
        <f ca="1">K187*(INDEX(K$35:K$37,MATCH(Work_Codes!$I$50,$D$35:$D$37,0)))</f>
        <v>0</v>
      </c>
      <c r="L207" s="81">
        <f ca="1">L187*(INDEX(L$35:L$37,MATCH(Work_Codes!$I$50,$D$35:$D$37,0)))</f>
        <v>0</v>
      </c>
      <c r="M207" s="81">
        <f ca="1">M187*(INDEX(M$35:M$37,MATCH(Work_Codes!$I$50,$D$35:$D$37,0)))</f>
        <v>0</v>
      </c>
      <c r="N207" s="81">
        <f ca="1">N187*(INDEX(N$35:N$37,MATCH(Work_Codes!$I$50,$D$35:$D$37,0)))</f>
        <v>0</v>
      </c>
      <c r="O207" s="81">
        <f ca="1">O187*(INDEX(O$35:O$37,MATCH(Work_Codes!$I$50,$D$35:$D$37,0)))</f>
        <v>0</v>
      </c>
      <c r="P207" s="81">
        <f ca="1">P187*(INDEX(P$35:P$37,MATCH(Work_Codes!$I$50,$D$35:$D$37,0)))</f>
        <v>0</v>
      </c>
      <c r="Q207" s="81">
        <f ca="1">Q187*(INDEX(Q$35:Q$37,MATCH(Work_Codes!$I$50,$D$35:$D$37,0)))</f>
        <v>0</v>
      </c>
      <c r="R207" s="81">
        <f ca="1">R187*(INDEX(R$35:R$37,MATCH(Work_Codes!$I$50,$D$35:$D$37,0)))</f>
        <v>0</v>
      </c>
      <c r="S207" s="81">
        <f ca="1">S187*(INDEX(S$35:S$37,MATCH(Work_Codes!$I$50,$D$35:$D$37,0)))</f>
        <v>0</v>
      </c>
      <c r="T207" s="81">
        <f ca="1">T187*(INDEX(T$35:T$37,MATCH(Work_Codes!$I$50,$D$35:$D$37,0)))</f>
        <v>0</v>
      </c>
    </row>
    <row r="208" spans="4:20" outlineLevel="2">
      <c r="E208" s="247" t="str">
        <f>GC!C53</f>
        <v>Distribution pipelines - post 1998</v>
      </c>
      <c r="F208" s="247"/>
      <c r="G208" s="247"/>
      <c r="H208" s="247"/>
      <c r="I208" s="247"/>
      <c r="J208" s="81">
        <f ca="1">J188*(INDEX(J$35:J$37,MATCH(Work_Codes!$I$50,$D$35:$D$37,0)))</f>
        <v>0</v>
      </c>
      <c r="K208" s="81">
        <f ca="1">K188*(INDEX(K$35:K$37,MATCH(Work_Codes!$I$50,$D$35:$D$37,0)))</f>
        <v>0</v>
      </c>
      <c r="L208" s="81">
        <f ca="1">L188*(INDEX(L$35:L$37,MATCH(Work_Codes!$I$50,$D$35:$D$37,0)))</f>
        <v>0</v>
      </c>
      <c r="M208" s="81">
        <f ca="1">M188*(INDEX(M$35:M$37,MATCH(Work_Codes!$I$50,$D$35:$D$37,0)))</f>
        <v>0</v>
      </c>
      <c r="N208" s="81">
        <f ca="1">N188*(INDEX(N$35:N$37,MATCH(Work_Codes!$I$50,$D$35:$D$37,0)))</f>
        <v>7483.8707959902222</v>
      </c>
      <c r="O208" s="81">
        <f ca="1">O188*(INDEX(O$35:O$37,MATCH(Work_Codes!$I$50,$D$35:$D$37,0)))</f>
        <v>33290.886693082197</v>
      </c>
      <c r="P208" s="81">
        <f ca="1">P188*(INDEX(P$35:P$37,MATCH(Work_Codes!$I$50,$D$35:$D$37,0)))</f>
        <v>25157.791415167922</v>
      </c>
      <c r="Q208" s="81">
        <f ca="1">Q188*(INDEX(Q$35:Q$37,MATCH(Work_Codes!$I$50,$D$35:$D$37,0)))</f>
        <v>41075.153926904997</v>
      </c>
      <c r="R208" s="81">
        <f ca="1">R188*(INDEX(R$35:R$37,MATCH(Work_Codes!$I$50,$D$35:$D$37,0)))</f>
        <v>83740.310246296242</v>
      </c>
      <c r="S208" s="81">
        <f ca="1">S188*(INDEX(S$35:S$37,MATCH(Work_Codes!$I$50,$D$35:$D$37,0)))</f>
        <v>127351.39902483116</v>
      </c>
      <c r="T208" s="81">
        <f ca="1">T188*(INDEX(T$35:T$37,MATCH(Work_Codes!$I$50,$D$35:$D$37,0)))</f>
        <v>99272.834993953831</v>
      </c>
    </row>
    <row r="209" spans="4:20" outlineLevel="2">
      <c r="E209" s="247" t="str">
        <f>GC!C54</f>
        <v>Service pipes - post 1998</v>
      </c>
      <c r="F209" s="247"/>
      <c r="G209" s="247"/>
      <c r="H209" s="247"/>
      <c r="I209" s="247"/>
      <c r="J209" s="81">
        <f ca="1">J189*(INDEX(J$35:J$37,MATCH(Work_Codes!$I$50,$D$35:$D$37,0)))</f>
        <v>0</v>
      </c>
      <c r="K209" s="81">
        <f ca="1">K189*(INDEX(K$35:K$37,MATCH(Work_Codes!$I$50,$D$35:$D$37,0)))</f>
        <v>0</v>
      </c>
      <c r="L209" s="81">
        <f ca="1">L189*(INDEX(L$35:L$37,MATCH(Work_Codes!$I$50,$D$35:$D$37,0)))</f>
        <v>0</v>
      </c>
      <c r="M209" s="81">
        <f ca="1">M189*(INDEX(M$35:M$37,MATCH(Work_Codes!$I$50,$D$35:$D$37,0)))</f>
        <v>0</v>
      </c>
      <c r="N209" s="81">
        <f ca="1">N189*(INDEX(N$35:N$37,MATCH(Work_Codes!$I$50,$D$35:$D$37,0)))</f>
        <v>7483.8707959902222</v>
      </c>
      <c r="O209" s="81">
        <f ca="1">O189*(INDEX(O$35:O$37,MATCH(Work_Codes!$I$50,$D$35:$D$37,0)))</f>
        <v>33290.886693082197</v>
      </c>
      <c r="P209" s="81">
        <f ca="1">P189*(INDEX(P$35:P$37,MATCH(Work_Codes!$I$50,$D$35:$D$37,0)))</f>
        <v>25157.791415167922</v>
      </c>
      <c r="Q209" s="81">
        <f ca="1">Q189*(INDEX(Q$35:Q$37,MATCH(Work_Codes!$I$50,$D$35:$D$37,0)))</f>
        <v>41075.153926904997</v>
      </c>
      <c r="R209" s="81">
        <f ca="1">R189*(INDEX(R$35:R$37,MATCH(Work_Codes!$I$50,$D$35:$D$37,0)))</f>
        <v>83740.310246296242</v>
      </c>
      <c r="S209" s="81">
        <f ca="1">S189*(INDEX(S$35:S$37,MATCH(Work_Codes!$I$50,$D$35:$D$37,0)))</f>
        <v>127351.39902483116</v>
      </c>
      <c r="T209" s="81">
        <f ca="1">T189*(INDEX(T$35:T$37,MATCH(Work_Codes!$I$50,$D$35:$D$37,0)))</f>
        <v>99272.834993953831</v>
      </c>
    </row>
    <row r="210" spans="4:20" outlineLevel="2">
      <c r="E210" s="247" t="str">
        <f>GC!C55</f>
        <v>Cathodic protection - post 1998</v>
      </c>
      <c r="F210" s="247"/>
      <c r="G210" s="247"/>
      <c r="H210" s="247"/>
      <c r="I210" s="247"/>
      <c r="J210" s="81">
        <f ca="1">J190*(INDEX(J$35:J$37,MATCH(Work_Codes!$I$50,$D$35:$D$37,0)))</f>
        <v>0</v>
      </c>
      <c r="K210" s="81">
        <f ca="1">K190*(INDEX(K$35:K$37,MATCH(Work_Codes!$I$50,$D$35:$D$37,0)))</f>
        <v>0</v>
      </c>
      <c r="L210" s="81">
        <f ca="1">L190*(INDEX(L$35:L$37,MATCH(Work_Codes!$I$50,$D$35:$D$37,0)))</f>
        <v>0</v>
      </c>
      <c r="M210" s="81">
        <f ca="1">M190*(INDEX(M$35:M$37,MATCH(Work_Codes!$I$50,$D$35:$D$37,0)))</f>
        <v>0</v>
      </c>
      <c r="N210" s="81">
        <f ca="1">N190*(INDEX(N$35:N$37,MATCH(Work_Codes!$I$50,$D$35:$D$37,0)))</f>
        <v>0</v>
      </c>
      <c r="O210" s="81">
        <f ca="1">O190*(INDEX(O$35:O$37,MATCH(Work_Codes!$I$50,$D$35:$D$37,0)))</f>
        <v>0</v>
      </c>
      <c r="P210" s="81">
        <f ca="1">P190*(INDEX(P$35:P$37,MATCH(Work_Codes!$I$50,$D$35:$D$37,0)))</f>
        <v>0</v>
      </c>
      <c r="Q210" s="81">
        <f ca="1">Q190*(INDEX(Q$35:Q$37,MATCH(Work_Codes!$I$50,$D$35:$D$37,0)))</f>
        <v>0</v>
      </c>
      <c r="R210" s="81">
        <f ca="1">R190*(INDEX(R$35:R$37,MATCH(Work_Codes!$I$50,$D$35:$D$37,0)))</f>
        <v>0</v>
      </c>
      <c r="S210" s="81">
        <f ca="1">S190*(INDEX(S$35:S$37,MATCH(Work_Codes!$I$50,$D$35:$D$37,0)))</f>
        <v>0</v>
      </c>
      <c r="T210" s="81">
        <f ca="1">T190*(INDEX(T$35:T$37,MATCH(Work_Codes!$I$50,$D$35:$D$37,0)))</f>
        <v>0</v>
      </c>
    </row>
    <row r="211" spans="4:20" outlineLevel="2">
      <c r="E211" s="249" t="str">
        <f>"Total "&amp;D193</f>
        <v>Total Overheads</v>
      </c>
      <c r="F211" s="249"/>
      <c r="G211" s="249"/>
      <c r="H211" s="249"/>
      <c r="I211" s="249"/>
      <c r="J211" s="82">
        <f t="shared" ref="J211:T211" ca="1" si="27">SUM(J195:J210)</f>
        <v>0</v>
      </c>
      <c r="K211" s="82">
        <f t="shared" ca="1" si="27"/>
        <v>0</v>
      </c>
      <c r="L211" s="82">
        <f t="shared" ca="1" si="27"/>
        <v>0</v>
      </c>
      <c r="M211" s="82">
        <f t="shared" ca="1" si="27"/>
        <v>0</v>
      </c>
      <c r="N211" s="82">
        <f t="shared" ca="1" si="27"/>
        <v>14967.741591980444</v>
      </c>
      <c r="O211" s="82">
        <f t="shared" ca="1" si="27"/>
        <v>66581.773386164394</v>
      </c>
      <c r="P211" s="82">
        <f t="shared" ca="1" si="27"/>
        <v>50315.582830335843</v>
      </c>
      <c r="Q211" s="82">
        <f t="shared" ca="1" si="27"/>
        <v>82150.307853809994</v>
      </c>
      <c r="R211" s="82">
        <f t="shared" ca="1" si="27"/>
        <v>167480.62049259248</v>
      </c>
      <c r="S211" s="82">
        <f t="shared" ca="1" si="27"/>
        <v>254702.79804966232</v>
      </c>
      <c r="T211" s="82">
        <f t="shared" ca="1" si="27"/>
        <v>198545.66998790766</v>
      </c>
    </row>
    <row r="212" spans="4:20" outlineLevel="2"/>
    <row r="213" spans="4:20" outlineLevel="2">
      <c r="D213" s="37" t="s">
        <v>216</v>
      </c>
    </row>
    <row r="214" spans="4:20" ht="5.9" customHeight="1" outlineLevel="2"/>
    <row r="215" spans="4:20" ht="11.5" customHeight="1" outlineLevel="2">
      <c r="E215" s="247" t="str">
        <f>GC!C40</f>
        <v>Transmission pipelines</v>
      </c>
      <c r="F215" s="247"/>
      <c r="G215" s="247"/>
      <c r="H215" s="247"/>
      <c r="I215" s="247"/>
      <c r="J215" s="81">
        <f ca="1">J175*(1+INDEX(J$35:J$37,MATCH(Work_Codes!$I$50,$D$35:$D$37,0)))</f>
        <v>0</v>
      </c>
      <c r="K215" s="81">
        <f ca="1">K175*(1+INDEX(K$35:K$37,MATCH(Work_Codes!$I$50,$D$35:$D$37,0)))</f>
        <v>0</v>
      </c>
      <c r="L215" s="81">
        <f ca="1">L175*(1+INDEX(L$35:L$37,MATCH(Work_Codes!$I$50,$D$35:$D$37,0)))</f>
        <v>0</v>
      </c>
      <c r="M215" s="81">
        <f ca="1">M175*(1+INDEX(M$35:M$37,MATCH(Work_Codes!$I$50,$D$35:$D$37,0)))</f>
        <v>0</v>
      </c>
      <c r="N215" s="81">
        <f ca="1">N175*(1+INDEX(N$35:N$37,MATCH(Work_Codes!$I$50,$D$35:$D$37,0)))</f>
        <v>0</v>
      </c>
      <c r="O215" s="81">
        <f ca="1">O175*(1+INDEX(O$35:O$37,MATCH(Work_Codes!$I$50,$D$35:$D$37,0)))</f>
        <v>0</v>
      </c>
      <c r="P215" s="81">
        <f ca="1">P175*(1+INDEX(P$35:P$37,MATCH(Work_Codes!$I$50,$D$35:$D$37,0)))</f>
        <v>0</v>
      </c>
      <c r="Q215" s="81">
        <f ca="1">Q175*(1+INDEX(Q$35:Q$37,MATCH(Work_Codes!$I$50,$D$35:$D$37,0)))</f>
        <v>0</v>
      </c>
      <c r="R215" s="81">
        <f ca="1">R175*(1+INDEX(R$35:R$37,MATCH(Work_Codes!$I$50,$D$35:$D$37,0)))</f>
        <v>0</v>
      </c>
      <c r="S215" s="81">
        <f ca="1">S175*(1+INDEX(S$35:S$37,MATCH(Work_Codes!$I$50,$D$35:$D$37,0)))</f>
        <v>0</v>
      </c>
      <c r="T215" s="81">
        <f ca="1">T175*(1+INDEX(T$35:T$37,MATCH(Work_Codes!$I$50,$D$35:$D$37,0)))</f>
        <v>0</v>
      </c>
    </row>
    <row r="216" spans="4:20" ht="11.5" customHeight="1" outlineLevel="2">
      <c r="E216" s="247" t="str">
        <f>GC!C41</f>
        <v>Distribution pipelines</v>
      </c>
      <c r="F216" s="247"/>
      <c r="G216" s="247"/>
      <c r="H216" s="247"/>
      <c r="I216" s="247"/>
      <c r="J216" s="81">
        <f ca="1">J176*(1+INDEX(J$35:J$37,MATCH(Work_Codes!$I$50,$D$35:$D$37,0)))</f>
        <v>0</v>
      </c>
      <c r="K216" s="81">
        <f ca="1">K176*(1+INDEX(K$35:K$37,MATCH(Work_Codes!$I$50,$D$35:$D$37,0)))</f>
        <v>0</v>
      </c>
      <c r="L216" s="81">
        <f ca="1">L176*(1+INDEX(L$35:L$37,MATCH(Work_Codes!$I$50,$D$35:$D$37,0)))</f>
        <v>0</v>
      </c>
      <c r="M216" s="81">
        <f ca="1">M176*(1+INDEX(M$35:M$37,MATCH(Work_Codes!$I$50,$D$35:$D$37,0)))</f>
        <v>0</v>
      </c>
      <c r="N216" s="81">
        <f ca="1">N176*(1+INDEX(N$35:N$37,MATCH(Work_Codes!$I$50,$D$35:$D$37,0)))</f>
        <v>0</v>
      </c>
      <c r="O216" s="81">
        <f ca="1">O176*(1+INDEX(O$35:O$37,MATCH(Work_Codes!$I$50,$D$35:$D$37,0)))</f>
        <v>0</v>
      </c>
      <c r="P216" s="81">
        <f ca="1">P176*(1+INDEX(P$35:P$37,MATCH(Work_Codes!$I$50,$D$35:$D$37,0)))</f>
        <v>0</v>
      </c>
      <c r="Q216" s="81">
        <f ca="1">Q176*(1+INDEX(Q$35:Q$37,MATCH(Work_Codes!$I$50,$D$35:$D$37,0)))</f>
        <v>0</v>
      </c>
      <c r="R216" s="81">
        <f ca="1">R176*(1+INDEX(R$35:R$37,MATCH(Work_Codes!$I$50,$D$35:$D$37,0)))</f>
        <v>0</v>
      </c>
      <c r="S216" s="81">
        <f ca="1">S176*(1+INDEX(S$35:S$37,MATCH(Work_Codes!$I$50,$D$35:$D$37,0)))</f>
        <v>0</v>
      </c>
      <c r="T216" s="81">
        <f ca="1">T176*(1+INDEX(T$35:T$37,MATCH(Work_Codes!$I$50,$D$35:$D$37,0)))</f>
        <v>0</v>
      </c>
    </row>
    <row r="217" spans="4:20" ht="11.5" customHeight="1" outlineLevel="2">
      <c r="E217" s="247" t="str">
        <f>GC!C42</f>
        <v>Service pipes</v>
      </c>
      <c r="F217" s="247"/>
      <c r="G217" s="247"/>
      <c r="H217" s="247"/>
      <c r="I217" s="247"/>
      <c r="J217" s="81">
        <f ca="1">J177*(1+INDEX(J$35:J$37,MATCH(Work_Codes!$I$50,$D$35:$D$37,0)))</f>
        <v>0</v>
      </c>
      <c r="K217" s="81">
        <f ca="1">K177*(1+INDEX(K$35:K$37,MATCH(Work_Codes!$I$50,$D$35:$D$37,0)))</f>
        <v>0</v>
      </c>
      <c r="L217" s="81">
        <f ca="1">L177*(1+INDEX(L$35:L$37,MATCH(Work_Codes!$I$50,$D$35:$D$37,0)))</f>
        <v>0</v>
      </c>
      <c r="M217" s="81">
        <f ca="1">M177*(1+INDEX(M$35:M$37,MATCH(Work_Codes!$I$50,$D$35:$D$37,0)))</f>
        <v>0</v>
      </c>
      <c r="N217" s="81">
        <f ca="1">N177*(1+INDEX(N$35:N$37,MATCH(Work_Codes!$I$50,$D$35:$D$37,0)))</f>
        <v>0</v>
      </c>
      <c r="O217" s="81">
        <f ca="1">O177*(1+INDEX(O$35:O$37,MATCH(Work_Codes!$I$50,$D$35:$D$37,0)))</f>
        <v>0</v>
      </c>
      <c r="P217" s="81">
        <f ca="1">P177*(1+INDEX(P$35:P$37,MATCH(Work_Codes!$I$50,$D$35:$D$37,0)))</f>
        <v>0</v>
      </c>
      <c r="Q217" s="81">
        <f ca="1">Q177*(1+INDEX(Q$35:Q$37,MATCH(Work_Codes!$I$50,$D$35:$D$37,0)))</f>
        <v>0</v>
      </c>
      <c r="R217" s="81">
        <f ca="1">R177*(1+INDEX(R$35:R$37,MATCH(Work_Codes!$I$50,$D$35:$D$37,0)))</f>
        <v>0</v>
      </c>
      <c r="S217" s="81">
        <f ca="1">S177*(1+INDEX(S$35:S$37,MATCH(Work_Codes!$I$50,$D$35:$D$37,0)))</f>
        <v>0</v>
      </c>
      <c r="T217" s="81">
        <f ca="1">T177*(1+INDEX(T$35:T$37,MATCH(Work_Codes!$I$50,$D$35:$D$37,0)))</f>
        <v>0</v>
      </c>
    </row>
    <row r="218" spans="4:20" ht="11.5" customHeight="1" outlineLevel="2">
      <c r="E218" s="247" t="str">
        <f>GC!C43</f>
        <v>Cathodic protection</v>
      </c>
      <c r="F218" s="247"/>
      <c r="G218" s="247"/>
      <c r="H218" s="247"/>
      <c r="I218" s="247"/>
      <c r="J218" s="81">
        <f ca="1">J178*(1+INDEX(J$35:J$37,MATCH(Work_Codes!$I$50,$D$35:$D$37,0)))</f>
        <v>0</v>
      </c>
      <c r="K218" s="81">
        <f ca="1">K178*(1+INDEX(K$35:K$37,MATCH(Work_Codes!$I$50,$D$35:$D$37,0)))</f>
        <v>0</v>
      </c>
      <c r="L218" s="81">
        <f ca="1">L178*(1+INDEX(L$35:L$37,MATCH(Work_Codes!$I$50,$D$35:$D$37,0)))</f>
        <v>0</v>
      </c>
      <c r="M218" s="81">
        <f ca="1">M178*(1+INDEX(M$35:M$37,MATCH(Work_Codes!$I$50,$D$35:$D$37,0)))</f>
        <v>0</v>
      </c>
      <c r="N218" s="81">
        <f ca="1">N178*(1+INDEX(N$35:N$37,MATCH(Work_Codes!$I$50,$D$35:$D$37,0)))</f>
        <v>0</v>
      </c>
      <c r="O218" s="81">
        <f ca="1">O178*(1+INDEX(O$35:O$37,MATCH(Work_Codes!$I$50,$D$35:$D$37,0)))</f>
        <v>0</v>
      </c>
      <c r="P218" s="81">
        <f ca="1">P178*(1+INDEX(P$35:P$37,MATCH(Work_Codes!$I$50,$D$35:$D$37,0)))</f>
        <v>0</v>
      </c>
      <c r="Q218" s="81">
        <f ca="1">Q178*(1+INDEX(Q$35:Q$37,MATCH(Work_Codes!$I$50,$D$35:$D$37,0)))</f>
        <v>0</v>
      </c>
      <c r="R218" s="81">
        <f ca="1">R178*(1+INDEX(R$35:R$37,MATCH(Work_Codes!$I$50,$D$35:$D$37,0)))</f>
        <v>0</v>
      </c>
      <c r="S218" s="81">
        <f ca="1">S178*(1+INDEX(S$35:S$37,MATCH(Work_Codes!$I$50,$D$35:$D$37,0)))</f>
        <v>0</v>
      </c>
      <c r="T218" s="81">
        <f ca="1">T178*(1+INDEX(T$35:T$37,MATCH(Work_Codes!$I$50,$D$35:$D$37,0)))</f>
        <v>0</v>
      </c>
    </row>
    <row r="219" spans="4:20" ht="11.5" customHeight="1" outlineLevel="2">
      <c r="E219" s="247" t="str">
        <f>GC!C44</f>
        <v>Supply Regulators / Valve Stations</v>
      </c>
      <c r="F219" s="247"/>
      <c r="G219" s="247"/>
      <c r="H219" s="247"/>
      <c r="I219" s="247"/>
      <c r="J219" s="81">
        <f ca="1">J179*(1+INDEX(J$35:J$37,MATCH(Work_Codes!$I$50,$D$35:$D$37,0)))</f>
        <v>0</v>
      </c>
      <c r="K219" s="81">
        <f ca="1">K179*(1+INDEX(K$35:K$37,MATCH(Work_Codes!$I$50,$D$35:$D$37,0)))</f>
        <v>0</v>
      </c>
      <c r="L219" s="81">
        <f ca="1">L179*(1+INDEX(L$35:L$37,MATCH(Work_Codes!$I$50,$D$35:$D$37,0)))</f>
        <v>0</v>
      </c>
      <c r="M219" s="81">
        <f ca="1">M179*(1+INDEX(M$35:M$37,MATCH(Work_Codes!$I$50,$D$35:$D$37,0)))</f>
        <v>0</v>
      </c>
      <c r="N219" s="81">
        <f ca="1">N179*(1+INDEX(N$35:N$37,MATCH(Work_Codes!$I$50,$D$35:$D$37,0)))</f>
        <v>0</v>
      </c>
      <c r="O219" s="81">
        <f ca="1">O179*(1+INDEX(O$35:O$37,MATCH(Work_Codes!$I$50,$D$35:$D$37,0)))</f>
        <v>0</v>
      </c>
      <c r="P219" s="81">
        <f ca="1">P179*(1+INDEX(P$35:P$37,MATCH(Work_Codes!$I$50,$D$35:$D$37,0)))</f>
        <v>0</v>
      </c>
      <c r="Q219" s="81">
        <f ca="1">Q179*(1+INDEX(Q$35:Q$37,MATCH(Work_Codes!$I$50,$D$35:$D$37,0)))</f>
        <v>0</v>
      </c>
      <c r="R219" s="81">
        <f ca="1">R179*(1+INDEX(R$35:R$37,MATCH(Work_Codes!$I$50,$D$35:$D$37,0)))</f>
        <v>0</v>
      </c>
      <c r="S219" s="81">
        <f ca="1">S179*(1+INDEX(S$35:S$37,MATCH(Work_Codes!$I$50,$D$35:$D$37,0)))</f>
        <v>0</v>
      </c>
      <c r="T219" s="81">
        <f ca="1">T179*(1+INDEX(T$35:T$37,MATCH(Work_Codes!$I$50,$D$35:$D$37,0)))</f>
        <v>0</v>
      </c>
    </row>
    <row r="220" spans="4:20" ht="11.5" customHeight="1" outlineLevel="2">
      <c r="E220" s="247" t="str">
        <f>GC!C45</f>
        <v>Meters</v>
      </c>
      <c r="F220" s="247"/>
      <c r="G220" s="247"/>
      <c r="H220" s="247"/>
      <c r="I220" s="247"/>
      <c r="J220" s="81">
        <f ca="1">J180*(1+INDEX(J$35:J$37,MATCH(Work_Codes!$I$50,$D$35:$D$37,0)))</f>
        <v>0</v>
      </c>
      <c r="K220" s="81">
        <f ca="1">K180*(1+INDEX(K$35:K$37,MATCH(Work_Codes!$I$50,$D$35:$D$37,0)))</f>
        <v>0</v>
      </c>
      <c r="L220" s="81">
        <f ca="1">L180*(1+INDEX(L$35:L$37,MATCH(Work_Codes!$I$50,$D$35:$D$37,0)))</f>
        <v>0</v>
      </c>
      <c r="M220" s="81">
        <f ca="1">M180*(1+INDEX(M$35:M$37,MATCH(Work_Codes!$I$50,$D$35:$D$37,0)))</f>
        <v>0</v>
      </c>
      <c r="N220" s="81">
        <f ca="1">N180*(1+INDEX(N$35:N$37,MATCH(Work_Codes!$I$50,$D$35:$D$37,0)))</f>
        <v>0</v>
      </c>
      <c r="O220" s="81">
        <f ca="1">O180*(1+INDEX(O$35:O$37,MATCH(Work_Codes!$I$50,$D$35:$D$37,0)))</f>
        <v>0</v>
      </c>
      <c r="P220" s="81">
        <f ca="1">P180*(1+INDEX(P$35:P$37,MATCH(Work_Codes!$I$50,$D$35:$D$37,0)))</f>
        <v>0</v>
      </c>
      <c r="Q220" s="81">
        <f ca="1">Q180*(1+INDEX(Q$35:Q$37,MATCH(Work_Codes!$I$50,$D$35:$D$37,0)))</f>
        <v>0</v>
      </c>
      <c r="R220" s="81">
        <f ca="1">R180*(1+INDEX(R$35:R$37,MATCH(Work_Codes!$I$50,$D$35:$D$37,0)))</f>
        <v>0</v>
      </c>
      <c r="S220" s="81">
        <f ca="1">S180*(1+INDEX(S$35:S$37,MATCH(Work_Codes!$I$50,$D$35:$D$37,0)))</f>
        <v>0</v>
      </c>
      <c r="T220" s="81">
        <f ca="1">T180*(1+INDEX(T$35:T$37,MATCH(Work_Codes!$I$50,$D$35:$D$37,0)))</f>
        <v>0</v>
      </c>
    </row>
    <row r="221" spans="4:20" ht="11.5" customHeight="1" outlineLevel="2">
      <c r="E221" s="247" t="str">
        <f>GC!C46</f>
        <v>SCADA and remote control</v>
      </c>
      <c r="F221" s="247"/>
      <c r="G221" s="247"/>
      <c r="H221" s="247"/>
      <c r="I221" s="247"/>
      <c r="J221" s="81">
        <f ca="1">J181*(1+INDEX(J$35:J$37,MATCH(Work_Codes!$I$50,$D$35:$D$37,0)))</f>
        <v>0</v>
      </c>
      <c r="K221" s="81">
        <f ca="1">K181*(1+INDEX(K$35:K$37,MATCH(Work_Codes!$I$50,$D$35:$D$37,0)))</f>
        <v>0</v>
      </c>
      <c r="L221" s="81">
        <f ca="1">L181*(1+INDEX(L$35:L$37,MATCH(Work_Codes!$I$50,$D$35:$D$37,0)))</f>
        <v>0</v>
      </c>
      <c r="M221" s="81">
        <f ca="1">M181*(1+INDEX(M$35:M$37,MATCH(Work_Codes!$I$50,$D$35:$D$37,0)))</f>
        <v>0</v>
      </c>
      <c r="N221" s="81">
        <f ca="1">N181*(1+INDEX(N$35:N$37,MATCH(Work_Codes!$I$50,$D$35:$D$37,0)))</f>
        <v>0</v>
      </c>
      <c r="O221" s="81">
        <f ca="1">O181*(1+INDEX(O$35:O$37,MATCH(Work_Codes!$I$50,$D$35:$D$37,0)))</f>
        <v>0</v>
      </c>
      <c r="P221" s="81">
        <f ca="1">P181*(1+INDEX(P$35:P$37,MATCH(Work_Codes!$I$50,$D$35:$D$37,0)))</f>
        <v>0</v>
      </c>
      <c r="Q221" s="81">
        <f ca="1">Q181*(1+INDEX(Q$35:Q$37,MATCH(Work_Codes!$I$50,$D$35:$D$37,0)))</f>
        <v>0</v>
      </c>
      <c r="R221" s="81">
        <f ca="1">R181*(1+INDEX(R$35:R$37,MATCH(Work_Codes!$I$50,$D$35:$D$37,0)))</f>
        <v>0</v>
      </c>
      <c r="S221" s="81">
        <f ca="1">S181*(1+INDEX(S$35:S$37,MATCH(Work_Codes!$I$50,$D$35:$D$37,0)))</f>
        <v>0</v>
      </c>
      <c r="T221" s="81">
        <f ca="1">T181*(1+INDEX(T$35:T$37,MATCH(Work_Codes!$I$50,$D$35:$D$37,0)))</f>
        <v>0</v>
      </c>
    </row>
    <row r="222" spans="4:20" ht="11.5" customHeight="1" outlineLevel="2">
      <c r="E222" s="247" t="str">
        <f>GC!C47</f>
        <v>Buildings</v>
      </c>
      <c r="F222" s="247"/>
      <c r="G222" s="247"/>
      <c r="H222" s="247"/>
      <c r="I222" s="247"/>
      <c r="J222" s="81">
        <f ca="1">J182*(1+INDEX(J$35:J$37,MATCH(Work_Codes!$I$50,$D$35:$D$37,0)))</f>
        <v>0</v>
      </c>
      <c r="K222" s="81">
        <f ca="1">K182*(1+INDEX(K$35:K$37,MATCH(Work_Codes!$I$50,$D$35:$D$37,0)))</f>
        <v>0</v>
      </c>
      <c r="L222" s="81">
        <f ca="1">L182*(1+INDEX(L$35:L$37,MATCH(Work_Codes!$I$50,$D$35:$D$37,0)))</f>
        <v>0</v>
      </c>
      <c r="M222" s="81">
        <f ca="1">M182*(1+INDEX(M$35:M$37,MATCH(Work_Codes!$I$50,$D$35:$D$37,0)))</f>
        <v>0</v>
      </c>
      <c r="N222" s="81">
        <f ca="1">N182*(1+INDEX(N$35:N$37,MATCH(Work_Codes!$I$50,$D$35:$D$37,0)))</f>
        <v>0</v>
      </c>
      <c r="O222" s="81">
        <f ca="1">O182*(1+INDEX(O$35:O$37,MATCH(Work_Codes!$I$50,$D$35:$D$37,0)))</f>
        <v>0</v>
      </c>
      <c r="P222" s="81">
        <f ca="1">P182*(1+INDEX(P$35:P$37,MATCH(Work_Codes!$I$50,$D$35:$D$37,0)))</f>
        <v>0</v>
      </c>
      <c r="Q222" s="81">
        <f ca="1">Q182*(1+INDEX(Q$35:Q$37,MATCH(Work_Codes!$I$50,$D$35:$D$37,0)))</f>
        <v>0</v>
      </c>
      <c r="R222" s="81">
        <f ca="1">R182*(1+INDEX(R$35:R$37,MATCH(Work_Codes!$I$50,$D$35:$D$37,0)))</f>
        <v>0</v>
      </c>
      <c r="S222" s="81">
        <f ca="1">S182*(1+INDEX(S$35:S$37,MATCH(Work_Codes!$I$50,$D$35:$D$37,0)))</f>
        <v>0</v>
      </c>
      <c r="T222" s="81">
        <f ca="1">T182*(1+INDEX(T$35:T$37,MATCH(Work_Codes!$I$50,$D$35:$D$37,0)))</f>
        <v>0</v>
      </c>
    </row>
    <row r="223" spans="4:20" ht="11.5" customHeight="1" outlineLevel="2">
      <c r="E223" s="247" t="str">
        <f>GC!C48</f>
        <v>Other - IT</v>
      </c>
      <c r="F223" s="247"/>
      <c r="G223" s="247"/>
      <c r="H223" s="247"/>
      <c r="I223" s="247"/>
      <c r="J223" s="81">
        <f ca="1">J183*(1+INDEX(J$35:J$37,MATCH(Work_Codes!$I$50,$D$35:$D$37,0)))</f>
        <v>0</v>
      </c>
      <c r="K223" s="81">
        <f ca="1">K183*(1+INDEX(K$35:K$37,MATCH(Work_Codes!$I$50,$D$35:$D$37,0)))</f>
        <v>0</v>
      </c>
      <c r="L223" s="81">
        <f ca="1">L183*(1+INDEX(L$35:L$37,MATCH(Work_Codes!$I$50,$D$35:$D$37,0)))</f>
        <v>0</v>
      </c>
      <c r="M223" s="81">
        <f ca="1">M183*(1+INDEX(M$35:M$37,MATCH(Work_Codes!$I$50,$D$35:$D$37,0)))</f>
        <v>0</v>
      </c>
      <c r="N223" s="81">
        <f ca="1">N183*(1+INDEX(N$35:N$37,MATCH(Work_Codes!$I$50,$D$35:$D$37,0)))</f>
        <v>0</v>
      </c>
      <c r="O223" s="81">
        <f ca="1">O183*(1+INDEX(O$35:O$37,MATCH(Work_Codes!$I$50,$D$35:$D$37,0)))</f>
        <v>0</v>
      </c>
      <c r="P223" s="81">
        <f ca="1">P183*(1+INDEX(P$35:P$37,MATCH(Work_Codes!$I$50,$D$35:$D$37,0)))</f>
        <v>0</v>
      </c>
      <c r="Q223" s="81">
        <f ca="1">Q183*(1+INDEX(Q$35:Q$37,MATCH(Work_Codes!$I$50,$D$35:$D$37,0)))</f>
        <v>0</v>
      </c>
      <c r="R223" s="81">
        <f ca="1">R183*(1+INDEX(R$35:R$37,MATCH(Work_Codes!$I$50,$D$35:$D$37,0)))</f>
        <v>0</v>
      </c>
      <c r="S223" s="81">
        <f ca="1">S183*(1+INDEX(S$35:S$37,MATCH(Work_Codes!$I$50,$D$35:$D$37,0)))</f>
        <v>0</v>
      </c>
      <c r="T223" s="81">
        <f ca="1">T183*(1+INDEX(T$35:T$37,MATCH(Work_Codes!$I$50,$D$35:$D$37,0)))</f>
        <v>0</v>
      </c>
    </row>
    <row r="224" spans="4:20" ht="11.5" customHeight="1" outlineLevel="2">
      <c r="E224" s="247" t="str">
        <f>GC!C49</f>
        <v>Other - non IT</v>
      </c>
      <c r="F224" s="247"/>
      <c r="G224" s="247"/>
      <c r="H224" s="247"/>
      <c r="I224" s="247"/>
      <c r="J224" s="81">
        <f ca="1">J184*(1+INDEX(J$35:J$37,MATCH(Work_Codes!$I$50,$D$35:$D$37,0)))</f>
        <v>0</v>
      </c>
      <c r="K224" s="81">
        <f ca="1">K184*(1+INDEX(K$35:K$37,MATCH(Work_Codes!$I$50,$D$35:$D$37,0)))</f>
        <v>0</v>
      </c>
      <c r="L224" s="81">
        <f ca="1">L184*(1+INDEX(L$35:L$37,MATCH(Work_Codes!$I$50,$D$35:$D$37,0)))</f>
        <v>0</v>
      </c>
      <c r="M224" s="81">
        <f ca="1">M184*(1+INDEX(M$35:M$37,MATCH(Work_Codes!$I$50,$D$35:$D$37,0)))</f>
        <v>0</v>
      </c>
      <c r="N224" s="81">
        <f ca="1">N184*(1+INDEX(N$35:N$37,MATCH(Work_Codes!$I$50,$D$35:$D$37,0)))</f>
        <v>0</v>
      </c>
      <c r="O224" s="81">
        <f ca="1">O184*(1+INDEX(O$35:O$37,MATCH(Work_Codes!$I$50,$D$35:$D$37,0)))</f>
        <v>0</v>
      </c>
      <c r="P224" s="81">
        <f ca="1">P184*(1+INDEX(P$35:P$37,MATCH(Work_Codes!$I$50,$D$35:$D$37,0)))</f>
        <v>0</v>
      </c>
      <c r="Q224" s="81">
        <f ca="1">Q184*(1+INDEX(Q$35:Q$37,MATCH(Work_Codes!$I$50,$D$35:$D$37,0)))</f>
        <v>0</v>
      </c>
      <c r="R224" s="81">
        <f ca="1">R184*(1+INDEX(R$35:R$37,MATCH(Work_Codes!$I$50,$D$35:$D$37,0)))</f>
        <v>0</v>
      </c>
      <c r="S224" s="81">
        <f ca="1">S184*(1+INDEX(S$35:S$37,MATCH(Work_Codes!$I$50,$D$35:$D$37,0)))</f>
        <v>0</v>
      </c>
      <c r="T224" s="81">
        <f ca="1">T184*(1+INDEX(T$35:T$37,MATCH(Work_Codes!$I$50,$D$35:$D$37,0)))</f>
        <v>0</v>
      </c>
    </row>
    <row r="225" spans="4:20" ht="11.5" customHeight="1" outlineLevel="2">
      <c r="E225" s="247" t="str">
        <f>GC!C50</f>
        <v>Land</v>
      </c>
      <c r="F225" s="247"/>
      <c r="G225" s="247"/>
      <c r="H225" s="247"/>
      <c r="I225" s="247"/>
      <c r="J225" s="81">
        <f ca="1">J185*(1+INDEX(J$35:J$37,MATCH(Work_Codes!$I$50,$D$35:$D$37,0)))</f>
        <v>0</v>
      </c>
      <c r="K225" s="81">
        <f ca="1">K185*(1+INDEX(K$35:K$37,MATCH(Work_Codes!$I$50,$D$35:$D$37,0)))</f>
        <v>0</v>
      </c>
      <c r="L225" s="81">
        <f ca="1">L185*(1+INDEX(L$35:L$37,MATCH(Work_Codes!$I$50,$D$35:$D$37,0)))</f>
        <v>0</v>
      </c>
      <c r="M225" s="81">
        <f ca="1">M185*(1+INDEX(M$35:M$37,MATCH(Work_Codes!$I$50,$D$35:$D$37,0)))</f>
        <v>0</v>
      </c>
      <c r="N225" s="81">
        <f ca="1">N185*(1+INDEX(N$35:N$37,MATCH(Work_Codes!$I$50,$D$35:$D$37,0)))</f>
        <v>0</v>
      </c>
      <c r="O225" s="81">
        <f ca="1">O185*(1+INDEX(O$35:O$37,MATCH(Work_Codes!$I$50,$D$35:$D$37,0)))</f>
        <v>0</v>
      </c>
      <c r="P225" s="81">
        <f ca="1">P185*(1+INDEX(P$35:P$37,MATCH(Work_Codes!$I$50,$D$35:$D$37,0)))</f>
        <v>0</v>
      </c>
      <c r="Q225" s="81">
        <f ca="1">Q185*(1+INDEX(Q$35:Q$37,MATCH(Work_Codes!$I$50,$D$35:$D$37,0)))</f>
        <v>0</v>
      </c>
      <c r="R225" s="81">
        <f ca="1">R185*(1+INDEX(R$35:R$37,MATCH(Work_Codes!$I$50,$D$35:$D$37,0)))</f>
        <v>0</v>
      </c>
      <c r="S225" s="81">
        <f ca="1">S185*(1+INDEX(S$35:S$37,MATCH(Work_Codes!$I$50,$D$35:$D$37,0)))</f>
        <v>0</v>
      </c>
      <c r="T225" s="81">
        <f ca="1">T185*(1+INDEX(T$35:T$37,MATCH(Work_Codes!$I$50,$D$35:$D$37,0)))</f>
        <v>0</v>
      </c>
    </row>
    <row r="226" spans="4:20" outlineLevel="2">
      <c r="E226" s="247" t="str">
        <f>GC!C51</f>
        <v>Capitalised Leases</v>
      </c>
      <c r="F226" s="247"/>
      <c r="G226" s="247"/>
      <c r="H226" s="247"/>
      <c r="I226" s="247"/>
      <c r="J226" s="81">
        <f ca="1">J186*(1+INDEX(J$35:J$37,MATCH(Work_Codes!$I$50,$D$35:$D$37,0)))</f>
        <v>0</v>
      </c>
      <c r="K226" s="81">
        <f ca="1">K186*(1+INDEX(K$35:K$37,MATCH(Work_Codes!$I$50,$D$35:$D$37,0)))</f>
        <v>0</v>
      </c>
      <c r="L226" s="81">
        <f ca="1">L186*(1+INDEX(L$35:L$37,MATCH(Work_Codes!$I$50,$D$35:$D$37,0)))</f>
        <v>0</v>
      </c>
      <c r="M226" s="81">
        <f ca="1">M186*(1+INDEX(M$35:M$37,MATCH(Work_Codes!$I$50,$D$35:$D$37,0)))</f>
        <v>0</v>
      </c>
      <c r="N226" s="81">
        <f ca="1">N186*(1+INDEX(N$35:N$37,MATCH(Work_Codes!$I$50,$D$35:$D$37,0)))</f>
        <v>0</v>
      </c>
      <c r="O226" s="81">
        <f ca="1">O186*(1+INDEX(O$35:O$37,MATCH(Work_Codes!$I$50,$D$35:$D$37,0)))</f>
        <v>0</v>
      </c>
      <c r="P226" s="81">
        <f ca="1">P186*(1+INDEX(P$35:P$37,MATCH(Work_Codes!$I$50,$D$35:$D$37,0)))</f>
        <v>0</v>
      </c>
      <c r="Q226" s="81">
        <f ca="1">Q186*(1+INDEX(Q$35:Q$37,MATCH(Work_Codes!$I$50,$D$35:$D$37,0)))</f>
        <v>0</v>
      </c>
      <c r="R226" s="81">
        <f ca="1">R186*(1+INDEX(R$35:R$37,MATCH(Work_Codes!$I$50,$D$35:$D$37,0)))</f>
        <v>0</v>
      </c>
      <c r="S226" s="81">
        <f ca="1">S186*(1+INDEX(S$35:S$37,MATCH(Work_Codes!$I$50,$D$35:$D$37,0)))</f>
        <v>0</v>
      </c>
      <c r="T226" s="81">
        <f ca="1">T186*(1+INDEX(T$35:T$37,MATCH(Work_Codes!$I$50,$D$35:$D$37,0)))</f>
        <v>0</v>
      </c>
    </row>
    <row r="227" spans="4:20" outlineLevel="2">
      <c r="E227" s="247" t="str">
        <f>GC!C52</f>
        <v>Transmission pipelines - post 1998</v>
      </c>
      <c r="F227" s="247"/>
      <c r="G227" s="247"/>
      <c r="H227" s="247"/>
      <c r="I227" s="247"/>
      <c r="J227" s="81">
        <f ca="1">J187*(1+INDEX(J$35:J$37,MATCH(Work_Codes!$I$50,$D$35:$D$37,0)))</f>
        <v>0</v>
      </c>
      <c r="K227" s="81">
        <f ca="1">K187*(1+INDEX(K$35:K$37,MATCH(Work_Codes!$I$50,$D$35:$D$37,0)))</f>
        <v>0</v>
      </c>
      <c r="L227" s="81">
        <f ca="1">L187*(1+INDEX(L$35:L$37,MATCH(Work_Codes!$I$50,$D$35:$D$37,0)))</f>
        <v>0</v>
      </c>
      <c r="M227" s="81">
        <f ca="1">M187*(1+INDEX(M$35:M$37,MATCH(Work_Codes!$I$50,$D$35:$D$37,0)))</f>
        <v>0</v>
      </c>
      <c r="N227" s="81">
        <f ca="1">N187*(1+INDEX(N$35:N$37,MATCH(Work_Codes!$I$50,$D$35:$D$37,0)))</f>
        <v>0</v>
      </c>
      <c r="O227" s="81">
        <f ca="1">O187*(1+INDEX(O$35:O$37,MATCH(Work_Codes!$I$50,$D$35:$D$37,0)))</f>
        <v>0</v>
      </c>
      <c r="P227" s="81">
        <f ca="1">P187*(1+INDEX(P$35:P$37,MATCH(Work_Codes!$I$50,$D$35:$D$37,0)))</f>
        <v>0</v>
      </c>
      <c r="Q227" s="81">
        <f ca="1">Q187*(1+INDEX(Q$35:Q$37,MATCH(Work_Codes!$I$50,$D$35:$D$37,0)))</f>
        <v>0</v>
      </c>
      <c r="R227" s="81">
        <f ca="1">R187*(1+INDEX(R$35:R$37,MATCH(Work_Codes!$I$50,$D$35:$D$37,0)))</f>
        <v>0</v>
      </c>
      <c r="S227" s="81">
        <f ca="1">S187*(1+INDEX(S$35:S$37,MATCH(Work_Codes!$I$50,$D$35:$D$37,0)))</f>
        <v>0</v>
      </c>
      <c r="T227" s="81">
        <f ca="1">T187*(1+INDEX(T$35:T$37,MATCH(Work_Codes!$I$50,$D$35:$D$37,0)))</f>
        <v>0</v>
      </c>
    </row>
    <row r="228" spans="4:20" outlineLevel="2">
      <c r="E228" s="247" t="str">
        <f>GC!C53</f>
        <v>Distribution pipelines - post 1998</v>
      </c>
      <c r="F228" s="247"/>
      <c r="G228" s="247"/>
      <c r="H228" s="247"/>
      <c r="I228" s="247"/>
      <c r="J228" s="81">
        <f ca="1">J188*(1+INDEX(J$35:J$37,MATCH(Work_Codes!$I$50,$D$35:$D$37,0)))</f>
        <v>0</v>
      </c>
      <c r="K228" s="81">
        <f ca="1">K188*(1+INDEX(K$35:K$37,MATCH(Work_Codes!$I$50,$D$35:$D$37,0)))</f>
        <v>0</v>
      </c>
      <c r="L228" s="81">
        <f ca="1">L188*(1+INDEX(L$35:L$37,MATCH(Work_Codes!$I$50,$D$35:$D$37,0)))</f>
        <v>0</v>
      </c>
      <c r="M228" s="81">
        <f ca="1">M188*(1+INDEX(M$35:M$37,MATCH(Work_Codes!$I$50,$D$35:$D$37,0)))</f>
        <v>0</v>
      </c>
      <c r="N228" s="81">
        <f ca="1">N188*(1+INDEX(N$35:N$37,MATCH(Work_Codes!$I$50,$D$35:$D$37,0)))</f>
        <v>205937.08950731051</v>
      </c>
      <c r="O228" s="81">
        <f ca="1">O188*(1+INDEX(O$35:O$37,MATCH(Work_Codes!$I$50,$D$35:$D$37,0)))</f>
        <v>1033498.7236359676</v>
      </c>
      <c r="P228" s="81">
        <f ca="1">P188*(1+INDEX(P$35:P$37,MATCH(Work_Codes!$I$50,$D$35:$D$37,0)))</f>
        <v>965542.4459628535</v>
      </c>
      <c r="Q228" s="81">
        <f ca="1">Q188*(1+INDEX(Q$35:Q$37,MATCH(Work_Codes!$I$50,$D$35:$D$37,0)))</f>
        <v>1617215.9130295946</v>
      </c>
      <c r="R228" s="81">
        <f ca="1">R188*(1+INDEX(R$35:R$37,MATCH(Work_Codes!$I$50,$D$35:$D$37,0)))</f>
        <v>3199890.0362939364</v>
      </c>
      <c r="S228" s="81">
        <f ca="1">S188*(1+INDEX(S$35:S$37,MATCH(Work_Codes!$I$50,$D$35:$D$37,0)))</f>
        <v>4588592.9314056281</v>
      </c>
      <c r="T228" s="81">
        <f ca="1">T188*(1+INDEX(T$35:T$37,MATCH(Work_Codes!$I$50,$D$35:$D$37,0)))</f>
        <v>3417173.2411366235</v>
      </c>
    </row>
    <row r="229" spans="4:20" outlineLevel="2">
      <c r="E229" s="247" t="str">
        <f>GC!C54</f>
        <v>Service pipes - post 1998</v>
      </c>
      <c r="F229" s="247"/>
      <c r="G229" s="247"/>
      <c r="H229" s="247"/>
      <c r="I229" s="247"/>
      <c r="J229" s="81">
        <f ca="1">J189*(1+INDEX(J$35:J$37,MATCH(Work_Codes!$I$50,$D$35:$D$37,0)))</f>
        <v>0</v>
      </c>
      <c r="K229" s="81">
        <f ca="1">K189*(1+INDEX(K$35:K$37,MATCH(Work_Codes!$I$50,$D$35:$D$37,0)))</f>
        <v>0</v>
      </c>
      <c r="L229" s="81">
        <f ca="1">L189*(1+INDEX(L$35:L$37,MATCH(Work_Codes!$I$50,$D$35:$D$37,0)))</f>
        <v>0</v>
      </c>
      <c r="M229" s="81">
        <f ca="1">M189*(1+INDEX(M$35:M$37,MATCH(Work_Codes!$I$50,$D$35:$D$37,0)))</f>
        <v>0</v>
      </c>
      <c r="N229" s="81">
        <f ca="1">N189*(1+INDEX(N$35:N$37,MATCH(Work_Codes!$I$50,$D$35:$D$37,0)))</f>
        <v>205937.08950731051</v>
      </c>
      <c r="O229" s="81">
        <f ca="1">O189*(1+INDEX(O$35:O$37,MATCH(Work_Codes!$I$50,$D$35:$D$37,0)))</f>
        <v>1033498.7236359676</v>
      </c>
      <c r="P229" s="81">
        <f ca="1">P189*(1+INDEX(P$35:P$37,MATCH(Work_Codes!$I$50,$D$35:$D$37,0)))</f>
        <v>965542.4459628535</v>
      </c>
      <c r="Q229" s="81">
        <f ca="1">Q189*(1+INDEX(Q$35:Q$37,MATCH(Work_Codes!$I$50,$D$35:$D$37,0)))</f>
        <v>1617215.9130295946</v>
      </c>
      <c r="R229" s="81">
        <f ca="1">R189*(1+INDEX(R$35:R$37,MATCH(Work_Codes!$I$50,$D$35:$D$37,0)))</f>
        <v>3199890.0362939364</v>
      </c>
      <c r="S229" s="81">
        <f ca="1">S189*(1+INDEX(S$35:S$37,MATCH(Work_Codes!$I$50,$D$35:$D$37,0)))</f>
        <v>4588592.9314056281</v>
      </c>
      <c r="T229" s="81">
        <f ca="1">T189*(1+INDEX(T$35:T$37,MATCH(Work_Codes!$I$50,$D$35:$D$37,0)))</f>
        <v>3417173.2411366235</v>
      </c>
    </row>
    <row r="230" spans="4:20" outlineLevel="2">
      <c r="E230" s="247" t="str">
        <f>GC!C55</f>
        <v>Cathodic protection - post 1998</v>
      </c>
      <c r="F230" s="247"/>
      <c r="G230" s="247"/>
      <c r="H230" s="247"/>
      <c r="I230" s="247"/>
      <c r="J230" s="81">
        <f ca="1">J190*(1+INDEX(J$35:J$37,MATCH(Work_Codes!$I$50,$D$35:$D$37,0)))</f>
        <v>0</v>
      </c>
      <c r="K230" s="81">
        <f ca="1">K190*(1+INDEX(K$35:K$37,MATCH(Work_Codes!$I$50,$D$35:$D$37,0)))</f>
        <v>0</v>
      </c>
      <c r="L230" s="81">
        <f ca="1">L190*(1+INDEX(L$35:L$37,MATCH(Work_Codes!$I$50,$D$35:$D$37,0)))</f>
        <v>0</v>
      </c>
      <c r="M230" s="81">
        <f ca="1">M190*(1+INDEX(M$35:M$37,MATCH(Work_Codes!$I$50,$D$35:$D$37,0)))</f>
        <v>0</v>
      </c>
      <c r="N230" s="81">
        <f ca="1">N190*(1+INDEX(N$35:N$37,MATCH(Work_Codes!$I$50,$D$35:$D$37,0)))</f>
        <v>0</v>
      </c>
      <c r="O230" s="81">
        <f ca="1">O190*(1+INDEX(O$35:O$37,MATCH(Work_Codes!$I$50,$D$35:$D$37,0)))</f>
        <v>0</v>
      </c>
      <c r="P230" s="81">
        <f ca="1">P190*(1+INDEX(P$35:P$37,MATCH(Work_Codes!$I$50,$D$35:$D$37,0)))</f>
        <v>0</v>
      </c>
      <c r="Q230" s="81">
        <f ca="1">Q190*(1+INDEX(Q$35:Q$37,MATCH(Work_Codes!$I$50,$D$35:$D$37,0)))</f>
        <v>0</v>
      </c>
      <c r="R230" s="81">
        <f ca="1">R190*(1+INDEX(R$35:R$37,MATCH(Work_Codes!$I$50,$D$35:$D$37,0)))</f>
        <v>0</v>
      </c>
      <c r="S230" s="81">
        <f ca="1">S190*(1+INDEX(S$35:S$37,MATCH(Work_Codes!$I$50,$D$35:$D$37,0)))</f>
        <v>0</v>
      </c>
      <c r="T230" s="81">
        <f ca="1">T190*(1+INDEX(T$35:T$37,MATCH(Work_Codes!$I$50,$D$35:$D$37,0)))</f>
        <v>0</v>
      </c>
    </row>
    <row r="231" spans="4:20" ht="12" customHeight="1" outlineLevel="2">
      <c r="E231" s="249" t="str">
        <f>"Total "&amp;D213</f>
        <v>Total Direct Costs + Overheads</v>
      </c>
      <c r="F231" s="249"/>
      <c r="G231" s="249"/>
      <c r="H231" s="249"/>
      <c r="I231" s="249"/>
      <c r="J231" s="82">
        <f t="shared" ref="J231:T231" ca="1" si="28">SUM(J215:J230)</f>
        <v>0</v>
      </c>
      <c r="K231" s="82">
        <f t="shared" ca="1" si="28"/>
        <v>0</v>
      </c>
      <c r="L231" s="82">
        <f t="shared" ca="1" si="28"/>
        <v>0</v>
      </c>
      <c r="M231" s="82">
        <f t="shared" ca="1" si="28"/>
        <v>0</v>
      </c>
      <c r="N231" s="82">
        <f t="shared" ca="1" si="28"/>
        <v>411874.17901462101</v>
      </c>
      <c r="O231" s="82">
        <f t="shared" ca="1" si="28"/>
        <v>2066997.4472719352</v>
      </c>
      <c r="P231" s="82">
        <f t="shared" ca="1" si="28"/>
        <v>1931084.891925707</v>
      </c>
      <c r="Q231" s="82">
        <f t="shared" ca="1" si="28"/>
        <v>3234431.8260591892</v>
      </c>
      <c r="R231" s="82">
        <f t="shared" ca="1" si="28"/>
        <v>6399780.0725878729</v>
      </c>
      <c r="S231" s="82">
        <f t="shared" ca="1" si="28"/>
        <v>9177185.8628112562</v>
      </c>
      <c r="T231" s="82">
        <f t="shared" ca="1" si="28"/>
        <v>6834346.4822732471</v>
      </c>
    </row>
    <row r="232" spans="4:20" outlineLevel="2"/>
    <row r="233" spans="4:20" outlineLevel="2">
      <c r="D233" s="37" t="s">
        <v>367</v>
      </c>
    </row>
    <row r="234" spans="4:20" ht="5.9" customHeight="1" outlineLevel="2"/>
    <row r="235" spans="4:20" outlineLevel="2">
      <c r="E235" s="247" t="str">
        <f>GC!C40</f>
        <v>Transmission pipelines</v>
      </c>
      <c r="F235" s="247"/>
      <c r="G235" s="247"/>
      <c r="H235" s="247"/>
      <c r="I235" s="247"/>
      <c r="J235" s="81">
        <f ca="1">SUMPRODUCT((Work_Codes!$N$53:$Y$53=$E235)*(Work_Codes!$N$71:$Y$71)*(J$95:J$95))</f>
        <v>0</v>
      </c>
      <c r="K235" s="81">
        <f ca="1">SUMPRODUCT((Work_Codes!$N$53:$Y$53=$E235)*(Work_Codes!$N$71:$Y$71)*(K$95:K$95))</f>
        <v>0</v>
      </c>
      <c r="L235" s="81">
        <f ca="1">SUMPRODUCT((Work_Codes!$N$53:$Y$53=$E235)*(Work_Codes!$N$71:$Y$71)*(L$95:L$95))</f>
        <v>0</v>
      </c>
      <c r="M235" s="81">
        <f ca="1">SUMPRODUCT((Work_Codes!$N$53:$Y$53=$E235)*(Work_Codes!$N$71:$Y$71)*(M$95:M$95))</f>
        <v>0</v>
      </c>
      <c r="N235" s="81">
        <f ca="1">SUMPRODUCT((Work_Codes!$N$53:$Y$53=$E235)*(Work_Codes!$N$71:$Y$71)*(N$95:N$95))</f>
        <v>0</v>
      </c>
      <c r="O235" s="81">
        <f ca="1">SUMPRODUCT((Work_Codes!$N$53:$Y$53=$E235)*(Work_Codes!$N$71:$Y$71)*(O$95:O$95))</f>
        <v>0</v>
      </c>
      <c r="P235" s="81">
        <f ca="1">SUMPRODUCT((Work_Codes!$N$53:$Y$53=$E235)*(Work_Codes!$N$71:$Y$71)*(P$95:P$95))</f>
        <v>0</v>
      </c>
      <c r="Q235" s="81">
        <f ca="1">SUMPRODUCT((Work_Codes!$N$53:$Y$53=$E235)*(Work_Codes!$N$71:$Y$71)*(Q$95:Q$95))</f>
        <v>0</v>
      </c>
      <c r="R235" s="81">
        <f ca="1">SUMPRODUCT((Work_Codes!$N$53:$Y$53=$E235)*(Work_Codes!$N$71:$Y$71)*(R$95:R$95))</f>
        <v>0</v>
      </c>
      <c r="S235" s="81">
        <f ca="1">SUMPRODUCT((Work_Codes!$N$53:$Y$53=$E235)*(Work_Codes!$N$71:$Y$71)*(S$95:S$95))</f>
        <v>0</v>
      </c>
      <c r="T235" s="81">
        <f ca="1">SUMPRODUCT((Work_Codes!$N$53:$Y$53=$E235)*(Work_Codes!$N$71:$Y$71)*(T$95:T$95))</f>
        <v>0</v>
      </c>
    </row>
    <row r="236" spans="4:20" outlineLevel="2">
      <c r="E236" s="247" t="str">
        <f>GC!C41</f>
        <v>Distribution pipelines</v>
      </c>
      <c r="F236" s="247"/>
      <c r="G236" s="247"/>
      <c r="H236" s="247"/>
      <c r="I236" s="247"/>
      <c r="J236" s="81">
        <f ca="1">SUMPRODUCT((Work_Codes!$N$53:$Y$53=$E236)*(Work_Codes!$N$71:$Y$71)*(J$95:J$95))</f>
        <v>0</v>
      </c>
      <c r="K236" s="81">
        <f ca="1">SUMPRODUCT((Work_Codes!$N$53:$Y$53=$E236)*(Work_Codes!$N$71:$Y$71)*(K$95:K$95))</f>
        <v>0</v>
      </c>
      <c r="L236" s="81">
        <f ca="1">SUMPRODUCT((Work_Codes!$N$53:$Y$53=$E236)*(Work_Codes!$N$71:$Y$71)*(L$95:L$95))</f>
        <v>0</v>
      </c>
      <c r="M236" s="81">
        <f ca="1">SUMPRODUCT((Work_Codes!$N$53:$Y$53=$E236)*(Work_Codes!$N$71:$Y$71)*(M$95:M$95))</f>
        <v>0</v>
      </c>
      <c r="N236" s="81">
        <f ca="1">SUMPRODUCT((Work_Codes!$N$53:$Y$53=$E236)*(Work_Codes!$N$71:$Y$71)*(N$95:N$95))</f>
        <v>0</v>
      </c>
      <c r="O236" s="81">
        <f ca="1">SUMPRODUCT((Work_Codes!$N$53:$Y$53=$E236)*(Work_Codes!$N$71:$Y$71)*(O$95:O$95))</f>
        <v>0</v>
      </c>
      <c r="P236" s="81">
        <f ca="1">SUMPRODUCT((Work_Codes!$N$53:$Y$53=$E236)*(Work_Codes!$N$71:$Y$71)*(P$95:P$95))</f>
        <v>0</v>
      </c>
      <c r="Q236" s="81">
        <f ca="1">SUMPRODUCT((Work_Codes!$N$53:$Y$53=$E236)*(Work_Codes!$N$71:$Y$71)*(Q$95:Q$95))</f>
        <v>0</v>
      </c>
      <c r="R236" s="81">
        <f ca="1">SUMPRODUCT((Work_Codes!$N$53:$Y$53=$E236)*(Work_Codes!$N$71:$Y$71)*(R$95:R$95))</f>
        <v>0</v>
      </c>
      <c r="S236" s="81">
        <f ca="1">SUMPRODUCT((Work_Codes!$N$53:$Y$53=$E236)*(Work_Codes!$N$71:$Y$71)*(S$95:S$95))</f>
        <v>0</v>
      </c>
      <c r="T236" s="81">
        <f ca="1">SUMPRODUCT((Work_Codes!$N$53:$Y$53=$E236)*(Work_Codes!$N$71:$Y$71)*(T$95:T$95))</f>
        <v>0</v>
      </c>
    </row>
    <row r="237" spans="4:20" outlineLevel="2">
      <c r="E237" s="247" t="str">
        <f>GC!C42</f>
        <v>Service pipes</v>
      </c>
      <c r="F237" s="247"/>
      <c r="G237" s="247"/>
      <c r="H237" s="247"/>
      <c r="I237" s="247"/>
      <c r="J237" s="81">
        <f ca="1">SUMPRODUCT((Work_Codes!$N$53:$Y$53=$E237)*(Work_Codes!$N$71:$Y$71)*(J$95:J$95))</f>
        <v>0</v>
      </c>
      <c r="K237" s="81">
        <f ca="1">SUMPRODUCT((Work_Codes!$N$53:$Y$53=$E237)*(Work_Codes!$N$71:$Y$71)*(K$95:K$95))</f>
        <v>0</v>
      </c>
      <c r="L237" s="81">
        <f ca="1">SUMPRODUCT((Work_Codes!$N$53:$Y$53=$E237)*(Work_Codes!$N$71:$Y$71)*(L$95:L$95))</f>
        <v>0</v>
      </c>
      <c r="M237" s="81">
        <f ca="1">SUMPRODUCT((Work_Codes!$N$53:$Y$53=$E237)*(Work_Codes!$N$71:$Y$71)*(M$95:M$95))</f>
        <v>0</v>
      </c>
      <c r="N237" s="81">
        <f ca="1">SUMPRODUCT((Work_Codes!$N$53:$Y$53=$E237)*(Work_Codes!$N$71:$Y$71)*(N$95:N$95))</f>
        <v>0</v>
      </c>
      <c r="O237" s="81">
        <f ca="1">SUMPRODUCT((Work_Codes!$N$53:$Y$53=$E237)*(Work_Codes!$N$71:$Y$71)*(O$95:O$95))</f>
        <v>0</v>
      </c>
      <c r="P237" s="81">
        <f ca="1">SUMPRODUCT((Work_Codes!$N$53:$Y$53=$E237)*(Work_Codes!$N$71:$Y$71)*(P$95:P$95))</f>
        <v>0</v>
      </c>
      <c r="Q237" s="81">
        <f ca="1">SUMPRODUCT((Work_Codes!$N$53:$Y$53=$E237)*(Work_Codes!$N$71:$Y$71)*(Q$95:Q$95))</f>
        <v>0</v>
      </c>
      <c r="R237" s="81">
        <f ca="1">SUMPRODUCT((Work_Codes!$N$53:$Y$53=$E237)*(Work_Codes!$N$71:$Y$71)*(R$95:R$95))</f>
        <v>0</v>
      </c>
      <c r="S237" s="81">
        <f ca="1">SUMPRODUCT((Work_Codes!$N$53:$Y$53=$E237)*(Work_Codes!$N$71:$Y$71)*(S$95:S$95))</f>
        <v>0</v>
      </c>
      <c r="T237" s="81">
        <f ca="1">SUMPRODUCT((Work_Codes!$N$53:$Y$53=$E237)*(Work_Codes!$N$71:$Y$71)*(T$95:T$95))</f>
        <v>0</v>
      </c>
    </row>
    <row r="238" spans="4:20" outlineLevel="2">
      <c r="E238" s="247" t="str">
        <f>GC!C43</f>
        <v>Cathodic protection</v>
      </c>
      <c r="F238" s="247"/>
      <c r="G238" s="247"/>
      <c r="H238" s="247"/>
      <c r="I238" s="247"/>
      <c r="J238" s="81">
        <f ca="1">SUMPRODUCT((Work_Codes!$N$53:$Y$53=$E238)*(Work_Codes!$N$71:$Y$71)*(J$95:J$95))</f>
        <v>0</v>
      </c>
      <c r="K238" s="81">
        <f ca="1">SUMPRODUCT((Work_Codes!$N$53:$Y$53=$E238)*(Work_Codes!$N$71:$Y$71)*(K$95:K$95))</f>
        <v>0</v>
      </c>
      <c r="L238" s="81">
        <f ca="1">SUMPRODUCT((Work_Codes!$N$53:$Y$53=$E238)*(Work_Codes!$N$71:$Y$71)*(L$95:L$95))</f>
        <v>0</v>
      </c>
      <c r="M238" s="81">
        <f ca="1">SUMPRODUCT((Work_Codes!$N$53:$Y$53=$E238)*(Work_Codes!$N$71:$Y$71)*(M$95:M$95))</f>
        <v>0</v>
      </c>
      <c r="N238" s="81">
        <f ca="1">SUMPRODUCT((Work_Codes!$N$53:$Y$53=$E238)*(Work_Codes!$N$71:$Y$71)*(N$95:N$95))</f>
        <v>0</v>
      </c>
      <c r="O238" s="81">
        <f ca="1">SUMPRODUCT((Work_Codes!$N$53:$Y$53=$E238)*(Work_Codes!$N$71:$Y$71)*(O$95:O$95))</f>
        <v>0</v>
      </c>
      <c r="P238" s="81">
        <f ca="1">SUMPRODUCT((Work_Codes!$N$53:$Y$53=$E238)*(Work_Codes!$N$71:$Y$71)*(P$95:P$95))</f>
        <v>0</v>
      </c>
      <c r="Q238" s="81">
        <f ca="1">SUMPRODUCT((Work_Codes!$N$53:$Y$53=$E238)*(Work_Codes!$N$71:$Y$71)*(Q$95:Q$95))</f>
        <v>0</v>
      </c>
      <c r="R238" s="81">
        <f ca="1">SUMPRODUCT((Work_Codes!$N$53:$Y$53=$E238)*(Work_Codes!$N$71:$Y$71)*(R$95:R$95))</f>
        <v>0</v>
      </c>
      <c r="S238" s="81">
        <f ca="1">SUMPRODUCT((Work_Codes!$N$53:$Y$53=$E238)*(Work_Codes!$N$71:$Y$71)*(S$95:S$95))</f>
        <v>0</v>
      </c>
      <c r="T238" s="81">
        <f ca="1">SUMPRODUCT((Work_Codes!$N$53:$Y$53=$E238)*(Work_Codes!$N$71:$Y$71)*(T$95:T$95))</f>
        <v>0</v>
      </c>
    </row>
    <row r="239" spans="4:20" outlineLevel="2">
      <c r="E239" s="247" t="str">
        <f>GC!C44</f>
        <v>Supply Regulators / Valve Stations</v>
      </c>
      <c r="F239" s="247"/>
      <c r="G239" s="247"/>
      <c r="H239" s="247"/>
      <c r="I239" s="247"/>
      <c r="J239" s="81">
        <f ca="1">SUMPRODUCT((Work_Codes!$N$53:$Y$53=$E239)*(Work_Codes!$N$71:$Y$71)*(J$95:J$95))</f>
        <v>0</v>
      </c>
      <c r="K239" s="81">
        <f ca="1">SUMPRODUCT((Work_Codes!$N$53:$Y$53=$E239)*(Work_Codes!$N$71:$Y$71)*(K$95:K$95))</f>
        <v>0</v>
      </c>
      <c r="L239" s="81">
        <f ca="1">SUMPRODUCT((Work_Codes!$N$53:$Y$53=$E239)*(Work_Codes!$N$71:$Y$71)*(L$95:L$95))</f>
        <v>0</v>
      </c>
      <c r="M239" s="81">
        <f ca="1">SUMPRODUCT((Work_Codes!$N$53:$Y$53=$E239)*(Work_Codes!$N$71:$Y$71)*(M$95:M$95))</f>
        <v>0</v>
      </c>
      <c r="N239" s="81">
        <f ca="1">SUMPRODUCT((Work_Codes!$N$53:$Y$53=$E239)*(Work_Codes!$N$71:$Y$71)*(N$95:N$95))</f>
        <v>0</v>
      </c>
      <c r="O239" s="81">
        <f ca="1">SUMPRODUCT((Work_Codes!$N$53:$Y$53=$E239)*(Work_Codes!$N$71:$Y$71)*(O$95:O$95))</f>
        <v>0</v>
      </c>
      <c r="P239" s="81">
        <f ca="1">SUMPRODUCT((Work_Codes!$N$53:$Y$53=$E239)*(Work_Codes!$N$71:$Y$71)*(P$95:P$95))</f>
        <v>0</v>
      </c>
      <c r="Q239" s="81">
        <f ca="1">SUMPRODUCT((Work_Codes!$N$53:$Y$53=$E239)*(Work_Codes!$N$71:$Y$71)*(Q$95:Q$95))</f>
        <v>0</v>
      </c>
      <c r="R239" s="81">
        <f ca="1">SUMPRODUCT((Work_Codes!$N$53:$Y$53=$E239)*(Work_Codes!$N$71:$Y$71)*(R$95:R$95))</f>
        <v>0</v>
      </c>
      <c r="S239" s="81">
        <f ca="1">SUMPRODUCT((Work_Codes!$N$53:$Y$53=$E239)*(Work_Codes!$N$71:$Y$71)*(S$95:S$95))</f>
        <v>0</v>
      </c>
      <c r="T239" s="81">
        <f ca="1">SUMPRODUCT((Work_Codes!$N$53:$Y$53=$E239)*(Work_Codes!$N$71:$Y$71)*(T$95:T$95))</f>
        <v>0</v>
      </c>
    </row>
    <row r="240" spans="4:20" outlineLevel="2">
      <c r="E240" s="247" t="str">
        <f>GC!C45</f>
        <v>Meters</v>
      </c>
      <c r="F240" s="247"/>
      <c r="G240" s="247"/>
      <c r="H240" s="247"/>
      <c r="I240" s="247"/>
      <c r="J240" s="81">
        <f ca="1">SUMPRODUCT((Work_Codes!$N$53:$Y$53=$E240)*(Work_Codes!$N$71:$Y$71)*(J$95:J$95))</f>
        <v>0</v>
      </c>
      <c r="K240" s="81">
        <f ca="1">SUMPRODUCT((Work_Codes!$N$53:$Y$53=$E240)*(Work_Codes!$N$71:$Y$71)*(K$95:K$95))</f>
        <v>0</v>
      </c>
      <c r="L240" s="81">
        <f ca="1">SUMPRODUCT((Work_Codes!$N$53:$Y$53=$E240)*(Work_Codes!$N$71:$Y$71)*(L$95:L$95))</f>
        <v>0</v>
      </c>
      <c r="M240" s="81">
        <f ca="1">SUMPRODUCT((Work_Codes!$N$53:$Y$53=$E240)*(Work_Codes!$N$71:$Y$71)*(M$95:M$95))</f>
        <v>0</v>
      </c>
      <c r="N240" s="81">
        <f ca="1">SUMPRODUCT((Work_Codes!$N$53:$Y$53=$E240)*(Work_Codes!$N$71:$Y$71)*(N$95:N$95))</f>
        <v>0</v>
      </c>
      <c r="O240" s="81">
        <f ca="1">SUMPRODUCT((Work_Codes!$N$53:$Y$53=$E240)*(Work_Codes!$N$71:$Y$71)*(O$95:O$95))</f>
        <v>0</v>
      </c>
      <c r="P240" s="81">
        <f ca="1">SUMPRODUCT((Work_Codes!$N$53:$Y$53=$E240)*(Work_Codes!$N$71:$Y$71)*(P$95:P$95))</f>
        <v>0</v>
      </c>
      <c r="Q240" s="81">
        <f ca="1">SUMPRODUCT((Work_Codes!$N$53:$Y$53=$E240)*(Work_Codes!$N$71:$Y$71)*(Q$95:Q$95))</f>
        <v>0</v>
      </c>
      <c r="R240" s="81">
        <f ca="1">SUMPRODUCT((Work_Codes!$N$53:$Y$53=$E240)*(Work_Codes!$N$71:$Y$71)*(R$95:R$95))</f>
        <v>0</v>
      </c>
      <c r="S240" s="81">
        <f ca="1">SUMPRODUCT((Work_Codes!$N$53:$Y$53=$E240)*(Work_Codes!$N$71:$Y$71)*(S$95:S$95))</f>
        <v>0</v>
      </c>
      <c r="T240" s="81">
        <f ca="1">SUMPRODUCT((Work_Codes!$N$53:$Y$53=$E240)*(Work_Codes!$N$71:$Y$71)*(T$95:T$95))</f>
        <v>0</v>
      </c>
    </row>
    <row r="241" spans="2:20" outlineLevel="2">
      <c r="E241" s="247" t="str">
        <f>GC!C46</f>
        <v>SCADA and remote control</v>
      </c>
      <c r="F241" s="247"/>
      <c r="G241" s="247"/>
      <c r="H241" s="247"/>
      <c r="I241" s="247"/>
      <c r="J241" s="81">
        <f ca="1">SUMPRODUCT((Work_Codes!$N$53:$Y$53=$E241)*(Work_Codes!$N$71:$Y$71)*(J$95:J$95))</f>
        <v>0</v>
      </c>
      <c r="K241" s="81">
        <f ca="1">SUMPRODUCT((Work_Codes!$N$53:$Y$53=$E241)*(Work_Codes!$N$71:$Y$71)*(K$95:K$95))</f>
        <v>0</v>
      </c>
      <c r="L241" s="81">
        <f ca="1">SUMPRODUCT((Work_Codes!$N$53:$Y$53=$E241)*(Work_Codes!$N$71:$Y$71)*(L$95:L$95))</f>
        <v>0</v>
      </c>
      <c r="M241" s="81">
        <f ca="1">SUMPRODUCT((Work_Codes!$N$53:$Y$53=$E241)*(Work_Codes!$N$71:$Y$71)*(M$95:M$95))</f>
        <v>0</v>
      </c>
      <c r="N241" s="81">
        <f ca="1">SUMPRODUCT((Work_Codes!$N$53:$Y$53=$E241)*(Work_Codes!$N$71:$Y$71)*(N$95:N$95))</f>
        <v>0</v>
      </c>
      <c r="O241" s="81">
        <f ca="1">SUMPRODUCT((Work_Codes!$N$53:$Y$53=$E241)*(Work_Codes!$N$71:$Y$71)*(O$95:O$95))</f>
        <v>0</v>
      </c>
      <c r="P241" s="81">
        <f ca="1">SUMPRODUCT((Work_Codes!$N$53:$Y$53=$E241)*(Work_Codes!$N$71:$Y$71)*(P$95:P$95))</f>
        <v>0</v>
      </c>
      <c r="Q241" s="81">
        <f ca="1">SUMPRODUCT((Work_Codes!$N$53:$Y$53=$E241)*(Work_Codes!$N$71:$Y$71)*(Q$95:Q$95))</f>
        <v>0</v>
      </c>
      <c r="R241" s="81">
        <f ca="1">SUMPRODUCT((Work_Codes!$N$53:$Y$53=$E241)*(Work_Codes!$N$71:$Y$71)*(R$95:R$95))</f>
        <v>0</v>
      </c>
      <c r="S241" s="81">
        <f ca="1">SUMPRODUCT((Work_Codes!$N$53:$Y$53=$E241)*(Work_Codes!$N$71:$Y$71)*(S$95:S$95))</f>
        <v>0</v>
      </c>
      <c r="T241" s="81">
        <f ca="1">SUMPRODUCT((Work_Codes!$N$53:$Y$53=$E241)*(Work_Codes!$N$71:$Y$71)*(T$95:T$95))</f>
        <v>0</v>
      </c>
    </row>
    <row r="242" spans="2:20" outlineLevel="2">
      <c r="E242" s="247" t="str">
        <f>GC!C47</f>
        <v>Buildings</v>
      </c>
      <c r="F242" s="247"/>
      <c r="G242" s="247"/>
      <c r="H242" s="247"/>
      <c r="I242" s="247"/>
      <c r="J242" s="81">
        <f ca="1">SUMPRODUCT((Work_Codes!$N$53:$Y$53=$E242)*(Work_Codes!$N$71:$Y$71)*(J$95:J$95))</f>
        <v>0</v>
      </c>
      <c r="K242" s="81">
        <f ca="1">SUMPRODUCT((Work_Codes!$N$53:$Y$53=$E242)*(Work_Codes!$N$71:$Y$71)*(K$95:K$95))</f>
        <v>0</v>
      </c>
      <c r="L242" s="81">
        <f ca="1">SUMPRODUCT((Work_Codes!$N$53:$Y$53=$E242)*(Work_Codes!$N$71:$Y$71)*(L$95:L$95))</f>
        <v>0</v>
      </c>
      <c r="M242" s="81">
        <f ca="1">SUMPRODUCT((Work_Codes!$N$53:$Y$53=$E242)*(Work_Codes!$N$71:$Y$71)*(M$95:M$95))</f>
        <v>0</v>
      </c>
      <c r="N242" s="81">
        <f ca="1">SUMPRODUCT((Work_Codes!$N$53:$Y$53=$E242)*(Work_Codes!$N$71:$Y$71)*(N$95:N$95))</f>
        <v>0</v>
      </c>
      <c r="O242" s="81">
        <f ca="1">SUMPRODUCT((Work_Codes!$N$53:$Y$53=$E242)*(Work_Codes!$N$71:$Y$71)*(O$95:O$95))</f>
        <v>0</v>
      </c>
      <c r="P242" s="81">
        <f ca="1">SUMPRODUCT((Work_Codes!$N$53:$Y$53=$E242)*(Work_Codes!$N$71:$Y$71)*(P$95:P$95))</f>
        <v>0</v>
      </c>
      <c r="Q242" s="81">
        <f ca="1">SUMPRODUCT((Work_Codes!$N$53:$Y$53=$E242)*(Work_Codes!$N$71:$Y$71)*(Q$95:Q$95))</f>
        <v>0</v>
      </c>
      <c r="R242" s="81">
        <f ca="1">SUMPRODUCT((Work_Codes!$N$53:$Y$53=$E242)*(Work_Codes!$N$71:$Y$71)*(R$95:R$95))</f>
        <v>0</v>
      </c>
      <c r="S242" s="81">
        <f ca="1">SUMPRODUCT((Work_Codes!$N$53:$Y$53=$E242)*(Work_Codes!$N$71:$Y$71)*(S$95:S$95))</f>
        <v>0</v>
      </c>
      <c r="T242" s="81">
        <f ca="1">SUMPRODUCT((Work_Codes!$N$53:$Y$53=$E242)*(Work_Codes!$N$71:$Y$71)*(T$95:T$95))</f>
        <v>0</v>
      </c>
    </row>
    <row r="243" spans="2:20" outlineLevel="2">
      <c r="E243" s="247" t="str">
        <f>GC!C48</f>
        <v>Other - IT</v>
      </c>
      <c r="F243" s="247"/>
      <c r="G243" s="247"/>
      <c r="H243" s="247"/>
      <c r="I243" s="247"/>
      <c r="J243" s="81">
        <f ca="1">SUMPRODUCT((Work_Codes!$N$53:$Y$53=$E243)*(Work_Codes!$N$71:$Y$71)*(J$95:J$95))</f>
        <v>0</v>
      </c>
      <c r="K243" s="81">
        <f ca="1">SUMPRODUCT((Work_Codes!$N$53:$Y$53=$E243)*(Work_Codes!$N$71:$Y$71)*(K$95:K$95))</f>
        <v>0</v>
      </c>
      <c r="L243" s="81">
        <f ca="1">SUMPRODUCT((Work_Codes!$N$53:$Y$53=$E243)*(Work_Codes!$N$71:$Y$71)*(L$95:L$95))</f>
        <v>0</v>
      </c>
      <c r="M243" s="81">
        <f ca="1">SUMPRODUCT((Work_Codes!$N$53:$Y$53=$E243)*(Work_Codes!$N$71:$Y$71)*(M$95:M$95))</f>
        <v>0</v>
      </c>
      <c r="N243" s="81">
        <f ca="1">SUMPRODUCT((Work_Codes!$N$53:$Y$53=$E243)*(Work_Codes!$N$71:$Y$71)*(N$95:N$95))</f>
        <v>0</v>
      </c>
      <c r="O243" s="81">
        <f ca="1">SUMPRODUCT((Work_Codes!$N$53:$Y$53=$E243)*(Work_Codes!$N$71:$Y$71)*(O$95:O$95))</f>
        <v>0</v>
      </c>
      <c r="P243" s="81">
        <f ca="1">SUMPRODUCT((Work_Codes!$N$53:$Y$53=$E243)*(Work_Codes!$N$71:$Y$71)*(P$95:P$95))</f>
        <v>0</v>
      </c>
      <c r="Q243" s="81">
        <f ca="1">SUMPRODUCT((Work_Codes!$N$53:$Y$53=$E243)*(Work_Codes!$N$71:$Y$71)*(Q$95:Q$95))</f>
        <v>0</v>
      </c>
      <c r="R243" s="81">
        <f ca="1">SUMPRODUCT((Work_Codes!$N$53:$Y$53=$E243)*(Work_Codes!$N$71:$Y$71)*(R$95:R$95))</f>
        <v>0</v>
      </c>
      <c r="S243" s="81">
        <f ca="1">SUMPRODUCT((Work_Codes!$N$53:$Y$53=$E243)*(Work_Codes!$N$71:$Y$71)*(S$95:S$95))</f>
        <v>0</v>
      </c>
      <c r="T243" s="81">
        <f ca="1">SUMPRODUCT((Work_Codes!$N$53:$Y$53=$E243)*(Work_Codes!$N$71:$Y$71)*(T$95:T$95))</f>
        <v>0</v>
      </c>
    </row>
    <row r="244" spans="2:20" outlineLevel="2">
      <c r="E244" s="247" t="str">
        <f>GC!C49</f>
        <v>Other - non IT</v>
      </c>
      <c r="F244" s="247"/>
      <c r="G244" s="247"/>
      <c r="H244" s="247"/>
      <c r="I244" s="247"/>
      <c r="J244" s="81">
        <f ca="1">SUMPRODUCT((Work_Codes!$N$53:$Y$53=$E244)*(Work_Codes!$N$71:$Y$71)*(J$95:J$95))</f>
        <v>0</v>
      </c>
      <c r="K244" s="81">
        <f ca="1">SUMPRODUCT((Work_Codes!$N$53:$Y$53=$E244)*(Work_Codes!$N$71:$Y$71)*(K$95:K$95))</f>
        <v>0</v>
      </c>
      <c r="L244" s="81">
        <f ca="1">SUMPRODUCT((Work_Codes!$N$53:$Y$53=$E244)*(Work_Codes!$N$71:$Y$71)*(L$95:L$95))</f>
        <v>0</v>
      </c>
      <c r="M244" s="81">
        <f ca="1">SUMPRODUCT((Work_Codes!$N$53:$Y$53=$E244)*(Work_Codes!$N$71:$Y$71)*(M$95:M$95))</f>
        <v>0</v>
      </c>
      <c r="N244" s="81">
        <f ca="1">SUMPRODUCT((Work_Codes!$N$53:$Y$53=$E244)*(Work_Codes!$N$71:$Y$71)*(N$95:N$95))</f>
        <v>0</v>
      </c>
      <c r="O244" s="81">
        <f ca="1">SUMPRODUCT((Work_Codes!$N$53:$Y$53=$E244)*(Work_Codes!$N$71:$Y$71)*(O$95:O$95))</f>
        <v>0</v>
      </c>
      <c r="P244" s="81">
        <f ca="1">SUMPRODUCT((Work_Codes!$N$53:$Y$53=$E244)*(Work_Codes!$N$71:$Y$71)*(P$95:P$95))</f>
        <v>0</v>
      </c>
      <c r="Q244" s="81">
        <f ca="1">SUMPRODUCT((Work_Codes!$N$53:$Y$53=$E244)*(Work_Codes!$N$71:$Y$71)*(Q$95:Q$95))</f>
        <v>0</v>
      </c>
      <c r="R244" s="81">
        <f ca="1">SUMPRODUCT((Work_Codes!$N$53:$Y$53=$E244)*(Work_Codes!$N$71:$Y$71)*(R$95:R$95))</f>
        <v>0</v>
      </c>
      <c r="S244" s="81">
        <f ca="1">SUMPRODUCT((Work_Codes!$N$53:$Y$53=$E244)*(Work_Codes!$N$71:$Y$71)*(S$95:S$95))</f>
        <v>0</v>
      </c>
      <c r="T244" s="81">
        <f ca="1">SUMPRODUCT((Work_Codes!$N$53:$Y$53=$E244)*(Work_Codes!$N$71:$Y$71)*(T$95:T$95))</f>
        <v>0</v>
      </c>
    </row>
    <row r="245" spans="2:20" outlineLevel="2">
      <c r="E245" s="247" t="str">
        <f>GC!C50</f>
        <v>Land</v>
      </c>
      <c r="F245" s="247"/>
      <c r="G245" s="247"/>
      <c r="H245" s="247"/>
      <c r="I245" s="247"/>
      <c r="J245" s="81">
        <f ca="1">SUMPRODUCT((Work_Codes!$N$53:$Y$53=$E245)*(Work_Codes!$N$71:$Y$71)*(J$95:J$95))</f>
        <v>0</v>
      </c>
      <c r="K245" s="81">
        <f ca="1">SUMPRODUCT((Work_Codes!$N$53:$Y$53=$E245)*(Work_Codes!$N$71:$Y$71)*(K$95:K$95))</f>
        <v>0</v>
      </c>
      <c r="L245" s="81">
        <f ca="1">SUMPRODUCT((Work_Codes!$N$53:$Y$53=$E245)*(Work_Codes!$N$71:$Y$71)*(L$95:L$95))</f>
        <v>0</v>
      </c>
      <c r="M245" s="81">
        <f ca="1">SUMPRODUCT((Work_Codes!$N$53:$Y$53=$E245)*(Work_Codes!$N$71:$Y$71)*(M$95:M$95))</f>
        <v>0</v>
      </c>
      <c r="N245" s="81">
        <f ca="1">SUMPRODUCT((Work_Codes!$N$53:$Y$53=$E245)*(Work_Codes!$N$71:$Y$71)*(N$95:N$95))</f>
        <v>0</v>
      </c>
      <c r="O245" s="81">
        <f ca="1">SUMPRODUCT((Work_Codes!$N$53:$Y$53=$E245)*(Work_Codes!$N$71:$Y$71)*(O$95:O$95))</f>
        <v>0</v>
      </c>
      <c r="P245" s="81">
        <f ca="1">SUMPRODUCT((Work_Codes!$N$53:$Y$53=$E245)*(Work_Codes!$N$71:$Y$71)*(P$95:P$95))</f>
        <v>0</v>
      </c>
      <c r="Q245" s="81">
        <f ca="1">SUMPRODUCT((Work_Codes!$N$53:$Y$53=$E245)*(Work_Codes!$N$71:$Y$71)*(Q$95:Q$95))</f>
        <v>0</v>
      </c>
      <c r="R245" s="81">
        <f ca="1">SUMPRODUCT((Work_Codes!$N$53:$Y$53=$E245)*(Work_Codes!$N$71:$Y$71)*(R$95:R$95))</f>
        <v>0</v>
      </c>
      <c r="S245" s="81">
        <f ca="1">SUMPRODUCT((Work_Codes!$N$53:$Y$53=$E245)*(Work_Codes!$N$71:$Y$71)*(S$95:S$95))</f>
        <v>0</v>
      </c>
      <c r="T245" s="81">
        <f ca="1">SUMPRODUCT((Work_Codes!$N$53:$Y$53=$E245)*(Work_Codes!$N$71:$Y$71)*(T$95:T$95))</f>
        <v>0</v>
      </c>
    </row>
    <row r="246" spans="2:20" outlineLevel="2">
      <c r="E246" s="247" t="str">
        <f>GC!C51</f>
        <v>Capitalised Leases</v>
      </c>
      <c r="F246" s="247"/>
      <c r="G246" s="247"/>
      <c r="H246" s="247"/>
      <c r="I246" s="247"/>
      <c r="J246" s="81">
        <f ca="1">SUMPRODUCT((Work_Codes!$N$53:$Y$53=$E246)*(Work_Codes!$N$71:$Y$71)*(J$95:J$95))</f>
        <v>0</v>
      </c>
      <c r="K246" s="81">
        <f ca="1">SUMPRODUCT((Work_Codes!$N$53:$Y$53=$E246)*(Work_Codes!$N$71:$Y$71)*(K$95:K$95))</f>
        <v>0</v>
      </c>
      <c r="L246" s="81">
        <f ca="1">SUMPRODUCT((Work_Codes!$N$53:$Y$53=$E246)*(Work_Codes!$N$71:$Y$71)*(L$95:L$95))</f>
        <v>0</v>
      </c>
      <c r="M246" s="81">
        <f ca="1">SUMPRODUCT((Work_Codes!$N$53:$Y$53=$E246)*(Work_Codes!$N$71:$Y$71)*(M$95:M$95))</f>
        <v>0</v>
      </c>
      <c r="N246" s="81">
        <f ca="1">SUMPRODUCT((Work_Codes!$N$53:$Y$53=$E246)*(Work_Codes!$N$71:$Y$71)*(N$95:N$95))</f>
        <v>0</v>
      </c>
      <c r="O246" s="81">
        <f ca="1">SUMPRODUCT((Work_Codes!$N$53:$Y$53=$E246)*(Work_Codes!$N$71:$Y$71)*(O$95:O$95))</f>
        <v>0</v>
      </c>
      <c r="P246" s="81">
        <f ca="1">SUMPRODUCT((Work_Codes!$N$53:$Y$53=$E246)*(Work_Codes!$N$71:$Y$71)*(P$95:P$95))</f>
        <v>0</v>
      </c>
      <c r="Q246" s="81">
        <f ca="1">SUMPRODUCT((Work_Codes!$N$53:$Y$53=$E246)*(Work_Codes!$N$71:$Y$71)*(Q$95:Q$95))</f>
        <v>0</v>
      </c>
      <c r="R246" s="81">
        <f ca="1">SUMPRODUCT((Work_Codes!$N$53:$Y$53=$E246)*(Work_Codes!$N$71:$Y$71)*(R$95:R$95))</f>
        <v>0</v>
      </c>
      <c r="S246" s="81">
        <f ca="1">SUMPRODUCT((Work_Codes!$N$53:$Y$53=$E246)*(Work_Codes!$N$71:$Y$71)*(S$95:S$95))</f>
        <v>0</v>
      </c>
      <c r="T246" s="81">
        <f ca="1">SUMPRODUCT((Work_Codes!$N$53:$Y$53=$E246)*(Work_Codes!$N$71:$Y$71)*(T$95:T$95))</f>
        <v>0</v>
      </c>
    </row>
    <row r="247" spans="2:20" outlineLevel="2">
      <c r="E247" s="247" t="str">
        <f>GC!C52</f>
        <v>Transmission pipelines - post 1998</v>
      </c>
      <c r="F247" s="247"/>
      <c r="G247" s="247"/>
      <c r="H247" s="247"/>
      <c r="I247" s="247"/>
      <c r="J247" s="81">
        <f ca="1">SUMPRODUCT((Work_Codes!$N$53:$Y$53=$E247)*(Work_Codes!$N$71:$Y$71)*(J$95:J$95))</f>
        <v>0</v>
      </c>
      <c r="K247" s="81">
        <f ca="1">SUMPRODUCT((Work_Codes!$N$53:$Y$53=$E247)*(Work_Codes!$N$71:$Y$71)*(K$95:K$95))</f>
        <v>0</v>
      </c>
      <c r="L247" s="81">
        <f ca="1">SUMPRODUCT((Work_Codes!$N$53:$Y$53=$E247)*(Work_Codes!$N$71:$Y$71)*(L$95:L$95))</f>
        <v>0</v>
      </c>
      <c r="M247" s="81">
        <f ca="1">SUMPRODUCT((Work_Codes!$N$53:$Y$53=$E247)*(Work_Codes!$N$71:$Y$71)*(M$95:M$95))</f>
        <v>0</v>
      </c>
      <c r="N247" s="81">
        <f ca="1">SUMPRODUCT((Work_Codes!$N$53:$Y$53=$E247)*(Work_Codes!$N$71:$Y$71)*(N$95:N$95))</f>
        <v>0</v>
      </c>
      <c r="O247" s="81">
        <f ca="1">SUMPRODUCT((Work_Codes!$N$53:$Y$53=$E247)*(Work_Codes!$N$71:$Y$71)*(O$95:O$95))</f>
        <v>0</v>
      </c>
      <c r="P247" s="81">
        <f ca="1">SUMPRODUCT((Work_Codes!$N$53:$Y$53=$E247)*(Work_Codes!$N$71:$Y$71)*(P$95:P$95))</f>
        <v>0</v>
      </c>
      <c r="Q247" s="81">
        <f ca="1">SUMPRODUCT((Work_Codes!$N$53:$Y$53=$E247)*(Work_Codes!$N$71:$Y$71)*(Q$95:Q$95))</f>
        <v>0</v>
      </c>
      <c r="R247" s="81">
        <f ca="1">SUMPRODUCT((Work_Codes!$N$53:$Y$53=$E247)*(Work_Codes!$N$71:$Y$71)*(R$95:R$95))</f>
        <v>0</v>
      </c>
      <c r="S247" s="81">
        <f ca="1">SUMPRODUCT((Work_Codes!$N$53:$Y$53=$E247)*(Work_Codes!$N$71:$Y$71)*(S$95:S$95))</f>
        <v>0</v>
      </c>
      <c r="T247" s="81">
        <f ca="1">SUMPRODUCT((Work_Codes!$N$53:$Y$53=$E247)*(Work_Codes!$N$71:$Y$71)*(T$95:T$95))</f>
        <v>0</v>
      </c>
    </row>
    <row r="248" spans="2:20" outlineLevel="2">
      <c r="E248" s="247" t="str">
        <f>GC!C53</f>
        <v>Distribution pipelines - post 1998</v>
      </c>
      <c r="F248" s="247"/>
      <c r="G248" s="247"/>
      <c r="H248" s="247"/>
      <c r="I248" s="247"/>
      <c r="J248" s="81">
        <f ca="1">SUMPRODUCT((Work_Codes!$N$53:$Y$53=$E248)*(Work_Codes!$N$71:$Y$71)*(J$95:J$95))</f>
        <v>0</v>
      </c>
      <c r="K248" s="81">
        <f ca="1">SUMPRODUCT((Work_Codes!$N$53:$Y$53=$E248)*(Work_Codes!$N$71:$Y$71)*(K$95:K$95))</f>
        <v>0</v>
      </c>
      <c r="L248" s="81">
        <f ca="1">SUMPRODUCT((Work_Codes!$N$53:$Y$53=$E248)*(Work_Codes!$N$71:$Y$71)*(L$95:L$95))</f>
        <v>0</v>
      </c>
      <c r="M248" s="81">
        <f ca="1">SUMPRODUCT((Work_Codes!$N$53:$Y$53=$E248)*(Work_Codes!$N$71:$Y$71)*(M$95:M$95))</f>
        <v>0</v>
      </c>
      <c r="N248" s="81">
        <f ca="1">SUMPRODUCT((Work_Codes!$N$53:$Y$53=$E248)*(Work_Codes!$N$71:$Y$71)*(N$95:N$95))</f>
        <v>0</v>
      </c>
      <c r="O248" s="81">
        <f ca="1">SUMPRODUCT((Work_Codes!$N$53:$Y$53=$E248)*(Work_Codes!$N$71:$Y$71)*(O$95:O$95))</f>
        <v>0</v>
      </c>
      <c r="P248" s="81">
        <f ca="1">SUMPRODUCT((Work_Codes!$N$53:$Y$53=$E248)*(Work_Codes!$N$71:$Y$71)*(P$95:P$95))</f>
        <v>0</v>
      </c>
      <c r="Q248" s="81">
        <f ca="1">SUMPRODUCT((Work_Codes!$N$53:$Y$53=$E248)*(Work_Codes!$N$71:$Y$71)*(Q$95:Q$95))</f>
        <v>0</v>
      </c>
      <c r="R248" s="81">
        <f ca="1">SUMPRODUCT((Work_Codes!$N$53:$Y$53=$E248)*(Work_Codes!$N$71:$Y$71)*(R$95:R$95))</f>
        <v>0</v>
      </c>
      <c r="S248" s="81">
        <f ca="1">SUMPRODUCT((Work_Codes!$N$53:$Y$53=$E248)*(Work_Codes!$N$71:$Y$71)*(S$95:S$95))</f>
        <v>0</v>
      </c>
      <c r="T248" s="81">
        <f ca="1">SUMPRODUCT((Work_Codes!$N$53:$Y$53=$E248)*(Work_Codes!$N$71:$Y$71)*(T$95:T$95))</f>
        <v>0</v>
      </c>
    </row>
    <row r="249" spans="2:20" outlineLevel="2">
      <c r="E249" s="247" t="str">
        <f>GC!C54</f>
        <v>Service pipes - post 1998</v>
      </c>
      <c r="F249" s="247"/>
      <c r="G249" s="247"/>
      <c r="H249" s="247"/>
      <c r="I249" s="247"/>
      <c r="J249" s="81">
        <f ca="1">SUMPRODUCT((Work_Codes!$N$53:$Y$53=$E249)*(Work_Codes!$N$71:$Y$71)*(J$95:J$95))</f>
        <v>0</v>
      </c>
      <c r="K249" s="81">
        <f ca="1">SUMPRODUCT((Work_Codes!$N$53:$Y$53=$E249)*(Work_Codes!$N$71:$Y$71)*(K$95:K$95))</f>
        <v>0</v>
      </c>
      <c r="L249" s="81">
        <f ca="1">SUMPRODUCT((Work_Codes!$N$53:$Y$53=$E249)*(Work_Codes!$N$71:$Y$71)*(L$95:L$95))</f>
        <v>0</v>
      </c>
      <c r="M249" s="81">
        <f ca="1">SUMPRODUCT((Work_Codes!$N$53:$Y$53=$E249)*(Work_Codes!$N$71:$Y$71)*(M$95:M$95))</f>
        <v>0</v>
      </c>
      <c r="N249" s="81">
        <f ca="1">SUMPRODUCT((Work_Codes!$N$53:$Y$53=$E249)*(Work_Codes!$N$71:$Y$71)*(N$95:N$95))</f>
        <v>0</v>
      </c>
      <c r="O249" s="81">
        <f ca="1">SUMPRODUCT((Work_Codes!$N$53:$Y$53=$E249)*(Work_Codes!$N$71:$Y$71)*(O$95:O$95))</f>
        <v>0</v>
      </c>
      <c r="P249" s="81">
        <f ca="1">SUMPRODUCT((Work_Codes!$N$53:$Y$53=$E249)*(Work_Codes!$N$71:$Y$71)*(P$95:P$95))</f>
        <v>0</v>
      </c>
      <c r="Q249" s="81">
        <f ca="1">SUMPRODUCT((Work_Codes!$N$53:$Y$53=$E249)*(Work_Codes!$N$71:$Y$71)*(Q$95:Q$95))</f>
        <v>0</v>
      </c>
      <c r="R249" s="81">
        <f ca="1">SUMPRODUCT((Work_Codes!$N$53:$Y$53=$E249)*(Work_Codes!$N$71:$Y$71)*(R$95:R$95))</f>
        <v>0</v>
      </c>
      <c r="S249" s="81">
        <f ca="1">SUMPRODUCT((Work_Codes!$N$53:$Y$53=$E249)*(Work_Codes!$N$71:$Y$71)*(S$95:S$95))</f>
        <v>0</v>
      </c>
      <c r="T249" s="81">
        <f ca="1">SUMPRODUCT((Work_Codes!$N$53:$Y$53=$E249)*(Work_Codes!$N$71:$Y$71)*(T$95:T$95))</f>
        <v>0</v>
      </c>
    </row>
    <row r="250" spans="2:20" outlineLevel="2">
      <c r="E250" s="247" t="str">
        <f>GC!C55</f>
        <v>Cathodic protection - post 1998</v>
      </c>
      <c r="F250" s="247"/>
      <c r="G250" s="247"/>
      <c r="H250" s="247"/>
      <c r="I250" s="247"/>
      <c r="J250" s="81">
        <f ca="1">SUMPRODUCT((Work_Codes!$N$53:$Y$53=$E250)*(Work_Codes!$N$71:$Y$71)*(J$95:J$95))</f>
        <v>0</v>
      </c>
      <c r="K250" s="81">
        <f ca="1">SUMPRODUCT((Work_Codes!$N$53:$Y$53=$E250)*(Work_Codes!$N$71:$Y$71)*(K$95:K$95))</f>
        <v>0</v>
      </c>
      <c r="L250" s="81">
        <f ca="1">SUMPRODUCT((Work_Codes!$N$53:$Y$53=$E250)*(Work_Codes!$N$71:$Y$71)*(L$95:L$95))</f>
        <v>0</v>
      </c>
      <c r="M250" s="81">
        <f ca="1">SUMPRODUCT((Work_Codes!$N$53:$Y$53=$E250)*(Work_Codes!$N$71:$Y$71)*(M$95:M$95))</f>
        <v>0</v>
      </c>
      <c r="N250" s="81">
        <f ca="1">SUMPRODUCT((Work_Codes!$N$53:$Y$53=$E250)*(Work_Codes!$N$71:$Y$71)*(N$95:N$95))</f>
        <v>0</v>
      </c>
      <c r="O250" s="81">
        <f ca="1">SUMPRODUCT((Work_Codes!$N$53:$Y$53=$E250)*(Work_Codes!$N$71:$Y$71)*(O$95:O$95))</f>
        <v>0</v>
      </c>
      <c r="P250" s="81">
        <f ca="1">SUMPRODUCT((Work_Codes!$N$53:$Y$53=$E250)*(Work_Codes!$N$71:$Y$71)*(P$95:P$95))</f>
        <v>0</v>
      </c>
      <c r="Q250" s="81">
        <f ca="1">SUMPRODUCT((Work_Codes!$N$53:$Y$53=$E250)*(Work_Codes!$N$71:$Y$71)*(Q$95:Q$95))</f>
        <v>0</v>
      </c>
      <c r="R250" s="81">
        <f ca="1">SUMPRODUCT((Work_Codes!$N$53:$Y$53=$E250)*(Work_Codes!$N$71:$Y$71)*(R$95:R$95))</f>
        <v>0</v>
      </c>
      <c r="S250" s="81">
        <f ca="1">SUMPRODUCT((Work_Codes!$N$53:$Y$53=$E250)*(Work_Codes!$N$71:$Y$71)*(S$95:S$95))</f>
        <v>0</v>
      </c>
      <c r="T250" s="81">
        <f ca="1">SUMPRODUCT((Work_Codes!$N$53:$Y$53=$E250)*(Work_Codes!$N$71:$Y$71)*(T$95:T$95))</f>
        <v>0</v>
      </c>
    </row>
    <row r="251" spans="2:20" outlineLevel="2">
      <c r="E251" s="249" t="str">
        <f>"Total "&amp;D233</f>
        <v>Total Customer Contributions</v>
      </c>
      <c r="F251" s="249"/>
      <c r="G251" s="249"/>
      <c r="H251" s="249"/>
      <c r="I251" s="249"/>
      <c r="J251" s="82">
        <f t="shared" ref="J251:T251" ca="1" si="29">SUM(J235:J250)</f>
        <v>0</v>
      </c>
      <c r="K251" s="82">
        <f t="shared" ca="1" si="29"/>
        <v>0</v>
      </c>
      <c r="L251" s="82">
        <f t="shared" ca="1" si="29"/>
        <v>0</v>
      </c>
      <c r="M251" s="82">
        <f t="shared" ca="1" si="29"/>
        <v>0</v>
      </c>
      <c r="N251" s="82">
        <f t="shared" ca="1" si="29"/>
        <v>0</v>
      </c>
      <c r="O251" s="82">
        <f t="shared" ca="1" si="29"/>
        <v>0</v>
      </c>
      <c r="P251" s="82">
        <f t="shared" ca="1" si="29"/>
        <v>0</v>
      </c>
      <c r="Q251" s="82">
        <f t="shared" ca="1" si="29"/>
        <v>0</v>
      </c>
      <c r="R251" s="82">
        <f t="shared" ca="1" si="29"/>
        <v>0</v>
      </c>
      <c r="S251" s="82">
        <f t="shared" ca="1" si="29"/>
        <v>0</v>
      </c>
      <c r="T251" s="82">
        <f t="shared" ca="1" si="29"/>
        <v>0</v>
      </c>
    </row>
    <row r="252" spans="2:20" outlineLevel="1">
      <c r="B252" s="12"/>
      <c r="C252" s="12"/>
      <c r="D252" s="12"/>
      <c r="E252" s="12"/>
      <c r="F252" s="12"/>
      <c r="G252" s="12"/>
      <c r="H252" s="12"/>
      <c r="I252" s="12"/>
      <c r="J252" s="12"/>
      <c r="K252" s="12"/>
      <c r="L252" s="12"/>
      <c r="M252" s="12"/>
      <c r="N252" s="12"/>
      <c r="O252" s="12"/>
      <c r="P252" s="12"/>
      <c r="Q252" s="12"/>
      <c r="R252" s="12"/>
      <c r="S252" s="12"/>
      <c r="T252" s="12"/>
    </row>
    <row r="253" spans="2:20" outlineLevel="1"/>
    <row r="254" spans="2:20" outlineLevel="1">
      <c r="C254" s="37" t="s">
        <v>196</v>
      </c>
    </row>
    <row r="255" spans="2:20" ht="5.9" customHeight="1" outlineLevel="2"/>
    <row r="256" spans="2:20" outlineLevel="2">
      <c r="D256" s="37" t="s">
        <v>215</v>
      </c>
    </row>
    <row r="257" spans="5:20" ht="5.9" customHeight="1" outlineLevel="2"/>
    <row r="258" spans="5:20" ht="12" customHeight="1" outlineLevel="2">
      <c r="E258" s="247" t="str">
        <f>GC!C60</f>
        <v>Mains replacement</v>
      </c>
      <c r="F258" s="247"/>
      <c r="G258" s="247"/>
      <c r="H258" s="247"/>
      <c r="I258" s="247"/>
      <c r="J258" s="81">
        <f ca="1">SUMPRODUCT((Work_Codes!$AC$53:$AO$53=$E258)*(Work_Codes!$AC$56:$AO$67)*(J$155:J$166))</f>
        <v>0</v>
      </c>
      <c r="K258" s="81">
        <f ca="1">SUMPRODUCT((Work_Codes!$AC$53:$AO$53=$E258)*(Work_Codes!$AC$56:$AO$67)*(K$155:K$166))</f>
        <v>0</v>
      </c>
      <c r="L258" s="81">
        <f ca="1">SUMPRODUCT((Work_Codes!$AC$53:$AO$53=$E258)*(Work_Codes!$AC$56:$AO$67)*(L$155:L$166))</f>
        <v>0</v>
      </c>
      <c r="M258" s="81">
        <f ca="1">SUMPRODUCT((Work_Codes!$AC$53:$AO$53=$E258)*(Work_Codes!$AC$56:$AO$67)*(M$155:M$166))</f>
        <v>0</v>
      </c>
      <c r="N258" s="81">
        <f ca="1">SUMPRODUCT((Work_Codes!$AC$53:$AO$53=$E258)*(Work_Codes!$AC$56:$AO$67)*(N$155:N$166))</f>
        <v>396906.43742264062</v>
      </c>
      <c r="O258" s="81">
        <f ca="1">SUMPRODUCT((Work_Codes!$AC$53:$AO$53=$E258)*(Work_Codes!$AC$56:$AO$67)*(O$155:O$166))</f>
        <v>2000415.6738857706</v>
      </c>
      <c r="P258" s="81">
        <f ca="1">SUMPRODUCT((Work_Codes!$AC$53:$AO$53=$E258)*(Work_Codes!$AC$56:$AO$67)*(P$155:P$166))</f>
        <v>1880769.3090953713</v>
      </c>
      <c r="Q258" s="81">
        <f ca="1">SUMPRODUCT((Work_Codes!$AC$53:$AO$53=$E258)*(Work_Codes!$AC$56:$AO$67)*(Q$155:Q$166))</f>
        <v>3152281.5182053791</v>
      </c>
      <c r="R258" s="81">
        <f ca="1">SUMPRODUCT((Work_Codes!$AC$53:$AO$53=$E258)*(Work_Codes!$AC$56:$AO$67)*(R$155:R$166))</f>
        <v>6232299.4520952795</v>
      </c>
      <c r="S258" s="81">
        <f ca="1">SUMPRODUCT((Work_Codes!$AC$53:$AO$53=$E258)*(Work_Codes!$AC$56:$AO$67)*(S$155:S$166))</f>
        <v>8922483.0647615939</v>
      </c>
      <c r="T258" s="81">
        <f ca="1">SUMPRODUCT((Work_Codes!$AC$53:$AO$53=$E258)*(Work_Codes!$AC$56:$AO$67)*(T$155:T$166))</f>
        <v>6635800.8122853395</v>
      </c>
    </row>
    <row r="259" spans="5:20" ht="12" customHeight="1" outlineLevel="2">
      <c r="E259" s="247" t="str">
        <f>GC!C61</f>
        <v>Residential new customer connections</v>
      </c>
      <c r="F259" s="247"/>
      <c r="G259" s="247"/>
      <c r="H259" s="247"/>
      <c r="I259" s="247"/>
      <c r="J259" s="81">
        <f ca="1">SUMPRODUCT((Work_Codes!$AC$53:$AO$53=$E259)*(Work_Codes!$AC$56:$AO$67)*(J$155:J$166))</f>
        <v>0</v>
      </c>
      <c r="K259" s="81">
        <f ca="1">SUMPRODUCT((Work_Codes!$AC$53:$AO$53=$E259)*(Work_Codes!$AC$56:$AO$67)*(K$155:K$166))</f>
        <v>0</v>
      </c>
      <c r="L259" s="81">
        <f ca="1">SUMPRODUCT((Work_Codes!$AC$53:$AO$53=$E259)*(Work_Codes!$AC$56:$AO$67)*(L$155:L$166))</f>
        <v>0</v>
      </c>
      <c r="M259" s="81">
        <f ca="1">SUMPRODUCT((Work_Codes!$AC$53:$AO$53=$E259)*(Work_Codes!$AC$56:$AO$67)*(M$155:M$166))</f>
        <v>0</v>
      </c>
      <c r="N259" s="81">
        <f ca="1">SUMPRODUCT((Work_Codes!$AC$53:$AO$53=$E259)*(Work_Codes!$AC$56:$AO$67)*(N$155:N$166))</f>
        <v>0</v>
      </c>
      <c r="O259" s="81">
        <f ca="1">SUMPRODUCT((Work_Codes!$AC$53:$AO$53=$E259)*(Work_Codes!$AC$56:$AO$67)*(O$155:O$166))</f>
        <v>0</v>
      </c>
      <c r="P259" s="81">
        <f ca="1">SUMPRODUCT((Work_Codes!$AC$53:$AO$53=$E259)*(Work_Codes!$AC$56:$AO$67)*(P$155:P$166))</f>
        <v>0</v>
      </c>
      <c r="Q259" s="81">
        <f ca="1">SUMPRODUCT((Work_Codes!$AC$53:$AO$53=$E259)*(Work_Codes!$AC$56:$AO$67)*(Q$155:Q$166))</f>
        <v>0</v>
      </c>
      <c r="R259" s="81">
        <f ca="1">SUMPRODUCT((Work_Codes!$AC$53:$AO$53=$E259)*(Work_Codes!$AC$56:$AO$67)*(R$155:R$166))</f>
        <v>0</v>
      </c>
      <c r="S259" s="81">
        <f ca="1">SUMPRODUCT((Work_Codes!$AC$53:$AO$53=$E259)*(Work_Codes!$AC$56:$AO$67)*(S$155:S$166))</f>
        <v>0</v>
      </c>
      <c r="T259" s="81">
        <f ca="1">SUMPRODUCT((Work_Codes!$AC$53:$AO$53=$E259)*(Work_Codes!$AC$56:$AO$67)*(T$155:T$166))</f>
        <v>0</v>
      </c>
    </row>
    <row r="260" spans="5:20" ht="12" customHeight="1" outlineLevel="2">
      <c r="E260" s="247" t="str">
        <f>GC!C62</f>
        <v>Commercial and industrial new customer connections</v>
      </c>
      <c r="F260" s="247"/>
      <c r="G260" s="247"/>
      <c r="H260" s="247"/>
      <c r="I260" s="247"/>
      <c r="J260" s="81">
        <f ca="1">SUMPRODUCT((Work_Codes!$AC$53:$AO$53=$E260)*(Work_Codes!$AC$56:$AO$67)*(J$155:J$166))</f>
        <v>0</v>
      </c>
      <c r="K260" s="81">
        <f ca="1">SUMPRODUCT((Work_Codes!$AC$53:$AO$53=$E260)*(Work_Codes!$AC$56:$AO$67)*(K$155:K$166))</f>
        <v>0</v>
      </c>
      <c r="L260" s="81">
        <f ca="1">SUMPRODUCT((Work_Codes!$AC$53:$AO$53=$E260)*(Work_Codes!$AC$56:$AO$67)*(L$155:L$166))</f>
        <v>0</v>
      </c>
      <c r="M260" s="81">
        <f ca="1">SUMPRODUCT((Work_Codes!$AC$53:$AO$53=$E260)*(Work_Codes!$AC$56:$AO$67)*(M$155:M$166))</f>
        <v>0</v>
      </c>
      <c r="N260" s="81">
        <f ca="1">SUMPRODUCT((Work_Codes!$AC$53:$AO$53=$E260)*(Work_Codes!$AC$56:$AO$67)*(N$155:N$166))</f>
        <v>0</v>
      </c>
      <c r="O260" s="81">
        <f ca="1">SUMPRODUCT((Work_Codes!$AC$53:$AO$53=$E260)*(Work_Codes!$AC$56:$AO$67)*(O$155:O$166))</f>
        <v>0</v>
      </c>
      <c r="P260" s="81">
        <f ca="1">SUMPRODUCT((Work_Codes!$AC$53:$AO$53=$E260)*(Work_Codes!$AC$56:$AO$67)*(P$155:P$166))</f>
        <v>0</v>
      </c>
      <c r="Q260" s="81">
        <f ca="1">SUMPRODUCT((Work_Codes!$AC$53:$AO$53=$E260)*(Work_Codes!$AC$56:$AO$67)*(Q$155:Q$166))</f>
        <v>0</v>
      </c>
      <c r="R260" s="81">
        <f ca="1">SUMPRODUCT((Work_Codes!$AC$53:$AO$53=$E260)*(Work_Codes!$AC$56:$AO$67)*(R$155:R$166))</f>
        <v>0</v>
      </c>
      <c r="S260" s="81">
        <f ca="1">SUMPRODUCT((Work_Codes!$AC$53:$AO$53=$E260)*(Work_Codes!$AC$56:$AO$67)*(S$155:S$166))</f>
        <v>0</v>
      </c>
      <c r="T260" s="81">
        <f ca="1">SUMPRODUCT((Work_Codes!$AC$53:$AO$53=$E260)*(Work_Codes!$AC$56:$AO$67)*(T$155:T$166))</f>
        <v>0</v>
      </c>
    </row>
    <row r="261" spans="5:20" ht="12" customHeight="1" outlineLevel="2">
      <c r="E261" s="247" t="str">
        <f>GC!C63</f>
        <v>Residential meter replacement</v>
      </c>
      <c r="F261" s="247"/>
      <c r="G261" s="247"/>
      <c r="H261" s="247"/>
      <c r="I261" s="247"/>
      <c r="J261" s="81">
        <f ca="1">SUMPRODUCT((Work_Codes!$AC$53:$AO$53=$E261)*(Work_Codes!$AC$56:$AO$67)*(J$155:J$166))</f>
        <v>0</v>
      </c>
      <c r="K261" s="81">
        <f ca="1">SUMPRODUCT((Work_Codes!$AC$53:$AO$53=$E261)*(Work_Codes!$AC$56:$AO$67)*(K$155:K$166))</f>
        <v>0</v>
      </c>
      <c r="L261" s="81">
        <f ca="1">SUMPRODUCT((Work_Codes!$AC$53:$AO$53=$E261)*(Work_Codes!$AC$56:$AO$67)*(L$155:L$166))</f>
        <v>0</v>
      </c>
      <c r="M261" s="81">
        <f ca="1">SUMPRODUCT((Work_Codes!$AC$53:$AO$53=$E261)*(Work_Codes!$AC$56:$AO$67)*(M$155:M$166))</f>
        <v>0</v>
      </c>
      <c r="N261" s="81">
        <f ca="1">SUMPRODUCT((Work_Codes!$AC$53:$AO$53=$E261)*(Work_Codes!$AC$56:$AO$67)*(N$155:N$166))</f>
        <v>0</v>
      </c>
      <c r="O261" s="81">
        <f ca="1">SUMPRODUCT((Work_Codes!$AC$53:$AO$53=$E261)*(Work_Codes!$AC$56:$AO$67)*(O$155:O$166))</f>
        <v>0</v>
      </c>
      <c r="P261" s="81">
        <f ca="1">SUMPRODUCT((Work_Codes!$AC$53:$AO$53=$E261)*(Work_Codes!$AC$56:$AO$67)*(P$155:P$166))</f>
        <v>0</v>
      </c>
      <c r="Q261" s="81">
        <f ca="1">SUMPRODUCT((Work_Codes!$AC$53:$AO$53=$E261)*(Work_Codes!$AC$56:$AO$67)*(Q$155:Q$166))</f>
        <v>0</v>
      </c>
      <c r="R261" s="81">
        <f ca="1">SUMPRODUCT((Work_Codes!$AC$53:$AO$53=$E261)*(Work_Codes!$AC$56:$AO$67)*(R$155:R$166))</f>
        <v>0</v>
      </c>
      <c r="S261" s="81">
        <f ca="1">SUMPRODUCT((Work_Codes!$AC$53:$AO$53=$E261)*(Work_Codes!$AC$56:$AO$67)*(S$155:S$166))</f>
        <v>0</v>
      </c>
      <c r="T261" s="81">
        <f ca="1">SUMPRODUCT((Work_Codes!$AC$53:$AO$53=$E261)*(Work_Codes!$AC$56:$AO$67)*(T$155:T$166))</f>
        <v>0</v>
      </c>
    </row>
    <row r="262" spans="5:20" ht="12" customHeight="1" outlineLevel="2">
      <c r="E262" s="247" t="str">
        <f>GC!C64</f>
        <v>Commercial and industrial meter replacement</v>
      </c>
      <c r="F262" s="247"/>
      <c r="G262" s="247"/>
      <c r="H262" s="247"/>
      <c r="I262" s="247"/>
      <c r="J262" s="81">
        <f ca="1">SUMPRODUCT((Work_Codes!$AC$53:$AO$53=$E262)*(Work_Codes!$AC$56:$AO$67)*(J$155:J$166))</f>
        <v>0</v>
      </c>
      <c r="K262" s="81">
        <f ca="1">SUMPRODUCT((Work_Codes!$AC$53:$AO$53=$E262)*(Work_Codes!$AC$56:$AO$67)*(K$155:K$166))</f>
        <v>0</v>
      </c>
      <c r="L262" s="81">
        <f ca="1">SUMPRODUCT((Work_Codes!$AC$53:$AO$53=$E262)*(Work_Codes!$AC$56:$AO$67)*(L$155:L$166))</f>
        <v>0</v>
      </c>
      <c r="M262" s="81">
        <f ca="1">SUMPRODUCT((Work_Codes!$AC$53:$AO$53=$E262)*(Work_Codes!$AC$56:$AO$67)*(M$155:M$166))</f>
        <v>0</v>
      </c>
      <c r="N262" s="81">
        <f ca="1">SUMPRODUCT((Work_Codes!$AC$53:$AO$53=$E262)*(Work_Codes!$AC$56:$AO$67)*(N$155:N$166))</f>
        <v>0</v>
      </c>
      <c r="O262" s="81">
        <f ca="1">SUMPRODUCT((Work_Codes!$AC$53:$AO$53=$E262)*(Work_Codes!$AC$56:$AO$67)*(O$155:O$166))</f>
        <v>0</v>
      </c>
      <c r="P262" s="81">
        <f ca="1">SUMPRODUCT((Work_Codes!$AC$53:$AO$53=$E262)*(Work_Codes!$AC$56:$AO$67)*(P$155:P$166))</f>
        <v>0</v>
      </c>
      <c r="Q262" s="81">
        <f ca="1">SUMPRODUCT((Work_Codes!$AC$53:$AO$53=$E262)*(Work_Codes!$AC$56:$AO$67)*(Q$155:Q$166))</f>
        <v>0</v>
      </c>
      <c r="R262" s="81">
        <f ca="1">SUMPRODUCT((Work_Codes!$AC$53:$AO$53=$E262)*(Work_Codes!$AC$56:$AO$67)*(R$155:R$166))</f>
        <v>0</v>
      </c>
      <c r="S262" s="81">
        <f ca="1">SUMPRODUCT((Work_Codes!$AC$53:$AO$53=$E262)*(Work_Codes!$AC$56:$AO$67)*(S$155:S$166))</f>
        <v>0</v>
      </c>
      <c r="T262" s="81">
        <f ca="1">SUMPRODUCT((Work_Codes!$AC$53:$AO$53=$E262)*(Work_Codes!$AC$56:$AO$67)*(T$155:T$166))</f>
        <v>0</v>
      </c>
    </row>
    <row r="263" spans="5:20" ht="12" customHeight="1" outlineLevel="2">
      <c r="E263" s="247" t="str">
        <f>GC!C65</f>
        <v>Augmentation</v>
      </c>
      <c r="F263" s="247"/>
      <c r="G263" s="247"/>
      <c r="H263" s="247"/>
      <c r="I263" s="247"/>
      <c r="J263" s="81">
        <f ca="1">SUMPRODUCT((Work_Codes!$AC$53:$AO$53=$E263)*(Work_Codes!$AC$56:$AO$67)*(J$155:J$166))</f>
        <v>0</v>
      </c>
      <c r="K263" s="81">
        <f ca="1">SUMPRODUCT((Work_Codes!$AC$53:$AO$53=$E263)*(Work_Codes!$AC$56:$AO$67)*(K$155:K$166))</f>
        <v>0</v>
      </c>
      <c r="L263" s="81">
        <f ca="1">SUMPRODUCT((Work_Codes!$AC$53:$AO$53=$E263)*(Work_Codes!$AC$56:$AO$67)*(L$155:L$166))</f>
        <v>0</v>
      </c>
      <c r="M263" s="81">
        <f ca="1">SUMPRODUCT((Work_Codes!$AC$53:$AO$53=$E263)*(Work_Codes!$AC$56:$AO$67)*(M$155:M$166))</f>
        <v>0</v>
      </c>
      <c r="N263" s="81">
        <f ca="1">SUMPRODUCT((Work_Codes!$AC$53:$AO$53=$E263)*(Work_Codes!$AC$56:$AO$67)*(N$155:N$166))</f>
        <v>0</v>
      </c>
      <c r="O263" s="81">
        <f ca="1">SUMPRODUCT((Work_Codes!$AC$53:$AO$53=$E263)*(Work_Codes!$AC$56:$AO$67)*(O$155:O$166))</f>
        <v>0</v>
      </c>
      <c r="P263" s="81">
        <f ca="1">SUMPRODUCT((Work_Codes!$AC$53:$AO$53=$E263)*(Work_Codes!$AC$56:$AO$67)*(P$155:P$166))</f>
        <v>0</v>
      </c>
      <c r="Q263" s="81">
        <f ca="1">SUMPRODUCT((Work_Codes!$AC$53:$AO$53=$E263)*(Work_Codes!$AC$56:$AO$67)*(Q$155:Q$166))</f>
        <v>0</v>
      </c>
      <c r="R263" s="81">
        <f ca="1">SUMPRODUCT((Work_Codes!$AC$53:$AO$53=$E263)*(Work_Codes!$AC$56:$AO$67)*(R$155:R$166))</f>
        <v>0</v>
      </c>
      <c r="S263" s="81">
        <f ca="1">SUMPRODUCT((Work_Codes!$AC$53:$AO$53=$E263)*(Work_Codes!$AC$56:$AO$67)*(S$155:S$166))</f>
        <v>0</v>
      </c>
      <c r="T263" s="81">
        <f ca="1">SUMPRODUCT((Work_Codes!$AC$53:$AO$53=$E263)*(Work_Codes!$AC$56:$AO$67)*(T$155:T$166))</f>
        <v>0</v>
      </c>
    </row>
    <row r="264" spans="5:20" ht="12" customHeight="1" outlineLevel="2">
      <c r="E264" s="247" t="str">
        <f>GC!C66</f>
        <v>IT capex</v>
      </c>
      <c r="F264" s="247"/>
      <c r="G264" s="247"/>
      <c r="H264" s="247"/>
      <c r="I264" s="247"/>
      <c r="J264" s="81">
        <f ca="1">SUMPRODUCT((Work_Codes!$AC$53:$AO$53=$E264)*(Work_Codes!$AC$56:$AO$67)*(J$155:J$166))</f>
        <v>0</v>
      </c>
      <c r="K264" s="81">
        <f ca="1">SUMPRODUCT((Work_Codes!$AC$53:$AO$53=$E264)*(Work_Codes!$AC$56:$AO$67)*(K$155:K$166))</f>
        <v>0</v>
      </c>
      <c r="L264" s="81">
        <f ca="1">SUMPRODUCT((Work_Codes!$AC$53:$AO$53=$E264)*(Work_Codes!$AC$56:$AO$67)*(L$155:L$166))</f>
        <v>0</v>
      </c>
      <c r="M264" s="81">
        <f ca="1">SUMPRODUCT((Work_Codes!$AC$53:$AO$53=$E264)*(Work_Codes!$AC$56:$AO$67)*(M$155:M$166))</f>
        <v>0</v>
      </c>
      <c r="N264" s="81">
        <f ca="1">SUMPRODUCT((Work_Codes!$AC$53:$AO$53=$E264)*(Work_Codes!$AC$56:$AO$67)*(N$155:N$166))</f>
        <v>0</v>
      </c>
      <c r="O264" s="81">
        <f ca="1">SUMPRODUCT((Work_Codes!$AC$53:$AO$53=$E264)*(Work_Codes!$AC$56:$AO$67)*(O$155:O$166))</f>
        <v>0</v>
      </c>
      <c r="P264" s="81">
        <f ca="1">SUMPRODUCT((Work_Codes!$AC$53:$AO$53=$E264)*(Work_Codes!$AC$56:$AO$67)*(P$155:P$166))</f>
        <v>0</v>
      </c>
      <c r="Q264" s="81">
        <f ca="1">SUMPRODUCT((Work_Codes!$AC$53:$AO$53=$E264)*(Work_Codes!$AC$56:$AO$67)*(Q$155:Q$166))</f>
        <v>0</v>
      </c>
      <c r="R264" s="81">
        <f ca="1">SUMPRODUCT((Work_Codes!$AC$53:$AO$53=$E264)*(Work_Codes!$AC$56:$AO$67)*(R$155:R$166))</f>
        <v>0</v>
      </c>
      <c r="S264" s="81">
        <f ca="1">SUMPRODUCT((Work_Codes!$AC$53:$AO$53=$E264)*(Work_Codes!$AC$56:$AO$67)*(S$155:S$166))</f>
        <v>0</v>
      </c>
      <c r="T264" s="81">
        <f ca="1">SUMPRODUCT((Work_Codes!$AC$53:$AO$53=$E264)*(Work_Codes!$AC$56:$AO$67)*(T$155:T$166))</f>
        <v>0</v>
      </c>
    </row>
    <row r="265" spans="5:20" ht="12" customHeight="1" outlineLevel="2">
      <c r="E265" s="247" t="str">
        <f>GC!C67</f>
        <v>SCADA</v>
      </c>
      <c r="F265" s="247"/>
      <c r="G265" s="247"/>
      <c r="H265" s="247"/>
      <c r="I265" s="247"/>
      <c r="J265" s="81">
        <f ca="1">SUMPRODUCT((Work_Codes!$AC$53:$AO$53=$E265)*(Work_Codes!$AC$56:$AO$67)*(J$155:J$166))</f>
        <v>0</v>
      </c>
      <c r="K265" s="81">
        <f ca="1">SUMPRODUCT((Work_Codes!$AC$53:$AO$53=$E265)*(Work_Codes!$AC$56:$AO$67)*(K$155:K$166))</f>
        <v>0</v>
      </c>
      <c r="L265" s="81">
        <f ca="1">SUMPRODUCT((Work_Codes!$AC$53:$AO$53=$E265)*(Work_Codes!$AC$56:$AO$67)*(L$155:L$166))</f>
        <v>0</v>
      </c>
      <c r="M265" s="81">
        <f ca="1">SUMPRODUCT((Work_Codes!$AC$53:$AO$53=$E265)*(Work_Codes!$AC$56:$AO$67)*(M$155:M$166))</f>
        <v>0</v>
      </c>
      <c r="N265" s="81">
        <f ca="1">SUMPRODUCT((Work_Codes!$AC$53:$AO$53=$E265)*(Work_Codes!$AC$56:$AO$67)*(N$155:N$166))</f>
        <v>0</v>
      </c>
      <c r="O265" s="81">
        <f ca="1">SUMPRODUCT((Work_Codes!$AC$53:$AO$53=$E265)*(Work_Codes!$AC$56:$AO$67)*(O$155:O$166))</f>
        <v>0</v>
      </c>
      <c r="P265" s="81">
        <f ca="1">SUMPRODUCT((Work_Codes!$AC$53:$AO$53=$E265)*(Work_Codes!$AC$56:$AO$67)*(P$155:P$166))</f>
        <v>0</v>
      </c>
      <c r="Q265" s="81">
        <f ca="1">SUMPRODUCT((Work_Codes!$AC$53:$AO$53=$E265)*(Work_Codes!$AC$56:$AO$67)*(Q$155:Q$166))</f>
        <v>0</v>
      </c>
      <c r="R265" s="81">
        <f ca="1">SUMPRODUCT((Work_Codes!$AC$53:$AO$53=$E265)*(Work_Codes!$AC$56:$AO$67)*(R$155:R$166))</f>
        <v>0</v>
      </c>
      <c r="S265" s="81">
        <f ca="1">SUMPRODUCT((Work_Codes!$AC$53:$AO$53=$E265)*(Work_Codes!$AC$56:$AO$67)*(S$155:S$166))</f>
        <v>0</v>
      </c>
      <c r="T265" s="81">
        <f ca="1">SUMPRODUCT((Work_Codes!$AC$53:$AO$53=$E265)*(Work_Codes!$AC$56:$AO$67)*(T$155:T$166))</f>
        <v>0</v>
      </c>
    </row>
    <row r="266" spans="5:20" ht="12" customHeight="1" outlineLevel="2">
      <c r="E266" s="247" t="str">
        <f>GC!C68</f>
        <v>Other</v>
      </c>
      <c r="F266" s="247"/>
      <c r="G266" s="247"/>
      <c r="H266" s="247"/>
      <c r="I266" s="247"/>
      <c r="J266" s="81">
        <f ca="1">SUMPRODUCT((Work_Codes!$AC$53:$AO$53=$E266)*(Work_Codes!$AC$56:$AO$67)*(J$155:J$166))</f>
        <v>0</v>
      </c>
      <c r="K266" s="81">
        <f ca="1">SUMPRODUCT((Work_Codes!$AC$53:$AO$53=$E266)*(Work_Codes!$AC$56:$AO$67)*(K$155:K$166))</f>
        <v>0</v>
      </c>
      <c r="L266" s="81">
        <f ca="1">SUMPRODUCT((Work_Codes!$AC$53:$AO$53=$E266)*(Work_Codes!$AC$56:$AO$67)*(L$155:L$166))</f>
        <v>0</v>
      </c>
      <c r="M266" s="81">
        <f ca="1">SUMPRODUCT((Work_Codes!$AC$53:$AO$53=$E266)*(Work_Codes!$AC$56:$AO$67)*(M$155:M$166))</f>
        <v>0</v>
      </c>
      <c r="N266" s="81">
        <f ca="1">SUMPRODUCT((Work_Codes!$AC$53:$AO$53=$E266)*(Work_Codes!$AC$56:$AO$67)*(N$155:N$166))</f>
        <v>0</v>
      </c>
      <c r="O266" s="81">
        <f ca="1">SUMPRODUCT((Work_Codes!$AC$53:$AO$53=$E266)*(Work_Codes!$AC$56:$AO$67)*(O$155:O$166))</f>
        <v>0</v>
      </c>
      <c r="P266" s="81">
        <f ca="1">SUMPRODUCT((Work_Codes!$AC$53:$AO$53=$E266)*(Work_Codes!$AC$56:$AO$67)*(P$155:P$166))</f>
        <v>0</v>
      </c>
      <c r="Q266" s="81">
        <f ca="1">SUMPRODUCT((Work_Codes!$AC$53:$AO$53=$E266)*(Work_Codes!$AC$56:$AO$67)*(Q$155:Q$166))</f>
        <v>0</v>
      </c>
      <c r="R266" s="81">
        <f ca="1">SUMPRODUCT((Work_Codes!$AC$53:$AO$53=$E266)*(Work_Codes!$AC$56:$AO$67)*(R$155:R$166))</f>
        <v>0</v>
      </c>
      <c r="S266" s="81">
        <f ca="1">SUMPRODUCT((Work_Codes!$AC$53:$AO$53=$E266)*(Work_Codes!$AC$56:$AO$67)*(S$155:S$166))</f>
        <v>0</v>
      </c>
      <c r="T266" s="81">
        <f ca="1">SUMPRODUCT((Work_Codes!$AC$53:$AO$53=$E266)*(Work_Codes!$AC$56:$AO$67)*(T$155:T$166))</f>
        <v>0</v>
      </c>
    </row>
    <row r="267" spans="5:20" outlineLevel="2">
      <c r="E267" s="247" t="str">
        <f>GC!C69</f>
        <v>Capitalised Leases</v>
      </c>
      <c r="F267" s="247"/>
      <c r="G267" s="247"/>
      <c r="H267" s="247"/>
      <c r="I267" s="247"/>
      <c r="J267" s="81">
        <f ca="1">SUMPRODUCT((Work_Codes!$AC$53:$AO$53=$E267)*(Work_Codes!$AC$56:$AO$67)*(J$155:J$166))</f>
        <v>0</v>
      </c>
      <c r="K267" s="81">
        <f ca="1">SUMPRODUCT((Work_Codes!$AC$53:$AO$53=$E267)*(Work_Codes!$AC$56:$AO$67)*(K$155:K$166))</f>
        <v>0</v>
      </c>
      <c r="L267" s="81">
        <f ca="1">SUMPRODUCT((Work_Codes!$AC$53:$AO$53=$E267)*(Work_Codes!$AC$56:$AO$67)*(L$155:L$166))</f>
        <v>0</v>
      </c>
      <c r="M267" s="81">
        <f ca="1">SUMPRODUCT((Work_Codes!$AC$53:$AO$53=$E267)*(Work_Codes!$AC$56:$AO$67)*(M$155:M$166))</f>
        <v>0</v>
      </c>
      <c r="N267" s="81">
        <f ca="1">SUMPRODUCT((Work_Codes!$AC$53:$AO$53=$E267)*(Work_Codes!$AC$56:$AO$67)*(N$155:N$166))</f>
        <v>0</v>
      </c>
      <c r="O267" s="81">
        <f ca="1">SUMPRODUCT((Work_Codes!$AC$53:$AO$53=$E267)*(Work_Codes!$AC$56:$AO$67)*(O$155:O$166))</f>
        <v>0</v>
      </c>
      <c r="P267" s="81">
        <f ca="1">SUMPRODUCT((Work_Codes!$AC$53:$AO$53=$E267)*(Work_Codes!$AC$56:$AO$67)*(P$155:P$166))</f>
        <v>0</v>
      </c>
      <c r="Q267" s="81">
        <f ca="1">SUMPRODUCT((Work_Codes!$AC$53:$AO$53=$E267)*(Work_Codes!$AC$56:$AO$67)*(Q$155:Q$166))</f>
        <v>0</v>
      </c>
      <c r="R267" s="81">
        <f ca="1">SUMPRODUCT((Work_Codes!$AC$53:$AO$53=$E267)*(Work_Codes!$AC$56:$AO$67)*(R$155:R$166))</f>
        <v>0</v>
      </c>
      <c r="S267" s="81">
        <f ca="1">SUMPRODUCT((Work_Codes!$AC$53:$AO$53=$E267)*(Work_Codes!$AC$56:$AO$67)*(S$155:S$166))</f>
        <v>0</v>
      </c>
      <c r="T267" s="81">
        <f ca="1">SUMPRODUCT((Work_Codes!$AC$53:$AO$53=$E267)*(Work_Codes!$AC$56:$AO$67)*(T$155:T$166))</f>
        <v>0</v>
      </c>
    </row>
    <row r="268" spans="5:20" ht="12" customHeight="1" outlineLevel="2">
      <c r="E268" s="247" t="str">
        <f>GC!C70</f>
        <v>Gas Extensions - Energy for the Regions</v>
      </c>
      <c r="F268" s="247"/>
      <c r="G268" s="247"/>
      <c r="H268" s="247"/>
      <c r="I268" s="247"/>
      <c r="J268" s="81">
        <f ca="1">SUMPRODUCT((Work_Codes!$AC$53:$AO$53=$E268)*(Work_Codes!$AC$56:$AO$67)*(J$155:J$166))</f>
        <v>0</v>
      </c>
      <c r="K268" s="81">
        <f ca="1">SUMPRODUCT((Work_Codes!$AC$53:$AO$53=$E268)*(Work_Codes!$AC$56:$AO$67)*(K$155:K$166))</f>
        <v>0</v>
      </c>
      <c r="L268" s="81">
        <f ca="1">SUMPRODUCT((Work_Codes!$AC$53:$AO$53=$E268)*(Work_Codes!$AC$56:$AO$67)*(L$155:L$166))</f>
        <v>0</v>
      </c>
      <c r="M268" s="81">
        <f ca="1">SUMPRODUCT((Work_Codes!$AC$53:$AO$53=$E268)*(Work_Codes!$AC$56:$AO$67)*(M$155:M$166))</f>
        <v>0</v>
      </c>
      <c r="N268" s="81">
        <f ca="1">SUMPRODUCT((Work_Codes!$AC$53:$AO$53=$E268)*(Work_Codes!$AC$56:$AO$67)*(N$155:N$166))</f>
        <v>0</v>
      </c>
      <c r="O268" s="81">
        <f ca="1">SUMPRODUCT((Work_Codes!$AC$53:$AO$53=$E268)*(Work_Codes!$AC$56:$AO$67)*(O$155:O$166))</f>
        <v>0</v>
      </c>
      <c r="P268" s="81">
        <f ca="1">SUMPRODUCT((Work_Codes!$AC$53:$AO$53=$E268)*(Work_Codes!$AC$56:$AO$67)*(P$155:P$166))</f>
        <v>0</v>
      </c>
      <c r="Q268" s="81">
        <f ca="1">SUMPRODUCT((Work_Codes!$AC$53:$AO$53=$E268)*(Work_Codes!$AC$56:$AO$67)*(Q$155:Q$166))</f>
        <v>0</v>
      </c>
      <c r="R268" s="81">
        <f ca="1">SUMPRODUCT((Work_Codes!$AC$53:$AO$53=$E268)*(Work_Codes!$AC$56:$AO$67)*(R$155:R$166))</f>
        <v>0</v>
      </c>
      <c r="S268" s="81">
        <f ca="1">SUMPRODUCT((Work_Codes!$AC$53:$AO$53=$E268)*(Work_Codes!$AC$56:$AO$67)*(S$155:S$166))</f>
        <v>0</v>
      </c>
      <c r="T268" s="81">
        <f ca="1">SUMPRODUCT((Work_Codes!$AC$53:$AO$53=$E268)*(Work_Codes!$AC$56:$AO$67)*(T$155:T$166))</f>
        <v>0</v>
      </c>
    </row>
    <row r="269" spans="5:20" ht="12" customHeight="1" outlineLevel="2">
      <c r="E269" s="247" t="str">
        <f>GC!C71</f>
        <v>Gas Extensions - Other</v>
      </c>
      <c r="F269" s="247"/>
      <c r="G269" s="247"/>
      <c r="H269" s="247"/>
      <c r="I269" s="247"/>
      <c r="J269" s="81">
        <f ca="1">SUMPRODUCT((Work_Codes!$AC$53:$AO$53=$E269)*(Work_Codes!$AC$56:$AO$67)*(J$155:J$166))</f>
        <v>0</v>
      </c>
      <c r="K269" s="81">
        <f ca="1">SUMPRODUCT((Work_Codes!$AC$53:$AO$53=$E269)*(Work_Codes!$AC$56:$AO$67)*(K$155:K$166))</f>
        <v>0</v>
      </c>
      <c r="L269" s="81">
        <f ca="1">SUMPRODUCT((Work_Codes!$AC$53:$AO$53=$E269)*(Work_Codes!$AC$56:$AO$67)*(L$155:L$166))</f>
        <v>0</v>
      </c>
      <c r="M269" s="81">
        <f ca="1">SUMPRODUCT((Work_Codes!$AC$53:$AO$53=$E269)*(Work_Codes!$AC$56:$AO$67)*(M$155:M$166))</f>
        <v>0</v>
      </c>
      <c r="N269" s="81">
        <f ca="1">SUMPRODUCT((Work_Codes!$AC$53:$AO$53=$E269)*(Work_Codes!$AC$56:$AO$67)*(N$155:N$166))</f>
        <v>0</v>
      </c>
      <c r="O269" s="81">
        <f ca="1">SUMPRODUCT((Work_Codes!$AC$53:$AO$53=$E269)*(Work_Codes!$AC$56:$AO$67)*(O$155:O$166))</f>
        <v>0</v>
      </c>
      <c r="P269" s="81">
        <f ca="1">SUMPRODUCT((Work_Codes!$AC$53:$AO$53=$E269)*(Work_Codes!$AC$56:$AO$67)*(P$155:P$166))</f>
        <v>0</v>
      </c>
      <c r="Q269" s="81">
        <f ca="1">SUMPRODUCT((Work_Codes!$AC$53:$AO$53=$E269)*(Work_Codes!$AC$56:$AO$67)*(Q$155:Q$166))</f>
        <v>0</v>
      </c>
      <c r="R269" s="81">
        <f ca="1">SUMPRODUCT((Work_Codes!$AC$53:$AO$53=$E269)*(Work_Codes!$AC$56:$AO$67)*(R$155:R$166))</f>
        <v>0</v>
      </c>
      <c r="S269" s="81">
        <f ca="1">SUMPRODUCT((Work_Codes!$AC$53:$AO$53=$E269)*(Work_Codes!$AC$56:$AO$67)*(S$155:S$166))</f>
        <v>0</v>
      </c>
      <c r="T269" s="81">
        <f ca="1">SUMPRODUCT((Work_Codes!$AC$53:$AO$53=$E269)*(Work_Codes!$AC$56:$AO$67)*(T$155:T$166))</f>
        <v>0</v>
      </c>
    </row>
    <row r="270" spans="5:20" ht="12" customHeight="1" outlineLevel="2">
      <c r="E270" s="247" t="str">
        <f>GC!C72</f>
        <v>Customer contributions</v>
      </c>
      <c r="F270" s="247"/>
      <c r="G270" s="247"/>
      <c r="H270" s="247"/>
      <c r="I270" s="247"/>
      <c r="J270" s="81">
        <f ca="1">SUMPRODUCT((Work_Codes!$AC$53:$AO$53=$E270)*(Work_Codes!$AC$56:$AO$67)*(J$155:J$166))</f>
        <v>0</v>
      </c>
      <c r="K270" s="81">
        <f ca="1">SUMPRODUCT((Work_Codes!$AC$53:$AO$53=$E270)*(Work_Codes!$AC$56:$AO$67)*(K$155:K$166))</f>
        <v>0</v>
      </c>
      <c r="L270" s="81">
        <f ca="1">SUMPRODUCT((Work_Codes!$AC$53:$AO$53=$E270)*(Work_Codes!$AC$56:$AO$67)*(L$155:L$166))</f>
        <v>0</v>
      </c>
      <c r="M270" s="81">
        <f ca="1">SUMPRODUCT((Work_Codes!$AC$53:$AO$53=$E270)*(Work_Codes!$AC$56:$AO$67)*(M$155:M$166))</f>
        <v>0</v>
      </c>
      <c r="N270" s="81">
        <f ca="1">SUMPRODUCT((Work_Codes!$AC$53:$AO$53=$E270)*(Work_Codes!$AC$56:$AO$67)*(N$155:N$166))</f>
        <v>0</v>
      </c>
      <c r="O270" s="81">
        <f ca="1">SUMPRODUCT((Work_Codes!$AC$53:$AO$53=$E270)*(Work_Codes!$AC$56:$AO$67)*(O$155:O$166))</f>
        <v>0</v>
      </c>
      <c r="P270" s="81">
        <f ca="1">SUMPRODUCT((Work_Codes!$AC$53:$AO$53=$E270)*(Work_Codes!$AC$56:$AO$67)*(P$155:P$166))</f>
        <v>0</v>
      </c>
      <c r="Q270" s="81">
        <f ca="1">SUMPRODUCT((Work_Codes!$AC$53:$AO$53=$E270)*(Work_Codes!$AC$56:$AO$67)*(Q$155:Q$166))</f>
        <v>0</v>
      </c>
      <c r="R270" s="81">
        <f ca="1">SUMPRODUCT((Work_Codes!$AC$53:$AO$53=$E270)*(Work_Codes!$AC$56:$AO$67)*(R$155:R$166))</f>
        <v>0</v>
      </c>
      <c r="S270" s="81">
        <f ca="1">SUMPRODUCT((Work_Codes!$AC$53:$AO$53=$E270)*(Work_Codes!$AC$56:$AO$67)*(S$155:S$166))</f>
        <v>0</v>
      </c>
      <c r="T270" s="81">
        <f ca="1">SUMPRODUCT((Work_Codes!$AC$53:$AO$53=$E270)*(Work_Codes!$AC$56:$AO$67)*(T$155:T$166))</f>
        <v>0</v>
      </c>
    </row>
    <row r="271" spans="5:20" ht="12" customHeight="1" outlineLevel="2">
      <c r="E271" s="247" t="str">
        <f>GC!C73</f>
        <v>Government contributions</v>
      </c>
      <c r="F271" s="247"/>
      <c r="G271" s="247"/>
      <c r="H271" s="247"/>
      <c r="I271" s="247"/>
      <c r="J271" s="81">
        <f ca="1">SUMPRODUCT((Work_Codes!$AC$53:$AO$53=$E271)*(Work_Codes!$AC$56:$AO$67)*(J$155:J$166))</f>
        <v>0</v>
      </c>
      <c r="K271" s="81">
        <f ca="1">SUMPRODUCT((Work_Codes!$AC$53:$AO$53=$E271)*(Work_Codes!$AC$56:$AO$67)*(K$155:K$166))</f>
        <v>0</v>
      </c>
      <c r="L271" s="81">
        <f ca="1">SUMPRODUCT((Work_Codes!$AC$53:$AO$53=$E271)*(Work_Codes!$AC$56:$AO$67)*(L$155:L$166))</f>
        <v>0</v>
      </c>
      <c r="M271" s="81">
        <f ca="1">SUMPRODUCT((Work_Codes!$AC$53:$AO$53=$E271)*(Work_Codes!$AC$56:$AO$67)*(M$155:M$166))</f>
        <v>0</v>
      </c>
      <c r="N271" s="81">
        <f ca="1">SUMPRODUCT((Work_Codes!$AC$53:$AO$53=$E271)*(Work_Codes!$AC$56:$AO$67)*(N$155:N$166))</f>
        <v>0</v>
      </c>
      <c r="O271" s="81">
        <f ca="1">SUMPRODUCT((Work_Codes!$AC$53:$AO$53=$E271)*(Work_Codes!$AC$56:$AO$67)*(O$155:O$166))</f>
        <v>0</v>
      </c>
      <c r="P271" s="81">
        <f ca="1">SUMPRODUCT((Work_Codes!$AC$53:$AO$53=$E271)*(Work_Codes!$AC$56:$AO$67)*(P$155:P$166))</f>
        <v>0</v>
      </c>
      <c r="Q271" s="81">
        <f ca="1">SUMPRODUCT((Work_Codes!$AC$53:$AO$53=$E271)*(Work_Codes!$AC$56:$AO$67)*(Q$155:Q$166))</f>
        <v>0</v>
      </c>
      <c r="R271" s="81">
        <f ca="1">SUMPRODUCT((Work_Codes!$AC$53:$AO$53=$E271)*(Work_Codes!$AC$56:$AO$67)*(R$155:R$166))</f>
        <v>0</v>
      </c>
      <c r="S271" s="81">
        <f ca="1">SUMPRODUCT((Work_Codes!$AC$53:$AO$53=$E271)*(Work_Codes!$AC$56:$AO$67)*(S$155:S$166))</f>
        <v>0</v>
      </c>
      <c r="T271" s="81">
        <f ca="1">SUMPRODUCT((Work_Codes!$AC$53:$AO$53=$E271)*(Work_Codes!$AC$56:$AO$67)*(T$155:T$166))</f>
        <v>0</v>
      </c>
    </row>
    <row r="272" spans="5:20" ht="12" customHeight="1" outlineLevel="2">
      <c r="E272" s="249" t="str">
        <f>"Total "&amp;D256</f>
        <v>Total Direct Costs</v>
      </c>
      <c r="F272" s="249"/>
      <c r="G272" s="249"/>
      <c r="H272" s="249"/>
      <c r="I272" s="249"/>
      <c r="J272" s="82">
        <f t="shared" ref="J272:T272" ca="1" si="30">SUM(J258:J271)</f>
        <v>0</v>
      </c>
      <c r="K272" s="82">
        <f t="shared" ca="1" si="30"/>
        <v>0</v>
      </c>
      <c r="L272" s="82">
        <f t="shared" ca="1" si="30"/>
        <v>0</v>
      </c>
      <c r="M272" s="82">
        <f t="shared" ca="1" si="30"/>
        <v>0</v>
      </c>
      <c r="N272" s="82">
        <f t="shared" ca="1" si="30"/>
        <v>396906.43742264062</v>
      </c>
      <c r="O272" s="82">
        <f t="shared" ca="1" si="30"/>
        <v>2000415.6738857706</v>
      </c>
      <c r="P272" s="82">
        <f t="shared" ca="1" si="30"/>
        <v>1880769.3090953713</v>
      </c>
      <c r="Q272" s="82">
        <f t="shared" ca="1" si="30"/>
        <v>3152281.5182053791</v>
      </c>
      <c r="R272" s="82">
        <f t="shared" ca="1" si="30"/>
        <v>6232299.4520952795</v>
      </c>
      <c r="S272" s="82">
        <f t="shared" ca="1" si="30"/>
        <v>8922483.0647615939</v>
      </c>
      <c r="T272" s="82">
        <f t="shared" ca="1" si="30"/>
        <v>6635800.8122853395</v>
      </c>
    </row>
    <row r="273" spans="4:20" outlineLevel="2"/>
    <row r="274" spans="4:20" outlineLevel="2">
      <c r="D274" s="37" t="s">
        <v>216</v>
      </c>
    </row>
    <row r="275" spans="4:20" ht="5.9" customHeight="1" outlineLevel="2"/>
    <row r="276" spans="4:20" ht="12" customHeight="1" outlineLevel="2">
      <c r="E276" s="247" t="str">
        <f>GC!C60</f>
        <v>Mains replacement</v>
      </c>
      <c r="F276" s="247"/>
      <c r="G276" s="247"/>
      <c r="H276" s="247"/>
      <c r="I276" s="247"/>
      <c r="J276" s="81">
        <f ca="1">J258*(1+INDEX(J$35:J$37,MATCH(Work_Codes!$I$50,$D$35:$D$37,0)))</f>
        <v>0</v>
      </c>
      <c r="K276" s="81">
        <f ca="1">K258*(1+INDEX(K$35:K$37,MATCH(Work_Codes!$I$50,$D$35:$D$37,0)))</f>
        <v>0</v>
      </c>
      <c r="L276" s="81">
        <f ca="1">L258*(1+INDEX(L$35:L$37,MATCH(Work_Codes!$I$50,$D$35:$D$37,0)))</f>
        <v>0</v>
      </c>
      <c r="M276" s="81">
        <f ca="1">M258*(1+INDEX(M$35:M$37,MATCH(Work_Codes!$I$50,$D$35:$D$37,0)))</f>
        <v>0</v>
      </c>
      <c r="N276" s="81">
        <f ca="1">N258*(1+INDEX(N$35:N$37,MATCH(Work_Codes!$I$50,$D$35:$D$37,0)))</f>
        <v>411874.17901462101</v>
      </c>
      <c r="O276" s="81">
        <f ca="1">O258*(1+INDEX(O$35:O$37,MATCH(Work_Codes!$I$50,$D$35:$D$37,0)))</f>
        <v>2066997.4472719352</v>
      </c>
      <c r="P276" s="81">
        <f ca="1">P258*(1+INDEX(P$35:P$37,MATCH(Work_Codes!$I$50,$D$35:$D$37,0)))</f>
        <v>1931084.891925707</v>
      </c>
      <c r="Q276" s="81">
        <f ca="1">Q258*(1+INDEX(Q$35:Q$37,MATCH(Work_Codes!$I$50,$D$35:$D$37,0)))</f>
        <v>3234431.8260591892</v>
      </c>
      <c r="R276" s="81">
        <f ca="1">R258*(1+INDEX(R$35:R$37,MATCH(Work_Codes!$I$50,$D$35:$D$37,0)))</f>
        <v>6399780.0725878729</v>
      </c>
      <c r="S276" s="81">
        <f ca="1">S258*(1+INDEX(S$35:S$37,MATCH(Work_Codes!$I$50,$D$35:$D$37,0)))</f>
        <v>9177185.8628112562</v>
      </c>
      <c r="T276" s="81">
        <f ca="1">T258*(1+INDEX(T$35:T$37,MATCH(Work_Codes!$I$50,$D$35:$D$37,0)))</f>
        <v>6834346.4822732471</v>
      </c>
    </row>
    <row r="277" spans="4:20" ht="12" customHeight="1" outlineLevel="2">
      <c r="E277" s="247" t="str">
        <f>GC!C61</f>
        <v>Residential new customer connections</v>
      </c>
      <c r="F277" s="247"/>
      <c r="G277" s="247"/>
      <c r="H277" s="247"/>
      <c r="I277" s="247"/>
      <c r="J277" s="81">
        <f ca="1">J259*(1+INDEX(J$35:J$37,MATCH(Work_Codes!$I$50,$D$35:$D$37,0)))</f>
        <v>0</v>
      </c>
      <c r="K277" s="81">
        <f ca="1">K259*(1+INDEX(K$35:K$37,MATCH(Work_Codes!$I$50,$D$35:$D$37,0)))</f>
        <v>0</v>
      </c>
      <c r="L277" s="81">
        <f ca="1">L259*(1+INDEX(L$35:L$37,MATCH(Work_Codes!$I$50,$D$35:$D$37,0)))</f>
        <v>0</v>
      </c>
      <c r="M277" s="81">
        <f ca="1">M259*(1+INDEX(M$35:M$37,MATCH(Work_Codes!$I$50,$D$35:$D$37,0)))</f>
        <v>0</v>
      </c>
      <c r="N277" s="81">
        <f ca="1">N259*(1+INDEX(N$35:N$37,MATCH(Work_Codes!$I$50,$D$35:$D$37,0)))</f>
        <v>0</v>
      </c>
      <c r="O277" s="81">
        <f ca="1">O259*(1+INDEX(O$35:O$37,MATCH(Work_Codes!$I$50,$D$35:$D$37,0)))</f>
        <v>0</v>
      </c>
      <c r="P277" s="81">
        <f ca="1">P259*(1+INDEX(P$35:P$37,MATCH(Work_Codes!$I$50,$D$35:$D$37,0)))</f>
        <v>0</v>
      </c>
      <c r="Q277" s="81">
        <f ca="1">Q259*(1+INDEX(Q$35:Q$37,MATCH(Work_Codes!$I$50,$D$35:$D$37,0)))</f>
        <v>0</v>
      </c>
      <c r="R277" s="81">
        <f ca="1">R259*(1+INDEX(R$35:R$37,MATCH(Work_Codes!$I$50,$D$35:$D$37,0)))</f>
        <v>0</v>
      </c>
      <c r="S277" s="81">
        <f ca="1">S259*(1+INDEX(S$35:S$37,MATCH(Work_Codes!$I$50,$D$35:$D$37,0)))</f>
        <v>0</v>
      </c>
      <c r="T277" s="81">
        <f ca="1">T259*(1+INDEX(T$35:T$37,MATCH(Work_Codes!$I$50,$D$35:$D$37,0)))</f>
        <v>0</v>
      </c>
    </row>
    <row r="278" spans="4:20" ht="12" customHeight="1" outlineLevel="2">
      <c r="E278" s="247" t="str">
        <f>GC!C62</f>
        <v>Commercial and industrial new customer connections</v>
      </c>
      <c r="F278" s="247"/>
      <c r="G278" s="247"/>
      <c r="H278" s="247"/>
      <c r="I278" s="247"/>
      <c r="J278" s="81">
        <f ca="1">J260*(1+INDEX(J$35:J$37,MATCH(Work_Codes!$I$50,$D$35:$D$37,0)))</f>
        <v>0</v>
      </c>
      <c r="K278" s="81">
        <f ca="1">K260*(1+INDEX(K$35:K$37,MATCH(Work_Codes!$I$50,$D$35:$D$37,0)))</f>
        <v>0</v>
      </c>
      <c r="L278" s="81">
        <f ca="1">L260*(1+INDEX(L$35:L$37,MATCH(Work_Codes!$I$50,$D$35:$D$37,0)))</f>
        <v>0</v>
      </c>
      <c r="M278" s="81">
        <f ca="1">M260*(1+INDEX(M$35:M$37,MATCH(Work_Codes!$I$50,$D$35:$D$37,0)))</f>
        <v>0</v>
      </c>
      <c r="N278" s="81">
        <f ca="1">N260*(1+INDEX(N$35:N$37,MATCH(Work_Codes!$I$50,$D$35:$D$37,0)))</f>
        <v>0</v>
      </c>
      <c r="O278" s="81">
        <f ca="1">O260*(1+INDEX(O$35:O$37,MATCH(Work_Codes!$I$50,$D$35:$D$37,0)))</f>
        <v>0</v>
      </c>
      <c r="P278" s="81">
        <f ca="1">P260*(1+INDEX(P$35:P$37,MATCH(Work_Codes!$I$50,$D$35:$D$37,0)))</f>
        <v>0</v>
      </c>
      <c r="Q278" s="81">
        <f ca="1">Q260*(1+INDEX(Q$35:Q$37,MATCH(Work_Codes!$I$50,$D$35:$D$37,0)))</f>
        <v>0</v>
      </c>
      <c r="R278" s="81">
        <f ca="1">R260*(1+INDEX(R$35:R$37,MATCH(Work_Codes!$I$50,$D$35:$D$37,0)))</f>
        <v>0</v>
      </c>
      <c r="S278" s="81">
        <f ca="1">S260*(1+INDEX(S$35:S$37,MATCH(Work_Codes!$I$50,$D$35:$D$37,0)))</f>
        <v>0</v>
      </c>
      <c r="T278" s="81">
        <f ca="1">T260*(1+INDEX(T$35:T$37,MATCH(Work_Codes!$I$50,$D$35:$D$37,0)))</f>
        <v>0</v>
      </c>
    </row>
    <row r="279" spans="4:20" ht="12" customHeight="1" outlineLevel="2">
      <c r="E279" s="247" t="str">
        <f>GC!C63</f>
        <v>Residential meter replacement</v>
      </c>
      <c r="F279" s="247"/>
      <c r="G279" s="247"/>
      <c r="H279" s="247"/>
      <c r="I279" s="247"/>
      <c r="J279" s="81">
        <f ca="1">J261*(1+INDEX(J$35:J$37,MATCH(Work_Codes!$I$50,$D$35:$D$37,0)))</f>
        <v>0</v>
      </c>
      <c r="K279" s="81">
        <f ca="1">K261*(1+INDEX(K$35:K$37,MATCH(Work_Codes!$I$50,$D$35:$D$37,0)))</f>
        <v>0</v>
      </c>
      <c r="L279" s="81">
        <f ca="1">L261*(1+INDEX(L$35:L$37,MATCH(Work_Codes!$I$50,$D$35:$D$37,0)))</f>
        <v>0</v>
      </c>
      <c r="M279" s="81">
        <f ca="1">M261*(1+INDEX(M$35:M$37,MATCH(Work_Codes!$I$50,$D$35:$D$37,0)))</f>
        <v>0</v>
      </c>
      <c r="N279" s="81">
        <f ca="1">N261*(1+INDEX(N$35:N$37,MATCH(Work_Codes!$I$50,$D$35:$D$37,0)))</f>
        <v>0</v>
      </c>
      <c r="O279" s="81">
        <f ca="1">O261*(1+INDEX(O$35:O$37,MATCH(Work_Codes!$I$50,$D$35:$D$37,0)))</f>
        <v>0</v>
      </c>
      <c r="P279" s="81">
        <f ca="1">P261*(1+INDEX(P$35:P$37,MATCH(Work_Codes!$I$50,$D$35:$D$37,0)))</f>
        <v>0</v>
      </c>
      <c r="Q279" s="81">
        <f ca="1">Q261*(1+INDEX(Q$35:Q$37,MATCH(Work_Codes!$I$50,$D$35:$D$37,0)))</f>
        <v>0</v>
      </c>
      <c r="R279" s="81">
        <f ca="1">R261*(1+INDEX(R$35:R$37,MATCH(Work_Codes!$I$50,$D$35:$D$37,0)))</f>
        <v>0</v>
      </c>
      <c r="S279" s="81">
        <f ca="1">S261*(1+INDEX(S$35:S$37,MATCH(Work_Codes!$I$50,$D$35:$D$37,0)))</f>
        <v>0</v>
      </c>
      <c r="T279" s="81">
        <f ca="1">T261*(1+INDEX(T$35:T$37,MATCH(Work_Codes!$I$50,$D$35:$D$37,0)))</f>
        <v>0</v>
      </c>
    </row>
    <row r="280" spans="4:20" ht="12" customHeight="1" outlineLevel="2">
      <c r="E280" s="247" t="str">
        <f>GC!C64</f>
        <v>Commercial and industrial meter replacement</v>
      </c>
      <c r="F280" s="247"/>
      <c r="G280" s="247"/>
      <c r="H280" s="247"/>
      <c r="I280" s="247"/>
      <c r="J280" s="81">
        <f ca="1">J262*(1+INDEX(J$35:J$37,MATCH(Work_Codes!$I$50,$D$35:$D$37,0)))</f>
        <v>0</v>
      </c>
      <c r="K280" s="81">
        <f ca="1">K262*(1+INDEX(K$35:K$37,MATCH(Work_Codes!$I$50,$D$35:$D$37,0)))</f>
        <v>0</v>
      </c>
      <c r="L280" s="81">
        <f ca="1">L262*(1+INDEX(L$35:L$37,MATCH(Work_Codes!$I$50,$D$35:$D$37,0)))</f>
        <v>0</v>
      </c>
      <c r="M280" s="81">
        <f ca="1">M262*(1+INDEX(M$35:M$37,MATCH(Work_Codes!$I$50,$D$35:$D$37,0)))</f>
        <v>0</v>
      </c>
      <c r="N280" s="81">
        <f ca="1">N262*(1+INDEX(N$35:N$37,MATCH(Work_Codes!$I$50,$D$35:$D$37,0)))</f>
        <v>0</v>
      </c>
      <c r="O280" s="81">
        <f ca="1">O262*(1+INDEX(O$35:O$37,MATCH(Work_Codes!$I$50,$D$35:$D$37,0)))</f>
        <v>0</v>
      </c>
      <c r="P280" s="81">
        <f ca="1">P262*(1+INDEX(P$35:P$37,MATCH(Work_Codes!$I$50,$D$35:$D$37,0)))</f>
        <v>0</v>
      </c>
      <c r="Q280" s="81">
        <f ca="1">Q262*(1+INDEX(Q$35:Q$37,MATCH(Work_Codes!$I$50,$D$35:$D$37,0)))</f>
        <v>0</v>
      </c>
      <c r="R280" s="81">
        <f ca="1">R262*(1+INDEX(R$35:R$37,MATCH(Work_Codes!$I$50,$D$35:$D$37,0)))</f>
        <v>0</v>
      </c>
      <c r="S280" s="81">
        <f ca="1">S262*(1+INDEX(S$35:S$37,MATCH(Work_Codes!$I$50,$D$35:$D$37,0)))</f>
        <v>0</v>
      </c>
      <c r="T280" s="81">
        <f ca="1">T262*(1+INDEX(T$35:T$37,MATCH(Work_Codes!$I$50,$D$35:$D$37,0)))</f>
        <v>0</v>
      </c>
    </row>
    <row r="281" spans="4:20" ht="12" customHeight="1" outlineLevel="2">
      <c r="E281" s="247" t="str">
        <f>GC!C65</f>
        <v>Augmentation</v>
      </c>
      <c r="F281" s="247"/>
      <c r="G281" s="247"/>
      <c r="H281" s="247"/>
      <c r="I281" s="247"/>
      <c r="J281" s="81">
        <f ca="1">J263*(1+INDEX(J$35:J$37,MATCH(Work_Codes!$I$50,$D$35:$D$37,0)))</f>
        <v>0</v>
      </c>
      <c r="K281" s="81">
        <f ca="1">K263*(1+INDEX(K$35:K$37,MATCH(Work_Codes!$I$50,$D$35:$D$37,0)))</f>
        <v>0</v>
      </c>
      <c r="L281" s="81">
        <f ca="1">L263*(1+INDEX(L$35:L$37,MATCH(Work_Codes!$I$50,$D$35:$D$37,0)))</f>
        <v>0</v>
      </c>
      <c r="M281" s="81">
        <f ca="1">M263*(1+INDEX(M$35:M$37,MATCH(Work_Codes!$I$50,$D$35:$D$37,0)))</f>
        <v>0</v>
      </c>
      <c r="N281" s="81">
        <f ca="1">N263*(1+INDEX(N$35:N$37,MATCH(Work_Codes!$I$50,$D$35:$D$37,0)))</f>
        <v>0</v>
      </c>
      <c r="O281" s="81">
        <f ca="1">O263*(1+INDEX(O$35:O$37,MATCH(Work_Codes!$I$50,$D$35:$D$37,0)))</f>
        <v>0</v>
      </c>
      <c r="P281" s="81">
        <f ca="1">P263*(1+INDEX(P$35:P$37,MATCH(Work_Codes!$I$50,$D$35:$D$37,0)))</f>
        <v>0</v>
      </c>
      <c r="Q281" s="81">
        <f ca="1">Q263*(1+INDEX(Q$35:Q$37,MATCH(Work_Codes!$I$50,$D$35:$D$37,0)))</f>
        <v>0</v>
      </c>
      <c r="R281" s="81">
        <f ca="1">R263*(1+INDEX(R$35:R$37,MATCH(Work_Codes!$I$50,$D$35:$D$37,0)))</f>
        <v>0</v>
      </c>
      <c r="S281" s="81">
        <f ca="1">S263*(1+INDEX(S$35:S$37,MATCH(Work_Codes!$I$50,$D$35:$D$37,0)))</f>
        <v>0</v>
      </c>
      <c r="T281" s="81">
        <f ca="1">T263*(1+INDEX(T$35:T$37,MATCH(Work_Codes!$I$50,$D$35:$D$37,0)))</f>
        <v>0</v>
      </c>
    </row>
    <row r="282" spans="4:20" ht="12" customHeight="1" outlineLevel="2">
      <c r="E282" s="247" t="str">
        <f>GC!C66</f>
        <v>IT capex</v>
      </c>
      <c r="F282" s="247"/>
      <c r="G282" s="247"/>
      <c r="H282" s="247"/>
      <c r="I282" s="247"/>
      <c r="J282" s="81">
        <f ca="1">J264*(1+INDEX(J$35:J$37,MATCH(Work_Codes!$I$50,$D$35:$D$37,0)))</f>
        <v>0</v>
      </c>
      <c r="K282" s="81">
        <f ca="1">K264*(1+INDEX(K$35:K$37,MATCH(Work_Codes!$I$50,$D$35:$D$37,0)))</f>
        <v>0</v>
      </c>
      <c r="L282" s="81">
        <f ca="1">L264*(1+INDEX(L$35:L$37,MATCH(Work_Codes!$I$50,$D$35:$D$37,0)))</f>
        <v>0</v>
      </c>
      <c r="M282" s="81">
        <f ca="1">M264*(1+INDEX(M$35:M$37,MATCH(Work_Codes!$I$50,$D$35:$D$37,0)))</f>
        <v>0</v>
      </c>
      <c r="N282" s="81">
        <f ca="1">N264*(1+INDEX(N$35:N$37,MATCH(Work_Codes!$I$50,$D$35:$D$37,0)))</f>
        <v>0</v>
      </c>
      <c r="O282" s="81">
        <f ca="1">O264*(1+INDEX(O$35:O$37,MATCH(Work_Codes!$I$50,$D$35:$D$37,0)))</f>
        <v>0</v>
      </c>
      <c r="P282" s="81">
        <f ca="1">P264*(1+INDEX(P$35:P$37,MATCH(Work_Codes!$I$50,$D$35:$D$37,0)))</f>
        <v>0</v>
      </c>
      <c r="Q282" s="81">
        <f ca="1">Q264*(1+INDEX(Q$35:Q$37,MATCH(Work_Codes!$I$50,$D$35:$D$37,0)))</f>
        <v>0</v>
      </c>
      <c r="R282" s="81">
        <f ca="1">R264*(1+INDEX(R$35:R$37,MATCH(Work_Codes!$I$50,$D$35:$D$37,0)))</f>
        <v>0</v>
      </c>
      <c r="S282" s="81">
        <f ca="1">S264*(1+INDEX(S$35:S$37,MATCH(Work_Codes!$I$50,$D$35:$D$37,0)))</f>
        <v>0</v>
      </c>
      <c r="T282" s="81">
        <f ca="1">T264*(1+INDEX(T$35:T$37,MATCH(Work_Codes!$I$50,$D$35:$D$37,0)))</f>
        <v>0</v>
      </c>
    </row>
    <row r="283" spans="4:20" ht="12" customHeight="1" outlineLevel="2">
      <c r="E283" s="247" t="str">
        <f>GC!C67</f>
        <v>SCADA</v>
      </c>
      <c r="F283" s="247"/>
      <c r="G283" s="247"/>
      <c r="H283" s="247"/>
      <c r="I283" s="247"/>
      <c r="J283" s="81">
        <f ca="1">J265*(1+INDEX(J$35:J$37,MATCH(Work_Codes!$I$50,$D$35:$D$37,0)))</f>
        <v>0</v>
      </c>
      <c r="K283" s="81">
        <f ca="1">K265*(1+INDEX(K$35:K$37,MATCH(Work_Codes!$I$50,$D$35:$D$37,0)))</f>
        <v>0</v>
      </c>
      <c r="L283" s="81">
        <f ca="1">L265*(1+INDEX(L$35:L$37,MATCH(Work_Codes!$I$50,$D$35:$D$37,0)))</f>
        <v>0</v>
      </c>
      <c r="M283" s="81">
        <f ca="1">M265*(1+INDEX(M$35:M$37,MATCH(Work_Codes!$I$50,$D$35:$D$37,0)))</f>
        <v>0</v>
      </c>
      <c r="N283" s="81">
        <f ca="1">N265*(1+INDEX(N$35:N$37,MATCH(Work_Codes!$I$50,$D$35:$D$37,0)))</f>
        <v>0</v>
      </c>
      <c r="O283" s="81">
        <f ca="1">O265*(1+INDEX(O$35:O$37,MATCH(Work_Codes!$I$50,$D$35:$D$37,0)))</f>
        <v>0</v>
      </c>
      <c r="P283" s="81">
        <f ca="1">P265*(1+INDEX(P$35:P$37,MATCH(Work_Codes!$I$50,$D$35:$D$37,0)))</f>
        <v>0</v>
      </c>
      <c r="Q283" s="81">
        <f ca="1">Q265*(1+INDEX(Q$35:Q$37,MATCH(Work_Codes!$I$50,$D$35:$D$37,0)))</f>
        <v>0</v>
      </c>
      <c r="R283" s="81">
        <f ca="1">R265*(1+INDEX(R$35:R$37,MATCH(Work_Codes!$I$50,$D$35:$D$37,0)))</f>
        <v>0</v>
      </c>
      <c r="S283" s="81">
        <f ca="1">S265*(1+INDEX(S$35:S$37,MATCH(Work_Codes!$I$50,$D$35:$D$37,0)))</f>
        <v>0</v>
      </c>
      <c r="T283" s="81">
        <f ca="1">T265*(1+INDEX(T$35:T$37,MATCH(Work_Codes!$I$50,$D$35:$D$37,0)))</f>
        <v>0</v>
      </c>
    </row>
    <row r="284" spans="4:20" ht="12" customHeight="1" outlineLevel="2">
      <c r="E284" s="247" t="str">
        <f>GC!C68</f>
        <v>Other</v>
      </c>
      <c r="F284" s="247"/>
      <c r="G284" s="247"/>
      <c r="H284" s="247"/>
      <c r="I284" s="247"/>
      <c r="J284" s="81">
        <f ca="1">J266*(1+INDEX(J$35:J$37,MATCH(Work_Codes!$I$50,$D$35:$D$37,0)))</f>
        <v>0</v>
      </c>
      <c r="K284" s="81">
        <f ca="1">K266*(1+INDEX(K$35:K$37,MATCH(Work_Codes!$I$50,$D$35:$D$37,0)))</f>
        <v>0</v>
      </c>
      <c r="L284" s="81">
        <f ca="1">L266*(1+INDEX(L$35:L$37,MATCH(Work_Codes!$I$50,$D$35:$D$37,0)))</f>
        <v>0</v>
      </c>
      <c r="M284" s="81">
        <f ca="1">M266*(1+INDEX(M$35:M$37,MATCH(Work_Codes!$I$50,$D$35:$D$37,0)))</f>
        <v>0</v>
      </c>
      <c r="N284" s="81">
        <f ca="1">N266*(1+INDEX(N$35:N$37,MATCH(Work_Codes!$I$50,$D$35:$D$37,0)))</f>
        <v>0</v>
      </c>
      <c r="O284" s="81">
        <f ca="1">O266*(1+INDEX(O$35:O$37,MATCH(Work_Codes!$I$50,$D$35:$D$37,0)))</f>
        <v>0</v>
      </c>
      <c r="P284" s="81">
        <f ca="1">P266*(1+INDEX(P$35:P$37,MATCH(Work_Codes!$I$50,$D$35:$D$37,0)))</f>
        <v>0</v>
      </c>
      <c r="Q284" s="81">
        <f ca="1">Q266*(1+INDEX(Q$35:Q$37,MATCH(Work_Codes!$I$50,$D$35:$D$37,0)))</f>
        <v>0</v>
      </c>
      <c r="R284" s="81">
        <f ca="1">R266*(1+INDEX(R$35:R$37,MATCH(Work_Codes!$I$50,$D$35:$D$37,0)))</f>
        <v>0</v>
      </c>
      <c r="S284" s="81">
        <f ca="1">S266*(1+INDEX(S$35:S$37,MATCH(Work_Codes!$I$50,$D$35:$D$37,0)))</f>
        <v>0</v>
      </c>
      <c r="T284" s="81">
        <f ca="1">T266*(1+INDEX(T$35:T$37,MATCH(Work_Codes!$I$50,$D$35:$D$37,0)))</f>
        <v>0</v>
      </c>
    </row>
    <row r="285" spans="4:20" outlineLevel="2">
      <c r="E285" s="247" t="str">
        <f>GC!C69</f>
        <v>Capitalised Leases</v>
      </c>
      <c r="F285" s="247"/>
      <c r="G285" s="247"/>
      <c r="H285" s="247"/>
      <c r="I285" s="247"/>
      <c r="J285" s="81">
        <f ca="1">J267*(1+INDEX(J$35:J$37,MATCH(Work_Codes!$I$50,$D$35:$D$37,0)))</f>
        <v>0</v>
      </c>
      <c r="K285" s="81">
        <f ca="1">K267*(1+INDEX(K$35:K$37,MATCH(Work_Codes!$I$50,$D$35:$D$37,0)))</f>
        <v>0</v>
      </c>
      <c r="L285" s="81">
        <f ca="1">L267*(1+INDEX(L$35:L$37,MATCH(Work_Codes!$I$50,$D$35:$D$37,0)))</f>
        <v>0</v>
      </c>
      <c r="M285" s="81">
        <f ca="1">M267*(1+INDEX(M$35:M$37,MATCH(Work_Codes!$I$50,$D$35:$D$37,0)))</f>
        <v>0</v>
      </c>
      <c r="N285" s="81">
        <f ca="1">N267*(1+INDEX(N$35:N$37,MATCH(Work_Codes!$I$50,$D$35:$D$37,0)))</f>
        <v>0</v>
      </c>
      <c r="O285" s="81">
        <f ca="1">O267*(1+INDEX(O$35:O$37,MATCH(Work_Codes!$I$50,$D$35:$D$37,0)))</f>
        <v>0</v>
      </c>
      <c r="P285" s="81">
        <f ca="1">P267*(1+INDEX(P$35:P$37,MATCH(Work_Codes!$I$50,$D$35:$D$37,0)))</f>
        <v>0</v>
      </c>
      <c r="Q285" s="81">
        <f ca="1">Q267*(1+INDEX(Q$35:Q$37,MATCH(Work_Codes!$I$50,$D$35:$D$37,0)))</f>
        <v>0</v>
      </c>
      <c r="R285" s="81">
        <f ca="1">R267*(1+INDEX(R$35:R$37,MATCH(Work_Codes!$I$50,$D$35:$D$37,0)))</f>
        <v>0</v>
      </c>
      <c r="S285" s="81">
        <f ca="1">S267*(1+INDEX(S$35:S$37,MATCH(Work_Codes!$I$50,$D$35:$D$37,0)))</f>
        <v>0</v>
      </c>
      <c r="T285" s="81">
        <f ca="1">T267*(1+INDEX(T$35:T$37,MATCH(Work_Codes!$I$50,$D$35:$D$37,0)))</f>
        <v>0</v>
      </c>
    </row>
    <row r="286" spans="4:20" ht="12" customHeight="1" outlineLevel="2">
      <c r="E286" s="247" t="str">
        <f>GC!C70</f>
        <v>Gas Extensions - Energy for the Regions</v>
      </c>
      <c r="F286" s="247"/>
      <c r="G286" s="247"/>
      <c r="H286" s="247"/>
      <c r="I286" s="247"/>
      <c r="J286" s="81">
        <f ca="1">J268*(1+INDEX(J$35:J$37,MATCH(Work_Codes!$I$50,$D$35:$D$37,0)))</f>
        <v>0</v>
      </c>
      <c r="K286" s="81">
        <f ca="1">K268*(1+INDEX(K$35:K$37,MATCH(Work_Codes!$I$50,$D$35:$D$37,0)))</f>
        <v>0</v>
      </c>
      <c r="L286" s="81">
        <f ca="1">L268*(1+INDEX(L$35:L$37,MATCH(Work_Codes!$I$50,$D$35:$D$37,0)))</f>
        <v>0</v>
      </c>
      <c r="M286" s="81">
        <f ca="1">M268*(1+INDEX(M$35:M$37,MATCH(Work_Codes!$I$50,$D$35:$D$37,0)))</f>
        <v>0</v>
      </c>
      <c r="N286" s="81">
        <f ca="1">N268*(1+INDEX(N$35:N$37,MATCH(Work_Codes!$I$50,$D$35:$D$37,0)))</f>
        <v>0</v>
      </c>
      <c r="O286" s="81">
        <f ca="1">O268*(1+INDEX(O$35:O$37,MATCH(Work_Codes!$I$50,$D$35:$D$37,0)))</f>
        <v>0</v>
      </c>
      <c r="P286" s="81">
        <f ca="1">P268*(1+INDEX(P$35:P$37,MATCH(Work_Codes!$I$50,$D$35:$D$37,0)))</f>
        <v>0</v>
      </c>
      <c r="Q286" s="81">
        <f ca="1">Q268*(1+INDEX(Q$35:Q$37,MATCH(Work_Codes!$I$50,$D$35:$D$37,0)))</f>
        <v>0</v>
      </c>
      <c r="R286" s="81">
        <f ca="1">R268*(1+INDEX(R$35:R$37,MATCH(Work_Codes!$I$50,$D$35:$D$37,0)))</f>
        <v>0</v>
      </c>
      <c r="S286" s="81">
        <f ca="1">S268*(1+INDEX(S$35:S$37,MATCH(Work_Codes!$I$50,$D$35:$D$37,0)))</f>
        <v>0</v>
      </c>
      <c r="T286" s="81">
        <f ca="1">T268*(1+INDEX(T$35:T$37,MATCH(Work_Codes!$I$50,$D$35:$D$37,0)))</f>
        <v>0</v>
      </c>
    </row>
    <row r="287" spans="4:20" ht="12" customHeight="1" outlineLevel="2">
      <c r="E287" s="247" t="str">
        <f>GC!C71</f>
        <v>Gas Extensions - Other</v>
      </c>
      <c r="F287" s="247"/>
      <c r="G287" s="247"/>
      <c r="H287" s="247"/>
      <c r="I287" s="247"/>
      <c r="J287" s="81">
        <f ca="1">J269*(1+INDEX(J$35:J$37,MATCH(Work_Codes!$I$50,$D$35:$D$37,0)))</f>
        <v>0</v>
      </c>
      <c r="K287" s="81">
        <f ca="1">K269*(1+INDEX(K$35:K$37,MATCH(Work_Codes!$I$50,$D$35:$D$37,0)))</f>
        <v>0</v>
      </c>
      <c r="L287" s="81">
        <f ca="1">L269*(1+INDEX(L$35:L$37,MATCH(Work_Codes!$I$50,$D$35:$D$37,0)))</f>
        <v>0</v>
      </c>
      <c r="M287" s="81">
        <f ca="1">M269*(1+INDEX(M$35:M$37,MATCH(Work_Codes!$I$50,$D$35:$D$37,0)))</f>
        <v>0</v>
      </c>
      <c r="N287" s="81">
        <f ca="1">N269*(1+INDEX(N$35:N$37,MATCH(Work_Codes!$I$50,$D$35:$D$37,0)))</f>
        <v>0</v>
      </c>
      <c r="O287" s="81">
        <f ca="1">O269*(1+INDEX(O$35:O$37,MATCH(Work_Codes!$I$50,$D$35:$D$37,0)))</f>
        <v>0</v>
      </c>
      <c r="P287" s="81">
        <f ca="1">P269*(1+INDEX(P$35:P$37,MATCH(Work_Codes!$I$50,$D$35:$D$37,0)))</f>
        <v>0</v>
      </c>
      <c r="Q287" s="81">
        <f ca="1">Q269*(1+INDEX(Q$35:Q$37,MATCH(Work_Codes!$I$50,$D$35:$D$37,0)))</f>
        <v>0</v>
      </c>
      <c r="R287" s="81">
        <f ca="1">R269*(1+INDEX(R$35:R$37,MATCH(Work_Codes!$I$50,$D$35:$D$37,0)))</f>
        <v>0</v>
      </c>
      <c r="S287" s="81">
        <f ca="1">S269*(1+INDEX(S$35:S$37,MATCH(Work_Codes!$I$50,$D$35:$D$37,0)))</f>
        <v>0</v>
      </c>
      <c r="T287" s="81">
        <f ca="1">T269*(1+INDEX(T$35:T$37,MATCH(Work_Codes!$I$50,$D$35:$D$37,0)))</f>
        <v>0</v>
      </c>
    </row>
    <row r="288" spans="4:20" ht="12" customHeight="1" outlineLevel="2">
      <c r="E288" s="247" t="str">
        <f>GC!C72</f>
        <v>Customer contributions</v>
      </c>
      <c r="F288" s="247"/>
      <c r="G288" s="247"/>
      <c r="H288" s="247"/>
      <c r="I288" s="247"/>
      <c r="J288" s="81">
        <f ca="1">J270*(1+INDEX(J$35:J$37,MATCH(Work_Codes!$I$50,$D$35:$D$37,0)))</f>
        <v>0</v>
      </c>
      <c r="K288" s="81">
        <f ca="1">K270*(1+INDEX(K$35:K$37,MATCH(Work_Codes!$I$50,$D$35:$D$37,0)))</f>
        <v>0</v>
      </c>
      <c r="L288" s="81">
        <f ca="1">L270*(1+INDEX(L$35:L$37,MATCH(Work_Codes!$I$50,$D$35:$D$37,0)))</f>
        <v>0</v>
      </c>
      <c r="M288" s="81">
        <f ca="1">M270*(1+INDEX(M$35:M$37,MATCH(Work_Codes!$I$50,$D$35:$D$37,0)))</f>
        <v>0</v>
      </c>
      <c r="N288" s="81">
        <f ca="1">N270*(1+INDEX(N$35:N$37,MATCH(Work_Codes!$I$50,$D$35:$D$37,0)))</f>
        <v>0</v>
      </c>
      <c r="O288" s="81">
        <f ca="1">O270*(1+INDEX(O$35:O$37,MATCH(Work_Codes!$I$50,$D$35:$D$37,0)))</f>
        <v>0</v>
      </c>
      <c r="P288" s="81">
        <f ca="1">P270*(1+INDEX(P$35:P$37,MATCH(Work_Codes!$I$50,$D$35:$D$37,0)))</f>
        <v>0</v>
      </c>
      <c r="Q288" s="81">
        <f ca="1">Q270*(1+INDEX(Q$35:Q$37,MATCH(Work_Codes!$I$50,$D$35:$D$37,0)))</f>
        <v>0</v>
      </c>
      <c r="R288" s="81">
        <f ca="1">R270*(1+INDEX(R$35:R$37,MATCH(Work_Codes!$I$50,$D$35:$D$37,0)))</f>
        <v>0</v>
      </c>
      <c r="S288" s="81">
        <f ca="1">S270*(1+INDEX(S$35:S$37,MATCH(Work_Codes!$I$50,$D$35:$D$37,0)))</f>
        <v>0</v>
      </c>
      <c r="T288" s="81">
        <f ca="1">T270*(1+INDEX(T$35:T$37,MATCH(Work_Codes!$I$50,$D$35:$D$37,0)))</f>
        <v>0</v>
      </c>
    </row>
    <row r="289" spans="4:20" ht="12" customHeight="1" outlineLevel="2">
      <c r="E289" s="247" t="str">
        <f>GC!C73</f>
        <v>Government contributions</v>
      </c>
      <c r="F289" s="247"/>
      <c r="G289" s="247"/>
      <c r="H289" s="247"/>
      <c r="I289" s="247"/>
      <c r="J289" s="81">
        <f ca="1">J271*(1+INDEX(J$35:J$37,MATCH(Work_Codes!$I$50,$D$35:$D$37,0)))</f>
        <v>0</v>
      </c>
      <c r="K289" s="81">
        <f ca="1">K271*(1+INDEX(K$35:K$37,MATCH(Work_Codes!$I$50,$D$35:$D$37,0)))</f>
        <v>0</v>
      </c>
      <c r="L289" s="81">
        <f ca="1">L271*(1+INDEX(L$35:L$37,MATCH(Work_Codes!$I$50,$D$35:$D$37,0)))</f>
        <v>0</v>
      </c>
      <c r="M289" s="81">
        <f ca="1">M271*(1+INDEX(M$35:M$37,MATCH(Work_Codes!$I$50,$D$35:$D$37,0)))</f>
        <v>0</v>
      </c>
      <c r="N289" s="81">
        <f ca="1">N271*(1+INDEX(N$35:N$37,MATCH(Work_Codes!$I$50,$D$35:$D$37,0)))</f>
        <v>0</v>
      </c>
      <c r="O289" s="81">
        <f ca="1">O271*(1+INDEX(O$35:O$37,MATCH(Work_Codes!$I$50,$D$35:$D$37,0)))</f>
        <v>0</v>
      </c>
      <c r="P289" s="81">
        <f ca="1">P271*(1+INDEX(P$35:P$37,MATCH(Work_Codes!$I$50,$D$35:$D$37,0)))</f>
        <v>0</v>
      </c>
      <c r="Q289" s="81">
        <f ca="1">Q271*(1+INDEX(Q$35:Q$37,MATCH(Work_Codes!$I$50,$D$35:$D$37,0)))</f>
        <v>0</v>
      </c>
      <c r="R289" s="81">
        <f ca="1">R271*(1+INDEX(R$35:R$37,MATCH(Work_Codes!$I$50,$D$35:$D$37,0)))</f>
        <v>0</v>
      </c>
      <c r="S289" s="81">
        <f ca="1">S271*(1+INDEX(S$35:S$37,MATCH(Work_Codes!$I$50,$D$35:$D$37,0)))</f>
        <v>0</v>
      </c>
      <c r="T289" s="81">
        <f ca="1">T271*(1+INDEX(T$35:T$37,MATCH(Work_Codes!$I$50,$D$35:$D$37,0)))</f>
        <v>0</v>
      </c>
    </row>
    <row r="290" spans="4:20" ht="12" customHeight="1" outlineLevel="2">
      <c r="E290" s="249" t="str">
        <f>"Total "&amp;D274</f>
        <v>Total Direct Costs + Overheads</v>
      </c>
      <c r="F290" s="249"/>
      <c r="G290" s="249"/>
      <c r="H290" s="249"/>
      <c r="I290" s="249"/>
      <c r="J290" s="82">
        <f t="shared" ref="J290:T290" ca="1" si="31">SUM(J276:J289)</f>
        <v>0</v>
      </c>
      <c r="K290" s="82">
        <f t="shared" ca="1" si="31"/>
        <v>0</v>
      </c>
      <c r="L290" s="82">
        <f t="shared" ca="1" si="31"/>
        <v>0</v>
      </c>
      <c r="M290" s="82">
        <f t="shared" ca="1" si="31"/>
        <v>0</v>
      </c>
      <c r="N290" s="82">
        <f t="shared" ca="1" si="31"/>
        <v>411874.17901462101</v>
      </c>
      <c r="O290" s="82">
        <f t="shared" ca="1" si="31"/>
        <v>2066997.4472719352</v>
      </c>
      <c r="P290" s="82">
        <f t="shared" ca="1" si="31"/>
        <v>1931084.891925707</v>
      </c>
      <c r="Q290" s="82">
        <f t="shared" ca="1" si="31"/>
        <v>3234431.8260591892</v>
      </c>
      <c r="R290" s="82">
        <f t="shared" ca="1" si="31"/>
        <v>6399780.0725878729</v>
      </c>
      <c r="S290" s="82">
        <f t="shared" ca="1" si="31"/>
        <v>9177185.8628112562</v>
      </c>
      <c r="T290" s="82">
        <f t="shared" ca="1" si="31"/>
        <v>6834346.4822732471</v>
      </c>
    </row>
    <row r="291" spans="4:20" outlineLevel="2"/>
    <row r="292" spans="4:20" outlineLevel="2">
      <c r="D292" s="37" t="s">
        <v>367</v>
      </c>
    </row>
    <row r="293" spans="4:20" ht="5.75" customHeight="1" outlineLevel="2"/>
    <row r="294" spans="4:20" outlineLevel="2">
      <c r="E294" s="247" t="str">
        <f>GC!C60</f>
        <v>Mains replacement</v>
      </c>
      <c r="F294" s="247"/>
      <c r="G294" s="247"/>
      <c r="H294" s="247"/>
      <c r="I294" s="247"/>
      <c r="J294" s="81">
        <f ca="1">SUMPRODUCT((Work_Codes!$AC$53:$AO$53=$E294)*(Work_Codes!$AC$71:$AO$71)*(J$95:J$95))</f>
        <v>0</v>
      </c>
      <c r="K294" s="81">
        <f ca="1">SUMPRODUCT((Work_Codes!$AC$53:$AO$53=$E294)*(Work_Codes!$AC$71:$AO$71)*(K$95:K$95))</f>
        <v>0</v>
      </c>
      <c r="L294" s="81">
        <f ca="1">SUMPRODUCT((Work_Codes!$AC$53:$AO$53=$E294)*(Work_Codes!$AC$71:$AO$71)*(L$95:L$95))</f>
        <v>0</v>
      </c>
      <c r="M294" s="81">
        <f ca="1">SUMPRODUCT((Work_Codes!$AC$53:$AO$53=$E294)*(Work_Codes!$AC$71:$AO$71)*(M$95:M$95))</f>
        <v>0</v>
      </c>
      <c r="N294" s="81">
        <f ca="1">SUMPRODUCT((Work_Codes!$AC$53:$AO$53=$E294)*(Work_Codes!$AC$71:$AO$71)*(N$95:N$95))</f>
        <v>0</v>
      </c>
      <c r="O294" s="81">
        <f ca="1">SUMPRODUCT((Work_Codes!$AC$53:$AO$53=$E294)*(Work_Codes!$AC$71:$AO$71)*(O$95:O$95))</f>
        <v>0</v>
      </c>
      <c r="P294" s="81">
        <f ca="1">SUMPRODUCT((Work_Codes!$AC$53:$AO$53=$E294)*(Work_Codes!$AC$71:$AO$71)*(P$95:P$95))</f>
        <v>0</v>
      </c>
      <c r="Q294" s="81">
        <f ca="1">SUMPRODUCT((Work_Codes!$AC$53:$AO$53=$E294)*(Work_Codes!$AC$71:$AO$71)*(Q$95:Q$95))</f>
        <v>0</v>
      </c>
      <c r="R294" s="81">
        <f ca="1">SUMPRODUCT((Work_Codes!$AC$53:$AO$53=$E294)*(Work_Codes!$AC$71:$AO$71)*(R$95:R$95))</f>
        <v>0</v>
      </c>
      <c r="S294" s="81">
        <f ca="1">SUMPRODUCT((Work_Codes!$AC$53:$AO$53=$E294)*(Work_Codes!$AC$71:$AO$71)*(S$95:S$95))</f>
        <v>0</v>
      </c>
      <c r="T294" s="81">
        <f ca="1">SUMPRODUCT((Work_Codes!$AC$53:$AO$53=$E294)*(Work_Codes!$AC$71:$AO$71)*(T$95:T$95))</f>
        <v>0</v>
      </c>
    </row>
    <row r="295" spans="4:20" outlineLevel="2">
      <c r="E295" s="247" t="str">
        <f>GC!C61</f>
        <v>Residential new customer connections</v>
      </c>
      <c r="F295" s="247"/>
      <c r="G295" s="247"/>
      <c r="H295" s="247"/>
      <c r="I295" s="247"/>
      <c r="J295" s="81">
        <f ca="1">SUMPRODUCT((Work_Codes!$AC$53:$AO$53=$E295)*(Work_Codes!$AC$71:$AO$71)*(J$95:J$95))</f>
        <v>0</v>
      </c>
      <c r="K295" s="81">
        <f ca="1">SUMPRODUCT((Work_Codes!$AC$53:$AO$53=$E295)*(Work_Codes!$AC$71:$AO$71)*(K$95:K$95))</f>
        <v>0</v>
      </c>
      <c r="L295" s="81">
        <f ca="1">SUMPRODUCT((Work_Codes!$AC$53:$AO$53=$E295)*(Work_Codes!$AC$71:$AO$71)*(L$95:L$95))</f>
        <v>0</v>
      </c>
      <c r="M295" s="81">
        <f ca="1">SUMPRODUCT((Work_Codes!$AC$53:$AO$53=$E295)*(Work_Codes!$AC$71:$AO$71)*(M$95:M$95))</f>
        <v>0</v>
      </c>
      <c r="N295" s="81">
        <f ca="1">SUMPRODUCT((Work_Codes!$AC$53:$AO$53=$E295)*(Work_Codes!$AC$71:$AO$71)*(N$95:N$95))</f>
        <v>0</v>
      </c>
      <c r="O295" s="81">
        <f ca="1">SUMPRODUCT((Work_Codes!$AC$53:$AO$53=$E295)*(Work_Codes!$AC$71:$AO$71)*(O$95:O$95))</f>
        <v>0</v>
      </c>
      <c r="P295" s="81">
        <f ca="1">SUMPRODUCT((Work_Codes!$AC$53:$AO$53=$E295)*(Work_Codes!$AC$71:$AO$71)*(P$95:P$95))</f>
        <v>0</v>
      </c>
      <c r="Q295" s="81">
        <f ca="1">SUMPRODUCT((Work_Codes!$AC$53:$AO$53=$E295)*(Work_Codes!$AC$71:$AO$71)*(Q$95:Q$95))</f>
        <v>0</v>
      </c>
      <c r="R295" s="81">
        <f ca="1">SUMPRODUCT((Work_Codes!$AC$53:$AO$53=$E295)*(Work_Codes!$AC$71:$AO$71)*(R$95:R$95))</f>
        <v>0</v>
      </c>
      <c r="S295" s="81">
        <f ca="1">SUMPRODUCT((Work_Codes!$AC$53:$AO$53=$E295)*(Work_Codes!$AC$71:$AO$71)*(S$95:S$95))</f>
        <v>0</v>
      </c>
      <c r="T295" s="81">
        <f ca="1">SUMPRODUCT((Work_Codes!$AC$53:$AO$53=$E295)*(Work_Codes!$AC$71:$AO$71)*(T$95:T$95))</f>
        <v>0</v>
      </c>
    </row>
    <row r="296" spans="4:20" outlineLevel="2">
      <c r="E296" s="247" t="str">
        <f>GC!C62</f>
        <v>Commercial and industrial new customer connections</v>
      </c>
      <c r="F296" s="247"/>
      <c r="G296" s="247"/>
      <c r="H296" s="247"/>
      <c r="I296" s="247"/>
      <c r="J296" s="81">
        <f ca="1">SUMPRODUCT((Work_Codes!$AC$53:$AO$53=$E296)*(Work_Codes!$AC$71:$AO$71)*(J$95:J$95))</f>
        <v>0</v>
      </c>
      <c r="K296" s="81">
        <f ca="1">SUMPRODUCT((Work_Codes!$AC$53:$AO$53=$E296)*(Work_Codes!$AC$71:$AO$71)*(K$95:K$95))</f>
        <v>0</v>
      </c>
      <c r="L296" s="81">
        <f ca="1">SUMPRODUCT((Work_Codes!$AC$53:$AO$53=$E296)*(Work_Codes!$AC$71:$AO$71)*(L$95:L$95))</f>
        <v>0</v>
      </c>
      <c r="M296" s="81">
        <f ca="1">SUMPRODUCT((Work_Codes!$AC$53:$AO$53=$E296)*(Work_Codes!$AC$71:$AO$71)*(M$95:M$95))</f>
        <v>0</v>
      </c>
      <c r="N296" s="81">
        <f ca="1">SUMPRODUCT((Work_Codes!$AC$53:$AO$53=$E296)*(Work_Codes!$AC$71:$AO$71)*(N$95:N$95))</f>
        <v>0</v>
      </c>
      <c r="O296" s="81">
        <f ca="1">SUMPRODUCT((Work_Codes!$AC$53:$AO$53=$E296)*(Work_Codes!$AC$71:$AO$71)*(O$95:O$95))</f>
        <v>0</v>
      </c>
      <c r="P296" s="81">
        <f ca="1">SUMPRODUCT((Work_Codes!$AC$53:$AO$53=$E296)*(Work_Codes!$AC$71:$AO$71)*(P$95:P$95))</f>
        <v>0</v>
      </c>
      <c r="Q296" s="81">
        <f ca="1">SUMPRODUCT((Work_Codes!$AC$53:$AO$53=$E296)*(Work_Codes!$AC$71:$AO$71)*(Q$95:Q$95))</f>
        <v>0</v>
      </c>
      <c r="R296" s="81">
        <f ca="1">SUMPRODUCT((Work_Codes!$AC$53:$AO$53=$E296)*(Work_Codes!$AC$71:$AO$71)*(R$95:R$95))</f>
        <v>0</v>
      </c>
      <c r="S296" s="81">
        <f ca="1">SUMPRODUCT((Work_Codes!$AC$53:$AO$53=$E296)*(Work_Codes!$AC$71:$AO$71)*(S$95:S$95))</f>
        <v>0</v>
      </c>
      <c r="T296" s="81">
        <f ca="1">SUMPRODUCT((Work_Codes!$AC$53:$AO$53=$E296)*(Work_Codes!$AC$71:$AO$71)*(T$95:T$95))</f>
        <v>0</v>
      </c>
    </row>
    <row r="297" spans="4:20" outlineLevel="2">
      <c r="E297" s="247" t="str">
        <f>GC!C63</f>
        <v>Residential meter replacement</v>
      </c>
      <c r="F297" s="247"/>
      <c r="G297" s="247"/>
      <c r="H297" s="247"/>
      <c r="I297" s="247"/>
      <c r="J297" s="81">
        <f ca="1">SUMPRODUCT((Work_Codes!$AC$53:$AO$53=$E297)*(Work_Codes!$AC$71:$AO$71)*(J$95:J$95))</f>
        <v>0</v>
      </c>
      <c r="K297" s="81">
        <f ca="1">SUMPRODUCT((Work_Codes!$AC$53:$AO$53=$E297)*(Work_Codes!$AC$71:$AO$71)*(K$95:K$95))</f>
        <v>0</v>
      </c>
      <c r="L297" s="81">
        <f ca="1">SUMPRODUCT((Work_Codes!$AC$53:$AO$53=$E297)*(Work_Codes!$AC$71:$AO$71)*(L$95:L$95))</f>
        <v>0</v>
      </c>
      <c r="M297" s="81">
        <f ca="1">SUMPRODUCT((Work_Codes!$AC$53:$AO$53=$E297)*(Work_Codes!$AC$71:$AO$71)*(M$95:M$95))</f>
        <v>0</v>
      </c>
      <c r="N297" s="81">
        <f ca="1">SUMPRODUCT((Work_Codes!$AC$53:$AO$53=$E297)*(Work_Codes!$AC$71:$AO$71)*(N$95:N$95))</f>
        <v>0</v>
      </c>
      <c r="O297" s="81">
        <f ca="1">SUMPRODUCT((Work_Codes!$AC$53:$AO$53=$E297)*(Work_Codes!$AC$71:$AO$71)*(O$95:O$95))</f>
        <v>0</v>
      </c>
      <c r="P297" s="81">
        <f ca="1">SUMPRODUCT((Work_Codes!$AC$53:$AO$53=$E297)*(Work_Codes!$AC$71:$AO$71)*(P$95:P$95))</f>
        <v>0</v>
      </c>
      <c r="Q297" s="81">
        <f ca="1">SUMPRODUCT((Work_Codes!$AC$53:$AO$53=$E297)*(Work_Codes!$AC$71:$AO$71)*(Q$95:Q$95))</f>
        <v>0</v>
      </c>
      <c r="R297" s="81">
        <f ca="1">SUMPRODUCT((Work_Codes!$AC$53:$AO$53=$E297)*(Work_Codes!$AC$71:$AO$71)*(R$95:R$95))</f>
        <v>0</v>
      </c>
      <c r="S297" s="81">
        <f ca="1">SUMPRODUCT((Work_Codes!$AC$53:$AO$53=$E297)*(Work_Codes!$AC$71:$AO$71)*(S$95:S$95))</f>
        <v>0</v>
      </c>
      <c r="T297" s="81">
        <f ca="1">SUMPRODUCT((Work_Codes!$AC$53:$AO$53=$E297)*(Work_Codes!$AC$71:$AO$71)*(T$95:T$95))</f>
        <v>0</v>
      </c>
    </row>
    <row r="298" spans="4:20" outlineLevel="2">
      <c r="E298" s="247" t="str">
        <f>GC!C64</f>
        <v>Commercial and industrial meter replacement</v>
      </c>
      <c r="F298" s="247"/>
      <c r="G298" s="247"/>
      <c r="H298" s="247"/>
      <c r="I298" s="247"/>
      <c r="J298" s="81">
        <f ca="1">SUMPRODUCT((Work_Codes!$AC$53:$AO$53=$E298)*(Work_Codes!$AC$71:$AO$71)*(J$95:J$95))</f>
        <v>0</v>
      </c>
      <c r="K298" s="81">
        <f ca="1">SUMPRODUCT((Work_Codes!$AC$53:$AO$53=$E298)*(Work_Codes!$AC$71:$AO$71)*(K$95:K$95))</f>
        <v>0</v>
      </c>
      <c r="L298" s="81">
        <f ca="1">SUMPRODUCT((Work_Codes!$AC$53:$AO$53=$E298)*(Work_Codes!$AC$71:$AO$71)*(L$95:L$95))</f>
        <v>0</v>
      </c>
      <c r="M298" s="81">
        <f ca="1">SUMPRODUCT((Work_Codes!$AC$53:$AO$53=$E298)*(Work_Codes!$AC$71:$AO$71)*(M$95:M$95))</f>
        <v>0</v>
      </c>
      <c r="N298" s="81">
        <f ca="1">SUMPRODUCT((Work_Codes!$AC$53:$AO$53=$E298)*(Work_Codes!$AC$71:$AO$71)*(N$95:N$95))</f>
        <v>0</v>
      </c>
      <c r="O298" s="81">
        <f ca="1">SUMPRODUCT((Work_Codes!$AC$53:$AO$53=$E298)*(Work_Codes!$AC$71:$AO$71)*(O$95:O$95))</f>
        <v>0</v>
      </c>
      <c r="P298" s="81">
        <f ca="1">SUMPRODUCT((Work_Codes!$AC$53:$AO$53=$E298)*(Work_Codes!$AC$71:$AO$71)*(P$95:P$95))</f>
        <v>0</v>
      </c>
      <c r="Q298" s="81">
        <f ca="1">SUMPRODUCT((Work_Codes!$AC$53:$AO$53=$E298)*(Work_Codes!$AC$71:$AO$71)*(Q$95:Q$95))</f>
        <v>0</v>
      </c>
      <c r="R298" s="81">
        <f ca="1">SUMPRODUCT((Work_Codes!$AC$53:$AO$53=$E298)*(Work_Codes!$AC$71:$AO$71)*(R$95:R$95))</f>
        <v>0</v>
      </c>
      <c r="S298" s="81">
        <f ca="1">SUMPRODUCT((Work_Codes!$AC$53:$AO$53=$E298)*(Work_Codes!$AC$71:$AO$71)*(S$95:S$95))</f>
        <v>0</v>
      </c>
      <c r="T298" s="81">
        <f ca="1">SUMPRODUCT((Work_Codes!$AC$53:$AO$53=$E298)*(Work_Codes!$AC$71:$AO$71)*(T$95:T$95))</f>
        <v>0</v>
      </c>
    </row>
    <row r="299" spans="4:20" outlineLevel="2">
      <c r="E299" s="247" t="str">
        <f>GC!C65</f>
        <v>Augmentation</v>
      </c>
      <c r="F299" s="247"/>
      <c r="G299" s="247"/>
      <c r="H299" s="247"/>
      <c r="I299" s="247"/>
      <c r="J299" s="81">
        <f ca="1">SUMPRODUCT((Work_Codes!$AC$53:$AO$53=$E299)*(Work_Codes!$AC$71:$AO$71)*(J$95:J$95))</f>
        <v>0</v>
      </c>
      <c r="K299" s="81">
        <f ca="1">SUMPRODUCT((Work_Codes!$AC$53:$AO$53=$E299)*(Work_Codes!$AC$71:$AO$71)*(K$95:K$95))</f>
        <v>0</v>
      </c>
      <c r="L299" s="81">
        <f ca="1">SUMPRODUCT((Work_Codes!$AC$53:$AO$53=$E299)*(Work_Codes!$AC$71:$AO$71)*(L$95:L$95))</f>
        <v>0</v>
      </c>
      <c r="M299" s="81">
        <f ca="1">SUMPRODUCT((Work_Codes!$AC$53:$AO$53=$E299)*(Work_Codes!$AC$71:$AO$71)*(M$95:M$95))</f>
        <v>0</v>
      </c>
      <c r="N299" s="81">
        <f ca="1">SUMPRODUCT((Work_Codes!$AC$53:$AO$53=$E299)*(Work_Codes!$AC$71:$AO$71)*(N$95:N$95))</f>
        <v>0</v>
      </c>
      <c r="O299" s="81">
        <f ca="1">SUMPRODUCT((Work_Codes!$AC$53:$AO$53=$E299)*(Work_Codes!$AC$71:$AO$71)*(O$95:O$95))</f>
        <v>0</v>
      </c>
      <c r="P299" s="81">
        <f ca="1">SUMPRODUCT((Work_Codes!$AC$53:$AO$53=$E299)*(Work_Codes!$AC$71:$AO$71)*(P$95:P$95))</f>
        <v>0</v>
      </c>
      <c r="Q299" s="81">
        <f ca="1">SUMPRODUCT((Work_Codes!$AC$53:$AO$53=$E299)*(Work_Codes!$AC$71:$AO$71)*(Q$95:Q$95))</f>
        <v>0</v>
      </c>
      <c r="R299" s="81">
        <f ca="1">SUMPRODUCT((Work_Codes!$AC$53:$AO$53=$E299)*(Work_Codes!$AC$71:$AO$71)*(R$95:R$95))</f>
        <v>0</v>
      </c>
      <c r="S299" s="81">
        <f ca="1">SUMPRODUCT((Work_Codes!$AC$53:$AO$53=$E299)*(Work_Codes!$AC$71:$AO$71)*(S$95:S$95))</f>
        <v>0</v>
      </c>
      <c r="T299" s="81">
        <f ca="1">SUMPRODUCT((Work_Codes!$AC$53:$AO$53=$E299)*(Work_Codes!$AC$71:$AO$71)*(T$95:T$95))</f>
        <v>0</v>
      </c>
    </row>
    <row r="300" spans="4:20" outlineLevel="2">
      <c r="E300" s="247" t="str">
        <f>GC!C66</f>
        <v>IT capex</v>
      </c>
      <c r="F300" s="247"/>
      <c r="G300" s="247"/>
      <c r="H300" s="247"/>
      <c r="I300" s="247"/>
      <c r="J300" s="81">
        <f ca="1">SUMPRODUCT((Work_Codes!$AC$53:$AO$53=$E300)*(Work_Codes!$AC$71:$AO$71)*(J$95:J$95))</f>
        <v>0</v>
      </c>
      <c r="K300" s="81">
        <f ca="1">SUMPRODUCT((Work_Codes!$AC$53:$AO$53=$E300)*(Work_Codes!$AC$71:$AO$71)*(K$95:K$95))</f>
        <v>0</v>
      </c>
      <c r="L300" s="81">
        <f ca="1">SUMPRODUCT((Work_Codes!$AC$53:$AO$53=$E300)*(Work_Codes!$AC$71:$AO$71)*(L$95:L$95))</f>
        <v>0</v>
      </c>
      <c r="M300" s="81">
        <f ca="1">SUMPRODUCT((Work_Codes!$AC$53:$AO$53=$E300)*(Work_Codes!$AC$71:$AO$71)*(M$95:M$95))</f>
        <v>0</v>
      </c>
      <c r="N300" s="81">
        <f ca="1">SUMPRODUCT((Work_Codes!$AC$53:$AO$53=$E300)*(Work_Codes!$AC$71:$AO$71)*(N$95:N$95))</f>
        <v>0</v>
      </c>
      <c r="O300" s="81">
        <f ca="1">SUMPRODUCT((Work_Codes!$AC$53:$AO$53=$E300)*(Work_Codes!$AC$71:$AO$71)*(O$95:O$95))</f>
        <v>0</v>
      </c>
      <c r="P300" s="81">
        <f ca="1">SUMPRODUCT((Work_Codes!$AC$53:$AO$53=$E300)*(Work_Codes!$AC$71:$AO$71)*(P$95:P$95))</f>
        <v>0</v>
      </c>
      <c r="Q300" s="81">
        <f ca="1">SUMPRODUCT((Work_Codes!$AC$53:$AO$53=$E300)*(Work_Codes!$AC$71:$AO$71)*(Q$95:Q$95))</f>
        <v>0</v>
      </c>
      <c r="R300" s="81">
        <f ca="1">SUMPRODUCT((Work_Codes!$AC$53:$AO$53=$E300)*(Work_Codes!$AC$71:$AO$71)*(R$95:R$95))</f>
        <v>0</v>
      </c>
      <c r="S300" s="81">
        <f ca="1">SUMPRODUCT((Work_Codes!$AC$53:$AO$53=$E300)*(Work_Codes!$AC$71:$AO$71)*(S$95:S$95))</f>
        <v>0</v>
      </c>
      <c r="T300" s="81">
        <f ca="1">SUMPRODUCT((Work_Codes!$AC$53:$AO$53=$E300)*(Work_Codes!$AC$71:$AO$71)*(T$95:T$95))</f>
        <v>0</v>
      </c>
    </row>
    <row r="301" spans="4:20" outlineLevel="2">
      <c r="E301" s="247" t="str">
        <f>GC!C67</f>
        <v>SCADA</v>
      </c>
      <c r="F301" s="247"/>
      <c r="G301" s="247"/>
      <c r="H301" s="247"/>
      <c r="I301" s="247"/>
      <c r="J301" s="81">
        <f ca="1">SUMPRODUCT((Work_Codes!$AC$53:$AO$53=$E301)*(Work_Codes!$AC$71:$AO$71)*(J$95:J$95))</f>
        <v>0</v>
      </c>
      <c r="K301" s="81">
        <f ca="1">SUMPRODUCT((Work_Codes!$AC$53:$AO$53=$E301)*(Work_Codes!$AC$71:$AO$71)*(K$95:K$95))</f>
        <v>0</v>
      </c>
      <c r="L301" s="81">
        <f ca="1">SUMPRODUCT((Work_Codes!$AC$53:$AO$53=$E301)*(Work_Codes!$AC$71:$AO$71)*(L$95:L$95))</f>
        <v>0</v>
      </c>
      <c r="M301" s="81">
        <f ca="1">SUMPRODUCT((Work_Codes!$AC$53:$AO$53=$E301)*(Work_Codes!$AC$71:$AO$71)*(M$95:M$95))</f>
        <v>0</v>
      </c>
      <c r="N301" s="81">
        <f ca="1">SUMPRODUCT((Work_Codes!$AC$53:$AO$53=$E301)*(Work_Codes!$AC$71:$AO$71)*(N$95:N$95))</f>
        <v>0</v>
      </c>
      <c r="O301" s="81">
        <f ca="1">SUMPRODUCT((Work_Codes!$AC$53:$AO$53=$E301)*(Work_Codes!$AC$71:$AO$71)*(O$95:O$95))</f>
        <v>0</v>
      </c>
      <c r="P301" s="81">
        <f ca="1">SUMPRODUCT((Work_Codes!$AC$53:$AO$53=$E301)*(Work_Codes!$AC$71:$AO$71)*(P$95:P$95))</f>
        <v>0</v>
      </c>
      <c r="Q301" s="81">
        <f ca="1">SUMPRODUCT((Work_Codes!$AC$53:$AO$53=$E301)*(Work_Codes!$AC$71:$AO$71)*(Q$95:Q$95))</f>
        <v>0</v>
      </c>
      <c r="R301" s="81">
        <f ca="1">SUMPRODUCT((Work_Codes!$AC$53:$AO$53=$E301)*(Work_Codes!$AC$71:$AO$71)*(R$95:R$95))</f>
        <v>0</v>
      </c>
      <c r="S301" s="81">
        <f ca="1">SUMPRODUCT((Work_Codes!$AC$53:$AO$53=$E301)*(Work_Codes!$AC$71:$AO$71)*(S$95:S$95))</f>
        <v>0</v>
      </c>
      <c r="T301" s="81">
        <f ca="1">SUMPRODUCT((Work_Codes!$AC$53:$AO$53=$E301)*(Work_Codes!$AC$71:$AO$71)*(T$95:T$95))</f>
        <v>0</v>
      </c>
    </row>
    <row r="302" spans="4:20" outlineLevel="2">
      <c r="E302" s="247" t="str">
        <f>GC!C68</f>
        <v>Other</v>
      </c>
      <c r="F302" s="247"/>
      <c r="G302" s="247"/>
      <c r="H302" s="247"/>
      <c r="I302" s="247"/>
      <c r="J302" s="81">
        <f ca="1">SUMPRODUCT((Work_Codes!$AC$53:$AO$53=$E302)*(Work_Codes!$AC$71:$AO$71)*(J$95:J$95))</f>
        <v>0</v>
      </c>
      <c r="K302" s="81">
        <f ca="1">SUMPRODUCT((Work_Codes!$AC$53:$AO$53=$E302)*(Work_Codes!$AC$71:$AO$71)*(K$95:K$95))</f>
        <v>0</v>
      </c>
      <c r="L302" s="81">
        <f ca="1">SUMPRODUCT((Work_Codes!$AC$53:$AO$53=$E302)*(Work_Codes!$AC$71:$AO$71)*(L$95:L$95))</f>
        <v>0</v>
      </c>
      <c r="M302" s="81">
        <f ca="1">SUMPRODUCT((Work_Codes!$AC$53:$AO$53=$E302)*(Work_Codes!$AC$71:$AO$71)*(M$95:M$95))</f>
        <v>0</v>
      </c>
      <c r="N302" s="81">
        <f ca="1">SUMPRODUCT((Work_Codes!$AC$53:$AO$53=$E302)*(Work_Codes!$AC$71:$AO$71)*(N$95:N$95))</f>
        <v>0</v>
      </c>
      <c r="O302" s="81">
        <f ca="1">SUMPRODUCT((Work_Codes!$AC$53:$AO$53=$E302)*(Work_Codes!$AC$71:$AO$71)*(O$95:O$95))</f>
        <v>0</v>
      </c>
      <c r="P302" s="81">
        <f ca="1">SUMPRODUCT((Work_Codes!$AC$53:$AO$53=$E302)*(Work_Codes!$AC$71:$AO$71)*(P$95:P$95))</f>
        <v>0</v>
      </c>
      <c r="Q302" s="81">
        <f ca="1">SUMPRODUCT((Work_Codes!$AC$53:$AO$53=$E302)*(Work_Codes!$AC$71:$AO$71)*(Q$95:Q$95))</f>
        <v>0</v>
      </c>
      <c r="R302" s="81">
        <f ca="1">SUMPRODUCT((Work_Codes!$AC$53:$AO$53=$E302)*(Work_Codes!$AC$71:$AO$71)*(R$95:R$95))</f>
        <v>0</v>
      </c>
      <c r="S302" s="81">
        <f ca="1">SUMPRODUCT((Work_Codes!$AC$53:$AO$53=$E302)*(Work_Codes!$AC$71:$AO$71)*(S$95:S$95))</f>
        <v>0</v>
      </c>
      <c r="T302" s="81">
        <f ca="1">SUMPRODUCT((Work_Codes!$AC$53:$AO$53=$E302)*(Work_Codes!$AC$71:$AO$71)*(T$95:T$95))</f>
        <v>0</v>
      </c>
    </row>
    <row r="303" spans="4:20" outlineLevel="2">
      <c r="E303" s="247" t="str">
        <f>GC!C69</f>
        <v>Capitalised Leases</v>
      </c>
      <c r="F303" s="247"/>
      <c r="G303" s="247"/>
      <c r="H303" s="247"/>
      <c r="I303" s="247"/>
      <c r="J303" s="81">
        <f ca="1">SUMPRODUCT((Work_Codes!$AC$53:$AO$53=$E303)*(Work_Codes!$AC$71:$AO$71)*(J$95:J$95))</f>
        <v>0</v>
      </c>
      <c r="K303" s="81">
        <f ca="1">SUMPRODUCT((Work_Codes!$AC$53:$AO$53=$E303)*(Work_Codes!$AC$71:$AO$71)*(K$95:K$95))</f>
        <v>0</v>
      </c>
      <c r="L303" s="81">
        <f ca="1">SUMPRODUCT((Work_Codes!$AC$53:$AO$53=$E303)*(Work_Codes!$AC$71:$AO$71)*(L$95:L$95))</f>
        <v>0</v>
      </c>
      <c r="M303" s="81">
        <f ca="1">SUMPRODUCT((Work_Codes!$AC$53:$AO$53=$E303)*(Work_Codes!$AC$71:$AO$71)*(M$95:M$95))</f>
        <v>0</v>
      </c>
      <c r="N303" s="81">
        <f ca="1">SUMPRODUCT((Work_Codes!$AC$53:$AO$53=$E303)*(Work_Codes!$AC$71:$AO$71)*(N$95:N$95))</f>
        <v>0</v>
      </c>
      <c r="O303" s="81">
        <f ca="1">SUMPRODUCT((Work_Codes!$AC$53:$AO$53=$E303)*(Work_Codes!$AC$71:$AO$71)*(O$95:O$95))</f>
        <v>0</v>
      </c>
      <c r="P303" s="81">
        <f ca="1">SUMPRODUCT((Work_Codes!$AC$53:$AO$53=$E303)*(Work_Codes!$AC$71:$AO$71)*(P$95:P$95))</f>
        <v>0</v>
      </c>
      <c r="Q303" s="81">
        <f ca="1">SUMPRODUCT((Work_Codes!$AC$53:$AO$53=$E303)*(Work_Codes!$AC$71:$AO$71)*(Q$95:Q$95))</f>
        <v>0</v>
      </c>
      <c r="R303" s="81">
        <f ca="1">SUMPRODUCT((Work_Codes!$AC$53:$AO$53=$E303)*(Work_Codes!$AC$71:$AO$71)*(R$95:R$95))</f>
        <v>0</v>
      </c>
      <c r="S303" s="81">
        <f ca="1">SUMPRODUCT((Work_Codes!$AC$53:$AO$53=$E303)*(Work_Codes!$AC$71:$AO$71)*(S$95:S$95))</f>
        <v>0</v>
      </c>
      <c r="T303" s="81">
        <f ca="1">SUMPRODUCT((Work_Codes!$AC$53:$AO$53=$E303)*(Work_Codes!$AC$71:$AO$71)*(T$95:T$95))</f>
        <v>0</v>
      </c>
    </row>
    <row r="304" spans="4:20" outlineLevel="2">
      <c r="E304" s="247" t="str">
        <f>GC!C70</f>
        <v>Gas Extensions - Energy for the Regions</v>
      </c>
      <c r="F304" s="247"/>
      <c r="G304" s="247"/>
      <c r="H304" s="247"/>
      <c r="I304" s="247"/>
      <c r="J304" s="81">
        <f ca="1">SUMPRODUCT((Work_Codes!$AC$53:$AO$53=$E304)*(Work_Codes!$AC$71:$AO$71)*(J$95:J$95))</f>
        <v>0</v>
      </c>
      <c r="K304" s="81">
        <f ca="1">SUMPRODUCT((Work_Codes!$AC$53:$AO$53=$E304)*(Work_Codes!$AC$71:$AO$71)*(K$95:K$95))</f>
        <v>0</v>
      </c>
      <c r="L304" s="81">
        <f ca="1">SUMPRODUCT((Work_Codes!$AC$53:$AO$53=$E304)*(Work_Codes!$AC$71:$AO$71)*(L$95:L$95))</f>
        <v>0</v>
      </c>
      <c r="M304" s="81">
        <f ca="1">SUMPRODUCT((Work_Codes!$AC$53:$AO$53=$E304)*(Work_Codes!$AC$71:$AO$71)*(M$95:M$95))</f>
        <v>0</v>
      </c>
      <c r="N304" s="81">
        <f ca="1">SUMPRODUCT((Work_Codes!$AC$53:$AO$53=$E304)*(Work_Codes!$AC$71:$AO$71)*(N$95:N$95))</f>
        <v>0</v>
      </c>
      <c r="O304" s="81">
        <f ca="1">SUMPRODUCT((Work_Codes!$AC$53:$AO$53=$E304)*(Work_Codes!$AC$71:$AO$71)*(O$95:O$95))</f>
        <v>0</v>
      </c>
      <c r="P304" s="81">
        <f ca="1">SUMPRODUCT((Work_Codes!$AC$53:$AO$53=$E304)*(Work_Codes!$AC$71:$AO$71)*(P$95:P$95))</f>
        <v>0</v>
      </c>
      <c r="Q304" s="81">
        <f ca="1">SUMPRODUCT((Work_Codes!$AC$53:$AO$53=$E304)*(Work_Codes!$AC$71:$AO$71)*(Q$95:Q$95))</f>
        <v>0</v>
      </c>
      <c r="R304" s="81">
        <f ca="1">SUMPRODUCT((Work_Codes!$AC$53:$AO$53=$E304)*(Work_Codes!$AC$71:$AO$71)*(R$95:R$95))</f>
        <v>0</v>
      </c>
      <c r="S304" s="81">
        <f ca="1">SUMPRODUCT((Work_Codes!$AC$53:$AO$53=$E304)*(Work_Codes!$AC$71:$AO$71)*(S$95:S$95))</f>
        <v>0</v>
      </c>
      <c r="T304" s="81">
        <f ca="1">SUMPRODUCT((Work_Codes!$AC$53:$AO$53=$E304)*(Work_Codes!$AC$71:$AO$71)*(T$95:T$95))</f>
        <v>0</v>
      </c>
    </row>
    <row r="305" spans="2:20" outlineLevel="2">
      <c r="E305" s="247" t="str">
        <f>GC!C71</f>
        <v>Gas Extensions - Other</v>
      </c>
      <c r="F305" s="247"/>
      <c r="G305" s="247"/>
      <c r="H305" s="247"/>
      <c r="I305" s="247"/>
      <c r="J305" s="81">
        <f ca="1">SUMPRODUCT((Work_Codes!$AC$53:$AO$53=$E305)*(Work_Codes!$AC$71:$AO$71)*(J$95:J$95))</f>
        <v>0</v>
      </c>
      <c r="K305" s="81">
        <f ca="1">SUMPRODUCT((Work_Codes!$AC$53:$AO$53=$E305)*(Work_Codes!$AC$71:$AO$71)*(K$95:K$95))</f>
        <v>0</v>
      </c>
      <c r="L305" s="81">
        <f ca="1">SUMPRODUCT((Work_Codes!$AC$53:$AO$53=$E305)*(Work_Codes!$AC$71:$AO$71)*(L$95:L$95))</f>
        <v>0</v>
      </c>
      <c r="M305" s="81">
        <f ca="1">SUMPRODUCT((Work_Codes!$AC$53:$AO$53=$E305)*(Work_Codes!$AC$71:$AO$71)*(M$95:M$95))</f>
        <v>0</v>
      </c>
      <c r="N305" s="81">
        <f ca="1">SUMPRODUCT((Work_Codes!$AC$53:$AO$53=$E305)*(Work_Codes!$AC$71:$AO$71)*(N$95:N$95))</f>
        <v>0</v>
      </c>
      <c r="O305" s="81">
        <f ca="1">SUMPRODUCT((Work_Codes!$AC$53:$AO$53=$E305)*(Work_Codes!$AC$71:$AO$71)*(O$95:O$95))</f>
        <v>0</v>
      </c>
      <c r="P305" s="81">
        <f ca="1">SUMPRODUCT((Work_Codes!$AC$53:$AO$53=$E305)*(Work_Codes!$AC$71:$AO$71)*(P$95:P$95))</f>
        <v>0</v>
      </c>
      <c r="Q305" s="81">
        <f ca="1">SUMPRODUCT((Work_Codes!$AC$53:$AO$53=$E305)*(Work_Codes!$AC$71:$AO$71)*(Q$95:Q$95))</f>
        <v>0</v>
      </c>
      <c r="R305" s="81">
        <f ca="1">SUMPRODUCT((Work_Codes!$AC$53:$AO$53=$E305)*(Work_Codes!$AC$71:$AO$71)*(R$95:R$95))</f>
        <v>0</v>
      </c>
      <c r="S305" s="81">
        <f ca="1">SUMPRODUCT((Work_Codes!$AC$53:$AO$53=$E305)*(Work_Codes!$AC$71:$AO$71)*(S$95:S$95))</f>
        <v>0</v>
      </c>
      <c r="T305" s="81">
        <f ca="1">SUMPRODUCT((Work_Codes!$AC$53:$AO$53=$E305)*(Work_Codes!$AC$71:$AO$71)*(T$95:T$95))</f>
        <v>0</v>
      </c>
    </row>
    <row r="306" spans="2:20" outlineLevel="2">
      <c r="E306" s="247" t="str">
        <f>GC!C72</f>
        <v>Customer contributions</v>
      </c>
      <c r="F306" s="247"/>
      <c r="G306" s="247"/>
      <c r="H306" s="247"/>
      <c r="I306" s="247"/>
      <c r="J306" s="81">
        <f ca="1">SUMPRODUCT((Work_Codes!$AC$53:$AO$53=$E306)*(Work_Codes!$AC$71:$AO$71)*(J$95:J$95))</f>
        <v>0</v>
      </c>
      <c r="K306" s="81">
        <f ca="1">SUMPRODUCT((Work_Codes!$AC$53:$AO$53=$E306)*(Work_Codes!$AC$71:$AO$71)*(K$95:K$95))</f>
        <v>0</v>
      </c>
      <c r="L306" s="81">
        <f ca="1">SUMPRODUCT((Work_Codes!$AC$53:$AO$53=$E306)*(Work_Codes!$AC$71:$AO$71)*(L$95:L$95))</f>
        <v>0</v>
      </c>
      <c r="M306" s="81">
        <f ca="1">SUMPRODUCT((Work_Codes!$AC$53:$AO$53=$E306)*(Work_Codes!$AC$71:$AO$71)*(M$95:M$95))</f>
        <v>0</v>
      </c>
      <c r="N306" s="81">
        <f ca="1">SUMPRODUCT((Work_Codes!$AC$53:$AO$53=$E306)*(Work_Codes!$AC$71:$AO$71)*(N$95:N$95))</f>
        <v>0</v>
      </c>
      <c r="O306" s="81">
        <f ca="1">SUMPRODUCT((Work_Codes!$AC$53:$AO$53=$E306)*(Work_Codes!$AC$71:$AO$71)*(O$95:O$95))</f>
        <v>0</v>
      </c>
      <c r="P306" s="81">
        <f ca="1">SUMPRODUCT((Work_Codes!$AC$53:$AO$53=$E306)*(Work_Codes!$AC$71:$AO$71)*(P$95:P$95))</f>
        <v>0</v>
      </c>
      <c r="Q306" s="81">
        <f ca="1">SUMPRODUCT((Work_Codes!$AC$53:$AO$53=$E306)*(Work_Codes!$AC$71:$AO$71)*(Q$95:Q$95))</f>
        <v>0</v>
      </c>
      <c r="R306" s="81">
        <f ca="1">SUMPRODUCT((Work_Codes!$AC$53:$AO$53=$E306)*(Work_Codes!$AC$71:$AO$71)*(R$95:R$95))</f>
        <v>0</v>
      </c>
      <c r="S306" s="81">
        <f ca="1">SUMPRODUCT((Work_Codes!$AC$53:$AO$53=$E306)*(Work_Codes!$AC$71:$AO$71)*(S$95:S$95))</f>
        <v>0</v>
      </c>
      <c r="T306" s="81">
        <f ca="1">SUMPRODUCT((Work_Codes!$AC$53:$AO$53=$E306)*(Work_Codes!$AC$71:$AO$71)*(T$95:T$95))</f>
        <v>0</v>
      </c>
    </row>
    <row r="307" spans="2:20" outlineLevel="2">
      <c r="E307" s="247" t="str">
        <f>GC!C73</f>
        <v>Government contributions</v>
      </c>
      <c r="F307" s="247"/>
      <c r="G307" s="247"/>
      <c r="H307" s="247"/>
      <c r="I307" s="247"/>
      <c r="J307" s="81">
        <f ca="1">SUMPRODUCT((Work_Codes!$AC$53:$AO$53=$E307)*(Work_Codes!$AC$71:$AO$71)*(J$95:J$95))</f>
        <v>0</v>
      </c>
      <c r="K307" s="81">
        <f ca="1">SUMPRODUCT((Work_Codes!$AC$53:$AO$53=$E307)*(Work_Codes!$AC$71:$AO$71)*(K$95:K$95))</f>
        <v>0</v>
      </c>
      <c r="L307" s="81">
        <f ca="1">SUMPRODUCT((Work_Codes!$AC$53:$AO$53=$E307)*(Work_Codes!$AC$71:$AO$71)*(L$95:L$95))</f>
        <v>0</v>
      </c>
      <c r="M307" s="81">
        <f ca="1">SUMPRODUCT((Work_Codes!$AC$53:$AO$53=$E307)*(Work_Codes!$AC$71:$AO$71)*(M$95:M$95))</f>
        <v>0</v>
      </c>
      <c r="N307" s="81">
        <f ca="1">SUMPRODUCT((Work_Codes!$AC$53:$AO$53=$E307)*(Work_Codes!$AC$71:$AO$71)*(N$95:N$95))</f>
        <v>0</v>
      </c>
      <c r="O307" s="81">
        <f ca="1">SUMPRODUCT((Work_Codes!$AC$53:$AO$53=$E307)*(Work_Codes!$AC$71:$AO$71)*(O$95:O$95))</f>
        <v>0</v>
      </c>
      <c r="P307" s="81">
        <f ca="1">SUMPRODUCT((Work_Codes!$AC$53:$AO$53=$E307)*(Work_Codes!$AC$71:$AO$71)*(P$95:P$95))</f>
        <v>0</v>
      </c>
      <c r="Q307" s="81">
        <f ca="1">SUMPRODUCT((Work_Codes!$AC$53:$AO$53=$E307)*(Work_Codes!$AC$71:$AO$71)*(Q$95:Q$95))</f>
        <v>0</v>
      </c>
      <c r="R307" s="81">
        <f ca="1">SUMPRODUCT((Work_Codes!$AC$53:$AO$53=$E307)*(Work_Codes!$AC$71:$AO$71)*(R$95:R$95))</f>
        <v>0</v>
      </c>
      <c r="S307" s="81">
        <f ca="1">SUMPRODUCT((Work_Codes!$AC$53:$AO$53=$E307)*(Work_Codes!$AC$71:$AO$71)*(S$95:S$95))</f>
        <v>0</v>
      </c>
      <c r="T307" s="81">
        <f ca="1">SUMPRODUCT((Work_Codes!$AC$53:$AO$53=$E307)*(Work_Codes!$AC$71:$AO$71)*(T$95:T$95))</f>
        <v>0</v>
      </c>
    </row>
    <row r="308" spans="2:20" outlineLevel="2">
      <c r="E308" s="249" t="str">
        <f t="shared" ref="E308" si="32">"Total "&amp;D292</f>
        <v>Total Customer Contributions</v>
      </c>
      <c r="F308" s="249"/>
      <c r="G308" s="249"/>
      <c r="H308" s="249"/>
      <c r="I308" s="249"/>
      <c r="J308" s="82">
        <f t="shared" ref="J308:T308" ca="1" si="33">SUM(J294:J307)</f>
        <v>0</v>
      </c>
      <c r="K308" s="82">
        <f t="shared" ca="1" si="33"/>
        <v>0</v>
      </c>
      <c r="L308" s="82">
        <f t="shared" ca="1" si="33"/>
        <v>0</v>
      </c>
      <c r="M308" s="82">
        <f t="shared" ca="1" si="33"/>
        <v>0</v>
      </c>
      <c r="N308" s="82">
        <f t="shared" ca="1" si="33"/>
        <v>0</v>
      </c>
      <c r="O308" s="82">
        <f t="shared" ca="1" si="33"/>
        <v>0</v>
      </c>
      <c r="P308" s="82">
        <f t="shared" ca="1" si="33"/>
        <v>0</v>
      </c>
      <c r="Q308" s="82">
        <f t="shared" ca="1" si="33"/>
        <v>0</v>
      </c>
      <c r="R308" s="82">
        <f t="shared" ca="1" si="33"/>
        <v>0</v>
      </c>
      <c r="S308" s="82">
        <f t="shared" ca="1" si="33"/>
        <v>0</v>
      </c>
      <c r="T308" s="82">
        <f t="shared" ca="1" si="33"/>
        <v>0</v>
      </c>
    </row>
    <row r="309" spans="2:20" outlineLevel="2">
      <c r="B309" s="12"/>
      <c r="C309" s="12"/>
      <c r="D309" s="12"/>
      <c r="E309" s="12"/>
      <c r="F309" s="12"/>
      <c r="G309" s="12"/>
      <c r="H309" s="12"/>
      <c r="I309" s="12"/>
      <c r="J309" s="12"/>
      <c r="K309" s="12"/>
      <c r="L309" s="12"/>
      <c r="M309" s="12"/>
      <c r="N309" s="12"/>
      <c r="O309" s="12"/>
      <c r="P309" s="12"/>
      <c r="Q309" s="12"/>
      <c r="R309" s="12"/>
      <c r="S309" s="12"/>
      <c r="T309" s="12"/>
    </row>
    <row r="310" spans="2:20" outlineLevel="2"/>
    <row r="311" spans="2:20" outlineLevel="2">
      <c r="C311" s="37" t="s">
        <v>311</v>
      </c>
    </row>
    <row r="312" spans="2:20" ht="5.9" customHeight="1" outlineLevel="2"/>
    <row r="313" spans="2:20" outlineLevel="2">
      <c r="D313" s="37" t="s">
        <v>215</v>
      </c>
    </row>
    <row r="314" spans="2:20" ht="5.9" customHeight="1" outlineLevel="2"/>
    <row r="315" spans="2:20" outlineLevel="2">
      <c r="E315" s="247" t="str">
        <f>GC!C78</f>
        <v>Mains &amp; Services</v>
      </c>
      <c r="F315" s="247"/>
      <c r="G315" s="247"/>
      <c r="H315" s="247"/>
      <c r="I315" s="247"/>
      <c r="J315" s="81">
        <f ca="1">SUMPRODUCT((Work_Codes!$AR$53:$AX$53=$E315)*(Work_Codes!$AR$56:$AX$67)*(J$155:J$166))</f>
        <v>0</v>
      </c>
      <c r="K315" s="81">
        <f ca="1">SUMPRODUCT((Work_Codes!$AR$53:$AX$53=$E315)*(Work_Codes!$AR$56:$AX$67)*(K$155:K$166))</f>
        <v>0</v>
      </c>
      <c r="L315" s="81">
        <f ca="1">SUMPRODUCT((Work_Codes!$AR$53:$AX$53=$E315)*(Work_Codes!$AR$56:$AX$67)*(L$155:L$166))</f>
        <v>0</v>
      </c>
      <c r="M315" s="81">
        <f ca="1">SUMPRODUCT((Work_Codes!$AR$53:$AX$53=$E315)*(Work_Codes!$AR$56:$AX$67)*(M$155:M$166))</f>
        <v>0</v>
      </c>
      <c r="N315" s="81">
        <f ca="1">SUMPRODUCT((Work_Codes!$AR$53:$AX$53=$E315)*(Work_Codes!$AR$56:$AX$67)*(N$155:N$166))</f>
        <v>396906.43742264062</v>
      </c>
      <c r="O315" s="81">
        <f ca="1">SUMPRODUCT((Work_Codes!$AR$53:$AX$53=$E315)*(Work_Codes!$AR$56:$AX$67)*(O$155:O$166))</f>
        <v>2000415.6738857706</v>
      </c>
      <c r="P315" s="81">
        <f ca="1">SUMPRODUCT((Work_Codes!$AR$53:$AX$53=$E315)*(Work_Codes!$AR$56:$AX$67)*(P$155:P$166))</f>
        <v>1880769.3090953713</v>
      </c>
      <c r="Q315" s="81">
        <f ca="1">SUMPRODUCT((Work_Codes!$AR$53:$AX$53=$E315)*(Work_Codes!$AR$56:$AX$67)*(Q$155:Q$166))</f>
        <v>3152281.5182053791</v>
      </c>
      <c r="R315" s="81">
        <f ca="1">SUMPRODUCT((Work_Codes!$AR$53:$AX$53=$E315)*(Work_Codes!$AR$56:$AX$67)*(R$155:R$166))</f>
        <v>6232299.4520952795</v>
      </c>
      <c r="S315" s="81">
        <f ca="1">SUMPRODUCT((Work_Codes!$AR$53:$AX$53=$E315)*(Work_Codes!$AR$56:$AX$67)*(S$155:S$166))</f>
        <v>8922483.0647615939</v>
      </c>
      <c r="T315" s="81">
        <f ca="1">SUMPRODUCT((Work_Codes!$AR$53:$AX$53=$E315)*(Work_Codes!$AR$56:$AX$67)*(T$155:T$166))</f>
        <v>6635800.8122853395</v>
      </c>
    </row>
    <row r="316" spans="2:20" outlineLevel="2">
      <c r="E316" s="247" t="str">
        <f>GC!C79</f>
        <v>Meters Domestic</v>
      </c>
      <c r="F316" s="247"/>
      <c r="G316" s="247"/>
      <c r="H316" s="247"/>
      <c r="I316" s="247"/>
      <c r="J316" s="81">
        <f ca="1">SUMPRODUCT((Work_Codes!$AR$53:$AX$53=$E316)*(Work_Codes!$AR$56:$AX$67)*(J$155:J$166))</f>
        <v>0</v>
      </c>
      <c r="K316" s="81">
        <f ca="1">SUMPRODUCT((Work_Codes!$AR$53:$AX$53=$E316)*(Work_Codes!$AR$56:$AX$67)*(K$155:K$166))</f>
        <v>0</v>
      </c>
      <c r="L316" s="81">
        <f ca="1">SUMPRODUCT((Work_Codes!$AR$53:$AX$53=$E316)*(Work_Codes!$AR$56:$AX$67)*(L$155:L$166))</f>
        <v>0</v>
      </c>
      <c r="M316" s="81">
        <f ca="1">SUMPRODUCT((Work_Codes!$AR$53:$AX$53=$E316)*(Work_Codes!$AR$56:$AX$67)*(M$155:M$166))</f>
        <v>0</v>
      </c>
      <c r="N316" s="81">
        <f ca="1">SUMPRODUCT((Work_Codes!$AR$53:$AX$53=$E316)*(Work_Codes!$AR$56:$AX$67)*(N$155:N$166))</f>
        <v>0</v>
      </c>
      <c r="O316" s="81">
        <f ca="1">SUMPRODUCT((Work_Codes!$AR$53:$AX$53=$E316)*(Work_Codes!$AR$56:$AX$67)*(O$155:O$166))</f>
        <v>0</v>
      </c>
      <c r="P316" s="81">
        <f ca="1">SUMPRODUCT((Work_Codes!$AR$53:$AX$53=$E316)*(Work_Codes!$AR$56:$AX$67)*(P$155:P$166))</f>
        <v>0</v>
      </c>
      <c r="Q316" s="81">
        <f ca="1">SUMPRODUCT((Work_Codes!$AR$53:$AX$53=$E316)*(Work_Codes!$AR$56:$AX$67)*(Q$155:Q$166))</f>
        <v>0</v>
      </c>
      <c r="R316" s="81">
        <f ca="1">SUMPRODUCT((Work_Codes!$AR$53:$AX$53=$E316)*(Work_Codes!$AR$56:$AX$67)*(R$155:R$166))</f>
        <v>0</v>
      </c>
      <c r="S316" s="81">
        <f ca="1">SUMPRODUCT((Work_Codes!$AR$53:$AX$53=$E316)*(Work_Codes!$AR$56:$AX$67)*(S$155:S$166))</f>
        <v>0</v>
      </c>
      <c r="T316" s="81">
        <f ca="1">SUMPRODUCT((Work_Codes!$AR$53:$AX$53=$E316)*(Work_Codes!$AR$56:$AX$67)*(T$155:T$166))</f>
        <v>0</v>
      </c>
    </row>
    <row r="317" spans="2:20" outlineLevel="2">
      <c r="E317" s="247" t="str">
        <f>GC!C80</f>
        <v>Meters Industrial &amp; Commercial</v>
      </c>
      <c r="F317" s="247"/>
      <c r="G317" s="247"/>
      <c r="H317" s="247"/>
      <c r="I317" s="247"/>
      <c r="J317" s="81">
        <f ca="1">SUMPRODUCT((Work_Codes!$AR$53:$AX$53=$E317)*(Work_Codes!$AR$56:$AX$67)*(J$155:J$166))</f>
        <v>0</v>
      </c>
      <c r="K317" s="81">
        <f ca="1">SUMPRODUCT((Work_Codes!$AR$53:$AX$53=$E317)*(Work_Codes!$AR$56:$AX$67)*(K$155:K$166))</f>
        <v>0</v>
      </c>
      <c r="L317" s="81">
        <f ca="1">SUMPRODUCT((Work_Codes!$AR$53:$AX$53=$E317)*(Work_Codes!$AR$56:$AX$67)*(L$155:L$166))</f>
        <v>0</v>
      </c>
      <c r="M317" s="81">
        <f ca="1">SUMPRODUCT((Work_Codes!$AR$53:$AX$53=$E317)*(Work_Codes!$AR$56:$AX$67)*(M$155:M$166))</f>
        <v>0</v>
      </c>
      <c r="N317" s="81">
        <f ca="1">SUMPRODUCT((Work_Codes!$AR$53:$AX$53=$E317)*(Work_Codes!$AR$56:$AX$67)*(N$155:N$166))</f>
        <v>0</v>
      </c>
      <c r="O317" s="81">
        <f ca="1">SUMPRODUCT((Work_Codes!$AR$53:$AX$53=$E317)*(Work_Codes!$AR$56:$AX$67)*(O$155:O$166))</f>
        <v>0</v>
      </c>
      <c r="P317" s="81">
        <f ca="1">SUMPRODUCT((Work_Codes!$AR$53:$AX$53=$E317)*(Work_Codes!$AR$56:$AX$67)*(P$155:P$166))</f>
        <v>0</v>
      </c>
      <c r="Q317" s="81">
        <f ca="1">SUMPRODUCT((Work_Codes!$AR$53:$AX$53=$E317)*(Work_Codes!$AR$56:$AX$67)*(Q$155:Q$166))</f>
        <v>0</v>
      </c>
      <c r="R317" s="81">
        <f ca="1">SUMPRODUCT((Work_Codes!$AR$53:$AX$53=$E317)*(Work_Codes!$AR$56:$AX$67)*(R$155:R$166))</f>
        <v>0</v>
      </c>
      <c r="S317" s="81">
        <f ca="1">SUMPRODUCT((Work_Codes!$AR$53:$AX$53=$E317)*(Work_Codes!$AR$56:$AX$67)*(S$155:S$166))</f>
        <v>0</v>
      </c>
      <c r="T317" s="81">
        <f ca="1">SUMPRODUCT((Work_Codes!$AR$53:$AX$53=$E317)*(Work_Codes!$AR$56:$AX$67)*(T$155:T$166))</f>
        <v>0</v>
      </c>
    </row>
    <row r="318" spans="2:20" outlineLevel="2">
      <c r="E318" s="247" t="str">
        <f>GC!C81</f>
        <v>Buildings</v>
      </c>
      <c r="F318" s="247"/>
      <c r="G318" s="247"/>
      <c r="H318" s="247"/>
      <c r="I318" s="247"/>
      <c r="J318" s="81">
        <f ca="1">SUMPRODUCT((Work_Codes!$AR$53:$AX$53=$E318)*(Work_Codes!$AR$56:$AX$67)*(J$155:J$166))</f>
        <v>0</v>
      </c>
      <c r="K318" s="81">
        <f ca="1">SUMPRODUCT((Work_Codes!$AR$53:$AX$53=$E318)*(Work_Codes!$AR$56:$AX$67)*(K$155:K$166))</f>
        <v>0</v>
      </c>
      <c r="L318" s="81">
        <f ca="1">SUMPRODUCT((Work_Codes!$AR$53:$AX$53=$E318)*(Work_Codes!$AR$56:$AX$67)*(L$155:L$166))</f>
        <v>0</v>
      </c>
      <c r="M318" s="81">
        <f ca="1">SUMPRODUCT((Work_Codes!$AR$53:$AX$53=$E318)*(Work_Codes!$AR$56:$AX$67)*(M$155:M$166))</f>
        <v>0</v>
      </c>
      <c r="N318" s="81">
        <f ca="1">SUMPRODUCT((Work_Codes!$AR$53:$AX$53=$E318)*(Work_Codes!$AR$56:$AX$67)*(N$155:N$166))</f>
        <v>0</v>
      </c>
      <c r="O318" s="81">
        <f ca="1">SUMPRODUCT((Work_Codes!$AR$53:$AX$53=$E318)*(Work_Codes!$AR$56:$AX$67)*(O$155:O$166))</f>
        <v>0</v>
      </c>
      <c r="P318" s="81">
        <f ca="1">SUMPRODUCT((Work_Codes!$AR$53:$AX$53=$E318)*(Work_Codes!$AR$56:$AX$67)*(P$155:P$166))</f>
        <v>0</v>
      </c>
      <c r="Q318" s="81">
        <f ca="1">SUMPRODUCT((Work_Codes!$AR$53:$AX$53=$E318)*(Work_Codes!$AR$56:$AX$67)*(Q$155:Q$166))</f>
        <v>0</v>
      </c>
      <c r="R318" s="81">
        <f ca="1">SUMPRODUCT((Work_Codes!$AR$53:$AX$53=$E318)*(Work_Codes!$AR$56:$AX$67)*(R$155:R$166))</f>
        <v>0</v>
      </c>
      <c r="S318" s="81">
        <f ca="1">SUMPRODUCT((Work_Codes!$AR$53:$AX$53=$E318)*(Work_Codes!$AR$56:$AX$67)*(S$155:S$166))</f>
        <v>0</v>
      </c>
      <c r="T318" s="81">
        <f ca="1">SUMPRODUCT((Work_Codes!$AR$53:$AX$53=$E318)*(Work_Codes!$AR$56:$AX$67)*(T$155:T$166))</f>
        <v>0</v>
      </c>
    </row>
    <row r="319" spans="2:20" outlineLevel="2">
      <c r="E319" s="247" t="str">
        <f>GC!C82</f>
        <v>Other Assets</v>
      </c>
      <c r="F319" s="247"/>
      <c r="G319" s="247"/>
      <c r="H319" s="247"/>
      <c r="I319" s="247"/>
      <c r="J319" s="81">
        <f ca="1">SUMPRODUCT((Work_Codes!$AR$53:$AX$53=$E319)*(Work_Codes!$AR$56:$AX$67)*(J$155:J$166))</f>
        <v>0</v>
      </c>
      <c r="K319" s="81">
        <f ca="1">SUMPRODUCT((Work_Codes!$AR$53:$AX$53=$E319)*(Work_Codes!$AR$56:$AX$67)*(K$155:K$166))</f>
        <v>0</v>
      </c>
      <c r="L319" s="81">
        <f ca="1">SUMPRODUCT((Work_Codes!$AR$53:$AX$53=$E319)*(Work_Codes!$AR$56:$AX$67)*(L$155:L$166))</f>
        <v>0</v>
      </c>
      <c r="M319" s="81">
        <f ca="1">SUMPRODUCT((Work_Codes!$AR$53:$AX$53=$E319)*(Work_Codes!$AR$56:$AX$67)*(M$155:M$166))</f>
        <v>0</v>
      </c>
      <c r="N319" s="81">
        <f ca="1">SUMPRODUCT((Work_Codes!$AR$53:$AX$53=$E319)*(Work_Codes!$AR$56:$AX$67)*(N$155:N$166))</f>
        <v>0</v>
      </c>
      <c r="O319" s="81">
        <f ca="1">SUMPRODUCT((Work_Codes!$AR$53:$AX$53=$E319)*(Work_Codes!$AR$56:$AX$67)*(O$155:O$166))</f>
        <v>0</v>
      </c>
      <c r="P319" s="81">
        <f ca="1">SUMPRODUCT((Work_Codes!$AR$53:$AX$53=$E319)*(Work_Codes!$AR$56:$AX$67)*(P$155:P$166))</f>
        <v>0</v>
      </c>
      <c r="Q319" s="81">
        <f ca="1">SUMPRODUCT((Work_Codes!$AR$53:$AX$53=$E319)*(Work_Codes!$AR$56:$AX$67)*(Q$155:Q$166))</f>
        <v>0</v>
      </c>
      <c r="R319" s="81">
        <f ca="1">SUMPRODUCT((Work_Codes!$AR$53:$AX$53=$E319)*(Work_Codes!$AR$56:$AX$67)*(R$155:R$166))</f>
        <v>0</v>
      </c>
      <c r="S319" s="81">
        <f ca="1">SUMPRODUCT((Work_Codes!$AR$53:$AX$53=$E319)*(Work_Codes!$AR$56:$AX$67)*(S$155:S$166))</f>
        <v>0</v>
      </c>
      <c r="T319" s="81">
        <f ca="1">SUMPRODUCT((Work_Codes!$AR$53:$AX$53=$E319)*(Work_Codes!$AR$56:$AX$67)*(T$155:T$166))</f>
        <v>0</v>
      </c>
    </row>
    <row r="320" spans="2:20" outlineLevel="2">
      <c r="E320" s="247" t="str">
        <f>GC!C83</f>
        <v>Repairs</v>
      </c>
      <c r="F320" s="247"/>
      <c r="G320" s="247"/>
      <c r="H320" s="247"/>
      <c r="I320" s="247"/>
      <c r="J320" s="81">
        <f ca="1">SUMPRODUCT((Work_Codes!$AR$53:$AX$53=$E320)*(Work_Codes!$AR$56:$AX$67)*(J$155:J$166))</f>
        <v>0</v>
      </c>
      <c r="K320" s="81">
        <f ca="1">SUMPRODUCT((Work_Codes!$AR$53:$AX$53=$E320)*(Work_Codes!$AR$56:$AX$67)*(K$155:K$166))</f>
        <v>0</v>
      </c>
      <c r="L320" s="81">
        <f ca="1">SUMPRODUCT((Work_Codes!$AR$53:$AX$53=$E320)*(Work_Codes!$AR$56:$AX$67)*(L$155:L$166))</f>
        <v>0</v>
      </c>
      <c r="M320" s="81">
        <f ca="1">SUMPRODUCT((Work_Codes!$AR$53:$AX$53=$E320)*(Work_Codes!$AR$56:$AX$67)*(M$155:M$166))</f>
        <v>0</v>
      </c>
      <c r="N320" s="81">
        <f ca="1">SUMPRODUCT((Work_Codes!$AR$53:$AX$53=$E320)*(Work_Codes!$AR$56:$AX$67)*(N$155:N$166))</f>
        <v>0</v>
      </c>
      <c r="O320" s="81">
        <f ca="1">SUMPRODUCT((Work_Codes!$AR$53:$AX$53=$E320)*(Work_Codes!$AR$56:$AX$67)*(O$155:O$166))</f>
        <v>0</v>
      </c>
      <c r="P320" s="81">
        <f ca="1">SUMPRODUCT((Work_Codes!$AR$53:$AX$53=$E320)*(Work_Codes!$AR$56:$AX$67)*(P$155:P$166))</f>
        <v>0</v>
      </c>
      <c r="Q320" s="81">
        <f ca="1">SUMPRODUCT((Work_Codes!$AR$53:$AX$53=$E320)*(Work_Codes!$AR$56:$AX$67)*(Q$155:Q$166))</f>
        <v>0</v>
      </c>
      <c r="R320" s="81">
        <f ca="1">SUMPRODUCT((Work_Codes!$AR$53:$AX$53=$E320)*(Work_Codes!$AR$56:$AX$67)*(R$155:R$166))</f>
        <v>0</v>
      </c>
      <c r="S320" s="81">
        <f ca="1">SUMPRODUCT((Work_Codes!$AR$53:$AX$53=$E320)*(Work_Codes!$AR$56:$AX$67)*(S$155:S$166))</f>
        <v>0</v>
      </c>
      <c r="T320" s="81">
        <f ca="1">SUMPRODUCT((Work_Codes!$AR$53:$AX$53=$E320)*(Work_Codes!$AR$56:$AX$67)*(T$155:T$166))</f>
        <v>0</v>
      </c>
    </row>
    <row r="321" spans="2:20" outlineLevel="2">
      <c r="E321" s="247" t="str">
        <f>GC!C84</f>
        <v>Land</v>
      </c>
      <c r="F321" s="247"/>
      <c r="G321" s="247"/>
      <c r="H321" s="247"/>
      <c r="I321" s="247"/>
      <c r="J321" s="81">
        <f ca="1">SUMPRODUCT((Work_Codes!$AR$53:$AX$53=$E321)*(Work_Codes!$AR$56:$AX$67)*(J$155:J$166))</f>
        <v>0</v>
      </c>
      <c r="K321" s="81">
        <f ca="1">SUMPRODUCT((Work_Codes!$AR$53:$AX$53=$E321)*(Work_Codes!$AR$56:$AX$67)*(K$155:K$166))</f>
        <v>0</v>
      </c>
      <c r="L321" s="81">
        <f ca="1">SUMPRODUCT((Work_Codes!$AR$53:$AX$53=$E321)*(Work_Codes!$AR$56:$AX$67)*(L$155:L$166))</f>
        <v>0</v>
      </c>
      <c r="M321" s="81">
        <f ca="1">SUMPRODUCT((Work_Codes!$AR$53:$AX$53=$E321)*(Work_Codes!$AR$56:$AX$67)*(M$155:M$166))</f>
        <v>0</v>
      </c>
      <c r="N321" s="81">
        <f ca="1">SUMPRODUCT((Work_Codes!$AR$53:$AX$53=$E321)*(Work_Codes!$AR$56:$AX$67)*(N$155:N$166))</f>
        <v>0</v>
      </c>
      <c r="O321" s="81">
        <f ca="1">SUMPRODUCT((Work_Codes!$AR$53:$AX$53=$E321)*(Work_Codes!$AR$56:$AX$67)*(O$155:O$166))</f>
        <v>0</v>
      </c>
      <c r="P321" s="81">
        <f ca="1">SUMPRODUCT((Work_Codes!$AR$53:$AX$53=$E321)*(Work_Codes!$AR$56:$AX$67)*(P$155:P$166))</f>
        <v>0</v>
      </c>
      <c r="Q321" s="81">
        <f ca="1">SUMPRODUCT((Work_Codes!$AR$53:$AX$53=$E321)*(Work_Codes!$AR$56:$AX$67)*(Q$155:Q$166))</f>
        <v>0</v>
      </c>
      <c r="R321" s="81">
        <f ca="1">SUMPRODUCT((Work_Codes!$AR$53:$AX$53=$E321)*(Work_Codes!$AR$56:$AX$67)*(R$155:R$166))</f>
        <v>0</v>
      </c>
      <c r="S321" s="81">
        <f ca="1">SUMPRODUCT((Work_Codes!$AR$53:$AX$53=$E321)*(Work_Codes!$AR$56:$AX$67)*(S$155:S$166))</f>
        <v>0</v>
      </c>
      <c r="T321" s="81">
        <f ca="1">SUMPRODUCT((Work_Codes!$AR$53:$AX$53=$E321)*(Work_Codes!$AR$56:$AX$67)*(T$155:T$166))</f>
        <v>0</v>
      </c>
    </row>
    <row r="322" spans="2:20" outlineLevel="2">
      <c r="E322" s="249" t="str">
        <f>"Total "&amp;D313</f>
        <v>Total Direct Costs</v>
      </c>
      <c r="F322" s="249"/>
      <c r="G322" s="249"/>
      <c r="H322" s="249"/>
      <c r="I322" s="249"/>
      <c r="J322" s="82">
        <f t="shared" ref="J322:T322" ca="1" si="34">SUM(J315:J321)</f>
        <v>0</v>
      </c>
      <c r="K322" s="82">
        <f t="shared" ca="1" si="34"/>
        <v>0</v>
      </c>
      <c r="L322" s="82">
        <f t="shared" ca="1" si="34"/>
        <v>0</v>
      </c>
      <c r="M322" s="82">
        <f t="shared" ca="1" si="34"/>
        <v>0</v>
      </c>
      <c r="N322" s="82">
        <f t="shared" ca="1" si="34"/>
        <v>396906.43742264062</v>
      </c>
      <c r="O322" s="82">
        <f t="shared" ca="1" si="34"/>
        <v>2000415.6738857706</v>
      </c>
      <c r="P322" s="82">
        <f t="shared" ca="1" si="34"/>
        <v>1880769.3090953713</v>
      </c>
      <c r="Q322" s="82">
        <f t="shared" ca="1" si="34"/>
        <v>3152281.5182053791</v>
      </c>
      <c r="R322" s="82">
        <f t="shared" ca="1" si="34"/>
        <v>6232299.4520952795</v>
      </c>
      <c r="S322" s="82">
        <f t="shared" ca="1" si="34"/>
        <v>8922483.0647615939</v>
      </c>
      <c r="T322" s="82">
        <f t="shared" ca="1" si="34"/>
        <v>6635800.8122853395</v>
      </c>
    </row>
    <row r="323" spans="2:20" outlineLevel="2"/>
    <row r="324" spans="2:20" outlineLevel="2">
      <c r="D324" s="37" t="s">
        <v>313</v>
      </c>
    </row>
    <row r="325" spans="2:20" ht="5.9" customHeight="1" outlineLevel="2"/>
    <row r="326" spans="2:20" outlineLevel="2">
      <c r="E326" s="247" t="str">
        <f>GC!C78</f>
        <v>Mains &amp; Services</v>
      </c>
      <c r="F326" s="247"/>
      <c r="G326" s="247"/>
      <c r="H326" s="247"/>
      <c r="I326" s="247"/>
      <c r="J326" s="81">
        <f ca="1">J315*(1+INDEX(J$35:J$37,MATCH(Work_Codes!$I$50,$D$35:$D$37,0)))</f>
        <v>0</v>
      </c>
      <c r="K326" s="81">
        <f ca="1">K315*(1+INDEX(K$35:K$37,MATCH(Work_Codes!$I$50,$D$35:$D$37,0)))</f>
        <v>0</v>
      </c>
      <c r="L326" s="81">
        <f ca="1">L315*(1+INDEX(L$35:L$37,MATCH(Work_Codes!$I$50,$D$35:$D$37,0)))</f>
        <v>0</v>
      </c>
      <c r="M326" s="81">
        <f ca="1">M315*(1+INDEX(M$35:M$37,MATCH(Work_Codes!$I$50,$D$35:$D$37,0)))</f>
        <v>0</v>
      </c>
      <c r="N326" s="81">
        <f ca="1">N315*(1+INDEX(N$35:N$37,MATCH(Work_Codes!$I$50,$D$35:$D$37,0)))</f>
        <v>411874.17901462101</v>
      </c>
      <c r="O326" s="81">
        <f ca="1">O315*(1+INDEX(O$35:O$37,MATCH(Work_Codes!$I$50,$D$35:$D$37,0)))</f>
        <v>2066997.4472719352</v>
      </c>
      <c r="P326" s="81">
        <f ca="1">P315*(1+INDEX(P$35:P$37,MATCH(Work_Codes!$I$50,$D$35:$D$37,0)))</f>
        <v>1931084.891925707</v>
      </c>
      <c r="Q326" s="81">
        <f ca="1">Q315*(1+INDEX(Q$35:Q$37,MATCH(Work_Codes!$I$50,$D$35:$D$37,0)))</f>
        <v>3234431.8260591892</v>
      </c>
      <c r="R326" s="81">
        <f ca="1">R315*(1+INDEX(R$35:R$37,MATCH(Work_Codes!$I$50,$D$35:$D$37,0)))</f>
        <v>6399780.0725878729</v>
      </c>
      <c r="S326" s="81">
        <f ca="1">S315*(1+INDEX(S$35:S$37,MATCH(Work_Codes!$I$50,$D$35:$D$37,0)))</f>
        <v>9177185.8628112562</v>
      </c>
      <c r="T326" s="81">
        <f ca="1">T315*(1+INDEX(T$35:T$37,MATCH(Work_Codes!$I$50,$D$35:$D$37,0)))</f>
        <v>6834346.4822732471</v>
      </c>
    </row>
    <row r="327" spans="2:20" outlineLevel="2">
      <c r="E327" s="247" t="str">
        <f>GC!C79</f>
        <v>Meters Domestic</v>
      </c>
      <c r="F327" s="247"/>
      <c r="G327" s="247"/>
      <c r="H327" s="247"/>
      <c r="I327" s="247"/>
      <c r="J327" s="81">
        <f ca="1">J316*(1+INDEX(J$35:J$37,MATCH(Work_Codes!$I$50,$D$35:$D$37,0)))</f>
        <v>0</v>
      </c>
      <c r="K327" s="81">
        <f ca="1">K316*(1+INDEX(K$35:K$37,MATCH(Work_Codes!$I$50,$D$35:$D$37,0)))</f>
        <v>0</v>
      </c>
      <c r="L327" s="81">
        <f ca="1">L316*(1+INDEX(L$35:L$37,MATCH(Work_Codes!$I$50,$D$35:$D$37,0)))</f>
        <v>0</v>
      </c>
      <c r="M327" s="81">
        <f ca="1">M316*(1+INDEX(M$35:M$37,MATCH(Work_Codes!$I$50,$D$35:$D$37,0)))</f>
        <v>0</v>
      </c>
      <c r="N327" s="81">
        <f ca="1">N316*(1+INDEX(N$35:N$37,MATCH(Work_Codes!$I$50,$D$35:$D$37,0)))</f>
        <v>0</v>
      </c>
      <c r="O327" s="81">
        <f ca="1">O316*(1+INDEX(O$35:O$37,MATCH(Work_Codes!$I$50,$D$35:$D$37,0)))</f>
        <v>0</v>
      </c>
      <c r="P327" s="81">
        <f ca="1">P316*(1+INDEX(P$35:P$37,MATCH(Work_Codes!$I$50,$D$35:$D$37,0)))</f>
        <v>0</v>
      </c>
      <c r="Q327" s="81">
        <f ca="1">Q316*(1+INDEX(Q$35:Q$37,MATCH(Work_Codes!$I$50,$D$35:$D$37,0)))</f>
        <v>0</v>
      </c>
      <c r="R327" s="81">
        <f ca="1">R316*(1+INDEX(R$35:R$37,MATCH(Work_Codes!$I$50,$D$35:$D$37,0)))</f>
        <v>0</v>
      </c>
      <c r="S327" s="81">
        <f ca="1">S316*(1+INDEX(S$35:S$37,MATCH(Work_Codes!$I$50,$D$35:$D$37,0)))</f>
        <v>0</v>
      </c>
      <c r="T327" s="81">
        <f ca="1">T316*(1+INDEX(T$35:T$37,MATCH(Work_Codes!$I$50,$D$35:$D$37,0)))</f>
        <v>0</v>
      </c>
    </row>
    <row r="328" spans="2:20" outlineLevel="2">
      <c r="E328" s="247" t="str">
        <f>GC!C80</f>
        <v>Meters Industrial &amp; Commercial</v>
      </c>
      <c r="F328" s="247"/>
      <c r="G328" s="247"/>
      <c r="H328" s="247"/>
      <c r="I328" s="247"/>
      <c r="J328" s="81">
        <f ca="1">J317*(1+INDEX(J$35:J$37,MATCH(Work_Codes!$I$50,$D$35:$D$37,0)))</f>
        <v>0</v>
      </c>
      <c r="K328" s="81">
        <f ca="1">K317*(1+INDEX(K$35:K$37,MATCH(Work_Codes!$I$50,$D$35:$D$37,0)))</f>
        <v>0</v>
      </c>
      <c r="L328" s="81">
        <f ca="1">L317*(1+INDEX(L$35:L$37,MATCH(Work_Codes!$I$50,$D$35:$D$37,0)))</f>
        <v>0</v>
      </c>
      <c r="M328" s="81">
        <f ca="1">M317*(1+INDEX(M$35:M$37,MATCH(Work_Codes!$I$50,$D$35:$D$37,0)))</f>
        <v>0</v>
      </c>
      <c r="N328" s="81">
        <f ca="1">N317*(1+INDEX(N$35:N$37,MATCH(Work_Codes!$I$50,$D$35:$D$37,0)))</f>
        <v>0</v>
      </c>
      <c r="O328" s="81">
        <f ca="1">O317*(1+INDEX(O$35:O$37,MATCH(Work_Codes!$I$50,$D$35:$D$37,0)))</f>
        <v>0</v>
      </c>
      <c r="P328" s="81">
        <f ca="1">P317*(1+INDEX(P$35:P$37,MATCH(Work_Codes!$I$50,$D$35:$D$37,0)))</f>
        <v>0</v>
      </c>
      <c r="Q328" s="81">
        <f ca="1">Q317*(1+INDEX(Q$35:Q$37,MATCH(Work_Codes!$I$50,$D$35:$D$37,0)))</f>
        <v>0</v>
      </c>
      <c r="R328" s="81">
        <f ca="1">R317*(1+INDEX(R$35:R$37,MATCH(Work_Codes!$I$50,$D$35:$D$37,0)))</f>
        <v>0</v>
      </c>
      <c r="S328" s="81">
        <f ca="1">S317*(1+INDEX(S$35:S$37,MATCH(Work_Codes!$I$50,$D$35:$D$37,0)))</f>
        <v>0</v>
      </c>
      <c r="T328" s="81">
        <f ca="1">T317*(1+INDEX(T$35:T$37,MATCH(Work_Codes!$I$50,$D$35:$D$37,0)))</f>
        <v>0</v>
      </c>
    </row>
    <row r="329" spans="2:20" outlineLevel="2">
      <c r="E329" s="247" t="str">
        <f>GC!C81</f>
        <v>Buildings</v>
      </c>
      <c r="F329" s="247"/>
      <c r="G329" s="247"/>
      <c r="H329" s="247"/>
      <c r="I329" s="247"/>
      <c r="J329" s="81">
        <f ca="1">J318*(1+INDEX(J$35:J$37,MATCH(Work_Codes!$I$50,$D$35:$D$37,0)))</f>
        <v>0</v>
      </c>
      <c r="K329" s="81">
        <f ca="1">K318*(1+INDEX(K$35:K$37,MATCH(Work_Codes!$I$50,$D$35:$D$37,0)))</f>
        <v>0</v>
      </c>
      <c r="L329" s="81">
        <f ca="1">L318*(1+INDEX(L$35:L$37,MATCH(Work_Codes!$I$50,$D$35:$D$37,0)))</f>
        <v>0</v>
      </c>
      <c r="M329" s="81">
        <f ca="1">M318*(1+INDEX(M$35:M$37,MATCH(Work_Codes!$I$50,$D$35:$D$37,0)))</f>
        <v>0</v>
      </c>
      <c r="N329" s="81">
        <f ca="1">N318*(1+INDEX(N$35:N$37,MATCH(Work_Codes!$I$50,$D$35:$D$37,0)))</f>
        <v>0</v>
      </c>
      <c r="O329" s="81">
        <f ca="1">O318*(1+INDEX(O$35:O$37,MATCH(Work_Codes!$I$50,$D$35:$D$37,0)))</f>
        <v>0</v>
      </c>
      <c r="P329" s="81">
        <f ca="1">P318*(1+INDEX(P$35:P$37,MATCH(Work_Codes!$I$50,$D$35:$D$37,0)))</f>
        <v>0</v>
      </c>
      <c r="Q329" s="81">
        <f ca="1">Q318*(1+INDEX(Q$35:Q$37,MATCH(Work_Codes!$I$50,$D$35:$D$37,0)))</f>
        <v>0</v>
      </c>
      <c r="R329" s="81">
        <f ca="1">R318*(1+INDEX(R$35:R$37,MATCH(Work_Codes!$I$50,$D$35:$D$37,0)))</f>
        <v>0</v>
      </c>
      <c r="S329" s="81">
        <f ca="1">S318*(1+INDEX(S$35:S$37,MATCH(Work_Codes!$I$50,$D$35:$D$37,0)))</f>
        <v>0</v>
      </c>
      <c r="T329" s="81">
        <f ca="1">T318*(1+INDEX(T$35:T$37,MATCH(Work_Codes!$I$50,$D$35:$D$37,0)))</f>
        <v>0</v>
      </c>
    </row>
    <row r="330" spans="2:20" outlineLevel="2">
      <c r="E330" s="247" t="str">
        <f>GC!C82</f>
        <v>Other Assets</v>
      </c>
      <c r="F330" s="247"/>
      <c r="G330" s="247"/>
      <c r="H330" s="247"/>
      <c r="I330" s="247"/>
      <c r="J330" s="81">
        <f ca="1">J319*(1+INDEX(J$35:J$37,MATCH(Work_Codes!$I$50,$D$35:$D$37,0)))</f>
        <v>0</v>
      </c>
      <c r="K330" s="81">
        <f ca="1">K319*(1+INDEX(K$35:K$37,MATCH(Work_Codes!$I$50,$D$35:$D$37,0)))</f>
        <v>0</v>
      </c>
      <c r="L330" s="81">
        <f ca="1">L319*(1+INDEX(L$35:L$37,MATCH(Work_Codes!$I$50,$D$35:$D$37,0)))</f>
        <v>0</v>
      </c>
      <c r="M330" s="81">
        <f ca="1">M319*(1+INDEX(M$35:M$37,MATCH(Work_Codes!$I$50,$D$35:$D$37,0)))</f>
        <v>0</v>
      </c>
      <c r="N330" s="81">
        <f ca="1">N319*(1+INDEX(N$35:N$37,MATCH(Work_Codes!$I$50,$D$35:$D$37,0)))</f>
        <v>0</v>
      </c>
      <c r="O330" s="81">
        <f ca="1">O319*(1+INDEX(O$35:O$37,MATCH(Work_Codes!$I$50,$D$35:$D$37,0)))</f>
        <v>0</v>
      </c>
      <c r="P330" s="81">
        <f ca="1">P319*(1+INDEX(P$35:P$37,MATCH(Work_Codes!$I$50,$D$35:$D$37,0)))</f>
        <v>0</v>
      </c>
      <c r="Q330" s="81">
        <f ca="1">Q319*(1+INDEX(Q$35:Q$37,MATCH(Work_Codes!$I$50,$D$35:$D$37,0)))</f>
        <v>0</v>
      </c>
      <c r="R330" s="81">
        <f ca="1">R319*(1+INDEX(R$35:R$37,MATCH(Work_Codes!$I$50,$D$35:$D$37,0)))</f>
        <v>0</v>
      </c>
      <c r="S330" s="81">
        <f ca="1">S319*(1+INDEX(S$35:S$37,MATCH(Work_Codes!$I$50,$D$35:$D$37,0)))</f>
        <v>0</v>
      </c>
      <c r="T330" s="81">
        <f ca="1">T319*(1+INDEX(T$35:T$37,MATCH(Work_Codes!$I$50,$D$35:$D$37,0)))</f>
        <v>0</v>
      </c>
    </row>
    <row r="331" spans="2:20" outlineLevel="2">
      <c r="E331" s="247" t="str">
        <f>GC!C83</f>
        <v>Repairs</v>
      </c>
      <c r="F331" s="247"/>
      <c r="G331" s="247"/>
      <c r="H331" s="247"/>
      <c r="I331" s="247"/>
      <c r="J331" s="81">
        <f ca="1">J320*(1+INDEX(J$35:J$37,MATCH(Work_Codes!$I$50,$D$35:$D$37,0)))</f>
        <v>0</v>
      </c>
      <c r="K331" s="81">
        <f ca="1">K320*(1+INDEX(K$35:K$37,MATCH(Work_Codes!$I$50,$D$35:$D$37,0)))</f>
        <v>0</v>
      </c>
      <c r="L331" s="81">
        <f ca="1">L320*(1+INDEX(L$35:L$37,MATCH(Work_Codes!$I$50,$D$35:$D$37,0)))</f>
        <v>0</v>
      </c>
      <c r="M331" s="81">
        <f ca="1">M320*(1+INDEX(M$35:M$37,MATCH(Work_Codes!$I$50,$D$35:$D$37,0)))</f>
        <v>0</v>
      </c>
      <c r="N331" s="81">
        <f ca="1">N320*(1+INDEX(N$35:N$37,MATCH(Work_Codes!$I$50,$D$35:$D$37,0)))</f>
        <v>0</v>
      </c>
      <c r="O331" s="81">
        <f ca="1">O320*(1+INDEX(O$35:O$37,MATCH(Work_Codes!$I$50,$D$35:$D$37,0)))</f>
        <v>0</v>
      </c>
      <c r="P331" s="81">
        <f ca="1">P320*(1+INDEX(P$35:P$37,MATCH(Work_Codes!$I$50,$D$35:$D$37,0)))</f>
        <v>0</v>
      </c>
      <c r="Q331" s="81">
        <f ca="1">Q320*(1+INDEX(Q$35:Q$37,MATCH(Work_Codes!$I$50,$D$35:$D$37,0)))</f>
        <v>0</v>
      </c>
      <c r="R331" s="81">
        <f ca="1">R320*(1+INDEX(R$35:R$37,MATCH(Work_Codes!$I$50,$D$35:$D$37,0)))</f>
        <v>0</v>
      </c>
      <c r="S331" s="81">
        <f ca="1">S320*(1+INDEX(S$35:S$37,MATCH(Work_Codes!$I$50,$D$35:$D$37,0)))</f>
        <v>0</v>
      </c>
      <c r="T331" s="81">
        <f ca="1">T320*(1+INDEX(T$35:T$37,MATCH(Work_Codes!$I$50,$D$35:$D$37,0)))</f>
        <v>0</v>
      </c>
    </row>
    <row r="332" spans="2:20" outlineLevel="2">
      <c r="E332" s="247" t="str">
        <f>GC!C84</f>
        <v>Land</v>
      </c>
      <c r="F332" s="247"/>
      <c r="G332" s="247"/>
      <c r="H332" s="247"/>
      <c r="I332" s="247"/>
      <c r="J332" s="81">
        <f ca="1">J321*(1+INDEX(J$35:J$37,MATCH(Work_Codes!$I$50,$D$35:$D$37,0)))</f>
        <v>0</v>
      </c>
      <c r="K332" s="81">
        <f ca="1">K321*(1+INDEX(K$35:K$37,MATCH(Work_Codes!$I$50,$D$35:$D$37,0)))</f>
        <v>0</v>
      </c>
      <c r="L332" s="81">
        <f ca="1">L321*(1+INDEX(L$35:L$37,MATCH(Work_Codes!$I$50,$D$35:$D$37,0)))</f>
        <v>0</v>
      </c>
      <c r="M332" s="81">
        <f ca="1">M321*(1+INDEX(M$35:M$37,MATCH(Work_Codes!$I$50,$D$35:$D$37,0)))</f>
        <v>0</v>
      </c>
      <c r="N332" s="81">
        <f ca="1">N321*(1+INDEX(N$35:N$37,MATCH(Work_Codes!$I$50,$D$35:$D$37,0)))</f>
        <v>0</v>
      </c>
      <c r="O332" s="81">
        <f ca="1">O321*(1+INDEX(O$35:O$37,MATCH(Work_Codes!$I$50,$D$35:$D$37,0)))</f>
        <v>0</v>
      </c>
      <c r="P332" s="81">
        <f ca="1">P321*(1+INDEX(P$35:P$37,MATCH(Work_Codes!$I$50,$D$35:$D$37,0)))</f>
        <v>0</v>
      </c>
      <c r="Q332" s="81">
        <f ca="1">Q321*(1+INDEX(Q$35:Q$37,MATCH(Work_Codes!$I$50,$D$35:$D$37,0)))</f>
        <v>0</v>
      </c>
      <c r="R332" s="81">
        <f ca="1">R321*(1+INDEX(R$35:R$37,MATCH(Work_Codes!$I$50,$D$35:$D$37,0)))</f>
        <v>0</v>
      </c>
      <c r="S332" s="81">
        <f ca="1">S321*(1+INDEX(S$35:S$37,MATCH(Work_Codes!$I$50,$D$35:$D$37,0)))</f>
        <v>0</v>
      </c>
      <c r="T332" s="81">
        <f ca="1">T321*(1+INDEX(T$35:T$37,MATCH(Work_Codes!$I$50,$D$35:$D$37,0)))</f>
        <v>0</v>
      </c>
    </row>
    <row r="333" spans="2:20" outlineLevel="2">
      <c r="E333" s="249" t="str">
        <f>"Total "&amp;D324</f>
        <v>Total Direct Costs +  Overheads</v>
      </c>
      <c r="F333" s="249"/>
      <c r="G333" s="249"/>
      <c r="H333" s="249"/>
      <c r="I333" s="249"/>
      <c r="J333" s="82">
        <f t="shared" ref="J333:T333" ca="1" si="35">SUM(J326:J332)</f>
        <v>0</v>
      </c>
      <c r="K333" s="82">
        <f t="shared" ca="1" si="35"/>
        <v>0</v>
      </c>
      <c r="L333" s="82">
        <f t="shared" ca="1" si="35"/>
        <v>0</v>
      </c>
      <c r="M333" s="82">
        <f t="shared" ca="1" si="35"/>
        <v>0</v>
      </c>
      <c r="N333" s="82">
        <f t="shared" ca="1" si="35"/>
        <v>411874.17901462101</v>
      </c>
      <c r="O333" s="82">
        <f t="shared" ca="1" si="35"/>
        <v>2066997.4472719352</v>
      </c>
      <c r="P333" s="82">
        <f t="shared" ca="1" si="35"/>
        <v>1931084.891925707</v>
      </c>
      <c r="Q333" s="82">
        <f t="shared" ca="1" si="35"/>
        <v>3234431.8260591892</v>
      </c>
      <c r="R333" s="82">
        <f t="shared" ca="1" si="35"/>
        <v>6399780.0725878729</v>
      </c>
      <c r="S333" s="82">
        <f t="shared" ca="1" si="35"/>
        <v>9177185.8628112562</v>
      </c>
      <c r="T333" s="82">
        <f t="shared" ca="1" si="35"/>
        <v>6834346.4822732471</v>
      </c>
    </row>
    <row r="334" spans="2:20" outlineLevel="1">
      <c r="B334" s="12"/>
      <c r="C334" s="12"/>
      <c r="D334" s="12"/>
      <c r="E334" s="12"/>
      <c r="F334" s="12"/>
      <c r="G334" s="12"/>
      <c r="H334" s="12"/>
      <c r="I334" s="12"/>
      <c r="J334" s="12"/>
      <c r="K334" s="12"/>
      <c r="L334" s="12"/>
      <c r="M334" s="12"/>
      <c r="N334" s="12"/>
      <c r="O334" s="12"/>
      <c r="P334" s="12"/>
      <c r="Q334" s="12"/>
      <c r="R334" s="12"/>
      <c r="S334" s="12"/>
      <c r="T334" s="12"/>
    </row>
    <row r="335" spans="2:20" outlineLevel="1"/>
    <row r="336" spans="2:20" outlineLevel="1">
      <c r="C336" s="37" t="s">
        <v>19</v>
      </c>
    </row>
    <row r="337" spans="2:20" ht="5.9" customHeight="1" outlineLevel="1"/>
    <row r="338" spans="2:20" outlineLevel="1">
      <c r="F338" s="51" t="str">
        <f>$B$23&amp;" Work Code v RAB Category Direct Check"</f>
        <v>3003 - Inputs Work Code v RAB Category Direct Check</v>
      </c>
      <c r="I338" s="130">
        <f ca="1">IF(ISERROR(SUM(J338:T338)),1,MIN(SUM(J338:T338),1))</f>
        <v>0</v>
      </c>
      <c r="J338" s="81">
        <f t="shared" ref="J338:T338" ca="1" si="36">J168-J191</f>
        <v>0</v>
      </c>
      <c r="K338" s="81">
        <f t="shared" ca="1" si="36"/>
        <v>0</v>
      </c>
      <c r="L338" s="81">
        <f t="shared" ca="1" si="36"/>
        <v>0</v>
      </c>
      <c r="M338" s="81">
        <f t="shared" ca="1" si="36"/>
        <v>0</v>
      </c>
      <c r="N338" s="81">
        <f t="shared" ca="1" si="36"/>
        <v>0</v>
      </c>
      <c r="O338" s="81">
        <f t="shared" ca="1" si="36"/>
        <v>0</v>
      </c>
      <c r="P338" s="81">
        <f t="shared" ca="1" si="36"/>
        <v>0</v>
      </c>
      <c r="Q338" s="81">
        <f t="shared" ca="1" si="36"/>
        <v>0</v>
      </c>
      <c r="R338" s="81">
        <f t="shared" ca="1" si="36"/>
        <v>0</v>
      </c>
      <c r="S338" s="81">
        <f t="shared" ca="1" si="36"/>
        <v>0</v>
      </c>
      <c r="T338" s="81">
        <f t="shared" ca="1" si="36"/>
        <v>0</v>
      </c>
    </row>
    <row r="339" spans="2:20" outlineLevel="1">
      <c r="F339" s="51" t="str">
        <f>$B$23&amp;" Work Code v RIN Category Direct Check"</f>
        <v>3003 - Inputs Work Code v RIN Category Direct Check</v>
      </c>
      <c r="I339" s="130">
        <f ca="1">IF(ISERROR(SUM(J339:T339)),1,MIN(SUM(J339:T339),1))</f>
        <v>0</v>
      </c>
      <c r="J339" s="81">
        <f t="shared" ref="J339:T339" ca="1" si="37">J168-J272</f>
        <v>0</v>
      </c>
      <c r="K339" s="81">
        <f t="shared" ca="1" si="37"/>
        <v>0</v>
      </c>
      <c r="L339" s="81">
        <f t="shared" ca="1" si="37"/>
        <v>0</v>
      </c>
      <c r="M339" s="81">
        <f t="shared" ca="1" si="37"/>
        <v>0</v>
      </c>
      <c r="N339" s="81">
        <f t="shared" ca="1" si="37"/>
        <v>0</v>
      </c>
      <c r="O339" s="81">
        <f t="shared" ca="1" si="37"/>
        <v>0</v>
      </c>
      <c r="P339" s="81">
        <f t="shared" ca="1" si="37"/>
        <v>0</v>
      </c>
      <c r="Q339" s="81">
        <f t="shared" ca="1" si="37"/>
        <v>0</v>
      </c>
      <c r="R339" s="81">
        <f t="shared" ca="1" si="37"/>
        <v>0</v>
      </c>
      <c r="S339" s="81">
        <f t="shared" ca="1" si="37"/>
        <v>0</v>
      </c>
      <c r="T339" s="81">
        <f t="shared" ca="1" si="37"/>
        <v>0</v>
      </c>
    </row>
    <row r="340" spans="2:20" outlineLevel="1">
      <c r="F340" s="51" t="str">
        <f>$B$23&amp;" Work Code v Tax Category Direct Check"</f>
        <v>3003 - Inputs Work Code v Tax Category Direct Check</v>
      </c>
      <c r="I340" s="130">
        <f ca="1">IF(ISERROR(SUM(J340:T340)),1,MIN(SUM(J340:T340),1))</f>
        <v>0</v>
      </c>
      <c r="J340" s="81">
        <f t="shared" ref="J340:T340" ca="1" si="38">J168-J322</f>
        <v>0</v>
      </c>
      <c r="K340" s="81">
        <f t="shared" ca="1" si="38"/>
        <v>0</v>
      </c>
      <c r="L340" s="81">
        <f t="shared" ca="1" si="38"/>
        <v>0</v>
      </c>
      <c r="M340" s="81">
        <f t="shared" ca="1" si="38"/>
        <v>0</v>
      </c>
      <c r="N340" s="81">
        <f t="shared" ca="1" si="38"/>
        <v>0</v>
      </c>
      <c r="O340" s="81">
        <f t="shared" ca="1" si="38"/>
        <v>0</v>
      </c>
      <c r="P340" s="81">
        <f t="shared" ca="1" si="38"/>
        <v>0</v>
      </c>
      <c r="Q340" s="81">
        <f t="shared" ca="1" si="38"/>
        <v>0</v>
      </c>
      <c r="R340" s="81">
        <f t="shared" ca="1" si="38"/>
        <v>0</v>
      </c>
      <c r="S340" s="81">
        <f t="shared" ca="1" si="38"/>
        <v>0</v>
      </c>
      <c r="T340" s="81">
        <f t="shared" ca="1" si="38"/>
        <v>0</v>
      </c>
    </row>
    <row r="341" spans="2:20" outlineLevel="1">
      <c r="F341" s="51" t="str">
        <f>$B$23&amp;" Customer Contributions v RAB Category Direct Check"</f>
        <v>3003 - Inputs Customer Contributions v RAB Category Direct Check</v>
      </c>
      <c r="I341" s="130">
        <f ca="1">IF(ISERROR(SUM(J341:T341)),1,MIN(SUM(J341:T341),1))</f>
        <v>0</v>
      </c>
      <c r="J341" s="81">
        <f t="shared" ref="J341:T341" ca="1" si="39">J97-J251</f>
        <v>0</v>
      </c>
      <c r="K341" s="81">
        <f t="shared" ca="1" si="39"/>
        <v>0</v>
      </c>
      <c r="L341" s="81">
        <f t="shared" ca="1" si="39"/>
        <v>0</v>
      </c>
      <c r="M341" s="81">
        <f t="shared" ca="1" si="39"/>
        <v>0</v>
      </c>
      <c r="N341" s="81">
        <f t="shared" ca="1" si="39"/>
        <v>0</v>
      </c>
      <c r="O341" s="81">
        <f t="shared" ca="1" si="39"/>
        <v>0</v>
      </c>
      <c r="P341" s="81">
        <f t="shared" ca="1" si="39"/>
        <v>0</v>
      </c>
      <c r="Q341" s="81">
        <f t="shared" ca="1" si="39"/>
        <v>0</v>
      </c>
      <c r="R341" s="81">
        <f t="shared" ca="1" si="39"/>
        <v>0</v>
      </c>
      <c r="S341" s="81">
        <f t="shared" ca="1" si="39"/>
        <v>0</v>
      </c>
      <c r="T341" s="81">
        <f t="shared" ca="1" si="39"/>
        <v>0</v>
      </c>
    </row>
    <row r="342" spans="2:20" ht="5.9" customHeight="1" outlineLevel="1"/>
    <row r="343" spans="2:20" outlineLevel="1">
      <c r="F343" s="51" t="str">
        <f>$B$23&amp;" RAB v RIN Direct + Overhead Check"</f>
        <v>3003 - Inputs RAB v RIN Direct + Overhead Check</v>
      </c>
      <c r="I343" s="130">
        <f ca="1">IF(ISERROR(SUM(J343:T343)),1,MIN(SUM(J343:T343),1))</f>
        <v>0</v>
      </c>
      <c r="J343" s="81">
        <f t="shared" ref="J343:T343" ca="1" si="40">J231-J290</f>
        <v>0</v>
      </c>
      <c r="K343" s="81">
        <f t="shared" ca="1" si="40"/>
        <v>0</v>
      </c>
      <c r="L343" s="81">
        <f t="shared" ca="1" si="40"/>
        <v>0</v>
      </c>
      <c r="M343" s="81">
        <f t="shared" ca="1" si="40"/>
        <v>0</v>
      </c>
      <c r="N343" s="81">
        <f t="shared" ca="1" si="40"/>
        <v>0</v>
      </c>
      <c r="O343" s="81">
        <f t="shared" ca="1" si="40"/>
        <v>0</v>
      </c>
      <c r="P343" s="81">
        <f t="shared" ca="1" si="40"/>
        <v>0</v>
      </c>
      <c r="Q343" s="81">
        <f t="shared" ca="1" si="40"/>
        <v>0</v>
      </c>
      <c r="R343" s="81">
        <f t="shared" ca="1" si="40"/>
        <v>0</v>
      </c>
      <c r="S343" s="81">
        <f t="shared" ca="1" si="40"/>
        <v>0</v>
      </c>
      <c r="T343" s="81">
        <f t="shared" ca="1" si="40"/>
        <v>0</v>
      </c>
    </row>
    <row r="344" spans="2:20" outlineLevel="1">
      <c r="F344" s="51" t="str">
        <f>$B$23&amp;" RAB v Tax Direct + Overhead Check"</f>
        <v>3003 - Inputs RAB v Tax Direct + Overhead Check</v>
      </c>
      <c r="I344" s="130">
        <f ca="1">IF(ISERROR(SUM(J344:T344)),1,MIN(SUM(J344:T344),1))</f>
        <v>0</v>
      </c>
      <c r="J344" s="81">
        <f t="shared" ref="J344:T344" ca="1" si="41">J231-J333</f>
        <v>0</v>
      </c>
      <c r="K344" s="81">
        <f t="shared" ca="1" si="41"/>
        <v>0</v>
      </c>
      <c r="L344" s="81">
        <f t="shared" ca="1" si="41"/>
        <v>0</v>
      </c>
      <c r="M344" s="81">
        <f t="shared" ca="1" si="41"/>
        <v>0</v>
      </c>
      <c r="N344" s="81">
        <f t="shared" ca="1" si="41"/>
        <v>0</v>
      </c>
      <c r="O344" s="81">
        <f t="shared" ca="1" si="41"/>
        <v>0</v>
      </c>
      <c r="P344" s="81">
        <f t="shared" ca="1" si="41"/>
        <v>0</v>
      </c>
      <c r="Q344" s="81">
        <f t="shared" ca="1" si="41"/>
        <v>0</v>
      </c>
      <c r="R344" s="81">
        <f t="shared" ca="1" si="41"/>
        <v>0</v>
      </c>
      <c r="S344" s="81">
        <f t="shared" ca="1" si="41"/>
        <v>0</v>
      </c>
      <c r="T344" s="81">
        <f t="shared" ca="1" si="41"/>
        <v>0</v>
      </c>
    </row>
    <row r="345" spans="2:20" ht="12" outlineLevel="1" thickBot="1">
      <c r="B345" s="94"/>
      <c r="C345" s="94"/>
      <c r="D345" s="94"/>
      <c r="E345" s="94"/>
      <c r="F345" s="94"/>
      <c r="G345" s="94"/>
      <c r="H345" s="94"/>
      <c r="I345" s="94"/>
      <c r="J345" s="94"/>
      <c r="K345" s="94"/>
      <c r="L345" s="94"/>
      <c r="M345" s="94"/>
      <c r="N345" s="94"/>
      <c r="O345" s="94"/>
      <c r="P345" s="94"/>
      <c r="Q345" s="94"/>
      <c r="R345" s="94"/>
      <c r="S345" s="94"/>
      <c r="T345" s="94"/>
    </row>
  </sheetData>
  <sheetProtection formatColumns="0" formatRows="0"/>
  <mergeCells count="136">
    <mergeCell ref="E288:I288"/>
    <mergeCell ref="E285:I285"/>
    <mergeCell ref="E282:I282"/>
    <mergeCell ref="E283:I283"/>
    <mergeCell ref="E284:I284"/>
    <mergeCell ref="E201:I201"/>
    <mergeCell ref="E202:I202"/>
    <mergeCell ref="E181:I181"/>
    <mergeCell ref="E281:I281"/>
    <mergeCell ref="E276:I276"/>
    <mergeCell ref="E277:I277"/>
    <mergeCell ref="E278:I278"/>
    <mergeCell ref="E272:I272"/>
    <mergeCell ref="E279:I279"/>
    <mergeCell ref="E280:I280"/>
    <mergeCell ref="E177:I177"/>
    <mergeCell ref="E178:I178"/>
    <mergeCell ref="E179:I179"/>
    <mergeCell ref="E195:I195"/>
    <mergeCell ref="E196:I196"/>
    <mergeCell ref="E197:I197"/>
    <mergeCell ref="E198:I198"/>
    <mergeCell ref="E199:I199"/>
    <mergeCell ref="E200:I200"/>
    <mergeCell ref="E269:I269"/>
    <mergeCell ref="E270:I270"/>
    <mergeCell ref="E271:I271"/>
    <mergeCell ref="E231:I231"/>
    <mergeCell ref="E262:I262"/>
    <mergeCell ref="E263:I263"/>
    <mergeCell ref="E264:I264"/>
    <mergeCell ref="E265:I265"/>
    <mergeCell ref="E266:I266"/>
    <mergeCell ref="E258:I258"/>
    <mergeCell ref="E259:I259"/>
    <mergeCell ref="E260:I260"/>
    <mergeCell ref="E267:I267"/>
    <mergeCell ref="E321:I321"/>
    <mergeCell ref="E290:I290"/>
    <mergeCell ref="E315:I315"/>
    <mergeCell ref="E316:I316"/>
    <mergeCell ref="E317:I317"/>
    <mergeCell ref="E318:I318"/>
    <mergeCell ref="E286:I286"/>
    <mergeCell ref="E287:I287"/>
    <mergeCell ref="E319:I319"/>
    <mergeCell ref="E320:I320"/>
    <mergeCell ref="E289:I289"/>
    <mergeCell ref="E308:I308"/>
    <mergeCell ref="E294:I294"/>
    <mergeCell ref="E306:I306"/>
    <mergeCell ref="E307:I307"/>
    <mergeCell ref="E304:I304"/>
    <mergeCell ref="E305:I305"/>
    <mergeCell ref="E297:I297"/>
    <mergeCell ref="E298:I298"/>
    <mergeCell ref="E299:I299"/>
    <mergeCell ref="E300:I300"/>
    <mergeCell ref="E301:I301"/>
    <mergeCell ref="E302:I302"/>
    <mergeCell ref="E303:I303"/>
    <mergeCell ref="E333:I333"/>
    <mergeCell ref="E326:I326"/>
    <mergeCell ref="E327:I327"/>
    <mergeCell ref="E328:I328"/>
    <mergeCell ref="E329:I329"/>
    <mergeCell ref="E330:I330"/>
    <mergeCell ref="E331:I331"/>
    <mergeCell ref="E332:I332"/>
    <mergeCell ref="E322:I322"/>
    <mergeCell ref="E228:I228"/>
    <mergeCell ref="E229:I229"/>
    <mergeCell ref="E230:I230"/>
    <mergeCell ref="E247:I247"/>
    <mergeCell ref="E248:I248"/>
    <mergeCell ref="E249:I249"/>
    <mergeCell ref="E250:I250"/>
    <mergeCell ref="E295:I295"/>
    <mergeCell ref="E296:I296"/>
    <mergeCell ref="E246:I246"/>
    <mergeCell ref="E242:I242"/>
    <mergeCell ref="E243:I243"/>
    <mergeCell ref="E244:I244"/>
    <mergeCell ref="E245:I245"/>
    <mergeCell ref="E261:I261"/>
    <mergeCell ref="E268:I268"/>
    <mergeCell ref="E251:I251"/>
    <mergeCell ref="E235:I235"/>
    <mergeCell ref="E236:I236"/>
    <mergeCell ref="E237:I237"/>
    <mergeCell ref="E238:I238"/>
    <mergeCell ref="E239:I239"/>
    <mergeCell ref="E240:I240"/>
    <mergeCell ref="E241:I241"/>
    <mergeCell ref="E227:I227"/>
    <mergeCell ref="E203:I203"/>
    <mergeCell ref="E204:I204"/>
    <mergeCell ref="E205:I205"/>
    <mergeCell ref="E226:I226"/>
    <mergeCell ref="E217:I217"/>
    <mergeCell ref="E218:I218"/>
    <mergeCell ref="E219:I219"/>
    <mergeCell ref="E220:I220"/>
    <mergeCell ref="E222:I222"/>
    <mergeCell ref="E225:I225"/>
    <mergeCell ref="E206:I206"/>
    <mergeCell ref="E211:I211"/>
    <mergeCell ref="E223:I223"/>
    <mergeCell ref="E224:I224"/>
    <mergeCell ref="E215:I215"/>
    <mergeCell ref="E216:I216"/>
    <mergeCell ref="E221:I221"/>
    <mergeCell ref="N2:O2"/>
    <mergeCell ref="E187:I187"/>
    <mergeCell ref="E188:I188"/>
    <mergeCell ref="E189:I189"/>
    <mergeCell ref="E190:I190"/>
    <mergeCell ref="E207:I207"/>
    <mergeCell ref="E208:I208"/>
    <mergeCell ref="E209:I209"/>
    <mergeCell ref="E210:I210"/>
    <mergeCell ref="E182:I182"/>
    <mergeCell ref="E183:I183"/>
    <mergeCell ref="E184:I184"/>
    <mergeCell ref="E185:I185"/>
    <mergeCell ref="D91:I91"/>
    <mergeCell ref="D117:I117"/>
    <mergeCell ref="D134:I134"/>
    <mergeCell ref="D151:I151"/>
    <mergeCell ref="D168:I168"/>
    <mergeCell ref="D97:I97"/>
    <mergeCell ref="E180:I180"/>
    <mergeCell ref="E186:I186"/>
    <mergeCell ref="E191:I191"/>
    <mergeCell ref="E175:I175"/>
    <mergeCell ref="E176:I176"/>
  </mergeCells>
  <conditionalFormatting sqref="I338">
    <cfRule type="cellIs" dxfId="971" priority="1" operator="notEqual">
      <formula>0</formula>
    </cfRule>
  </conditionalFormatting>
  <conditionalFormatting sqref="J338:T338">
    <cfRule type="cellIs" dxfId="970" priority="2" operator="notEqual">
      <formula>0</formula>
    </cfRule>
  </conditionalFormatting>
  <conditionalFormatting sqref="I339">
    <cfRule type="cellIs" dxfId="969" priority="3" operator="notEqual">
      <formula>0</formula>
    </cfRule>
  </conditionalFormatting>
  <conditionalFormatting sqref="J339:T339">
    <cfRule type="cellIs" dxfId="968" priority="4" operator="notEqual">
      <formula>0</formula>
    </cfRule>
  </conditionalFormatting>
  <conditionalFormatting sqref="I340">
    <cfRule type="cellIs" dxfId="967" priority="5" operator="notEqual">
      <formula>0</formula>
    </cfRule>
  </conditionalFormatting>
  <conditionalFormatting sqref="J340:T340">
    <cfRule type="cellIs" dxfId="966" priority="6" operator="notEqual">
      <formula>0</formula>
    </cfRule>
  </conditionalFormatting>
  <conditionalFormatting sqref="I343">
    <cfRule type="cellIs" dxfId="965" priority="7" operator="notEqual">
      <formula>0</formula>
    </cfRule>
  </conditionalFormatting>
  <conditionalFormatting sqref="J343:T343">
    <cfRule type="cellIs" dxfId="964" priority="8" operator="notEqual">
      <formula>0</formula>
    </cfRule>
  </conditionalFormatting>
  <conditionalFormatting sqref="I344">
    <cfRule type="cellIs" dxfId="963" priority="9" operator="notEqual">
      <formula>0</formula>
    </cfRule>
  </conditionalFormatting>
  <conditionalFormatting sqref="J344:T344">
    <cfRule type="cellIs" dxfId="962" priority="10" operator="notEqual">
      <formula>0</formula>
    </cfRule>
  </conditionalFormatting>
  <conditionalFormatting sqref="I341">
    <cfRule type="cellIs" dxfId="961" priority="11" operator="notEqual">
      <formula>0</formula>
    </cfRule>
  </conditionalFormatting>
  <conditionalFormatting sqref="J341:T341">
    <cfRule type="cellIs" dxfId="960" priority="12" operator="notEqual">
      <formula>0</formula>
    </cfRule>
  </conditionalFormatting>
  <dataValidations count="1">
    <dataValidation type="custom" showErrorMessage="1" errorTitle="Invalid Assumption" error="Assumption must be a number." sqref="J95:T95 J61:T72 J44:T55" xr:uid="{9E11C7CC-07F9-44BE-BBDB-F1552C186A8F}">
      <formula1>NOT(ISERROR(J44/1))</formula1>
    </dataValidation>
  </dataValidations>
  <hyperlinks>
    <hyperlink ref="A1" location="HL_Home" tooltip="Go to Table of Contents" display="HL_Home" xr:uid="{53A1E2E5-F8EA-484F-B265-FA32B5628DBA}"/>
    <hyperlink ref="A2" location="HL_Err_Chk" tooltip="Go to Error Checks" display="HL_Err_Chk" xr:uid="{8A614DF6-6EB6-428F-A355-2328D7AF9AAA}"/>
  </hyperlinks>
  <pageMargins left="0.39370078740157499" right="0.39370078740157499" top="0.59055118110236204" bottom="0.98425196850393704" header="0" footer="0.31496062992126"/>
  <pageSetup paperSize="9" orientation="landscape" r:id="rId1"/>
  <headerFooter>
    <oddFooter>&amp;L&amp;F
&amp;A
Printed: &amp;T on &amp;D&amp;CPage &amp;P of &amp;N</oddFooter>
  </headerFooter>
  <customProperties>
    <customPr name="EpmWorksheetKeyString_GUID" r:id="rId2"/>
  </customProperties>
  <legacy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C17FEB-A8B4-40B7-85D8-DE3528681088}">
  <sheetPr>
    <pageSetUpPr autoPageBreaks="0"/>
  </sheetPr>
  <dimension ref="A1:T275"/>
  <sheetViews>
    <sheetView showGridLines="0" zoomScaleNormal="100" workbookViewId="0">
      <pane xSplit="9" ySplit="21" topLeftCell="J22" activePane="bottomRight" state="frozen"/>
      <selection activeCell="N2" sqref="N2:O2"/>
      <selection pane="topRight" activeCell="N2" sqref="N2:O2"/>
      <selection pane="bottomLeft" activeCell="N2" sqref="N2:O2"/>
      <selection pane="bottomRight" activeCell="N2" sqref="N2:O2"/>
    </sheetView>
  </sheetViews>
  <sheetFormatPr defaultColWidth="11.59765625" defaultRowHeight="11.5" outlineLevelRow="3"/>
  <cols>
    <col min="1" max="5" width="3.59765625" customWidth="1"/>
    <col min="6" max="7" width="15.59765625" customWidth="1"/>
  </cols>
  <sheetData>
    <row r="1" spans="1:20" ht="14">
      <c r="A1" s="10" t="s">
        <v>11</v>
      </c>
      <c r="B1" s="6" t="s">
        <v>279</v>
      </c>
    </row>
    <row r="2" spans="1:20" ht="13">
      <c r="A2" s="23" t="s">
        <v>26</v>
      </c>
      <c r="B2" s="7" t="str">
        <f ca="1">Model_Name</f>
        <v>GAAR Capex Forecast</v>
      </c>
      <c r="N2" s="253" t="s">
        <v>493</v>
      </c>
      <c r="O2" s="253"/>
    </row>
    <row r="3" spans="1:20">
      <c r="B3" s="30"/>
      <c r="C3" s="30"/>
      <c r="D3" s="30"/>
      <c r="E3" s="30"/>
      <c r="F3" s="30"/>
      <c r="G3" s="30"/>
      <c r="H3" s="30"/>
      <c r="I3" s="30"/>
      <c r="J3" s="30"/>
      <c r="K3" s="30"/>
      <c r="L3" s="30"/>
      <c r="M3" s="30"/>
      <c r="N3" s="30"/>
      <c r="O3" s="30"/>
      <c r="P3" s="30"/>
      <c r="Q3" s="30"/>
      <c r="R3" s="30"/>
      <c r="S3" s="30"/>
      <c r="T3" s="30"/>
    </row>
    <row r="4" spans="1:20">
      <c r="B4" s="116" t="s">
        <v>74</v>
      </c>
      <c r="C4" s="118"/>
      <c r="D4" s="118"/>
      <c r="E4" s="118"/>
      <c r="F4" s="118"/>
      <c r="G4" s="118"/>
      <c r="H4" s="118"/>
      <c r="I4" s="118"/>
      <c r="J4" s="119">
        <f t="shared" ref="J4:T4" si="0">J8</f>
        <v>43465</v>
      </c>
      <c r="K4" s="119">
        <f t="shared" si="0"/>
        <v>43830</v>
      </c>
      <c r="L4" s="119">
        <f t="shared" si="0"/>
        <v>44196</v>
      </c>
      <c r="M4" s="119">
        <f t="shared" si="0"/>
        <v>44561</v>
      </c>
      <c r="N4" s="119">
        <f t="shared" si="0"/>
        <v>44926</v>
      </c>
      <c r="O4" s="121">
        <f t="shared" si="0"/>
        <v>45107</v>
      </c>
      <c r="P4" s="121">
        <f t="shared" si="0"/>
        <v>45473</v>
      </c>
      <c r="Q4" s="121">
        <f t="shared" si="0"/>
        <v>45838</v>
      </c>
      <c r="R4" s="121">
        <f t="shared" si="0"/>
        <v>46203</v>
      </c>
      <c r="S4" s="121">
        <f t="shared" si="0"/>
        <v>46568</v>
      </c>
      <c r="T4" s="121">
        <f t="shared" si="0"/>
        <v>46934</v>
      </c>
    </row>
    <row r="5" spans="1:20">
      <c r="B5" s="117" t="s">
        <v>100</v>
      </c>
      <c r="C5" s="117"/>
      <c r="D5" s="117"/>
      <c r="E5" s="117"/>
      <c r="F5" s="117"/>
      <c r="G5" s="117"/>
      <c r="H5" s="117"/>
      <c r="I5" s="117"/>
      <c r="J5" s="120">
        <f t="shared" ref="J5:T5" si="1">YEAR(J8)</f>
        <v>2018</v>
      </c>
      <c r="K5" s="120">
        <f t="shared" si="1"/>
        <v>2019</v>
      </c>
      <c r="L5" s="120">
        <f t="shared" si="1"/>
        <v>2020</v>
      </c>
      <c r="M5" s="120">
        <f t="shared" si="1"/>
        <v>2021</v>
      </c>
      <c r="N5" s="120">
        <f t="shared" si="1"/>
        <v>2022</v>
      </c>
      <c r="O5" s="120">
        <f t="shared" si="1"/>
        <v>2023</v>
      </c>
      <c r="P5" s="120">
        <f t="shared" si="1"/>
        <v>2024</v>
      </c>
      <c r="Q5" s="120">
        <f t="shared" si="1"/>
        <v>2025</v>
      </c>
      <c r="R5" s="120">
        <f t="shared" si="1"/>
        <v>2026</v>
      </c>
      <c r="S5" s="120">
        <f t="shared" si="1"/>
        <v>2027</v>
      </c>
      <c r="T5" s="120">
        <f t="shared" si="1"/>
        <v>2028</v>
      </c>
    </row>
    <row r="6" spans="1:20">
      <c r="B6" s="113" t="s">
        <v>91</v>
      </c>
      <c r="C6" s="113"/>
      <c r="D6" s="113"/>
      <c r="E6" s="113"/>
      <c r="F6" s="113"/>
      <c r="G6" s="113"/>
      <c r="H6" s="113"/>
      <c r="I6" s="113"/>
      <c r="J6" s="115" t="str">
        <f t="shared" ref="J6:T6" si="2">IF(J$17,"Actual","Forecast")</f>
        <v>Actual</v>
      </c>
      <c r="K6" s="115" t="str">
        <f t="shared" si="2"/>
        <v>Actual</v>
      </c>
      <c r="L6" s="115" t="str">
        <f t="shared" si="2"/>
        <v>Actual</v>
      </c>
      <c r="M6" s="115" t="str">
        <f t="shared" si="2"/>
        <v>Actual</v>
      </c>
      <c r="N6" s="115" t="str">
        <f t="shared" si="2"/>
        <v>Forecast</v>
      </c>
      <c r="O6" s="114" t="str">
        <f t="shared" si="2"/>
        <v>Forecast</v>
      </c>
      <c r="P6" s="114" t="str">
        <f t="shared" si="2"/>
        <v>Forecast</v>
      </c>
      <c r="Q6" s="114" t="str">
        <f t="shared" si="2"/>
        <v>Forecast</v>
      </c>
      <c r="R6" s="114" t="str">
        <f t="shared" si="2"/>
        <v>Forecast</v>
      </c>
      <c r="S6" s="114" t="str">
        <f t="shared" si="2"/>
        <v>Forecast</v>
      </c>
      <c r="T6" s="114" t="str">
        <f t="shared" si="2"/>
        <v>Forecast</v>
      </c>
    </row>
    <row r="7" spans="1:20" hidden="1" outlineLevel="3">
      <c r="B7" s="30" t="s">
        <v>101</v>
      </c>
      <c r="C7" s="30"/>
      <c r="D7" s="30"/>
      <c r="E7" s="30"/>
      <c r="F7" s="30"/>
      <c r="G7" s="30"/>
      <c r="H7" s="30"/>
      <c r="I7" s="30"/>
      <c r="J7" s="36">
        <f>EDATE(Ts_Start_Date,(J10-1)*Ts_Mths_In_Yr)</f>
        <v>43101</v>
      </c>
      <c r="K7" s="36">
        <f>EDATE(Ts_Start_Date,(K10-1)*Ts_Mths_In_Yr)</f>
        <v>43466</v>
      </c>
      <c r="L7" s="36">
        <f>EDATE(Ts_Start_Date,(L10-1)*Ts_Mths_In_Yr)</f>
        <v>43831</v>
      </c>
      <c r="M7" s="36">
        <f>EDATE(Ts_Start_Date,(M10-1)*Ts_Mths_In_Yr)</f>
        <v>44197</v>
      </c>
      <c r="N7" s="36">
        <f>EDATE(Ts_Start_Date,(N10-1)*Ts_Mths_In_Yr)</f>
        <v>44562</v>
      </c>
      <c r="O7" s="36">
        <f>Ts_Stub_Start_Date</f>
        <v>44927</v>
      </c>
      <c r="P7" s="36">
        <f>EDATE(Ts_Forecast_Reg_Start_Date,(P16-1)*Ts_Mths_In_Yr)</f>
        <v>45108</v>
      </c>
      <c r="Q7" s="36">
        <f>EDATE(Ts_Forecast_Reg_Start_Date,(Q16-1)*Ts_Mths_In_Yr)</f>
        <v>45474</v>
      </c>
      <c r="R7" s="36">
        <f>EDATE(Ts_Forecast_Reg_Start_Date,(R16-1)*Ts_Mths_In_Yr)</f>
        <v>45839</v>
      </c>
      <c r="S7" s="36">
        <f>EDATE(Ts_Forecast_Reg_Start_Date,(S16-1)*Ts_Mths_In_Yr)</f>
        <v>46204</v>
      </c>
      <c r="T7" s="36">
        <f>EDATE(Ts_Forecast_Reg_Start_Date,(T16-1)*Ts_Mths_In_Yr)</f>
        <v>46569</v>
      </c>
    </row>
    <row r="8" spans="1:20" hidden="1" outlineLevel="3">
      <c r="B8" s="30" t="s">
        <v>102</v>
      </c>
      <c r="C8" s="30"/>
      <c r="D8" s="30"/>
      <c r="E8" s="30"/>
      <c r="F8" s="30"/>
      <c r="G8" s="30"/>
      <c r="H8" s="30"/>
      <c r="I8" s="30"/>
      <c r="J8" s="36">
        <f>EOMONTH(J7,Ts_Mths_In_Yr-1)</f>
        <v>43465</v>
      </c>
      <c r="K8" s="36">
        <f>EOMONTH(K7,Ts_Mths_In_Yr-1)</f>
        <v>43830</v>
      </c>
      <c r="L8" s="36">
        <f>EOMONTH(L7,Ts_Mths_In_Yr-1)</f>
        <v>44196</v>
      </c>
      <c r="M8" s="36">
        <f>EOMONTH(M7,Ts_Mths_In_Yr-1)</f>
        <v>44561</v>
      </c>
      <c r="N8" s="36">
        <f>EOMONTH(N7,Ts_Mths_In_Yr-1)</f>
        <v>44926</v>
      </c>
      <c r="O8" s="36">
        <f>EOMONTH(O7,Ts_Stub_Length-1)</f>
        <v>45107</v>
      </c>
      <c r="P8" s="36">
        <f>EOMONTH(P7,Ts_Mths_In_Yr-1)</f>
        <v>45473</v>
      </c>
      <c r="Q8" s="36">
        <f>EOMONTH(Q7,Ts_Mths_In_Yr-1)</f>
        <v>45838</v>
      </c>
      <c r="R8" s="36">
        <f>EOMONTH(R7,Ts_Mths_In_Yr-1)</f>
        <v>46203</v>
      </c>
      <c r="S8" s="36">
        <f>EOMONTH(S7,Ts_Mths_In_Yr-1)</f>
        <v>46568</v>
      </c>
      <c r="T8" s="36">
        <f>EOMONTH(T7,Ts_Mths_In_Yr-1)</f>
        <v>46934</v>
      </c>
    </row>
    <row r="9" spans="1:20" hidden="1" outlineLevel="3">
      <c r="B9" s="30" t="s">
        <v>87</v>
      </c>
      <c r="C9" s="30"/>
      <c r="D9" s="30"/>
      <c r="E9" s="30"/>
      <c r="F9" s="30"/>
      <c r="G9" s="30"/>
      <c r="H9" s="30"/>
      <c r="I9" s="30"/>
      <c r="J9" s="14">
        <f t="shared" ref="J9:T9" si="3">DATEDIF(J7,J8,"m")+1</f>
        <v>12</v>
      </c>
      <c r="K9" s="14">
        <f t="shared" si="3"/>
        <v>12</v>
      </c>
      <c r="L9" s="14">
        <f t="shared" si="3"/>
        <v>12</v>
      </c>
      <c r="M9" s="14">
        <f t="shared" si="3"/>
        <v>12</v>
      </c>
      <c r="N9" s="14">
        <f t="shared" si="3"/>
        <v>12</v>
      </c>
      <c r="O9" s="14">
        <f t="shared" si="3"/>
        <v>6</v>
      </c>
      <c r="P9" s="38">
        <f t="shared" si="3"/>
        <v>12</v>
      </c>
      <c r="Q9" s="38">
        <f t="shared" si="3"/>
        <v>12</v>
      </c>
      <c r="R9" s="38">
        <f t="shared" si="3"/>
        <v>12</v>
      </c>
      <c r="S9" s="38">
        <f t="shared" si="3"/>
        <v>12</v>
      </c>
      <c r="T9" s="38">
        <f t="shared" si="3"/>
        <v>12</v>
      </c>
    </row>
    <row r="10" spans="1:20" hidden="1" outlineLevel="3">
      <c r="B10" s="30" t="s">
        <v>72</v>
      </c>
      <c r="C10" s="30"/>
      <c r="D10" s="30"/>
      <c r="E10" s="30"/>
      <c r="F10" s="30"/>
      <c r="G10" s="30"/>
      <c r="H10" s="30"/>
      <c r="I10" s="30"/>
      <c r="J10" s="40">
        <f>COLUMNS($J$10:J10)</f>
        <v>1</v>
      </c>
      <c r="K10" s="40">
        <f>COLUMNS($J$10:K10)</f>
        <v>2</v>
      </c>
      <c r="L10" s="40">
        <f>COLUMNS($J$10:L10)</f>
        <v>3</v>
      </c>
      <c r="M10" s="40">
        <f>COLUMNS($J$10:M10)</f>
        <v>4</v>
      </c>
      <c r="N10" s="40">
        <f>COLUMNS($J$10:N10)</f>
        <v>5</v>
      </c>
      <c r="O10" s="40">
        <f>COLUMNS($J$10:O10)</f>
        <v>6</v>
      </c>
      <c r="P10" s="40">
        <f>COLUMNS($J$10:P10)</f>
        <v>7</v>
      </c>
      <c r="Q10" s="40">
        <f>COLUMNS($J$10:Q10)</f>
        <v>8</v>
      </c>
      <c r="R10" s="40">
        <f>COLUMNS($J$10:R10)</f>
        <v>9</v>
      </c>
      <c r="S10" s="40">
        <f>COLUMNS($J$10:S10)</f>
        <v>10</v>
      </c>
      <c r="T10" s="40">
        <f>COLUMNS($J$10:T10)</f>
        <v>11</v>
      </c>
    </row>
    <row r="11" spans="1:20" hidden="1" outlineLevel="3">
      <c r="B11" s="30" t="s">
        <v>76</v>
      </c>
      <c r="C11" s="30"/>
      <c r="D11" s="30"/>
      <c r="E11" s="30"/>
      <c r="F11" s="30"/>
      <c r="G11" s="30"/>
      <c r="H11" s="30"/>
      <c r="I11" s="30"/>
      <c r="J11" s="40">
        <f>(J12&lt;&gt;0)*1</f>
        <v>1</v>
      </c>
      <c r="K11" s="40">
        <f>(K12&lt;&gt;0)*1</f>
        <v>1</v>
      </c>
      <c r="L11" s="40">
        <f>(L12&lt;&gt;0)*1</f>
        <v>1</v>
      </c>
      <c r="M11" s="40">
        <f>(M12&lt;&gt;0)*1</f>
        <v>1</v>
      </c>
      <c r="N11" s="40">
        <f>(N12&lt;&gt;0)*1</f>
        <v>1</v>
      </c>
      <c r="O11" s="45">
        <v>0</v>
      </c>
      <c r="P11" s="45">
        <v>0</v>
      </c>
      <c r="Q11" s="45">
        <v>0</v>
      </c>
      <c r="R11" s="45">
        <v>0</v>
      </c>
      <c r="S11" s="45">
        <v>0</v>
      </c>
      <c r="T11" s="45">
        <v>0</v>
      </c>
    </row>
    <row r="12" spans="1:20" hidden="1" outlineLevel="3">
      <c r="B12" s="30" t="s">
        <v>96</v>
      </c>
      <c r="C12" s="30"/>
      <c r="D12" s="30"/>
      <c r="E12" s="30"/>
      <c r="F12" s="30"/>
      <c r="G12" s="30"/>
      <c r="H12" s="30"/>
      <c r="I12" s="30"/>
      <c r="J12" s="40">
        <f>COLUMNS($J$10:J10)</f>
        <v>1</v>
      </c>
      <c r="K12" s="40">
        <f>COLUMNS($J$10:K10)</f>
        <v>2</v>
      </c>
      <c r="L12" s="40">
        <f>COLUMNS($J$10:L10)</f>
        <v>3</v>
      </c>
      <c r="M12" s="40">
        <f>COLUMNS($J$10:M10)</f>
        <v>4</v>
      </c>
      <c r="N12" s="40">
        <f>COLUMNS($J$10:N10)</f>
        <v>5</v>
      </c>
      <c r="O12" s="45">
        <v>0</v>
      </c>
      <c r="P12" s="45">
        <v>0</v>
      </c>
      <c r="Q12" s="45">
        <v>0</v>
      </c>
      <c r="R12" s="45">
        <v>0</v>
      </c>
      <c r="S12" s="45">
        <v>0</v>
      </c>
      <c r="T12" s="45">
        <v>0</v>
      </c>
    </row>
    <row r="13" spans="1:20" hidden="1" outlineLevel="3">
      <c r="B13" s="30" t="s">
        <v>79</v>
      </c>
      <c r="C13" s="30"/>
      <c r="D13" s="30"/>
      <c r="E13" s="30"/>
      <c r="F13" s="30"/>
      <c r="G13" s="30"/>
      <c r="H13" s="30"/>
      <c r="I13" s="30"/>
      <c r="J13" s="45">
        <v>0</v>
      </c>
      <c r="K13" s="45">
        <v>0</v>
      </c>
      <c r="L13" s="45">
        <v>0</v>
      </c>
      <c r="M13" s="45">
        <v>0</v>
      </c>
      <c r="N13" s="45">
        <v>0</v>
      </c>
      <c r="O13" s="40">
        <f>(O14&lt;&gt;0)*1</f>
        <v>1</v>
      </c>
      <c r="P13" s="45">
        <v>0</v>
      </c>
      <c r="Q13" s="45">
        <v>0</v>
      </c>
      <c r="R13" s="45">
        <v>0</v>
      </c>
      <c r="S13" s="45">
        <v>0</v>
      </c>
      <c r="T13" s="45">
        <v>0</v>
      </c>
    </row>
    <row r="14" spans="1:20" hidden="1" outlineLevel="3">
      <c r="B14" s="30" t="s">
        <v>97</v>
      </c>
      <c r="C14" s="30"/>
      <c r="D14" s="30"/>
      <c r="E14" s="30"/>
      <c r="F14" s="30"/>
      <c r="G14" s="30"/>
      <c r="H14" s="30"/>
      <c r="I14" s="30"/>
      <c r="J14" s="45">
        <v>0</v>
      </c>
      <c r="K14" s="45">
        <v>0</v>
      </c>
      <c r="L14" s="45">
        <v>0</v>
      </c>
      <c r="M14" s="45">
        <v>0</v>
      </c>
      <c r="N14" s="45">
        <v>0</v>
      </c>
      <c r="O14" s="40">
        <f>COLUMNS($O$14:O14)</f>
        <v>1</v>
      </c>
      <c r="P14" s="45">
        <v>0</v>
      </c>
      <c r="Q14" s="45">
        <v>0</v>
      </c>
      <c r="R14" s="45">
        <v>0</v>
      </c>
      <c r="S14" s="45">
        <v>0</v>
      </c>
      <c r="T14" s="45">
        <v>0</v>
      </c>
    </row>
    <row r="15" spans="1:20" hidden="1" outlineLevel="3">
      <c r="B15" s="30" t="s">
        <v>82</v>
      </c>
      <c r="C15" s="30"/>
      <c r="D15" s="30"/>
      <c r="E15" s="30"/>
      <c r="F15" s="30"/>
      <c r="G15" s="30"/>
      <c r="H15" s="30"/>
      <c r="I15" s="30"/>
      <c r="J15" s="45">
        <v>0</v>
      </c>
      <c r="K15" s="45">
        <v>0</v>
      </c>
      <c r="L15" s="45">
        <v>0</v>
      </c>
      <c r="M15" s="45">
        <v>0</v>
      </c>
      <c r="N15" s="45">
        <v>0</v>
      </c>
      <c r="O15" s="45">
        <v>0</v>
      </c>
      <c r="P15" s="39">
        <f>(P16&lt;&gt;0)*1</f>
        <v>1</v>
      </c>
      <c r="Q15" s="39">
        <f>(Q16&lt;&gt;0)*1</f>
        <v>1</v>
      </c>
      <c r="R15" s="39">
        <f>(R16&lt;&gt;0)*1</f>
        <v>1</v>
      </c>
      <c r="S15" s="39">
        <f>(S16&lt;&gt;0)*1</f>
        <v>1</v>
      </c>
      <c r="T15" s="39">
        <f>(T16&lt;&gt;0)*1</f>
        <v>1</v>
      </c>
    </row>
    <row r="16" spans="1:20" hidden="1" outlineLevel="3">
      <c r="B16" s="30" t="s">
        <v>98</v>
      </c>
      <c r="C16" s="30"/>
      <c r="D16" s="30"/>
      <c r="E16" s="30"/>
      <c r="F16" s="30"/>
      <c r="G16" s="30"/>
      <c r="H16" s="30"/>
      <c r="I16" s="30"/>
      <c r="J16" s="45">
        <v>0</v>
      </c>
      <c r="K16" s="45">
        <v>0</v>
      </c>
      <c r="L16" s="45">
        <v>0</v>
      </c>
      <c r="M16" s="45">
        <v>0</v>
      </c>
      <c r="N16" s="45">
        <v>0</v>
      </c>
      <c r="O16" s="45">
        <v>0</v>
      </c>
      <c r="P16" s="39">
        <f>COLUMNS($P$16:P16)</f>
        <v>1</v>
      </c>
      <c r="Q16" s="39">
        <f>COLUMNS($P$16:Q16)</f>
        <v>2</v>
      </c>
      <c r="R16" s="39">
        <f>COLUMNS($P$16:R16)</f>
        <v>3</v>
      </c>
      <c r="S16" s="39">
        <f>COLUMNS($P$16:S16)</f>
        <v>4</v>
      </c>
      <c r="T16" s="39">
        <f>COLUMNS($P$16:T16)</f>
        <v>5</v>
      </c>
    </row>
    <row r="17" spans="2:20" hidden="1" outlineLevel="3">
      <c r="B17" s="30" t="s">
        <v>206</v>
      </c>
      <c r="C17" s="30"/>
      <c r="D17" s="30"/>
      <c r="E17" s="30"/>
      <c r="F17" s="30"/>
      <c r="G17" s="30"/>
      <c r="H17" s="30"/>
      <c r="I17" s="30"/>
      <c r="J17" s="39">
        <f t="shared" ref="J17:T17" si="4">IF(J$5&lt;=Ts_Last_Actual_Year,1,0)</f>
        <v>1</v>
      </c>
      <c r="K17" s="39">
        <f t="shared" si="4"/>
        <v>1</v>
      </c>
      <c r="L17" s="39">
        <f t="shared" si="4"/>
        <v>1</v>
      </c>
      <c r="M17" s="39">
        <f t="shared" si="4"/>
        <v>1</v>
      </c>
      <c r="N17" s="39">
        <f t="shared" si="4"/>
        <v>0</v>
      </c>
      <c r="O17" s="39">
        <f t="shared" si="4"/>
        <v>0</v>
      </c>
      <c r="P17" s="39">
        <f t="shared" si="4"/>
        <v>0</v>
      </c>
      <c r="Q17" s="39">
        <f t="shared" si="4"/>
        <v>0</v>
      </c>
      <c r="R17" s="39">
        <f t="shared" si="4"/>
        <v>0</v>
      </c>
      <c r="S17" s="39">
        <f t="shared" si="4"/>
        <v>0</v>
      </c>
      <c r="T17" s="39">
        <f t="shared" si="4"/>
        <v>0</v>
      </c>
    </row>
    <row r="18" spans="2:20" hidden="1" outlineLevel="3">
      <c r="B18" s="30" t="s">
        <v>207</v>
      </c>
      <c r="C18" s="30"/>
      <c r="D18" s="30"/>
      <c r="E18" s="30"/>
      <c r="F18" s="30"/>
      <c r="G18" s="30"/>
      <c r="H18" s="30"/>
      <c r="I18" s="30"/>
      <c r="J18" s="39">
        <f t="shared" ref="J18:T18" si="5">IF(J$5&gt;Ts_Last_Actual_Year,1,0)</f>
        <v>0</v>
      </c>
      <c r="K18" s="39">
        <f t="shared" si="5"/>
        <v>0</v>
      </c>
      <c r="L18" s="39">
        <f t="shared" si="5"/>
        <v>0</v>
      </c>
      <c r="M18" s="39">
        <f t="shared" si="5"/>
        <v>0</v>
      </c>
      <c r="N18" s="39">
        <f t="shared" si="5"/>
        <v>1</v>
      </c>
      <c r="O18" s="40">
        <f t="shared" si="5"/>
        <v>1</v>
      </c>
      <c r="P18" s="40">
        <f t="shared" si="5"/>
        <v>1</v>
      </c>
      <c r="Q18" s="40">
        <f t="shared" si="5"/>
        <v>1</v>
      </c>
      <c r="R18" s="40">
        <f t="shared" si="5"/>
        <v>1</v>
      </c>
      <c r="S18" s="40">
        <f t="shared" si="5"/>
        <v>1</v>
      </c>
      <c r="T18" s="40">
        <f t="shared" si="5"/>
        <v>1</v>
      </c>
    </row>
    <row r="19" spans="2:20" hidden="1" outlineLevel="3">
      <c r="B19" s="30" t="s">
        <v>208</v>
      </c>
      <c r="C19" s="30"/>
      <c r="D19" s="30"/>
      <c r="E19" s="30"/>
      <c r="F19" s="30"/>
      <c r="G19" s="30"/>
      <c r="H19" s="30"/>
      <c r="I19" s="30"/>
      <c r="J19" s="39">
        <f>SUM($J18:J18)</f>
        <v>0</v>
      </c>
      <c r="K19" s="39">
        <f>SUM($J18:K18)</f>
        <v>0</v>
      </c>
      <c r="L19" s="39">
        <f>SUM($J18:L18)</f>
        <v>0</v>
      </c>
      <c r="M19" s="39">
        <f>SUM($J18:M18)</f>
        <v>0</v>
      </c>
      <c r="N19" s="39">
        <f>SUM($J18:N18)</f>
        <v>1</v>
      </c>
      <c r="O19" s="40">
        <f>SUM($J18:O18)</f>
        <v>2</v>
      </c>
      <c r="P19" s="40">
        <f>SUM($J18:P18)</f>
        <v>3</v>
      </c>
      <c r="Q19" s="40">
        <f>SUM($J18:Q18)</f>
        <v>4</v>
      </c>
      <c r="R19" s="40">
        <f>SUM($J18:R18)</f>
        <v>5</v>
      </c>
      <c r="S19" s="40">
        <f>SUM($J18:S18)</f>
        <v>6</v>
      </c>
      <c r="T19" s="40">
        <f>SUM($J18:T18)</f>
        <v>7</v>
      </c>
    </row>
    <row r="20" spans="2:20" hidden="1" outlineLevel="3">
      <c r="B20" s="30" t="s">
        <v>481</v>
      </c>
      <c r="C20" s="30"/>
      <c r="D20" s="30"/>
      <c r="E20" s="30"/>
      <c r="F20" s="30"/>
      <c r="G20" s="30"/>
      <c r="H20" s="30"/>
      <c r="I20" s="30"/>
      <c r="J20" s="38">
        <f t="shared" ref="J20:N20" si="6">J9/12</f>
        <v>1</v>
      </c>
      <c r="K20" s="38">
        <f t="shared" si="6"/>
        <v>1</v>
      </c>
      <c r="L20" s="38">
        <f t="shared" si="6"/>
        <v>1</v>
      </c>
      <c r="M20" s="38">
        <f t="shared" si="6"/>
        <v>1</v>
      </c>
      <c r="N20" s="38">
        <f t="shared" si="6"/>
        <v>1</v>
      </c>
      <c r="O20" s="38">
        <f>O9/12</f>
        <v>0.5</v>
      </c>
      <c r="P20" s="38">
        <f t="shared" ref="P20:T20" si="7">P9/12</f>
        <v>1</v>
      </c>
      <c r="Q20" s="38">
        <f t="shared" si="7"/>
        <v>1</v>
      </c>
      <c r="R20" s="38">
        <f t="shared" si="7"/>
        <v>1</v>
      </c>
      <c r="S20" s="38">
        <f t="shared" si="7"/>
        <v>1</v>
      </c>
      <c r="T20" s="38">
        <f t="shared" si="7"/>
        <v>1</v>
      </c>
    </row>
    <row r="21" spans="2:20" hidden="1" outlineLevel="3">
      <c r="B21" s="30"/>
      <c r="C21" s="30"/>
      <c r="D21" s="30"/>
      <c r="E21" s="30"/>
      <c r="F21" s="30"/>
      <c r="G21" s="30"/>
      <c r="H21" s="30"/>
      <c r="I21" s="30"/>
      <c r="J21" s="30"/>
      <c r="K21" s="30"/>
      <c r="L21" s="30"/>
      <c r="M21" s="30"/>
      <c r="N21" s="30"/>
      <c r="O21" s="30"/>
      <c r="P21" s="30"/>
      <c r="Q21" s="30"/>
      <c r="R21" s="30"/>
      <c r="S21" s="30"/>
      <c r="T21" s="30"/>
    </row>
    <row r="22" spans="2:20" s="41" customFormat="1" collapsed="1"/>
    <row r="23" spans="2:20" s="41" customFormat="1" ht="14">
      <c r="B23" s="111" t="s">
        <v>234</v>
      </c>
      <c r="C23" s="47"/>
      <c r="D23" s="47"/>
      <c r="E23" s="47"/>
      <c r="F23" s="47"/>
      <c r="G23" s="47"/>
      <c r="H23" s="47"/>
      <c r="I23" s="47"/>
      <c r="J23" s="47"/>
      <c r="K23" s="47"/>
      <c r="L23" s="47"/>
      <c r="M23" s="47"/>
      <c r="N23" s="47"/>
      <c r="O23" s="47"/>
      <c r="P23" s="47"/>
      <c r="Q23" s="47"/>
      <c r="R23" s="47"/>
      <c r="S23" s="47"/>
      <c r="T23" s="47"/>
    </row>
    <row r="24" spans="2:20" s="41" customFormat="1" ht="5.9" customHeight="1"/>
    <row r="25" spans="2:20" s="41" customFormat="1" ht="14">
      <c r="B25" s="60" t="str">
        <f>GC!F12</f>
        <v>High Pressure Replacement - Planned</v>
      </c>
    </row>
    <row r="26" spans="2:20" s="41" customFormat="1" ht="5.9" customHeight="1" outlineLevel="1"/>
    <row r="27" spans="2:20" s="41" customFormat="1" hidden="1" outlineLevel="2">
      <c r="C27" s="50" t="s">
        <v>204</v>
      </c>
    </row>
    <row r="28" spans="2:20" s="41" customFormat="1" ht="5.9" hidden="1" customHeight="1" outlineLevel="2"/>
    <row r="29" spans="2:20" s="41" customFormat="1" hidden="1" outlineLevel="2">
      <c r="D29" s="52" t="s">
        <v>103</v>
      </c>
      <c r="J29" s="91">
        <f>Rates!J42</f>
        <v>1</v>
      </c>
      <c r="K29" s="91">
        <f>Rates!K42</f>
        <v>1</v>
      </c>
      <c r="L29" s="91">
        <f>Rates!L42</f>
        <v>1</v>
      </c>
      <c r="M29" s="91">
        <f>Rates!M42</f>
        <v>1</v>
      </c>
      <c r="N29" s="91">
        <f>Rates!N42</f>
        <v>1</v>
      </c>
      <c r="O29" s="91">
        <f>Rates!O42</f>
        <v>1.0051959235721353</v>
      </c>
      <c r="P29" s="91">
        <f>Rates!P42</f>
        <v>1.0102301741405761</v>
      </c>
      <c r="Q29" s="91">
        <f>Rates!Q42</f>
        <v>1.0181072873442809</v>
      </c>
      <c r="R29" s="91">
        <f>Rates!R42</f>
        <v>1.0293150686557422</v>
      </c>
      <c r="S29" s="91">
        <f>Rates!S42</f>
        <v>1.040646230246951</v>
      </c>
      <c r="T29" s="91">
        <f>Rates!T42</f>
        <v>1.0521021303433229</v>
      </c>
    </row>
    <row r="30" spans="2:20" s="41" customFormat="1" hidden="1" outlineLevel="2">
      <c r="D30" s="52" t="s">
        <v>104</v>
      </c>
      <c r="J30" s="91">
        <f>Rates!J43</f>
        <v>1</v>
      </c>
      <c r="K30" s="91">
        <f>Rates!K43</f>
        <v>1</v>
      </c>
      <c r="L30" s="91">
        <f>Rates!L43</f>
        <v>1</v>
      </c>
      <c r="M30" s="91">
        <f>Rates!M43</f>
        <v>1</v>
      </c>
      <c r="N30" s="91">
        <f>Rates!N43</f>
        <v>1</v>
      </c>
      <c r="O30" s="91">
        <f>Rates!O43</f>
        <v>1</v>
      </c>
      <c r="P30" s="91">
        <f>Rates!P43</f>
        <v>1</v>
      </c>
      <c r="Q30" s="91">
        <f>Rates!Q43</f>
        <v>1</v>
      </c>
      <c r="R30" s="91">
        <f>Rates!R43</f>
        <v>1</v>
      </c>
      <c r="S30" s="91">
        <f>Rates!S43</f>
        <v>1</v>
      </c>
      <c r="T30" s="91">
        <f>Rates!T43</f>
        <v>1</v>
      </c>
    </row>
    <row r="31" spans="2:20" s="41" customFormat="1" hidden="1" outlineLevel="2">
      <c r="D31" s="52" t="s">
        <v>130</v>
      </c>
      <c r="J31" s="91">
        <f>Rates!J45</f>
        <v>1</v>
      </c>
      <c r="K31" s="91">
        <f>Rates!K45</f>
        <v>1</v>
      </c>
      <c r="L31" s="91">
        <f>Rates!L45</f>
        <v>1</v>
      </c>
      <c r="M31" s="91">
        <f>Rates!M45</f>
        <v>1</v>
      </c>
      <c r="N31" s="91">
        <f>Rates!N45</f>
        <v>1</v>
      </c>
      <c r="O31" s="91">
        <f>Rates!O45</f>
        <v>1</v>
      </c>
      <c r="P31" s="91">
        <f>Rates!P45</f>
        <v>1</v>
      </c>
      <c r="Q31" s="91">
        <f>Rates!Q45</f>
        <v>1</v>
      </c>
      <c r="R31" s="91">
        <f>Rates!R45</f>
        <v>1</v>
      </c>
      <c r="S31" s="91">
        <f>Rates!S45</f>
        <v>1</v>
      </c>
      <c r="T31" s="91">
        <f>Rates!T45</f>
        <v>1</v>
      </c>
    </row>
    <row r="32" spans="2:20" s="41" customFormat="1" ht="5.9" hidden="1" customHeight="1" outlineLevel="2"/>
    <row r="33" spans="3:20" s="41" customFormat="1" hidden="1" outlineLevel="2">
      <c r="C33" s="50" t="s">
        <v>105</v>
      </c>
    </row>
    <row r="34" spans="3:20" s="41" customFormat="1" ht="5.9" hidden="1" customHeight="1" outlineLevel="2"/>
    <row r="35" spans="3:20" s="41" customFormat="1" hidden="1" outlineLevel="2">
      <c r="D35" s="52" t="s">
        <v>106</v>
      </c>
      <c r="J35" s="122">
        <f>Rates!J50</f>
        <v>6.9591273870889495E-2</v>
      </c>
      <c r="K35" s="122">
        <f>Rates!K50</f>
        <v>7.3934468928182201E-2</v>
      </c>
      <c r="L35" s="122">
        <f>Rates!L50</f>
        <v>7.5085976469407303E-2</v>
      </c>
      <c r="M35" s="122">
        <f>Rates!M50</f>
        <v>8.0103391005934096E-2</v>
      </c>
      <c r="N35" s="122">
        <f>Rates!N50</f>
        <v>3.7711007382937055E-2</v>
      </c>
      <c r="O35" s="122">
        <f>Rates!O50</f>
        <v>3.3283969054706777E-2</v>
      </c>
      <c r="P35" s="122">
        <f>Rates!P50</f>
        <v>2.6752660513445464E-2</v>
      </c>
      <c r="Q35" s="122">
        <f>Rates!Q50</f>
        <v>2.6060587348993774E-2</v>
      </c>
      <c r="R35" s="122">
        <f>Rates!R50</f>
        <v>2.6873005987587139E-2</v>
      </c>
      <c r="S35" s="122">
        <f>Rates!S50</f>
        <v>2.8546178928104012E-2</v>
      </c>
      <c r="T35" s="122">
        <f>Rates!T50</f>
        <v>2.9920378203686534E-2</v>
      </c>
    </row>
    <row r="36" spans="3:20" s="41" customFormat="1" hidden="1" outlineLevel="2">
      <c r="D36" s="52" t="s">
        <v>107</v>
      </c>
      <c r="J36" s="122">
        <f>Rates!J51</f>
        <v>5.5842732834613398E-2</v>
      </c>
      <c r="K36" s="122">
        <f>Rates!K51</f>
        <v>5.16564294790849E-2</v>
      </c>
      <c r="L36" s="122">
        <f>Rates!L51</f>
        <v>6.0535031919173997E-2</v>
      </c>
      <c r="M36" s="122">
        <f>Rates!M51</f>
        <v>7.1630695797579302E-2</v>
      </c>
      <c r="N36" s="122">
        <f>Rates!N51</f>
        <v>7.4343858126268231E-2</v>
      </c>
      <c r="O36" s="122">
        <f>Rates!O51</f>
        <v>7.4059082290758096E-2</v>
      </c>
      <c r="P36" s="122">
        <f>Rates!P51</f>
        <v>2.4388539961794877E-2</v>
      </c>
      <c r="Q36" s="122">
        <f>Rates!Q51</f>
        <v>2.1171310758207256E-2</v>
      </c>
      <c r="R36" s="122">
        <f>Rates!R51</f>
        <v>2.0024144075344485E-2</v>
      </c>
      <c r="S36" s="122">
        <f>Rates!S51</f>
        <v>3.9620009613577346E-2</v>
      </c>
      <c r="T36" s="122">
        <f>Rates!T51</f>
        <v>5.404914337922874E-2</v>
      </c>
    </row>
    <row r="37" spans="3:20" s="41" customFormat="1" hidden="1" outlineLevel="2">
      <c r="D37" s="52" t="s">
        <v>108</v>
      </c>
      <c r="J37" s="122">
        <f>Rates!J52</f>
        <v>0</v>
      </c>
      <c r="K37" s="122">
        <f>Rates!K52</f>
        <v>0</v>
      </c>
      <c r="L37" s="122">
        <f>Rates!L52</f>
        <v>0</v>
      </c>
      <c r="M37" s="122">
        <f>Rates!M52</f>
        <v>0</v>
      </c>
      <c r="N37" s="122">
        <f>Rates!N52</f>
        <v>0</v>
      </c>
      <c r="O37" s="122">
        <f>Rates!O52</f>
        <v>0</v>
      </c>
      <c r="P37" s="122">
        <f>Rates!P52</f>
        <v>0</v>
      </c>
      <c r="Q37" s="122">
        <f>Rates!Q52</f>
        <v>0</v>
      </c>
      <c r="R37" s="122">
        <f>Rates!R52</f>
        <v>0</v>
      </c>
      <c r="S37" s="122">
        <f>Rates!S52</f>
        <v>0</v>
      </c>
      <c r="T37" s="122">
        <f>Rates!T52</f>
        <v>0</v>
      </c>
    </row>
    <row r="38" spans="3:20" s="41" customFormat="1" outlineLevel="1" collapsed="1"/>
    <row r="39" spans="3:20" s="41" customFormat="1" ht="5.9" customHeight="1" outlineLevel="1"/>
    <row r="40" spans="3:20" s="41" customFormat="1" outlineLevel="1">
      <c r="C40" s="50" t="s">
        <v>118</v>
      </c>
    </row>
    <row r="41" spans="3:20" s="41" customFormat="1" ht="5.9" customHeight="1" outlineLevel="1"/>
    <row r="42" spans="3:20" s="41" customFormat="1" outlineLevel="1">
      <c r="D42" s="50" t="s">
        <v>160</v>
      </c>
      <c r="H42" s="123" t="s">
        <v>192</v>
      </c>
    </row>
    <row r="43" spans="3:20" s="41" customFormat="1" ht="5.9" customHeight="1" outlineLevel="1"/>
    <row r="44" spans="3:20" s="41" customFormat="1" outlineLevel="1">
      <c r="D44" s="202" t="str">
        <f>Work_Codes!D99</f>
        <v>High Pressure Mains Replacement</v>
      </c>
      <c r="H44" s="200"/>
      <c r="J44" s="126"/>
      <c r="K44" s="126"/>
      <c r="L44" s="126"/>
      <c r="M44" s="126"/>
      <c r="N44" s="212"/>
      <c r="O44" s="212"/>
      <c r="P44" s="212"/>
      <c r="Q44" s="212"/>
      <c r="R44" s="212"/>
      <c r="S44" s="212"/>
      <c r="T44" s="212"/>
    </row>
    <row r="45" spans="3:20" s="41" customFormat="1" outlineLevel="1">
      <c r="D45" s="202" t="str">
        <f>Work_Codes!D100</f>
        <v>Capex Items Category 2</v>
      </c>
      <c r="H45" s="200"/>
      <c r="J45" s="126"/>
      <c r="K45" s="126"/>
      <c r="L45" s="126"/>
      <c r="M45" s="126"/>
      <c r="N45" s="212"/>
      <c r="O45" s="212"/>
      <c r="P45" s="212"/>
      <c r="Q45" s="212"/>
      <c r="R45" s="212"/>
      <c r="S45" s="212"/>
      <c r="T45" s="212"/>
    </row>
    <row r="46" spans="3:20" s="41" customFormat="1" outlineLevel="1">
      <c r="D46" s="43"/>
      <c r="H46" s="201"/>
      <c r="J46" s="124"/>
      <c r="K46" s="124"/>
      <c r="L46" s="124"/>
      <c r="M46" s="124"/>
      <c r="N46" s="124"/>
      <c r="O46" s="124"/>
      <c r="P46" s="124"/>
      <c r="Q46" s="124"/>
      <c r="R46" s="124"/>
      <c r="S46" s="124"/>
      <c r="T46" s="124"/>
    </row>
    <row r="47" spans="3:20" s="41" customFormat="1" outlineLevel="1">
      <c r="C47" s="50" t="s">
        <v>119</v>
      </c>
    </row>
    <row r="48" spans="3:20" s="41" customFormat="1" ht="5.9" customHeight="1" outlineLevel="1"/>
    <row r="49" spans="3:20" s="41" customFormat="1" outlineLevel="1">
      <c r="D49" s="50" t="str">
        <f>D42</f>
        <v>Capex Category</v>
      </c>
    </row>
    <row r="50" spans="3:20" s="41" customFormat="1" ht="5.9" customHeight="1" outlineLevel="1"/>
    <row r="51" spans="3:20" s="41" customFormat="1" outlineLevel="1">
      <c r="D51" s="202" t="str">
        <f>Work_Codes!D99</f>
        <v>High Pressure Mains Replacement</v>
      </c>
      <c r="J51" s="163"/>
      <c r="K51" s="163"/>
      <c r="L51" s="163"/>
      <c r="M51" s="163"/>
      <c r="N51" s="213"/>
      <c r="O51" s="213"/>
      <c r="P51" s="215"/>
      <c r="Q51" s="215"/>
      <c r="R51" s="215"/>
      <c r="S51" s="215"/>
      <c r="T51" s="215"/>
    </row>
    <row r="52" spans="3:20" s="41" customFormat="1" outlineLevel="1">
      <c r="D52" s="202" t="str">
        <f>Work_Codes!D100</f>
        <v>Capex Items Category 2</v>
      </c>
      <c r="J52" s="163"/>
      <c r="K52" s="163"/>
      <c r="L52" s="163"/>
      <c r="M52" s="163"/>
      <c r="N52" s="213"/>
      <c r="O52" s="213"/>
      <c r="P52" s="213"/>
      <c r="Q52" s="213"/>
      <c r="R52" s="213"/>
      <c r="S52" s="213"/>
      <c r="T52" s="213"/>
    </row>
    <row r="53" spans="3:20" s="41" customFormat="1" outlineLevel="1"/>
    <row r="54" spans="3:20" s="41" customFormat="1" outlineLevel="1">
      <c r="C54" s="50" t="s">
        <v>193</v>
      </c>
    </row>
    <row r="55" spans="3:20" s="41" customFormat="1" ht="5.9" customHeight="1" outlineLevel="1"/>
    <row r="56" spans="3:20" s="41" customFormat="1" outlineLevel="1">
      <c r="D56" s="50" t="str">
        <f>D42</f>
        <v>Capex Category</v>
      </c>
    </row>
    <row r="57" spans="3:20" s="41" customFormat="1" ht="5.9" customHeight="1" outlineLevel="1"/>
    <row r="58" spans="3:20" s="41" customFormat="1" outlineLevel="1">
      <c r="D58" s="202" t="str">
        <f>Work_Codes!D99</f>
        <v>High Pressure Mains Replacement</v>
      </c>
      <c r="J58" s="80">
        <v>0</v>
      </c>
      <c r="K58" s="80">
        <v>0</v>
      </c>
      <c r="L58" s="80">
        <v>0</v>
      </c>
      <c r="M58" s="80">
        <v>0</v>
      </c>
      <c r="N58" s="80">
        <v>0</v>
      </c>
      <c r="O58" s="80">
        <v>0</v>
      </c>
      <c r="P58" s="80">
        <v>2030000</v>
      </c>
      <c r="Q58" s="80">
        <v>2030000</v>
      </c>
      <c r="R58" s="80">
        <v>2030000</v>
      </c>
      <c r="S58" s="80">
        <v>2030000</v>
      </c>
      <c r="T58" s="80">
        <v>2030000</v>
      </c>
    </row>
    <row r="59" spans="3:20" s="41" customFormat="1" outlineLevel="1">
      <c r="D59" s="202" t="str">
        <f>Work_Codes!D100</f>
        <v>Capex Items Category 2</v>
      </c>
      <c r="J59" s="80">
        <v>0</v>
      </c>
      <c r="K59" s="80">
        <v>0</v>
      </c>
      <c r="L59" s="80">
        <v>0</v>
      </c>
      <c r="M59" s="80">
        <v>0</v>
      </c>
      <c r="N59" s="80">
        <v>0</v>
      </c>
      <c r="O59" s="80">
        <v>0</v>
      </c>
      <c r="P59" s="80">
        <v>0</v>
      </c>
      <c r="Q59" s="80">
        <v>0</v>
      </c>
      <c r="R59" s="80">
        <v>0</v>
      </c>
      <c r="S59" s="80">
        <v>0</v>
      </c>
      <c r="T59" s="80">
        <v>0</v>
      </c>
    </row>
    <row r="60" spans="3:20" s="41" customFormat="1" ht="5.9" customHeight="1" outlineLevel="1">
      <c r="D60" s="50"/>
      <c r="J60" s="79"/>
      <c r="K60" s="79"/>
      <c r="L60" s="79"/>
      <c r="M60" s="79"/>
      <c r="N60" s="79"/>
      <c r="O60" s="79"/>
      <c r="P60" s="79"/>
      <c r="Q60" s="79"/>
      <c r="R60" s="79"/>
      <c r="S60" s="79"/>
      <c r="T60" s="79"/>
    </row>
    <row r="61" spans="3:20" s="41" customFormat="1" outlineLevel="1">
      <c r="D61" s="250" t="str">
        <f>"Total "&amp;B25</f>
        <v>Total High Pressure Replacement - Planned</v>
      </c>
      <c r="E61" s="250"/>
      <c r="F61" s="250"/>
      <c r="G61" s="250"/>
      <c r="H61" s="250"/>
      <c r="I61" s="250"/>
      <c r="J61" s="101">
        <f t="shared" ref="J61:T61" si="8">SUM(J58:J60)</f>
        <v>0</v>
      </c>
      <c r="K61" s="101">
        <f t="shared" si="8"/>
        <v>0</v>
      </c>
      <c r="L61" s="101">
        <f t="shared" si="8"/>
        <v>0</v>
      </c>
      <c r="M61" s="101">
        <f t="shared" si="8"/>
        <v>0</v>
      </c>
      <c r="N61" s="101">
        <f t="shared" si="8"/>
        <v>0</v>
      </c>
      <c r="O61" s="101">
        <f t="shared" si="8"/>
        <v>0</v>
      </c>
      <c r="P61" s="101">
        <f t="shared" si="8"/>
        <v>2030000</v>
      </c>
      <c r="Q61" s="101">
        <f t="shared" si="8"/>
        <v>2030000</v>
      </c>
      <c r="R61" s="101">
        <f t="shared" si="8"/>
        <v>2030000</v>
      </c>
      <c r="S61" s="101">
        <f t="shared" si="8"/>
        <v>2030000</v>
      </c>
      <c r="T61" s="101">
        <f t="shared" si="8"/>
        <v>2030000</v>
      </c>
    </row>
    <row r="62" spans="3:20" s="41" customFormat="1" outlineLevel="1"/>
    <row r="63" spans="3:20" s="41" customFormat="1" outlineLevel="1">
      <c r="C63" s="50" t="s">
        <v>286</v>
      </c>
    </row>
    <row r="64" spans="3:20" s="41" customFormat="1" ht="5.9" customHeight="1" outlineLevel="1"/>
    <row r="65" spans="3:20" s="41" customFormat="1" outlineLevel="1">
      <c r="D65" s="202" t="str">
        <f>Work_Codes!D104</f>
        <v>Customer Contributions Category 1</v>
      </c>
      <c r="J65" s="154">
        <v>0</v>
      </c>
      <c r="K65" s="154">
        <v>0</v>
      </c>
      <c r="L65" s="154">
        <v>0</v>
      </c>
      <c r="M65" s="154">
        <v>0</v>
      </c>
      <c r="N65" s="154">
        <v>0</v>
      </c>
      <c r="O65" s="154">
        <v>0</v>
      </c>
      <c r="P65" s="154">
        <v>0</v>
      </c>
      <c r="Q65" s="154">
        <v>0</v>
      </c>
      <c r="R65" s="154">
        <v>0</v>
      </c>
      <c r="S65" s="154">
        <v>0</v>
      </c>
      <c r="T65" s="154">
        <v>0</v>
      </c>
    </row>
    <row r="66" spans="3:20" s="41" customFormat="1" ht="5.9" customHeight="1" outlineLevel="1"/>
    <row r="67" spans="3:20" s="41" customFormat="1" outlineLevel="1">
      <c r="D67" s="250" t="str">
        <f>"Total "&amp;C63</f>
        <v>Total Customer Connections</v>
      </c>
      <c r="E67" s="250"/>
      <c r="F67" s="250"/>
      <c r="G67" s="250"/>
      <c r="H67" s="250"/>
      <c r="I67" s="250"/>
      <c r="J67" s="101">
        <f t="shared" ref="J67:T67" si="9">SUM(J65:J66)</f>
        <v>0</v>
      </c>
      <c r="K67" s="101">
        <f t="shared" si="9"/>
        <v>0</v>
      </c>
      <c r="L67" s="101">
        <f t="shared" si="9"/>
        <v>0</v>
      </c>
      <c r="M67" s="101">
        <f t="shared" si="9"/>
        <v>0</v>
      </c>
      <c r="N67" s="101">
        <f t="shared" si="9"/>
        <v>0</v>
      </c>
      <c r="O67" s="101">
        <f t="shared" si="9"/>
        <v>0</v>
      </c>
      <c r="P67" s="101">
        <f t="shared" si="9"/>
        <v>0</v>
      </c>
      <c r="Q67" s="101">
        <f t="shared" si="9"/>
        <v>0</v>
      </c>
      <c r="R67" s="101">
        <f t="shared" si="9"/>
        <v>0</v>
      </c>
      <c r="S67" s="101">
        <f t="shared" si="9"/>
        <v>0</v>
      </c>
      <c r="T67" s="101">
        <f t="shared" si="9"/>
        <v>0</v>
      </c>
    </row>
    <row r="68" spans="3:20" s="41" customFormat="1" outlineLevel="1">
      <c r="C68" s="109"/>
      <c r="D68" s="109"/>
      <c r="E68" s="109"/>
      <c r="F68" s="109"/>
      <c r="G68" s="109"/>
      <c r="H68" s="109"/>
      <c r="I68" s="109"/>
      <c r="J68" s="109"/>
      <c r="K68" s="109"/>
      <c r="L68" s="109"/>
      <c r="M68" s="109"/>
      <c r="N68" s="109"/>
      <c r="O68" s="109"/>
      <c r="P68" s="109"/>
      <c r="Q68" s="109"/>
      <c r="R68" s="109"/>
      <c r="S68" s="109"/>
      <c r="T68" s="109"/>
    </row>
    <row r="69" spans="3:20" s="41" customFormat="1" outlineLevel="1"/>
    <row r="70" spans="3:20" s="41" customFormat="1" outlineLevel="1">
      <c r="C70" s="50" t="s">
        <v>213</v>
      </c>
    </row>
    <row r="71" spans="3:20" s="41" customFormat="1" ht="5.9" hidden="1" customHeight="1" outlineLevel="2"/>
    <row r="72" spans="3:20" s="41" customFormat="1" hidden="1" outlineLevel="2">
      <c r="C72" s="50" t="s">
        <v>128</v>
      </c>
    </row>
    <row r="73" spans="3:20" s="41" customFormat="1" ht="5.9" hidden="1" customHeight="1" outlineLevel="2"/>
    <row r="74" spans="3:20" s="41" customFormat="1" hidden="1" outlineLevel="2">
      <c r="D74" s="202" t="str">
        <f>Work_Codes!D99</f>
        <v>High Pressure Mains Replacement</v>
      </c>
      <c r="J74" s="80">
        <f>Work_Codes!$I99*J58*J$29</f>
        <v>0</v>
      </c>
      <c r="K74" s="80">
        <f>Work_Codes!$I99*K58*K$29</f>
        <v>0</v>
      </c>
      <c r="L74" s="80">
        <f>Work_Codes!$I99*L58*L$29</f>
        <v>0</v>
      </c>
      <c r="M74" s="80">
        <f>Work_Codes!$I99*M58*M$29</f>
        <v>0</v>
      </c>
      <c r="N74" s="80">
        <f>Work_Codes!$I99*N58*N$29</f>
        <v>0</v>
      </c>
      <c r="O74" s="80">
        <f>Work_Codes!$I99*O58*O$29</f>
        <v>0</v>
      </c>
      <c r="P74" s="80">
        <f>Work_Codes!$I99*P58*P$29</f>
        <v>82030.690140214778</v>
      </c>
      <c r="Q74" s="80">
        <f>Work_Codes!$I99*Q58*Q$29</f>
        <v>82670.311732355607</v>
      </c>
      <c r="R74" s="80">
        <f>Work_Codes!$I99*R58*R$29</f>
        <v>83580.383574846259</v>
      </c>
      <c r="S74" s="80">
        <f>Work_Codes!$I99*S58*S$29</f>
        <v>84500.473896052426</v>
      </c>
      <c r="T74" s="80">
        <f>Work_Codes!$I99*T58*T$29</f>
        <v>85430.692983877816</v>
      </c>
    </row>
    <row r="75" spans="3:20" s="41" customFormat="1" hidden="1" outlineLevel="2">
      <c r="D75" s="202" t="str">
        <f>Work_Codes!D100</f>
        <v>Capex Items Category 2</v>
      </c>
      <c r="J75" s="80">
        <f>Work_Codes!$I100*J59*J$29</f>
        <v>0</v>
      </c>
      <c r="K75" s="80">
        <f>Work_Codes!$I100*K59*K$29</f>
        <v>0</v>
      </c>
      <c r="L75" s="80">
        <f>Work_Codes!$I100*L59*L$29</f>
        <v>0</v>
      </c>
      <c r="M75" s="80">
        <f>Work_Codes!$I100*M59*M$29</f>
        <v>0</v>
      </c>
      <c r="N75" s="80">
        <f>Work_Codes!$I100*N59*N$29</f>
        <v>0</v>
      </c>
      <c r="O75" s="80">
        <f>Work_Codes!$I100*O59*O$29</f>
        <v>0</v>
      </c>
      <c r="P75" s="80">
        <f>Work_Codes!$I100*P59*P$29</f>
        <v>0</v>
      </c>
      <c r="Q75" s="80">
        <f>Work_Codes!$I100*Q59*Q$29</f>
        <v>0</v>
      </c>
      <c r="R75" s="80">
        <f>Work_Codes!$I100*R59*R$29</f>
        <v>0</v>
      </c>
      <c r="S75" s="80">
        <f>Work_Codes!$I100*S59*S$29</f>
        <v>0</v>
      </c>
      <c r="T75" s="80">
        <f>Work_Codes!$I100*T59*T$29</f>
        <v>0</v>
      </c>
    </row>
    <row r="76" spans="3:20" s="41" customFormat="1" ht="5.9" hidden="1" customHeight="1" outlineLevel="2"/>
    <row r="77" spans="3:20" s="41" customFormat="1" hidden="1" outlineLevel="2">
      <c r="D77" s="250" t="str">
        <f>"Total "&amp;C72</f>
        <v>Total Internal Labour</v>
      </c>
      <c r="E77" s="250"/>
      <c r="F77" s="250"/>
      <c r="G77" s="250"/>
      <c r="H77" s="250"/>
      <c r="I77" s="250"/>
      <c r="J77" s="101">
        <f t="shared" ref="J77:T77" si="10">SUM(J74:J76)</f>
        <v>0</v>
      </c>
      <c r="K77" s="101">
        <f t="shared" si="10"/>
        <v>0</v>
      </c>
      <c r="L77" s="101">
        <f t="shared" si="10"/>
        <v>0</v>
      </c>
      <c r="M77" s="101">
        <f t="shared" si="10"/>
        <v>0</v>
      </c>
      <c r="N77" s="101">
        <f t="shared" si="10"/>
        <v>0</v>
      </c>
      <c r="O77" s="101">
        <f t="shared" si="10"/>
        <v>0</v>
      </c>
      <c r="P77" s="101">
        <f t="shared" si="10"/>
        <v>82030.690140214778</v>
      </c>
      <c r="Q77" s="101">
        <f t="shared" si="10"/>
        <v>82670.311732355607</v>
      </c>
      <c r="R77" s="101">
        <f t="shared" si="10"/>
        <v>83580.383574846259</v>
      </c>
      <c r="S77" s="101">
        <f t="shared" si="10"/>
        <v>84500.473896052426</v>
      </c>
      <c r="T77" s="101">
        <f t="shared" si="10"/>
        <v>85430.692983877816</v>
      </c>
    </row>
    <row r="78" spans="3:20" s="41" customFormat="1" hidden="1" outlineLevel="2"/>
    <row r="79" spans="3:20" s="41" customFormat="1" hidden="1" outlineLevel="2">
      <c r="C79" s="50" t="s">
        <v>129</v>
      </c>
    </row>
    <row r="80" spans="3:20" s="41" customFormat="1" ht="5.9" hidden="1" customHeight="1" outlineLevel="2"/>
    <row r="81" spans="3:20" s="41" customFormat="1" hidden="1" outlineLevel="2">
      <c r="D81" s="202" t="str">
        <f>Work_Codes!D99</f>
        <v>High Pressure Mains Replacement</v>
      </c>
      <c r="J81" s="80">
        <f>Work_Codes!$J99*J58*J$30</f>
        <v>0</v>
      </c>
      <c r="K81" s="80">
        <f>Work_Codes!$J99*K58*K$30</f>
        <v>0</v>
      </c>
      <c r="L81" s="80">
        <f>Work_Codes!$J99*L58*L$30</f>
        <v>0</v>
      </c>
      <c r="M81" s="80">
        <f>Work_Codes!$J99*M58*M$30</f>
        <v>0</v>
      </c>
      <c r="N81" s="80">
        <f>Work_Codes!$J99*N58*N$30</f>
        <v>0</v>
      </c>
      <c r="O81" s="80">
        <f>Work_Codes!$J99*O58*O$30</f>
        <v>0</v>
      </c>
      <c r="P81" s="80">
        <f>Work_Codes!$J99*P58*P$30</f>
        <v>1542800</v>
      </c>
      <c r="Q81" s="80">
        <f>Work_Codes!$J99*Q58*Q$30</f>
        <v>1542800</v>
      </c>
      <c r="R81" s="80">
        <f>Work_Codes!$J99*R58*R$30</f>
        <v>1542800</v>
      </c>
      <c r="S81" s="80">
        <f>Work_Codes!$J99*S58*S$30</f>
        <v>1542800</v>
      </c>
      <c r="T81" s="80">
        <f>Work_Codes!$J99*T58*T$30</f>
        <v>1542800</v>
      </c>
    </row>
    <row r="82" spans="3:20" s="41" customFormat="1" hidden="1" outlineLevel="2">
      <c r="D82" s="202" t="str">
        <f>Work_Codes!D100</f>
        <v>Capex Items Category 2</v>
      </c>
      <c r="J82" s="80">
        <f>Work_Codes!$J100*J59*J$30</f>
        <v>0</v>
      </c>
      <c r="K82" s="80">
        <f>Work_Codes!$J100*K59*K$30</f>
        <v>0</v>
      </c>
      <c r="L82" s="80">
        <f>Work_Codes!$J100*L59*L$30</f>
        <v>0</v>
      </c>
      <c r="M82" s="80">
        <f>Work_Codes!$J100*M59*M$30</f>
        <v>0</v>
      </c>
      <c r="N82" s="80">
        <f>Work_Codes!$J100*N59*N$30</f>
        <v>0</v>
      </c>
      <c r="O82" s="80">
        <f>Work_Codes!$J100*O59*O$30</f>
        <v>0</v>
      </c>
      <c r="P82" s="80">
        <f>Work_Codes!$J100*P59*P$30</f>
        <v>0</v>
      </c>
      <c r="Q82" s="80">
        <f>Work_Codes!$J100*Q59*Q$30</f>
        <v>0</v>
      </c>
      <c r="R82" s="80">
        <f>Work_Codes!$J100*R59*R$30</f>
        <v>0</v>
      </c>
      <c r="S82" s="80">
        <f>Work_Codes!$J100*S59*S$30</f>
        <v>0</v>
      </c>
      <c r="T82" s="80">
        <f>Work_Codes!$J100*T59*T$30</f>
        <v>0</v>
      </c>
    </row>
    <row r="83" spans="3:20" ht="5.9" hidden="1" customHeight="1" outlineLevel="2"/>
    <row r="84" spans="3:20" hidden="1" outlineLevel="2">
      <c r="D84" s="249" t="str">
        <f>"Total "&amp;C79</f>
        <v>Total External Labour</v>
      </c>
      <c r="E84" s="249"/>
      <c r="F84" s="249"/>
      <c r="G84" s="249"/>
      <c r="H84" s="249"/>
      <c r="I84" s="249"/>
      <c r="J84" s="82">
        <f t="shared" ref="J84:T84" si="11">SUM(J81:J83)</f>
        <v>0</v>
      </c>
      <c r="K84" s="82">
        <f t="shared" si="11"/>
        <v>0</v>
      </c>
      <c r="L84" s="82">
        <f t="shared" si="11"/>
        <v>0</v>
      </c>
      <c r="M84" s="82">
        <f t="shared" si="11"/>
        <v>0</v>
      </c>
      <c r="N84" s="82">
        <f t="shared" si="11"/>
        <v>0</v>
      </c>
      <c r="O84" s="82">
        <f t="shared" si="11"/>
        <v>0</v>
      </c>
      <c r="P84" s="82">
        <f t="shared" si="11"/>
        <v>1542800</v>
      </c>
      <c r="Q84" s="82">
        <f t="shared" si="11"/>
        <v>1542800</v>
      </c>
      <c r="R84" s="82">
        <f t="shared" si="11"/>
        <v>1542800</v>
      </c>
      <c r="S84" s="82">
        <f t="shared" si="11"/>
        <v>1542800</v>
      </c>
      <c r="T84" s="82">
        <f t="shared" si="11"/>
        <v>1542800</v>
      </c>
    </row>
    <row r="85" spans="3:20" hidden="1" outlineLevel="2"/>
    <row r="86" spans="3:20" hidden="1" outlineLevel="2">
      <c r="C86" s="37" t="s">
        <v>130</v>
      </c>
    </row>
    <row r="87" spans="3:20" ht="5.9" hidden="1" customHeight="1" outlineLevel="2"/>
    <row r="88" spans="3:20" hidden="1" outlineLevel="2">
      <c r="D88" s="102" t="str">
        <f>Work_Codes!D99</f>
        <v>High Pressure Mains Replacement</v>
      </c>
      <c r="J88" s="81">
        <f>Work_Codes!$K99*J58*J$31</f>
        <v>0</v>
      </c>
      <c r="K88" s="81">
        <f>Work_Codes!$K99*K58*K$31</f>
        <v>0</v>
      </c>
      <c r="L88" s="81">
        <f>Work_Codes!$K99*L58*L$31</f>
        <v>0</v>
      </c>
      <c r="M88" s="81">
        <f>Work_Codes!$K99*M58*M$31</f>
        <v>0</v>
      </c>
      <c r="N88" s="81">
        <f>Work_Codes!$K99*N58*N$31</f>
        <v>0</v>
      </c>
      <c r="O88" s="81">
        <f>Work_Codes!$K99*O58*O$31</f>
        <v>0</v>
      </c>
      <c r="P88" s="81">
        <f>Work_Codes!$K99*P58*P$31</f>
        <v>405999.99999999988</v>
      </c>
      <c r="Q88" s="81">
        <f>Work_Codes!$K99*Q58*Q$31</f>
        <v>405999.99999999988</v>
      </c>
      <c r="R88" s="81">
        <f>Work_Codes!$K99*R58*R$31</f>
        <v>405999.99999999988</v>
      </c>
      <c r="S88" s="81">
        <f>Work_Codes!$K99*S58*S$31</f>
        <v>405999.99999999988</v>
      </c>
      <c r="T88" s="81">
        <f>Work_Codes!$K99*T58*T$31</f>
        <v>405999.99999999988</v>
      </c>
    </row>
    <row r="89" spans="3:20" hidden="1" outlineLevel="2">
      <c r="D89" s="102" t="str">
        <f>Work_Codes!D100</f>
        <v>Capex Items Category 2</v>
      </c>
      <c r="J89" s="81">
        <f>Work_Codes!$K100*J59*J$31</f>
        <v>0</v>
      </c>
      <c r="K89" s="81">
        <f>Work_Codes!$K100*K59*K$31</f>
        <v>0</v>
      </c>
      <c r="L89" s="81">
        <f>Work_Codes!$K100*L59*L$31</f>
        <v>0</v>
      </c>
      <c r="M89" s="81">
        <f>Work_Codes!$K100*M59*M$31</f>
        <v>0</v>
      </c>
      <c r="N89" s="81">
        <f>Work_Codes!$K100*N59*N$31</f>
        <v>0</v>
      </c>
      <c r="O89" s="81">
        <f>Work_Codes!$K100*O59*O$31</f>
        <v>0</v>
      </c>
      <c r="P89" s="81">
        <f>Work_Codes!$K100*P59*P$31</f>
        <v>0</v>
      </c>
      <c r="Q89" s="81">
        <f>Work_Codes!$K100*Q59*Q$31</f>
        <v>0</v>
      </c>
      <c r="R89" s="81">
        <f>Work_Codes!$K100*R59*R$31</f>
        <v>0</v>
      </c>
      <c r="S89" s="81">
        <f>Work_Codes!$K100*S59*S$31</f>
        <v>0</v>
      </c>
      <c r="T89" s="81">
        <f>Work_Codes!$K100*T59*T$31</f>
        <v>0</v>
      </c>
    </row>
    <row r="90" spans="3:20" ht="5.9" hidden="1" customHeight="1" outlineLevel="2"/>
    <row r="91" spans="3:20" hidden="1" outlineLevel="2">
      <c r="D91" s="249" t="str">
        <f>"Total "&amp;C86</f>
        <v>Total Materials</v>
      </c>
      <c r="E91" s="249"/>
      <c r="F91" s="249"/>
      <c r="G91" s="249"/>
      <c r="H91" s="249"/>
      <c r="I91" s="249"/>
      <c r="J91" s="82">
        <f t="shared" ref="J91:T91" si="12">SUM(J88:J90)</f>
        <v>0</v>
      </c>
      <c r="K91" s="82">
        <f t="shared" si="12"/>
        <v>0</v>
      </c>
      <c r="L91" s="82">
        <f t="shared" si="12"/>
        <v>0</v>
      </c>
      <c r="M91" s="82">
        <f t="shared" si="12"/>
        <v>0</v>
      </c>
      <c r="N91" s="82">
        <f t="shared" si="12"/>
        <v>0</v>
      </c>
      <c r="O91" s="82">
        <f t="shared" si="12"/>
        <v>0</v>
      </c>
      <c r="P91" s="82">
        <f t="shared" si="12"/>
        <v>405999.99999999988</v>
      </c>
      <c r="Q91" s="82">
        <f t="shared" si="12"/>
        <v>405999.99999999988</v>
      </c>
      <c r="R91" s="82">
        <f t="shared" si="12"/>
        <v>405999.99999999988</v>
      </c>
      <c r="S91" s="82">
        <f t="shared" si="12"/>
        <v>405999.99999999988</v>
      </c>
      <c r="T91" s="82">
        <f t="shared" si="12"/>
        <v>405999.99999999988</v>
      </c>
    </row>
    <row r="92" spans="3:20" outlineLevel="1" collapsed="1"/>
    <row r="93" spans="3:20" outlineLevel="1">
      <c r="C93" s="37" t="s">
        <v>217</v>
      </c>
    </row>
    <row r="94" spans="3:20" ht="5.9" customHeight="1" outlineLevel="1"/>
    <row r="95" spans="3:20" outlineLevel="1">
      <c r="D95" s="102" t="str">
        <f>Work_Codes!D99</f>
        <v>High Pressure Mains Replacement</v>
      </c>
      <c r="J95" s="81">
        <f t="shared" ref="J95:T95" si="13">J74+J81+J88</f>
        <v>0</v>
      </c>
      <c r="K95" s="81">
        <f t="shared" si="13"/>
        <v>0</v>
      </c>
      <c r="L95" s="81">
        <f t="shared" si="13"/>
        <v>0</v>
      </c>
      <c r="M95" s="81">
        <f t="shared" si="13"/>
        <v>0</v>
      </c>
      <c r="N95" s="81">
        <f t="shared" si="13"/>
        <v>0</v>
      </c>
      <c r="O95" s="81">
        <f t="shared" si="13"/>
        <v>0</v>
      </c>
      <c r="P95" s="81">
        <f t="shared" si="13"/>
        <v>2030830.6901402147</v>
      </c>
      <c r="Q95" s="81">
        <f t="shared" si="13"/>
        <v>2031470.3117323555</v>
      </c>
      <c r="R95" s="81">
        <f t="shared" si="13"/>
        <v>2032380.3835748462</v>
      </c>
      <c r="S95" s="81">
        <f t="shared" si="13"/>
        <v>2033300.4738960522</v>
      </c>
      <c r="T95" s="81">
        <f t="shared" si="13"/>
        <v>2034230.6929838778</v>
      </c>
    </row>
    <row r="96" spans="3:20" outlineLevel="1">
      <c r="D96" s="102" t="str">
        <f>Work_Codes!D100</f>
        <v>Capex Items Category 2</v>
      </c>
      <c r="J96" s="81">
        <f t="shared" ref="J96:T96" si="14">J75+J82+J89</f>
        <v>0</v>
      </c>
      <c r="K96" s="81">
        <f t="shared" si="14"/>
        <v>0</v>
      </c>
      <c r="L96" s="81">
        <f t="shared" si="14"/>
        <v>0</v>
      </c>
      <c r="M96" s="81">
        <f t="shared" si="14"/>
        <v>0</v>
      </c>
      <c r="N96" s="81">
        <f t="shared" si="14"/>
        <v>0</v>
      </c>
      <c r="O96" s="81">
        <f t="shared" si="14"/>
        <v>0</v>
      </c>
      <c r="P96" s="81">
        <f t="shared" si="14"/>
        <v>0</v>
      </c>
      <c r="Q96" s="81">
        <f t="shared" si="14"/>
        <v>0</v>
      </c>
      <c r="R96" s="81">
        <f t="shared" si="14"/>
        <v>0</v>
      </c>
      <c r="S96" s="81">
        <f t="shared" si="14"/>
        <v>0</v>
      </c>
      <c r="T96" s="81">
        <f t="shared" si="14"/>
        <v>0</v>
      </c>
    </row>
    <row r="97" spans="2:20" ht="5.9" customHeight="1" outlineLevel="1"/>
    <row r="98" spans="2:20" outlineLevel="1">
      <c r="D98" s="249" t="str">
        <f>C93</f>
        <v>Total Direct Capex including Escalation (Non CPI)</v>
      </c>
      <c r="E98" s="249"/>
      <c r="F98" s="249"/>
      <c r="G98" s="249"/>
      <c r="H98" s="249"/>
      <c r="I98" s="249"/>
      <c r="J98" s="82">
        <f t="shared" ref="J98:T98" si="15">SUM(J95:J97)</f>
        <v>0</v>
      </c>
      <c r="K98" s="82">
        <f t="shared" si="15"/>
        <v>0</v>
      </c>
      <c r="L98" s="82">
        <f t="shared" si="15"/>
        <v>0</v>
      </c>
      <c r="M98" s="82">
        <f t="shared" si="15"/>
        <v>0</v>
      </c>
      <c r="N98" s="82">
        <f t="shared" si="15"/>
        <v>0</v>
      </c>
      <c r="O98" s="82">
        <f t="shared" si="15"/>
        <v>0</v>
      </c>
      <c r="P98" s="82">
        <f t="shared" si="15"/>
        <v>2030830.6901402147</v>
      </c>
      <c r="Q98" s="82">
        <f t="shared" si="15"/>
        <v>2031470.3117323555</v>
      </c>
      <c r="R98" s="82">
        <f t="shared" si="15"/>
        <v>2032380.3835748462</v>
      </c>
      <c r="S98" s="82">
        <f t="shared" si="15"/>
        <v>2033300.4738960522</v>
      </c>
      <c r="T98" s="82">
        <f t="shared" si="15"/>
        <v>2034230.6929838778</v>
      </c>
    </row>
    <row r="99" spans="2:20" outlineLevel="1">
      <c r="B99" s="12"/>
      <c r="C99" s="12"/>
      <c r="D99" s="12"/>
      <c r="E99" s="12"/>
      <c r="F99" s="12"/>
      <c r="G99" s="12"/>
      <c r="H99" s="12"/>
      <c r="I99" s="12"/>
      <c r="J99" s="12"/>
      <c r="K99" s="12"/>
      <c r="L99" s="12"/>
      <c r="M99" s="12"/>
      <c r="N99" s="12"/>
      <c r="O99" s="12"/>
      <c r="P99" s="12"/>
      <c r="Q99" s="12"/>
      <c r="R99" s="12"/>
      <c r="S99" s="12"/>
      <c r="T99" s="12"/>
    </row>
    <row r="100" spans="2:20" outlineLevel="1"/>
    <row r="101" spans="2:20" outlineLevel="1">
      <c r="C101" s="37" t="s">
        <v>195</v>
      </c>
    </row>
    <row r="102" spans="2:20" ht="5.9" customHeight="1" outlineLevel="2"/>
    <row r="103" spans="2:20" outlineLevel="2">
      <c r="D103" s="37" t="s">
        <v>215</v>
      </c>
    </row>
    <row r="104" spans="2:20" ht="5.9" customHeight="1" outlineLevel="2"/>
    <row r="105" spans="2:20" ht="11.5" customHeight="1" outlineLevel="2">
      <c r="E105" s="247" t="str">
        <f>GC!C40</f>
        <v>Transmission pipelines</v>
      </c>
      <c r="F105" s="247"/>
      <c r="G105" s="247"/>
      <c r="H105" s="247"/>
      <c r="I105" s="247"/>
      <c r="J105" s="81">
        <f ca="1">SUMPRODUCT((Work_Codes!$N$96:$Y$96=$E105)*(Work_Codes!$N$99:$Y$100)*(J$95:J$96))</f>
        <v>0</v>
      </c>
      <c r="K105" s="81">
        <f ca="1">SUMPRODUCT((Work_Codes!$N$96:$Y$96=$E105)*(Work_Codes!$N$99:$Y$100)*(K$95:K$96))</f>
        <v>0</v>
      </c>
      <c r="L105" s="81">
        <f ca="1">SUMPRODUCT((Work_Codes!$N$96:$Y$96=$E105)*(Work_Codes!$N$99:$Y$100)*(L$95:L$96))</f>
        <v>0</v>
      </c>
      <c r="M105" s="81">
        <f ca="1">SUMPRODUCT((Work_Codes!$N$96:$Y$96=$E105)*(Work_Codes!$N$99:$Y$100)*(M$95:M$96))</f>
        <v>0</v>
      </c>
      <c r="N105" s="81">
        <f ca="1">SUMPRODUCT((Work_Codes!$N$96:$Y$96=$E105)*(Work_Codes!$N$99:$Y$100)*(N$95:N$96))</f>
        <v>0</v>
      </c>
      <c r="O105" s="81">
        <f ca="1">SUMPRODUCT((Work_Codes!$N$96:$Y$96=$E105)*(Work_Codes!$N$99:$Y$100)*(O$95:O$96))</f>
        <v>0</v>
      </c>
      <c r="P105" s="81">
        <f ca="1">SUMPRODUCT((Work_Codes!$N$96:$Y$96=$E105)*(Work_Codes!$N$99:$Y$100)*(P$95:P$96))</f>
        <v>0</v>
      </c>
      <c r="Q105" s="81">
        <f ca="1">SUMPRODUCT((Work_Codes!$N$96:$Y$96=$E105)*(Work_Codes!$N$99:$Y$100)*(Q$95:Q$96))</f>
        <v>0</v>
      </c>
      <c r="R105" s="81">
        <f ca="1">SUMPRODUCT((Work_Codes!$N$96:$Y$96=$E105)*(Work_Codes!$N$99:$Y$100)*(R$95:R$96))</f>
        <v>0</v>
      </c>
      <c r="S105" s="81">
        <f ca="1">SUMPRODUCT((Work_Codes!$N$96:$Y$96=$E105)*(Work_Codes!$N$99:$Y$100)*(S$95:S$96))</f>
        <v>0</v>
      </c>
      <c r="T105" s="81">
        <f ca="1">SUMPRODUCT((Work_Codes!$N$96:$Y$96=$E105)*(Work_Codes!$N$99:$Y$100)*(T$95:T$96))</f>
        <v>0</v>
      </c>
    </row>
    <row r="106" spans="2:20" ht="11.5" customHeight="1" outlineLevel="2">
      <c r="E106" s="247" t="str">
        <f>GC!C41</f>
        <v>Distribution pipelines</v>
      </c>
      <c r="F106" s="247"/>
      <c r="G106" s="247"/>
      <c r="H106" s="247"/>
      <c r="I106" s="247"/>
      <c r="J106" s="81">
        <f ca="1">SUMPRODUCT((Work_Codes!$N$96:$Y$96=$E106)*(Work_Codes!$N$99:$Y$100)*(J$95:J$96))</f>
        <v>0</v>
      </c>
      <c r="K106" s="81">
        <f ca="1">SUMPRODUCT((Work_Codes!$N$96:$Y$96=$E106)*(Work_Codes!$N$99:$Y$100)*(K$95:K$96))</f>
        <v>0</v>
      </c>
      <c r="L106" s="81">
        <f ca="1">SUMPRODUCT((Work_Codes!$N$96:$Y$96=$E106)*(Work_Codes!$N$99:$Y$100)*(L$95:L$96))</f>
        <v>0</v>
      </c>
      <c r="M106" s="81">
        <f ca="1">SUMPRODUCT((Work_Codes!$N$96:$Y$96=$E106)*(Work_Codes!$N$99:$Y$100)*(M$95:M$96))</f>
        <v>0</v>
      </c>
      <c r="N106" s="81">
        <f ca="1">SUMPRODUCT((Work_Codes!$N$96:$Y$96=$E106)*(Work_Codes!$N$99:$Y$100)*(N$95:N$96))</f>
        <v>0</v>
      </c>
      <c r="O106" s="81">
        <f ca="1">SUMPRODUCT((Work_Codes!$N$96:$Y$96=$E106)*(Work_Codes!$N$99:$Y$100)*(O$95:O$96))</f>
        <v>0</v>
      </c>
      <c r="P106" s="81">
        <f ca="1">SUMPRODUCT((Work_Codes!$N$96:$Y$96=$E106)*(Work_Codes!$N$99:$Y$100)*(P$95:P$96))</f>
        <v>0</v>
      </c>
      <c r="Q106" s="81">
        <f ca="1">SUMPRODUCT((Work_Codes!$N$96:$Y$96=$E106)*(Work_Codes!$N$99:$Y$100)*(Q$95:Q$96))</f>
        <v>0</v>
      </c>
      <c r="R106" s="81">
        <f ca="1">SUMPRODUCT((Work_Codes!$N$96:$Y$96=$E106)*(Work_Codes!$N$99:$Y$100)*(R$95:R$96))</f>
        <v>0</v>
      </c>
      <c r="S106" s="81">
        <f ca="1">SUMPRODUCT((Work_Codes!$N$96:$Y$96=$E106)*(Work_Codes!$N$99:$Y$100)*(S$95:S$96))</f>
        <v>0</v>
      </c>
      <c r="T106" s="81">
        <f ca="1">SUMPRODUCT((Work_Codes!$N$96:$Y$96=$E106)*(Work_Codes!$N$99:$Y$100)*(T$95:T$96))</f>
        <v>0</v>
      </c>
    </row>
    <row r="107" spans="2:20" ht="11.5" customHeight="1" outlineLevel="2">
      <c r="E107" s="247" t="str">
        <f>GC!C42</f>
        <v>Service pipes</v>
      </c>
      <c r="F107" s="247"/>
      <c r="G107" s="247"/>
      <c r="H107" s="247"/>
      <c r="I107" s="247"/>
      <c r="J107" s="81">
        <f ca="1">SUMPRODUCT((Work_Codes!$N$96:$Y$96=$E107)*(Work_Codes!$N$99:$Y$100)*(J$95:J$96))</f>
        <v>0</v>
      </c>
      <c r="K107" s="81">
        <f ca="1">SUMPRODUCT((Work_Codes!$N$96:$Y$96=$E107)*(Work_Codes!$N$99:$Y$100)*(K$95:K$96))</f>
        <v>0</v>
      </c>
      <c r="L107" s="81">
        <f ca="1">SUMPRODUCT((Work_Codes!$N$96:$Y$96=$E107)*(Work_Codes!$N$99:$Y$100)*(L$95:L$96))</f>
        <v>0</v>
      </c>
      <c r="M107" s="81">
        <f ca="1">SUMPRODUCT((Work_Codes!$N$96:$Y$96=$E107)*(Work_Codes!$N$99:$Y$100)*(M$95:M$96))</f>
        <v>0</v>
      </c>
      <c r="N107" s="81">
        <f ca="1">SUMPRODUCT((Work_Codes!$N$96:$Y$96=$E107)*(Work_Codes!$N$99:$Y$100)*(N$95:N$96))</f>
        <v>0</v>
      </c>
      <c r="O107" s="81">
        <f ca="1">SUMPRODUCT((Work_Codes!$N$96:$Y$96=$E107)*(Work_Codes!$N$99:$Y$100)*(O$95:O$96))</f>
        <v>0</v>
      </c>
      <c r="P107" s="81">
        <f ca="1">SUMPRODUCT((Work_Codes!$N$96:$Y$96=$E107)*(Work_Codes!$N$99:$Y$100)*(P$95:P$96))</f>
        <v>0</v>
      </c>
      <c r="Q107" s="81">
        <f ca="1">SUMPRODUCT((Work_Codes!$N$96:$Y$96=$E107)*(Work_Codes!$N$99:$Y$100)*(Q$95:Q$96))</f>
        <v>0</v>
      </c>
      <c r="R107" s="81">
        <f ca="1">SUMPRODUCT((Work_Codes!$N$96:$Y$96=$E107)*(Work_Codes!$N$99:$Y$100)*(R$95:R$96))</f>
        <v>0</v>
      </c>
      <c r="S107" s="81">
        <f ca="1">SUMPRODUCT((Work_Codes!$N$96:$Y$96=$E107)*(Work_Codes!$N$99:$Y$100)*(S$95:S$96))</f>
        <v>0</v>
      </c>
      <c r="T107" s="81">
        <f ca="1">SUMPRODUCT((Work_Codes!$N$96:$Y$96=$E107)*(Work_Codes!$N$99:$Y$100)*(T$95:T$96))</f>
        <v>0</v>
      </c>
    </row>
    <row r="108" spans="2:20" ht="11.5" customHeight="1" outlineLevel="2">
      <c r="E108" s="247" t="str">
        <f>GC!C43</f>
        <v>Cathodic protection</v>
      </c>
      <c r="F108" s="247"/>
      <c r="G108" s="247"/>
      <c r="H108" s="247"/>
      <c r="I108" s="247"/>
      <c r="J108" s="81">
        <f ca="1">SUMPRODUCT((Work_Codes!$N$96:$Y$96=$E108)*(Work_Codes!$N$99:$Y$100)*(J$95:J$96))</f>
        <v>0</v>
      </c>
      <c r="K108" s="81">
        <f ca="1">SUMPRODUCT((Work_Codes!$N$96:$Y$96=$E108)*(Work_Codes!$N$99:$Y$100)*(K$95:K$96))</f>
        <v>0</v>
      </c>
      <c r="L108" s="81">
        <f ca="1">SUMPRODUCT((Work_Codes!$N$96:$Y$96=$E108)*(Work_Codes!$N$99:$Y$100)*(L$95:L$96))</f>
        <v>0</v>
      </c>
      <c r="M108" s="81">
        <f ca="1">SUMPRODUCT((Work_Codes!$N$96:$Y$96=$E108)*(Work_Codes!$N$99:$Y$100)*(M$95:M$96))</f>
        <v>0</v>
      </c>
      <c r="N108" s="81">
        <f ca="1">SUMPRODUCT((Work_Codes!$N$96:$Y$96=$E108)*(Work_Codes!$N$99:$Y$100)*(N$95:N$96))</f>
        <v>0</v>
      </c>
      <c r="O108" s="81">
        <f ca="1">SUMPRODUCT((Work_Codes!$N$96:$Y$96=$E108)*(Work_Codes!$N$99:$Y$100)*(O$95:O$96))</f>
        <v>0</v>
      </c>
      <c r="P108" s="81">
        <f ca="1">SUMPRODUCT((Work_Codes!$N$96:$Y$96=$E108)*(Work_Codes!$N$99:$Y$100)*(P$95:P$96))</f>
        <v>0</v>
      </c>
      <c r="Q108" s="81">
        <f ca="1">SUMPRODUCT((Work_Codes!$N$96:$Y$96=$E108)*(Work_Codes!$N$99:$Y$100)*(Q$95:Q$96))</f>
        <v>0</v>
      </c>
      <c r="R108" s="81">
        <f ca="1">SUMPRODUCT((Work_Codes!$N$96:$Y$96=$E108)*(Work_Codes!$N$99:$Y$100)*(R$95:R$96))</f>
        <v>0</v>
      </c>
      <c r="S108" s="81">
        <f ca="1">SUMPRODUCT((Work_Codes!$N$96:$Y$96=$E108)*(Work_Codes!$N$99:$Y$100)*(S$95:S$96))</f>
        <v>0</v>
      </c>
      <c r="T108" s="81">
        <f ca="1">SUMPRODUCT((Work_Codes!$N$96:$Y$96=$E108)*(Work_Codes!$N$99:$Y$100)*(T$95:T$96))</f>
        <v>0</v>
      </c>
    </row>
    <row r="109" spans="2:20" ht="11.5" customHeight="1" outlineLevel="2">
      <c r="E109" s="247" t="str">
        <f>GC!C44</f>
        <v>Supply Regulators / Valve Stations</v>
      </c>
      <c r="F109" s="247"/>
      <c r="G109" s="247"/>
      <c r="H109" s="247"/>
      <c r="I109" s="247"/>
      <c r="J109" s="81">
        <f ca="1">SUMPRODUCT((Work_Codes!$N$96:$Y$96=$E109)*(Work_Codes!$N$99:$Y$100)*(J$95:J$96))</f>
        <v>0</v>
      </c>
      <c r="K109" s="81">
        <f ca="1">SUMPRODUCT((Work_Codes!$N$96:$Y$96=$E109)*(Work_Codes!$N$99:$Y$100)*(K$95:K$96))</f>
        <v>0</v>
      </c>
      <c r="L109" s="81">
        <f ca="1">SUMPRODUCT((Work_Codes!$N$96:$Y$96=$E109)*(Work_Codes!$N$99:$Y$100)*(L$95:L$96))</f>
        <v>0</v>
      </c>
      <c r="M109" s="81">
        <f ca="1">SUMPRODUCT((Work_Codes!$N$96:$Y$96=$E109)*(Work_Codes!$N$99:$Y$100)*(M$95:M$96))</f>
        <v>0</v>
      </c>
      <c r="N109" s="81">
        <f ca="1">SUMPRODUCT((Work_Codes!$N$96:$Y$96=$E109)*(Work_Codes!$N$99:$Y$100)*(N$95:N$96))</f>
        <v>0</v>
      </c>
      <c r="O109" s="81">
        <f ca="1">SUMPRODUCT((Work_Codes!$N$96:$Y$96=$E109)*(Work_Codes!$N$99:$Y$100)*(O$95:O$96))</f>
        <v>0</v>
      </c>
      <c r="P109" s="81">
        <f ca="1">SUMPRODUCT((Work_Codes!$N$96:$Y$96=$E109)*(Work_Codes!$N$99:$Y$100)*(P$95:P$96))</f>
        <v>0</v>
      </c>
      <c r="Q109" s="81">
        <f ca="1">SUMPRODUCT((Work_Codes!$N$96:$Y$96=$E109)*(Work_Codes!$N$99:$Y$100)*(Q$95:Q$96))</f>
        <v>0</v>
      </c>
      <c r="R109" s="81">
        <f ca="1">SUMPRODUCT((Work_Codes!$N$96:$Y$96=$E109)*(Work_Codes!$N$99:$Y$100)*(R$95:R$96))</f>
        <v>0</v>
      </c>
      <c r="S109" s="81">
        <f ca="1">SUMPRODUCT((Work_Codes!$N$96:$Y$96=$E109)*(Work_Codes!$N$99:$Y$100)*(S$95:S$96))</f>
        <v>0</v>
      </c>
      <c r="T109" s="81">
        <f ca="1">SUMPRODUCT((Work_Codes!$N$96:$Y$96=$E109)*(Work_Codes!$N$99:$Y$100)*(T$95:T$96))</f>
        <v>0</v>
      </c>
    </row>
    <row r="110" spans="2:20" ht="11.5" customHeight="1" outlineLevel="2">
      <c r="E110" s="247" t="str">
        <f>GC!C45</f>
        <v>Meters</v>
      </c>
      <c r="F110" s="247"/>
      <c r="G110" s="247"/>
      <c r="H110" s="247"/>
      <c r="I110" s="247"/>
      <c r="J110" s="81">
        <f ca="1">SUMPRODUCT((Work_Codes!$N$96:$Y$96=$E110)*(Work_Codes!$N$99:$Y$100)*(J$95:J$96))</f>
        <v>0</v>
      </c>
      <c r="K110" s="81">
        <f ca="1">SUMPRODUCT((Work_Codes!$N$96:$Y$96=$E110)*(Work_Codes!$N$99:$Y$100)*(K$95:K$96))</f>
        <v>0</v>
      </c>
      <c r="L110" s="81">
        <f ca="1">SUMPRODUCT((Work_Codes!$N$96:$Y$96=$E110)*(Work_Codes!$N$99:$Y$100)*(L$95:L$96))</f>
        <v>0</v>
      </c>
      <c r="M110" s="81">
        <f ca="1">SUMPRODUCT((Work_Codes!$N$96:$Y$96=$E110)*(Work_Codes!$N$99:$Y$100)*(M$95:M$96))</f>
        <v>0</v>
      </c>
      <c r="N110" s="81">
        <f ca="1">SUMPRODUCT((Work_Codes!$N$96:$Y$96=$E110)*(Work_Codes!$N$99:$Y$100)*(N$95:N$96))</f>
        <v>0</v>
      </c>
      <c r="O110" s="81">
        <f ca="1">SUMPRODUCT((Work_Codes!$N$96:$Y$96=$E110)*(Work_Codes!$N$99:$Y$100)*(O$95:O$96))</f>
        <v>0</v>
      </c>
      <c r="P110" s="81">
        <f ca="1">SUMPRODUCT((Work_Codes!$N$96:$Y$96=$E110)*(Work_Codes!$N$99:$Y$100)*(P$95:P$96))</f>
        <v>0</v>
      </c>
      <c r="Q110" s="81">
        <f ca="1">SUMPRODUCT((Work_Codes!$N$96:$Y$96=$E110)*(Work_Codes!$N$99:$Y$100)*(Q$95:Q$96))</f>
        <v>0</v>
      </c>
      <c r="R110" s="81">
        <f ca="1">SUMPRODUCT((Work_Codes!$N$96:$Y$96=$E110)*(Work_Codes!$N$99:$Y$100)*(R$95:R$96))</f>
        <v>0</v>
      </c>
      <c r="S110" s="81">
        <f ca="1">SUMPRODUCT((Work_Codes!$N$96:$Y$96=$E110)*(Work_Codes!$N$99:$Y$100)*(S$95:S$96))</f>
        <v>0</v>
      </c>
      <c r="T110" s="81">
        <f ca="1">SUMPRODUCT((Work_Codes!$N$96:$Y$96=$E110)*(Work_Codes!$N$99:$Y$100)*(T$95:T$96))</f>
        <v>0</v>
      </c>
    </row>
    <row r="111" spans="2:20" ht="11.5" customHeight="1" outlineLevel="2">
      <c r="E111" s="247" t="str">
        <f>GC!C46</f>
        <v>SCADA and remote control</v>
      </c>
      <c r="F111" s="247"/>
      <c r="G111" s="247"/>
      <c r="H111" s="247"/>
      <c r="I111" s="247"/>
      <c r="J111" s="81">
        <f ca="1">SUMPRODUCT((Work_Codes!$N$96:$Y$96=$E111)*(Work_Codes!$N$99:$Y$100)*(J$95:J$96))</f>
        <v>0</v>
      </c>
      <c r="K111" s="81">
        <f ca="1">SUMPRODUCT((Work_Codes!$N$96:$Y$96=$E111)*(Work_Codes!$N$99:$Y$100)*(K$95:K$96))</f>
        <v>0</v>
      </c>
      <c r="L111" s="81">
        <f ca="1">SUMPRODUCT((Work_Codes!$N$96:$Y$96=$E111)*(Work_Codes!$N$99:$Y$100)*(L$95:L$96))</f>
        <v>0</v>
      </c>
      <c r="M111" s="81">
        <f ca="1">SUMPRODUCT((Work_Codes!$N$96:$Y$96=$E111)*(Work_Codes!$N$99:$Y$100)*(M$95:M$96))</f>
        <v>0</v>
      </c>
      <c r="N111" s="81">
        <f ca="1">SUMPRODUCT((Work_Codes!$N$96:$Y$96=$E111)*(Work_Codes!$N$99:$Y$100)*(N$95:N$96))</f>
        <v>0</v>
      </c>
      <c r="O111" s="81">
        <f ca="1">SUMPRODUCT((Work_Codes!$N$96:$Y$96=$E111)*(Work_Codes!$N$99:$Y$100)*(O$95:O$96))</f>
        <v>0</v>
      </c>
      <c r="P111" s="81">
        <f ca="1">SUMPRODUCT((Work_Codes!$N$96:$Y$96=$E111)*(Work_Codes!$N$99:$Y$100)*(P$95:P$96))</f>
        <v>0</v>
      </c>
      <c r="Q111" s="81">
        <f ca="1">SUMPRODUCT((Work_Codes!$N$96:$Y$96=$E111)*(Work_Codes!$N$99:$Y$100)*(Q$95:Q$96))</f>
        <v>0</v>
      </c>
      <c r="R111" s="81">
        <f ca="1">SUMPRODUCT((Work_Codes!$N$96:$Y$96=$E111)*(Work_Codes!$N$99:$Y$100)*(R$95:R$96))</f>
        <v>0</v>
      </c>
      <c r="S111" s="81">
        <f ca="1">SUMPRODUCT((Work_Codes!$N$96:$Y$96=$E111)*(Work_Codes!$N$99:$Y$100)*(S$95:S$96))</f>
        <v>0</v>
      </c>
      <c r="T111" s="81">
        <f ca="1">SUMPRODUCT((Work_Codes!$N$96:$Y$96=$E111)*(Work_Codes!$N$99:$Y$100)*(T$95:T$96))</f>
        <v>0</v>
      </c>
    </row>
    <row r="112" spans="2:20" ht="11.5" customHeight="1" outlineLevel="2">
      <c r="E112" s="247" t="str">
        <f>GC!C47</f>
        <v>Buildings</v>
      </c>
      <c r="F112" s="247"/>
      <c r="G112" s="247"/>
      <c r="H112" s="247"/>
      <c r="I112" s="247"/>
      <c r="J112" s="81">
        <f ca="1">SUMPRODUCT((Work_Codes!$N$96:$Y$96=$E112)*(Work_Codes!$N$99:$Y$100)*(J$95:J$96))</f>
        <v>0</v>
      </c>
      <c r="K112" s="81">
        <f ca="1">SUMPRODUCT((Work_Codes!$N$96:$Y$96=$E112)*(Work_Codes!$N$99:$Y$100)*(K$95:K$96))</f>
        <v>0</v>
      </c>
      <c r="L112" s="81">
        <f ca="1">SUMPRODUCT((Work_Codes!$N$96:$Y$96=$E112)*(Work_Codes!$N$99:$Y$100)*(L$95:L$96))</f>
        <v>0</v>
      </c>
      <c r="M112" s="81">
        <f ca="1">SUMPRODUCT((Work_Codes!$N$96:$Y$96=$E112)*(Work_Codes!$N$99:$Y$100)*(M$95:M$96))</f>
        <v>0</v>
      </c>
      <c r="N112" s="81">
        <f ca="1">SUMPRODUCT((Work_Codes!$N$96:$Y$96=$E112)*(Work_Codes!$N$99:$Y$100)*(N$95:N$96))</f>
        <v>0</v>
      </c>
      <c r="O112" s="81">
        <f ca="1">SUMPRODUCT((Work_Codes!$N$96:$Y$96=$E112)*(Work_Codes!$N$99:$Y$100)*(O$95:O$96))</f>
        <v>0</v>
      </c>
      <c r="P112" s="81">
        <f ca="1">SUMPRODUCT((Work_Codes!$N$96:$Y$96=$E112)*(Work_Codes!$N$99:$Y$100)*(P$95:P$96))</f>
        <v>0</v>
      </c>
      <c r="Q112" s="81">
        <f ca="1">SUMPRODUCT((Work_Codes!$N$96:$Y$96=$E112)*(Work_Codes!$N$99:$Y$100)*(Q$95:Q$96))</f>
        <v>0</v>
      </c>
      <c r="R112" s="81">
        <f ca="1">SUMPRODUCT((Work_Codes!$N$96:$Y$96=$E112)*(Work_Codes!$N$99:$Y$100)*(R$95:R$96))</f>
        <v>0</v>
      </c>
      <c r="S112" s="81">
        <f ca="1">SUMPRODUCT((Work_Codes!$N$96:$Y$96=$E112)*(Work_Codes!$N$99:$Y$100)*(S$95:S$96))</f>
        <v>0</v>
      </c>
      <c r="T112" s="81">
        <f ca="1">SUMPRODUCT((Work_Codes!$N$96:$Y$96=$E112)*(Work_Codes!$N$99:$Y$100)*(T$95:T$96))</f>
        <v>0</v>
      </c>
    </row>
    <row r="113" spans="4:20" ht="11.5" customHeight="1" outlineLevel="2">
      <c r="E113" s="247" t="str">
        <f>GC!C48</f>
        <v>Other - IT</v>
      </c>
      <c r="F113" s="247"/>
      <c r="G113" s="247"/>
      <c r="H113" s="247"/>
      <c r="I113" s="247"/>
      <c r="J113" s="81">
        <f ca="1">SUMPRODUCT((Work_Codes!$N$96:$Y$96=$E113)*(Work_Codes!$N$99:$Y$100)*(J$95:J$96))</f>
        <v>0</v>
      </c>
      <c r="K113" s="81">
        <f ca="1">SUMPRODUCT((Work_Codes!$N$96:$Y$96=$E113)*(Work_Codes!$N$99:$Y$100)*(K$95:K$96))</f>
        <v>0</v>
      </c>
      <c r="L113" s="81">
        <f ca="1">SUMPRODUCT((Work_Codes!$N$96:$Y$96=$E113)*(Work_Codes!$N$99:$Y$100)*(L$95:L$96))</f>
        <v>0</v>
      </c>
      <c r="M113" s="81">
        <f ca="1">SUMPRODUCT((Work_Codes!$N$96:$Y$96=$E113)*(Work_Codes!$N$99:$Y$100)*(M$95:M$96))</f>
        <v>0</v>
      </c>
      <c r="N113" s="81">
        <f ca="1">SUMPRODUCT((Work_Codes!$N$96:$Y$96=$E113)*(Work_Codes!$N$99:$Y$100)*(N$95:N$96))</f>
        <v>0</v>
      </c>
      <c r="O113" s="81">
        <f ca="1">SUMPRODUCT((Work_Codes!$N$96:$Y$96=$E113)*(Work_Codes!$N$99:$Y$100)*(O$95:O$96))</f>
        <v>0</v>
      </c>
      <c r="P113" s="81">
        <f ca="1">SUMPRODUCT((Work_Codes!$N$96:$Y$96=$E113)*(Work_Codes!$N$99:$Y$100)*(P$95:P$96))</f>
        <v>0</v>
      </c>
      <c r="Q113" s="81">
        <f ca="1">SUMPRODUCT((Work_Codes!$N$96:$Y$96=$E113)*(Work_Codes!$N$99:$Y$100)*(Q$95:Q$96))</f>
        <v>0</v>
      </c>
      <c r="R113" s="81">
        <f ca="1">SUMPRODUCT((Work_Codes!$N$96:$Y$96=$E113)*(Work_Codes!$N$99:$Y$100)*(R$95:R$96))</f>
        <v>0</v>
      </c>
      <c r="S113" s="81">
        <f ca="1">SUMPRODUCT((Work_Codes!$N$96:$Y$96=$E113)*(Work_Codes!$N$99:$Y$100)*(S$95:S$96))</f>
        <v>0</v>
      </c>
      <c r="T113" s="81">
        <f ca="1">SUMPRODUCT((Work_Codes!$N$96:$Y$96=$E113)*(Work_Codes!$N$99:$Y$100)*(T$95:T$96))</f>
        <v>0</v>
      </c>
    </row>
    <row r="114" spans="4:20" ht="11.5" customHeight="1" outlineLevel="2">
      <c r="E114" s="247" t="str">
        <f>GC!C49</f>
        <v>Other - non IT</v>
      </c>
      <c r="F114" s="247"/>
      <c r="G114" s="247"/>
      <c r="H114" s="247"/>
      <c r="I114" s="247"/>
      <c r="J114" s="81">
        <f ca="1">SUMPRODUCT((Work_Codes!$N$96:$Y$96=$E114)*(Work_Codes!$N$99:$Y$100)*(J$95:J$96))</f>
        <v>0</v>
      </c>
      <c r="K114" s="81">
        <f ca="1">SUMPRODUCT((Work_Codes!$N$96:$Y$96=$E114)*(Work_Codes!$N$99:$Y$100)*(K$95:K$96))</f>
        <v>0</v>
      </c>
      <c r="L114" s="81">
        <f ca="1">SUMPRODUCT((Work_Codes!$N$96:$Y$96=$E114)*(Work_Codes!$N$99:$Y$100)*(L$95:L$96))</f>
        <v>0</v>
      </c>
      <c r="M114" s="81">
        <f ca="1">SUMPRODUCT((Work_Codes!$N$96:$Y$96=$E114)*(Work_Codes!$N$99:$Y$100)*(M$95:M$96))</f>
        <v>0</v>
      </c>
      <c r="N114" s="81">
        <f ca="1">SUMPRODUCT((Work_Codes!$N$96:$Y$96=$E114)*(Work_Codes!$N$99:$Y$100)*(N$95:N$96))</f>
        <v>0</v>
      </c>
      <c r="O114" s="81">
        <f ca="1">SUMPRODUCT((Work_Codes!$N$96:$Y$96=$E114)*(Work_Codes!$N$99:$Y$100)*(O$95:O$96))</f>
        <v>0</v>
      </c>
      <c r="P114" s="81">
        <f ca="1">SUMPRODUCT((Work_Codes!$N$96:$Y$96=$E114)*(Work_Codes!$N$99:$Y$100)*(P$95:P$96))</f>
        <v>0</v>
      </c>
      <c r="Q114" s="81">
        <f ca="1">SUMPRODUCT((Work_Codes!$N$96:$Y$96=$E114)*(Work_Codes!$N$99:$Y$100)*(Q$95:Q$96))</f>
        <v>0</v>
      </c>
      <c r="R114" s="81">
        <f ca="1">SUMPRODUCT((Work_Codes!$N$96:$Y$96=$E114)*(Work_Codes!$N$99:$Y$100)*(R$95:R$96))</f>
        <v>0</v>
      </c>
      <c r="S114" s="81">
        <f ca="1">SUMPRODUCT((Work_Codes!$N$96:$Y$96=$E114)*(Work_Codes!$N$99:$Y$100)*(S$95:S$96))</f>
        <v>0</v>
      </c>
      <c r="T114" s="81">
        <f ca="1">SUMPRODUCT((Work_Codes!$N$96:$Y$96=$E114)*(Work_Codes!$N$99:$Y$100)*(T$95:T$96))</f>
        <v>0</v>
      </c>
    </row>
    <row r="115" spans="4:20" ht="11.5" customHeight="1" outlineLevel="2">
      <c r="E115" s="247" t="str">
        <f>GC!C50</f>
        <v>Land</v>
      </c>
      <c r="F115" s="247"/>
      <c r="G115" s="247"/>
      <c r="H115" s="247"/>
      <c r="I115" s="247"/>
      <c r="J115" s="81">
        <f ca="1">SUMPRODUCT((Work_Codes!$N$96:$Y$96=$E115)*(Work_Codes!$N$99:$Y$100)*(J$95:J$96))</f>
        <v>0</v>
      </c>
      <c r="K115" s="81">
        <f ca="1">SUMPRODUCT((Work_Codes!$N$96:$Y$96=$E115)*(Work_Codes!$N$99:$Y$100)*(K$95:K$96))</f>
        <v>0</v>
      </c>
      <c r="L115" s="81">
        <f ca="1">SUMPRODUCT((Work_Codes!$N$96:$Y$96=$E115)*(Work_Codes!$N$99:$Y$100)*(L$95:L$96))</f>
        <v>0</v>
      </c>
      <c r="M115" s="81">
        <f ca="1">SUMPRODUCT((Work_Codes!$N$96:$Y$96=$E115)*(Work_Codes!$N$99:$Y$100)*(M$95:M$96))</f>
        <v>0</v>
      </c>
      <c r="N115" s="81">
        <f ca="1">SUMPRODUCT((Work_Codes!$N$96:$Y$96=$E115)*(Work_Codes!$N$99:$Y$100)*(N$95:N$96))</f>
        <v>0</v>
      </c>
      <c r="O115" s="81">
        <f ca="1">SUMPRODUCT((Work_Codes!$N$96:$Y$96=$E115)*(Work_Codes!$N$99:$Y$100)*(O$95:O$96))</f>
        <v>0</v>
      </c>
      <c r="P115" s="81">
        <f ca="1">SUMPRODUCT((Work_Codes!$N$96:$Y$96=$E115)*(Work_Codes!$N$99:$Y$100)*(P$95:P$96))</f>
        <v>0</v>
      </c>
      <c r="Q115" s="81">
        <f ca="1">SUMPRODUCT((Work_Codes!$N$96:$Y$96=$E115)*(Work_Codes!$N$99:$Y$100)*(Q$95:Q$96))</f>
        <v>0</v>
      </c>
      <c r="R115" s="81">
        <f ca="1">SUMPRODUCT((Work_Codes!$N$96:$Y$96=$E115)*(Work_Codes!$N$99:$Y$100)*(R$95:R$96))</f>
        <v>0</v>
      </c>
      <c r="S115" s="81">
        <f ca="1">SUMPRODUCT((Work_Codes!$N$96:$Y$96=$E115)*(Work_Codes!$N$99:$Y$100)*(S$95:S$96))</f>
        <v>0</v>
      </c>
      <c r="T115" s="81">
        <f ca="1">SUMPRODUCT((Work_Codes!$N$96:$Y$96=$E115)*(Work_Codes!$N$99:$Y$100)*(T$95:T$96))</f>
        <v>0</v>
      </c>
    </row>
    <row r="116" spans="4:20" outlineLevel="2">
      <c r="E116" s="247" t="str">
        <f>GC!C51</f>
        <v>Capitalised Leases</v>
      </c>
      <c r="F116" s="247"/>
      <c r="G116" s="247"/>
      <c r="H116" s="247"/>
      <c r="I116" s="247"/>
      <c r="J116" s="81">
        <f ca="1">SUMPRODUCT((Work_Codes!$N$96:$Y$96=$E116)*(Work_Codes!$N$99:$Y$100)*(J$95:J$96))</f>
        <v>0</v>
      </c>
      <c r="K116" s="81">
        <f ca="1">SUMPRODUCT((Work_Codes!$N$96:$Y$96=$E116)*(Work_Codes!$N$99:$Y$100)*(K$95:K$96))</f>
        <v>0</v>
      </c>
      <c r="L116" s="81">
        <f ca="1">SUMPRODUCT((Work_Codes!$N$96:$Y$96=$E116)*(Work_Codes!$N$99:$Y$100)*(L$95:L$96))</f>
        <v>0</v>
      </c>
      <c r="M116" s="81">
        <f ca="1">SUMPRODUCT((Work_Codes!$N$96:$Y$96=$E116)*(Work_Codes!$N$99:$Y$100)*(M$95:M$96))</f>
        <v>0</v>
      </c>
      <c r="N116" s="81">
        <f ca="1">SUMPRODUCT((Work_Codes!$N$96:$Y$96=$E116)*(Work_Codes!$N$99:$Y$100)*(N$95:N$96))</f>
        <v>0</v>
      </c>
      <c r="O116" s="81">
        <f ca="1">SUMPRODUCT((Work_Codes!$N$96:$Y$96=$E116)*(Work_Codes!$N$99:$Y$100)*(O$95:O$96))</f>
        <v>0</v>
      </c>
      <c r="P116" s="81">
        <f ca="1">SUMPRODUCT((Work_Codes!$N$96:$Y$96=$E116)*(Work_Codes!$N$99:$Y$100)*(P$95:P$96))</f>
        <v>0</v>
      </c>
      <c r="Q116" s="81">
        <f ca="1">SUMPRODUCT((Work_Codes!$N$96:$Y$96=$E116)*(Work_Codes!$N$99:$Y$100)*(Q$95:Q$96))</f>
        <v>0</v>
      </c>
      <c r="R116" s="81">
        <f ca="1">SUMPRODUCT((Work_Codes!$N$96:$Y$96=$E116)*(Work_Codes!$N$99:$Y$100)*(R$95:R$96))</f>
        <v>0</v>
      </c>
      <c r="S116" s="81">
        <f ca="1">SUMPRODUCT((Work_Codes!$N$96:$Y$96=$E116)*(Work_Codes!$N$99:$Y$100)*(S$95:S$96))</f>
        <v>0</v>
      </c>
      <c r="T116" s="81">
        <f ca="1">SUMPRODUCT((Work_Codes!$N$96:$Y$96=$E116)*(Work_Codes!$N$99:$Y$100)*(T$95:T$96))</f>
        <v>0</v>
      </c>
    </row>
    <row r="117" spans="4:20" outlineLevel="2">
      <c r="E117" s="247" t="str">
        <f>GC!C52</f>
        <v>Transmission pipelines - post 1998</v>
      </c>
      <c r="F117" s="247"/>
      <c r="G117" s="247"/>
      <c r="H117" s="247"/>
      <c r="I117" s="247"/>
      <c r="J117" s="81">
        <f ca="1">SUMPRODUCT((Work_Codes!$N$96:$Y$96=$E117)*(Work_Codes!$N$99:$Y$100)*(J$95:J$96))</f>
        <v>0</v>
      </c>
      <c r="K117" s="81">
        <f ca="1">SUMPRODUCT((Work_Codes!$N$96:$Y$96=$E117)*(Work_Codes!$N$99:$Y$100)*(K$95:K$96))</f>
        <v>0</v>
      </c>
      <c r="L117" s="81">
        <f ca="1">SUMPRODUCT((Work_Codes!$N$96:$Y$96=$E117)*(Work_Codes!$N$99:$Y$100)*(L$95:L$96))</f>
        <v>0</v>
      </c>
      <c r="M117" s="81">
        <f ca="1">SUMPRODUCT((Work_Codes!$N$96:$Y$96=$E117)*(Work_Codes!$N$99:$Y$100)*(M$95:M$96))</f>
        <v>0</v>
      </c>
      <c r="N117" s="81">
        <f ca="1">SUMPRODUCT((Work_Codes!$N$96:$Y$96=$E117)*(Work_Codes!$N$99:$Y$100)*(N$95:N$96))</f>
        <v>0</v>
      </c>
      <c r="O117" s="81">
        <f ca="1">SUMPRODUCT((Work_Codes!$N$96:$Y$96=$E117)*(Work_Codes!$N$99:$Y$100)*(O$95:O$96))</f>
        <v>0</v>
      </c>
      <c r="P117" s="81">
        <f ca="1">SUMPRODUCT((Work_Codes!$N$96:$Y$96=$E117)*(Work_Codes!$N$99:$Y$100)*(P$95:P$96))</f>
        <v>0</v>
      </c>
      <c r="Q117" s="81">
        <f ca="1">SUMPRODUCT((Work_Codes!$N$96:$Y$96=$E117)*(Work_Codes!$N$99:$Y$100)*(Q$95:Q$96))</f>
        <v>0</v>
      </c>
      <c r="R117" s="81">
        <f ca="1">SUMPRODUCT((Work_Codes!$N$96:$Y$96=$E117)*(Work_Codes!$N$99:$Y$100)*(R$95:R$96))</f>
        <v>0</v>
      </c>
      <c r="S117" s="81">
        <f ca="1">SUMPRODUCT((Work_Codes!$N$96:$Y$96=$E117)*(Work_Codes!$N$99:$Y$100)*(S$95:S$96))</f>
        <v>0</v>
      </c>
      <c r="T117" s="81">
        <f ca="1">SUMPRODUCT((Work_Codes!$N$96:$Y$96=$E117)*(Work_Codes!$N$99:$Y$100)*(T$95:T$96))</f>
        <v>0</v>
      </c>
    </row>
    <row r="118" spans="4:20" outlineLevel="2">
      <c r="E118" s="247" t="str">
        <f>GC!C53</f>
        <v>Distribution pipelines - post 1998</v>
      </c>
      <c r="F118" s="247"/>
      <c r="G118" s="247"/>
      <c r="H118" s="247"/>
      <c r="I118" s="247"/>
      <c r="J118" s="81">
        <f ca="1">SUMPRODUCT((Work_Codes!$N$96:$Y$96=$E118)*(Work_Codes!$N$99:$Y$100)*(J$95:J$96))</f>
        <v>0</v>
      </c>
      <c r="K118" s="81">
        <f ca="1">SUMPRODUCT((Work_Codes!$N$96:$Y$96=$E118)*(Work_Codes!$N$99:$Y$100)*(K$95:K$96))</f>
        <v>0</v>
      </c>
      <c r="L118" s="81">
        <f ca="1">SUMPRODUCT((Work_Codes!$N$96:$Y$96=$E118)*(Work_Codes!$N$99:$Y$100)*(L$95:L$96))</f>
        <v>0</v>
      </c>
      <c r="M118" s="81">
        <f ca="1">SUMPRODUCT((Work_Codes!$N$96:$Y$96=$E118)*(Work_Codes!$N$99:$Y$100)*(M$95:M$96))</f>
        <v>0</v>
      </c>
      <c r="N118" s="81">
        <f ca="1">SUMPRODUCT((Work_Codes!$N$96:$Y$96=$E118)*(Work_Codes!$N$99:$Y$100)*(N$95:N$96))</f>
        <v>0</v>
      </c>
      <c r="O118" s="81">
        <f ca="1">SUMPRODUCT((Work_Codes!$N$96:$Y$96=$E118)*(Work_Codes!$N$99:$Y$100)*(O$95:O$96))</f>
        <v>0</v>
      </c>
      <c r="P118" s="81">
        <f ca="1">SUMPRODUCT((Work_Codes!$N$96:$Y$96=$E118)*(Work_Codes!$N$99:$Y$100)*(P$95:P$96))</f>
        <v>1015415.3450701074</v>
      </c>
      <c r="Q118" s="81">
        <f ca="1">SUMPRODUCT((Work_Codes!$N$96:$Y$96=$E118)*(Work_Codes!$N$99:$Y$100)*(Q$95:Q$96))</f>
        <v>1015735.1558661778</v>
      </c>
      <c r="R118" s="81">
        <f ca="1">SUMPRODUCT((Work_Codes!$N$96:$Y$96=$E118)*(Work_Codes!$N$99:$Y$100)*(R$95:R$96))</f>
        <v>1016190.1917874231</v>
      </c>
      <c r="S118" s="81">
        <f ca="1">SUMPRODUCT((Work_Codes!$N$96:$Y$96=$E118)*(Work_Codes!$N$99:$Y$100)*(S$95:S$96))</f>
        <v>1016650.2369480261</v>
      </c>
      <c r="T118" s="81">
        <f ca="1">SUMPRODUCT((Work_Codes!$N$96:$Y$96=$E118)*(Work_Codes!$N$99:$Y$100)*(T$95:T$96))</f>
        <v>1017115.3464919389</v>
      </c>
    </row>
    <row r="119" spans="4:20" outlineLevel="2">
      <c r="E119" s="247" t="str">
        <f>GC!C54</f>
        <v>Service pipes - post 1998</v>
      </c>
      <c r="F119" s="247"/>
      <c r="G119" s="247"/>
      <c r="H119" s="247"/>
      <c r="I119" s="247"/>
      <c r="J119" s="81">
        <f ca="1">SUMPRODUCT((Work_Codes!$N$96:$Y$96=$E119)*(Work_Codes!$N$99:$Y$100)*(J$95:J$96))</f>
        <v>0</v>
      </c>
      <c r="K119" s="81">
        <f ca="1">SUMPRODUCT((Work_Codes!$N$96:$Y$96=$E119)*(Work_Codes!$N$99:$Y$100)*(K$95:K$96))</f>
        <v>0</v>
      </c>
      <c r="L119" s="81">
        <f ca="1">SUMPRODUCT((Work_Codes!$N$96:$Y$96=$E119)*(Work_Codes!$N$99:$Y$100)*(L$95:L$96))</f>
        <v>0</v>
      </c>
      <c r="M119" s="81">
        <f ca="1">SUMPRODUCT((Work_Codes!$N$96:$Y$96=$E119)*(Work_Codes!$N$99:$Y$100)*(M$95:M$96))</f>
        <v>0</v>
      </c>
      <c r="N119" s="81">
        <f ca="1">SUMPRODUCT((Work_Codes!$N$96:$Y$96=$E119)*(Work_Codes!$N$99:$Y$100)*(N$95:N$96))</f>
        <v>0</v>
      </c>
      <c r="O119" s="81">
        <f ca="1">SUMPRODUCT((Work_Codes!$N$96:$Y$96=$E119)*(Work_Codes!$N$99:$Y$100)*(O$95:O$96))</f>
        <v>0</v>
      </c>
      <c r="P119" s="81">
        <f ca="1">SUMPRODUCT((Work_Codes!$N$96:$Y$96=$E119)*(Work_Codes!$N$99:$Y$100)*(P$95:P$96))</f>
        <v>1015415.3450701074</v>
      </c>
      <c r="Q119" s="81">
        <f ca="1">SUMPRODUCT((Work_Codes!$N$96:$Y$96=$E119)*(Work_Codes!$N$99:$Y$100)*(Q$95:Q$96))</f>
        <v>1015735.1558661778</v>
      </c>
      <c r="R119" s="81">
        <f ca="1">SUMPRODUCT((Work_Codes!$N$96:$Y$96=$E119)*(Work_Codes!$N$99:$Y$100)*(R$95:R$96))</f>
        <v>1016190.1917874231</v>
      </c>
      <c r="S119" s="81">
        <f ca="1">SUMPRODUCT((Work_Codes!$N$96:$Y$96=$E119)*(Work_Codes!$N$99:$Y$100)*(S$95:S$96))</f>
        <v>1016650.2369480261</v>
      </c>
      <c r="T119" s="81">
        <f ca="1">SUMPRODUCT((Work_Codes!$N$96:$Y$96=$E119)*(Work_Codes!$N$99:$Y$100)*(T$95:T$96))</f>
        <v>1017115.3464919389</v>
      </c>
    </row>
    <row r="120" spans="4:20" outlineLevel="2">
      <c r="E120" s="247" t="str">
        <f>GC!C55</f>
        <v>Cathodic protection - post 1998</v>
      </c>
      <c r="F120" s="247"/>
      <c r="G120" s="247"/>
      <c r="H120" s="247"/>
      <c r="I120" s="247"/>
      <c r="J120" s="81">
        <f ca="1">SUMPRODUCT((Work_Codes!$N$96:$Y$96=$E120)*(Work_Codes!$N$99:$Y$100)*(J$95:J$96))</f>
        <v>0</v>
      </c>
      <c r="K120" s="81">
        <f ca="1">SUMPRODUCT((Work_Codes!$N$96:$Y$96=$E120)*(Work_Codes!$N$99:$Y$100)*(K$95:K$96))</f>
        <v>0</v>
      </c>
      <c r="L120" s="81">
        <f ca="1">SUMPRODUCT((Work_Codes!$N$96:$Y$96=$E120)*(Work_Codes!$N$99:$Y$100)*(L$95:L$96))</f>
        <v>0</v>
      </c>
      <c r="M120" s="81">
        <f ca="1">SUMPRODUCT((Work_Codes!$N$96:$Y$96=$E120)*(Work_Codes!$N$99:$Y$100)*(M$95:M$96))</f>
        <v>0</v>
      </c>
      <c r="N120" s="81">
        <f ca="1">SUMPRODUCT((Work_Codes!$N$96:$Y$96=$E120)*(Work_Codes!$N$99:$Y$100)*(N$95:N$96))</f>
        <v>0</v>
      </c>
      <c r="O120" s="81">
        <f ca="1">SUMPRODUCT((Work_Codes!$N$96:$Y$96=$E120)*(Work_Codes!$N$99:$Y$100)*(O$95:O$96))</f>
        <v>0</v>
      </c>
      <c r="P120" s="81">
        <f ca="1">SUMPRODUCT((Work_Codes!$N$96:$Y$96=$E120)*(Work_Codes!$N$99:$Y$100)*(P$95:P$96))</f>
        <v>0</v>
      </c>
      <c r="Q120" s="81">
        <f ca="1">SUMPRODUCT((Work_Codes!$N$96:$Y$96=$E120)*(Work_Codes!$N$99:$Y$100)*(Q$95:Q$96))</f>
        <v>0</v>
      </c>
      <c r="R120" s="81">
        <f ca="1">SUMPRODUCT((Work_Codes!$N$96:$Y$96=$E120)*(Work_Codes!$N$99:$Y$100)*(R$95:R$96))</f>
        <v>0</v>
      </c>
      <c r="S120" s="81">
        <f ca="1">SUMPRODUCT((Work_Codes!$N$96:$Y$96=$E120)*(Work_Codes!$N$99:$Y$100)*(S$95:S$96))</f>
        <v>0</v>
      </c>
      <c r="T120" s="81">
        <f ca="1">SUMPRODUCT((Work_Codes!$N$96:$Y$96=$E120)*(Work_Codes!$N$99:$Y$100)*(T$95:T$96))</f>
        <v>0</v>
      </c>
    </row>
    <row r="121" spans="4:20" ht="12" customHeight="1" outlineLevel="2">
      <c r="E121" s="249" t="str">
        <f>"Total "&amp;D103</f>
        <v>Total Direct Costs</v>
      </c>
      <c r="F121" s="249"/>
      <c r="G121" s="249"/>
      <c r="H121" s="249"/>
      <c r="I121" s="249"/>
      <c r="J121" s="82">
        <f t="shared" ref="J121:T121" ca="1" si="16">SUM(J105:J120)</f>
        <v>0</v>
      </c>
      <c r="K121" s="82">
        <f t="shared" ca="1" si="16"/>
        <v>0</v>
      </c>
      <c r="L121" s="82">
        <f t="shared" ca="1" si="16"/>
        <v>0</v>
      </c>
      <c r="M121" s="82">
        <f t="shared" ca="1" si="16"/>
        <v>0</v>
      </c>
      <c r="N121" s="82">
        <f t="shared" ca="1" si="16"/>
        <v>0</v>
      </c>
      <c r="O121" s="82">
        <f t="shared" ca="1" si="16"/>
        <v>0</v>
      </c>
      <c r="P121" s="82">
        <f t="shared" ca="1" si="16"/>
        <v>2030830.6901402147</v>
      </c>
      <c r="Q121" s="82">
        <f t="shared" ca="1" si="16"/>
        <v>2031470.3117323555</v>
      </c>
      <c r="R121" s="82">
        <f t="shared" ca="1" si="16"/>
        <v>2032380.3835748462</v>
      </c>
      <c r="S121" s="82">
        <f t="shared" ca="1" si="16"/>
        <v>2033300.4738960522</v>
      </c>
      <c r="T121" s="82">
        <f t="shared" ca="1" si="16"/>
        <v>2034230.6929838778</v>
      </c>
    </row>
    <row r="122" spans="4:20" outlineLevel="2"/>
    <row r="123" spans="4:20" outlineLevel="2">
      <c r="D123" s="37" t="s">
        <v>364</v>
      </c>
    </row>
    <row r="124" spans="4:20" ht="5.9" customHeight="1" outlineLevel="2"/>
    <row r="125" spans="4:20" outlineLevel="2">
      <c r="E125" s="247" t="str">
        <f>GC!C40</f>
        <v>Transmission pipelines</v>
      </c>
      <c r="F125" s="247"/>
      <c r="G125" s="247"/>
      <c r="H125" s="247"/>
      <c r="I125" s="247"/>
      <c r="J125" s="81">
        <f ca="1">J105*(INDEX(J$35:J$37,MATCH(Work_Codes!$I$93,$D$35:$D$37,0)))</f>
        <v>0</v>
      </c>
      <c r="K125" s="81">
        <f ca="1">K105*(INDEX(K$35:K$37,MATCH(Work_Codes!$I$93,$D$35:$D$37,0)))</f>
        <v>0</v>
      </c>
      <c r="L125" s="81">
        <f ca="1">L105*(INDEX(L$35:L$37,MATCH(Work_Codes!$I$93,$D$35:$D$37,0)))</f>
        <v>0</v>
      </c>
      <c r="M125" s="81">
        <f ca="1">M105*(INDEX(M$35:M$37,MATCH(Work_Codes!$I$93,$D$35:$D$37,0)))</f>
        <v>0</v>
      </c>
      <c r="N125" s="81">
        <f ca="1">N105*(INDEX(N$35:N$37,MATCH(Work_Codes!$I$93,$D$35:$D$37,0)))</f>
        <v>0</v>
      </c>
      <c r="O125" s="81">
        <f ca="1">O105*(INDEX(O$35:O$37,MATCH(Work_Codes!$I$93,$D$35:$D$37,0)))</f>
        <v>0</v>
      </c>
      <c r="P125" s="81">
        <f ca="1">P105*(INDEX(P$35:P$37,MATCH(Work_Codes!$I$93,$D$35:$D$37,0)))</f>
        <v>0</v>
      </c>
      <c r="Q125" s="81">
        <f ca="1">Q105*(INDEX(Q$35:Q$37,MATCH(Work_Codes!$I$93,$D$35:$D$37,0)))</f>
        <v>0</v>
      </c>
      <c r="R125" s="81">
        <f ca="1">R105*(INDEX(R$35:R$37,MATCH(Work_Codes!$I$93,$D$35:$D$37,0)))</f>
        <v>0</v>
      </c>
      <c r="S125" s="81">
        <f ca="1">S105*(INDEX(S$35:S$37,MATCH(Work_Codes!$I$93,$D$35:$D$37,0)))</f>
        <v>0</v>
      </c>
      <c r="T125" s="81">
        <f ca="1">T105*(INDEX(T$35:T$37,MATCH(Work_Codes!$I$93,$D$35:$D$37,0)))</f>
        <v>0</v>
      </c>
    </row>
    <row r="126" spans="4:20" outlineLevel="2">
      <c r="E126" s="247" t="str">
        <f>GC!C41</f>
        <v>Distribution pipelines</v>
      </c>
      <c r="F126" s="247"/>
      <c r="G126" s="247"/>
      <c r="H126" s="247"/>
      <c r="I126" s="247"/>
      <c r="J126" s="81">
        <f ca="1">J106*(INDEX(J$35:J$37,MATCH(Work_Codes!$I$93,$D$35:$D$37,0)))</f>
        <v>0</v>
      </c>
      <c r="K126" s="81">
        <f ca="1">K106*(INDEX(K$35:K$37,MATCH(Work_Codes!$I$93,$D$35:$D$37,0)))</f>
        <v>0</v>
      </c>
      <c r="L126" s="81">
        <f ca="1">L106*(INDEX(L$35:L$37,MATCH(Work_Codes!$I$93,$D$35:$D$37,0)))</f>
        <v>0</v>
      </c>
      <c r="M126" s="81">
        <f ca="1">M106*(INDEX(M$35:M$37,MATCH(Work_Codes!$I$93,$D$35:$D$37,0)))</f>
        <v>0</v>
      </c>
      <c r="N126" s="81">
        <f ca="1">N106*(INDEX(N$35:N$37,MATCH(Work_Codes!$I$93,$D$35:$D$37,0)))</f>
        <v>0</v>
      </c>
      <c r="O126" s="81">
        <f ca="1">O106*(INDEX(O$35:O$37,MATCH(Work_Codes!$I$93,$D$35:$D$37,0)))</f>
        <v>0</v>
      </c>
      <c r="P126" s="81">
        <f ca="1">P106*(INDEX(P$35:P$37,MATCH(Work_Codes!$I$93,$D$35:$D$37,0)))</f>
        <v>0</v>
      </c>
      <c r="Q126" s="81">
        <f ca="1">Q106*(INDEX(Q$35:Q$37,MATCH(Work_Codes!$I$93,$D$35:$D$37,0)))</f>
        <v>0</v>
      </c>
      <c r="R126" s="81">
        <f ca="1">R106*(INDEX(R$35:R$37,MATCH(Work_Codes!$I$93,$D$35:$D$37,0)))</f>
        <v>0</v>
      </c>
      <c r="S126" s="81">
        <f ca="1">S106*(INDEX(S$35:S$37,MATCH(Work_Codes!$I$93,$D$35:$D$37,0)))</f>
        <v>0</v>
      </c>
      <c r="T126" s="81">
        <f ca="1">T106*(INDEX(T$35:T$37,MATCH(Work_Codes!$I$93,$D$35:$D$37,0)))</f>
        <v>0</v>
      </c>
    </row>
    <row r="127" spans="4:20" outlineLevel="2">
      <c r="E127" s="247" t="str">
        <f>GC!C42</f>
        <v>Service pipes</v>
      </c>
      <c r="F127" s="247"/>
      <c r="G127" s="247"/>
      <c r="H127" s="247"/>
      <c r="I127" s="247"/>
      <c r="J127" s="81">
        <f ca="1">J107*(INDEX(J$35:J$37,MATCH(Work_Codes!$I$93,$D$35:$D$37,0)))</f>
        <v>0</v>
      </c>
      <c r="K127" s="81">
        <f ca="1">K107*(INDEX(K$35:K$37,MATCH(Work_Codes!$I$93,$D$35:$D$37,0)))</f>
        <v>0</v>
      </c>
      <c r="L127" s="81">
        <f ca="1">L107*(INDEX(L$35:L$37,MATCH(Work_Codes!$I$93,$D$35:$D$37,0)))</f>
        <v>0</v>
      </c>
      <c r="M127" s="81">
        <f ca="1">M107*(INDEX(M$35:M$37,MATCH(Work_Codes!$I$93,$D$35:$D$37,0)))</f>
        <v>0</v>
      </c>
      <c r="N127" s="81">
        <f ca="1">N107*(INDEX(N$35:N$37,MATCH(Work_Codes!$I$93,$D$35:$D$37,0)))</f>
        <v>0</v>
      </c>
      <c r="O127" s="81">
        <f ca="1">O107*(INDEX(O$35:O$37,MATCH(Work_Codes!$I$93,$D$35:$D$37,0)))</f>
        <v>0</v>
      </c>
      <c r="P127" s="81">
        <f ca="1">P107*(INDEX(P$35:P$37,MATCH(Work_Codes!$I$93,$D$35:$D$37,0)))</f>
        <v>0</v>
      </c>
      <c r="Q127" s="81">
        <f ca="1">Q107*(INDEX(Q$35:Q$37,MATCH(Work_Codes!$I$93,$D$35:$D$37,0)))</f>
        <v>0</v>
      </c>
      <c r="R127" s="81">
        <f ca="1">R107*(INDEX(R$35:R$37,MATCH(Work_Codes!$I$93,$D$35:$D$37,0)))</f>
        <v>0</v>
      </c>
      <c r="S127" s="81">
        <f ca="1">S107*(INDEX(S$35:S$37,MATCH(Work_Codes!$I$93,$D$35:$D$37,0)))</f>
        <v>0</v>
      </c>
      <c r="T127" s="81">
        <f ca="1">T107*(INDEX(T$35:T$37,MATCH(Work_Codes!$I$93,$D$35:$D$37,0)))</f>
        <v>0</v>
      </c>
    </row>
    <row r="128" spans="4:20" outlineLevel="2">
      <c r="E128" s="247" t="str">
        <f>GC!C43</f>
        <v>Cathodic protection</v>
      </c>
      <c r="F128" s="247"/>
      <c r="G128" s="247"/>
      <c r="H128" s="247"/>
      <c r="I128" s="247"/>
      <c r="J128" s="81">
        <f ca="1">J108*(INDEX(J$35:J$37,MATCH(Work_Codes!$I$93,$D$35:$D$37,0)))</f>
        <v>0</v>
      </c>
      <c r="K128" s="81">
        <f ca="1">K108*(INDEX(K$35:K$37,MATCH(Work_Codes!$I$93,$D$35:$D$37,0)))</f>
        <v>0</v>
      </c>
      <c r="L128" s="81">
        <f ca="1">L108*(INDEX(L$35:L$37,MATCH(Work_Codes!$I$93,$D$35:$D$37,0)))</f>
        <v>0</v>
      </c>
      <c r="M128" s="81">
        <f ca="1">M108*(INDEX(M$35:M$37,MATCH(Work_Codes!$I$93,$D$35:$D$37,0)))</f>
        <v>0</v>
      </c>
      <c r="N128" s="81">
        <f ca="1">N108*(INDEX(N$35:N$37,MATCH(Work_Codes!$I$93,$D$35:$D$37,0)))</f>
        <v>0</v>
      </c>
      <c r="O128" s="81">
        <f ca="1">O108*(INDEX(O$35:O$37,MATCH(Work_Codes!$I$93,$D$35:$D$37,0)))</f>
        <v>0</v>
      </c>
      <c r="P128" s="81">
        <f ca="1">P108*(INDEX(P$35:P$37,MATCH(Work_Codes!$I$93,$D$35:$D$37,0)))</f>
        <v>0</v>
      </c>
      <c r="Q128" s="81">
        <f ca="1">Q108*(INDEX(Q$35:Q$37,MATCH(Work_Codes!$I$93,$D$35:$D$37,0)))</f>
        <v>0</v>
      </c>
      <c r="R128" s="81">
        <f ca="1">R108*(INDEX(R$35:R$37,MATCH(Work_Codes!$I$93,$D$35:$D$37,0)))</f>
        <v>0</v>
      </c>
      <c r="S128" s="81">
        <f ca="1">S108*(INDEX(S$35:S$37,MATCH(Work_Codes!$I$93,$D$35:$D$37,0)))</f>
        <v>0</v>
      </c>
      <c r="T128" s="81">
        <f ca="1">T108*(INDEX(T$35:T$37,MATCH(Work_Codes!$I$93,$D$35:$D$37,0)))</f>
        <v>0</v>
      </c>
    </row>
    <row r="129" spans="4:20" outlineLevel="2">
      <c r="E129" s="247" t="str">
        <f>GC!C44</f>
        <v>Supply Regulators / Valve Stations</v>
      </c>
      <c r="F129" s="247"/>
      <c r="G129" s="247"/>
      <c r="H129" s="247"/>
      <c r="I129" s="247"/>
      <c r="J129" s="81">
        <f ca="1">J109*(INDEX(J$35:J$37,MATCH(Work_Codes!$I$93,$D$35:$D$37,0)))</f>
        <v>0</v>
      </c>
      <c r="K129" s="81">
        <f ca="1">K109*(INDEX(K$35:K$37,MATCH(Work_Codes!$I$93,$D$35:$D$37,0)))</f>
        <v>0</v>
      </c>
      <c r="L129" s="81">
        <f ca="1">L109*(INDEX(L$35:L$37,MATCH(Work_Codes!$I$93,$D$35:$D$37,0)))</f>
        <v>0</v>
      </c>
      <c r="M129" s="81">
        <f ca="1">M109*(INDEX(M$35:M$37,MATCH(Work_Codes!$I$93,$D$35:$D$37,0)))</f>
        <v>0</v>
      </c>
      <c r="N129" s="81">
        <f ca="1">N109*(INDEX(N$35:N$37,MATCH(Work_Codes!$I$93,$D$35:$D$37,0)))</f>
        <v>0</v>
      </c>
      <c r="O129" s="81">
        <f ca="1">O109*(INDEX(O$35:O$37,MATCH(Work_Codes!$I$93,$D$35:$D$37,0)))</f>
        <v>0</v>
      </c>
      <c r="P129" s="81">
        <f ca="1">P109*(INDEX(P$35:P$37,MATCH(Work_Codes!$I$93,$D$35:$D$37,0)))</f>
        <v>0</v>
      </c>
      <c r="Q129" s="81">
        <f ca="1">Q109*(INDEX(Q$35:Q$37,MATCH(Work_Codes!$I$93,$D$35:$D$37,0)))</f>
        <v>0</v>
      </c>
      <c r="R129" s="81">
        <f ca="1">R109*(INDEX(R$35:R$37,MATCH(Work_Codes!$I$93,$D$35:$D$37,0)))</f>
        <v>0</v>
      </c>
      <c r="S129" s="81">
        <f ca="1">S109*(INDEX(S$35:S$37,MATCH(Work_Codes!$I$93,$D$35:$D$37,0)))</f>
        <v>0</v>
      </c>
      <c r="T129" s="81">
        <f ca="1">T109*(INDEX(T$35:T$37,MATCH(Work_Codes!$I$93,$D$35:$D$37,0)))</f>
        <v>0</v>
      </c>
    </row>
    <row r="130" spans="4:20" outlineLevel="2">
      <c r="E130" s="247" t="str">
        <f>GC!C45</f>
        <v>Meters</v>
      </c>
      <c r="F130" s="247"/>
      <c r="G130" s="247"/>
      <c r="H130" s="247"/>
      <c r="I130" s="247"/>
      <c r="J130" s="81">
        <f ca="1">J110*(INDEX(J$35:J$37,MATCH(Work_Codes!$I$93,$D$35:$D$37,0)))</f>
        <v>0</v>
      </c>
      <c r="K130" s="81">
        <f ca="1">K110*(INDEX(K$35:K$37,MATCH(Work_Codes!$I$93,$D$35:$D$37,0)))</f>
        <v>0</v>
      </c>
      <c r="L130" s="81">
        <f ca="1">L110*(INDEX(L$35:L$37,MATCH(Work_Codes!$I$93,$D$35:$D$37,0)))</f>
        <v>0</v>
      </c>
      <c r="M130" s="81">
        <f ca="1">M110*(INDEX(M$35:M$37,MATCH(Work_Codes!$I$93,$D$35:$D$37,0)))</f>
        <v>0</v>
      </c>
      <c r="N130" s="81">
        <f ca="1">N110*(INDEX(N$35:N$37,MATCH(Work_Codes!$I$93,$D$35:$D$37,0)))</f>
        <v>0</v>
      </c>
      <c r="O130" s="81">
        <f ca="1">O110*(INDEX(O$35:O$37,MATCH(Work_Codes!$I$93,$D$35:$D$37,0)))</f>
        <v>0</v>
      </c>
      <c r="P130" s="81">
        <f ca="1">P110*(INDEX(P$35:P$37,MATCH(Work_Codes!$I$93,$D$35:$D$37,0)))</f>
        <v>0</v>
      </c>
      <c r="Q130" s="81">
        <f ca="1">Q110*(INDEX(Q$35:Q$37,MATCH(Work_Codes!$I$93,$D$35:$D$37,0)))</f>
        <v>0</v>
      </c>
      <c r="R130" s="81">
        <f ca="1">R110*(INDEX(R$35:R$37,MATCH(Work_Codes!$I$93,$D$35:$D$37,0)))</f>
        <v>0</v>
      </c>
      <c r="S130" s="81">
        <f ca="1">S110*(INDEX(S$35:S$37,MATCH(Work_Codes!$I$93,$D$35:$D$37,0)))</f>
        <v>0</v>
      </c>
      <c r="T130" s="81">
        <f ca="1">T110*(INDEX(T$35:T$37,MATCH(Work_Codes!$I$93,$D$35:$D$37,0)))</f>
        <v>0</v>
      </c>
    </row>
    <row r="131" spans="4:20" outlineLevel="2">
      <c r="E131" s="247" t="str">
        <f>GC!C46</f>
        <v>SCADA and remote control</v>
      </c>
      <c r="F131" s="247"/>
      <c r="G131" s="247"/>
      <c r="H131" s="247"/>
      <c r="I131" s="247"/>
      <c r="J131" s="81">
        <f ca="1">J111*(INDEX(J$35:J$37,MATCH(Work_Codes!$I$93,$D$35:$D$37,0)))</f>
        <v>0</v>
      </c>
      <c r="K131" s="81">
        <f ca="1">K111*(INDEX(K$35:K$37,MATCH(Work_Codes!$I$93,$D$35:$D$37,0)))</f>
        <v>0</v>
      </c>
      <c r="L131" s="81">
        <f ca="1">L111*(INDEX(L$35:L$37,MATCH(Work_Codes!$I$93,$D$35:$D$37,0)))</f>
        <v>0</v>
      </c>
      <c r="M131" s="81">
        <f ca="1">M111*(INDEX(M$35:M$37,MATCH(Work_Codes!$I$93,$D$35:$D$37,0)))</f>
        <v>0</v>
      </c>
      <c r="N131" s="81">
        <f ca="1">N111*(INDEX(N$35:N$37,MATCH(Work_Codes!$I$93,$D$35:$D$37,0)))</f>
        <v>0</v>
      </c>
      <c r="O131" s="81">
        <f ca="1">O111*(INDEX(O$35:O$37,MATCH(Work_Codes!$I$93,$D$35:$D$37,0)))</f>
        <v>0</v>
      </c>
      <c r="P131" s="81">
        <f ca="1">P111*(INDEX(P$35:P$37,MATCH(Work_Codes!$I$93,$D$35:$D$37,0)))</f>
        <v>0</v>
      </c>
      <c r="Q131" s="81">
        <f ca="1">Q111*(INDEX(Q$35:Q$37,MATCH(Work_Codes!$I$93,$D$35:$D$37,0)))</f>
        <v>0</v>
      </c>
      <c r="R131" s="81">
        <f ca="1">R111*(INDEX(R$35:R$37,MATCH(Work_Codes!$I$93,$D$35:$D$37,0)))</f>
        <v>0</v>
      </c>
      <c r="S131" s="81">
        <f ca="1">S111*(INDEX(S$35:S$37,MATCH(Work_Codes!$I$93,$D$35:$D$37,0)))</f>
        <v>0</v>
      </c>
      <c r="T131" s="81">
        <f ca="1">T111*(INDEX(T$35:T$37,MATCH(Work_Codes!$I$93,$D$35:$D$37,0)))</f>
        <v>0</v>
      </c>
    </row>
    <row r="132" spans="4:20" outlineLevel="2">
      <c r="E132" s="247" t="str">
        <f>GC!C47</f>
        <v>Buildings</v>
      </c>
      <c r="F132" s="247"/>
      <c r="G132" s="247"/>
      <c r="H132" s="247"/>
      <c r="I132" s="247"/>
      <c r="J132" s="81">
        <f ca="1">J112*(INDEX(J$35:J$37,MATCH(Work_Codes!$I$93,$D$35:$D$37,0)))</f>
        <v>0</v>
      </c>
      <c r="K132" s="81">
        <f ca="1">K112*(INDEX(K$35:K$37,MATCH(Work_Codes!$I$93,$D$35:$D$37,0)))</f>
        <v>0</v>
      </c>
      <c r="L132" s="81">
        <f ca="1">L112*(INDEX(L$35:L$37,MATCH(Work_Codes!$I$93,$D$35:$D$37,0)))</f>
        <v>0</v>
      </c>
      <c r="M132" s="81">
        <f ca="1">M112*(INDEX(M$35:M$37,MATCH(Work_Codes!$I$93,$D$35:$D$37,0)))</f>
        <v>0</v>
      </c>
      <c r="N132" s="81">
        <f ca="1">N112*(INDEX(N$35:N$37,MATCH(Work_Codes!$I$93,$D$35:$D$37,0)))</f>
        <v>0</v>
      </c>
      <c r="O132" s="81">
        <f ca="1">O112*(INDEX(O$35:O$37,MATCH(Work_Codes!$I$93,$D$35:$D$37,0)))</f>
        <v>0</v>
      </c>
      <c r="P132" s="81">
        <f ca="1">P112*(INDEX(P$35:P$37,MATCH(Work_Codes!$I$93,$D$35:$D$37,0)))</f>
        <v>0</v>
      </c>
      <c r="Q132" s="81">
        <f ca="1">Q112*(INDEX(Q$35:Q$37,MATCH(Work_Codes!$I$93,$D$35:$D$37,0)))</f>
        <v>0</v>
      </c>
      <c r="R132" s="81">
        <f ca="1">R112*(INDEX(R$35:R$37,MATCH(Work_Codes!$I$93,$D$35:$D$37,0)))</f>
        <v>0</v>
      </c>
      <c r="S132" s="81">
        <f ca="1">S112*(INDEX(S$35:S$37,MATCH(Work_Codes!$I$93,$D$35:$D$37,0)))</f>
        <v>0</v>
      </c>
      <c r="T132" s="81">
        <f ca="1">T112*(INDEX(T$35:T$37,MATCH(Work_Codes!$I$93,$D$35:$D$37,0)))</f>
        <v>0</v>
      </c>
    </row>
    <row r="133" spans="4:20" outlineLevel="2">
      <c r="E133" s="247" t="str">
        <f>GC!C48</f>
        <v>Other - IT</v>
      </c>
      <c r="F133" s="247"/>
      <c r="G133" s="247"/>
      <c r="H133" s="247"/>
      <c r="I133" s="247"/>
      <c r="J133" s="81">
        <f ca="1">J113*(INDEX(J$35:J$37,MATCH(Work_Codes!$I$93,$D$35:$D$37,0)))</f>
        <v>0</v>
      </c>
      <c r="K133" s="81">
        <f ca="1">K113*(INDEX(K$35:K$37,MATCH(Work_Codes!$I$93,$D$35:$D$37,0)))</f>
        <v>0</v>
      </c>
      <c r="L133" s="81">
        <f ca="1">L113*(INDEX(L$35:L$37,MATCH(Work_Codes!$I$93,$D$35:$D$37,0)))</f>
        <v>0</v>
      </c>
      <c r="M133" s="81">
        <f ca="1">M113*(INDEX(M$35:M$37,MATCH(Work_Codes!$I$93,$D$35:$D$37,0)))</f>
        <v>0</v>
      </c>
      <c r="N133" s="81">
        <f ca="1">N113*(INDEX(N$35:N$37,MATCH(Work_Codes!$I$93,$D$35:$D$37,0)))</f>
        <v>0</v>
      </c>
      <c r="O133" s="81">
        <f ca="1">O113*(INDEX(O$35:O$37,MATCH(Work_Codes!$I$93,$D$35:$D$37,0)))</f>
        <v>0</v>
      </c>
      <c r="P133" s="81">
        <f ca="1">P113*(INDEX(P$35:P$37,MATCH(Work_Codes!$I$93,$D$35:$D$37,0)))</f>
        <v>0</v>
      </c>
      <c r="Q133" s="81">
        <f ca="1">Q113*(INDEX(Q$35:Q$37,MATCH(Work_Codes!$I$93,$D$35:$D$37,0)))</f>
        <v>0</v>
      </c>
      <c r="R133" s="81">
        <f ca="1">R113*(INDEX(R$35:R$37,MATCH(Work_Codes!$I$93,$D$35:$D$37,0)))</f>
        <v>0</v>
      </c>
      <c r="S133" s="81">
        <f ca="1">S113*(INDEX(S$35:S$37,MATCH(Work_Codes!$I$93,$D$35:$D$37,0)))</f>
        <v>0</v>
      </c>
      <c r="T133" s="81">
        <f ca="1">T113*(INDEX(T$35:T$37,MATCH(Work_Codes!$I$93,$D$35:$D$37,0)))</f>
        <v>0</v>
      </c>
    </row>
    <row r="134" spans="4:20" outlineLevel="2">
      <c r="E134" s="247" t="str">
        <f>GC!C49</f>
        <v>Other - non IT</v>
      </c>
      <c r="F134" s="247"/>
      <c r="G134" s="247"/>
      <c r="H134" s="247"/>
      <c r="I134" s="247"/>
      <c r="J134" s="81">
        <f ca="1">J114*(INDEX(J$35:J$37,MATCH(Work_Codes!$I$93,$D$35:$D$37,0)))</f>
        <v>0</v>
      </c>
      <c r="K134" s="81">
        <f ca="1">K114*(INDEX(K$35:K$37,MATCH(Work_Codes!$I$93,$D$35:$D$37,0)))</f>
        <v>0</v>
      </c>
      <c r="L134" s="81">
        <f ca="1">L114*(INDEX(L$35:L$37,MATCH(Work_Codes!$I$93,$D$35:$D$37,0)))</f>
        <v>0</v>
      </c>
      <c r="M134" s="81">
        <f ca="1">M114*(INDEX(M$35:M$37,MATCH(Work_Codes!$I$93,$D$35:$D$37,0)))</f>
        <v>0</v>
      </c>
      <c r="N134" s="81">
        <f ca="1">N114*(INDEX(N$35:N$37,MATCH(Work_Codes!$I$93,$D$35:$D$37,0)))</f>
        <v>0</v>
      </c>
      <c r="O134" s="81">
        <f ca="1">O114*(INDEX(O$35:O$37,MATCH(Work_Codes!$I$93,$D$35:$D$37,0)))</f>
        <v>0</v>
      </c>
      <c r="P134" s="81">
        <f ca="1">P114*(INDEX(P$35:P$37,MATCH(Work_Codes!$I$93,$D$35:$D$37,0)))</f>
        <v>0</v>
      </c>
      <c r="Q134" s="81">
        <f ca="1">Q114*(INDEX(Q$35:Q$37,MATCH(Work_Codes!$I$93,$D$35:$D$37,0)))</f>
        <v>0</v>
      </c>
      <c r="R134" s="81">
        <f ca="1">R114*(INDEX(R$35:R$37,MATCH(Work_Codes!$I$93,$D$35:$D$37,0)))</f>
        <v>0</v>
      </c>
      <c r="S134" s="81">
        <f ca="1">S114*(INDEX(S$35:S$37,MATCH(Work_Codes!$I$93,$D$35:$D$37,0)))</f>
        <v>0</v>
      </c>
      <c r="T134" s="81">
        <f ca="1">T114*(INDEX(T$35:T$37,MATCH(Work_Codes!$I$93,$D$35:$D$37,0)))</f>
        <v>0</v>
      </c>
    </row>
    <row r="135" spans="4:20" outlineLevel="2">
      <c r="E135" s="247" t="str">
        <f>GC!C50</f>
        <v>Land</v>
      </c>
      <c r="F135" s="247"/>
      <c r="G135" s="247"/>
      <c r="H135" s="247"/>
      <c r="I135" s="247"/>
      <c r="J135" s="81">
        <f ca="1">J115*(INDEX(J$35:J$37,MATCH(Work_Codes!$I$93,$D$35:$D$37,0)))</f>
        <v>0</v>
      </c>
      <c r="K135" s="81">
        <f ca="1">K115*(INDEX(K$35:K$37,MATCH(Work_Codes!$I$93,$D$35:$D$37,0)))</f>
        <v>0</v>
      </c>
      <c r="L135" s="81">
        <f ca="1">L115*(INDEX(L$35:L$37,MATCH(Work_Codes!$I$93,$D$35:$D$37,0)))</f>
        <v>0</v>
      </c>
      <c r="M135" s="81">
        <f ca="1">M115*(INDEX(M$35:M$37,MATCH(Work_Codes!$I$93,$D$35:$D$37,0)))</f>
        <v>0</v>
      </c>
      <c r="N135" s="81">
        <f ca="1">N115*(INDEX(N$35:N$37,MATCH(Work_Codes!$I$93,$D$35:$D$37,0)))</f>
        <v>0</v>
      </c>
      <c r="O135" s="81">
        <f ca="1">O115*(INDEX(O$35:O$37,MATCH(Work_Codes!$I$93,$D$35:$D$37,0)))</f>
        <v>0</v>
      </c>
      <c r="P135" s="81">
        <f ca="1">P115*(INDEX(P$35:P$37,MATCH(Work_Codes!$I$93,$D$35:$D$37,0)))</f>
        <v>0</v>
      </c>
      <c r="Q135" s="81">
        <f ca="1">Q115*(INDEX(Q$35:Q$37,MATCH(Work_Codes!$I$93,$D$35:$D$37,0)))</f>
        <v>0</v>
      </c>
      <c r="R135" s="81">
        <f ca="1">R115*(INDEX(R$35:R$37,MATCH(Work_Codes!$I$93,$D$35:$D$37,0)))</f>
        <v>0</v>
      </c>
      <c r="S135" s="81">
        <f ca="1">S115*(INDEX(S$35:S$37,MATCH(Work_Codes!$I$93,$D$35:$D$37,0)))</f>
        <v>0</v>
      </c>
      <c r="T135" s="81">
        <f ca="1">T115*(INDEX(T$35:T$37,MATCH(Work_Codes!$I$93,$D$35:$D$37,0)))</f>
        <v>0</v>
      </c>
    </row>
    <row r="136" spans="4:20" outlineLevel="2">
      <c r="E136" s="247" t="str">
        <f>GC!C51</f>
        <v>Capitalised Leases</v>
      </c>
      <c r="F136" s="247"/>
      <c r="G136" s="247"/>
      <c r="H136" s="247"/>
      <c r="I136" s="247"/>
      <c r="J136" s="81">
        <f ca="1">J116*(INDEX(J$35:J$37,MATCH(Work_Codes!$I$93,$D$35:$D$37,0)))</f>
        <v>0</v>
      </c>
      <c r="K136" s="81">
        <f ca="1">K116*(INDEX(K$35:K$37,MATCH(Work_Codes!$I$93,$D$35:$D$37,0)))</f>
        <v>0</v>
      </c>
      <c r="L136" s="81">
        <f ca="1">L116*(INDEX(L$35:L$37,MATCH(Work_Codes!$I$93,$D$35:$D$37,0)))</f>
        <v>0</v>
      </c>
      <c r="M136" s="81">
        <f ca="1">M116*(INDEX(M$35:M$37,MATCH(Work_Codes!$I$93,$D$35:$D$37,0)))</f>
        <v>0</v>
      </c>
      <c r="N136" s="81">
        <f ca="1">N116*(INDEX(N$35:N$37,MATCH(Work_Codes!$I$93,$D$35:$D$37,0)))</f>
        <v>0</v>
      </c>
      <c r="O136" s="81">
        <f ca="1">O116*(INDEX(O$35:O$37,MATCH(Work_Codes!$I$93,$D$35:$D$37,0)))</f>
        <v>0</v>
      </c>
      <c r="P136" s="81">
        <f ca="1">P116*(INDEX(P$35:P$37,MATCH(Work_Codes!$I$93,$D$35:$D$37,0)))</f>
        <v>0</v>
      </c>
      <c r="Q136" s="81">
        <f ca="1">Q116*(INDEX(Q$35:Q$37,MATCH(Work_Codes!$I$93,$D$35:$D$37,0)))</f>
        <v>0</v>
      </c>
      <c r="R136" s="81">
        <f ca="1">R116*(INDEX(R$35:R$37,MATCH(Work_Codes!$I$93,$D$35:$D$37,0)))</f>
        <v>0</v>
      </c>
      <c r="S136" s="81">
        <f ca="1">S116*(INDEX(S$35:S$37,MATCH(Work_Codes!$I$93,$D$35:$D$37,0)))</f>
        <v>0</v>
      </c>
      <c r="T136" s="81">
        <f ca="1">T116*(INDEX(T$35:T$37,MATCH(Work_Codes!$I$93,$D$35:$D$37,0)))</f>
        <v>0</v>
      </c>
    </row>
    <row r="137" spans="4:20" outlineLevel="2">
      <c r="E137" s="247" t="str">
        <f>GC!C52</f>
        <v>Transmission pipelines - post 1998</v>
      </c>
      <c r="F137" s="247"/>
      <c r="G137" s="247"/>
      <c r="H137" s="247"/>
      <c r="I137" s="247"/>
      <c r="J137" s="81">
        <f ca="1">J117*(INDEX(J$35:J$37,MATCH(Work_Codes!$I$93,$D$35:$D$37,0)))</f>
        <v>0</v>
      </c>
      <c r="K137" s="81">
        <f ca="1">K117*(INDEX(K$35:K$37,MATCH(Work_Codes!$I$93,$D$35:$D$37,0)))</f>
        <v>0</v>
      </c>
      <c r="L137" s="81">
        <f ca="1">L117*(INDEX(L$35:L$37,MATCH(Work_Codes!$I$93,$D$35:$D$37,0)))</f>
        <v>0</v>
      </c>
      <c r="M137" s="81">
        <f ca="1">M117*(INDEX(M$35:M$37,MATCH(Work_Codes!$I$93,$D$35:$D$37,0)))</f>
        <v>0</v>
      </c>
      <c r="N137" s="81">
        <f ca="1">N117*(INDEX(N$35:N$37,MATCH(Work_Codes!$I$93,$D$35:$D$37,0)))</f>
        <v>0</v>
      </c>
      <c r="O137" s="81">
        <f ca="1">O117*(INDEX(O$35:O$37,MATCH(Work_Codes!$I$93,$D$35:$D$37,0)))</f>
        <v>0</v>
      </c>
      <c r="P137" s="81">
        <f ca="1">P117*(INDEX(P$35:P$37,MATCH(Work_Codes!$I$93,$D$35:$D$37,0)))</f>
        <v>0</v>
      </c>
      <c r="Q137" s="81">
        <f ca="1">Q117*(INDEX(Q$35:Q$37,MATCH(Work_Codes!$I$93,$D$35:$D$37,0)))</f>
        <v>0</v>
      </c>
      <c r="R137" s="81">
        <f ca="1">R117*(INDEX(R$35:R$37,MATCH(Work_Codes!$I$93,$D$35:$D$37,0)))</f>
        <v>0</v>
      </c>
      <c r="S137" s="81">
        <f ca="1">S117*(INDEX(S$35:S$37,MATCH(Work_Codes!$I$93,$D$35:$D$37,0)))</f>
        <v>0</v>
      </c>
      <c r="T137" s="81">
        <f ca="1">T117*(INDEX(T$35:T$37,MATCH(Work_Codes!$I$93,$D$35:$D$37,0)))</f>
        <v>0</v>
      </c>
    </row>
    <row r="138" spans="4:20" outlineLevel="2">
      <c r="E138" s="247" t="str">
        <f>GC!C53</f>
        <v>Distribution pipelines - post 1998</v>
      </c>
      <c r="F138" s="247"/>
      <c r="G138" s="247"/>
      <c r="H138" s="247"/>
      <c r="I138" s="247"/>
      <c r="J138" s="81">
        <f ca="1">J118*(INDEX(J$35:J$37,MATCH(Work_Codes!$I$93,$D$35:$D$37,0)))</f>
        <v>0</v>
      </c>
      <c r="K138" s="81">
        <f ca="1">K118*(INDEX(K$35:K$37,MATCH(Work_Codes!$I$93,$D$35:$D$37,0)))</f>
        <v>0</v>
      </c>
      <c r="L138" s="81">
        <f ca="1">L118*(INDEX(L$35:L$37,MATCH(Work_Codes!$I$93,$D$35:$D$37,0)))</f>
        <v>0</v>
      </c>
      <c r="M138" s="81">
        <f ca="1">M118*(INDEX(M$35:M$37,MATCH(Work_Codes!$I$93,$D$35:$D$37,0)))</f>
        <v>0</v>
      </c>
      <c r="N138" s="81">
        <f ca="1">N118*(INDEX(N$35:N$37,MATCH(Work_Codes!$I$93,$D$35:$D$37,0)))</f>
        <v>0</v>
      </c>
      <c r="O138" s="81">
        <f ca="1">O118*(INDEX(O$35:O$37,MATCH(Work_Codes!$I$93,$D$35:$D$37,0)))</f>
        <v>0</v>
      </c>
      <c r="P138" s="81">
        <f ca="1">P118*(INDEX(P$35:P$37,MATCH(Work_Codes!$I$93,$D$35:$D$37,0)))</f>
        <v>27165.062006803662</v>
      </c>
      <c r="Q138" s="81">
        <f ca="1">Q118*(INDEX(Q$35:Q$37,MATCH(Work_Codes!$I$93,$D$35:$D$37,0)))</f>
        <v>26470.65475289433</v>
      </c>
      <c r="R138" s="81">
        <f ca="1">R118*(INDEX(R$35:R$37,MATCH(Work_Codes!$I$93,$D$35:$D$37,0)))</f>
        <v>27308.085108430743</v>
      </c>
      <c r="S138" s="81">
        <f ca="1">S118*(INDEX(S$35:S$37,MATCH(Work_Codes!$I$93,$D$35:$D$37,0)))</f>
        <v>29021.479571217693</v>
      </c>
      <c r="T138" s="81">
        <f ca="1">T118*(INDEX(T$35:T$37,MATCH(Work_Codes!$I$93,$D$35:$D$37,0)))</f>
        <v>30432.475843812485</v>
      </c>
    </row>
    <row r="139" spans="4:20" outlineLevel="2">
      <c r="E139" s="247" t="str">
        <f>GC!C54</f>
        <v>Service pipes - post 1998</v>
      </c>
      <c r="F139" s="247"/>
      <c r="G139" s="247"/>
      <c r="H139" s="247"/>
      <c r="I139" s="247"/>
      <c r="J139" s="81">
        <f ca="1">J119*(INDEX(J$35:J$37,MATCH(Work_Codes!$I$93,$D$35:$D$37,0)))</f>
        <v>0</v>
      </c>
      <c r="K139" s="81">
        <f ca="1">K119*(INDEX(K$35:K$37,MATCH(Work_Codes!$I$93,$D$35:$D$37,0)))</f>
        <v>0</v>
      </c>
      <c r="L139" s="81">
        <f ca="1">L119*(INDEX(L$35:L$37,MATCH(Work_Codes!$I$93,$D$35:$D$37,0)))</f>
        <v>0</v>
      </c>
      <c r="M139" s="81">
        <f ca="1">M119*(INDEX(M$35:M$37,MATCH(Work_Codes!$I$93,$D$35:$D$37,0)))</f>
        <v>0</v>
      </c>
      <c r="N139" s="81">
        <f ca="1">N119*(INDEX(N$35:N$37,MATCH(Work_Codes!$I$93,$D$35:$D$37,0)))</f>
        <v>0</v>
      </c>
      <c r="O139" s="81">
        <f ca="1">O119*(INDEX(O$35:O$37,MATCH(Work_Codes!$I$93,$D$35:$D$37,0)))</f>
        <v>0</v>
      </c>
      <c r="P139" s="81">
        <f ca="1">P119*(INDEX(P$35:P$37,MATCH(Work_Codes!$I$93,$D$35:$D$37,0)))</f>
        <v>27165.062006803662</v>
      </c>
      <c r="Q139" s="81">
        <f ca="1">Q119*(INDEX(Q$35:Q$37,MATCH(Work_Codes!$I$93,$D$35:$D$37,0)))</f>
        <v>26470.65475289433</v>
      </c>
      <c r="R139" s="81">
        <f ca="1">R119*(INDEX(R$35:R$37,MATCH(Work_Codes!$I$93,$D$35:$D$37,0)))</f>
        <v>27308.085108430743</v>
      </c>
      <c r="S139" s="81">
        <f ca="1">S119*(INDEX(S$35:S$37,MATCH(Work_Codes!$I$93,$D$35:$D$37,0)))</f>
        <v>29021.479571217693</v>
      </c>
      <c r="T139" s="81">
        <f ca="1">T119*(INDEX(T$35:T$37,MATCH(Work_Codes!$I$93,$D$35:$D$37,0)))</f>
        <v>30432.475843812485</v>
      </c>
    </row>
    <row r="140" spans="4:20" outlineLevel="2">
      <c r="E140" s="247" t="str">
        <f>GC!C55</f>
        <v>Cathodic protection - post 1998</v>
      </c>
      <c r="F140" s="247"/>
      <c r="G140" s="247"/>
      <c r="H140" s="247"/>
      <c r="I140" s="247"/>
      <c r="J140" s="81">
        <f ca="1">J120*(INDEX(J$35:J$37,MATCH(Work_Codes!$I$93,$D$35:$D$37,0)))</f>
        <v>0</v>
      </c>
      <c r="K140" s="81">
        <f ca="1">K120*(INDEX(K$35:K$37,MATCH(Work_Codes!$I$93,$D$35:$D$37,0)))</f>
        <v>0</v>
      </c>
      <c r="L140" s="81">
        <f ca="1">L120*(INDEX(L$35:L$37,MATCH(Work_Codes!$I$93,$D$35:$D$37,0)))</f>
        <v>0</v>
      </c>
      <c r="M140" s="81">
        <f ca="1">M120*(INDEX(M$35:M$37,MATCH(Work_Codes!$I$93,$D$35:$D$37,0)))</f>
        <v>0</v>
      </c>
      <c r="N140" s="81">
        <f ca="1">N120*(INDEX(N$35:N$37,MATCH(Work_Codes!$I$93,$D$35:$D$37,0)))</f>
        <v>0</v>
      </c>
      <c r="O140" s="81">
        <f ca="1">O120*(INDEX(O$35:O$37,MATCH(Work_Codes!$I$93,$D$35:$D$37,0)))</f>
        <v>0</v>
      </c>
      <c r="P140" s="81">
        <f ca="1">P120*(INDEX(P$35:P$37,MATCH(Work_Codes!$I$93,$D$35:$D$37,0)))</f>
        <v>0</v>
      </c>
      <c r="Q140" s="81">
        <f ca="1">Q120*(INDEX(Q$35:Q$37,MATCH(Work_Codes!$I$93,$D$35:$D$37,0)))</f>
        <v>0</v>
      </c>
      <c r="R140" s="81">
        <f ca="1">R120*(INDEX(R$35:R$37,MATCH(Work_Codes!$I$93,$D$35:$D$37,0)))</f>
        <v>0</v>
      </c>
      <c r="S140" s="81">
        <f ca="1">S120*(INDEX(S$35:S$37,MATCH(Work_Codes!$I$93,$D$35:$D$37,0)))</f>
        <v>0</v>
      </c>
      <c r="T140" s="81">
        <f ca="1">T120*(INDEX(T$35:T$37,MATCH(Work_Codes!$I$93,$D$35:$D$37,0)))</f>
        <v>0</v>
      </c>
    </row>
    <row r="141" spans="4:20" outlineLevel="2">
      <c r="E141" s="249" t="str">
        <f>"Total "&amp;D123</f>
        <v>Total Overheads</v>
      </c>
      <c r="F141" s="249"/>
      <c r="G141" s="249"/>
      <c r="H141" s="249"/>
      <c r="I141" s="249"/>
      <c r="J141" s="82">
        <f t="shared" ref="J141:T141" ca="1" si="17">SUM(J125:J140)</f>
        <v>0</v>
      </c>
      <c r="K141" s="82">
        <f t="shared" ca="1" si="17"/>
        <v>0</v>
      </c>
      <c r="L141" s="82">
        <f t="shared" ca="1" si="17"/>
        <v>0</v>
      </c>
      <c r="M141" s="82">
        <f t="shared" ca="1" si="17"/>
        <v>0</v>
      </c>
      <c r="N141" s="82">
        <f t="shared" ca="1" si="17"/>
        <v>0</v>
      </c>
      <c r="O141" s="82">
        <f t="shared" ca="1" si="17"/>
        <v>0</v>
      </c>
      <c r="P141" s="82">
        <f t="shared" ca="1" si="17"/>
        <v>54330.124013607325</v>
      </c>
      <c r="Q141" s="82">
        <f t="shared" ca="1" si="17"/>
        <v>52941.30950578866</v>
      </c>
      <c r="R141" s="82">
        <f t="shared" ca="1" si="17"/>
        <v>54616.170216861487</v>
      </c>
      <c r="S141" s="82">
        <f t="shared" ca="1" si="17"/>
        <v>58042.959142435386</v>
      </c>
      <c r="T141" s="82">
        <f t="shared" ca="1" si="17"/>
        <v>60864.951687624969</v>
      </c>
    </row>
    <row r="142" spans="4:20" outlineLevel="2"/>
    <row r="143" spans="4:20" outlineLevel="2">
      <c r="D143" s="37" t="s">
        <v>216</v>
      </c>
    </row>
    <row r="144" spans="4:20" ht="5.9" customHeight="1" outlineLevel="2"/>
    <row r="145" spans="5:20" ht="11.5" customHeight="1" outlineLevel="2">
      <c r="E145" s="247" t="str">
        <f>GC!C40</f>
        <v>Transmission pipelines</v>
      </c>
      <c r="F145" s="247"/>
      <c r="G145" s="247"/>
      <c r="H145" s="247"/>
      <c r="I145" s="247"/>
      <c r="J145" s="81">
        <f ca="1">J105*(1+INDEX(J$35:J$37,MATCH(Work_Codes!$I$93,$D$35:$D$37,0)))</f>
        <v>0</v>
      </c>
      <c r="K145" s="81">
        <f ca="1">K105*(1+INDEX(K$35:K$37,MATCH(Work_Codes!$I$93,$D$35:$D$37,0)))</f>
        <v>0</v>
      </c>
      <c r="L145" s="81">
        <f ca="1">L105*(1+INDEX(L$35:L$37,MATCH(Work_Codes!$I$93,$D$35:$D$37,0)))</f>
        <v>0</v>
      </c>
      <c r="M145" s="81">
        <f ca="1">M105*(1+INDEX(M$35:M$37,MATCH(Work_Codes!$I$93,$D$35:$D$37,0)))</f>
        <v>0</v>
      </c>
      <c r="N145" s="81">
        <f ca="1">N105*(1+INDEX(N$35:N$37,MATCH(Work_Codes!$I$93,$D$35:$D$37,0)))</f>
        <v>0</v>
      </c>
      <c r="O145" s="81">
        <f ca="1">O105*(1+INDEX(O$35:O$37,MATCH(Work_Codes!$I$93,$D$35:$D$37,0)))</f>
        <v>0</v>
      </c>
      <c r="P145" s="81">
        <f ca="1">P105*(1+INDEX(P$35:P$37,MATCH(Work_Codes!$I$93,$D$35:$D$37,0)))</f>
        <v>0</v>
      </c>
      <c r="Q145" s="81">
        <f ca="1">Q105*(1+INDEX(Q$35:Q$37,MATCH(Work_Codes!$I$93,$D$35:$D$37,0)))</f>
        <v>0</v>
      </c>
      <c r="R145" s="81">
        <f ca="1">R105*(1+INDEX(R$35:R$37,MATCH(Work_Codes!$I$93,$D$35:$D$37,0)))</f>
        <v>0</v>
      </c>
      <c r="S145" s="81">
        <f ca="1">S105*(1+INDEX(S$35:S$37,MATCH(Work_Codes!$I$93,$D$35:$D$37,0)))</f>
        <v>0</v>
      </c>
      <c r="T145" s="81">
        <f ca="1">T105*(1+INDEX(T$35:T$37,MATCH(Work_Codes!$I$93,$D$35:$D$37,0)))</f>
        <v>0</v>
      </c>
    </row>
    <row r="146" spans="5:20" ht="11.5" customHeight="1" outlineLevel="2">
      <c r="E146" s="247" t="str">
        <f>GC!C41</f>
        <v>Distribution pipelines</v>
      </c>
      <c r="F146" s="247"/>
      <c r="G146" s="247"/>
      <c r="H146" s="247"/>
      <c r="I146" s="247"/>
      <c r="J146" s="81">
        <f ca="1">J106*(1+INDEX(J$35:J$37,MATCH(Work_Codes!$I$93,$D$35:$D$37,0)))</f>
        <v>0</v>
      </c>
      <c r="K146" s="81">
        <f ca="1">K106*(1+INDEX(K$35:K$37,MATCH(Work_Codes!$I$93,$D$35:$D$37,0)))</f>
        <v>0</v>
      </c>
      <c r="L146" s="81">
        <f ca="1">L106*(1+INDEX(L$35:L$37,MATCH(Work_Codes!$I$93,$D$35:$D$37,0)))</f>
        <v>0</v>
      </c>
      <c r="M146" s="81">
        <f ca="1">M106*(1+INDEX(M$35:M$37,MATCH(Work_Codes!$I$93,$D$35:$D$37,0)))</f>
        <v>0</v>
      </c>
      <c r="N146" s="81">
        <f ca="1">N106*(1+INDEX(N$35:N$37,MATCH(Work_Codes!$I$93,$D$35:$D$37,0)))</f>
        <v>0</v>
      </c>
      <c r="O146" s="81">
        <f ca="1">O106*(1+INDEX(O$35:O$37,MATCH(Work_Codes!$I$93,$D$35:$D$37,0)))</f>
        <v>0</v>
      </c>
      <c r="P146" s="81">
        <f ca="1">P106*(1+INDEX(P$35:P$37,MATCH(Work_Codes!$I$93,$D$35:$D$37,0)))</f>
        <v>0</v>
      </c>
      <c r="Q146" s="81">
        <f ca="1">Q106*(1+INDEX(Q$35:Q$37,MATCH(Work_Codes!$I$93,$D$35:$D$37,0)))</f>
        <v>0</v>
      </c>
      <c r="R146" s="81">
        <f ca="1">R106*(1+INDEX(R$35:R$37,MATCH(Work_Codes!$I$93,$D$35:$D$37,0)))</f>
        <v>0</v>
      </c>
      <c r="S146" s="81">
        <f ca="1">S106*(1+INDEX(S$35:S$37,MATCH(Work_Codes!$I$93,$D$35:$D$37,0)))</f>
        <v>0</v>
      </c>
      <c r="T146" s="81">
        <f ca="1">T106*(1+INDEX(T$35:T$37,MATCH(Work_Codes!$I$93,$D$35:$D$37,0)))</f>
        <v>0</v>
      </c>
    </row>
    <row r="147" spans="5:20" ht="11.5" customHeight="1" outlineLevel="2">
      <c r="E147" s="247" t="str">
        <f>GC!C42</f>
        <v>Service pipes</v>
      </c>
      <c r="F147" s="247"/>
      <c r="G147" s="247"/>
      <c r="H147" s="247"/>
      <c r="I147" s="247"/>
      <c r="J147" s="81">
        <f ca="1">J107*(1+INDEX(J$35:J$37,MATCH(Work_Codes!$I$93,$D$35:$D$37,0)))</f>
        <v>0</v>
      </c>
      <c r="K147" s="81">
        <f ca="1">K107*(1+INDEX(K$35:K$37,MATCH(Work_Codes!$I$93,$D$35:$D$37,0)))</f>
        <v>0</v>
      </c>
      <c r="L147" s="81">
        <f ca="1">L107*(1+INDEX(L$35:L$37,MATCH(Work_Codes!$I$93,$D$35:$D$37,0)))</f>
        <v>0</v>
      </c>
      <c r="M147" s="81">
        <f ca="1">M107*(1+INDEX(M$35:M$37,MATCH(Work_Codes!$I$93,$D$35:$D$37,0)))</f>
        <v>0</v>
      </c>
      <c r="N147" s="81">
        <f ca="1">N107*(1+INDEX(N$35:N$37,MATCH(Work_Codes!$I$93,$D$35:$D$37,0)))</f>
        <v>0</v>
      </c>
      <c r="O147" s="81">
        <f ca="1">O107*(1+INDEX(O$35:O$37,MATCH(Work_Codes!$I$93,$D$35:$D$37,0)))</f>
        <v>0</v>
      </c>
      <c r="P147" s="81">
        <f ca="1">P107*(1+INDEX(P$35:P$37,MATCH(Work_Codes!$I$93,$D$35:$D$37,0)))</f>
        <v>0</v>
      </c>
      <c r="Q147" s="81">
        <f ca="1">Q107*(1+INDEX(Q$35:Q$37,MATCH(Work_Codes!$I$93,$D$35:$D$37,0)))</f>
        <v>0</v>
      </c>
      <c r="R147" s="81">
        <f ca="1">R107*(1+INDEX(R$35:R$37,MATCH(Work_Codes!$I$93,$D$35:$D$37,0)))</f>
        <v>0</v>
      </c>
      <c r="S147" s="81">
        <f ca="1">S107*(1+INDEX(S$35:S$37,MATCH(Work_Codes!$I$93,$D$35:$D$37,0)))</f>
        <v>0</v>
      </c>
      <c r="T147" s="81">
        <f ca="1">T107*(1+INDEX(T$35:T$37,MATCH(Work_Codes!$I$93,$D$35:$D$37,0)))</f>
        <v>0</v>
      </c>
    </row>
    <row r="148" spans="5:20" ht="11.5" customHeight="1" outlineLevel="2">
      <c r="E148" s="247" t="str">
        <f>GC!C43</f>
        <v>Cathodic protection</v>
      </c>
      <c r="F148" s="247"/>
      <c r="G148" s="247"/>
      <c r="H148" s="247"/>
      <c r="I148" s="247"/>
      <c r="J148" s="81">
        <f ca="1">J108*(1+INDEX(J$35:J$37,MATCH(Work_Codes!$I$93,$D$35:$D$37,0)))</f>
        <v>0</v>
      </c>
      <c r="K148" s="81">
        <f ca="1">K108*(1+INDEX(K$35:K$37,MATCH(Work_Codes!$I$93,$D$35:$D$37,0)))</f>
        <v>0</v>
      </c>
      <c r="L148" s="81">
        <f ca="1">L108*(1+INDEX(L$35:L$37,MATCH(Work_Codes!$I$93,$D$35:$D$37,0)))</f>
        <v>0</v>
      </c>
      <c r="M148" s="81">
        <f ca="1">M108*(1+INDEX(M$35:M$37,MATCH(Work_Codes!$I$93,$D$35:$D$37,0)))</f>
        <v>0</v>
      </c>
      <c r="N148" s="81">
        <f ca="1">N108*(1+INDEX(N$35:N$37,MATCH(Work_Codes!$I$93,$D$35:$D$37,0)))</f>
        <v>0</v>
      </c>
      <c r="O148" s="81">
        <f ca="1">O108*(1+INDEX(O$35:O$37,MATCH(Work_Codes!$I$93,$D$35:$D$37,0)))</f>
        <v>0</v>
      </c>
      <c r="P148" s="81">
        <f ca="1">P108*(1+INDEX(P$35:P$37,MATCH(Work_Codes!$I$93,$D$35:$D$37,0)))</f>
        <v>0</v>
      </c>
      <c r="Q148" s="81">
        <f ca="1">Q108*(1+INDEX(Q$35:Q$37,MATCH(Work_Codes!$I$93,$D$35:$D$37,0)))</f>
        <v>0</v>
      </c>
      <c r="R148" s="81">
        <f ca="1">R108*(1+INDEX(R$35:R$37,MATCH(Work_Codes!$I$93,$D$35:$D$37,0)))</f>
        <v>0</v>
      </c>
      <c r="S148" s="81">
        <f ca="1">S108*(1+INDEX(S$35:S$37,MATCH(Work_Codes!$I$93,$D$35:$D$37,0)))</f>
        <v>0</v>
      </c>
      <c r="T148" s="81">
        <f ca="1">T108*(1+INDEX(T$35:T$37,MATCH(Work_Codes!$I$93,$D$35:$D$37,0)))</f>
        <v>0</v>
      </c>
    </row>
    <row r="149" spans="5:20" ht="11.5" customHeight="1" outlineLevel="2">
      <c r="E149" s="247" t="str">
        <f>GC!C44</f>
        <v>Supply Regulators / Valve Stations</v>
      </c>
      <c r="F149" s="247"/>
      <c r="G149" s="247"/>
      <c r="H149" s="247"/>
      <c r="I149" s="247"/>
      <c r="J149" s="81">
        <f ca="1">J109*(1+INDEX(J$35:J$37,MATCH(Work_Codes!$I$93,$D$35:$D$37,0)))</f>
        <v>0</v>
      </c>
      <c r="K149" s="81">
        <f ca="1">K109*(1+INDEX(K$35:K$37,MATCH(Work_Codes!$I$93,$D$35:$D$37,0)))</f>
        <v>0</v>
      </c>
      <c r="L149" s="81">
        <f ca="1">L109*(1+INDEX(L$35:L$37,MATCH(Work_Codes!$I$93,$D$35:$D$37,0)))</f>
        <v>0</v>
      </c>
      <c r="M149" s="81">
        <f ca="1">M109*(1+INDEX(M$35:M$37,MATCH(Work_Codes!$I$93,$D$35:$D$37,0)))</f>
        <v>0</v>
      </c>
      <c r="N149" s="81">
        <f ca="1">N109*(1+INDEX(N$35:N$37,MATCH(Work_Codes!$I$93,$D$35:$D$37,0)))</f>
        <v>0</v>
      </c>
      <c r="O149" s="81">
        <f ca="1">O109*(1+INDEX(O$35:O$37,MATCH(Work_Codes!$I$93,$D$35:$D$37,0)))</f>
        <v>0</v>
      </c>
      <c r="P149" s="81">
        <f ca="1">P109*(1+INDEX(P$35:P$37,MATCH(Work_Codes!$I$93,$D$35:$D$37,0)))</f>
        <v>0</v>
      </c>
      <c r="Q149" s="81">
        <f ca="1">Q109*(1+INDEX(Q$35:Q$37,MATCH(Work_Codes!$I$93,$D$35:$D$37,0)))</f>
        <v>0</v>
      </c>
      <c r="R149" s="81">
        <f ca="1">R109*(1+INDEX(R$35:R$37,MATCH(Work_Codes!$I$93,$D$35:$D$37,0)))</f>
        <v>0</v>
      </c>
      <c r="S149" s="81">
        <f ca="1">S109*(1+INDEX(S$35:S$37,MATCH(Work_Codes!$I$93,$D$35:$D$37,0)))</f>
        <v>0</v>
      </c>
      <c r="T149" s="81">
        <f ca="1">T109*(1+INDEX(T$35:T$37,MATCH(Work_Codes!$I$93,$D$35:$D$37,0)))</f>
        <v>0</v>
      </c>
    </row>
    <row r="150" spans="5:20" ht="11.5" customHeight="1" outlineLevel="2">
      <c r="E150" s="247" t="str">
        <f>GC!C45</f>
        <v>Meters</v>
      </c>
      <c r="F150" s="247"/>
      <c r="G150" s="247"/>
      <c r="H150" s="247"/>
      <c r="I150" s="247"/>
      <c r="J150" s="81">
        <f ca="1">J110*(1+INDEX(J$35:J$37,MATCH(Work_Codes!$I$93,$D$35:$D$37,0)))</f>
        <v>0</v>
      </c>
      <c r="K150" s="81">
        <f ca="1">K110*(1+INDEX(K$35:K$37,MATCH(Work_Codes!$I$93,$D$35:$D$37,0)))</f>
        <v>0</v>
      </c>
      <c r="L150" s="81">
        <f ca="1">L110*(1+INDEX(L$35:L$37,MATCH(Work_Codes!$I$93,$D$35:$D$37,0)))</f>
        <v>0</v>
      </c>
      <c r="M150" s="81">
        <f ca="1">M110*(1+INDEX(M$35:M$37,MATCH(Work_Codes!$I$93,$D$35:$D$37,0)))</f>
        <v>0</v>
      </c>
      <c r="N150" s="81">
        <f ca="1">N110*(1+INDEX(N$35:N$37,MATCH(Work_Codes!$I$93,$D$35:$D$37,0)))</f>
        <v>0</v>
      </c>
      <c r="O150" s="81">
        <f ca="1">O110*(1+INDEX(O$35:O$37,MATCH(Work_Codes!$I$93,$D$35:$D$37,0)))</f>
        <v>0</v>
      </c>
      <c r="P150" s="81">
        <f ca="1">P110*(1+INDEX(P$35:P$37,MATCH(Work_Codes!$I$93,$D$35:$D$37,0)))</f>
        <v>0</v>
      </c>
      <c r="Q150" s="81">
        <f ca="1">Q110*(1+INDEX(Q$35:Q$37,MATCH(Work_Codes!$I$93,$D$35:$D$37,0)))</f>
        <v>0</v>
      </c>
      <c r="R150" s="81">
        <f ca="1">R110*(1+INDEX(R$35:R$37,MATCH(Work_Codes!$I$93,$D$35:$D$37,0)))</f>
        <v>0</v>
      </c>
      <c r="S150" s="81">
        <f ca="1">S110*(1+INDEX(S$35:S$37,MATCH(Work_Codes!$I$93,$D$35:$D$37,0)))</f>
        <v>0</v>
      </c>
      <c r="T150" s="81">
        <f ca="1">T110*(1+INDEX(T$35:T$37,MATCH(Work_Codes!$I$93,$D$35:$D$37,0)))</f>
        <v>0</v>
      </c>
    </row>
    <row r="151" spans="5:20" ht="11.5" customHeight="1" outlineLevel="2">
      <c r="E151" s="247" t="str">
        <f>GC!C46</f>
        <v>SCADA and remote control</v>
      </c>
      <c r="F151" s="247"/>
      <c r="G151" s="247"/>
      <c r="H151" s="247"/>
      <c r="I151" s="247"/>
      <c r="J151" s="81">
        <f ca="1">J111*(1+INDEX(J$35:J$37,MATCH(Work_Codes!$I$93,$D$35:$D$37,0)))</f>
        <v>0</v>
      </c>
      <c r="K151" s="81">
        <f ca="1">K111*(1+INDEX(K$35:K$37,MATCH(Work_Codes!$I$93,$D$35:$D$37,0)))</f>
        <v>0</v>
      </c>
      <c r="L151" s="81">
        <f ca="1">L111*(1+INDEX(L$35:L$37,MATCH(Work_Codes!$I$93,$D$35:$D$37,0)))</f>
        <v>0</v>
      </c>
      <c r="M151" s="81">
        <f ca="1">M111*(1+INDEX(M$35:M$37,MATCH(Work_Codes!$I$93,$D$35:$D$37,0)))</f>
        <v>0</v>
      </c>
      <c r="N151" s="81">
        <f ca="1">N111*(1+INDEX(N$35:N$37,MATCH(Work_Codes!$I$93,$D$35:$D$37,0)))</f>
        <v>0</v>
      </c>
      <c r="O151" s="81">
        <f ca="1">O111*(1+INDEX(O$35:O$37,MATCH(Work_Codes!$I$93,$D$35:$D$37,0)))</f>
        <v>0</v>
      </c>
      <c r="P151" s="81">
        <f ca="1">P111*(1+INDEX(P$35:P$37,MATCH(Work_Codes!$I$93,$D$35:$D$37,0)))</f>
        <v>0</v>
      </c>
      <c r="Q151" s="81">
        <f ca="1">Q111*(1+INDEX(Q$35:Q$37,MATCH(Work_Codes!$I$93,$D$35:$D$37,0)))</f>
        <v>0</v>
      </c>
      <c r="R151" s="81">
        <f ca="1">R111*(1+INDEX(R$35:R$37,MATCH(Work_Codes!$I$93,$D$35:$D$37,0)))</f>
        <v>0</v>
      </c>
      <c r="S151" s="81">
        <f ca="1">S111*(1+INDEX(S$35:S$37,MATCH(Work_Codes!$I$93,$D$35:$D$37,0)))</f>
        <v>0</v>
      </c>
      <c r="T151" s="81">
        <f ca="1">T111*(1+INDEX(T$35:T$37,MATCH(Work_Codes!$I$93,$D$35:$D$37,0)))</f>
        <v>0</v>
      </c>
    </row>
    <row r="152" spans="5:20" ht="11.5" customHeight="1" outlineLevel="2">
      <c r="E152" s="247" t="str">
        <f>GC!C47</f>
        <v>Buildings</v>
      </c>
      <c r="F152" s="247"/>
      <c r="G152" s="247"/>
      <c r="H152" s="247"/>
      <c r="I152" s="247"/>
      <c r="J152" s="81">
        <f ca="1">J112*(1+INDEX(J$35:J$37,MATCH(Work_Codes!$I$93,$D$35:$D$37,0)))</f>
        <v>0</v>
      </c>
      <c r="K152" s="81">
        <f ca="1">K112*(1+INDEX(K$35:K$37,MATCH(Work_Codes!$I$93,$D$35:$D$37,0)))</f>
        <v>0</v>
      </c>
      <c r="L152" s="81">
        <f ca="1">L112*(1+INDEX(L$35:L$37,MATCH(Work_Codes!$I$93,$D$35:$D$37,0)))</f>
        <v>0</v>
      </c>
      <c r="M152" s="81">
        <f ca="1">M112*(1+INDEX(M$35:M$37,MATCH(Work_Codes!$I$93,$D$35:$D$37,0)))</f>
        <v>0</v>
      </c>
      <c r="N152" s="81">
        <f ca="1">N112*(1+INDEX(N$35:N$37,MATCH(Work_Codes!$I$93,$D$35:$D$37,0)))</f>
        <v>0</v>
      </c>
      <c r="O152" s="81">
        <f ca="1">O112*(1+INDEX(O$35:O$37,MATCH(Work_Codes!$I$93,$D$35:$D$37,0)))</f>
        <v>0</v>
      </c>
      <c r="P152" s="81">
        <f ca="1">P112*(1+INDEX(P$35:P$37,MATCH(Work_Codes!$I$93,$D$35:$D$37,0)))</f>
        <v>0</v>
      </c>
      <c r="Q152" s="81">
        <f ca="1">Q112*(1+INDEX(Q$35:Q$37,MATCH(Work_Codes!$I$93,$D$35:$D$37,0)))</f>
        <v>0</v>
      </c>
      <c r="R152" s="81">
        <f ca="1">R112*(1+INDEX(R$35:R$37,MATCH(Work_Codes!$I$93,$D$35:$D$37,0)))</f>
        <v>0</v>
      </c>
      <c r="S152" s="81">
        <f ca="1">S112*(1+INDEX(S$35:S$37,MATCH(Work_Codes!$I$93,$D$35:$D$37,0)))</f>
        <v>0</v>
      </c>
      <c r="T152" s="81">
        <f ca="1">T112*(1+INDEX(T$35:T$37,MATCH(Work_Codes!$I$93,$D$35:$D$37,0)))</f>
        <v>0</v>
      </c>
    </row>
    <row r="153" spans="5:20" ht="11.5" customHeight="1" outlineLevel="2">
      <c r="E153" s="247" t="str">
        <f>GC!C48</f>
        <v>Other - IT</v>
      </c>
      <c r="F153" s="247"/>
      <c r="G153" s="247"/>
      <c r="H153" s="247"/>
      <c r="I153" s="247"/>
      <c r="J153" s="81">
        <f ca="1">J113*(1+INDEX(J$35:J$37,MATCH(Work_Codes!$I$93,$D$35:$D$37,0)))</f>
        <v>0</v>
      </c>
      <c r="K153" s="81">
        <f ca="1">K113*(1+INDEX(K$35:K$37,MATCH(Work_Codes!$I$93,$D$35:$D$37,0)))</f>
        <v>0</v>
      </c>
      <c r="L153" s="81">
        <f ca="1">L113*(1+INDEX(L$35:L$37,MATCH(Work_Codes!$I$93,$D$35:$D$37,0)))</f>
        <v>0</v>
      </c>
      <c r="M153" s="81">
        <f ca="1">M113*(1+INDEX(M$35:M$37,MATCH(Work_Codes!$I$93,$D$35:$D$37,0)))</f>
        <v>0</v>
      </c>
      <c r="N153" s="81">
        <f ca="1">N113*(1+INDEX(N$35:N$37,MATCH(Work_Codes!$I$93,$D$35:$D$37,0)))</f>
        <v>0</v>
      </c>
      <c r="O153" s="81">
        <f ca="1">O113*(1+INDEX(O$35:O$37,MATCH(Work_Codes!$I$93,$D$35:$D$37,0)))</f>
        <v>0</v>
      </c>
      <c r="P153" s="81">
        <f ca="1">P113*(1+INDEX(P$35:P$37,MATCH(Work_Codes!$I$93,$D$35:$D$37,0)))</f>
        <v>0</v>
      </c>
      <c r="Q153" s="81">
        <f ca="1">Q113*(1+INDEX(Q$35:Q$37,MATCH(Work_Codes!$I$93,$D$35:$D$37,0)))</f>
        <v>0</v>
      </c>
      <c r="R153" s="81">
        <f ca="1">R113*(1+INDEX(R$35:R$37,MATCH(Work_Codes!$I$93,$D$35:$D$37,0)))</f>
        <v>0</v>
      </c>
      <c r="S153" s="81">
        <f ca="1">S113*(1+INDEX(S$35:S$37,MATCH(Work_Codes!$I$93,$D$35:$D$37,0)))</f>
        <v>0</v>
      </c>
      <c r="T153" s="81">
        <f ca="1">T113*(1+INDEX(T$35:T$37,MATCH(Work_Codes!$I$93,$D$35:$D$37,0)))</f>
        <v>0</v>
      </c>
    </row>
    <row r="154" spans="5:20" ht="11.5" customHeight="1" outlineLevel="2">
      <c r="E154" s="247" t="str">
        <f>GC!C49</f>
        <v>Other - non IT</v>
      </c>
      <c r="F154" s="247"/>
      <c r="G154" s="247"/>
      <c r="H154" s="247"/>
      <c r="I154" s="247"/>
      <c r="J154" s="81">
        <f ca="1">J114*(1+INDEX(J$35:J$37,MATCH(Work_Codes!$I$93,$D$35:$D$37,0)))</f>
        <v>0</v>
      </c>
      <c r="K154" s="81">
        <f ca="1">K114*(1+INDEX(K$35:K$37,MATCH(Work_Codes!$I$93,$D$35:$D$37,0)))</f>
        <v>0</v>
      </c>
      <c r="L154" s="81">
        <f ca="1">L114*(1+INDEX(L$35:L$37,MATCH(Work_Codes!$I$93,$D$35:$D$37,0)))</f>
        <v>0</v>
      </c>
      <c r="M154" s="81">
        <f ca="1">M114*(1+INDEX(M$35:M$37,MATCH(Work_Codes!$I$93,$D$35:$D$37,0)))</f>
        <v>0</v>
      </c>
      <c r="N154" s="81">
        <f ca="1">N114*(1+INDEX(N$35:N$37,MATCH(Work_Codes!$I$93,$D$35:$D$37,0)))</f>
        <v>0</v>
      </c>
      <c r="O154" s="81">
        <f ca="1">O114*(1+INDEX(O$35:O$37,MATCH(Work_Codes!$I$93,$D$35:$D$37,0)))</f>
        <v>0</v>
      </c>
      <c r="P154" s="81">
        <f ca="1">P114*(1+INDEX(P$35:P$37,MATCH(Work_Codes!$I$93,$D$35:$D$37,0)))</f>
        <v>0</v>
      </c>
      <c r="Q154" s="81">
        <f ca="1">Q114*(1+INDEX(Q$35:Q$37,MATCH(Work_Codes!$I$93,$D$35:$D$37,0)))</f>
        <v>0</v>
      </c>
      <c r="R154" s="81">
        <f ca="1">R114*(1+INDEX(R$35:R$37,MATCH(Work_Codes!$I$93,$D$35:$D$37,0)))</f>
        <v>0</v>
      </c>
      <c r="S154" s="81">
        <f ca="1">S114*(1+INDEX(S$35:S$37,MATCH(Work_Codes!$I$93,$D$35:$D$37,0)))</f>
        <v>0</v>
      </c>
      <c r="T154" s="81">
        <f ca="1">T114*(1+INDEX(T$35:T$37,MATCH(Work_Codes!$I$93,$D$35:$D$37,0)))</f>
        <v>0</v>
      </c>
    </row>
    <row r="155" spans="5:20" ht="11.5" customHeight="1" outlineLevel="2">
      <c r="E155" s="247" t="str">
        <f>GC!C50</f>
        <v>Land</v>
      </c>
      <c r="F155" s="247"/>
      <c r="G155" s="247"/>
      <c r="H155" s="247"/>
      <c r="I155" s="247"/>
      <c r="J155" s="81">
        <f ca="1">J115*(1+INDEX(J$35:J$37,MATCH(Work_Codes!$I$93,$D$35:$D$37,0)))</f>
        <v>0</v>
      </c>
      <c r="K155" s="81">
        <f ca="1">K115*(1+INDEX(K$35:K$37,MATCH(Work_Codes!$I$93,$D$35:$D$37,0)))</f>
        <v>0</v>
      </c>
      <c r="L155" s="81">
        <f ca="1">L115*(1+INDEX(L$35:L$37,MATCH(Work_Codes!$I$93,$D$35:$D$37,0)))</f>
        <v>0</v>
      </c>
      <c r="M155" s="81">
        <f ca="1">M115*(1+INDEX(M$35:M$37,MATCH(Work_Codes!$I$93,$D$35:$D$37,0)))</f>
        <v>0</v>
      </c>
      <c r="N155" s="81">
        <f ca="1">N115*(1+INDEX(N$35:N$37,MATCH(Work_Codes!$I$93,$D$35:$D$37,0)))</f>
        <v>0</v>
      </c>
      <c r="O155" s="81">
        <f ca="1">O115*(1+INDEX(O$35:O$37,MATCH(Work_Codes!$I$93,$D$35:$D$37,0)))</f>
        <v>0</v>
      </c>
      <c r="P155" s="81">
        <f ca="1">P115*(1+INDEX(P$35:P$37,MATCH(Work_Codes!$I$93,$D$35:$D$37,0)))</f>
        <v>0</v>
      </c>
      <c r="Q155" s="81">
        <f ca="1">Q115*(1+INDEX(Q$35:Q$37,MATCH(Work_Codes!$I$93,$D$35:$D$37,0)))</f>
        <v>0</v>
      </c>
      <c r="R155" s="81">
        <f ca="1">R115*(1+INDEX(R$35:R$37,MATCH(Work_Codes!$I$93,$D$35:$D$37,0)))</f>
        <v>0</v>
      </c>
      <c r="S155" s="81">
        <f ca="1">S115*(1+INDEX(S$35:S$37,MATCH(Work_Codes!$I$93,$D$35:$D$37,0)))</f>
        <v>0</v>
      </c>
      <c r="T155" s="81">
        <f ca="1">T115*(1+INDEX(T$35:T$37,MATCH(Work_Codes!$I$93,$D$35:$D$37,0)))</f>
        <v>0</v>
      </c>
    </row>
    <row r="156" spans="5:20" outlineLevel="2">
      <c r="E156" s="247" t="str">
        <f>GC!C51</f>
        <v>Capitalised Leases</v>
      </c>
      <c r="F156" s="247"/>
      <c r="G156" s="247"/>
      <c r="H156" s="247"/>
      <c r="I156" s="247"/>
      <c r="J156" s="81">
        <f ca="1">J116*(1+INDEX(J$35:J$37,MATCH(Work_Codes!$I$93,$D$35:$D$37,0)))</f>
        <v>0</v>
      </c>
      <c r="K156" s="81">
        <f ca="1">K116*(1+INDEX(K$35:K$37,MATCH(Work_Codes!$I$93,$D$35:$D$37,0)))</f>
        <v>0</v>
      </c>
      <c r="L156" s="81">
        <f ca="1">L116*(1+INDEX(L$35:L$37,MATCH(Work_Codes!$I$93,$D$35:$D$37,0)))</f>
        <v>0</v>
      </c>
      <c r="M156" s="81">
        <f ca="1">M116*(1+INDEX(M$35:M$37,MATCH(Work_Codes!$I$93,$D$35:$D$37,0)))</f>
        <v>0</v>
      </c>
      <c r="N156" s="81">
        <f ca="1">N116*(1+INDEX(N$35:N$37,MATCH(Work_Codes!$I$93,$D$35:$D$37,0)))</f>
        <v>0</v>
      </c>
      <c r="O156" s="81">
        <f ca="1">O116*(1+INDEX(O$35:O$37,MATCH(Work_Codes!$I$93,$D$35:$D$37,0)))</f>
        <v>0</v>
      </c>
      <c r="P156" s="81">
        <f ca="1">P116*(1+INDEX(P$35:P$37,MATCH(Work_Codes!$I$93,$D$35:$D$37,0)))</f>
        <v>0</v>
      </c>
      <c r="Q156" s="81">
        <f ca="1">Q116*(1+INDEX(Q$35:Q$37,MATCH(Work_Codes!$I$93,$D$35:$D$37,0)))</f>
        <v>0</v>
      </c>
      <c r="R156" s="81">
        <f ca="1">R116*(1+INDEX(R$35:R$37,MATCH(Work_Codes!$I$93,$D$35:$D$37,0)))</f>
        <v>0</v>
      </c>
      <c r="S156" s="81">
        <f ca="1">S116*(1+INDEX(S$35:S$37,MATCH(Work_Codes!$I$93,$D$35:$D$37,0)))</f>
        <v>0</v>
      </c>
      <c r="T156" s="81">
        <f ca="1">T116*(1+INDEX(T$35:T$37,MATCH(Work_Codes!$I$93,$D$35:$D$37,0)))</f>
        <v>0</v>
      </c>
    </row>
    <row r="157" spans="5:20" outlineLevel="2">
      <c r="E157" s="247" t="str">
        <f>GC!C52</f>
        <v>Transmission pipelines - post 1998</v>
      </c>
      <c r="F157" s="247"/>
      <c r="G157" s="247"/>
      <c r="H157" s="247"/>
      <c r="I157" s="247"/>
      <c r="J157" s="81">
        <f ca="1">J117*(1+INDEX(J$35:J$37,MATCH(Work_Codes!$I$93,$D$35:$D$37,0)))</f>
        <v>0</v>
      </c>
      <c r="K157" s="81">
        <f ca="1">K117*(1+INDEX(K$35:K$37,MATCH(Work_Codes!$I$93,$D$35:$D$37,0)))</f>
        <v>0</v>
      </c>
      <c r="L157" s="81">
        <f ca="1">L117*(1+INDEX(L$35:L$37,MATCH(Work_Codes!$I$93,$D$35:$D$37,0)))</f>
        <v>0</v>
      </c>
      <c r="M157" s="81">
        <f ca="1">M117*(1+INDEX(M$35:M$37,MATCH(Work_Codes!$I$93,$D$35:$D$37,0)))</f>
        <v>0</v>
      </c>
      <c r="N157" s="81">
        <f ca="1">N117*(1+INDEX(N$35:N$37,MATCH(Work_Codes!$I$93,$D$35:$D$37,0)))</f>
        <v>0</v>
      </c>
      <c r="O157" s="81">
        <f ca="1">O117*(1+INDEX(O$35:O$37,MATCH(Work_Codes!$I$93,$D$35:$D$37,0)))</f>
        <v>0</v>
      </c>
      <c r="P157" s="81">
        <f ca="1">P117*(1+INDEX(P$35:P$37,MATCH(Work_Codes!$I$93,$D$35:$D$37,0)))</f>
        <v>0</v>
      </c>
      <c r="Q157" s="81">
        <f ca="1">Q117*(1+INDEX(Q$35:Q$37,MATCH(Work_Codes!$I$93,$D$35:$D$37,0)))</f>
        <v>0</v>
      </c>
      <c r="R157" s="81">
        <f ca="1">R117*(1+INDEX(R$35:R$37,MATCH(Work_Codes!$I$93,$D$35:$D$37,0)))</f>
        <v>0</v>
      </c>
      <c r="S157" s="81">
        <f ca="1">S117*(1+INDEX(S$35:S$37,MATCH(Work_Codes!$I$93,$D$35:$D$37,0)))</f>
        <v>0</v>
      </c>
      <c r="T157" s="81">
        <f ca="1">T117*(1+INDEX(T$35:T$37,MATCH(Work_Codes!$I$93,$D$35:$D$37,0)))</f>
        <v>0</v>
      </c>
    </row>
    <row r="158" spans="5:20" outlineLevel="2">
      <c r="E158" s="247" t="str">
        <f>GC!C53</f>
        <v>Distribution pipelines - post 1998</v>
      </c>
      <c r="F158" s="247"/>
      <c r="G158" s="247"/>
      <c r="H158" s="247"/>
      <c r="I158" s="247"/>
      <c r="J158" s="81">
        <f ca="1">J118*(1+INDEX(J$35:J$37,MATCH(Work_Codes!$I$93,$D$35:$D$37,0)))</f>
        <v>0</v>
      </c>
      <c r="K158" s="81">
        <f ca="1">K118*(1+INDEX(K$35:K$37,MATCH(Work_Codes!$I$93,$D$35:$D$37,0)))</f>
        <v>0</v>
      </c>
      <c r="L158" s="81">
        <f ca="1">L118*(1+INDEX(L$35:L$37,MATCH(Work_Codes!$I$93,$D$35:$D$37,0)))</f>
        <v>0</v>
      </c>
      <c r="M158" s="81">
        <f ca="1">M118*(1+INDEX(M$35:M$37,MATCH(Work_Codes!$I$93,$D$35:$D$37,0)))</f>
        <v>0</v>
      </c>
      <c r="N158" s="81">
        <f ca="1">N118*(1+INDEX(N$35:N$37,MATCH(Work_Codes!$I$93,$D$35:$D$37,0)))</f>
        <v>0</v>
      </c>
      <c r="O158" s="81">
        <f ca="1">O118*(1+INDEX(O$35:O$37,MATCH(Work_Codes!$I$93,$D$35:$D$37,0)))</f>
        <v>0</v>
      </c>
      <c r="P158" s="81">
        <f ca="1">P118*(1+INDEX(P$35:P$37,MATCH(Work_Codes!$I$93,$D$35:$D$37,0)))</f>
        <v>1042580.407076911</v>
      </c>
      <c r="Q158" s="81">
        <f ca="1">Q118*(1+INDEX(Q$35:Q$37,MATCH(Work_Codes!$I$93,$D$35:$D$37,0)))</f>
        <v>1042205.8106190722</v>
      </c>
      <c r="R158" s="81">
        <f ca="1">R118*(1+INDEX(R$35:R$37,MATCH(Work_Codes!$I$93,$D$35:$D$37,0)))</f>
        <v>1043498.2768958539</v>
      </c>
      <c r="S158" s="81">
        <f ca="1">S118*(1+INDEX(S$35:S$37,MATCH(Work_Codes!$I$93,$D$35:$D$37,0)))</f>
        <v>1045671.7165192439</v>
      </c>
      <c r="T158" s="81">
        <f ca="1">T118*(1+INDEX(T$35:T$37,MATCH(Work_Codes!$I$93,$D$35:$D$37,0)))</f>
        <v>1047547.8223357514</v>
      </c>
    </row>
    <row r="159" spans="5:20" outlineLevel="2">
      <c r="E159" s="247" t="str">
        <f>GC!C54</f>
        <v>Service pipes - post 1998</v>
      </c>
      <c r="F159" s="247"/>
      <c r="G159" s="247"/>
      <c r="H159" s="247"/>
      <c r="I159" s="247"/>
      <c r="J159" s="81">
        <f ca="1">J119*(1+INDEX(J$35:J$37,MATCH(Work_Codes!$I$93,$D$35:$D$37,0)))</f>
        <v>0</v>
      </c>
      <c r="K159" s="81">
        <f ca="1">K119*(1+INDEX(K$35:K$37,MATCH(Work_Codes!$I$93,$D$35:$D$37,0)))</f>
        <v>0</v>
      </c>
      <c r="L159" s="81">
        <f ca="1">L119*(1+INDEX(L$35:L$37,MATCH(Work_Codes!$I$93,$D$35:$D$37,0)))</f>
        <v>0</v>
      </c>
      <c r="M159" s="81">
        <f ca="1">M119*(1+INDEX(M$35:M$37,MATCH(Work_Codes!$I$93,$D$35:$D$37,0)))</f>
        <v>0</v>
      </c>
      <c r="N159" s="81">
        <f ca="1">N119*(1+INDEX(N$35:N$37,MATCH(Work_Codes!$I$93,$D$35:$D$37,0)))</f>
        <v>0</v>
      </c>
      <c r="O159" s="81">
        <f ca="1">O119*(1+INDEX(O$35:O$37,MATCH(Work_Codes!$I$93,$D$35:$D$37,0)))</f>
        <v>0</v>
      </c>
      <c r="P159" s="81">
        <f ca="1">P119*(1+INDEX(P$35:P$37,MATCH(Work_Codes!$I$93,$D$35:$D$37,0)))</f>
        <v>1042580.407076911</v>
      </c>
      <c r="Q159" s="81">
        <f ca="1">Q119*(1+INDEX(Q$35:Q$37,MATCH(Work_Codes!$I$93,$D$35:$D$37,0)))</f>
        <v>1042205.8106190722</v>
      </c>
      <c r="R159" s="81">
        <f ca="1">R119*(1+INDEX(R$35:R$37,MATCH(Work_Codes!$I$93,$D$35:$D$37,0)))</f>
        <v>1043498.2768958539</v>
      </c>
      <c r="S159" s="81">
        <f ca="1">S119*(1+INDEX(S$35:S$37,MATCH(Work_Codes!$I$93,$D$35:$D$37,0)))</f>
        <v>1045671.7165192439</v>
      </c>
      <c r="T159" s="81">
        <f ca="1">T119*(1+INDEX(T$35:T$37,MATCH(Work_Codes!$I$93,$D$35:$D$37,0)))</f>
        <v>1047547.8223357514</v>
      </c>
    </row>
    <row r="160" spans="5:20" outlineLevel="2">
      <c r="E160" s="247" t="str">
        <f>GC!C55</f>
        <v>Cathodic protection - post 1998</v>
      </c>
      <c r="F160" s="247"/>
      <c r="G160" s="247"/>
      <c r="H160" s="247"/>
      <c r="I160" s="247"/>
      <c r="J160" s="81">
        <f ca="1">J120*(1+INDEX(J$35:J$37,MATCH(Work_Codes!$I$93,$D$35:$D$37,0)))</f>
        <v>0</v>
      </c>
      <c r="K160" s="81">
        <f ca="1">K120*(1+INDEX(K$35:K$37,MATCH(Work_Codes!$I$93,$D$35:$D$37,0)))</f>
        <v>0</v>
      </c>
      <c r="L160" s="81">
        <f ca="1">L120*(1+INDEX(L$35:L$37,MATCH(Work_Codes!$I$93,$D$35:$D$37,0)))</f>
        <v>0</v>
      </c>
      <c r="M160" s="81">
        <f ca="1">M120*(1+INDEX(M$35:M$37,MATCH(Work_Codes!$I$93,$D$35:$D$37,0)))</f>
        <v>0</v>
      </c>
      <c r="N160" s="81">
        <f ca="1">N120*(1+INDEX(N$35:N$37,MATCH(Work_Codes!$I$93,$D$35:$D$37,0)))</f>
        <v>0</v>
      </c>
      <c r="O160" s="81">
        <f ca="1">O120*(1+INDEX(O$35:O$37,MATCH(Work_Codes!$I$93,$D$35:$D$37,0)))</f>
        <v>0</v>
      </c>
      <c r="P160" s="81">
        <f ca="1">P120*(1+INDEX(P$35:P$37,MATCH(Work_Codes!$I$93,$D$35:$D$37,0)))</f>
        <v>0</v>
      </c>
      <c r="Q160" s="81">
        <f ca="1">Q120*(1+INDEX(Q$35:Q$37,MATCH(Work_Codes!$I$93,$D$35:$D$37,0)))</f>
        <v>0</v>
      </c>
      <c r="R160" s="81">
        <f ca="1">R120*(1+INDEX(R$35:R$37,MATCH(Work_Codes!$I$93,$D$35:$D$37,0)))</f>
        <v>0</v>
      </c>
      <c r="S160" s="81">
        <f ca="1">S120*(1+INDEX(S$35:S$37,MATCH(Work_Codes!$I$93,$D$35:$D$37,0)))</f>
        <v>0</v>
      </c>
      <c r="T160" s="81">
        <f ca="1">T120*(1+INDEX(T$35:T$37,MATCH(Work_Codes!$I$93,$D$35:$D$37,0)))</f>
        <v>0</v>
      </c>
    </row>
    <row r="161" spans="4:20" ht="12" customHeight="1" outlineLevel="2">
      <c r="E161" s="249" t="str">
        <f>"Total "&amp;D143</f>
        <v>Total Direct Costs + Overheads</v>
      </c>
      <c r="F161" s="249"/>
      <c r="G161" s="249"/>
      <c r="H161" s="249"/>
      <c r="I161" s="249"/>
      <c r="J161" s="82">
        <f t="shared" ref="J161:T161" ca="1" si="18">SUM(J145:J160)</f>
        <v>0</v>
      </c>
      <c r="K161" s="82">
        <f t="shared" ca="1" si="18"/>
        <v>0</v>
      </c>
      <c r="L161" s="82">
        <f t="shared" ca="1" si="18"/>
        <v>0</v>
      </c>
      <c r="M161" s="82">
        <f t="shared" ca="1" si="18"/>
        <v>0</v>
      </c>
      <c r="N161" s="82">
        <f t="shared" ca="1" si="18"/>
        <v>0</v>
      </c>
      <c r="O161" s="82">
        <f t="shared" ca="1" si="18"/>
        <v>0</v>
      </c>
      <c r="P161" s="82">
        <f t="shared" ca="1" si="18"/>
        <v>2085160.8141538219</v>
      </c>
      <c r="Q161" s="82">
        <f t="shared" ca="1" si="18"/>
        <v>2084411.6212381443</v>
      </c>
      <c r="R161" s="82">
        <f t="shared" ca="1" si="18"/>
        <v>2086996.5537917078</v>
      </c>
      <c r="S161" s="82">
        <f t="shared" ca="1" si="18"/>
        <v>2091343.4330384878</v>
      </c>
      <c r="T161" s="82">
        <f t="shared" ca="1" si="18"/>
        <v>2095095.6446715028</v>
      </c>
    </row>
    <row r="162" spans="4:20" outlineLevel="2"/>
    <row r="163" spans="4:20" outlineLevel="2">
      <c r="D163" s="37" t="s">
        <v>367</v>
      </c>
    </row>
    <row r="164" spans="4:20" ht="5.9" customHeight="1" outlineLevel="2"/>
    <row r="165" spans="4:20" outlineLevel="2">
      <c r="E165" s="247" t="str">
        <f>GC!C40</f>
        <v>Transmission pipelines</v>
      </c>
      <c r="F165" s="247"/>
      <c r="G165" s="247"/>
      <c r="H165" s="247"/>
      <c r="I165" s="247"/>
      <c r="J165" s="81">
        <f ca="1">SUMPRODUCT((Work_Codes!$N$96:$Y$96=$E165)*(Work_Codes!$N$104:$Y$104)*(J$65:J$65))</f>
        <v>0</v>
      </c>
      <c r="K165" s="81">
        <f ca="1">SUMPRODUCT((Work_Codes!$N$96:$Y$96=$E165)*(Work_Codes!$N$104:$Y$104)*(K$65:K$65))</f>
        <v>0</v>
      </c>
      <c r="L165" s="81">
        <f ca="1">SUMPRODUCT((Work_Codes!$N$96:$Y$96=$E165)*(Work_Codes!$N$104:$Y$104)*(L$65:L$65))</f>
        <v>0</v>
      </c>
      <c r="M165" s="81">
        <f ca="1">SUMPRODUCT((Work_Codes!$N$96:$Y$96=$E165)*(Work_Codes!$N$104:$Y$104)*(M$65:M$65))</f>
        <v>0</v>
      </c>
      <c r="N165" s="81">
        <f ca="1">SUMPRODUCT((Work_Codes!$N$96:$Y$96=$E165)*(Work_Codes!$N$104:$Y$104)*(N$65:N$65))</f>
        <v>0</v>
      </c>
      <c r="O165" s="81">
        <f ca="1">SUMPRODUCT((Work_Codes!$N$96:$Y$96=$E165)*(Work_Codes!$N$104:$Y$104)*(O$65:O$65))</f>
        <v>0</v>
      </c>
      <c r="P165" s="81">
        <f ca="1">SUMPRODUCT((Work_Codes!$N$96:$Y$96=$E165)*(Work_Codes!$N$104:$Y$104)*(P$65:P$65))</f>
        <v>0</v>
      </c>
      <c r="Q165" s="81">
        <f ca="1">SUMPRODUCT((Work_Codes!$N$96:$Y$96=$E165)*(Work_Codes!$N$104:$Y$104)*(Q$65:Q$65))</f>
        <v>0</v>
      </c>
      <c r="R165" s="81">
        <f ca="1">SUMPRODUCT((Work_Codes!$N$96:$Y$96=$E165)*(Work_Codes!$N$104:$Y$104)*(R$65:R$65))</f>
        <v>0</v>
      </c>
      <c r="S165" s="81">
        <f ca="1">SUMPRODUCT((Work_Codes!$N$96:$Y$96=$E165)*(Work_Codes!$N$104:$Y$104)*(S$65:S$65))</f>
        <v>0</v>
      </c>
      <c r="T165" s="81">
        <f ca="1">SUMPRODUCT((Work_Codes!$N$96:$Y$96=$E165)*(Work_Codes!$N$104:$Y$104)*(T$65:T$65))</f>
        <v>0</v>
      </c>
    </row>
    <row r="166" spans="4:20" outlineLevel="2">
      <c r="E166" s="247" t="str">
        <f>GC!C41</f>
        <v>Distribution pipelines</v>
      </c>
      <c r="F166" s="247"/>
      <c r="G166" s="247"/>
      <c r="H166" s="247"/>
      <c r="I166" s="247"/>
      <c r="J166" s="81">
        <f ca="1">SUMPRODUCT((Work_Codes!$N$96:$Y$96=$E166)*(Work_Codes!$N$104:$Y$104)*(J$65:J$65))</f>
        <v>0</v>
      </c>
      <c r="K166" s="81">
        <f ca="1">SUMPRODUCT((Work_Codes!$N$96:$Y$96=$E166)*(Work_Codes!$N$104:$Y$104)*(K$65:K$65))</f>
        <v>0</v>
      </c>
      <c r="L166" s="81">
        <f ca="1">SUMPRODUCT((Work_Codes!$N$96:$Y$96=$E166)*(Work_Codes!$N$104:$Y$104)*(L$65:L$65))</f>
        <v>0</v>
      </c>
      <c r="M166" s="81">
        <f ca="1">SUMPRODUCT((Work_Codes!$N$96:$Y$96=$E166)*(Work_Codes!$N$104:$Y$104)*(M$65:M$65))</f>
        <v>0</v>
      </c>
      <c r="N166" s="81">
        <f ca="1">SUMPRODUCT((Work_Codes!$N$96:$Y$96=$E166)*(Work_Codes!$N$104:$Y$104)*(N$65:N$65))</f>
        <v>0</v>
      </c>
      <c r="O166" s="81">
        <f ca="1">SUMPRODUCT((Work_Codes!$N$96:$Y$96=$E166)*(Work_Codes!$N$104:$Y$104)*(O$65:O$65))</f>
        <v>0</v>
      </c>
      <c r="P166" s="81">
        <f ca="1">SUMPRODUCT((Work_Codes!$N$96:$Y$96=$E166)*(Work_Codes!$N$104:$Y$104)*(P$65:P$65))</f>
        <v>0</v>
      </c>
      <c r="Q166" s="81">
        <f ca="1">SUMPRODUCT((Work_Codes!$N$96:$Y$96=$E166)*(Work_Codes!$N$104:$Y$104)*(Q$65:Q$65))</f>
        <v>0</v>
      </c>
      <c r="R166" s="81">
        <f ca="1">SUMPRODUCT((Work_Codes!$N$96:$Y$96=$E166)*(Work_Codes!$N$104:$Y$104)*(R$65:R$65))</f>
        <v>0</v>
      </c>
      <c r="S166" s="81">
        <f ca="1">SUMPRODUCT((Work_Codes!$N$96:$Y$96=$E166)*(Work_Codes!$N$104:$Y$104)*(S$65:S$65))</f>
        <v>0</v>
      </c>
      <c r="T166" s="81">
        <f ca="1">SUMPRODUCT((Work_Codes!$N$96:$Y$96=$E166)*(Work_Codes!$N$104:$Y$104)*(T$65:T$65))</f>
        <v>0</v>
      </c>
    </row>
    <row r="167" spans="4:20" outlineLevel="2">
      <c r="E167" s="247" t="str">
        <f>GC!C42</f>
        <v>Service pipes</v>
      </c>
      <c r="F167" s="247"/>
      <c r="G167" s="247"/>
      <c r="H167" s="247"/>
      <c r="I167" s="247"/>
      <c r="J167" s="81">
        <f ca="1">SUMPRODUCT((Work_Codes!$N$96:$Y$96=$E167)*(Work_Codes!$N$104:$Y$104)*(J$65:J$65))</f>
        <v>0</v>
      </c>
      <c r="K167" s="81">
        <f ca="1">SUMPRODUCT((Work_Codes!$N$96:$Y$96=$E167)*(Work_Codes!$N$104:$Y$104)*(K$65:K$65))</f>
        <v>0</v>
      </c>
      <c r="L167" s="81">
        <f ca="1">SUMPRODUCT((Work_Codes!$N$96:$Y$96=$E167)*(Work_Codes!$N$104:$Y$104)*(L$65:L$65))</f>
        <v>0</v>
      </c>
      <c r="M167" s="81">
        <f ca="1">SUMPRODUCT((Work_Codes!$N$96:$Y$96=$E167)*(Work_Codes!$N$104:$Y$104)*(M$65:M$65))</f>
        <v>0</v>
      </c>
      <c r="N167" s="81">
        <f ca="1">SUMPRODUCT((Work_Codes!$N$96:$Y$96=$E167)*(Work_Codes!$N$104:$Y$104)*(N$65:N$65))</f>
        <v>0</v>
      </c>
      <c r="O167" s="81">
        <f ca="1">SUMPRODUCT((Work_Codes!$N$96:$Y$96=$E167)*(Work_Codes!$N$104:$Y$104)*(O$65:O$65))</f>
        <v>0</v>
      </c>
      <c r="P167" s="81">
        <f ca="1">SUMPRODUCT((Work_Codes!$N$96:$Y$96=$E167)*(Work_Codes!$N$104:$Y$104)*(P$65:P$65))</f>
        <v>0</v>
      </c>
      <c r="Q167" s="81">
        <f ca="1">SUMPRODUCT((Work_Codes!$N$96:$Y$96=$E167)*(Work_Codes!$N$104:$Y$104)*(Q$65:Q$65))</f>
        <v>0</v>
      </c>
      <c r="R167" s="81">
        <f ca="1">SUMPRODUCT((Work_Codes!$N$96:$Y$96=$E167)*(Work_Codes!$N$104:$Y$104)*(R$65:R$65))</f>
        <v>0</v>
      </c>
      <c r="S167" s="81">
        <f ca="1">SUMPRODUCT((Work_Codes!$N$96:$Y$96=$E167)*(Work_Codes!$N$104:$Y$104)*(S$65:S$65))</f>
        <v>0</v>
      </c>
      <c r="T167" s="81">
        <f ca="1">SUMPRODUCT((Work_Codes!$N$96:$Y$96=$E167)*(Work_Codes!$N$104:$Y$104)*(T$65:T$65))</f>
        <v>0</v>
      </c>
    </row>
    <row r="168" spans="4:20" outlineLevel="2">
      <c r="E168" s="247" t="str">
        <f>GC!C43</f>
        <v>Cathodic protection</v>
      </c>
      <c r="F168" s="247"/>
      <c r="G168" s="247"/>
      <c r="H168" s="247"/>
      <c r="I168" s="247"/>
      <c r="J168" s="81">
        <f ca="1">SUMPRODUCT((Work_Codes!$N$96:$Y$96=$E168)*(Work_Codes!$N$104:$Y$104)*(J$65:J$65))</f>
        <v>0</v>
      </c>
      <c r="K168" s="81">
        <f ca="1">SUMPRODUCT((Work_Codes!$N$96:$Y$96=$E168)*(Work_Codes!$N$104:$Y$104)*(K$65:K$65))</f>
        <v>0</v>
      </c>
      <c r="L168" s="81">
        <f ca="1">SUMPRODUCT((Work_Codes!$N$96:$Y$96=$E168)*(Work_Codes!$N$104:$Y$104)*(L$65:L$65))</f>
        <v>0</v>
      </c>
      <c r="M168" s="81">
        <f ca="1">SUMPRODUCT((Work_Codes!$N$96:$Y$96=$E168)*(Work_Codes!$N$104:$Y$104)*(M$65:M$65))</f>
        <v>0</v>
      </c>
      <c r="N168" s="81">
        <f ca="1">SUMPRODUCT((Work_Codes!$N$96:$Y$96=$E168)*(Work_Codes!$N$104:$Y$104)*(N$65:N$65))</f>
        <v>0</v>
      </c>
      <c r="O168" s="81">
        <f ca="1">SUMPRODUCT((Work_Codes!$N$96:$Y$96=$E168)*(Work_Codes!$N$104:$Y$104)*(O$65:O$65))</f>
        <v>0</v>
      </c>
      <c r="P168" s="81">
        <f ca="1">SUMPRODUCT((Work_Codes!$N$96:$Y$96=$E168)*(Work_Codes!$N$104:$Y$104)*(P$65:P$65))</f>
        <v>0</v>
      </c>
      <c r="Q168" s="81">
        <f ca="1">SUMPRODUCT((Work_Codes!$N$96:$Y$96=$E168)*(Work_Codes!$N$104:$Y$104)*(Q$65:Q$65))</f>
        <v>0</v>
      </c>
      <c r="R168" s="81">
        <f ca="1">SUMPRODUCT((Work_Codes!$N$96:$Y$96=$E168)*(Work_Codes!$N$104:$Y$104)*(R$65:R$65))</f>
        <v>0</v>
      </c>
      <c r="S168" s="81">
        <f ca="1">SUMPRODUCT((Work_Codes!$N$96:$Y$96=$E168)*(Work_Codes!$N$104:$Y$104)*(S$65:S$65))</f>
        <v>0</v>
      </c>
      <c r="T168" s="81">
        <f ca="1">SUMPRODUCT((Work_Codes!$N$96:$Y$96=$E168)*(Work_Codes!$N$104:$Y$104)*(T$65:T$65))</f>
        <v>0</v>
      </c>
    </row>
    <row r="169" spans="4:20" outlineLevel="2">
      <c r="E169" s="247" t="str">
        <f>GC!C44</f>
        <v>Supply Regulators / Valve Stations</v>
      </c>
      <c r="F169" s="247"/>
      <c r="G169" s="247"/>
      <c r="H169" s="247"/>
      <c r="I169" s="247"/>
      <c r="J169" s="81">
        <f ca="1">SUMPRODUCT((Work_Codes!$N$96:$Y$96=$E169)*(Work_Codes!$N$104:$Y$104)*(J$65:J$65))</f>
        <v>0</v>
      </c>
      <c r="K169" s="81">
        <f ca="1">SUMPRODUCT((Work_Codes!$N$96:$Y$96=$E169)*(Work_Codes!$N$104:$Y$104)*(K$65:K$65))</f>
        <v>0</v>
      </c>
      <c r="L169" s="81">
        <f ca="1">SUMPRODUCT((Work_Codes!$N$96:$Y$96=$E169)*(Work_Codes!$N$104:$Y$104)*(L$65:L$65))</f>
        <v>0</v>
      </c>
      <c r="M169" s="81">
        <f ca="1">SUMPRODUCT((Work_Codes!$N$96:$Y$96=$E169)*(Work_Codes!$N$104:$Y$104)*(M$65:M$65))</f>
        <v>0</v>
      </c>
      <c r="N169" s="81">
        <f ca="1">SUMPRODUCT((Work_Codes!$N$96:$Y$96=$E169)*(Work_Codes!$N$104:$Y$104)*(N$65:N$65))</f>
        <v>0</v>
      </c>
      <c r="O169" s="81">
        <f ca="1">SUMPRODUCT((Work_Codes!$N$96:$Y$96=$E169)*(Work_Codes!$N$104:$Y$104)*(O$65:O$65))</f>
        <v>0</v>
      </c>
      <c r="P169" s="81">
        <f ca="1">SUMPRODUCT((Work_Codes!$N$96:$Y$96=$E169)*(Work_Codes!$N$104:$Y$104)*(P$65:P$65))</f>
        <v>0</v>
      </c>
      <c r="Q169" s="81">
        <f ca="1">SUMPRODUCT((Work_Codes!$N$96:$Y$96=$E169)*(Work_Codes!$N$104:$Y$104)*(Q$65:Q$65))</f>
        <v>0</v>
      </c>
      <c r="R169" s="81">
        <f ca="1">SUMPRODUCT((Work_Codes!$N$96:$Y$96=$E169)*(Work_Codes!$N$104:$Y$104)*(R$65:R$65))</f>
        <v>0</v>
      </c>
      <c r="S169" s="81">
        <f ca="1">SUMPRODUCT((Work_Codes!$N$96:$Y$96=$E169)*(Work_Codes!$N$104:$Y$104)*(S$65:S$65))</f>
        <v>0</v>
      </c>
      <c r="T169" s="81">
        <f ca="1">SUMPRODUCT((Work_Codes!$N$96:$Y$96=$E169)*(Work_Codes!$N$104:$Y$104)*(T$65:T$65))</f>
        <v>0</v>
      </c>
    </row>
    <row r="170" spans="4:20" outlineLevel="2">
      <c r="E170" s="247" t="str">
        <f>GC!C45</f>
        <v>Meters</v>
      </c>
      <c r="F170" s="247"/>
      <c r="G170" s="247"/>
      <c r="H170" s="247"/>
      <c r="I170" s="247"/>
      <c r="J170" s="81">
        <f ca="1">SUMPRODUCT((Work_Codes!$N$96:$Y$96=$E170)*(Work_Codes!$N$104:$Y$104)*(J$65:J$65))</f>
        <v>0</v>
      </c>
      <c r="K170" s="81">
        <f ca="1">SUMPRODUCT((Work_Codes!$N$96:$Y$96=$E170)*(Work_Codes!$N$104:$Y$104)*(K$65:K$65))</f>
        <v>0</v>
      </c>
      <c r="L170" s="81">
        <f ca="1">SUMPRODUCT((Work_Codes!$N$96:$Y$96=$E170)*(Work_Codes!$N$104:$Y$104)*(L$65:L$65))</f>
        <v>0</v>
      </c>
      <c r="M170" s="81">
        <f ca="1">SUMPRODUCT((Work_Codes!$N$96:$Y$96=$E170)*(Work_Codes!$N$104:$Y$104)*(M$65:M$65))</f>
        <v>0</v>
      </c>
      <c r="N170" s="81">
        <f ca="1">SUMPRODUCT((Work_Codes!$N$96:$Y$96=$E170)*(Work_Codes!$N$104:$Y$104)*(N$65:N$65))</f>
        <v>0</v>
      </c>
      <c r="O170" s="81">
        <f ca="1">SUMPRODUCT((Work_Codes!$N$96:$Y$96=$E170)*(Work_Codes!$N$104:$Y$104)*(O$65:O$65))</f>
        <v>0</v>
      </c>
      <c r="P170" s="81">
        <f ca="1">SUMPRODUCT((Work_Codes!$N$96:$Y$96=$E170)*(Work_Codes!$N$104:$Y$104)*(P$65:P$65))</f>
        <v>0</v>
      </c>
      <c r="Q170" s="81">
        <f ca="1">SUMPRODUCT((Work_Codes!$N$96:$Y$96=$E170)*(Work_Codes!$N$104:$Y$104)*(Q$65:Q$65))</f>
        <v>0</v>
      </c>
      <c r="R170" s="81">
        <f ca="1">SUMPRODUCT((Work_Codes!$N$96:$Y$96=$E170)*(Work_Codes!$N$104:$Y$104)*(R$65:R$65))</f>
        <v>0</v>
      </c>
      <c r="S170" s="81">
        <f ca="1">SUMPRODUCT((Work_Codes!$N$96:$Y$96=$E170)*(Work_Codes!$N$104:$Y$104)*(S$65:S$65))</f>
        <v>0</v>
      </c>
      <c r="T170" s="81">
        <f ca="1">SUMPRODUCT((Work_Codes!$N$96:$Y$96=$E170)*(Work_Codes!$N$104:$Y$104)*(T$65:T$65))</f>
        <v>0</v>
      </c>
    </row>
    <row r="171" spans="4:20" outlineLevel="2">
      <c r="E171" s="247" t="str">
        <f>GC!C46</f>
        <v>SCADA and remote control</v>
      </c>
      <c r="F171" s="247"/>
      <c r="G171" s="247"/>
      <c r="H171" s="247"/>
      <c r="I171" s="247"/>
      <c r="J171" s="81">
        <f ca="1">SUMPRODUCT((Work_Codes!$N$96:$Y$96=$E171)*(Work_Codes!$N$104:$Y$104)*(J$65:J$65))</f>
        <v>0</v>
      </c>
      <c r="K171" s="81">
        <f ca="1">SUMPRODUCT((Work_Codes!$N$96:$Y$96=$E171)*(Work_Codes!$N$104:$Y$104)*(K$65:K$65))</f>
        <v>0</v>
      </c>
      <c r="L171" s="81">
        <f ca="1">SUMPRODUCT((Work_Codes!$N$96:$Y$96=$E171)*(Work_Codes!$N$104:$Y$104)*(L$65:L$65))</f>
        <v>0</v>
      </c>
      <c r="M171" s="81">
        <f ca="1">SUMPRODUCT((Work_Codes!$N$96:$Y$96=$E171)*(Work_Codes!$N$104:$Y$104)*(M$65:M$65))</f>
        <v>0</v>
      </c>
      <c r="N171" s="81">
        <f ca="1">SUMPRODUCT((Work_Codes!$N$96:$Y$96=$E171)*(Work_Codes!$N$104:$Y$104)*(N$65:N$65))</f>
        <v>0</v>
      </c>
      <c r="O171" s="81">
        <f ca="1">SUMPRODUCT((Work_Codes!$N$96:$Y$96=$E171)*(Work_Codes!$N$104:$Y$104)*(O$65:O$65))</f>
        <v>0</v>
      </c>
      <c r="P171" s="81">
        <f ca="1">SUMPRODUCT((Work_Codes!$N$96:$Y$96=$E171)*(Work_Codes!$N$104:$Y$104)*(P$65:P$65))</f>
        <v>0</v>
      </c>
      <c r="Q171" s="81">
        <f ca="1">SUMPRODUCT((Work_Codes!$N$96:$Y$96=$E171)*(Work_Codes!$N$104:$Y$104)*(Q$65:Q$65))</f>
        <v>0</v>
      </c>
      <c r="R171" s="81">
        <f ca="1">SUMPRODUCT((Work_Codes!$N$96:$Y$96=$E171)*(Work_Codes!$N$104:$Y$104)*(R$65:R$65))</f>
        <v>0</v>
      </c>
      <c r="S171" s="81">
        <f ca="1">SUMPRODUCT((Work_Codes!$N$96:$Y$96=$E171)*(Work_Codes!$N$104:$Y$104)*(S$65:S$65))</f>
        <v>0</v>
      </c>
      <c r="T171" s="81">
        <f ca="1">SUMPRODUCT((Work_Codes!$N$96:$Y$96=$E171)*(Work_Codes!$N$104:$Y$104)*(T$65:T$65))</f>
        <v>0</v>
      </c>
    </row>
    <row r="172" spans="4:20" outlineLevel="2">
      <c r="E172" s="247" t="str">
        <f>GC!C47</f>
        <v>Buildings</v>
      </c>
      <c r="F172" s="247"/>
      <c r="G172" s="247"/>
      <c r="H172" s="247"/>
      <c r="I172" s="247"/>
      <c r="J172" s="81">
        <f ca="1">SUMPRODUCT((Work_Codes!$N$96:$Y$96=$E172)*(Work_Codes!$N$104:$Y$104)*(J$65:J$65))</f>
        <v>0</v>
      </c>
      <c r="K172" s="81">
        <f ca="1">SUMPRODUCT((Work_Codes!$N$96:$Y$96=$E172)*(Work_Codes!$N$104:$Y$104)*(K$65:K$65))</f>
        <v>0</v>
      </c>
      <c r="L172" s="81">
        <f ca="1">SUMPRODUCT((Work_Codes!$N$96:$Y$96=$E172)*(Work_Codes!$N$104:$Y$104)*(L$65:L$65))</f>
        <v>0</v>
      </c>
      <c r="M172" s="81">
        <f ca="1">SUMPRODUCT((Work_Codes!$N$96:$Y$96=$E172)*(Work_Codes!$N$104:$Y$104)*(M$65:M$65))</f>
        <v>0</v>
      </c>
      <c r="N172" s="81">
        <f ca="1">SUMPRODUCT((Work_Codes!$N$96:$Y$96=$E172)*(Work_Codes!$N$104:$Y$104)*(N$65:N$65))</f>
        <v>0</v>
      </c>
      <c r="O172" s="81">
        <f ca="1">SUMPRODUCT((Work_Codes!$N$96:$Y$96=$E172)*(Work_Codes!$N$104:$Y$104)*(O$65:O$65))</f>
        <v>0</v>
      </c>
      <c r="P172" s="81">
        <f ca="1">SUMPRODUCT((Work_Codes!$N$96:$Y$96=$E172)*(Work_Codes!$N$104:$Y$104)*(P$65:P$65))</f>
        <v>0</v>
      </c>
      <c r="Q172" s="81">
        <f ca="1">SUMPRODUCT((Work_Codes!$N$96:$Y$96=$E172)*(Work_Codes!$N$104:$Y$104)*(Q$65:Q$65))</f>
        <v>0</v>
      </c>
      <c r="R172" s="81">
        <f ca="1">SUMPRODUCT((Work_Codes!$N$96:$Y$96=$E172)*(Work_Codes!$N$104:$Y$104)*(R$65:R$65))</f>
        <v>0</v>
      </c>
      <c r="S172" s="81">
        <f ca="1">SUMPRODUCT((Work_Codes!$N$96:$Y$96=$E172)*(Work_Codes!$N$104:$Y$104)*(S$65:S$65))</f>
        <v>0</v>
      </c>
      <c r="T172" s="81">
        <f ca="1">SUMPRODUCT((Work_Codes!$N$96:$Y$96=$E172)*(Work_Codes!$N$104:$Y$104)*(T$65:T$65))</f>
        <v>0</v>
      </c>
    </row>
    <row r="173" spans="4:20" outlineLevel="2">
      <c r="E173" s="247" t="str">
        <f>GC!C48</f>
        <v>Other - IT</v>
      </c>
      <c r="F173" s="247"/>
      <c r="G173" s="247"/>
      <c r="H173" s="247"/>
      <c r="I173" s="247"/>
      <c r="J173" s="81">
        <f ca="1">SUMPRODUCT((Work_Codes!$N$96:$Y$96=$E173)*(Work_Codes!$N$104:$Y$104)*(J$65:J$65))</f>
        <v>0</v>
      </c>
      <c r="K173" s="81">
        <f ca="1">SUMPRODUCT((Work_Codes!$N$96:$Y$96=$E173)*(Work_Codes!$N$104:$Y$104)*(K$65:K$65))</f>
        <v>0</v>
      </c>
      <c r="L173" s="81">
        <f ca="1">SUMPRODUCT((Work_Codes!$N$96:$Y$96=$E173)*(Work_Codes!$N$104:$Y$104)*(L$65:L$65))</f>
        <v>0</v>
      </c>
      <c r="M173" s="81">
        <f ca="1">SUMPRODUCT((Work_Codes!$N$96:$Y$96=$E173)*(Work_Codes!$N$104:$Y$104)*(M$65:M$65))</f>
        <v>0</v>
      </c>
      <c r="N173" s="81">
        <f ca="1">SUMPRODUCT((Work_Codes!$N$96:$Y$96=$E173)*(Work_Codes!$N$104:$Y$104)*(N$65:N$65))</f>
        <v>0</v>
      </c>
      <c r="O173" s="81">
        <f ca="1">SUMPRODUCT((Work_Codes!$N$96:$Y$96=$E173)*(Work_Codes!$N$104:$Y$104)*(O$65:O$65))</f>
        <v>0</v>
      </c>
      <c r="P173" s="81">
        <f ca="1">SUMPRODUCT((Work_Codes!$N$96:$Y$96=$E173)*(Work_Codes!$N$104:$Y$104)*(P$65:P$65))</f>
        <v>0</v>
      </c>
      <c r="Q173" s="81">
        <f ca="1">SUMPRODUCT((Work_Codes!$N$96:$Y$96=$E173)*(Work_Codes!$N$104:$Y$104)*(Q$65:Q$65))</f>
        <v>0</v>
      </c>
      <c r="R173" s="81">
        <f ca="1">SUMPRODUCT((Work_Codes!$N$96:$Y$96=$E173)*(Work_Codes!$N$104:$Y$104)*(R$65:R$65))</f>
        <v>0</v>
      </c>
      <c r="S173" s="81">
        <f ca="1">SUMPRODUCT((Work_Codes!$N$96:$Y$96=$E173)*(Work_Codes!$N$104:$Y$104)*(S$65:S$65))</f>
        <v>0</v>
      </c>
      <c r="T173" s="81">
        <f ca="1">SUMPRODUCT((Work_Codes!$N$96:$Y$96=$E173)*(Work_Codes!$N$104:$Y$104)*(T$65:T$65))</f>
        <v>0</v>
      </c>
    </row>
    <row r="174" spans="4:20" outlineLevel="2">
      <c r="E174" s="247" t="str">
        <f>GC!C49</f>
        <v>Other - non IT</v>
      </c>
      <c r="F174" s="247"/>
      <c r="G174" s="247"/>
      <c r="H174" s="247"/>
      <c r="I174" s="247"/>
      <c r="J174" s="81">
        <f ca="1">SUMPRODUCT((Work_Codes!$N$96:$Y$96=$E174)*(Work_Codes!$N$104:$Y$104)*(J$65:J$65))</f>
        <v>0</v>
      </c>
      <c r="K174" s="81">
        <f ca="1">SUMPRODUCT((Work_Codes!$N$96:$Y$96=$E174)*(Work_Codes!$N$104:$Y$104)*(K$65:K$65))</f>
        <v>0</v>
      </c>
      <c r="L174" s="81">
        <f ca="1">SUMPRODUCT((Work_Codes!$N$96:$Y$96=$E174)*(Work_Codes!$N$104:$Y$104)*(L$65:L$65))</f>
        <v>0</v>
      </c>
      <c r="M174" s="81">
        <f ca="1">SUMPRODUCT((Work_Codes!$N$96:$Y$96=$E174)*(Work_Codes!$N$104:$Y$104)*(M$65:M$65))</f>
        <v>0</v>
      </c>
      <c r="N174" s="81">
        <f ca="1">SUMPRODUCT((Work_Codes!$N$96:$Y$96=$E174)*(Work_Codes!$N$104:$Y$104)*(N$65:N$65))</f>
        <v>0</v>
      </c>
      <c r="O174" s="81">
        <f ca="1">SUMPRODUCT((Work_Codes!$N$96:$Y$96=$E174)*(Work_Codes!$N$104:$Y$104)*(O$65:O$65))</f>
        <v>0</v>
      </c>
      <c r="P174" s="81">
        <f ca="1">SUMPRODUCT((Work_Codes!$N$96:$Y$96=$E174)*(Work_Codes!$N$104:$Y$104)*(P$65:P$65))</f>
        <v>0</v>
      </c>
      <c r="Q174" s="81">
        <f ca="1">SUMPRODUCT((Work_Codes!$N$96:$Y$96=$E174)*(Work_Codes!$N$104:$Y$104)*(Q$65:Q$65))</f>
        <v>0</v>
      </c>
      <c r="R174" s="81">
        <f ca="1">SUMPRODUCT((Work_Codes!$N$96:$Y$96=$E174)*(Work_Codes!$N$104:$Y$104)*(R$65:R$65))</f>
        <v>0</v>
      </c>
      <c r="S174" s="81">
        <f ca="1">SUMPRODUCT((Work_Codes!$N$96:$Y$96=$E174)*(Work_Codes!$N$104:$Y$104)*(S$65:S$65))</f>
        <v>0</v>
      </c>
      <c r="T174" s="81">
        <f ca="1">SUMPRODUCT((Work_Codes!$N$96:$Y$96=$E174)*(Work_Codes!$N$104:$Y$104)*(T$65:T$65))</f>
        <v>0</v>
      </c>
    </row>
    <row r="175" spans="4:20" outlineLevel="2">
      <c r="E175" s="247" t="str">
        <f>GC!C50</f>
        <v>Land</v>
      </c>
      <c r="F175" s="247"/>
      <c r="G175" s="247"/>
      <c r="H175" s="247"/>
      <c r="I175" s="247"/>
      <c r="J175" s="81">
        <f ca="1">SUMPRODUCT((Work_Codes!$N$96:$Y$96=$E175)*(Work_Codes!$N$104:$Y$104)*(J$65:J$65))</f>
        <v>0</v>
      </c>
      <c r="K175" s="81">
        <f ca="1">SUMPRODUCT((Work_Codes!$N$96:$Y$96=$E175)*(Work_Codes!$N$104:$Y$104)*(K$65:K$65))</f>
        <v>0</v>
      </c>
      <c r="L175" s="81">
        <f ca="1">SUMPRODUCT((Work_Codes!$N$96:$Y$96=$E175)*(Work_Codes!$N$104:$Y$104)*(L$65:L$65))</f>
        <v>0</v>
      </c>
      <c r="M175" s="81">
        <f ca="1">SUMPRODUCT((Work_Codes!$N$96:$Y$96=$E175)*(Work_Codes!$N$104:$Y$104)*(M$65:M$65))</f>
        <v>0</v>
      </c>
      <c r="N175" s="81">
        <f ca="1">SUMPRODUCT((Work_Codes!$N$96:$Y$96=$E175)*(Work_Codes!$N$104:$Y$104)*(N$65:N$65))</f>
        <v>0</v>
      </c>
      <c r="O175" s="81">
        <f ca="1">SUMPRODUCT((Work_Codes!$N$96:$Y$96=$E175)*(Work_Codes!$N$104:$Y$104)*(O$65:O$65))</f>
        <v>0</v>
      </c>
      <c r="P175" s="81">
        <f ca="1">SUMPRODUCT((Work_Codes!$N$96:$Y$96=$E175)*(Work_Codes!$N$104:$Y$104)*(P$65:P$65))</f>
        <v>0</v>
      </c>
      <c r="Q175" s="81">
        <f ca="1">SUMPRODUCT((Work_Codes!$N$96:$Y$96=$E175)*(Work_Codes!$N$104:$Y$104)*(Q$65:Q$65))</f>
        <v>0</v>
      </c>
      <c r="R175" s="81">
        <f ca="1">SUMPRODUCT((Work_Codes!$N$96:$Y$96=$E175)*(Work_Codes!$N$104:$Y$104)*(R$65:R$65))</f>
        <v>0</v>
      </c>
      <c r="S175" s="81">
        <f ca="1">SUMPRODUCT((Work_Codes!$N$96:$Y$96=$E175)*(Work_Codes!$N$104:$Y$104)*(S$65:S$65))</f>
        <v>0</v>
      </c>
      <c r="T175" s="81">
        <f ca="1">SUMPRODUCT((Work_Codes!$N$96:$Y$96=$E175)*(Work_Codes!$N$104:$Y$104)*(T$65:T$65))</f>
        <v>0</v>
      </c>
    </row>
    <row r="176" spans="4:20" outlineLevel="2">
      <c r="E176" s="247" t="str">
        <f>GC!C51</f>
        <v>Capitalised Leases</v>
      </c>
      <c r="F176" s="247"/>
      <c r="G176" s="247"/>
      <c r="H176" s="247"/>
      <c r="I176" s="247"/>
      <c r="J176" s="81">
        <f ca="1">SUMPRODUCT((Work_Codes!$N$96:$Y$96=$E176)*(Work_Codes!$N$104:$Y$104)*(J$65:J$65))</f>
        <v>0</v>
      </c>
      <c r="K176" s="81">
        <f ca="1">SUMPRODUCT((Work_Codes!$N$96:$Y$96=$E176)*(Work_Codes!$N$104:$Y$104)*(K$65:K$65))</f>
        <v>0</v>
      </c>
      <c r="L176" s="81">
        <f ca="1">SUMPRODUCT((Work_Codes!$N$96:$Y$96=$E176)*(Work_Codes!$N$104:$Y$104)*(L$65:L$65))</f>
        <v>0</v>
      </c>
      <c r="M176" s="81">
        <f ca="1">SUMPRODUCT((Work_Codes!$N$96:$Y$96=$E176)*(Work_Codes!$N$104:$Y$104)*(M$65:M$65))</f>
        <v>0</v>
      </c>
      <c r="N176" s="81">
        <f ca="1">SUMPRODUCT((Work_Codes!$N$96:$Y$96=$E176)*(Work_Codes!$N$104:$Y$104)*(N$65:N$65))</f>
        <v>0</v>
      </c>
      <c r="O176" s="81">
        <f ca="1">SUMPRODUCT((Work_Codes!$N$96:$Y$96=$E176)*(Work_Codes!$N$104:$Y$104)*(O$65:O$65))</f>
        <v>0</v>
      </c>
      <c r="P176" s="81">
        <f ca="1">SUMPRODUCT((Work_Codes!$N$96:$Y$96=$E176)*(Work_Codes!$N$104:$Y$104)*(P$65:P$65))</f>
        <v>0</v>
      </c>
      <c r="Q176" s="81">
        <f ca="1">SUMPRODUCT((Work_Codes!$N$96:$Y$96=$E176)*(Work_Codes!$N$104:$Y$104)*(Q$65:Q$65))</f>
        <v>0</v>
      </c>
      <c r="R176" s="81">
        <f ca="1">SUMPRODUCT((Work_Codes!$N$96:$Y$96=$E176)*(Work_Codes!$N$104:$Y$104)*(R$65:R$65))</f>
        <v>0</v>
      </c>
      <c r="S176" s="81">
        <f ca="1">SUMPRODUCT((Work_Codes!$N$96:$Y$96=$E176)*(Work_Codes!$N$104:$Y$104)*(S$65:S$65))</f>
        <v>0</v>
      </c>
      <c r="T176" s="81">
        <f ca="1">SUMPRODUCT((Work_Codes!$N$96:$Y$96=$E176)*(Work_Codes!$N$104:$Y$104)*(T$65:T$65))</f>
        <v>0</v>
      </c>
    </row>
    <row r="177" spans="2:20" outlineLevel="2">
      <c r="E177" s="247" t="str">
        <f>GC!C52</f>
        <v>Transmission pipelines - post 1998</v>
      </c>
      <c r="F177" s="247"/>
      <c r="G177" s="247"/>
      <c r="H177" s="247"/>
      <c r="I177" s="247"/>
      <c r="J177" s="81">
        <f ca="1">SUMPRODUCT((Work_Codes!$N$96:$Y$96=$E177)*(Work_Codes!$N$104:$Y$104)*(J$65:J$65))</f>
        <v>0</v>
      </c>
      <c r="K177" s="81">
        <f ca="1">SUMPRODUCT((Work_Codes!$N$96:$Y$96=$E177)*(Work_Codes!$N$104:$Y$104)*(K$65:K$65))</f>
        <v>0</v>
      </c>
      <c r="L177" s="81">
        <f ca="1">SUMPRODUCT((Work_Codes!$N$96:$Y$96=$E177)*(Work_Codes!$N$104:$Y$104)*(L$65:L$65))</f>
        <v>0</v>
      </c>
      <c r="M177" s="81">
        <f ca="1">SUMPRODUCT((Work_Codes!$N$96:$Y$96=$E177)*(Work_Codes!$N$104:$Y$104)*(M$65:M$65))</f>
        <v>0</v>
      </c>
      <c r="N177" s="81">
        <f ca="1">SUMPRODUCT((Work_Codes!$N$96:$Y$96=$E177)*(Work_Codes!$N$104:$Y$104)*(N$65:N$65))</f>
        <v>0</v>
      </c>
      <c r="O177" s="81">
        <f ca="1">SUMPRODUCT((Work_Codes!$N$96:$Y$96=$E177)*(Work_Codes!$N$104:$Y$104)*(O$65:O$65))</f>
        <v>0</v>
      </c>
      <c r="P177" s="81">
        <f ca="1">SUMPRODUCT((Work_Codes!$N$96:$Y$96=$E177)*(Work_Codes!$N$104:$Y$104)*(P$65:P$65))</f>
        <v>0</v>
      </c>
      <c r="Q177" s="81">
        <f ca="1">SUMPRODUCT((Work_Codes!$N$96:$Y$96=$E177)*(Work_Codes!$N$104:$Y$104)*(Q$65:Q$65))</f>
        <v>0</v>
      </c>
      <c r="R177" s="81">
        <f ca="1">SUMPRODUCT((Work_Codes!$N$96:$Y$96=$E177)*(Work_Codes!$N$104:$Y$104)*(R$65:R$65))</f>
        <v>0</v>
      </c>
      <c r="S177" s="81">
        <f ca="1">SUMPRODUCT((Work_Codes!$N$96:$Y$96=$E177)*(Work_Codes!$N$104:$Y$104)*(S$65:S$65))</f>
        <v>0</v>
      </c>
      <c r="T177" s="81">
        <f ca="1">SUMPRODUCT((Work_Codes!$N$96:$Y$96=$E177)*(Work_Codes!$N$104:$Y$104)*(T$65:T$65))</f>
        <v>0</v>
      </c>
    </row>
    <row r="178" spans="2:20" outlineLevel="2">
      <c r="E178" s="247" t="str">
        <f>GC!C53</f>
        <v>Distribution pipelines - post 1998</v>
      </c>
      <c r="F178" s="247"/>
      <c r="G178" s="247"/>
      <c r="H178" s="247"/>
      <c r="I178" s="247"/>
      <c r="J178" s="81">
        <f ca="1">SUMPRODUCT((Work_Codes!$N$96:$Y$96=$E178)*(Work_Codes!$N$104:$Y$104)*(J$65:J$65))</f>
        <v>0</v>
      </c>
      <c r="K178" s="81">
        <f ca="1">SUMPRODUCT((Work_Codes!$N$96:$Y$96=$E178)*(Work_Codes!$N$104:$Y$104)*(K$65:K$65))</f>
        <v>0</v>
      </c>
      <c r="L178" s="81">
        <f ca="1">SUMPRODUCT((Work_Codes!$N$96:$Y$96=$E178)*(Work_Codes!$N$104:$Y$104)*(L$65:L$65))</f>
        <v>0</v>
      </c>
      <c r="M178" s="81">
        <f ca="1">SUMPRODUCT((Work_Codes!$N$96:$Y$96=$E178)*(Work_Codes!$N$104:$Y$104)*(M$65:M$65))</f>
        <v>0</v>
      </c>
      <c r="N178" s="81">
        <f ca="1">SUMPRODUCT((Work_Codes!$N$96:$Y$96=$E178)*(Work_Codes!$N$104:$Y$104)*(N$65:N$65))</f>
        <v>0</v>
      </c>
      <c r="O178" s="81">
        <f ca="1">SUMPRODUCT((Work_Codes!$N$96:$Y$96=$E178)*(Work_Codes!$N$104:$Y$104)*(O$65:O$65))</f>
        <v>0</v>
      </c>
      <c r="P178" s="81">
        <f ca="1">SUMPRODUCT((Work_Codes!$N$96:$Y$96=$E178)*(Work_Codes!$N$104:$Y$104)*(P$65:P$65))</f>
        <v>0</v>
      </c>
      <c r="Q178" s="81">
        <f ca="1">SUMPRODUCT((Work_Codes!$N$96:$Y$96=$E178)*(Work_Codes!$N$104:$Y$104)*(Q$65:Q$65))</f>
        <v>0</v>
      </c>
      <c r="R178" s="81">
        <f ca="1">SUMPRODUCT((Work_Codes!$N$96:$Y$96=$E178)*(Work_Codes!$N$104:$Y$104)*(R$65:R$65))</f>
        <v>0</v>
      </c>
      <c r="S178" s="81">
        <f ca="1">SUMPRODUCT((Work_Codes!$N$96:$Y$96=$E178)*(Work_Codes!$N$104:$Y$104)*(S$65:S$65))</f>
        <v>0</v>
      </c>
      <c r="T178" s="81">
        <f ca="1">SUMPRODUCT((Work_Codes!$N$96:$Y$96=$E178)*(Work_Codes!$N$104:$Y$104)*(T$65:T$65))</f>
        <v>0</v>
      </c>
    </row>
    <row r="179" spans="2:20" outlineLevel="2">
      <c r="E179" s="247" t="str">
        <f>GC!C54</f>
        <v>Service pipes - post 1998</v>
      </c>
      <c r="F179" s="247"/>
      <c r="G179" s="247"/>
      <c r="H179" s="247"/>
      <c r="I179" s="247"/>
      <c r="J179" s="81">
        <f ca="1">SUMPRODUCT((Work_Codes!$N$96:$Y$96=$E179)*(Work_Codes!$N$104:$Y$104)*(J$65:J$65))</f>
        <v>0</v>
      </c>
      <c r="K179" s="81">
        <f ca="1">SUMPRODUCT((Work_Codes!$N$96:$Y$96=$E179)*(Work_Codes!$N$104:$Y$104)*(K$65:K$65))</f>
        <v>0</v>
      </c>
      <c r="L179" s="81">
        <f ca="1">SUMPRODUCT((Work_Codes!$N$96:$Y$96=$E179)*(Work_Codes!$N$104:$Y$104)*(L$65:L$65))</f>
        <v>0</v>
      </c>
      <c r="M179" s="81">
        <f ca="1">SUMPRODUCT((Work_Codes!$N$96:$Y$96=$E179)*(Work_Codes!$N$104:$Y$104)*(M$65:M$65))</f>
        <v>0</v>
      </c>
      <c r="N179" s="81">
        <f ca="1">SUMPRODUCT((Work_Codes!$N$96:$Y$96=$E179)*(Work_Codes!$N$104:$Y$104)*(N$65:N$65))</f>
        <v>0</v>
      </c>
      <c r="O179" s="81">
        <f ca="1">SUMPRODUCT((Work_Codes!$N$96:$Y$96=$E179)*(Work_Codes!$N$104:$Y$104)*(O$65:O$65))</f>
        <v>0</v>
      </c>
      <c r="P179" s="81">
        <f ca="1">SUMPRODUCT((Work_Codes!$N$96:$Y$96=$E179)*(Work_Codes!$N$104:$Y$104)*(P$65:P$65))</f>
        <v>0</v>
      </c>
      <c r="Q179" s="81">
        <f ca="1">SUMPRODUCT((Work_Codes!$N$96:$Y$96=$E179)*(Work_Codes!$N$104:$Y$104)*(Q$65:Q$65))</f>
        <v>0</v>
      </c>
      <c r="R179" s="81">
        <f ca="1">SUMPRODUCT((Work_Codes!$N$96:$Y$96=$E179)*(Work_Codes!$N$104:$Y$104)*(R$65:R$65))</f>
        <v>0</v>
      </c>
      <c r="S179" s="81">
        <f ca="1">SUMPRODUCT((Work_Codes!$N$96:$Y$96=$E179)*(Work_Codes!$N$104:$Y$104)*(S$65:S$65))</f>
        <v>0</v>
      </c>
      <c r="T179" s="81">
        <f ca="1">SUMPRODUCT((Work_Codes!$N$96:$Y$96=$E179)*(Work_Codes!$N$104:$Y$104)*(T$65:T$65))</f>
        <v>0</v>
      </c>
    </row>
    <row r="180" spans="2:20" outlineLevel="2">
      <c r="E180" s="247" t="str">
        <f>GC!C55</f>
        <v>Cathodic protection - post 1998</v>
      </c>
      <c r="F180" s="247"/>
      <c r="G180" s="247"/>
      <c r="H180" s="247"/>
      <c r="I180" s="247"/>
      <c r="J180" s="81">
        <f ca="1">SUMPRODUCT((Work_Codes!$N$96:$Y$96=$E180)*(Work_Codes!$N$104:$Y$104)*(J$65:J$65))</f>
        <v>0</v>
      </c>
      <c r="K180" s="81">
        <f ca="1">SUMPRODUCT((Work_Codes!$N$96:$Y$96=$E180)*(Work_Codes!$N$104:$Y$104)*(K$65:K$65))</f>
        <v>0</v>
      </c>
      <c r="L180" s="81">
        <f ca="1">SUMPRODUCT((Work_Codes!$N$96:$Y$96=$E180)*(Work_Codes!$N$104:$Y$104)*(L$65:L$65))</f>
        <v>0</v>
      </c>
      <c r="M180" s="81">
        <f ca="1">SUMPRODUCT((Work_Codes!$N$96:$Y$96=$E180)*(Work_Codes!$N$104:$Y$104)*(M$65:M$65))</f>
        <v>0</v>
      </c>
      <c r="N180" s="81">
        <f ca="1">SUMPRODUCT((Work_Codes!$N$96:$Y$96=$E180)*(Work_Codes!$N$104:$Y$104)*(N$65:N$65))</f>
        <v>0</v>
      </c>
      <c r="O180" s="81">
        <f ca="1">SUMPRODUCT((Work_Codes!$N$96:$Y$96=$E180)*(Work_Codes!$N$104:$Y$104)*(O$65:O$65))</f>
        <v>0</v>
      </c>
      <c r="P180" s="81">
        <f ca="1">SUMPRODUCT((Work_Codes!$N$96:$Y$96=$E180)*(Work_Codes!$N$104:$Y$104)*(P$65:P$65))</f>
        <v>0</v>
      </c>
      <c r="Q180" s="81">
        <f ca="1">SUMPRODUCT((Work_Codes!$N$96:$Y$96=$E180)*(Work_Codes!$N$104:$Y$104)*(Q$65:Q$65))</f>
        <v>0</v>
      </c>
      <c r="R180" s="81">
        <f ca="1">SUMPRODUCT((Work_Codes!$N$96:$Y$96=$E180)*(Work_Codes!$N$104:$Y$104)*(R$65:R$65))</f>
        <v>0</v>
      </c>
      <c r="S180" s="81">
        <f ca="1">SUMPRODUCT((Work_Codes!$N$96:$Y$96=$E180)*(Work_Codes!$N$104:$Y$104)*(S$65:S$65))</f>
        <v>0</v>
      </c>
      <c r="T180" s="81">
        <f ca="1">SUMPRODUCT((Work_Codes!$N$96:$Y$96=$E180)*(Work_Codes!$N$104:$Y$104)*(T$65:T$65))</f>
        <v>0</v>
      </c>
    </row>
    <row r="181" spans="2:20" outlineLevel="2">
      <c r="E181" s="249" t="str">
        <f>"Total "&amp;D163</f>
        <v>Total Customer Contributions</v>
      </c>
      <c r="F181" s="249"/>
      <c r="G181" s="249"/>
      <c r="H181" s="249"/>
      <c r="I181" s="249"/>
      <c r="J181" s="82">
        <f t="shared" ref="J181:T181" ca="1" si="19">SUM(J165:J180)</f>
        <v>0</v>
      </c>
      <c r="K181" s="82">
        <f t="shared" ca="1" si="19"/>
        <v>0</v>
      </c>
      <c r="L181" s="82">
        <f t="shared" ca="1" si="19"/>
        <v>0</v>
      </c>
      <c r="M181" s="82">
        <f t="shared" ca="1" si="19"/>
        <v>0</v>
      </c>
      <c r="N181" s="82">
        <f t="shared" ca="1" si="19"/>
        <v>0</v>
      </c>
      <c r="O181" s="82">
        <f t="shared" ca="1" si="19"/>
        <v>0</v>
      </c>
      <c r="P181" s="82">
        <f t="shared" ca="1" si="19"/>
        <v>0</v>
      </c>
      <c r="Q181" s="82">
        <f t="shared" ca="1" si="19"/>
        <v>0</v>
      </c>
      <c r="R181" s="82">
        <f t="shared" ca="1" si="19"/>
        <v>0</v>
      </c>
      <c r="S181" s="82">
        <f t="shared" ca="1" si="19"/>
        <v>0</v>
      </c>
      <c r="T181" s="82">
        <f t="shared" ca="1" si="19"/>
        <v>0</v>
      </c>
    </row>
    <row r="182" spans="2:20" outlineLevel="1">
      <c r="B182" s="12"/>
      <c r="C182" s="12"/>
      <c r="D182" s="12"/>
      <c r="E182" s="12"/>
      <c r="F182" s="12"/>
      <c r="G182" s="12"/>
      <c r="H182" s="12"/>
      <c r="I182" s="12"/>
      <c r="J182" s="12"/>
      <c r="K182" s="12"/>
      <c r="L182" s="12"/>
      <c r="M182" s="12"/>
      <c r="N182" s="12"/>
      <c r="O182" s="12"/>
      <c r="P182" s="12"/>
      <c r="Q182" s="12"/>
      <c r="R182" s="12"/>
      <c r="S182" s="12"/>
      <c r="T182" s="12"/>
    </row>
    <row r="183" spans="2:20" outlineLevel="1"/>
    <row r="184" spans="2:20" outlineLevel="1">
      <c r="C184" s="37" t="s">
        <v>196</v>
      </c>
    </row>
    <row r="185" spans="2:20" ht="5.9" customHeight="1" outlineLevel="2"/>
    <row r="186" spans="2:20" outlineLevel="2">
      <c r="D186" s="37" t="s">
        <v>215</v>
      </c>
    </row>
    <row r="187" spans="2:20" ht="5.9" customHeight="1" outlineLevel="2"/>
    <row r="188" spans="2:20" ht="12" customHeight="1" outlineLevel="2">
      <c r="E188" s="247" t="str">
        <f>GC!C60</f>
        <v>Mains replacement</v>
      </c>
      <c r="F188" s="247"/>
      <c r="G188" s="247"/>
      <c r="H188" s="247"/>
      <c r="I188" s="247"/>
      <c r="J188" s="81">
        <f ca="1">SUMPRODUCT((Work_Codes!$AC$96:$AO$96=$E188)*(Work_Codes!$AC$99:$AO$100)*(J$95:J$96))</f>
        <v>0</v>
      </c>
      <c r="K188" s="81">
        <f ca="1">SUMPRODUCT((Work_Codes!$AC$96:$AO$96=$E188)*(Work_Codes!$AC$99:$AO$100)*(K$95:K$96))</f>
        <v>0</v>
      </c>
      <c r="L188" s="81">
        <f ca="1">SUMPRODUCT((Work_Codes!$AC$96:$AO$96=$E188)*(Work_Codes!$AC$99:$AO$100)*(L$95:L$96))</f>
        <v>0</v>
      </c>
      <c r="M188" s="81">
        <f ca="1">SUMPRODUCT((Work_Codes!$AC$96:$AO$96=$E188)*(Work_Codes!$AC$99:$AO$100)*(M$95:M$96))</f>
        <v>0</v>
      </c>
      <c r="N188" s="81">
        <f ca="1">SUMPRODUCT((Work_Codes!$AC$96:$AO$96=$E188)*(Work_Codes!$AC$99:$AO$100)*(N$95:N$96))</f>
        <v>0</v>
      </c>
      <c r="O188" s="81">
        <f ca="1">SUMPRODUCT((Work_Codes!$AC$96:$AO$96=$E188)*(Work_Codes!$AC$99:$AO$100)*(O$95:O$96))</f>
        <v>0</v>
      </c>
      <c r="P188" s="81">
        <f ca="1">SUMPRODUCT((Work_Codes!$AC$96:$AO$96=$E188)*(Work_Codes!$AC$99:$AO$100)*(P$95:P$96))</f>
        <v>2030830.6901402147</v>
      </c>
      <c r="Q188" s="81">
        <f ca="1">SUMPRODUCT((Work_Codes!$AC$96:$AO$96=$E188)*(Work_Codes!$AC$99:$AO$100)*(Q$95:Q$96))</f>
        <v>2031470.3117323555</v>
      </c>
      <c r="R188" s="81">
        <f ca="1">SUMPRODUCT((Work_Codes!$AC$96:$AO$96=$E188)*(Work_Codes!$AC$99:$AO$100)*(R$95:R$96))</f>
        <v>2032380.3835748462</v>
      </c>
      <c r="S188" s="81">
        <f ca="1">SUMPRODUCT((Work_Codes!$AC$96:$AO$96=$E188)*(Work_Codes!$AC$99:$AO$100)*(S$95:S$96))</f>
        <v>2033300.4738960522</v>
      </c>
      <c r="T188" s="81">
        <f ca="1">SUMPRODUCT((Work_Codes!$AC$96:$AO$96=$E188)*(Work_Codes!$AC$99:$AO$100)*(T$95:T$96))</f>
        <v>2034230.6929838778</v>
      </c>
    </row>
    <row r="189" spans="2:20" ht="12" customHeight="1" outlineLevel="2">
      <c r="E189" s="247" t="str">
        <f>GC!C61</f>
        <v>Residential new customer connections</v>
      </c>
      <c r="F189" s="247"/>
      <c r="G189" s="247"/>
      <c r="H189" s="247"/>
      <c r="I189" s="247"/>
      <c r="J189" s="81">
        <f ca="1">SUMPRODUCT((Work_Codes!$AC$96:$AO$96=$E189)*(Work_Codes!$AC$99:$AO$100)*(J$95:J$96))</f>
        <v>0</v>
      </c>
      <c r="K189" s="81">
        <f ca="1">SUMPRODUCT((Work_Codes!$AC$96:$AO$96=$E189)*(Work_Codes!$AC$99:$AO$100)*(K$95:K$96))</f>
        <v>0</v>
      </c>
      <c r="L189" s="81">
        <f ca="1">SUMPRODUCT((Work_Codes!$AC$96:$AO$96=$E189)*(Work_Codes!$AC$99:$AO$100)*(L$95:L$96))</f>
        <v>0</v>
      </c>
      <c r="M189" s="81">
        <f ca="1">SUMPRODUCT((Work_Codes!$AC$96:$AO$96=$E189)*(Work_Codes!$AC$99:$AO$100)*(M$95:M$96))</f>
        <v>0</v>
      </c>
      <c r="N189" s="81">
        <f ca="1">SUMPRODUCT((Work_Codes!$AC$96:$AO$96=$E189)*(Work_Codes!$AC$99:$AO$100)*(N$95:N$96))</f>
        <v>0</v>
      </c>
      <c r="O189" s="81">
        <f ca="1">SUMPRODUCT((Work_Codes!$AC$96:$AO$96=$E189)*(Work_Codes!$AC$99:$AO$100)*(O$95:O$96))</f>
        <v>0</v>
      </c>
      <c r="P189" s="81">
        <f ca="1">SUMPRODUCT((Work_Codes!$AC$96:$AO$96=$E189)*(Work_Codes!$AC$99:$AO$100)*(P$95:P$96))</f>
        <v>0</v>
      </c>
      <c r="Q189" s="81">
        <f ca="1">SUMPRODUCT((Work_Codes!$AC$96:$AO$96=$E189)*(Work_Codes!$AC$99:$AO$100)*(Q$95:Q$96))</f>
        <v>0</v>
      </c>
      <c r="R189" s="81">
        <f ca="1">SUMPRODUCT((Work_Codes!$AC$96:$AO$96=$E189)*(Work_Codes!$AC$99:$AO$100)*(R$95:R$96))</f>
        <v>0</v>
      </c>
      <c r="S189" s="81">
        <f ca="1">SUMPRODUCT((Work_Codes!$AC$96:$AO$96=$E189)*(Work_Codes!$AC$99:$AO$100)*(S$95:S$96))</f>
        <v>0</v>
      </c>
      <c r="T189" s="81">
        <f ca="1">SUMPRODUCT((Work_Codes!$AC$96:$AO$96=$E189)*(Work_Codes!$AC$99:$AO$100)*(T$95:T$96))</f>
        <v>0</v>
      </c>
    </row>
    <row r="190" spans="2:20" ht="12" customHeight="1" outlineLevel="2">
      <c r="E190" s="247" t="str">
        <f>GC!C62</f>
        <v>Commercial and industrial new customer connections</v>
      </c>
      <c r="F190" s="247"/>
      <c r="G190" s="247"/>
      <c r="H190" s="247"/>
      <c r="I190" s="247"/>
      <c r="J190" s="81">
        <f ca="1">SUMPRODUCT((Work_Codes!$AC$96:$AO$96=$E190)*(Work_Codes!$AC$99:$AO$100)*(J$95:J$96))</f>
        <v>0</v>
      </c>
      <c r="K190" s="81">
        <f ca="1">SUMPRODUCT((Work_Codes!$AC$96:$AO$96=$E190)*(Work_Codes!$AC$99:$AO$100)*(K$95:K$96))</f>
        <v>0</v>
      </c>
      <c r="L190" s="81">
        <f ca="1">SUMPRODUCT((Work_Codes!$AC$96:$AO$96=$E190)*(Work_Codes!$AC$99:$AO$100)*(L$95:L$96))</f>
        <v>0</v>
      </c>
      <c r="M190" s="81">
        <f ca="1">SUMPRODUCT((Work_Codes!$AC$96:$AO$96=$E190)*(Work_Codes!$AC$99:$AO$100)*(M$95:M$96))</f>
        <v>0</v>
      </c>
      <c r="N190" s="81">
        <f ca="1">SUMPRODUCT((Work_Codes!$AC$96:$AO$96=$E190)*(Work_Codes!$AC$99:$AO$100)*(N$95:N$96))</f>
        <v>0</v>
      </c>
      <c r="O190" s="81">
        <f ca="1">SUMPRODUCT((Work_Codes!$AC$96:$AO$96=$E190)*(Work_Codes!$AC$99:$AO$100)*(O$95:O$96))</f>
        <v>0</v>
      </c>
      <c r="P190" s="81">
        <f ca="1">SUMPRODUCT((Work_Codes!$AC$96:$AO$96=$E190)*(Work_Codes!$AC$99:$AO$100)*(P$95:P$96))</f>
        <v>0</v>
      </c>
      <c r="Q190" s="81">
        <f ca="1">SUMPRODUCT((Work_Codes!$AC$96:$AO$96=$E190)*(Work_Codes!$AC$99:$AO$100)*(Q$95:Q$96))</f>
        <v>0</v>
      </c>
      <c r="R190" s="81">
        <f ca="1">SUMPRODUCT((Work_Codes!$AC$96:$AO$96=$E190)*(Work_Codes!$AC$99:$AO$100)*(R$95:R$96))</f>
        <v>0</v>
      </c>
      <c r="S190" s="81">
        <f ca="1">SUMPRODUCT((Work_Codes!$AC$96:$AO$96=$E190)*(Work_Codes!$AC$99:$AO$100)*(S$95:S$96))</f>
        <v>0</v>
      </c>
      <c r="T190" s="81">
        <f ca="1">SUMPRODUCT((Work_Codes!$AC$96:$AO$96=$E190)*(Work_Codes!$AC$99:$AO$100)*(T$95:T$96))</f>
        <v>0</v>
      </c>
    </row>
    <row r="191" spans="2:20" ht="12" customHeight="1" outlineLevel="2">
      <c r="E191" s="247" t="str">
        <f>GC!C63</f>
        <v>Residential meter replacement</v>
      </c>
      <c r="F191" s="247"/>
      <c r="G191" s="247"/>
      <c r="H191" s="247"/>
      <c r="I191" s="247"/>
      <c r="J191" s="81">
        <f ca="1">SUMPRODUCT((Work_Codes!$AC$96:$AO$96=$E191)*(Work_Codes!$AC$99:$AO$100)*(J$95:J$96))</f>
        <v>0</v>
      </c>
      <c r="K191" s="81">
        <f ca="1">SUMPRODUCT((Work_Codes!$AC$96:$AO$96=$E191)*(Work_Codes!$AC$99:$AO$100)*(K$95:K$96))</f>
        <v>0</v>
      </c>
      <c r="L191" s="81">
        <f ca="1">SUMPRODUCT((Work_Codes!$AC$96:$AO$96=$E191)*(Work_Codes!$AC$99:$AO$100)*(L$95:L$96))</f>
        <v>0</v>
      </c>
      <c r="M191" s="81">
        <f ca="1">SUMPRODUCT((Work_Codes!$AC$96:$AO$96=$E191)*(Work_Codes!$AC$99:$AO$100)*(M$95:M$96))</f>
        <v>0</v>
      </c>
      <c r="N191" s="81">
        <f ca="1">SUMPRODUCT((Work_Codes!$AC$96:$AO$96=$E191)*(Work_Codes!$AC$99:$AO$100)*(N$95:N$96))</f>
        <v>0</v>
      </c>
      <c r="O191" s="81">
        <f ca="1">SUMPRODUCT((Work_Codes!$AC$96:$AO$96=$E191)*(Work_Codes!$AC$99:$AO$100)*(O$95:O$96))</f>
        <v>0</v>
      </c>
      <c r="P191" s="81">
        <f ca="1">SUMPRODUCT((Work_Codes!$AC$96:$AO$96=$E191)*(Work_Codes!$AC$99:$AO$100)*(P$95:P$96))</f>
        <v>0</v>
      </c>
      <c r="Q191" s="81">
        <f ca="1">SUMPRODUCT((Work_Codes!$AC$96:$AO$96=$E191)*(Work_Codes!$AC$99:$AO$100)*(Q$95:Q$96))</f>
        <v>0</v>
      </c>
      <c r="R191" s="81">
        <f ca="1">SUMPRODUCT((Work_Codes!$AC$96:$AO$96=$E191)*(Work_Codes!$AC$99:$AO$100)*(R$95:R$96))</f>
        <v>0</v>
      </c>
      <c r="S191" s="81">
        <f ca="1">SUMPRODUCT((Work_Codes!$AC$96:$AO$96=$E191)*(Work_Codes!$AC$99:$AO$100)*(S$95:S$96))</f>
        <v>0</v>
      </c>
      <c r="T191" s="81">
        <f ca="1">SUMPRODUCT((Work_Codes!$AC$96:$AO$96=$E191)*(Work_Codes!$AC$99:$AO$100)*(T$95:T$96))</f>
        <v>0</v>
      </c>
    </row>
    <row r="192" spans="2:20" ht="12" customHeight="1" outlineLevel="2">
      <c r="E192" s="247" t="str">
        <f>GC!C64</f>
        <v>Commercial and industrial meter replacement</v>
      </c>
      <c r="F192" s="247"/>
      <c r="G192" s="247"/>
      <c r="H192" s="247"/>
      <c r="I192" s="247"/>
      <c r="J192" s="81">
        <f ca="1">SUMPRODUCT((Work_Codes!$AC$96:$AO$96=$E192)*(Work_Codes!$AC$99:$AO$100)*(J$95:J$96))</f>
        <v>0</v>
      </c>
      <c r="K192" s="81">
        <f ca="1">SUMPRODUCT((Work_Codes!$AC$96:$AO$96=$E192)*(Work_Codes!$AC$99:$AO$100)*(K$95:K$96))</f>
        <v>0</v>
      </c>
      <c r="L192" s="81">
        <f ca="1">SUMPRODUCT((Work_Codes!$AC$96:$AO$96=$E192)*(Work_Codes!$AC$99:$AO$100)*(L$95:L$96))</f>
        <v>0</v>
      </c>
      <c r="M192" s="81">
        <f ca="1">SUMPRODUCT((Work_Codes!$AC$96:$AO$96=$E192)*(Work_Codes!$AC$99:$AO$100)*(M$95:M$96))</f>
        <v>0</v>
      </c>
      <c r="N192" s="81">
        <f ca="1">SUMPRODUCT((Work_Codes!$AC$96:$AO$96=$E192)*(Work_Codes!$AC$99:$AO$100)*(N$95:N$96))</f>
        <v>0</v>
      </c>
      <c r="O192" s="81">
        <f ca="1">SUMPRODUCT((Work_Codes!$AC$96:$AO$96=$E192)*(Work_Codes!$AC$99:$AO$100)*(O$95:O$96))</f>
        <v>0</v>
      </c>
      <c r="P192" s="81">
        <f ca="1">SUMPRODUCT((Work_Codes!$AC$96:$AO$96=$E192)*(Work_Codes!$AC$99:$AO$100)*(P$95:P$96))</f>
        <v>0</v>
      </c>
      <c r="Q192" s="81">
        <f ca="1">SUMPRODUCT((Work_Codes!$AC$96:$AO$96=$E192)*(Work_Codes!$AC$99:$AO$100)*(Q$95:Q$96))</f>
        <v>0</v>
      </c>
      <c r="R192" s="81">
        <f ca="1">SUMPRODUCT((Work_Codes!$AC$96:$AO$96=$E192)*(Work_Codes!$AC$99:$AO$100)*(R$95:R$96))</f>
        <v>0</v>
      </c>
      <c r="S192" s="81">
        <f ca="1">SUMPRODUCT((Work_Codes!$AC$96:$AO$96=$E192)*(Work_Codes!$AC$99:$AO$100)*(S$95:S$96))</f>
        <v>0</v>
      </c>
      <c r="T192" s="81">
        <f ca="1">SUMPRODUCT((Work_Codes!$AC$96:$AO$96=$E192)*(Work_Codes!$AC$99:$AO$100)*(T$95:T$96))</f>
        <v>0</v>
      </c>
    </row>
    <row r="193" spans="4:20" ht="12" customHeight="1" outlineLevel="2">
      <c r="E193" s="247" t="str">
        <f>GC!C65</f>
        <v>Augmentation</v>
      </c>
      <c r="F193" s="247"/>
      <c r="G193" s="247"/>
      <c r="H193" s="247"/>
      <c r="I193" s="247"/>
      <c r="J193" s="81">
        <f ca="1">SUMPRODUCT((Work_Codes!$AC$96:$AO$96=$E193)*(Work_Codes!$AC$99:$AO$100)*(J$95:J$96))</f>
        <v>0</v>
      </c>
      <c r="K193" s="81">
        <f ca="1">SUMPRODUCT((Work_Codes!$AC$96:$AO$96=$E193)*(Work_Codes!$AC$99:$AO$100)*(K$95:K$96))</f>
        <v>0</v>
      </c>
      <c r="L193" s="81">
        <f ca="1">SUMPRODUCT((Work_Codes!$AC$96:$AO$96=$E193)*(Work_Codes!$AC$99:$AO$100)*(L$95:L$96))</f>
        <v>0</v>
      </c>
      <c r="M193" s="81">
        <f ca="1">SUMPRODUCT((Work_Codes!$AC$96:$AO$96=$E193)*(Work_Codes!$AC$99:$AO$100)*(M$95:M$96))</f>
        <v>0</v>
      </c>
      <c r="N193" s="81">
        <f ca="1">SUMPRODUCT((Work_Codes!$AC$96:$AO$96=$E193)*(Work_Codes!$AC$99:$AO$100)*(N$95:N$96))</f>
        <v>0</v>
      </c>
      <c r="O193" s="81">
        <f ca="1">SUMPRODUCT((Work_Codes!$AC$96:$AO$96=$E193)*(Work_Codes!$AC$99:$AO$100)*(O$95:O$96))</f>
        <v>0</v>
      </c>
      <c r="P193" s="81">
        <f ca="1">SUMPRODUCT((Work_Codes!$AC$96:$AO$96=$E193)*(Work_Codes!$AC$99:$AO$100)*(P$95:P$96))</f>
        <v>0</v>
      </c>
      <c r="Q193" s="81">
        <f ca="1">SUMPRODUCT((Work_Codes!$AC$96:$AO$96=$E193)*(Work_Codes!$AC$99:$AO$100)*(Q$95:Q$96))</f>
        <v>0</v>
      </c>
      <c r="R193" s="81">
        <f ca="1">SUMPRODUCT((Work_Codes!$AC$96:$AO$96=$E193)*(Work_Codes!$AC$99:$AO$100)*(R$95:R$96))</f>
        <v>0</v>
      </c>
      <c r="S193" s="81">
        <f ca="1">SUMPRODUCT((Work_Codes!$AC$96:$AO$96=$E193)*(Work_Codes!$AC$99:$AO$100)*(S$95:S$96))</f>
        <v>0</v>
      </c>
      <c r="T193" s="81">
        <f ca="1">SUMPRODUCT((Work_Codes!$AC$96:$AO$96=$E193)*(Work_Codes!$AC$99:$AO$100)*(T$95:T$96))</f>
        <v>0</v>
      </c>
    </row>
    <row r="194" spans="4:20" ht="12" customHeight="1" outlineLevel="2">
      <c r="E194" s="247" t="str">
        <f>GC!C66</f>
        <v>IT capex</v>
      </c>
      <c r="F194" s="247"/>
      <c r="G194" s="247"/>
      <c r="H194" s="247"/>
      <c r="I194" s="247"/>
      <c r="J194" s="81">
        <f ca="1">SUMPRODUCT((Work_Codes!$AC$96:$AO$96=$E194)*(Work_Codes!$AC$99:$AO$100)*(J$95:J$96))</f>
        <v>0</v>
      </c>
      <c r="K194" s="81">
        <f ca="1">SUMPRODUCT((Work_Codes!$AC$96:$AO$96=$E194)*(Work_Codes!$AC$99:$AO$100)*(K$95:K$96))</f>
        <v>0</v>
      </c>
      <c r="L194" s="81">
        <f ca="1">SUMPRODUCT((Work_Codes!$AC$96:$AO$96=$E194)*(Work_Codes!$AC$99:$AO$100)*(L$95:L$96))</f>
        <v>0</v>
      </c>
      <c r="M194" s="81">
        <f ca="1">SUMPRODUCT((Work_Codes!$AC$96:$AO$96=$E194)*(Work_Codes!$AC$99:$AO$100)*(M$95:M$96))</f>
        <v>0</v>
      </c>
      <c r="N194" s="81">
        <f ca="1">SUMPRODUCT((Work_Codes!$AC$96:$AO$96=$E194)*(Work_Codes!$AC$99:$AO$100)*(N$95:N$96))</f>
        <v>0</v>
      </c>
      <c r="O194" s="81">
        <f ca="1">SUMPRODUCT((Work_Codes!$AC$96:$AO$96=$E194)*(Work_Codes!$AC$99:$AO$100)*(O$95:O$96))</f>
        <v>0</v>
      </c>
      <c r="P194" s="81">
        <f ca="1">SUMPRODUCT((Work_Codes!$AC$96:$AO$96=$E194)*(Work_Codes!$AC$99:$AO$100)*(P$95:P$96))</f>
        <v>0</v>
      </c>
      <c r="Q194" s="81">
        <f ca="1">SUMPRODUCT((Work_Codes!$AC$96:$AO$96=$E194)*(Work_Codes!$AC$99:$AO$100)*(Q$95:Q$96))</f>
        <v>0</v>
      </c>
      <c r="R194" s="81">
        <f ca="1">SUMPRODUCT((Work_Codes!$AC$96:$AO$96=$E194)*(Work_Codes!$AC$99:$AO$100)*(R$95:R$96))</f>
        <v>0</v>
      </c>
      <c r="S194" s="81">
        <f ca="1">SUMPRODUCT((Work_Codes!$AC$96:$AO$96=$E194)*(Work_Codes!$AC$99:$AO$100)*(S$95:S$96))</f>
        <v>0</v>
      </c>
      <c r="T194" s="81">
        <f ca="1">SUMPRODUCT((Work_Codes!$AC$96:$AO$96=$E194)*(Work_Codes!$AC$99:$AO$100)*(T$95:T$96))</f>
        <v>0</v>
      </c>
    </row>
    <row r="195" spans="4:20" ht="12" customHeight="1" outlineLevel="2">
      <c r="E195" s="247" t="str">
        <f>GC!C67</f>
        <v>SCADA</v>
      </c>
      <c r="F195" s="247"/>
      <c r="G195" s="247"/>
      <c r="H195" s="247"/>
      <c r="I195" s="247"/>
      <c r="J195" s="81">
        <f ca="1">SUMPRODUCT((Work_Codes!$AC$96:$AO$96=$E195)*(Work_Codes!$AC$99:$AO$100)*(J$95:J$96))</f>
        <v>0</v>
      </c>
      <c r="K195" s="81">
        <f ca="1">SUMPRODUCT((Work_Codes!$AC$96:$AO$96=$E195)*(Work_Codes!$AC$99:$AO$100)*(K$95:K$96))</f>
        <v>0</v>
      </c>
      <c r="L195" s="81">
        <f ca="1">SUMPRODUCT((Work_Codes!$AC$96:$AO$96=$E195)*(Work_Codes!$AC$99:$AO$100)*(L$95:L$96))</f>
        <v>0</v>
      </c>
      <c r="M195" s="81">
        <f ca="1">SUMPRODUCT((Work_Codes!$AC$96:$AO$96=$E195)*(Work_Codes!$AC$99:$AO$100)*(M$95:M$96))</f>
        <v>0</v>
      </c>
      <c r="N195" s="81">
        <f ca="1">SUMPRODUCT((Work_Codes!$AC$96:$AO$96=$E195)*(Work_Codes!$AC$99:$AO$100)*(N$95:N$96))</f>
        <v>0</v>
      </c>
      <c r="O195" s="81">
        <f ca="1">SUMPRODUCT((Work_Codes!$AC$96:$AO$96=$E195)*(Work_Codes!$AC$99:$AO$100)*(O$95:O$96))</f>
        <v>0</v>
      </c>
      <c r="P195" s="81">
        <f ca="1">SUMPRODUCT((Work_Codes!$AC$96:$AO$96=$E195)*(Work_Codes!$AC$99:$AO$100)*(P$95:P$96))</f>
        <v>0</v>
      </c>
      <c r="Q195" s="81">
        <f ca="1">SUMPRODUCT((Work_Codes!$AC$96:$AO$96=$E195)*(Work_Codes!$AC$99:$AO$100)*(Q$95:Q$96))</f>
        <v>0</v>
      </c>
      <c r="R195" s="81">
        <f ca="1">SUMPRODUCT((Work_Codes!$AC$96:$AO$96=$E195)*(Work_Codes!$AC$99:$AO$100)*(R$95:R$96))</f>
        <v>0</v>
      </c>
      <c r="S195" s="81">
        <f ca="1">SUMPRODUCT((Work_Codes!$AC$96:$AO$96=$E195)*(Work_Codes!$AC$99:$AO$100)*(S$95:S$96))</f>
        <v>0</v>
      </c>
      <c r="T195" s="81">
        <f ca="1">SUMPRODUCT((Work_Codes!$AC$96:$AO$96=$E195)*(Work_Codes!$AC$99:$AO$100)*(T$95:T$96))</f>
        <v>0</v>
      </c>
    </row>
    <row r="196" spans="4:20" ht="12" customHeight="1" outlineLevel="2">
      <c r="E196" s="247" t="str">
        <f>GC!C68</f>
        <v>Other</v>
      </c>
      <c r="F196" s="247"/>
      <c r="G196" s="247"/>
      <c r="H196" s="247"/>
      <c r="I196" s="247"/>
      <c r="J196" s="81">
        <f ca="1">SUMPRODUCT((Work_Codes!$AC$96:$AO$96=$E196)*(Work_Codes!$AC$99:$AO$100)*(J$95:J$96))</f>
        <v>0</v>
      </c>
      <c r="K196" s="81">
        <f ca="1">SUMPRODUCT((Work_Codes!$AC$96:$AO$96=$E196)*(Work_Codes!$AC$99:$AO$100)*(K$95:K$96))</f>
        <v>0</v>
      </c>
      <c r="L196" s="81">
        <f ca="1">SUMPRODUCT((Work_Codes!$AC$96:$AO$96=$E196)*(Work_Codes!$AC$99:$AO$100)*(L$95:L$96))</f>
        <v>0</v>
      </c>
      <c r="M196" s="81">
        <f ca="1">SUMPRODUCT((Work_Codes!$AC$96:$AO$96=$E196)*(Work_Codes!$AC$99:$AO$100)*(M$95:M$96))</f>
        <v>0</v>
      </c>
      <c r="N196" s="81">
        <f ca="1">SUMPRODUCT((Work_Codes!$AC$96:$AO$96=$E196)*(Work_Codes!$AC$99:$AO$100)*(N$95:N$96))</f>
        <v>0</v>
      </c>
      <c r="O196" s="81">
        <f ca="1">SUMPRODUCT((Work_Codes!$AC$96:$AO$96=$E196)*(Work_Codes!$AC$99:$AO$100)*(O$95:O$96))</f>
        <v>0</v>
      </c>
      <c r="P196" s="81">
        <f ca="1">SUMPRODUCT((Work_Codes!$AC$96:$AO$96=$E196)*(Work_Codes!$AC$99:$AO$100)*(P$95:P$96))</f>
        <v>0</v>
      </c>
      <c r="Q196" s="81">
        <f ca="1">SUMPRODUCT((Work_Codes!$AC$96:$AO$96=$E196)*(Work_Codes!$AC$99:$AO$100)*(Q$95:Q$96))</f>
        <v>0</v>
      </c>
      <c r="R196" s="81">
        <f ca="1">SUMPRODUCT((Work_Codes!$AC$96:$AO$96=$E196)*(Work_Codes!$AC$99:$AO$100)*(R$95:R$96))</f>
        <v>0</v>
      </c>
      <c r="S196" s="81">
        <f ca="1">SUMPRODUCT((Work_Codes!$AC$96:$AO$96=$E196)*(Work_Codes!$AC$99:$AO$100)*(S$95:S$96))</f>
        <v>0</v>
      </c>
      <c r="T196" s="81">
        <f ca="1">SUMPRODUCT((Work_Codes!$AC$96:$AO$96=$E196)*(Work_Codes!$AC$99:$AO$100)*(T$95:T$96))</f>
        <v>0</v>
      </c>
    </row>
    <row r="197" spans="4:20" outlineLevel="2">
      <c r="E197" s="247" t="str">
        <f>GC!C69</f>
        <v>Capitalised Leases</v>
      </c>
      <c r="F197" s="247"/>
      <c r="G197" s="247"/>
      <c r="H197" s="247"/>
      <c r="I197" s="247"/>
      <c r="J197" s="81">
        <f ca="1">SUMPRODUCT((Work_Codes!$AC$96:$AO$96=$E197)*(Work_Codes!$AC$99:$AO$100)*(J$95:J$96))</f>
        <v>0</v>
      </c>
      <c r="K197" s="81">
        <f ca="1">SUMPRODUCT((Work_Codes!$AC$96:$AO$96=$E197)*(Work_Codes!$AC$99:$AO$100)*(K$95:K$96))</f>
        <v>0</v>
      </c>
      <c r="L197" s="81">
        <f ca="1">SUMPRODUCT((Work_Codes!$AC$96:$AO$96=$E197)*(Work_Codes!$AC$99:$AO$100)*(L$95:L$96))</f>
        <v>0</v>
      </c>
      <c r="M197" s="81">
        <f ca="1">SUMPRODUCT((Work_Codes!$AC$96:$AO$96=$E197)*(Work_Codes!$AC$99:$AO$100)*(M$95:M$96))</f>
        <v>0</v>
      </c>
      <c r="N197" s="81">
        <f ca="1">SUMPRODUCT((Work_Codes!$AC$96:$AO$96=$E197)*(Work_Codes!$AC$99:$AO$100)*(N$95:N$96))</f>
        <v>0</v>
      </c>
      <c r="O197" s="81">
        <f ca="1">SUMPRODUCT((Work_Codes!$AC$96:$AO$96=$E197)*(Work_Codes!$AC$99:$AO$100)*(O$95:O$96))</f>
        <v>0</v>
      </c>
      <c r="P197" s="81">
        <f ca="1">SUMPRODUCT((Work_Codes!$AC$96:$AO$96=$E197)*(Work_Codes!$AC$99:$AO$100)*(P$95:P$96))</f>
        <v>0</v>
      </c>
      <c r="Q197" s="81">
        <f ca="1">SUMPRODUCT((Work_Codes!$AC$96:$AO$96=$E197)*(Work_Codes!$AC$99:$AO$100)*(Q$95:Q$96))</f>
        <v>0</v>
      </c>
      <c r="R197" s="81">
        <f ca="1">SUMPRODUCT((Work_Codes!$AC$96:$AO$96=$E197)*(Work_Codes!$AC$99:$AO$100)*(R$95:R$96))</f>
        <v>0</v>
      </c>
      <c r="S197" s="81">
        <f ca="1">SUMPRODUCT((Work_Codes!$AC$96:$AO$96=$E197)*(Work_Codes!$AC$99:$AO$100)*(S$95:S$96))</f>
        <v>0</v>
      </c>
      <c r="T197" s="81">
        <f ca="1">SUMPRODUCT((Work_Codes!$AC$96:$AO$96=$E197)*(Work_Codes!$AC$99:$AO$100)*(T$95:T$96))</f>
        <v>0</v>
      </c>
    </row>
    <row r="198" spans="4:20" ht="12" customHeight="1" outlineLevel="2">
      <c r="E198" s="247" t="str">
        <f>GC!C70</f>
        <v>Gas Extensions - Energy for the Regions</v>
      </c>
      <c r="F198" s="247"/>
      <c r="G198" s="247"/>
      <c r="H198" s="247"/>
      <c r="I198" s="247"/>
      <c r="J198" s="81">
        <f ca="1">SUMPRODUCT((Work_Codes!$AC$96:$AO$96=$E198)*(Work_Codes!$AC$99:$AO$100)*(J$95:J$96))</f>
        <v>0</v>
      </c>
      <c r="K198" s="81">
        <f ca="1">SUMPRODUCT((Work_Codes!$AC$96:$AO$96=$E198)*(Work_Codes!$AC$99:$AO$100)*(K$95:K$96))</f>
        <v>0</v>
      </c>
      <c r="L198" s="81">
        <f ca="1">SUMPRODUCT((Work_Codes!$AC$96:$AO$96=$E198)*(Work_Codes!$AC$99:$AO$100)*(L$95:L$96))</f>
        <v>0</v>
      </c>
      <c r="M198" s="81">
        <f ca="1">SUMPRODUCT((Work_Codes!$AC$96:$AO$96=$E198)*(Work_Codes!$AC$99:$AO$100)*(M$95:M$96))</f>
        <v>0</v>
      </c>
      <c r="N198" s="81">
        <f ca="1">SUMPRODUCT((Work_Codes!$AC$96:$AO$96=$E198)*(Work_Codes!$AC$99:$AO$100)*(N$95:N$96))</f>
        <v>0</v>
      </c>
      <c r="O198" s="81">
        <f ca="1">SUMPRODUCT((Work_Codes!$AC$96:$AO$96=$E198)*(Work_Codes!$AC$99:$AO$100)*(O$95:O$96))</f>
        <v>0</v>
      </c>
      <c r="P198" s="81">
        <f ca="1">SUMPRODUCT((Work_Codes!$AC$96:$AO$96=$E198)*(Work_Codes!$AC$99:$AO$100)*(P$95:P$96))</f>
        <v>0</v>
      </c>
      <c r="Q198" s="81">
        <f ca="1">SUMPRODUCT((Work_Codes!$AC$96:$AO$96=$E198)*(Work_Codes!$AC$99:$AO$100)*(Q$95:Q$96))</f>
        <v>0</v>
      </c>
      <c r="R198" s="81">
        <f ca="1">SUMPRODUCT((Work_Codes!$AC$96:$AO$96=$E198)*(Work_Codes!$AC$99:$AO$100)*(R$95:R$96))</f>
        <v>0</v>
      </c>
      <c r="S198" s="81">
        <f ca="1">SUMPRODUCT((Work_Codes!$AC$96:$AO$96=$E198)*(Work_Codes!$AC$99:$AO$100)*(S$95:S$96))</f>
        <v>0</v>
      </c>
      <c r="T198" s="81">
        <f ca="1">SUMPRODUCT((Work_Codes!$AC$96:$AO$96=$E198)*(Work_Codes!$AC$99:$AO$100)*(T$95:T$96))</f>
        <v>0</v>
      </c>
    </row>
    <row r="199" spans="4:20" ht="12" customHeight="1" outlineLevel="2">
      <c r="E199" s="247" t="str">
        <f>GC!C71</f>
        <v>Gas Extensions - Other</v>
      </c>
      <c r="F199" s="247"/>
      <c r="G199" s="247"/>
      <c r="H199" s="247"/>
      <c r="I199" s="247"/>
      <c r="J199" s="81">
        <f ca="1">SUMPRODUCT((Work_Codes!$AC$96:$AO$96=$E199)*(Work_Codes!$AC$99:$AO$100)*(J$95:J$96))</f>
        <v>0</v>
      </c>
      <c r="K199" s="81">
        <f ca="1">SUMPRODUCT((Work_Codes!$AC$96:$AO$96=$E199)*(Work_Codes!$AC$99:$AO$100)*(K$95:K$96))</f>
        <v>0</v>
      </c>
      <c r="L199" s="81">
        <f ca="1">SUMPRODUCT((Work_Codes!$AC$96:$AO$96=$E199)*(Work_Codes!$AC$99:$AO$100)*(L$95:L$96))</f>
        <v>0</v>
      </c>
      <c r="M199" s="81">
        <f ca="1">SUMPRODUCT((Work_Codes!$AC$96:$AO$96=$E199)*(Work_Codes!$AC$99:$AO$100)*(M$95:M$96))</f>
        <v>0</v>
      </c>
      <c r="N199" s="81">
        <f ca="1">SUMPRODUCT((Work_Codes!$AC$96:$AO$96=$E199)*(Work_Codes!$AC$99:$AO$100)*(N$95:N$96))</f>
        <v>0</v>
      </c>
      <c r="O199" s="81">
        <f ca="1">SUMPRODUCT((Work_Codes!$AC$96:$AO$96=$E199)*(Work_Codes!$AC$99:$AO$100)*(O$95:O$96))</f>
        <v>0</v>
      </c>
      <c r="P199" s="81">
        <f ca="1">SUMPRODUCT((Work_Codes!$AC$96:$AO$96=$E199)*(Work_Codes!$AC$99:$AO$100)*(P$95:P$96))</f>
        <v>0</v>
      </c>
      <c r="Q199" s="81">
        <f ca="1">SUMPRODUCT((Work_Codes!$AC$96:$AO$96=$E199)*(Work_Codes!$AC$99:$AO$100)*(Q$95:Q$96))</f>
        <v>0</v>
      </c>
      <c r="R199" s="81">
        <f ca="1">SUMPRODUCT((Work_Codes!$AC$96:$AO$96=$E199)*(Work_Codes!$AC$99:$AO$100)*(R$95:R$96))</f>
        <v>0</v>
      </c>
      <c r="S199" s="81">
        <f ca="1">SUMPRODUCT((Work_Codes!$AC$96:$AO$96=$E199)*(Work_Codes!$AC$99:$AO$100)*(S$95:S$96))</f>
        <v>0</v>
      </c>
      <c r="T199" s="81">
        <f ca="1">SUMPRODUCT((Work_Codes!$AC$96:$AO$96=$E199)*(Work_Codes!$AC$99:$AO$100)*(T$95:T$96))</f>
        <v>0</v>
      </c>
    </row>
    <row r="200" spans="4:20" ht="12" customHeight="1" outlineLevel="2">
      <c r="E200" s="247" t="str">
        <f>GC!C72</f>
        <v>Customer contributions</v>
      </c>
      <c r="F200" s="247"/>
      <c r="G200" s="247"/>
      <c r="H200" s="247"/>
      <c r="I200" s="247"/>
      <c r="J200" s="81">
        <f ca="1">SUMPRODUCT((Work_Codes!$AC$96:$AO$96=$E200)*(Work_Codes!$AC$99:$AO$100)*(J$95:J$96))</f>
        <v>0</v>
      </c>
      <c r="K200" s="81">
        <f ca="1">SUMPRODUCT((Work_Codes!$AC$96:$AO$96=$E200)*(Work_Codes!$AC$99:$AO$100)*(K$95:K$96))</f>
        <v>0</v>
      </c>
      <c r="L200" s="81">
        <f ca="1">SUMPRODUCT((Work_Codes!$AC$96:$AO$96=$E200)*(Work_Codes!$AC$99:$AO$100)*(L$95:L$96))</f>
        <v>0</v>
      </c>
      <c r="M200" s="81">
        <f ca="1">SUMPRODUCT((Work_Codes!$AC$96:$AO$96=$E200)*(Work_Codes!$AC$99:$AO$100)*(M$95:M$96))</f>
        <v>0</v>
      </c>
      <c r="N200" s="81">
        <f ca="1">SUMPRODUCT((Work_Codes!$AC$96:$AO$96=$E200)*(Work_Codes!$AC$99:$AO$100)*(N$95:N$96))</f>
        <v>0</v>
      </c>
      <c r="O200" s="81">
        <f ca="1">SUMPRODUCT((Work_Codes!$AC$96:$AO$96=$E200)*(Work_Codes!$AC$99:$AO$100)*(O$95:O$96))</f>
        <v>0</v>
      </c>
      <c r="P200" s="81">
        <f ca="1">SUMPRODUCT((Work_Codes!$AC$96:$AO$96=$E200)*(Work_Codes!$AC$99:$AO$100)*(P$95:P$96))</f>
        <v>0</v>
      </c>
      <c r="Q200" s="81">
        <f ca="1">SUMPRODUCT((Work_Codes!$AC$96:$AO$96=$E200)*(Work_Codes!$AC$99:$AO$100)*(Q$95:Q$96))</f>
        <v>0</v>
      </c>
      <c r="R200" s="81">
        <f ca="1">SUMPRODUCT((Work_Codes!$AC$96:$AO$96=$E200)*(Work_Codes!$AC$99:$AO$100)*(R$95:R$96))</f>
        <v>0</v>
      </c>
      <c r="S200" s="81">
        <f ca="1">SUMPRODUCT((Work_Codes!$AC$96:$AO$96=$E200)*(Work_Codes!$AC$99:$AO$100)*(S$95:S$96))</f>
        <v>0</v>
      </c>
      <c r="T200" s="81">
        <f ca="1">SUMPRODUCT((Work_Codes!$AC$96:$AO$96=$E200)*(Work_Codes!$AC$99:$AO$100)*(T$95:T$96))</f>
        <v>0</v>
      </c>
    </row>
    <row r="201" spans="4:20" ht="12" customHeight="1" outlineLevel="2">
      <c r="E201" s="247" t="str">
        <f>GC!C73</f>
        <v>Government contributions</v>
      </c>
      <c r="F201" s="247"/>
      <c r="G201" s="247"/>
      <c r="H201" s="247"/>
      <c r="I201" s="247"/>
      <c r="J201" s="81">
        <f ca="1">SUMPRODUCT((Work_Codes!$AC$96:$AO$96=$E201)*(Work_Codes!$AC$99:$AO$100)*(J$95:J$96))</f>
        <v>0</v>
      </c>
      <c r="K201" s="81">
        <f ca="1">SUMPRODUCT((Work_Codes!$AC$96:$AO$96=$E201)*(Work_Codes!$AC$99:$AO$100)*(K$95:K$96))</f>
        <v>0</v>
      </c>
      <c r="L201" s="81">
        <f ca="1">SUMPRODUCT((Work_Codes!$AC$96:$AO$96=$E201)*(Work_Codes!$AC$99:$AO$100)*(L$95:L$96))</f>
        <v>0</v>
      </c>
      <c r="M201" s="81">
        <f ca="1">SUMPRODUCT((Work_Codes!$AC$96:$AO$96=$E201)*(Work_Codes!$AC$99:$AO$100)*(M$95:M$96))</f>
        <v>0</v>
      </c>
      <c r="N201" s="81">
        <f ca="1">SUMPRODUCT((Work_Codes!$AC$96:$AO$96=$E201)*(Work_Codes!$AC$99:$AO$100)*(N$95:N$96))</f>
        <v>0</v>
      </c>
      <c r="O201" s="81">
        <f ca="1">SUMPRODUCT((Work_Codes!$AC$96:$AO$96=$E201)*(Work_Codes!$AC$99:$AO$100)*(O$95:O$96))</f>
        <v>0</v>
      </c>
      <c r="P201" s="81">
        <f ca="1">SUMPRODUCT((Work_Codes!$AC$96:$AO$96=$E201)*(Work_Codes!$AC$99:$AO$100)*(P$95:P$96))</f>
        <v>0</v>
      </c>
      <c r="Q201" s="81">
        <f ca="1">SUMPRODUCT((Work_Codes!$AC$96:$AO$96=$E201)*(Work_Codes!$AC$99:$AO$100)*(Q$95:Q$96))</f>
        <v>0</v>
      </c>
      <c r="R201" s="81">
        <f ca="1">SUMPRODUCT((Work_Codes!$AC$96:$AO$96=$E201)*(Work_Codes!$AC$99:$AO$100)*(R$95:R$96))</f>
        <v>0</v>
      </c>
      <c r="S201" s="81">
        <f ca="1">SUMPRODUCT((Work_Codes!$AC$96:$AO$96=$E201)*(Work_Codes!$AC$99:$AO$100)*(S$95:S$96))</f>
        <v>0</v>
      </c>
      <c r="T201" s="81">
        <f ca="1">SUMPRODUCT((Work_Codes!$AC$96:$AO$96=$E201)*(Work_Codes!$AC$99:$AO$100)*(T$95:T$96))</f>
        <v>0</v>
      </c>
    </row>
    <row r="202" spans="4:20" ht="12" customHeight="1" outlineLevel="2">
      <c r="E202" s="249" t="str">
        <f>"Total "&amp;D186</f>
        <v>Total Direct Costs</v>
      </c>
      <c r="F202" s="249"/>
      <c r="G202" s="249"/>
      <c r="H202" s="249"/>
      <c r="I202" s="249"/>
      <c r="J202" s="82">
        <f t="shared" ref="J202:T202" ca="1" si="20">SUM(J188:J201)</f>
        <v>0</v>
      </c>
      <c r="K202" s="82">
        <f t="shared" ca="1" si="20"/>
        <v>0</v>
      </c>
      <c r="L202" s="82">
        <f t="shared" ca="1" si="20"/>
        <v>0</v>
      </c>
      <c r="M202" s="82">
        <f t="shared" ca="1" si="20"/>
        <v>0</v>
      </c>
      <c r="N202" s="82">
        <f t="shared" ca="1" si="20"/>
        <v>0</v>
      </c>
      <c r="O202" s="82">
        <f t="shared" ca="1" si="20"/>
        <v>0</v>
      </c>
      <c r="P202" s="82">
        <f t="shared" ca="1" si="20"/>
        <v>2030830.6901402147</v>
      </c>
      <c r="Q202" s="82">
        <f t="shared" ca="1" si="20"/>
        <v>2031470.3117323555</v>
      </c>
      <c r="R202" s="82">
        <f t="shared" ca="1" si="20"/>
        <v>2032380.3835748462</v>
      </c>
      <c r="S202" s="82">
        <f t="shared" ca="1" si="20"/>
        <v>2033300.4738960522</v>
      </c>
      <c r="T202" s="82">
        <f t="shared" ca="1" si="20"/>
        <v>2034230.6929838778</v>
      </c>
    </row>
    <row r="203" spans="4:20" outlineLevel="2"/>
    <row r="204" spans="4:20" outlineLevel="2">
      <c r="D204" s="37" t="s">
        <v>216</v>
      </c>
    </row>
    <row r="205" spans="4:20" ht="5.9" customHeight="1" outlineLevel="2"/>
    <row r="206" spans="4:20" ht="12" customHeight="1" outlineLevel="2">
      <c r="E206" s="247" t="str">
        <f>GC!C60</f>
        <v>Mains replacement</v>
      </c>
      <c r="F206" s="247"/>
      <c r="G206" s="247"/>
      <c r="H206" s="247"/>
      <c r="I206" s="247"/>
      <c r="J206" s="81">
        <f ca="1">J188*(1+INDEX(J$35:J$37,MATCH(Work_Codes!$I$93,$D$35:$D$37,0)))</f>
        <v>0</v>
      </c>
      <c r="K206" s="81">
        <f ca="1">K188*(1+INDEX(K$35:K$37,MATCH(Work_Codes!$I$93,$D$35:$D$37,0)))</f>
        <v>0</v>
      </c>
      <c r="L206" s="81">
        <f ca="1">L188*(1+INDEX(L$35:L$37,MATCH(Work_Codes!$I$93,$D$35:$D$37,0)))</f>
        <v>0</v>
      </c>
      <c r="M206" s="81">
        <f ca="1">M188*(1+INDEX(M$35:M$37,MATCH(Work_Codes!$I$93,$D$35:$D$37,0)))</f>
        <v>0</v>
      </c>
      <c r="N206" s="81">
        <f ca="1">N188*(1+INDEX(N$35:N$37,MATCH(Work_Codes!$I$93,$D$35:$D$37,0)))</f>
        <v>0</v>
      </c>
      <c r="O206" s="81">
        <f ca="1">O188*(1+INDEX(O$35:O$37,MATCH(Work_Codes!$I$93,$D$35:$D$37,0)))</f>
        <v>0</v>
      </c>
      <c r="P206" s="81">
        <f ca="1">P188*(1+INDEX(P$35:P$37,MATCH(Work_Codes!$I$93,$D$35:$D$37,0)))</f>
        <v>2085160.8141538219</v>
      </c>
      <c r="Q206" s="81">
        <f ca="1">Q188*(1+INDEX(Q$35:Q$37,MATCH(Work_Codes!$I$93,$D$35:$D$37,0)))</f>
        <v>2084411.6212381443</v>
      </c>
      <c r="R206" s="81">
        <f ca="1">R188*(1+INDEX(R$35:R$37,MATCH(Work_Codes!$I$93,$D$35:$D$37,0)))</f>
        <v>2086996.5537917078</v>
      </c>
      <c r="S206" s="81">
        <f ca="1">S188*(1+INDEX(S$35:S$37,MATCH(Work_Codes!$I$93,$D$35:$D$37,0)))</f>
        <v>2091343.4330384878</v>
      </c>
      <c r="T206" s="81">
        <f ca="1">T188*(1+INDEX(T$35:T$37,MATCH(Work_Codes!$I$93,$D$35:$D$37,0)))</f>
        <v>2095095.6446715028</v>
      </c>
    </row>
    <row r="207" spans="4:20" ht="12" customHeight="1" outlineLevel="2">
      <c r="E207" s="247" t="str">
        <f>GC!C61</f>
        <v>Residential new customer connections</v>
      </c>
      <c r="F207" s="247"/>
      <c r="G207" s="247"/>
      <c r="H207" s="247"/>
      <c r="I207" s="247"/>
      <c r="J207" s="81">
        <f ca="1">J189*(1+INDEX(J$35:J$37,MATCH(Work_Codes!$I$93,$D$35:$D$37,0)))</f>
        <v>0</v>
      </c>
      <c r="K207" s="81">
        <f ca="1">K189*(1+INDEX(K$35:K$37,MATCH(Work_Codes!$I$93,$D$35:$D$37,0)))</f>
        <v>0</v>
      </c>
      <c r="L207" s="81">
        <f ca="1">L189*(1+INDEX(L$35:L$37,MATCH(Work_Codes!$I$93,$D$35:$D$37,0)))</f>
        <v>0</v>
      </c>
      <c r="M207" s="81">
        <f ca="1">M189*(1+INDEX(M$35:M$37,MATCH(Work_Codes!$I$93,$D$35:$D$37,0)))</f>
        <v>0</v>
      </c>
      <c r="N207" s="81">
        <f ca="1">N189*(1+INDEX(N$35:N$37,MATCH(Work_Codes!$I$93,$D$35:$D$37,0)))</f>
        <v>0</v>
      </c>
      <c r="O207" s="81">
        <f ca="1">O189*(1+INDEX(O$35:O$37,MATCH(Work_Codes!$I$93,$D$35:$D$37,0)))</f>
        <v>0</v>
      </c>
      <c r="P207" s="81">
        <f ca="1">P189*(1+INDEX(P$35:P$37,MATCH(Work_Codes!$I$93,$D$35:$D$37,0)))</f>
        <v>0</v>
      </c>
      <c r="Q207" s="81">
        <f ca="1">Q189*(1+INDEX(Q$35:Q$37,MATCH(Work_Codes!$I$93,$D$35:$D$37,0)))</f>
        <v>0</v>
      </c>
      <c r="R207" s="81">
        <f ca="1">R189*(1+INDEX(R$35:R$37,MATCH(Work_Codes!$I$93,$D$35:$D$37,0)))</f>
        <v>0</v>
      </c>
      <c r="S207" s="81">
        <f ca="1">S189*(1+INDEX(S$35:S$37,MATCH(Work_Codes!$I$93,$D$35:$D$37,0)))</f>
        <v>0</v>
      </c>
      <c r="T207" s="81">
        <f ca="1">T189*(1+INDEX(T$35:T$37,MATCH(Work_Codes!$I$93,$D$35:$D$37,0)))</f>
        <v>0</v>
      </c>
    </row>
    <row r="208" spans="4:20" ht="12" customHeight="1" outlineLevel="2">
      <c r="E208" s="247" t="str">
        <f>GC!C62</f>
        <v>Commercial and industrial new customer connections</v>
      </c>
      <c r="F208" s="247"/>
      <c r="G208" s="247"/>
      <c r="H208" s="247"/>
      <c r="I208" s="247"/>
      <c r="J208" s="81">
        <f ca="1">J190*(1+INDEX(J$35:J$37,MATCH(Work_Codes!$I$93,$D$35:$D$37,0)))</f>
        <v>0</v>
      </c>
      <c r="K208" s="81">
        <f ca="1">K190*(1+INDEX(K$35:K$37,MATCH(Work_Codes!$I$93,$D$35:$D$37,0)))</f>
        <v>0</v>
      </c>
      <c r="L208" s="81">
        <f ca="1">L190*(1+INDEX(L$35:L$37,MATCH(Work_Codes!$I$93,$D$35:$D$37,0)))</f>
        <v>0</v>
      </c>
      <c r="M208" s="81">
        <f ca="1">M190*(1+INDEX(M$35:M$37,MATCH(Work_Codes!$I$93,$D$35:$D$37,0)))</f>
        <v>0</v>
      </c>
      <c r="N208" s="81">
        <f ca="1">N190*(1+INDEX(N$35:N$37,MATCH(Work_Codes!$I$93,$D$35:$D$37,0)))</f>
        <v>0</v>
      </c>
      <c r="O208" s="81">
        <f ca="1">O190*(1+INDEX(O$35:O$37,MATCH(Work_Codes!$I$93,$D$35:$D$37,0)))</f>
        <v>0</v>
      </c>
      <c r="P208" s="81">
        <f ca="1">P190*(1+INDEX(P$35:P$37,MATCH(Work_Codes!$I$93,$D$35:$D$37,0)))</f>
        <v>0</v>
      </c>
      <c r="Q208" s="81">
        <f ca="1">Q190*(1+INDEX(Q$35:Q$37,MATCH(Work_Codes!$I$93,$D$35:$D$37,0)))</f>
        <v>0</v>
      </c>
      <c r="R208" s="81">
        <f ca="1">R190*(1+INDEX(R$35:R$37,MATCH(Work_Codes!$I$93,$D$35:$D$37,0)))</f>
        <v>0</v>
      </c>
      <c r="S208" s="81">
        <f ca="1">S190*(1+INDEX(S$35:S$37,MATCH(Work_Codes!$I$93,$D$35:$D$37,0)))</f>
        <v>0</v>
      </c>
      <c r="T208" s="81">
        <f ca="1">T190*(1+INDEX(T$35:T$37,MATCH(Work_Codes!$I$93,$D$35:$D$37,0)))</f>
        <v>0</v>
      </c>
    </row>
    <row r="209" spans="4:20" ht="12" customHeight="1" outlineLevel="2">
      <c r="E209" s="247" t="str">
        <f>GC!C63</f>
        <v>Residential meter replacement</v>
      </c>
      <c r="F209" s="247"/>
      <c r="G209" s="247"/>
      <c r="H209" s="247"/>
      <c r="I209" s="247"/>
      <c r="J209" s="81">
        <f ca="1">J191*(1+INDEX(J$35:J$37,MATCH(Work_Codes!$I$93,$D$35:$D$37,0)))</f>
        <v>0</v>
      </c>
      <c r="K209" s="81">
        <f ca="1">K191*(1+INDEX(K$35:K$37,MATCH(Work_Codes!$I$93,$D$35:$D$37,0)))</f>
        <v>0</v>
      </c>
      <c r="L209" s="81">
        <f ca="1">L191*(1+INDEX(L$35:L$37,MATCH(Work_Codes!$I$93,$D$35:$D$37,0)))</f>
        <v>0</v>
      </c>
      <c r="M209" s="81">
        <f ca="1">M191*(1+INDEX(M$35:M$37,MATCH(Work_Codes!$I$93,$D$35:$D$37,0)))</f>
        <v>0</v>
      </c>
      <c r="N209" s="81">
        <f ca="1">N191*(1+INDEX(N$35:N$37,MATCH(Work_Codes!$I$93,$D$35:$D$37,0)))</f>
        <v>0</v>
      </c>
      <c r="O209" s="81">
        <f ca="1">O191*(1+INDEX(O$35:O$37,MATCH(Work_Codes!$I$93,$D$35:$D$37,0)))</f>
        <v>0</v>
      </c>
      <c r="P209" s="81">
        <f ca="1">P191*(1+INDEX(P$35:P$37,MATCH(Work_Codes!$I$93,$D$35:$D$37,0)))</f>
        <v>0</v>
      </c>
      <c r="Q209" s="81">
        <f ca="1">Q191*(1+INDEX(Q$35:Q$37,MATCH(Work_Codes!$I$93,$D$35:$D$37,0)))</f>
        <v>0</v>
      </c>
      <c r="R209" s="81">
        <f ca="1">R191*(1+INDEX(R$35:R$37,MATCH(Work_Codes!$I$93,$D$35:$D$37,0)))</f>
        <v>0</v>
      </c>
      <c r="S209" s="81">
        <f ca="1">S191*(1+INDEX(S$35:S$37,MATCH(Work_Codes!$I$93,$D$35:$D$37,0)))</f>
        <v>0</v>
      </c>
      <c r="T209" s="81">
        <f ca="1">T191*(1+INDEX(T$35:T$37,MATCH(Work_Codes!$I$93,$D$35:$D$37,0)))</f>
        <v>0</v>
      </c>
    </row>
    <row r="210" spans="4:20" ht="12" customHeight="1" outlineLevel="2">
      <c r="E210" s="247" t="str">
        <f>GC!C64</f>
        <v>Commercial and industrial meter replacement</v>
      </c>
      <c r="F210" s="247"/>
      <c r="G210" s="247"/>
      <c r="H210" s="247"/>
      <c r="I210" s="247"/>
      <c r="J210" s="81">
        <f ca="1">J192*(1+INDEX(J$35:J$37,MATCH(Work_Codes!$I$93,$D$35:$D$37,0)))</f>
        <v>0</v>
      </c>
      <c r="K210" s="81">
        <f ca="1">K192*(1+INDEX(K$35:K$37,MATCH(Work_Codes!$I$93,$D$35:$D$37,0)))</f>
        <v>0</v>
      </c>
      <c r="L210" s="81">
        <f ca="1">L192*(1+INDEX(L$35:L$37,MATCH(Work_Codes!$I$93,$D$35:$D$37,0)))</f>
        <v>0</v>
      </c>
      <c r="M210" s="81">
        <f ca="1">M192*(1+INDEX(M$35:M$37,MATCH(Work_Codes!$I$93,$D$35:$D$37,0)))</f>
        <v>0</v>
      </c>
      <c r="N210" s="81">
        <f ca="1">N192*(1+INDEX(N$35:N$37,MATCH(Work_Codes!$I$93,$D$35:$D$37,0)))</f>
        <v>0</v>
      </c>
      <c r="O210" s="81">
        <f ca="1">O192*(1+INDEX(O$35:O$37,MATCH(Work_Codes!$I$93,$D$35:$D$37,0)))</f>
        <v>0</v>
      </c>
      <c r="P210" s="81">
        <f ca="1">P192*(1+INDEX(P$35:P$37,MATCH(Work_Codes!$I$93,$D$35:$D$37,0)))</f>
        <v>0</v>
      </c>
      <c r="Q210" s="81">
        <f ca="1">Q192*(1+INDEX(Q$35:Q$37,MATCH(Work_Codes!$I$93,$D$35:$D$37,0)))</f>
        <v>0</v>
      </c>
      <c r="R210" s="81">
        <f ca="1">R192*(1+INDEX(R$35:R$37,MATCH(Work_Codes!$I$93,$D$35:$D$37,0)))</f>
        <v>0</v>
      </c>
      <c r="S210" s="81">
        <f ca="1">S192*(1+INDEX(S$35:S$37,MATCH(Work_Codes!$I$93,$D$35:$D$37,0)))</f>
        <v>0</v>
      </c>
      <c r="T210" s="81">
        <f ca="1">T192*(1+INDEX(T$35:T$37,MATCH(Work_Codes!$I$93,$D$35:$D$37,0)))</f>
        <v>0</v>
      </c>
    </row>
    <row r="211" spans="4:20" ht="12" customHeight="1" outlineLevel="2">
      <c r="E211" s="247" t="str">
        <f>GC!C65</f>
        <v>Augmentation</v>
      </c>
      <c r="F211" s="247"/>
      <c r="G211" s="247"/>
      <c r="H211" s="247"/>
      <c r="I211" s="247"/>
      <c r="J211" s="81">
        <f ca="1">J193*(1+INDEX(J$35:J$37,MATCH(Work_Codes!$I$93,$D$35:$D$37,0)))</f>
        <v>0</v>
      </c>
      <c r="K211" s="81">
        <f ca="1">K193*(1+INDEX(K$35:K$37,MATCH(Work_Codes!$I$93,$D$35:$D$37,0)))</f>
        <v>0</v>
      </c>
      <c r="L211" s="81">
        <f ca="1">L193*(1+INDEX(L$35:L$37,MATCH(Work_Codes!$I$93,$D$35:$D$37,0)))</f>
        <v>0</v>
      </c>
      <c r="M211" s="81">
        <f ca="1">M193*(1+INDEX(M$35:M$37,MATCH(Work_Codes!$I$93,$D$35:$D$37,0)))</f>
        <v>0</v>
      </c>
      <c r="N211" s="81">
        <f ca="1">N193*(1+INDEX(N$35:N$37,MATCH(Work_Codes!$I$93,$D$35:$D$37,0)))</f>
        <v>0</v>
      </c>
      <c r="O211" s="81">
        <f ca="1">O193*(1+INDEX(O$35:O$37,MATCH(Work_Codes!$I$93,$D$35:$D$37,0)))</f>
        <v>0</v>
      </c>
      <c r="P211" s="81">
        <f ca="1">P193*(1+INDEX(P$35:P$37,MATCH(Work_Codes!$I$93,$D$35:$D$37,0)))</f>
        <v>0</v>
      </c>
      <c r="Q211" s="81">
        <f ca="1">Q193*(1+INDEX(Q$35:Q$37,MATCH(Work_Codes!$I$93,$D$35:$D$37,0)))</f>
        <v>0</v>
      </c>
      <c r="R211" s="81">
        <f ca="1">R193*(1+INDEX(R$35:R$37,MATCH(Work_Codes!$I$93,$D$35:$D$37,0)))</f>
        <v>0</v>
      </c>
      <c r="S211" s="81">
        <f ca="1">S193*(1+INDEX(S$35:S$37,MATCH(Work_Codes!$I$93,$D$35:$D$37,0)))</f>
        <v>0</v>
      </c>
      <c r="T211" s="81">
        <f ca="1">T193*(1+INDEX(T$35:T$37,MATCH(Work_Codes!$I$93,$D$35:$D$37,0)))</f>
        <v>0</v>
      </c>
    </row>
    <row r="212" spans="4:20" ht="12" customHeight="1" outlineLevel="2">
      <c r="E212" s="247" t="str">
        <f>GC!C66</f>
        <v>IT capex</v>
      </c>
      <c r="F212" s="247"/>
      <c r="G212" s="247"/>
      <c r="H212" s="247"/>
      <c r="I212" s="247"/>
      <c r="J212" s="81">
        <f ca="1">J194*(1+INDEX(J$35:J$37,MATCH(Work_Codes!$I$93,$D$35:$D$37,0)))</f>
        <v>0</v>
      </c>
      <c r="K212" s="81">
        <f ca="1">K194*(1+INDEX(K$35:K$37,MATCH(Work_Codes!$I$93,$D$35:$D$37,0)))</f>
        <v>0</v>
      </c>
      <c r="L212" s="81">
        <f ca="1">L194*(1+INDEX(L$35:L$37,MATCH(Work_Codes!$I$93,$D$35:$D$37,0)))</f>
        <v>0</v>
      </c>
      <c r="M212" s="81">
        <f ca="1">M194*(1+INDEX(M$35:M$37,MATCH(Work_Codes!$I$93,$D$35:$D$37,0)))</f>
        <v>0</v>
      </c>
      <c r="N212" s="81">
        <f ca="1">N194*(1+INDEX(N$35:N$37,MATCH(Work_Codes!$I$93,$D$35:$D$37,0)))</f>
        <v>0</v>
      </c>
      <c r="O212" s="81">
        <f ca="1">O194*(1+INDEX(O$35:O$37,MATCH(Work_Codes!$I$93,$D$35:$D$37,0)))</f>
        <v>0</v>
      </c>
      <c r="P212" s="81">
        <f ca="1">P194*(1+INDEX(P$35:P$37,MATCH(Work_Codes!$I$93,$D$35:$D$37,0)))</f>
        <v>0</v>
      </c>
      <c r="Q212" s="81">
        <f ca="1">Q194*(1+INDEX(Q$35:Q$37,MATCH(Work_Codes!$I$93,$D$35:$D$37,0)))</f>
        <v>0</v>
      </c>
      <c r="R212" s="81">
        <f ca="1">R194*(1+INDEX(R$35:R$37,MATCH(Work_Codes!$I$93,$D$35:$D$37,0)))</f>
        <v>0</v>
      </c>
      <c r="S212" s="81">
        <f ca="1">S194*(1+INDEX(S$35:S$37,MATCH(Work_Codes!$I$93,$D$35:$D$37,0)))</f>
        <v>0</v>
      </c>
      <c r="T212" s="81">
        <f ca="1">T194*(1+INDEX(T$35:T$37,MATCH(Work_Codes!$I$93,$D$35:$D$37,0)))</f>
        <v>0</v>
      </c>
    </row>
    <row r="213" spans="4:20" ht="12" customHeight="1" outlineLevel="2">
      <c r="E213" s="247" t="str">
        <f>GC!C67</f>
        <v>SCADA</v>
      </c>
      <c r="F213" s="247"/>
      <c r="G213" s="247"/>
      <c r="H213" s="247"/>
      <c r="I213" s="247"/>
      <c r="J213" s="81">
        <f ca="1">J195*(1+INDEX(J$35:J$37,MATCH(Work_Codes!$I$93,$D$35:$D$37,0)))</f>
        <v>0</v>
      </c>
      <c r="K213" s="81">
        <f ca="1">K195*(1+INDEX(K$35:K$37,MATCH(Work_Codes!$I$93,$D$35:$D$37,0)))</f>
        <v>0</v>
      </c>
      <c r="L213" s="81">
        <f ca="1">L195*(1+INDEX(L$35:L$37,MATCH(Work_Codes!$I$93,$D$35:$D$37,0)))</f>
        <v>0</v>
      </c>
      <c r="M213" s="81">
        <f ca="1">M195*(1+INDEX(M$35:M$37,MATCH(Work_Codes!$I$93,$D$35:$D$37,0)))</f>
        <v>0</v>
      </c>
      <c r="N213" s="81">
        <f ca="1">N195*(1+INDEX(N$35:N$37,MATCH(Work_Codes!$I$93,$D$35:$D$37,0)))</f>
        <v>0</v>
      </c>
      <c r="O213" s="81">
        <f ca="1">O195*(1+INDEX(O$35:O$37,MATCH(Work_Codes!$I$93,$D$35:$D$37,0)))</f>
        <v>0</v>
      </c>
      <c r="P213" s="81">
        <f ca="1">P195*(1+INDEX(P$35:P$37,MATCH(Work_Codes!$I$93,$D$35:$D$37,0)))</f>
        <v>0</v>
      </c>
      <c r="Q213" s="81">
        <f ca="1">Q195*(1+INDEX(Q$35:Q$37,MATCH(Work_Codes!$I$93,$D$35:$D$37,0)))</f>
        <v>0</v>
      </c>
      <c r="R213" s="81">
        <f ca="1">R195*(1+INDEX(R$35:R$37,MATCH(Work_Codes!$I$93,$D$35:$D$37,0)))</f>
        <v>0</v>
      </c>
      <c r="S213" s="81">
        <f ca="1">S195*(1+INDEX(S$35:S$37,MATCH(Work_Codes!$I$93,$D$35:$D$37,0)))</f>
        <v>0</v>
      </c>
      <c r="T213" s="81">
        <f ca="1">T195*(1+INDEX(T$35:T$37,MATCH(Work_Codes!$I$93,$D$35:$D$37,0)))</f>
        <v>0</v>
      </c>
    </row>
    <row r="214" spans="4:20" ht="12" customHeight="1" outlineLevel="2">
      <c r="E214" s="247" t="str">
        <f>GC!C68</f>
        <v>Other</v>
      </c>
      <c r="F214" s="247"/>
      <c r="G214" s="247"/>
      <c r="H214" s="247"/>
      <c r="I214" s="247"/>
      <c r="J214" s="81">
        <f ca="1">J196*(1+INDEX(J$35:J$37,MATCH(Work_Codes!$I$93,$D$35:$D$37,0)))</f>
        <v>0</v>
      </c>
      <c r="K214" s="81">
        <f ca="1">K196*(1+INDEX(K$35:K$37,MATCH(Work_Codes!$I$93,$D$35:$D$37,0)))</f>
        <v>0</v>
      </c>
      <c r="L214" s="81">
        <f ca="1">L196*(1+INDEX(L$35:L$37,MATCH(Work_Codes!$I$93,$D$35:$D$37,0)))</f>
        <v>0</v>
      </c>
      <c r="M214" s="81">
        <f ca="1">M196*(1+INDEX(M$35:M$37,MATCH(Work_Codes!$I$93,$D$35:$D$37,0)))</f>
        <v>0</v>
      </c>
      <c r="N214" s="81">
        <f ca="1">N196*(1+INDEX(N$35:N$37,MATCH(Work_Codes!$I$93,$D$35:$D$37,0)))</f>
        <v>0</v>
      </c>
      <c r="O214" s="81">
        <f ca="1">O196*(1+INDEX(O$35:O$37,MATCH(Work_Codes!$I$93,$D$35:$D$37,0)))</f>
        <v>0</v>
      </c>
      <c r="P214" s="81">
        <f ca="1">P196*(1+INDEX(P$35:P$37,MATCH(Work_Codes!$I$93,$D$35:$D$37,0)))</f>
        <v>0</v>
      </c>
      <c r="Q214" s="81">
        <f ca="1">Q196*(1+INDEX(Q$35:Q$37,MATCH(Work_Codes!$I$93,$D$35:$D$37,0)))</f>
        <v>0</v>
      </c>
      <c r="R214" s="81">
        <f ca="1">R196*(1+INDEX(R$35:R$37,MATCH(Work_Codes!$I$93,$D$35:$D$37,0)))</f>
        <v>0</v>
      </c>
      <c r="S214" s="81">
        <f ca="1">S196*(1+INDEX(S$35:S$37,MATCH(Work_Codes!$I$93,$D$35:$D$37,0)))</f>
        <v>0</v>
      </c>
      <c r="T214" s="81">
        <f ca="1">T196*(1+INDEX(T$35:T$37,MATCH(Work_Codes!$I$93,$D$35:$D$37,0)))</f>
        <v>0</v>
      </c>
    </row>
    <row r="215" spans="4:20" outlineLevel="2">
      <c r="E215" s="247" t="str">
        <f>GC!C69</f>
        <v>Capitalised Leases</v>
      </c>
      <c r="F215" s="247"/>
      <c r="G215" s="247"/>
      <c r="H215" s="247"/>
      <c r="I215" s="247"/>
      <c r="J215" s="81">
        <f ca="1">J197*(1+INDEX(J$35:J$37,MATCH(Work_Codes!$I$93,$D$35:$D$37,0)))</f>
        <v>0</v>
      </c>
      <c r="K215" s="81">
        <f ca="1">K197*(1+INDEX(K$35:K$37,MATCH(Work_Codes!$I$93,$D$35:$D$37,0)))</f>
        <v>0</v>
      </c>
      <c r="L215" s="81">
        <f ca="1">L197*(1+INDEX(L$35:L$37,MATCH(Work_Codes!$I$93,$D$35:$D$37,0)))</f>
        <v>0</v>
      </c>
      <c r="M215" s="81">
        <f ca="1">M197*(1+INDEX(M$35:M$37,MATCH(Work_Codes!$I$93,$D$35:$D$37,0)))</f>
        <v>0</v>
      </c>
      <c r="N215" s="81">
        <f ca="1">N197*(1+INDEX(N$35:N$37,MATCH(Work_Codes!$I$93,$D$35:$D$37,0)))</f>
        <v>0</v>
      </c>
      <c r="O215" s="81">
        <f ca="1">O197*(1+INDEX(O$35:O$37,MATCH(Work_Codes!$I$93,$D$35:$D$37,0)))</f>
        <v>0</v>
      </c>
      <c r="P215" s="81">
        <f ca="1">P197*(1+INDEX(P$35:P$37,MATCH(Work_Codes!$I$93,$D$35:$D$37,0)))</f>
        <v>0</v>
      </c>
      <c r="Q215" s="81">
        <f ca="1">Q197*(1+INDEX(Q$35:Q$37,MATCH(Work_Codes!$I$93,$D$35:$D$37,0)))</f>
        <v>0</v>
      </c>
      <c r="R215" s="81">
        <f ca="1">R197*(1+INDEX(R$35:R$37,MATCH(Work_Codes!$I$93,$D$35:$D$37,0)))</f>
        <v>0</v>
      </c>
      <c r="S215" s="81">
        <f ca="1">S197*(1+INDEX(S$35:S$37,MATCH(Work_Codes!$I$93,$D$35:$D$37,0)))</f>
        <v>0</v>
      </c>
      <c r="T215" s="81">
        <f ca="1">T197*(1+INDEX(T$35:T$37,MATCH(Work_Codes!$I$93,$D$35:$D$37,0)))</f>
        <v>0</v>
      </c>
    </row>
    <row r="216" spans="4:20" ht="12" customHeight="1" outlineLevel="2">
      <c r="E216" s="247" t="str">
        <f>GC!C70</f>
        <v>Gas Extensions - Energy for the Regions</v>
      </c>
      <c r="F216" s="247"/>
      <c r="G216" s="247"/>
      <c r="H216" s="247"/>
      <c r="I216" s="247"/>
      <c r="J216" s="81">
        <f ca="1">J198*(1+INDEX(J$35:J$37,MATCH(Work_Codes!$I$93,$D$35:$D$37,0)))</f>
        <v>0</v>
      </c>
      <c r="K216" s="81">
        <f ca="1">K198*(1+INDEX(K$35:K$37,MATCH(Work_Codes!$I$93,$D$35:$D$37,0)))</f>
        <v>0</v>
      </c>
      <c r="L216" s="81">
        <f ca="1">L198*(1+INDEX(L$35:L$37,MATCH(Work_Codes!$I$93,$D$35:$D$37,0)))</f>
        <v>0</v>
      </c>
      <c r="M216" s="81">
        <f ca="1">M198*(1+INDEX(M$35:M$37,MATCH(Work_Codes!$I$93,$D$35:$D$37,0)))</f>
        <v>0</v>
      </c>
      <c r="N216" s="81">
        <f ca="1">N198*(1+INDEX(N$35:N$37,MATCH(Work_Codes!$I$93,$D$35:$D$37,0)))</f>
        <v>0</v>
      </c>
      <c r="O216" s="81">
        <f ca="1">O198*(1+INDEX(O$35:O$37,MATCH(Work_Codes!$I$93,$D$35:$D$37,0)))</f>
        <v>0</v>
      </c>
      <c r="P216" s="81">
        <f ca="1">P198*(1+INDEX(P$35:P$37,MATCH(Work_Codes!$I$93,$D$35:$D$37,0)))</f>
        <v>0</v>
      </c>
      <c r="Q216" s="81">
        <f ca="1">Q198*(1+INDEX(Q$35:Q$37,MATCH(Work_Codes!$I$93,$D$35:$D$37,0)))</f>
        <v>0</v>
      </c>
      <c r="R216" s="81">
        <f ca="1">R198*(1+INDEX(R$35:R$37,MATCH(Work_Codes!$I$93,$D$35:$D$37,0)))</f>
        <v>0</v>
      </c>
      <c r="S216" s="81">
        <f ca="1">S198*(1+INDEX(S$35:S$37,MATCH(Work_Codes!$I$93,$D$35:$D$37,0)))</f>
        <v>0</v>
      </c>
      <c r="T216" s="81">
        <f ca="1">T198*(1+INDEX(T$35:T$37,MATCH(Work_Codes!$I$93,$D$35:$D$37,0)))</f>
        <v>0</v>
      </c>
    </row>
    <row r="217" spans="4:20" ht="12" customHeight="1" outlineLevel="2">
      <c r="E217" s="247" t="str">
        <f>GC!C71</f>
        <v>Gas Extensions - Other</v>
      </c>
      <c r="F217" s="247"/>
      <c r="G217" s="247"/>
      <c r="H217" s="247"/>
      <c r="I217" s="247"/>
      <c r="J217" s="81">
        <f ca="1">J199*(1+INDEX(J$35:J$37,MATCH(Work_Codes!$I$93,$D$35:$D$37,0)))</f>
        <v>0</v>
      </c>
      <c r="K217" s="81">
        <f ca="1">K199*(1+INDEX(K$35:K$37,MATCH(Work_Codes!$I$93,$D$35:$D$37,0)))</f>
        <v>0</v>
      </c>
      <c r="L217" s="81">
        <f ca="1">L199*(1+INDEX(L$35:L$37,MATCH(Work_Codes!$I$93,$D$35:$D$37,0)))</f>
        <v>0</v>
      </c>
      <c r="M217" s="81">
        <f ca="1">M199*(1+INDEX(M$35:M$37,MATCH(Work_Codes!$I$93,$D$35:$D$37,0)))</f>
        <v>0</v>
      </c>
      <c r="N217" s="81">
        <f ca="1">N199*(1+INDEX(N$35:N$37,MATCH(Work_Codes!$I$93,$D$35:$D$37,0)))</f>
        <v>0</v>
      </c>
      <c r="O217" s="81">
        <f ca="1">O199*(1+INDEX(O$35:O$37,MATCH(Work_Codes!$I$93,$D$35:$D$37,0)))</f>
        <v>0</v>
      </c>
      <c r="P217" s="81">
        <f ca="1">P199*(1+INDEX(P$35:P$37,MATCH(Work_Codes!$I$93,$D$35:$D$37,0)))</f>
        <v>0</v>
      </c>
      <c r="Q217" s="81">
        <f ca="1">Q199*(1+INDEX(Q$35:Q$37,MATCH(Work_Codes!$I$93,$D$35:$D$37,0)))</f>
        <v>0</v>
      </c>
      <c r="R217" s="81">
        <f ca="1">R199*(1+INDEX(R$35:R$37,MATCH(Work_Codes!$I$93,$D$35:$D$37,0)))</f>
        <v>0</v>
      </c>
      <c r="S217" s="81">
        <f ca="1">S199*(1+INDEX(S$35:S$37,MATCH(Work_Codes!$I$93,$D$35:$D$37,0)))</f>
        <v>0</v>
      </c>
      <c r="T217" s="81">
        <f ca="1">T199*(1+INDEX(T$35:T$37,MATCH(Work_Codes!$I$93,$D$35:$D$37,0)))</f>
        <v>0</v>
      </c>
    </row>
    <row r="218" spans="4:20" ht="12" customHeight="1" outlineLevel="2">
      <c r="E218" s="247" t="str">
        <f>GC!C72</f>
        <v>Customer contributions</v>
      </c>
      <c r="F218" s="247"/>
      <c r="G218" s="247"/>
      <c r="H218" s="247"/>
      <c r="I218" s="247"/>
      <c r="J218" s="81">
        <f ca="1">J200*(1+INDEX(J$35:J$37,MATCH(Work_Codes!$I$93,$D$35:$D$37,0)))</f>
        <v>0</v>
      </c>
      <c r="K218" s="81">
        <f ca="1">K200*(1+INDEX(K$35:K$37,MATCH(Work_Codes!$I$93,$D$35:$D$37,0)))</f>
        <v>0</v>
      </c>
      <c r="L218" s="81">
        <f ca="1">L200*(1+INDEX(L$35:L$37,MATCH(Work_Codes!$I$93,$D$35:$D$37,0)))</f>
        <v>0</v>
      </c>
      <c r="M218" s="81">
        <f ca="1">M200*(1+INDEX(M$35:M$37,MATCH(Work_Codes!$I$93,$D$35:$D$37,0)))</f>
        <v>0</v>
      </c>
      <c r="N218" s="81">
        <f ca="1">N200*(1+INDEX(N$35:N$37,MATCH(Work_Codes!$I$93,$D$35:$D$37,0)))</f>
        <v>0</v>
      </c>
      <c r="O218" s="81">
        <f ca="1">O200*(1+INDEX(O$35:O$37,MATCH(Work_Codes!$I$93,$D$35:$D$37,0)))</f>
        <v>0</v>
      </c>
      <c r="P218" s="81">
        <f ca="1">P200*(1+INDEX(P$35:P$37,MATCH(Work_Codes!$I$93,$D$35:$D$37,0)))</f>
        <v>0</v>
      </c>
      <c r="Q218" s="81">
        <f ca="1">Q200*(1+INDEX(Q$35:Q$37,MATCH(Work_Codes!$I$93,$D$35:$D$37,0)))</f>
        <v>0</v>
      </c>
      <c r="R218" s="81">
        <f ca="1">R200*(1+INDEX(R$35:R$37,MATCH(Work_Codes!$I$93,$D$35:$D$37,0)))</f>
        <v>0</v>
      </c>
      <c r="S218" s="81">
        <f ca="1">S200*(1+INDEX(S$35:S$37,MATCH(Work_Codes!$I$93,$D$35:$D$37,0)))</f>
        <v>0</v>
      </c>
      <c r="T218" s="81">
        <f ca="1">T200*(1+INDEX(T$35:T$37,MATCH(Work_Codes!$I$93,$D$35:$D$37,0)))</f>
        <v>0</v>
      </c>
    </row>
    <row r="219" spans="4:20" ht="12" customHeight="1" outlineLevel="2">
      <c r="E219" s="247" t="str">
        <f>GC!C73</f>
        <v>Government contributions</v>
      </c>
      <c r="F219" s="247"/>
      <c r="G219" s="247"/>
      <c r="H219" s="247"/>
      <c r="I219" s="247"/>
      <c r="J219" s="81">
        <f ca="1">J201*(1+INDEX(J$35:J$37,MATCH(Work_Codes!$I$93,$D$35:$D$37,0)))</f>
        <v>0</v>
      </c>
      <c r="K219" s="81">
        <f ca="1">K201*(1+INDEX(K$35:K$37,MATCH(Work_Codes!$I$93,$D$35:$D$37,0)))</f>
        <v>0</v>
      </c>
      <c r="L219" s="81">
        <f ca="1">L201*(1+INDEX(L$35:L$37,MATCH(Work_Codes!$I$93,$D$35:$D$37,0)))</f>
        <v>0</v>
      </c>
      <c r="M219" s="81">
        <f ca="1">M201*(1+INDEX(M$35:M$37,MATCH(Work_Codes!$I$93,$D$35:$D$37,0)))</f>
        <v>0</v>
      </c>
      <c r="N219" s="81">
        <f ca="1">N201*(1+INDEX(N$35:N$37,MATCH(Work_Codes!$I$93,$D$35:$D$37,0)))</f>
        <v>0</v>
      </c>
      <c r="O219" s="81">
        <f ca="1">O201*(1+INDEX(O$35:O$37,MATCH(Work_Codes!$I$93,$D$35:$D$37,0)))</f>
        <v>0</v>
      </c>
      <c r="P219" s="81">
        <f ca="1">P201*(1+INDEX(P$35:P$37,MATCH(Work_Codes!$I$93,$D$35:$D$37,0)))</f>
        <v>0</v>
      </c>
      <c r="Q219" s="81">
        <f ca="1">Q201*(1+INDEX(Q$35:Q$37,MATCH(Work_Codes!$I$93,$D$35:$D$37,0)))</f>
        <v>0</v>
      </c>
      <c r="R219" s="81">
        <f ca="1">R201*(1+INDEX(R$35:R$37,MATCH(Work_Codes!$I$93,$D$35:$D$37,0)))</f>
        <v>0</v>
      </c>
      <c r="S219" s="81">
        <f ca="1">S201*(1+INDEX(S$35:S$37,MATCH(Work_Codes!$I$93,$D$35:$D$37,0)))</f>
        <v>0</v>
      </c>
      <c r="T219" s="81">
        <f ca="1">T201*(1+INDEX(T$35:T$37,MATCH(Work_Codes!$I$93,$D$35:$D$37,0)))</f>
        <v>0</v>
      </c>
    </row>
    <row r="220" spans="4:20" ht="12" customHeight="1" outlineLevel="2">
      <c r="E220" s="249" t="str">
        <f>"Total "&amp;D204</f>
        <v>Total Direct Costs + Overheads</v>
      </c>
      <c r="F220" s="249"/>
      <c r="G220" s="249"/>
      <c r="H220" s="249"/>
      <c r="I220" s="249"/>
      <c r="J220" s="82">
        <f t="shared" ref="J220:T220" ca="1" si="21">SUM(J206:J219)</f>
        <v>0</v>
      </c>
      <c r="K220" s="82">
        <f t="shared" ca="1" si="21"/>
        <v>0</v>
      </c>
      <c r="L220" s="82">
        <f t="shared" ca="1" si="21"/>
        <v>0</v>
      </c>
      <c r="M220" s="82">
        <f t="shared" ca="1" si="21"/>
        <v>0</v>
      </c>
      <c r="N220" s="82">
        <f t="shared" ca="1" si="21"/>
        <v>0</v>
      </c>
      <c r="O220" s="82">
        <f t="shared" ca="1" si="21"/>
        <v>0</v>
      </c>
      <c r="P220" s="82">
        <f t="shared" ca="1" si="21"/>
        <v>2085160.8141538219</v>
      </c>
      <c r="Q220" s="82">
        <f t="shared" ca="1" si="21"/>
        <v>2084411.6212381443</v>
      </c>
      <c r="R220" s="82">
        <f t="shared" ca="1" si="21"/>
        <v>2086996.5537917078</v>
      </c>
      <c r="S220" s="82">
        <f t="shared" ca="1" si="21"/>
        <v>2091343.4330384878</v>
      </c>
      <c r="T220" s="82">
        <f t="shared" ca="1" si="21"/>
        <v>2095095.6446715028</v>
      </c>
    </row>
    <row r="221" spans="4:20" outlineLevel="2"/>
    <row r="222" spans="4:20" outlineLevel="2">
      <c r="D222" s="37" t="s">
        <v>367</v>
      </c>
    </row>
    <row r="223" spans="4:20" ht="5.75" customHeight="1" outlineLevel="2"/>
    <row r="224" spans="4:20" outlineLevel="2">
      <c r="E224" s="247" t="str">
        <f>GC!C60</f>
        <v>Mains replacement</v>
      </c>
      <c r="F224" s="247"/>
      <c r="G224" s="247"/>
      <c r="H224" s="247"/>
      <c r="I224" s="247"/>
      <c r="J224" s="81">
        <f ca="1">SUMPRODUCT((Work_Codes!$AC$96:$AO$96=$E224)*(Work_Codes!$AC$104:$AO$104)*(J$65:J$65))</f>
        <v>0</v>
      </c>
      <c r="K224" s="81">
        <f ca="1">SUMPRODUCT((Work_Codes!$AC$96:$AO$96=$E224)*(Work_Codes!$AC$104:$AO$104)*(K$65:K$65))</f>
        <v>0</v>
      </c>
      <c r="L224" s="81">
        <f ca="1">SUMPRODUCT((Work_Codes!$AC$96:$AO$96=$E224)*(Work_Codes!$AC$104:$AO$104)*(L$65:L$65))</f>
        <v>0</v>
      </c>
      <c r="M224" s="81">
        <f ca="1">SUMPRODUCT((Work_Codes!$AC$96:$AO$96=$E224)*(Work_Codes!$AC$104:$AO$104)*(M$65:M$65))</f>
        <v>0</v>
      </c>
      <c r="N224" s="81">
        <f ca="1">SUMPRODUCT((Work_Codes!$AC$96:$AO$96=$E224)*(Work_Codes!$AC$104:$AO$104)*(N$65:N$65))</f>
        <v>0</v>
      </c>
      <c r="O224" s="81">
        <f ca="1">SUMPRODUCT((Work_Codes!$AC$96:$AO$96=$E224)*(Work_Codes!$AC$104:$AO$104)*(O$65:O$65))</f>
        <v>0</v>
      </c>
      <c r="P224" s="81">
        <f ca="1">SUMPRODUCT((Work_Codes!$AC$96:$AO$96=$E224)*(Work_Codes!$AC$104:$AO$104)*(P$65:P$65))</f>
        <v>0</v>
      </c>
      <c r="Q224" s="81">
        <f ca="1">SUMPRODUCT((Work_Codes!$AC$96:$AO$96=$E224)*(Work_Codes!$AC$104:$AO$104)*(Q$65:Q$65))</f>
        <v>0</v>
      </c>
      <c r="R224" s="81">
        <f ca="1">SUMPRODUCT((Work_Codes!$AC$96:$AO$96=$E224)*(Work_Codes!$AC$104:$AO$104)*(R$65:R$65))</f>
        <v>0</v>
      </c>
      <c r="S224" s="81">
        <f ca="1">SUMPRODUCT((Work_Codes!$AC$96:$AO$96=$E224)*(Work_Codes!$AC$104:$AO$104)*(S$65:S$65))</f>
        <v>0</v>
      </c>
      <c r="T224" s="81">
        <f ca="1">SUMPRODUCT((Work_Codes!$AC$96:$AO$96=$E224)*(Work_Codes!$AC$104:$AO$104)*(T$65:T$65))</f>
        <v>0</v>
      </c>
    </row>
    <row r="225" spans="2:20" outlineLevel="2">
      <c r="E225" s="247" t="str">
        <f>GC!C61</f>
        <v>Residential new customer connections</v>
      </c>
      <c r="F225" s="247"/>
      <c r="G225" s="247"/>
      <c r="H225" s="247"/>
      <c r="I225" s="247"/>
      <c r="J225" s="81">
        <f ca="1">SUMPRODUCT((Work_Codes!$AC$96:$AO$96=$E225)*(Work_Codes!$AC$104:$AO$104)*(J$65:J$65))</f>
        <v>0</v>
      </c>
      <c r="K225" s="81">
        <f ca="1">SUMPRODUCT((Work_Codes!$AC$96:$AO$96=$E225)*(Work_Codes!$AC$104:$AO$104)*(K$65:K$65))</f>
        <v>0</v>
      </c>
      <c r="L225" s="81">
        <f ca="1">SUMPRODUCT((Work_Codes!$AC$96:$AO$96=$E225)*(Work_Codes!$AC$104:$AO$104)*(L$65:L$65))</f>
        <v>0</v>
      </c>
      <c r="M225" s="81">
        <f ca="1">SUMPRODUCT((Work_Codes!$AC$96:$AO$96=$E225)*(Work_Codes!$AC$104:$AO$104)*(M$65:M$65))</f>
        <v>0</v>
      </c>
      <c r="N225" s="81">
        <f ca="1">SUMPRODUCT((Work_Codes!$AC$96:$AO$96=$E225)*(Work_Codes!$AC$104:$AO$104)*(N$65:N$65))</f>
        <v>0</v>
      </c>
      <c r="O225" s="81">
        <f ca="1">SUMPRODUCT((Work_Codes!$AC$96:$AO$96=$E225)*(Work_Codes!$AC$104:$AO$104)*(O$65:O$65))</f>
        <v>0</v>
      </c>
      <c r="P225" s="81">
        <f ca="1">SUMPRODUCT((Work_Codes!$AC$96:$AO$96=$E225)*(Work_Codes!$AC$104:$AO$104)*(P$65:P$65))</f>
        <v>0</v>
      </c>
      <c r="Q225" s="81">
        <f ca="1">SUMPRODUCT((Work_Codes!$AC$96:$AO$96=$E225)*(Work_Codes!$AC$104:$AO$104)*(Q$65:Q$65))</f>
        <v>0</v>
      </c>
      <c r="R225" s="81">
        <f ca="1">SUMPRODUCT((Work_Codes!$AC$96:$AO$96=$E225)*(Work_Codes!$AC$104:$AO$104)*(R$65:R$65))</f>
        <v>0</v>
      </c>
      <c r="S225" s="81">
        <f ca="1">SUMPRODUCT((Work_Codes!$AC$96:$AO$96=$E225)*(Work_Codes!$AC$104:$AO$104)*(S$65:S$65))</f>
        <v>0</v>
      </c>
      <c r="T225" s="81">
        <f ca="1">SUMPRODUCT((Work_Codes!$AC$96:$AO$96=$E225)*(Work_Codes!$AC$104:$AO$104)*(T$65:T$65))</f>
        <v>0</v>
      </c>
    </row>
    <row r="226" spans="2:20" outlineLevel="2">
      <c r="E226" s="247" t="str">
        <f>GC!C62</f>
        <v>Commercial and industrial new customer connections</v>
      </c>
      <c r="F226" s="247"/>
      <c r="G226" s="247"/>
      <c r="H226" s="247"/>
      <c r="I226" s="247"/>
      <c r="J226" s="81">
        <f ca="1">SUMPRODUCT((Work_Codes!$AC$96:$AO$96=$E226)*(Work_Codes!$AC$104:$AO$104)*(J$65:J$65))</f>
        <v>0</v>
      </c>
      <c r="K226" s="81">
        <f ca="1">SUMPRODUCT((Work_Codes!$AC$96:$AO$96=$E226)*(Work_Codes!$AC$104:$AO$104)*(K$65:K$65))</f>
        <v>0</v>
      </c>
      <c r="L226" s="81">
        <f ca="1">SUMPRODUCT((Work_Codes!$AC$96:$AO$96=$E226)*(Work_Codes!$AC$104:$AO$104)*(L$65:L$65))</f>
        <v>0</v>
      </c>
      <c r="M226" s="81">
        <f ca="1">SUMPRODUCT((Work_Codes!$AC$96:$AO$96=$E226)*(Work_Codes!$AC$104:$AO$104)*(M$65:M$65))</f>
        <v>0</v>
      </c>
      <c r="N226" s="81">
        <f ca="1">SUMPRODUCT((Work_Codes!$AC$96:$AO$96=$E226)*(Work_Codes!$AC$104:$AO$104)*(N$65:N$65))</f>
        <v>0</v>
      </c>
      <c r="O226" s="81">
        <f ca="1">SUMPRODUCT((Work_Codes!$AC$96:$AO$96=$E226)*(Work_Codes!$AC$104:$AO$104)*(O$65:O$65))</f>
        <v>0</v>
      </c>
      <c r="P226" s="81">
        <f ca="1">SUMPRODUCT((Work_Codes!$AC$96:$AO$96=$E226)*(Work_Codes!$AC$104:$AO$104)*(P$65:P$65))</f>
        <v>0</v>
      </c>
      <c r="Q226" s="81">
        <f ca="1">SUMPRODUCT((Work_Codes!$AC$96:$AO$96=$E226)*(Work_Codes!$AC$104:$AO$104)*(Q$65:Q$65))</f>
        <v>0</v>
      </c>
      <c r="R226" s="81">
        <f ca="1">SUMPRODUCT((Work_Codes!$AC$96:$AO$96=$E226)*(Work_Codes!$AC$104:$AO$104)*(R$65:R$65))</f>
        <v>0</v>
      </c>
      <c r="S226" s="81">
        <f ca="1">SUMPRODUCT((Work_Codes!$AC$96:$AO$96=$E226)*(Work_Codes!$AC$104:$AO$104)*(S$65:S$65))</f>
        <v>0</v>
      </c>
      <c r="T226" s="81">
        <f ca="1">SUMPRODUCT((Work_Codes!$AC$96:$AO$96=$E226)*(Work_Codes!$AC$104:$AO$104)*(T$65:T$65))</f>
        <v>0</v>
      </c>
    </row>
    <row r="227" spans="2:20" outlineLevel="2">
      <c r="E227" s="247" t="str">
        <f>GC!C63</f>
        <v>Residential meter replacement</v>
      </c>
      <c r="F227" s="247"/>
      <c r="G227" s="247"/>
      <c r="H227" s="247"/>
      <c r="I227" s="247"/>
      <c r="J227" s="81">
        <f ca="1">SUMPRODUCT((Work_Codes!$AC$96:$AO$96=$E227)*(Work_Codes!$AC$104:$AO$104)*(J$65:J$65))</f>
        <v>0</v>
      </c>
      <c r="K227" s="81">
        <f ca="1">SUMPRODUCT((Work_Codes!$AC$96:$AO$96=$E227)*(Work_Codes!$AC$104:$AO$104)*(K$65:K$65))</f>
        <v>0</v>
      </c>
      <c r="L227" s="81">
        <f ca="1">SUMPRODUCT((Work_Codes!$AC$96:$AO$96=$E227)*(Work_Codes!$AC$104:$AO$104)*(L$65:L$65))</f>
        <v>0</v>
      </c>
      <c r="M227" s="81">
        <f ca="1">SUMPRODUCT((Work_Codes!$AC$96:$AO$96=$E227)*(Work_Codes!$AC$104:$AO$104)*(M$65:M$65))</f>
        <v>0</v>
      </c>
      <c r="N227" s="81">
        <f ca="1">SUMPRODUCT((Work_Codes!$AC$96:$AO$96=$E227)*(Work_Codes!$AC$104:$AO$104)*(N$65:N$65))</f>
        <v>0</v>
      </c>
      <c r="O227" s="81">
        <f ca="1">SUMPRODUCT((Work_Codes!$AC$96:$AO$96=$E227)*(Work_Codes!$AC$104:$AO$104)*(O$65:O$65))</f>
        <v>0</v>
      </c>
      <c r="P227" s="81">
        <f ca="1">SUMPRODUCT((Work_Codes!$AC$96:$AO$96=$E227)*(Work_Codes!$AC$104:$AO$104)*(P$65:P$65))</f>
        <v>0</v>
      </c>
      <c r="Q227" s="81">
        <f ca="1">SUMPRODUCT((Work_Codes!$AC$96:$AO$96=$E227)*(Work_Codes!$AC$104:$AO$104)*(Q$65:Q$65))</f>
        <v>0</v>
      </c>
      <c r="R227" s="81">
        <f ca="1">SUMPRODUCT((Work_Codes!$AC$96:$AO$96=$E227)*(Work_Codes!$AC$104:$AO$104)*(R$65:R$65))</f>
        <v>0</v>
      </c>
      <c r="S227" s="81">
        <f ca="1">SUMPRODUCT((Work_Codes!$AC$96:$AO$96=$E227)*(Work_Codes!$AC$104:$AO$104)*(S$65:S$65))</f>
        <v>0</v>
      </c>
      <c r="T227" s="81">
        <f ca="1">SUMPRODUCT((Work_Codes!$AC$96:$AO$96=$E227)*(Work_Codes!$AC$104:$AO$104)*(T$65:T$65))</f>
        <v>0</v>
      </c>
    </row>
    <row r="228" spans="2:20" outlineLevel="2">
      <c r="E228" s="247" t="str">
        <f>GC!C64</f>
        <v>Commercial and industrial meter replacement</v>
      </c>
      <c r="F228" s="247"/>
      <c r="G228" s="247"/>
      <c r="H228" s="247"/>
      <c r="I228" s="247"/>
      <c r="J228" s="81">
        <f ca="1">SUMPRODUCT((Work_Codes!$AC$96:$AO$96=$E228)*(Work_Codes!$AC$104:$AO$104)*(J$65:J$65))</f>
        <v>0</v>
      </c>
      <c r="K228" s="81">
        <f ca="1">SUMPRODUCT((Work_Codes!$AC$96:$AO$96=$E228)*(Work_Codes!$AC$104:$AO$104)*(K$65:K$65))</f>
        <v>0</v>
      </c>
      <c r="L228" s="81">
        <f ca="1">SUMPRODUCT((Work_Codes!$AC$96:$AO$96=$E228)*(Work_Codes!$AC$104:$AO$104)*(L$65:L$65))</f>
        <v>0</v>
      </c>
      <c r="M228" s="81">
        <f ca="1">SUMPRODUCT((Work_Codes!$AC$96:$AO$96=$E228)*(Work_Codes!$AC$104:$AO$104)*(M$65:M$65))</f>
        <v>0</v>
      </c>
      <c r="N228" s="81">
        <f ca="1">SUMPRODUCT((Work_Codes!$AC$96:$AO$96=$E228)*(Work_Codes!$AC$104:$AO$104)*(N$65:N$65))</f>
        <v>0</v>
      </c>
      <c r="O228" s="81">
        <f ca="1">SUMPRODUCT((Work_Codes!$AC$96:$AO$96=$E228)*(Work_Codes!$AC$104:$AO$104)*(O$65:O$65))</f>
        <v>0</v>
      </c>
      <c r="P228" s="81">
        <f ca="1">SUMPRODUCT((Work_Codes!$AC$96:$AO$96=$E228)*(Work_Codes!$AC$104:$AO$104)*(P$65:P$65))</f>
        <v>0</v>
      </c>
      <c r="Q228" s="81">
        <f ca="1">SUMPRODUCT((Work_Codes!$AC$96:$AO$96=$E228)*(Work_Codes!$AC$104:$AO$104)*(Q$65:Q$65))</f>
        <v>0</v>
      </c>
      <c r="R228" s="81">
        <f ca="1">SUMPRODUCT((Work_Codes!$AC$96:$AO$96=$E228)*(Work_Codes!$AC$104:$AO$104)*(R$65:R$65))</f>
        <v>0</v>
      </c>
      <c r="S228" s="81">
        <f ca="1">SUMPRODUCT((Work_Codes!$AC$96:$AO$96=$E228)*(Work_Codes!$AC$104:$AO$104)*(S$65:S$65))</f>
        <v>0</v>
      </c>
      <c r="T228" s="81">
        <f ca="1">SUMPRODUCT((Work_Codes!$AC$96:$AO$96=$E228)*(Work_Codes!$AC$104:$AO$104)*(T$65:T$65))</f>
        <v>0</v>
      </c>
    </row>
    <row r="229" spans="2:20" outlineLevel="2">
      <c r="E229" s="247" t="str">
        <f>GC!C65</f>
        <v>Augmentation</v>
      </c>
      <c r="F229" s="247"/>
      <c r="G229" s="247"/>
      <c r="H229" s="247"/>
      <c r="I229" s="247"/>
      <c r="J229" s="81">
        <f ca="1">SUMPRODUCT((Work_Codes!$AC$96:$AO$96=$E229)*(Work_Codes!$AC$104:$AO$104)*(J$65:J$65))</f>
        <v>0</v>
      </c>
      <c r="K229" s="81">
        <f ca="1">SUMPRODUCT((Work_Codes!$AC$96:$AO$96=$E229)*(Work_Codes!$AC$104:$AO$104)*(K$65:K$65))</f>
        <v>0</v>
      </c>
      <c r="L229" s="81">
        <f ca="1">SUMPRODUCT((Work_Codes!$AC$96:$AO$96=$E229)*(Work_Codes!$AC$104:$AO$104)*(L$65:L$65))</f>
        <v>0</v>
      </c>
      <c r="M229" s="81">
        <f ca="1">SUMPRODUCT((Work_Codes!$AC$96:$AO$96=$E229)*(Work_Codes!$AC$104:$AO$104)*(M$65:M$65))</f>
        <v>0</v>
      </c>
      <c r="N229" s="81">
        <f ca="1">SUMPRODUCT((Work_Codes!$AC$96:$AO$96=$E229)*(Work_Codes!$AC$104:$AO$104)*(N$65:N$65))</f>
        <v>0</v>
      </c>
      <c r="O229" s="81">
        <f ca="1">SUMPRODUCT((Work_Codes!$AC$96:$AO$96=$E229)*(Work_Codes!$AC$104:$AO$104)*(O$65:O$65))</f>
        <v>0</v>
      </c>
      <c r="P229" s="81">
        <f ca="1">SUMPRODUCT((Work_Codes!$AC$96:$AO$96=$E229)*(Work_Codes!$AC$104:$AO$104)*(P$65:P$65))</f>
        <v>0</v>
      </c>
      <c r="Q229" s="81">
        <f ca="1">SUMPRODUCT((Work_Codes!$AC$96:$AO$96=$E229)*(Work_Codes!$AC$104:$AO$104)*(Q$65:Q$65))</f>
        <v>0</v>
      </c>
      <c r="R229" s="81">
        <f ca="1">SUMPRODUCT((Work_Codes!$AC$96:$AO$96=$E229)*(Work_Codes!$AC$104:$AO$104)*(R$65:R$65))</f>
        <v>0</v>
      </c>
      <c r="S229" s="81">
        <f ca="1">SUMPRODUCT((Work_Codes!$AC$96:$AO$96=$E229)*(Work_Codes!$AC$104:$AO$104)*(S$65:S$65))</f>
        <v>0</v>
      </c>
      <c r="T229" s="81">
        <f ca="1">SUMPRODUCT((Work_Codes!$AC$96:$AO$96=$E229)*(Work_Codes!$AC$104:$AO$104)*(T$65:T$65))</f>
        <v>0</v>
      </c>
    </row>
    <row r="230" spans="2:20" outlineLevel="2">
      <c r="E230" s="247" t="str">
        <f>GC!C66</f>
        <v>IT capex</v>
      </c>
      <c r="F230" s="247"/>
      <c r="G230" s="247"/>
      <c r="H230" s="247"/>
      <c r="I230" s="247"/>
      <c r="J230" s="81">
        <f ca="1">SUMPRODUCT((Work_Codes!$AC$96:$AO$96=$E230)*(Work_Codes!$AC$104:$AO$104)*(J$65:J$65))</f>
        <v>0</v>
      </c>
      <c r="K230" s="81">
        <f ca="1">SUMPRODUCT((Work_Codes!$AC$96:$AO$96=$E230)*(Work_Codes!$AC$104:$AO$104)*(K$65:K$65))</f>
        <v>0</v>
      </c>
      <c r="L230" s="81">
        <f ca="1">SUMPRODUCT((Work_Codes!$AC$96:$AO$96=$E230)*(Work_Codes!$AC$104:$AO$104)*(L$65:L$65))</f>
        <v>0</v>
      </c>
      <c r="M230" s="81">
        <f ca="1">SUMPRODUCT((Work_Codes!$AC$96:$AO$96=$E230)*(Work_Codes!$AC$104:$AO$104)*(M$65:M$65))</f>
        <v>0</v>
      </c>
      <c r="N230" s="81">
        <f ca="1">SUMPRODUCT((Work_Codes!$AC$96:$AO$96=$E230)*(Work_Codes!$AC$104:$AO$104)*(N$65:N$65))</f>
        <v>0</v>
      </c>
      <c r="O230" s="81">
        <f ca="1">SUMPRODUCT((Work_Codes!$AC$96:$AO$96=$E230)*(Work_Codes!$AC$104:$AO$104)*(O$65:O$65))</f>
        <v>0</v>
      </c>
      <c r="P230" s="81">
        <f ca="1">SUMPRODUCT((Work_Codes!$AC$96:$AO$96=$E230)*(Work_Codes!$AC$104:$AO$104)*(P$65:P$65))</f>
        <v>0</v>
      </c>
      <c r="Q230" s="81">
        <f ca="1">SUMPRODUCT((Work_Codes!$AC$96:$AO$96=$E230)*(Work_Codes!$AC$104:$AO$104)*(Q$65:Q$65))</f>
        <v>0</v>
      </c>
      <c r="R230" s="81">
        <f ca="1">SUMPRODUCT((Work_Codes!$AC$96:$AO$96=$E230)*(Work_Codes!$AC$104:$AO$104)*(R$65:R$65))</f>
        <v>0</v>
      </c>
      <c r="S230" s="81">
        <f ca="1">SUMPRODUCT((Work_Codes!$AC$96:$AO$96=$E230)*(Work_Codes!$AC$104:$AO$104)*(S$65:S$65))</f>
        <v>0</v>
      </c>
      <c r="T230" s="81">
        <f ca="1">SUMPRODUCT((Work_Codes!$AC$96:$AO$96=$E230)*(Work_Codes!$AC$104:$AO$104)*(T$65:T$65))</f>
        <v>0</v>
      </c>
    </row>
    <row r="231" spans="2:20" outlineLevel="2">
      <c r="E231" s="247" t="str">
        <f>GC!C67</f>
        <v>SCADA</v>
      </c>
      <c r="F231" s="247"/>
      <c r="G231" s="247"/>
      <c r="H231" s="247"/>
      <c r="I231" s="247"/>
      <c r="J231" s="81">
        <f ca="1">SUMPRODUCT((Work_Codes!$AC$96:$AO$96=$E231)*(Work_Codes!$AC$104:$AO$104)*(J$65:J$65))</f>
        <v>0</v>
      </c>
      <c r="K231" s="81">
        <f ca="1">SUMPRODUCT((Work_Codes!$AC$96:$AO$96=$E231)*(Work_Codes!$AC$104:$AO$104)*(K$65:K$65))</f>
        <v>0</v>
      </c>
      <c r="L231" s="81">
        <f ca="1">SUMPRODUCT((Work_Codes!$AC$96:$AO$96=$E231)*(Work_Codes!$AC$104:$AO$104)*(L$65:L$65))</f>
        <v>0</v>
      </c>
      <c r="M231" s="81">
        <f ca="1">SUMPRODUCT((Work_Codes!$AC$96:$AO$96=$E231)*(Work_Codes!$AC$104:$AO$104)*(M$65:M$65))</f>
        <v>0</v>
      </c>
      <c r="N231" s="81">
        <f ca="1">SUMPRODUCT((Work_Codes!$AC$96:$AO$96=$E231)*(Work_Codes!$AC$104:$AO$104)*(N$65:N$65))</f>
        <v>0</v>
      </c>
      <c r="O231" s="81">
        <f ca="1">SUMPRODUCT((Work_Codes!$AC$96:$AO$96=$E231)*(Work_Codes!$AC$104:$AO$104)*(O$65:O$65))</f>
        <v>0</v>
      </c>
      <c r="P231" s="81">
        <f ca="1">SUMPRODUCT((Work_Codes!$AC$96:$AO$96=$E231)*(Work_Codes!$AC$104:$AO$104)*(P$65:P$65))</f>
        <v>0</v>
      </c>
      <c r="Q231" s="81">
        <f ca="1">SUMPRODUCT((Work_Codes!$AC$96:$AO$96=$E231)*(Work_Codes!$AC$104:$AO$104)*(Q$65:Q$65))</f>
        <v>0</v>
      </c>
      <c r="R231" s="81">
        <f ca="1">SUMPRODUCT((Work_Codes!$AC$96:$AO$96=$E231)*(Work_Codes!$AC$104:$AO$104)*(R$65:R$65))</f>
        <v>0</v>
      </c>
      <c r="S231" s="81">
        <f ca="1">SUMPRODUCT((Work_Codes!$AC$96:$AO$96=$E231)*(Work_Codes!$AC$104:$AO$104)*(S$65:S$65))</f>
        <v>0</v>
      </c>
      <c r="T231" s="81">
        <f ca="1">SUMPRODUCT((Work_Codes!$AC$96:$AO$96=$E231)*(Work_Codes!$AC$104:$AO$104)*(T$65:T$65))</f>
        <v>0</v>
      </c>
    </row>
    <row r="232" spans="2:20" outlineLevel="2">
      <c r="E232" s="247" t="str">
        <f>GC!C68</f>
        <v>Other</v>
      </c>
      <c r="F232" s="247"/>
      <c r="G232" s="247"/>
      <c r="H232" s="247"/>
      <c r="I232" s="247"/>
      <c r="J232" s="81">
        <f ca="1">SUMPRODUCT((Work_Codes!$AC$96:$AO$96=$E232)*(Work_Codes!$AC$104:$AO$104)*(J$65:J$65))</f>
        <v>0</v>
      </c>
      <c r="K232" s="81">
        <f ca="1">SUMPRODUCT((Work_Codes!$AC$96:$AO$96=$E232)*(Work_Codes!$AC$104:$AO$104)*(K$65:K$65))</f>
        <v>0</v>
      </c>
      <c r="L232" s="81">
        <f ca="1">SUMPRODUCT((Work_Codes!$AC$96:$AO$96=$E232)*(Work_Codes!$AC$104:$AO$104)*(L$65:L$65))</f>
        <v>0</v>
      </c>
      <c r="M232" s="81">
        <f ca="1">SUMPRODUCT((Work_Codes!$AC$96:$AO$96=$E232)*(Work_Codes!$AC$104:$AO$104)*(M$65:M$65))</f>
        <v>0</v>
      </c>
      <c r="N232" s="81">
        <f ca="1">SUMPRODUCT((Work_Codes!$AC$96:$AO$96=$E232)*(Work_Codes!$AC$104:$AO$104)*(N$65:N$65))</f>
        <v>0</v>
      </c>
      <c r="O232" s="81">
        <f ca="1">SUMPRODUCT((Work_Codes!$AC$96:$AO$96=$E232)*(Work_Codes!$AC$104:$AO$104)*(O$65:O$65))</f>
        <v>0</v>
      </c>
      <c r="P232" s="81">
        <f ca="1">SUMPRODUCT((Work_Codes!$AC$96:$AO$96=$E232)*(Work_Codes!$AC$104:$AO$104)*(P$65:P$65))</f>
        <v>0</v>
      </c>
      <c r="Q232" s="81">
        <f ca="1">SUMPRODUCT((Work_Codes!$AC$96:$AO$96=$E232)*(Work_Codes!$AC$104:$AO$104)*(Q$65:Q$65))</f>
        <v>0</v>
      </c>
      <c r="R232" s="81">
        <f ca="1">SUMPRODUCT((Work_Codes!$AC$96:$AO$96=$E232)*(Work_Codes!$AC$104:$AO$104)*(R$65:R$65))</f>
        <v>0</v>
      </c>
      <c r="S232" s="81">
        <f ca="1">SUMPRODUCT((Work_Codes!$AC$96:$AO$96=$E232)*(Work_Codes!$AC$104:$AO$104)*(S$65:S$65))</f>
        <v>0</v>
      </c>
      <c r="T232" s="81">
        <f ca="1">SUMPRODUCT((Work_Codes!$AC$96:$AO$96=$E232)*(Work_Codes!$AC$104:$AO$104)*(T$65:T$65))</f>
        <v>0</v>
      </c>
    </row>
    <row r="233" spans="2:20" outlineLevel="2">
      <c r="E233" s="247" t="str">
        <f>GC!C69</f>
        <v>Capitalised Leases</v>
      </c>
      <c r="F233" s="247"/>
      <c r="G233" s="247"/>
      <c r="H233" s="247"/>
      <c r="I233" s="247"/>
      <c r="J233" s="81">
        <f ca="1">SUMPRODUCT((Work_Codes!$AC$96:$AO$96=$E233)*(Work_Codes!$AC$104:$AO$104)*(J$65:J$65))</f>
        <v>0</v>
      </c>
      <c r="K233" s="81">
        <f ca="1">SUMPRODUCT((Work_Codes!$AC$96:$AO$96=$E233)*(Work_Codes!$AC$104:$AO$104)*(K$65:K$65))</f>
        <v>0</v>
      </c>
      <c r="L233" s="81">
        <f ca="1">SUMPRODUCT((Work_Codes!$AC$96:$AO$96=$E233)*(Work_Codes!$AC$104:$AO$104)*(L$65:L$65))</f>
        <v>0</v>
      </c>
      <c r="M233" s="81">
        <f ca="1">SUMPRODUCT((Work_Codes!$AC$96:$AO$96=$E233)*(Work_Codes!$AC$104:$AO$104)*(M$65:M$65))</f>
        <v>0</v>
      </c>
      <c r="N233" s="81">
        <f ca="1">SUMPRODUCT((Work_Codes!$AC$96:$AO$96=$E233)*(Work_Codes!$AC$104:$AO$104)*(N$65:N$65))</f>
        <v>0</v>
      </c>
      <c r="O233" s="81">
        <f ca="1">SUMPRODUCT((Work_Codes!$AC$96:$AO$96=$E233)*(Work_Codes!$AC$104:$AO$104)*(O$65:O$65))</f>
        <v>0</v>
      </c>
      <c r="P233" s="81">
        <f ca="1">SUMPRODUCT((Work_Codes!$AC$96:$AO$96=$E233)*(Work_Codes!$AC$104:$AO$104)*(P$65:P$65))</f>
        <v>0</v>
      </c>
      <c r="Q233" s="81">
        <f ca="1">SUMPRODUCT((Work_Codes!$AC$96:$AO$96=$E233)*(Work_Codes!$AC$104:$AO$104)*(Q$65:Q$65))</f>
        <v>0</v>
      </c>
      <c r="R233" s="81">
        <f ca="1">SUMPRODUCT((Work_Codes!$AC$96:$AO$96=$E233)*(Work_Codes!$AC$104:$AO$104)*(R$65:R$65))</f>
        <v>0</v>
      </c>
      <c r="S233" s="81">
        <f ca="1">SUMPRODUCT((Work_Codes!$AC$96:$AO$96=$E233)*(Work_Codes!$AC$104:$AO$104)*(S$65:S$65))</f>
        <v>0</v>
      </c>
      <c r="T233" s="81">
        <f ca="1">SUMPRODUCT((Work_Codes!$AC$96:$AO$96=$E233)*(Work_Codes!$AC$104:$AO$104)*(T$65:T$65))</f>
        <v>0</v>
      </c>
    </row>
    <row r="234" spans="2:20" outlineLevel="2">
      <c r="E234" s="247" t="str">
        <f>GC!C70</f>
        <v>Gas Extensions - Energy for the Regions</v>
      </c>
      <c r="F234" s="247"/>
      <c r="G234" s="247"/>
      <c r="H234" s="247"/>
      <c r="I234" s="247"/>
      <c r="J234" s="81">
        <f ca="1">SUMPRODUCT((Work_Codes!$AC$96:$AO$96=$E234)*(Work_Codes!$AC$104:$AO$104)*(J$65:J$65))</f>
        <v>0</v>
      </c>
      <c r="K234" s="81">
        <f ca="1">SUMPRODUCT((Work_Codes!$AC$96:$AO$96=$E234)*(Work_Codes!$AC$104:$AO$104)*(K$65:K$65))</f>
        <v>0</v>
      </c>
      <c r="L234" s="81">
        <f ca="1">SUMPRODUCT((Work_Codes!$AC$96:$AO$96=$E234)*(Work_Codes!$AC$104:$AO$104)*(L$65:L$65))</f>
        <v>0</v>
      </c>
      <c r="M234" s="81">
        <f ca="1">SUMPRODUCT((Work_Codes!$AC$96:$AO$96=$E234)*(Work_Codes!$AC$104:$AO$104)*(M$65:M$65))</f>
        <v>0</v>
      </c>
      <c r="N234" s="81">
        <f ca="1">SUMPRODUCT((Work_Codes!$AC$96:$AO$96=$E234)*(Work_Codes!$AC$104:$AO$104)*(N$65:N$65))</f>
        <v>0</v>
      </c>
      <c r="O234" s="81">
        <f ca="1">SUMPRODUCT((Work_Codes!$AC$96:$AO$96=$E234)*(Work_Codes!$AC$104:$AO$104)*(O$65:O$65))</f>
        <v>0</v>
      </c>
      <c r="P234" s="81">
        <f ca="1">SUMPRODUCT((Work_Codes!$AC$96:$AO$96=$E234)*(Work_Codes!$AC$104:$AO$104)*(P$65:P$65))</f>
        <v>0</v>
      </c>
      <c r="Q234" s="81">
        <f ca="1">SUMPRODUCT((Work_Codes!$AC$96:$AO$96=$E234)*(Work_Codes!$AC$104:$AO$104)*(Q$65:Q$65))</f>
        <v>0</v>
      </c>
      <c r="R234" s="81">
        <f ca="1">SUMPRODUCT((Work_Codes!$AC$96:$AO$96=$E234)*(Work_Codes!$AC$104:$AO$104)*(R$65:R$65))</f>
        <v>0</v>
      </c>
      <c r="S234" s="81">
        <f ca="1">SUMPRODUCT((Work_Codes!$AC$96:$AO$96=$E234)*(Work_Codes!$AC$104:$AO$104)*(S$65:S$65))</f>
        <v>0</v>
      </c>
      <c r="T234" s="81">
        <f ca="1">SUMPRODUCT((Work_Codes!$AC$96:$AO$96=$E234)*(Work_Codes!$AC$104:$AO$104)*(T$65:T$65))</f>
        <v>0</v>
      </c>
    </row>
    <row r="235" spans="2:20" outlineLevel="2">
      <c r="E235" s="247" t="str">
        <f>GC!C71</f>
        <v>Gas Extensions - Other</v>
      </c>
      <c r="F235" s="247"/>
      <c r="G235" s="247"/>
      <c r="H235" s="247"/>
      <c r="I235" s="247"/>
      <c r="J235" s="81">
        <f ca="1">SUMPRODUCT((Work_Codes!$AC$96:$AO$96=$E235)*(Work_Codes!$AC$104:$AO$104)*(J$65:J$65))</f>
        <v>0</v>
      </c>
      <c r="K235" s="81">
        <f ca="1">SUMPRODUCT((Work_Codes!$AC$96:$AO$96=$E235)*(Work_Codes!$AC$104:$AO$104)*(K$65:K$65))</f>
        <v>0</v>
      </c>
      <c r="L235" s="81">
        <f ca="1">SUMPRODUCT((Work_Codes!$AC$96:$AO$96=$E235)*(Work_Codes!$AC$104:$AO$104)*(L$65:L$65))</f>
        <v>0</v>
      </c>
      <c r="M235" s="81">
        <f ca="1">SUMPRODUCT((Work_Codes!$AC$96:$AO$96=$E235)*(Work_Codes!$AC$104:$AO$104)*(M$65:M$65))</f>
        <v>0</v>
      </c>
      <c r="N235" s="81">
        <f ca="1">SUMPRODUCT((Work_Codes!$AC$96:$AO$96=$E235)*(Work_Codes!$AC$104:$AO$104)*(N$65:N$65))</f>
        <v>0</v>
      </c>
      <c r="O235" s="81">
        <f ca="1">SUMPRODUCT((Work_Codes!$AC$96:$AO$96=$E235)*(Work_Codes!$AC$104:$AO$104)*(O$65:O$65))</f>
        <v>0</v>
      </c>
      <c r="P235" s="81">
        <f ca="1">SUMPRODUCT((Work_Codes!$AC$96:$AO$96=$E235)*(Work_Codes!$AC$104:$AO$104)*(P$65:P$65))</f>
        <v>0</v>
      </c>
      <c r="Q235" s="81">
        <f ca="1">SUMPRODUCT((Work_Codes!$AC$96:$AO$96=$E235)*(Work_Codes!$AC$104:$AO$104)*(Q$65:Q$65))</f>
        <v>0</v>
      </c>
      <c r="R235" s="81">
        <f ca="1">SUMPRODUCT((Work_Codes!$AC$96:$AO$96=$E235)*(Work_Codes!$AC$104:$AO$104)*(R$65:R$65))</f>
        <v>0</v>
      </c>
      <c r="S235" s="81">
        <f ca="1">SUMPRODUCT((Work_Codes!$AC$96:$AO$96=$E235)*(Work_Codes!$AC$104:$AO$104)*(S$65:S$65))</f>
        <v>0</v>
      </c>
      <c r="T235" s="81">
        <f ca="1">SUMPRODUCT((Work_Codes!$AC$96:$AO$96=$E235)*(Work_Codes!$AC$104:$AO$104)*(T$65:T$65))</f>
        <v>0</v>
      </c>
    </row>
    <row r="236" spans="2:20" outlineLevel="2">
      <c r="E236" s="247" t="str">
        <f>GC!C72</f>
        <v>Customer contributions</v>
      </c>
      <c r="F236" s="247"/>
      <c r="G236" s="247"/>
      <c r="H236" s="247"/>
      <c r="I236" s="247"/>
      <c r="J236" s="81">
        <f ca="1">SUMPRODUCT((Work_Codes!$AC$96:$AO$96=$E236)*(Work_Codes!$AC$104:$AO$104)*(J$65:J$65))</f>
        <v>0</v>
      </c>
      <c r="K236" s="81">
        <f ca="1">SUMPRODUCT((Work_Codes!$AC$96:$AO$96=$E236)*(Work_Codes!$AC$104:$AO$104)*(K$65:K$65))</f>
        <v>0</v>
      </c>
      <c r="L236" s="81">
        <f ca="1">SUMPRODUCT((Work_Codes!$AC$96:$AO$96=$E236)*(Work_Codes!$AC$104:$AO$104)*(L$65:L$65))</f>
        <v>0</v>
      </c>
      <c r="M236" s="81">
        <f ca="1">SUMPRODUCT((Work_Codes!$AC$96:$AO$96=$E236)*(Work_Codes!$AC$104:$AO$104)*(M$65:M$65))</f>
        <v>0</v>
      </c>
      <c r="N236" s="81">
        <f ca="1">SUMPRODUCT((Work_Codes!$AC$96:$AO$96=$E236)*(Work_Codes!$AC$104:$AO$104)*(N$65:N$65))</f>
        <v>0</v>
      </c>
      <c r="O236" s="81">
        <f ca="1">SUMPRODUCT((Work_Codes!$AC$96:$AO$96=$E236)*(Work_Codes!$AC$104:$AO$104)*(O$65:O$65))</f>
        <v>0</v>
      </c>
      <c r="P236" s="81">
        <f ca="1">SUMPRODUCT((Work_Codes!$AC$96:$AO$96=$E236)*(Work_Codes!$AC$104:$AO$104)*(P$65:P$65))</f>
        <v>0</v>
      </c>
      <c r="Q236" s="81">
        <f ca="1">SUMPRODUCT((Work_Codes!$AC$96:$AO$96=$E236)*(Work_Codes!$AC$104:$AO$104)*(Q$65:Q$65))</f>
        <v>0</v>
      </c>
      <c r="R236" s="81">
        <f ca="1">SUMPRODUCT((Work_Codes!$AC$96:$AO$96=$E236)*(Work_Codes!$AC$104:$AO$104)*(R$65:R$65))</f>
        <v>0</v>
      </c>
      <c r="S236" s="81">
        <f ca="1">SUMPRODUCT((Work_Codes!$AC$96:$AO$96=$E236)*(Work_Codes!$AC$104:$AO$104)*(S$65:S$65))</f>
        <v>0</v>
      </c>
      <c r="T236" s="81">
        <f ca="1">SUMPRODUCT((Work_Codes!$AC$96:$AO$96=$E236)*(Work_Codes!$AC$104:$AO$104)*(T$65:T$65))</f>
        <v>0</v>
      </c>
    </row>
    <row r="237" spans="2:20" outlineLevel="2">
      <c r="E237" s="247" t="str">
        <f>GC!C73</f>
        <v>Government contributions</v>
      </c>
      <c r="F237" s="247"/>
      <c r="G237" s="247"/>
      <c r="H237" s="247"/>
      <c r="I237" s="247"/>
      <c r="J237" s="81">
        <f ca="1">SUMPRODUCT((Work_Codes!$AC$96:$AO$96=$E237)*(Work_Codes!$AC$104:$AO$104)*(J$65:J$65))</f>
        <v>0</v>
      </c>
      <c r="K237" s="81">
        <f ca="1">SUMPRODUCT((Work_Codes!$AC$96:$AO$96=$E237)*(Work_Codes!$AC$104:$AO$104)*(K$65:K$65))</f>
        <v>0</v>
      </c>
      <c r="L237" s="81">
        <f ca="1">SUMPRODUCT((Work_Codes!$AC$96:$AO$96=$E237)*(Work_Codes!$AC$104:$AO$104)*(L$65:L$65))</f>
        <v>0</v>
      </c>
      <c r="M237" s="81">
        <f ca="1">SUMPRODUCT((Work_Codes!$AC$96:$AO$96=$E237)*(Work_Codes!$AC$104:$AO$104)*(M$65:M$65))</f>
        <v>0</v>
      </c>
      <c r="N237" s="81">
        <f ca="1">SUMPRODUCT((Work_Codes!$AC$96:$AO$96=$E237)*(Work_Codes!$AC$104:$AO$104)*(N$65:N$65))</f>
        <v>0</v>
      </c>
      <c r="O237" s="81">
        <f ca="1">SUMPRODUCT((Work_Codes!$AC$96:$AO$96=$E237)*(Work_Codes!$AC$104:$AO$104)*(O$65:O$65))</f>
        <v>0</v>
      </c>
      <c r="P237" s="81">
        <f ca="1">SUMPRODUCT((Work_Codes!$AC$96:$AO$96=$E237)*(Work_Codes!$AC$104:$AO$104)*(P$65:P$65))</f>
        <v>0</v>
      </c>
      <c r="Q237" s="81">
        <f ca="1">SUMPRODUCT((Work_Codes!$AC$96:$AO$96=$E237)*(Work_Codes!$AC$104:$AO$104)*(Q$65:Q$65))</f>
        <v>0</v>
      </c>
      <c r="R237" s="81">
        <f ca="1">SUMPRODUCT((Work_Codes!$AC$96:$AO$96=$E237)*(Work_Codes!$AC$104:$AO$104)*(R$65:R$65))</f>
        <v>0</v>
      </c>
      <c r="S237" s="81">
        <f ca="1">SUMPRODUCT((Work_Codes!$AC$96:$AO$96=$E237)*(Work_Codes!$AC$104:$AO$104)*(S$65:S$65))</f>
        <v>0</v>
      </c>
      <c r="T237" s="81">
        <f ca="1">SUMPRODUCT((Work_Codes!$AC$96:$AO$96=$E237)*(Work_Codes!$AC$104:$AO$104)*(T$65:T$65))</f>
        <v>0</v>
      </c>
    </row>
    <row r="238" spans="2:20" outlineLevel="2">
      <c r="E238" s="249" t="str">
        <f t="shared" ref="E238" si="22">"Total "&amp;D222</f>
        <v>Total Customer Contributions</v>
      </c>
      <c r="F238" s="249"/>
      <c r="G238" s="249"/>
      <c r="H238" s="249"/>
      <c r="I238" s="249"/>
      <c r="J238" s="82">
        <f t="shared" ref="J238:T238" ca="1" si="23">SUM(J224:J237)</f>
        <v>0</v>
      </c>
      <c r="K238" s="82">
        <f t="shared" ca="1" si="23"/>
        <v>0</v>
      </c>
      <c r="L238" s="82">
        <f t="shared" ca="1" si="23"/>
        <v>0</v>
      </c>
      <c r="M238" s="82">
        <f t="shared" ca="1" si="23"/>
        <v>0</v>
      </c>
      <c r="N238" s="82">
        <f t="shared" ca="1" si="23"/>
        <v>0</v>
      </c>
      <c r="O238" s="82">
        <f t="shared" ca="1" si="23"/>
        <v>0</v>
      </c>
      <c r="P238" s="82">
        <f t="shared" ca="1" si="23"/>
        <v>0</v>
      </c>
      <c r="Q238" s="82">
        <f t="shared" ca="1" si="23"/>
        <v>0</v>
      </c>
      <c r="R238" s="82">
        <f t="shared" ca="1" si="23"/>
        <v>0</v>
      </c>
      <c r="S238" s="82">
        <f t="shared" ca="1" si="23"/>
        <v>0</v>
      </c>
      <c r="T238" s="82">
        <f t="shared" ca="1" si="23"/>
        <v>0</v>
      </c>
    </row>
    <row r="239" spans="2:20" outlineLevel="2">
      <c r="B239" s="12"/>
      <c r="C239" s="12"/>
      <c r="D239" s="12"/>
      <c r="E239" s="12"/>
      <c r="F239" s="12"/>
      <c r="G239" s="12"/>
      <c r="H239" s="12"/>
      <c r="I239" s="12"/>
      <c r="J239" s="12"/>
      <c r="K239" s="12"/>
      <c r="L239" s="12"/>
      <c r="M239" s="12"/>
      <c r="N239" s="12"/>
      <c r="O239" s="12"/>
      <c r="P239" s="12"/>
      <c r="Q239" s="12"/>
      <c r="R239" s="12"/>
      <c r="S239" s="12"/>
      <c r="T239" s="12"/>
    </row>
    <row r="240" spans="2:20" outlineLevel="2"/>
    <row r="241" spans="3:20" outlineLevel="2">
      <c r="C241" s="37" t="s">
        <v>311</v>
      </c>
    </row>
    <row r="242" spans="3:20" ht="5.9" customHeight="1" outlineLevel="2"/>
    <row r="243" spans="3:20" outlineLevel="2">
      <c r="D243" s="37" t="s">
        <v>215</v>
      </c>
    </row>
    <row r="244" spans="3:20" ht="5.9" customHeight="1" outlineLevel="2"/>
    <row r="245" spans="3:20" outlineLevel="2">
      <c r="E245" s="247" t="str">
        <f>GC!C78</f>
        <v>Mains &amp; Services</v>
      </c>
      <c r="F245" s="247"/>
      <c r="G245" s="247"/>
      <c r="H245" s="247"/>
      <c r="I245" s="247"/>
      <c r="J245" s="81">
        <f ca="1">SUMPRODUCT((Work_Codes!$AR$96:$AX$96=$E245)*(Work_Codes!$AR$99:$AX$100)*(J$95:J$96))</f>
        <v>0</v>
      </c>
      <c r="K245" s="81">
        <f ca="1">SUMPRODUCT((Work_Codes!$AR$96:$AX$96=$E245)*(Work_Codes!$AR$99:$AX$100)*(K$95:K$96))</f>
        <v>0</v>
      </c>
      <c r="L245" s="81">
        <f ca="1">SUMPRODUCT((Work_Codes!$AR$96:$AX$96=$E245)*(Work_Codes!$AR$99:$AX$100)*(L$95:L$96))</f>
        <v>0</v>
      </c>
      <c r="M245" s="81">
        <f ca="1">SUMPRODUCT((Work_Codes!$AR$96:$AX$96=$E245)*(Work_Codes!$AR$99:$AX$100)*(M$95:M$96))</f>
        <v>0</v>
      </c>
      <c r="N245" s="81">
        <f ca="1">SUMPRODUCT((Work_Codes!$AR$96:$AX$96=$E245)*(Work_Codes!$AR$99:$AX$100)*(N$95:N$96))</f>
        <v>0</v>
      </c>
      <c r="O245" s="81">
        <f ca="1">SUMPRODUCT((Work_Codes!$AR$96:$AX$96=$E245)*(Work_Codes!$AR$99:$AX$100)*(O$95:O$96))</f>
        <v>0</v>
      </c>
      <c r="P245" s="81">
        <f ca="1">SUMPRODUCT((Work_Codes!$AR$96:$AX$96=$E245)*(Work_Codes!$AR$99:$AX$100)*(P$95:P$96))</f>
        <v>2030830.6901402147</v>
      </c>
      <c r="Q245" s="81">
        <f ca="1">SUMPRODUCT((Work_Codes!$AR$96:$AX$96=$E245)*(Work_Codes!$AR$99:$AX$100)*(Q$95:Q$96))</f>
        <v>2031470.3117323555</v>
      </c>
      <c r="R245" s="81">
        <f ca="1">SUMPRODUCT((Work_Codes!$AR$96:$AX$96=$E245)*(Work_Codes!$AR$99:$AX$100)*(R$95:R$96))</f>
        <v>2032380.3835748462</v>
      </c>
      <c r="S245" s="81">
        <f ca="1">SUMPRODUCT((Work_Codes!$AR$96:$AX$96=$E245)*(Work_Codes!$AR$99:$AX$100)*(S$95:S$96))</f>
        <v>2033300.4738960522</v>
      </c>
      <c r="T245" s="81">
        <f ca="1">SUMPRODUCT((Work_Codes!$AR$96:$AX$96=$E245)*(Work_Codes!$AR$99:$AX$100)*(T$95:T$96))</f>
        <v>2034230.6929838778</v>
      </c>
    </row>
    <row r="246" spans="3:20" outlineLevel="2">
      <c r="E246" s="247" t="str">
        <f>GC!C79</f>
        <v>Meters Domestic</v>
      </c>
      <c r="F246" s="247"/>
      <c r="G246" s="247"/>
      <c r="H246" s="247"/>
      <c r="I246" s="247"/>
      <c r="J246" s="81">
        <f ca="1">SUMPRODUCT((Work_Codes!$AR$96:$AX$96=$E246)*(Work_Codes!$AR$99:$AX$100)*(J$95:J$96))</f>
        <v>0</v>
      </c>
      <c r="K246" s="81">
        <f ca="1">SUMPRODUCT((Work_Codes!$AR$96:$AX$96=$E246)*(Work_Codes!$AR$99:$AX$100)*(K$95:K$96))</f>
        <v>0</v>
      </c>
      <c r="L246" s="81">
        <f ca="1">SUMPRODUCT((Work_Codes!$AR$96:$AX$96=$E246)*(Work_Codes!$AR$99:$AX$100)*(L$95:L$96))</f>
        <v>0</v>
      </c>
      <c r="M246" s="81">
        <f ca="1">SUMPRODUCT((Work_Codes!$AR$96:$AX$96=$E246)*(Work_Codes!$AR$99:$AX$100)*(M$95:M$96))</f>
        <v>0</v>
      </c>
      <c r="N246" s="81">
        <f ca="1">SUMPRODUCT((Work_Codes!$AR$96:$AX$96=$E246)*(Work_Codes!$AR$99:$AX$100)*(N$95:N$96))</f>
        <v>0</v>
      </c>
      <c r="O246" s="81">
        <f ca="1">SUMPRODUCT((Work_Codes!$AR$96:$AX$96=$E246)*(Work_Codes!$AR$99:$AX$100)*(O$95:O$96))</f>
        <v>0</v>
      </c>
      <c r="P246" s="81">
        <f ca="1">SUMPRODUCT((Work_Codes!$AR$96:$AX$96=$E246)*(Work_Codes!$AR$99:$AX$100)*(P$95:P$96))</f>
        <v>0</v>
      </c>
      <c r="Q246" s="81">
        <f ca="1">SUMPRODUCT((Work_Codes!$AR$96:$AX$96=$E246)*(Work_Codes!$AR$99:$AX$100)*(Q$95:Q$96))</f>
        <v>0</v>
      </c>
      <c r="R246" s="81">
        <f ca="1">SUMPRODUCT((Work_Codes!$AR$96:$AX$96=$E246)*(Work_Codes!$AR$99:$AX$100)*(R$95:R$96))</f>
        <v>0</v>
      </c>
      <c r="S246" s="81">
        <f ca="1">SUMPRODUCT((Work_Codes!$AR$96:$AX$96=$E246)*(Work_Codes!$AR$99:$AX$100)*(S$95:S$96))</f>
        <v>0</v>
      </c>
      <c r="T246" s="81">
        <f ca="1">SUMPRODUCT((Work_Codes!$AR$96:$AX$96=$E246)*(Work_Codes!$AR$99:$AX$100)*(T$95:T$96))</f>
        <v>0</v>
      </c>
    </row>
    <row r="247" spans="3:20" outlineLevel="2">
      <c r="E247" s="247" t="str">
        <f>GC!C80</f>
        <v>Meters Industrial &amp; Commercial</v>
      </c>
      <c r="F247" s="247"/>
      <c r="G247" s="247"/>
      <c r="H247" s="247"/>
      <c r="I247" s="247"/>
      <c r="J247" s="81">
        <f ca="1">SUMPRODUCT((Work_Codes!$AR$96:$AX$96=$E247)*(Work_Codes!$AR$99:$AX$100)*(J$95:J$96))</f>
        <v>0</v>
      </c>
      <c r="K247" s="81">
        <f ca="1">SUMPRODUCT((Work_Codes!$AR$96:$AX$96=$E247)*(Work_Codes!$AR$99:$AX$100)*(K$95:K$96))</f>
        <v>0</v>
      </c>
      <c r="L247" s="81">
        <f ca="1">SUMPRODUCT((Work_Codes!$AR$96:$AX$96=$E247)*(Work_Codes!$AR$99:$AX$100)*(L$95:L$96))</f>
        <v>0</v>
      </c>
      <c r="M247" s="81">
        <f ca="1">SUMPRODUCT((Work_Codes!$AR$96:$AX$96=$E247)*(Work_Codes!$AR$99:$AX$100)*(M$95:M$96))</f>
        <v>0</v>
      </c>
      <c r="N247" s="81">
        <f ca="1">SUMPRODUCT((Work_Codes!$AR$96:$AX$96=$E247)*(Work_Codes!$AR$99:$AX$100)*(N$95:N$96))</f>
        <v>0</v>
      </c>
      <c r="O247" s="81">
        <f ca="1">SUMPRODUCT((Work_Codes!$AR$96:$AX$96=$E247)*(Work_Codes!$AR$99:$AX$100)*(O$95:O$96))</f>
        <v>0</v>
      </c>
      <c r="P247" s="81">
        <f ca="1">SUMPRODUCT((Work_Codes!$AR$96:$AX$96=$E247)*(Work_Codes!$AR$99:$AX$100)*(P$95:P$96))</f>
        <v>0</v>
      </c>
      <c r="Q247" s="81">
        <f ca="1">SUMPRODUCT((Work_Codes!$AR$96:$AX$96=$E247)*(Work_Codes!$AR$99:$AX$100)*(Q$95:Q$96))</f>
        <v>0</v>
      </c>
      <c r="R247" s="81">
        <f ca="1">SUMPRODUCT((Work_Codes!$AR$96:$AX$96=$E247)*(Work_Codes!$AR$99:$AX$100)*(R$95:R$96))</f>
        <v>0</v>
      </c>
      <c r="S247" s="81">
        <f ca="1">SUMPRODUCT((Work_Codes!$AR$96:$AX$96=$E247)*(Work_Codes!$AR$99:$AX$100)*(S$95:S$96))</f>
        <v>0</v>
      </c>
      <c r="T247" s="81">
        <f ca="1">SUMPRODUCT((Work_Codes!$AR$96:$AX$96=$E247)*(Work_Codes!$AR$99:$AX$100)*(T$95:T$96))</f>
        <v>0</v>
      </c>
    </row>
    <row r="248" spans="3:20" outlineLevel="2">
      <c r="E248" s="247" t="str">
        <f>GC!C81</f>
        <v>Buildings</v>
      </c>
      <c r="F248" s="247"/>
      <c r="G248" s="247"/>
      <c r="H248" s="247"/>
      <c r="I248" s="247"/>
      <c r="J248" s="81">
        <f ca="1">SUMPRODUCT((Work_Codes!$AR$96:$AX$96=$E248)*(Work_Codes!$AR$99:$AX$100)*(J$95:J$96))</f>
        <v>0</v>
      </c>
      <c r="K248" s="81">
        <f ca="1">SUMPRODUCT((Work_Codes!$AR$96:$AX$96=$E248)*(Work_Codes!$AR$99:$AX$100)*(K$95:K$96))</f>
        <v>0</v>
      </c>
      <c r="L248" s="81">
        <f ca="1">SUMPRODUCT((Work_Codes!$AR$96:$AX$96=$E248)*(Work_Codes!$AR$99:$AX$100)*(L$95:L$96))</f>
        <v>0</v>
      </c>
      <c r="M248" s="81">
        <f ca="1">SUMPRODUCT((Work_Codes!$AR$96:$AX$96=$E248)*(Work_Codes!$AR$99:$AX$100)*(M$95:M$96))</f>
        <v>0</v>
      </c>
      <c r="N248" s="81">
        <f ca="1">SUMPRODUCT((Work_Codes!$AR$96:$AX$96=$E248)*(Work_Codes!$AR$99:$AX$100)*(N$95:N$96))</f>
        <v>0</v>
      </c>
      <c r="O248" s="81">
        <f ca="1">SUMPRODUCT((Work_Codes!$AR$96:$AX$96=$E248)*(Work_Codes!$AR$99:$AX$100)*(O$95:O$96))</f>
        <v>0</v>
      </c>
      <c r="P248" s="81">
        <f ca="1">SUMPRODUCT((Work_Codes!$AR$96:$AX$96=$E248)*(Work_Codes!$AR$99:$AX$100)*(P$95:P$96))</f>
        <v>0</v>
      </c>
      <c r="Q248" s="81">
        <f ca="1">SUMPRODUCT((Work_Codes!$AR$96:$AX$96=$E248)*(Work_Codes!$AR$99:$AX$100)*(Q$95:Q$96))</f>
        <v>0</v>
      </c>
      <c r="R248" s="81">
        <f ca="1">SUMPRODUCT((Work_Codes!$AR$96:$AX$96=$E248)*(Work_Codes!$AR$99:$AX$100)*(R$95:R$96))</f>
        <v>0</v>
      </c>
      <c r="S248" s="81">
        <f ca="1">SUMPRODUCT((Work_Codes!$AR$96:$AX$96=$E248)*(Work_Codes!$AR$99:$AX$100)*(S$95:S$96))</f>
        <v>0</v>
      </c>
      <c r="T248" s="81">
        <f ca="1">SUMPRODUCT((Work_Codes!$AR$96:$AX$96=$E248)*(Work_Codes!$AR$99:$AX$100)*(T$95:T$96))</f>
        <v>0</v>
      </c>
    </row>
    <row r="249" spans="3:20" outlineLevel="2">
      <c r="E249" s="247" t="str">
        <f>GC!C82</f>
        <v>Other Assets</v>
      </c>
      <c r="F249" s="247"/>
      <c r="G249" s="247"/>
      <c r="H249" s="247"/>
      <c r="I249" s="247"/>
      <c r="J249" s="81">
        <f ca="1">SUMPRODUCT((Work_Codes!$AR$96:$AX$96=$E249)*(Work_Codes!$AR$99:$AX$100)*(J$95:J$96))</f>
        <v>0</v>
      </c>
      <c r="K249" s="81">
        <f ca="1">SUMPRODUCT((Work_Codes!$AR$96:$AX$96=$E249)*(Work_Codes!$AR$99:$AX$100)*(K$95:K$96))</f>
        <v>0</v>
      </c>
      <c r="L249" s="81">
        <f ca="1">SUMPRODUCT((Work_Codes!$AR$96:$AX$96=$E249)*(Work_Codes!$AR$99:$AX$100)*(L$95:L$96))</f>
        <v>0</v>
      </c>
      <c r="M249" s="81">
        <f ca="1">SUMPRODUCT((Work_Codes!$AR$96:$AX$96=$E249)*(Work_Codes!$AR$99:$AX$100)*(M$95:M$96))</f>
        <v>0</v>
      </c>
      <c r="N249" s="81">
        <f ca="1">SUMPRODUCT((Work_Codes!$AR$96:$AX$96=$E249)*(Work_Codes!$AR$99:$AX$100)*(N$95:N$96))</f>
        <v>0</v>
      </c>
      <c r="O249" s="81">
        <f ca="1">SUMPRODUCT((Work_Codes!$AR$96:$AX$96=$E249)*(Work_Codes!$AR$99:$AX$100)*(O$95:O$96))</f>
        <v>0</v>
      </c>
      <c r="P249" s="81">
        <f ca="1">SUMPRODUCT((Work_Codes!$AR$96:$AX$96=$E249)*(Work_Codes!$AR$99:$AX$100)*(P$95:P$96))</f>
        <v>0</v>
      </c>
      <c r="Q249" s="81">
        <f ca="1">SUMPRODUCT((Work_Codes!$AR$96:$AX$96=$E249)*(Work_Codes!$AR$99:$AX$100)*(Q$95:Q$96))</f>
        <v>0</v>
      </c>
      <c r="R249" s="81">
        <f ca="1">SUMPRODUCT((Work_Codes!$AR$96:$AX$96=$E249)*(Work_Codes!$AR$99:$AX$100)*(R$95:R$96))</f>
        <v>0</v>
      </c>
      <c r="S249" s="81">
        <f ca="1">SUMPRODUCT((Work_Codes!$AR$96:$AX$96=$E249)*(Work_Codes!$AR$99:$AX$100)*(S$95:S$96))</f>
        <v>0</v>
      </c>
      <c r="T249" s="81">
        <f ca="1">SUMPRODUCT((Work_Codes!$AR$96:$AX$96=$E249)*(Work_Codes!$AR$99:$AX$100)*(T$95:T$96))</f>
        <v>0</v>
      </c>
    </row>
    <row r="250" spans="3:20" outlineLevel="2">
      <c r="E250" s="247" t="str">
        <f>GC!C83</f>
        <v>Repairs</v>
      </c>
      <c r="F250" s="247"/>
      <c r="G250" s="247"/>
      <c r="H250" s="247"/>
      <c r="I250" s="247"/>
      <c r="J250" s="81">
        <f ca="1">SUMPRODUCT((Work_Codes!$AR$96:$AX$96=$E250)*(Work_Codes!$AR$99:$AX$100)*(J$95:J$96))</f>
        <v>0</v>
      </c>
      <c r="K250" s="81">
        <f ca="1">SUMPRODUCT((Work_Codes!$AR$96:$AX$96=$E250)*(Work_Codes!$AR$99:$AX$100)*(K$95:K$96))</f>
        <v>0</v>
      </c>
      <c r="L250" s="81">
        <f ca="1">SUMPRODUCT((Work_Codes!$AR$96:$AX$96=$E250)*(Work_Codes!$AR$99:$AX$100)*(L$95:L$96))</f>
        <v>0</v>
      </c>
      <c r="M250" s="81">
        <f ca="1">SUMPRODUCT((Work_Codes!$AR$96:$AX$96=$E250)*(Work_Codes!$AR$99:$AX$100)*(M$95:M$96))</f>
        <v>0</v>
      </c>
      <c r="N250" s="81">
        <f ca="1">SUMPRODUCT((Work_Codes!$AR$96:$AX$96=$E250)*(Work_Codes!$AR$99:$AX$100)*(N$95:N$96))</f>
        <v>0</v>
      </c>
      <c r="O250" s="81">
        <f ca="1">SUMPRODUCT((Work_Codes!$AR$96:$AX$96=$E250)*(Work_Codes!$AR$99:$AX$100)*(O$95:O$96))</f>
        <v>0</v>
      </c>
      <c r="P250" s="81">
        <f ca="1">SUMPRODUCT((Work_Codes!$AR$96:$AX$96=$E250)*(Work_Codes!$AR$99:$AX$100)*(P$95:P$96))</f>
        <v>0</v>
      </c>
      <c r="Q250" s="81">
        <f ca="1">SUMPRODUCT((Work_Codes!$AR$96:$AX$96=$E250)*(Work_Codes!$AR$99:$AX$100)*(Q$95:Q$96))</f>
        <v>0</v>
      </c>
      <c r="R250" s="81">
        <f ca="1">SUMPRODUCT((Work_Codes!$AR$96:$AX$96=$E250)*(Work_Codes!$AR$99:$AX$100)*(R$95:R$96))</f>
        <v>0</v>
      </c>
      <c r="S250" s="81">
        <f ca="1">SUMPRODUCT((Work_Codes!$AR$96:$AX$96=$E250)*(Work_Codes!$AR$99:$AX$100)*(S$95:S$96))</f>
        <v>0</v>
      </c>
      <c r="T250" s="81">
        <f ca="1">SUMPRODUCT((Work_Codes!$AR$96:$AX$96=$E250)*(Work_Codes!$AR$99:$AX$100)*(T$95:T$96))</f>
        <v>0</v>
      </c>
    </row>
    <row r="251" spans="3:20" outlineLevel="2">
      <c r="E251" s="247" t="str">
        <f>GC!C84</f>
        <v>Land</v>
      </c>
      <c r="F251" s="247"/>
      <c r="G251" s="247"/>
      <c r="H251" s="247"/>
      <c r="I251" s="247"/>
      <c r="J251" s="81">
        <f ca="1">SUMPRODUCT((Work_Codes!$AR$96:$AX$96=$E251)*(Work_Codes!$AR$99:$AX$100)*(J$95:J$96))</f>
        <v>0</v>
      </c>
      <c r="K251" s="81">
        <f ca="1">SUMPRODUCT((Work_Codes!$AR$96:$AX$96=$E251)*(Work_Codes!$AR$99:$AX$100)*(K$95:K$96))</f>
        <v>0</v>
      </c>
      <c r="L251" s="81">
        <f ca="1">SUMPRODUCT((Work_Codes!$AR$96:$AX$96=$E251)*(Work_Codes!$AR$99:$AX$100)*(L$95:L$96))</f>
        <v>0</v>
      </c>
      <c r="M251" s="81">
        <f ca="1">SUMPRODUCT((Work_Codes!$AR$96:$AX$96=$E251)*(Work_Codes!$AR$99:$AX$100)*(M$95:M$96))</f>
        <v>0</v>
      </c>
      <c r="N251" s="81">
        <f ca="1">SUMPRODUCT((Work_Codes!$AR$96:$AX$96=$E251)*(Work_Codes!$AR$99:$AX$100)*(N$95:N$96))</f>
        <v>0</v>
      </c>
      <c r="O251" s="81">
        <f ca="1">SUMPRODUCT((Work_Codes!$AR$96:$AX$96=$E251)*(Work_Codes!$AR$99:$AX$100)*(O$95:O$96))</f>
        <v>0</v>
      </c>
      <c r="P251" s="81">
        <f ca="1">SUMPRODUCT((Work_Codes!$AR$96:$AX$96=$E251)*(Work_Codes!$AR$99:$AX$100)*(P$95:P$96))</f>
        <v>0</v>
      </c>
      <c r="Q251" s="81">
        <f ca="1">SUMPRODUCT((Work_Codes!$AR$96:$AX$96=$E251)*(Work_Codes!$AR$99:$AX$100)*(Q$95:Q$96))</f>
        <v>0</v>
      </c>
      <c r="R251" s="81">
        <f ca="1">SUMPRODUCT((Work_Codes!$AR$96:$AX$96=$E251)*(Work_Codes!$AR$99:$AX$100)*(R$95:R$96))</f>
        <v>0</v>
      </c>
      <c r="S251" s="81">
        <f ca="1">SUMPRODUCT((Work_Codes!$AR$96:$AX$96=$E251)*(Work_Codes!$AR$99:$AX$100)*(S$95:S$96))</f>
        <v>0</v>
      </c>
      <c r="T251" s="81">
        <f ca="1">SUMPRODUCT((Work_Codes!$AR$96:$AX$96=$E251)*(Work_Codes!$AR$99:$AX$100)*(T$95:T$96))</f>
        <v>0</v>
      </c>
    </row>
    <row r="252" spans="3:20" outlineLevel="2">
      <c r="E252" s="249" t="str">
        <f>"Total "&amp;D243</f>
        <v>Total Direct Costs</v>
      </c>
      <c r="F252" s="249"/>
      <c r="G252" s="249"/>
      <c r="H252" s="249"/>
      <c r="I252" s="249"/>
      <c r="J252" s="82">
        <f t="shared" ref="J252:T252" ca="1" si="24">SUM(J245:J251)</f>
        <v>0</v>
      </c>
      <c r="K252" s="82">
        <f t="shared" ca="1" si="24"/>
        <v>0</v>
      </c>
      <c r="L252" s="82">
        <f t="shared" ca="1" si="24"/>
        <v>0</v>
      </c>
      <c r="M252" s="82">
        <f t="shared" ca="1" si="24"/>
        <v>0</v>
      </c>
      <c r="N252" s="82">
        <f t="shared" ca="1" si="24"/>
        <v>0</v>
      </c>
      <c r="O252" s="82">
        <f t="shared" ca="1" si="24"/>
        <v>0</v>
      </c>
      <c r="P252" s="82">
        <f t="shared" ca="1" si="24"/>
        <v>2030830.6901402147</v>
      </c>
      <c r="Q252" s="82">
        <f t="shared" ca="1" si="24"/>
        <v>2031470.3117323555</v>
      </c>
      <c r="R252" s="82">
        <f t="shared" ca="1" si="24"/>
        <v>2032380.3835748462</v>
      </c>
      <c r="S252" s="82">
        <f t="shared" ca="1" si="24"/>
        <v>2033300.4738960522</v>
      </c>
      <c r="T252" s="82">
        <f t="shared" ca="1" si="24"/>
        <v>2034230.6929838778</v>
      </c>
    </row>
    <row r="253" spans="3:20" outlineLevel="2"/>
    <row r="254" spans="3:20" outlineLevel="2">
      <c r="D254" s="37" t="s">
        <v>313</v>
      </c>
    </row>
    <row r="255" spans="3:20" ht="5.9" customHeight="1" outlineLevel="2"/>
    <row r="256" spans="3:20" outlineLevel="2">
      <c r="E256" s="247" t="str">
        <f>GC!C78</f>
        <v>Mains &amp; Services</v>
      </c>
      <c r="F256" s="247"/>
      <c r="G256" s="247"/>
      <c r="H256" s="247"/>
      <c r="I256" s="247"/>
      <c r="J256" s="81">
        <f ca="1">J245*(1+INDEX(J$35:J$37,MATCH(Work_Codes!$I$93,$D$35:$D$37,0)))</f>
        <v>0</v>
      </c>
      <c r="K256" s="81">
        <f ca="1">K245*(1+INDEX(K$35:K$37,MATCH(Work_Codes!$I$93,$D$35:$D$37,0)))</f>
        <v>0</v>
      </c>
      <c r="L256" s="81">
        <f ca="1">L245*(1+INDEX(L$35:L$37,MATCH(Work_Codes!$I$93,$D$35:$D$37,0)))</f>
        <v>0</v>
      </c>
      <c r="M256" s="81">
        <f ca="1">M245*(1+INDEX(M$35:M$37,MATCH(Work_Codes!$I$93,$D$35:$D$37,0)))</f>
        <v>0</v>
      </c>
      <c r="N256" s="81">
        <f ca="1">N245*(1+INDEX(N$35:N$37,MATCH(Work_Codes!$I$93,$D$35:$D$37,0)))</f>
        <v>0</v>
      </c>
      <c r="O256" s="81">
        <f ca="1">O245*(1+INDEX(O$35:O$37,MATCH(Work_Codes!$I$93,$D$35:$D$37,0)))</f>
        <v>0</v>
      </c>
      <c r="P256" s="81">
        <f ca="1">P245*(1+INDEX(P$35:P$37,MATCH(Work_Codes!$I$93,$D$35:$D$37,0)))</f>
        <v>2085160.8141538219</v>
      </c>
      <c r="Q256" s="81">
        <f ca="1">Q245*(1+INDEX(Q$35:Q$37,MATCH(Work_Codes!$I$93,$D$35:$D$37,0)))</f>
        <v>2084411.6212381443</v>
      </c>
      <c r="R256" s="81">
        <f ca="1">R245*(1+INDEX(R$35:R$37,MATCH(Work_Codes!$I$93,$D$35:$D$37,0)))</f>
        <v>2086996.5537917078</v>
      </c>
      <c r="S256" s="81">
        <f ca="1">S245*(1+INDEX(S$35:S$37,MATCH(Work_Codes!$I$93,$D$35:$D$37,0)))</f>
        <v>2091343.4330384878</v>
      </c>
      <c r="T256" s="81">
        <f ca="1">T245*(1+INDEX(T$35:T$37,MATCH(Work_Codes!$I$93,$D$35:$D$37,0)))</f>
        <v>2095095.6446715028</v>
      </c>
    </row>
    <row r="257" spans="2:20" outlineLevel="2">
      <c r="E257" s="247" t="str">
        <f>GC!C79</f>
        <v>Meters Domestic</v>
      </c>
      <c r="F257" s="247"/>
      <c r="G257" s="247"/>
      <c r="H257" s="247"/>
      <c r="I257" s="247"/>
      <c r="J257" s="81">
        <f ca="1">J246*(1+INDEX(J$35:J$37,MATCH(Work_Codes!$I$93,$D$35:$D$37,0)))</f>
        <v>0</v>
      </c>
      <c r="K257" s="81">
        <f ca="1">K246*(1+INDEX(K$35:K$37,MATCH(Work_Codes!$I$93,$D$35:$D$37,0)))</f>
        <v>0</v>
      </c>
      <c r="L257" s="81">
        <f ca="1">L246*(1+INDEX(L$35:L$37,MATCH(Work_Codes!$I$93,$D$35:$D$37,0)))</f>
        <v>0</v>
      </c>
      <c r="M257" s="81">
        <f ca="1">M246*(1+INDEX(M$35:M$37,MATCH(Work_Codes!$I$93,$D$35:$D$37,0)))</f>
        <v>0</v>
      </c>
      <c r="N257" s="81">
        <f ca="1">N246*(1+INDEX(N$35:N$37,MATCH(Work_Codes!$I$93,$D$35:$D$37,0)))</f>
        <v>0</v>
      </c>
      <c r="O257" s="81">
        <f ca="1">O246*(1+INDEX(O$35:O$37,MATCH(Work_Codes!$I$93,$D$35:$D$37,0)))</f>
        <v>0</v>
      </c>
      <c r="P257" s="81">
        <f ca="1">P246*(1+INDEX(P$35:P$37,MATCH(Work_Codes!$I$93,$D$35:$D$37,0)))</f>
        <v>0</v>
      </c>
      <c r="Q257" s="81">
        <f ca="1">Q246*(1+INDEX(Q$35:Q$37,MATCH(Work_Codes!$I$93,$D$35:$D$37,0)))</f>
        <v>0</v>
      </c>
      <c r="R257" s="81">
        <f ca="1">R246*(1+INDEX(R$35:R$37,MATCH(Work_Codes!$I$93,$D$35:$D$37,0)))</f>
        <v>0</v>
      </c>
      <c r="S257" s="81">
        <f ca="1">S246*(1+INDEX(S$35:S$37,MATCH(Work_Codes!$I$93,$D$35:$D$37,0)))</f>
        <v>0</v>
      </c>
      <c r="T257" s="81">
        <f ca="1">T246*(1+INDEX(T$35:T$37,MATCH(Work_Codes!$I$93,$D$35:$D$37,0)))</f>
        <v>0</v>
      </c>
    </row>
    <row r="258" spans="2:20" outlineLevel="2">
      <c r="E258" s="247" t="str">
        <f>GC!C80</f>
        <v>Meters Industrial &amp; Commercial</v>
      </c>
      <c r="F258" s="247"/>
      <c r="G258" s="247"/>
      <c r="H258" s="247"/>
      <c r="I258" s="247"/>
      <c r="J258" s="81">
        <f ca="1">J247*(1+INDEX(J$35:J$37,MATCH(Work_Codes!$I$93,$D$35:$D$37,0)))</f>
        <v>0</v>
      </c>
      <c r="K258" s="81">
        <f ca="1">K247*(1+INDEX(K$35:K$37,MATCH(Work_Codes!$I$93,$D$35:$D$37,0)))</f>
        <v>0</v>
      </c>
      <c r="L258" s="81">
        <f ca="1">L247*(1+INDEX(L$35:L$37,MATCH(Work_Codes!$I$93,$D$35:$D$37,0)))</f>
        <v>0</v>
      </c>
      <c r="M258" s="81">
        <f ca="1">M247*(1+INDEX(M$35:M$37,MATCH(Work_Codes!$I$93,$D$35:$D$37,0)))</f>
        <v>0</v>
      </c>
      <c r="N258" s="81">
        <f ca="1">N247*(1+INDEX(N$35:N$37,MATCH(Work_Codes!$I$93,$D$35:$D$37,0)))</f>
        <v>0</v>
      </c>
      <c r="O258" s="81">
        <f ca="1">O247*(1+INDEX(O$35:O$37,MATCH(Work_Codes!$I$93,$D$35:$D$37,0)))</f>
        <v>0</v>
      </c>
      <c r="P258" s="81">
        <f ca="1">P247*(1+INDEX(P$35:P$37,MATCH(Work_Codes!$I$93,$D$35:$D$37,0)))</f>
        <v>0</v>
      </c>
      <c r="Q258" s="81">
        <f ca="1">Q247*(1+INDEX(Q$35:Q$37,MATCH(Work_Codes!$I$93,$D$35:$D$37,0)))</f>
        <v>0</v>
      </c>
      <c r="R258" s="81">
        <f ca="1">R247*(1+INDEX(R$35:R$37,MATCH(Work_Codes!$I$93,$D$35:$D$37,0)))</f>
        <v>0</v>
      </c>
      <c r="S258" s="81">
        <f ca="1">S247*(1+INDEX(S$35:S$37,MATCH(Work_Codes!$I$93,$D$35:$D$37,0)))</f>
        <v>0</v>
      </c>
      <c r="T258" s="81">
        <f ca="1">T247*(1+INDEX(T$35:T$37,MATCH(Work_Codes!$I$93,$D$35:$D$37,0)))</f>
        <v>0</v>
      </c>
    </row>
    <row r="259" spans="2:20" outlineLevel="2">
      <c r="E259" s="247" t="str">
        <f>GC!C81</f>
        <v>Buildings</v>
      </c>
      <c r="F259" s="247"/>
      <c r="G259" s="247"/>
      <c r="H259" s="247"/>
      <c r="I259" s="247"/>
      <c r="J259" s="81">
        <f ca="1">J248*(1+INDEX(J$35:J$37,MATCH(Work_Codes!$I$93,$D$35:$D$37,0)))</f>
        <v>0</v>
      </c>
      <c r="K259" s="81">
        <f ca="1">K248*(1+INDEX(K$35:K$37,MATCH(Work_Codes!$I$93,$D$35:$D$37,0)))</f>
        <v>0</v>
      </c>
      <c r="L259" s="81">
        <f ca="1">L248*(1+INDEX(L$35:L$37,MATCH(Work_Codes!$I$93,$D$35:$D$37,0)))</f>
        <v>0</v>
      </c>
      <c r="M259" s="81">
        <f ca="1">M248*(1+INDEX(M$35:M$37,MATCH(Work_Codes!$I$93,$D$35:$D$37,0)))</f>
        <v>0</v>
      </c>
      <c r="N259" s="81">
        <f ca="1">N248*(1+INDEX(N$35:N$37,MATCH(Work_Codes!$I$93,$D$35:$D$37,0)))</f>
        <v>0</v>
      </c>
      <c r="O259" s="81">
        <f ca="1">O248*(1+INDEX(O$35:O$37,MATCH(Work_Codes!$I$93,$D$35:$D$37,0)))</f>
        <v>0</v>
      </c>
      <c r="P259" s="81">
        <f ca="1">P248*(1+INDEX(P$35:P$37,MATCH(Work_Codes!$I$93,$D$35:$D$37,0)))</f>
        <v>0</v>
      </c>
      <c r="Q259" s="81">
        <f ca="1">Q248*(1+INDEX(Q$35:Q$37,MATCH(Work_Codes!$I$93,$D$35:$D$37,0)))</f>
        <v>0</v>
      </c>
      <c r="R259" s="81">
        <f ca="1">R248*(1+INDEX(R$35:R$37,MATCH(Work_Codes!$I$93,$D$35:$D$37,0)))</f>
        <v>0</v>
      </c>
      <c r="S259" s="81">
        <f ca="1">S248*(1+INDEX(S$35:S$37,MATCH(Work_Codes!$I$93,$D$35:$D$37,0)))</f>
        <v>0</v>
      </c>
      <c r="T259" s="81">
        <f ca="1">T248*(1+INDEX(T$35:T$37,MATCH(Work_Codes!$I$93,$D$35:$D$37,0)))</f>
        <v>0</v>
      </c>
    </row>
    <row r="260" spans="2:20" outlineLevel="2">
      <c r="E260" s="247" t="str">
        <f>GC!C82</f>
        <v>Other Assets</v>
      </c>
      <c r="F260" s="247"/>
      <c r="G260" s="247"/>
      <c r="H260" s="247"/>
      <c r="I260" s="247"/>
      <c r="J260" s="81">
        <f ca="1">J249*(1+INDEX(J$35:J$37,MATCH(Work_Codes!$I$93,$D$35:$D$37,0)))</f>
        <v>0</v>
      </c>
      <c r="K260" s="81">
        <f ca="1">K249*(1+INDEX(K$35:K$37,MATCH(Work_Codes!$I$93,$D$35:$D$37,0)))</f>
        <v>0</v>
      </c>
      <c r="L260" s="81">
        <f ca="1">L249*(1+INDEX(L$35:L$37,MATCH(Work_Codes!$I$93,$D$35:$D$37,0)))</f>
        <v>0</v>
      </c>
      <c r="M260" s="81">
        <f ca="1">M249*(1+INDEX(M$35:M$37,MATCH(Work_Codes!$I$93,$D$35:$D$37,0)))</f>
        <v>0</v>
      </c>
      <c r="N260" s="81">
        <f ca="1">N249*(1+INDEX(N$35:N$37,MATCH(Work_Codes!$I$93,$D$35:$D$37,0)))</f>
        <v>0</v>
      </c>
      <c r="O260" s="81">
        <f ca="1">O249*(1+INDEX(O$35:O$37,MATCH(Work_Codes!$I$93,$D$35:$D$37,0)))</f>
        <v>0</v>
      </c>
      <c r="P260" s="81">
        <f ca="1">P249*(1+INDEX(P$35:P$37,MATCH(Work_Codes!$I$93,$D$35:$D$37,0)))</f>
        <v>0</v>
      </c>
      <c r="Q260" s="81">
        <f ca="1">Q249*(1+INDEX(Q$35:Q$37,MATCH(Work_Codes!$I$93,$D$35:$D$37,0)))</f>
        <v>0</v>
      </c>
      <c r="R260" s="81">
        <f ca="1">R249*(1+INDEX(R$35:R$37,MATCH(Work_Codes!$I$93,$D$35:$D$37,0)))</f>
        <v>0</v>
      </c>
      <c r="S260" s="81">
        <f ca="1">S249*(1+INDEX(S$35:S$37,MATCH(Work_Codes!$I$93,$D$35:$D$37,0)))</f>
        <v>0</v>
      </c>
      <c r="T260" s="81">
        <f ca="1">T249*(1+INDEX(T$35:T$37,MATCH(Work_Codes!$I$93,$D$35:$D$37,0)))</f>
        <v>0</v>
      </c>
    </row>
    <row r="261" spans="2:20" outlineLevel="2">
      <c r="E261" s="247" t="str">
        <f>GC!C83</f>
        <v>Repairs</v>
      </c>
      <c r="F261" s="247"/>
      <c r="G261" s="247"/>
      <c r="H261" s="247"/>
      <c r="I261" s="247"/>
      <c r="J261" s="81">
        <f ca="1">J250*(1+INDEX(J$35:J$37,MATCH(Work_Codes!$I$93,$D$35:$D$37,0)))</f>
        <v>0</v>
      </c>
      <c r="K261" s="81">
        <f ca="1">K250*(1+INDEX(K$35:K$37,MATCH(Work_Codes!$I$93,$D$35:$D$37,0)))</f>
        <v>0</v>
      </c>
      <c r="L261" s="81">
        <f ca="1">L250*(1+INDEX(L$35:L$37,MATCH(Work_Codes!$I$93,$D$35:$D$37,0)))</f>
        <v>0</v>
      </c>
      <c r="M261" s="81">
        <f ca="1">M250*(1+INDEX(M$35:M$37,MATCH(Work_Codes!$I$93,$D$35:$D$37,0)))</f>
        <v>0</v>
      </c>
      <c r="N261" s="81">
        <f ca="1">N250*(1+INDEX(N$35:N$37,MATCH(Work_Codes!$I$93,$D$35:$D$37,0)))</f>
        <v>0</v>
      </c>
      <c r="O261" s="81">
        <f ca="1">O250*(1+INDEX(O$35:O$37,MATCH(Work_Codes!$I$93,$D$35:$D$37,0)))</f>
        <v>0</v>
      </c>
      <c r="P261" s="81">
        <f ca="1">P250*(1+INDEX(P$35:P$37,MATCH(Work_Codes!$I$93,$D$35:$D$37,0)))</f>
        <v>0</v>
      </c>
      <c r="Q261" s="81">
        <f ca="1">Q250*(1+INDEX(Q$35:Q$37,MATCH(Work_Codes!$I$93,$D$35:$D$37,0)))</f>
        <v>0</v>
      </c>
      <c r="R261" s="81">
        <f ca="1">R250*(1+INDEX(R$35:R$37,MATCH(Work_Codes!$I$93,$D$35:$D$37,0)))</f>
        <v>0</v>
      </c>
      <c r="S261" s="81">
        <f ca="1">S250*(1+INDEX(S$35:S$37,MATCH(Work_Codes!$I$93,$D$35:$D$37,0)))</f>
        <v>0</v>
      </c>
      <c r="T261" s="81">
        <f ca="1">T250*(1+INDEX(T$35:T$37,MATCH(Work_Codes!$I$93,$D$35:$D$37,0)))</f>
        <v>0</v>
      </c>
    </row>
    <row r="262" spans="2:20" outlineLevel="2">
      <c r="E262" s="247" t="str">
        <f>GC!C84</f>
        <v>Land</v>
      </c>
      <c r="F262" s="247"/>
      <c r="G262" s="247"/>
      <c r="H262" s="247"/>
      <c r="I262" s="247"/>
      <c r="J262" s="81">
        <f ca="1">J251*(1+INDEX(J$35:J$37,MATCH(Work_Codes!$I$93,$D$35:$D$37,0)))</f>
        <v>0</v>
      </c>
      <c r="K262" s="81">
        <f ca="1">K251*(1+INDEX(K$35:K$37,MATCH(Work_Codes!$I$93,$D$35:$D$37,0)))</f>
        <v>0</v>
      </c>
      <c r="L262" s="81">
        <f ca="1">L251*(1+INDEX(L$35:L$37,MATCH(Work_Codes!$I$93,$D$35:$D$37,0)))</f>
        <v>0</v>
      </c>
      <c r="M262" s="81">
        <f ca="1">M251*(1+INDEX(M$35:M$37,MATCH(Work_Codes!$I$93,$D$35:$D$37,0)))</f>
        <v>0</v>
      </c>
      <c r="N262" s="81">
        <f ca="1">N251*(1+INDEX(N$35:N$37,MATCH(Work_Codes!$I$93,$D$35:$D$37,0)))</f>
        <v>0</v>
      </c>
      <c r="O262" s="81">
        <f ca="1">O251*(1+INDEX(O$35:O$37,MATCH(Work_Codes!$I$93,$D$35:$D$37,0)))</f>
        <v>0</v>
      </c>
      <c r="P262" s="81">
        <f ca="1">P251*(1+INDEX(P$35:P$37,MATCH(Work_Codes!$I$93,$D$35:$D$37,0)))</f>
        <v>0</v>
      </c>
      <c r="Q262" s="81">
        <f ca="1">Q251*(1+INDEX(Q$35:Q$37,MATCH(Work_Codes!$I$93,$D$35:$D$37,0)))</f>
        <v>0</v>
      </c>
      <c r="R262" s="81">
        <f ca="1">R251*(1+INDEX(R$35:R$37,MATCH(Work_Codes!$I$93,$D$35:$D$37,0)))</f>
        <v>0</v>
      </c>
      <c r="S262" s="81">
        <f ca="1">S251*(1+INDEX(S$35:S$37,MATCH(Work_Codes!$I$93,$D$35:$D$37,0)))</f>
        <v>0</v>
      </c>
      <c r="T262" s="81">
        <f ca="1">T251*(1+INDEX(T$35:T$37,MATCH(Work_Codes!$I$93,$D$35:$D$37,0)))</f>
        <v>0</v>
      </c>
    </row>
    <row r="263" spans="2:20" outlineLevel="2">
      <c r="E263" s="249" t="str">
        <f>"Total "&amp;D254</f>
        <v>Total Direct Costs +  Overheads</v>
      </c>
      <c r="F263" s="249"/>
      <c r="G263" s="249"/>
      <c r="H263" s="249"/>
      <c r="I263" s="249"/>
      <c r="J263" s="82">
        <f t="shared" ref="J263:T263" ca="1" si="25">SUM(J256:J262)</f>
        <v>0</v>
      </c>
      <c r="K263" s="82">
        <f t="shared" ca="1" si="25"/>
        <v>0</v>
      </c>
      <c r="L263" s="82">
        <f t="shared" ca="1" si="25"/>
        <v>0</v>
      </c>
      <c r="M263" s="82">
        <f t="shared" ca="1" si="25"/>
        <v>0</v>
      </c>
      <c r="N263" s="82">
        <f t="shared" ca="1" si="25"/>
        <v>0</v>
      </c>
      <c r="O263" s="82">
        <f t="shared" ca="1" si="25"/>
        <v>0</v>
      </c>
      <c r="P263" s="82">
        <f t="shared" ca="1" si="25"/>
        <v>2085160.8141538219</v>
      </c>
      <c r="Q263" s="82">
        <f t="shared" ca="1" si="25"/>
        <v>2084411.6212381443</v>
      </c>
      <c r="R263" s="82">
        <f t="shared" ca="1" si="25"/>
        <v>2086996.5537917078</v>
      </c>
      <c r="S263" s="82">
        <f t="shared" ca="1" si="25"/>
        <v>2091343.4330384878</v>
      </c>
      <c r="T263" s="82">
        <f t="shared" ca="1" si="25"/>
        <v>2095095.6446715028</v>
      </c>
    </row>
    <row r="264" spans="2:20" outlineLevel="1">
      <c r="B264" s="12"/>
      <c r="C264" s="12"/>
      <c r="D264" s="12"/>
      <c r="E264" s="12"/>
      <c r="F264" s="12"/>
      <c r="G264" s="12"/>
      <c r="H264" s="12"/>
      <c r="I264" s="12"/>
      <c r="J264" s="12"/>
      <c r="K264" s="12"/>
      <c r="L264" s="12"/>
      <c r="M264" s="12"/>
      <c r="N264" s="12"/>
      <c r="O264" s="12"/>
      <c r="P264" s="12"/>
      <c r="Q264" s="12"/>
      <c r="R264" s="12"/>
      <c r="S264" s="12"/>
      <c r="T264" s="12"/>
    </row>
    <row r="265" spans="2:20" outlineLevel="1"/>
    <row r="266" spans="2:20" outlineLevel="1">
      <c r="C266" s="37" t="s">
        <v>19</v>
      </c>
    </row>
    <row r="267" spans="2:20" ht="5.9" customHeight="1" outlineLevel="1"/>
    <row r="268" spans="2:20" outlineLevel="1">
      <c r="F268" s="51" t="str">
        <f>$B$23&amp;" Work Code v RAB Category Direct Check"</f>
        <v>3005 - Inputs Work Code v RAB Category Direct Check</v>
      </c>
      <c r="I268" s="130">
        <f ca="1">IF(ISERROR(SUM(J268:T268)),1,MIN(SUM(J268:T268),1))</f>
        <v>0</v>
      </c>
      <c r="J268" s="81">
        <f t="shared" ref="J268:T268" ca="1" si="26">J98-J121</f>
        <v>0</v>
      </c>
      <c r="K268" s="81">
        <f t="shared" ca="1" si="26"/>
        <v>0</v>
      </c>
      <c r="L268" s="81">
        <f t="shared" ca="1" si="26"/>
        <v>0</v>
      </c>
      <c r="M268" s="81">
        <f t="shared" ca="1" si="26"/>
        <v>0</v>
      </c>
      <c r="N268" s="81">
        <f t="shared" ca="1" si="26"/>
        <v>0</v>
      </c>
      <c r="O268" s="81">
        <f t="shared" ca="1" si="26"/>
        <v>0</v>
      </c>
      <c r="P268" s="81">
        <f t="shared" ca="1" si="26"/>
        <v>0</v>
      </c>
      <c r="Q268" s="81">
        <f t="shared" ca="1" si="26"/>
        <v>0</v>
      </c>
      <c r="R268" s="81">
        <f t="shared" ca="1" si="26"/>
        <v>0</v>
      </c>
      <c r="S268" s="81">
        <f t="shared" ca="1" si="26"/>
        <v>0</v>
      </c>
      <c r="T268" s="81">
        <f t="shared" ca="1" si="26"/>
        <v>0</v>
      </c>
    </row>
    <row r="269" spans="2:20" outlineLevel="1">
      <c r="F269" s="51" t="str">
        <f>$B$23&amp;" Work Code v RIN Category Direct Check"</f>
        <v>3005 - Inputs Work Code v RIN Category Direct Check</v>
      </c>
      <c r="I269" s="130">
        <f ca="1">IF(ISERROR(SUM(J269:T269)),1,MIN(SUM(J269:T269),1))</f>
        <v>0</v>
      </c>
      <c r="J269" s="81">
        <f t="shared" ref="J269:T269" ca="1" si="27">J98-J202</f>
        <v>0</v>
      </c>
      <c r="K269" s="81">
        <f t="shared" ca="1" si="27"/>
        <v>0</v>
      </c>
      <c r="L269" s="81">
        <f t="shared" ca="1" si="27"/>
        <v>0</v>
      </c>
      <c r="M269" s="81">
        <f t="shared" ca="1" si="27"/>
        <v>0</v>
      </c>
      <c r="N269" s="81">
        <f t="shared" ca="1" si="27"/>
        <v>0</v>
      </c>
      <c r="O269" s="81">
        <f t="shared" ca="1" si="27"/>
        <v>0</v>
      </c>
      <c r="P269" s="81">
        <f t="shared" ca="1" si="27"/>
        <v>0</v>
      </c>
      <c r="Q269" s="81">
        <f t="shared" ca="1" si="27"/>
        <v>0</v>
      </c>
      <c r="R269" s="81">
        <f t="shared" ca="1" si="27"/>
        <v>0</v>
      </c>
      <c r="S269" s="81">
        <f t="shared" ca="1" si="27"/>
        <v>0</v>
      </c>
      <c r="T269" s="81">
        <f t="shared" ca="1" si="27"/>
        <v>0</v>
      </c>
    </row>
    <row r="270" spans="2:20" outlineLevel="1">
      <c r="F270" s="51" t="str">
        <f>$B$23&amp;" Work Code v Tax Category Direct Check"</f>
        <v>3005 - Inputs Work Code v Tax Category Direct Check</v>
      </c>
      <c r="I270" s="130">
        <f ca="1">IF(ISERROR(SUM(J270:T270)),1,MIN(SUM(J270:T270),1))</f>
        <v>0</v>
      </c>
      <c r="J270" s="81">
        <f t="shared" ref="J270:T270" ca="1" si="28">J98-J252</f>
        <v>0</v>
      </c>
      <c r="K270" s="81">
        <f t="shared" ca="1" si="28"/>
        <v>0</v>
      </c>
      <c r="L270" s="81">
        <f t="shared" ca="1" si="28"/>
        <v>0</v>
      </c>
      <c r="M270" s="81">
        <f t="shared" ca="1" si="28"/>
        <v>0</v>
      </c>
      <c r="N270" s="81">
        <f t="shared" ca="1" si="28"/>
        <v>0</v>
      </c>
      <c r="O270" s="81">
        <f t="shared" ca="1" si="28"/>
        <v>0</v>
      </c>
      <c r="P270" s="81">
        <f t="shared" ca="1" si="28"/>
        <v>0</v>
      </c>
      <c r="Q270" s="81">
        <f t="shared" ca="1" si="28"/>
        <v>0</v>
      </c>
      <c r="R270" s="81">
        <f t="shared" ca="1" si="28"/>
        <v>0</v>
      </c>
      <c r="S270" s="81">
        <f t="shared" ca="1" si="28"/>
        <v>0</v>
      </c>
      <c r="T270" s="81">
        <f t="shared" ca="1" si="28"/>
        <v>0</v>
      </c>
    </row>
    <row r="271" spans="2:20" outlineLevel="1">
      <c r="F271" s="51" t="str">
        <f>$B$23&amp;" Customer Contributions v RAB Category Direct Check"</f>
        <v>3005 - Inputs Customer Contributions v RAB Category Direct Check</v>
      </c>
      <c r="I271" s="130">
        <f ca="1">IF(ISERROR(SUM(J271:T271)),1,MIN(SUM(J271:T271),1))</f>
        <v>0</v>
      </c>
      <c r="J271" s="81">
        <f t="shared" ref="J271:T271" ca="1" si="29">J67-J181</f>
        <v>0</v>
      </c>
      <c r="K271" s="81">
        <f t="shared" ca="1" si="29"/>
        <v>0</v>
      </c>
      <c r="L271" s="81">
        <f t="shared" ca="1" si="29"/>
        <v>0</v>
      </c>
      <c r="M271" s="81">
        <f t="shared" ca="1" si="29"/>
        <v>0</v>
      </c>
      <c r="N271" s="81">
        <f t="shared" ca="1" si="29"/>
        <v>0</v>
      </c>
      <c r="O271" s="81">
        <f t="shared" ca="1" si="29"/>
        <v>0</v>
      </c>
      <c r="P271" s="81">
        <f t="shared" ca="1" si="29"/>
        <v>0</v>
      </c>
      <c r="Q271" s="81">
        <f t="shared" ca="1" si="29"/>
        <v>0</v>
      </c>
      <c r="R271" s="81">
        <f t="shared" ca="1" si="29"/>
        <v>0</v>
      </c>
      <c r="S271" s="81">
        <f t="shared" ca="1" si="29"/>
        <v>0</v>
      </c>
      <c r="T271" s="81">
        <f t="shared" ca="1" si="29"/>
        <v>0</v>
      </c>
    </row>
    <row r="272" spans="2:20" ht="5.9" customHeight="1" outlineLevel="1"/>
    <row r="273" spans="2:20" outlineLevel="1">
      <c r="F273" s="51" t="str">
        <f>$B$23&amp;" RAB v RIN Direct + Overhead Check"</f>
        <v>3005 - Inputs RAB v RIN Direct + Overhead Check</v>
      </c>
      <c r="I273" s="130">
        <f ca="1">IF(ISERROR(SUM(J273:T273)),1,MIN(SUM(J273:T273),1))</f>
        <v>0</v>
      </c>
      <c r="J273" s="81">
        <f t="shared" ref="J273:T273" ca="1" si="30">J161-J220</f>
        <v>0</v>
      </c>
      <c r="K273" s="81">
        <f t="shared" ca="1" si="30"/>
        <v>0</v>
      </c>
      <c r="L273" s="81">
        <f t="shared" ca="1" si="30"/>
        <v>0</v>
      </c>
      <c r="M273" s="81">
        <f t="shared" ca="1" si="30"/>
        <v>0</v>
      </c>
      <c r="N273" s="81">
        <f t="shared" ca="1" si="30"/>
        <v>0</v>
      </c>
      <c r="O273" s="81">
        <f t="shared" ca="1" si="30"/>
        <v>0</v>
      </c>
      <c r="P273" s="81">
        <f t="shared" ca="1" si="30"/>
        <v>0</v>
      </c>
      <c r="Q273" s="81">
        <f t="shared" ca="1" si="30"/>
        <v>0</v>
      </c>
      <c r="R273" s="81">
        <f t="shared" ca="1" si="30"/>
        <v>0</v>
      </c>
      <c r="S273" s="81">
        <f t="shared" ca="1" si="30"/>
        <v>0</v>
      </c>
      <c r="T273" s="81">
        <f t="shared" ca="1" si="30"/>
        <v>0</v>
      </c>
    </row>
    <row r="274" spans="2:20" outlineLevel="1">
      <c r="F274" s="51" t="str">
        <f>$B$23&amp;" RAB v Tax Direct + Overhead Check"</f>
        <v>3005 - Inputs RAB v Tax Direct + Overhead Check</v>
      </c>
      <c r="I274" s="130">
        <f ca="1">IF(ISERROR(SUM(J274:T274)),1,MIN(SUM(J274:T274),1))</f>
        <v>0</v>
      </c>
      <c r="J274" s="81">
        <f t="shared" ref="J274:T274" ca="1" si="31">J161-J263</f>
        <v>0</v>
      </c>
      <c r="K274" s="81">
        <f t="shared" ca="1" si="31"/>
        <v>0</v>
      </c>
      <c r="L274" s="81">
        <f t="shared" ca="1" si="31"/>
        <v>0</v>
      </c>
      <c r="M274" s="81">
        <f t="shared" ca="1" si="31"/>
        <v>0</v>
      </c>
      <c r="N274" s="81">
        <f t="shared" ca="1" si="31"/>
        <v>0</v>
      </c>
      <c r="O274" s="81">
        <f t="shared" ca="1" si="31"/>
        <v>0</v>
      </c>
      <c r="P274" s="81">
        <f t="shared" ca="1" si="31"/>
        <v>0</v>
      </c>
      <c r="Q274" s="81">
        <f t="shared" ca="1" si="31"/>
        <v>0</v>
      </c>
      <c r="R274" s="81">
        <f t="shared" ca="1" si="31"/>
        <v>0</v>
      </c>
      <c r="S274" s="81">
        <f t="shared" ca="1" si="31"/>
        <v>0</v>
      </c>
      <c r="T274" s="81">
        <f t="shared" ca="1" si="31"/>
        <v>0</v>
      </c>
    </row>
    <row r="275" spans="2:20" ht="12" outlineLevel="1" thickBot="1">
      <c r="B275" s="94"/>
      <c r="C275" s="94"/>
      <c r="D275" s="94"/>
      <c r="E275" s="94"/>
      <c r="F275" s="94"/>
      <c r="G275" s="94"/>
      <c r="H275" s="94"/>
      <c r="I275" s="94"/>
      <c r="J275" s="94"/>
      <c r="K275" s="94"/>
      <c r="L275" s="94"/>
      <c r="M275" s="94"/>
      <c r="N275" s="94"/>
      <c r="O275" s="94"/>
      <c r="P275" s="94"/>
      <c r="Q275" s="94"/>
      <c r="R275" s="94"/>
      <c r="S275" s="94"/>
      <c r="T275" s="94"/>
    </row>
  </sheetData>
  <sheetProtection formatColumns="0" formatRows="0"/>
  <mergeCells count="136">
    <mergeCell ref="E218:I218"/>
    <mergeCell ref="E215:I215"/>
    <mergeCell ref="E212:I212"/>
    <mergeCell ref="E213:I213"/>
    <mergeCell ref="E214:I214"/>
    <mergeCell ref="E131:I131"/>
    <mergeCell ref="E132:I132"/>
    <mergeCell ref="E111:I111"/>
    <mergeCell ref="E211:I211"/>
    <mergeCell ref="E206:I206"/>
    <mergeCell ref="E207:I207"/>
    <mergeCell ref="E208:I208"/>
    <mergeCell ref="E202:I202"/>
    <mergeCell ref="E209:I209"/>
    <mergeCell ref="E210:I210"/>
    <mergeCell ref="E107:I107"/>
    <mergeCell ref="E108:I108"/>
    <mergeCell ref="E109:I109"/>
    <mergeCell ref="E125:I125"/>
    <mergeCell ref="E126:I126"/>
    <mergeCell ref="E127:I127"/>
    <mergeCell ref="E128:I128"/>
    <mergeCell ref="E129:I129"/>
    <mergeCell ref="E130:I130"/>
    <mergeCell ref="E199:I199"/>
    <mergeCell ref="E200:I200"/>
    <mergeCell ref="E201:I201"/>
    <mergeCell ref="E161:I161"/>
    <mergeCell ref="E192:I192"/>
    <mergeCell ref="E193:I193"/>
    <mergeCell ref="E194:I194"/>
    <mergeCell ref="E195:I195"/>
    <mergeCell ref="E196:I196"/>
    <mergeCell ref="E188:I188"/>
    <mergeCell ref="E189:I189"/>
    <mergeCell ref="E190:I190"/>
    <mergeCell ref="E197:I197"/>
    <mergeCell ref="E251:I251"/>
    <mergeCell ref="E220:I220"/>
    <mergeCell ref="E245:I245"/>
    <mergeCell ref="E246:I246"/>
    <mergeCell ref="E247:I247"/>
    <mergeCell ref="E248:I248"/>
    <mergeCell ref="E216:I216"/>
    <mergeCell ref="E217:I217"/>
    <mergeCell ref="E249:I249"/>
    <mergeCell ref="E250:I250"/>
    <mergeCell ref="E219:I219"/>
    <mergeCell ref="E238:I238"/>
    <mergeCell ref="E224:I224"/>
    <mergeCell ref="E236:I236"/>
    <mergeCell ref="E237:I237"/>
    <mergeCell ref="E234:I234"/>
    <mergeCell ref="E235:I235"/>
    <mergeCell ref="E227:I227"/>
    <mergeCell ref="E228:I228"/>
    <mergeCell ref="E229:I229"/>
    <mergeCell ref="E230:I230"/>
    <mergeCell ref="E231:I231"/>
    <mergeCell ref="E232:I232"/>
    <mergeCell ref="E233:I233"/>
    <mergeCell ref="E263:I263"/>
    <mergeCell ref="E256:I256"/>
    <mergeCell ref="E257:I257"/>
    <mergeCell ref="E258:I258"/>
    <mergeCell ref="E259:I259"/>
    <mergeCell ref="E260:I260"/>
    <mergeCell ref="E261:I261"/>
    <mergeCell ref="E262:I262"/>
    <mergeCell ref="E252:I252"/>
    <mergeCell ref="E158:I158"/>
    <mergeCell ref="E159:I159"/>
    <mergeCell ref="E160:I160"/>
    <mergeCell ref="E177:I177"/>
    <mergeCell ref="E178:I178"/>
    <mergeCell ref="E179:I179"/>
    <mergeCell ref="E180:I180"/>
    <mergeCell ref="E225:I225"/>
    <mergeCell ref="E226:I226"/>
    <mergeCell ref="E176:I176"/>
    <mergeCell ref="E172:I172"/>
    <mergeCell ref="E173:I173"/>
    <mergeCell ref="E174:I174"/>
    <mergeCell ref="E175:I175"/>
    <mergeCell ref="E191:I191"/>
    <mergeCell ref="E198:I198"/>
    <mergeCell ref="E181:I181"/>
    <mergeCell ref="E165:I165"/>
    <mergeCell ref="E166:I166"/>
    <mergeCell ref="E167:I167"/>
    <mergeCell ref="E168:I168"/>
    <mergeCell ref="E169:I169"/>
    <mergeCell ref="E170:I170"/>
    <mergeCell ref="E171:I171"/>
    <mergeCell ref="E157:I157"/>
    <mergeCell ref="E133:I133"/>
    <mergeCell ref="E134:I134"/>
    <mergeCell ref="E135:I135"/>
    <mergeCell ref="E156:I156"/>
    <mergeCell ref="E147:I147"/>
    <mergeCell ref="E148:I148"/>
    <mergeCell ref="E149:I149"/>
    <mergeCell ref="E150:I150"/>
    <mergeCell ref="E152:I152"/>
    <mergeCell ref="E155:I155"/>
    <mergeCell ref="E136:I136"/>
    <mergeCell ref="E141:I141"/>
    <mergeCell ref="E153:I153"/>
    <mergeCell ref="E154:I154"/>
    <mergeCell ref="E145:I145"/>
    <mergeCell ref="E146:I146"/>
    <mergeCell ref="E151:I151"/>
    <mergeCell ref="N2:O2"/>
    <mergeCell ref="E117:I117"/>
    <mergeCell ref="E118:I118"/>
    <mergeCell ref="E119:I119"/>
    <mergeCell ref="E120:I120"/>
    <mergeCell ref="E137:I137"/>
    <mergeCell ref="E138:I138"/>
    <mergeCell ref="E139:I139"/>
    <mergeCell ref="E140:I140"/>
    <mergeCell ref="E112:I112"/>
    <mergeCell ref="E113:I113"/>
    <mergeCell ref="E114:I114"/>
    <mergeCell ref="E115:I115"/>
    <mergeCell ref="D61:I61"/>
    <mergeCell ref="D77:I77"/>
    <mergeCell ref="D84:I84"/>
    <mergeCell ref="D91:I91"/>
    <mergeCell ref="D98:I98"/>
    <mergeCell ref="D67:I67"/>
    <mergeCell ref="E110:I110"/>
    <mergeCell ref="E116:I116"/>
    <mergeCell ref="E121:I121"/>
    <mergeCell ref="E105:I105"/>
    <mergeCell ref="E106:I106"/>
  </mergeCells>
  <conditionalFormatting sqref="I268">
    <cfRule type="cellIs" dxfId="959" priority="1" operator="notEqual">
      <formula>0</formula>
    </cfRule>
  </conditionalFormatting>
  <conditionalFormatting sqref="J268:T268">
    <cfRule type="cellIs" dxfId="958" priority="2" operator="notEqual">
      <formula>0</formula>
    </cfRule>
  </conditionalFormatting>
  <conditionalFormatting sqref="I269">
    <cfRule type="cellIs" dxfId="957" priority="3" operator="notEqual">
      <formula>0</formula>
    </cfRule>
  </conditionalFormatting>
  <conditionalFormatting sqref="J269:T269">
    <cfRule type="cellIs" dxfId="956" priority="4" operator="notEqual">
      <formula>0</formula>
    </cfRule>
  </conditionalFormatting>
  <conditionalFormatting sqref="I270">
    <cfRule type="cellIs" dxfId="955" priority="5" operator="notEqual">
      <formula>0</formula>
    </cfRule>
  </conditionalFormatting>
  <conditionalFormatting sqref="J270:T270">
    <cfRule type="cellIs" dxfId="954" priority="6" operator="notEqual">
      <formula>0</formula>
    </cfRule>
  </conditionalFormatting>
  <conditionalFormatting sqref="I273">
    <cfRule type="cellIs" dxfId="953" priority="7" operator="notEqual">
      <formula>0</formula>
    </cfRule>
  </conditionalFormatting>
  <conditionalFormatting sqref="J273:T273">
    <cfRule type="cellIs" dxfId="952" priority="8" operator="notEqual">
      <formula>0</formula>
    </cfRule>
  </conditionalFormatting>
  <conditionalFormatting sqref="I274">
    <cfRule type="cellIs" dxfId="951" priority="9" operator="notEqual">
      <formula>0</formula>
    </cfRule>
  </conditionalFormatting>
  <conditionalFormatting sqref="J274:T274">
    <cfRule type="cellIs" dxfId="950" priority="10" operator="notEqual">
      <formula>0</formula>
    </cfRule>
  </conditionalFormatting>
  <conditionalFormatting sqref="I271">
    <cfRule type="cellIs" dxfId="949" priority="11" operator="notEqual">
      <formula>0</formula>
    </cfRule>
  </conditionalFormatting>
  <conditionalFormatting sqref="J271:T271">
    <cfRule type="cellIs" dxfId="948" priority="12" operator="notEqual">
      <formula>0</formula>
    </cfRule>
  </conditionalFormatting>
  <dataValidations count="1">
    <dataValidation type="custom" showErrorMessage="1" errorTitle="Invalid Assumption" error="Assumption must be a number." sqref="J51:T52 J44:T45 J65:T65" xr:uid="{51778617-D86B-4487-82B1-CC3A688B5F39}">
      <formula1>NOT(ISERROR(J44/1))</formula1>
    </dataValidation>
  </dataValidations>
  <hyperlinks>
    <hyperlink ref="A1" location="HL_Home" tooltip="Go to Table of Contents" display="HL_Home" xr:uid="{6467DE82-791B-411D-9BFE-0A4D0605E9C5}"/>
    <hyperlink ref="A2" location="HL_Err_Chk" tooltip="Go to Error Checks" display="HL_Err_Chk" xr:uid="{E2A46B1D-773F-40F7-918B-B9BECD22128C}"/>
  </hyperlinks>
  <pageMargins left="0.39370078740157499" right="0.39370078740157499" top="0.59055118110236204" bottom="0.98425196850393704" header="0" footer="0.31496062992126"/>
  <pageSetup paperSize="9" orientation="landscape" r:id="rId1"/>
  <headerFooter>
    <oddFooter>&amp;L&amp;F
&amp;A
Printed: &amp;T on &amp;D&amp;CPage &amp;P of &amp;N</oddFooter>
  </headerFooter>
  <customProperties>
    <customPr name="EpmWorksheetKeyString_GUID" r:id="rId2"/>
  </customProperties>
  <legacy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87B0C0-2DEA-49D1-8096-3E01D765FF8B}">
  <sheetPr>
    <pageSetUpPr autoPageBreaks="0"/>
  </sheetPr>
  <dimension ref="A1:T846"/>
  <sheetViews>
    <sheetView showGridLines="0" zoomScaleNormal="100" workbookViewId="0">
      <pane xSplit="9" ySplit="21" topLeftCell="J22" activePane="bottomRight" state="frozen"/>
      <selection activeCell="N2" sqref="N2:O2"/>
      <selection pane="topRight" activeCell="N2" sqref="N2:O2"/>
      <selection pane="bottomLeft" activeCell="N2" sqref="N2:O2"/>
      <selection pane="bottomRight" activeCell="N2" sqref="N2:O2"/>
    </sheetView>
  </sheetViews>
  <sheetFormatPr defaultColWidth="11.59765625" defaultRowHeight="11.5" outlineLevelRow="3"/>
  <cols>
    <col min="1" max="5" width="3.59765625" customWidth="1"/>
    <col min="6" max="7" width="15.59765625" customWidth="1"/>
  </cols>
  <sheetData>
    <row r="1" spans="1:20" ht="14">
      <c r="A1" s="10" t="s">
        <v>11</v>
      </c>
      <c r="B1" s="6" t="s">
        <v>280</v>
      </c>
    </row>
    <row r="2" spans="1:20" ht="13">
      <c r="A2" s="23" t="s">
        <v>26</v>
      </c>
      <c r="B2" s="7" t="str">
        <f ca="1">Model_Name</f>
        <v>GAAR Capex Forecast</v>
      </c>
      <c r="N2" s="253" t="s">
        <v>493</v>
      </c>
      <c r="O2" s="253"/>
    </row>
    <row r="3" spans="1:20">
      <c r="B3" s="30"/>
      <c r="C3" s="30"/>
      <c r="D3" s="30"/>
      <c r="E3" s="30"/>
      <c r="F3" s="30"/>
      <c r="G3" s="30"/>
      <c r="H3" s="30"/>
      <c r="I3" s="30"/>
      <c r="J3" s="30"/>
      <c r="K3" s="30"/>
      <c r="L3" s="30"/>
      <c r="M3" s="30"/>
      <c r="N3" s="30"/>
      <c r="O3" s="30"/>
      <c r="P3" s="30"/>
      <c r="Q3" s="30"/>
      <c r="R3" s="30"/>
      <c r="S3" s="30"/>
      <c r="T3" s="30"/>
    </row>
    <row r="4" spans="1:20">
      <c r="B4" s="116" t="s">
        <v>74</v>
      </c>
      <c r="C4" s="118"/>
      <c r="D4" s="118"/>
      <c r="E4" s="118"/>
      <c r="F4" s="118"/>
      <c r="G4" s="118"/>
      <c r="H4" s="118"/>
      <c r="I4" s="118"/>
      <c r="J4" s="119">
        <f t="shared" ref="J4:T4" si="0">J8</f>
        <v>43465</v>
      </c>
      <c r="K4" s="119">
        <f t="shared" si="0"/>
        <v>43830</v>
      </c>
      <c r="L4" s="119">
        <f t="shared" si="0"/>
        <v>44196</v>
      </c>
      <c r="M4" s="119">
        <f t="shared" si="0"/>
        <v>44561</v>
      </c>
      <c r="N4" s="119">
        <f t="shared" si="0"/>
        <v>44926</v>
      </c>
      <c r="O4" s="121">
        <f t="shared" si="0"/>
        <v>45107</v>
      </c>
      <c r="P4" s="121">
        <f t="shared" si="0"/>
        <v>45473</v>
      </c>
      <c r="Q4" s="121">
        <f t="shared" si="0"/>
        <v>45838</v>
      </c>
      <c r="R4" s="121">
        <f t="shared" si="0"/>
        <v>46203</v>
      </c>
      <c r="S4" s="121">
        <f t="shared" si="0"/>
        <v>46568</v>
      </c>
      <c r="T4" s="121">
        <f t="shared" si="0"/>
        <v>46934</v>
      </c>
    </row>
    <row r="5" spans="1:20">
      <c r="B5" s="117" t="s">
        <v>100</v>
      </c>
      <c r="C5" s="117"/>
      <c r="D5" s="117"/>
      <c r="E5" s="117"/>
      <c r="F5" s="117"/>
      <c r="G5" s="117"/>
      <c r="H5" s="117"/>
      <c r="I5" s="117"/>
      <c r="J5" s="120">
        <f t="shared" ref="J5:T5" si="1">YEAR(J8)</f>
        <v>2018</v>
      </c>
      <c r="K5" s="120">
        <f t="shared" si="1"/>
        <v>2019</v>
      </c>
      <c r="L5" s="120">
        <f t="shared" si="1"/>
        <v>2020</v>
      </c>
      <c r="M5" s="120">
        <f t="shared" si="1"/>
        <v>2021</v>
      </c>
      <c r="N5" s="120">
        <f t="shared" si="1"/>
        <v>2022</v>
      </c>
      <c r="O5" s="120">
        <f t="shared" si="1"/>
        <v>2023</v>
      </c>
      <c r="P5" s="120">
        <f t="shared" si="1"/>
        <v>2024</v>
      </c>
      <c r="Q5" s="120">
        <f t="shared" si="1"/>
        <v>2025</v>
      </c>
      <c r="R5" s="120">
        <f t="shared" si="1"/>
        <v>2026</v>
      </c>
      <c r="S5" s="120">
        <f t="shared" si="1"/>
        <v>2027</v>
      </c>
      <c r="T5" s="120">
        <f t="shared" si="1"/>
        <v>2028</v>
      </c>
    </row>
    <row r="6" spans="1:20">
      <c r="B6" s="113" t="s">
        <v>91</v>
      </c>
      <c r="C6" s="113"/>
      <c r="D6" s="113"/>
      <c r="E6" s="113"/>
      <c r="F6" s="113"/>
      <c r="G6" s="113"/>
      <c r="H6" s="113"/>
      <c r="I6" s="113"/>
      <c r="J6" s="115" t="str">
        <f t="shared" ref="J6:T6" si="2">IF(J$17,"Actual","Forecast")</f>
        <v>Actual</v>
      </c>
      <c r="K6" s="115" t="str">
        <f t="shared" si="2"/>
        <v>Actual</v>
      </c>
      <c r="L6" s="115" t="str">
        <f t="shared" si="2"/>
        <v>Actual</v>
      </c>
      <c r="M6" s="115" t="str">
        <f t="shared" si="2"/>
        <v>Actual</v>
      </c>
      <c r="N6" s="115" t="str">
        <f t="shared" si="2"/>
        <v>Forecast</v>
      </c>
      <c r="O6" s="114" t="str">
        <f t="shared" si="2"/>
        <v>Forecast</v>
      </c>
      <c r="P6" s="114" t="str">
        <f t="shared" si="2"/>
        <v>Forecast</v>
      </c>
      <c r="Q6" s="114" t="str">
        <f t="shared" si="2"/>
        <v>Forecast</v>
      </c>
      <c r="R6" s="114" t="str">
        <f t="shared" si="2"/>
        <v>Forecast</v>
      </c>
      <c r="S6" s="114" t="str">
        <f t="shared" si="2"/>
        <v>Forecast</v>
      </c>
      <c r="T6" s="114" t="str">
        <f t="shared" si="2"/>
        <v>Forecast</v>
      </c>
    </row>
    <row r="7" spans="1:20" hidden="1" outlineLevel="3">
      <c r="B7" s="30" t="s">
        <v>101</v>
      </c>
      <c r="C7" s="30"/>
      <c r="D7" s="30"/>
      <c r="E7" s="30"/>
      <c r="F7" s="30"/>
      <c r="G7" s="30"/>
      <c r="H7" s="30"/>
      <c r="I7" s="30"/>
      <c r="J7" s="36">
        <f>EDATE(Ts_Start_Date,(J10-1)*Ts_Mths_In_Yr)</f>
        <v>43101</v>
      </c>
      <c r="K7" s="36">
        <f>EDATE(Ts_Start_Date,(K10-1)*Ts_Mths_In_Yr)</f>
        <v>43466</v>
      </c>
      <c r="L7" s="36">
        <f>EDATE(Ts_Start_Date,(L10-1)*Ts_Mths_In_Yr)</f>
        <v>43831</v>
      </c>
      <c r="M7" s="36">
        <f>EDATE(Ts_Start_Date,(M10-1)*Ts_Mths_In_Yr)</f>
        <v>44197</v>
      </c>
      <c r="N7" s="36">
        <f>EDATE(Ts_Start_Date,(N10-1)*Ts_Mths_In_Yr)</f>
        <v>44562</v>
      </c>
      <c r="O7" s="36">
        <f>Ts_Stub_Start_Date</f>
        <v>44927</v>
      </c>
      <c r="P7" s="36">
        <f>EDATE(Ts_Forecast_Reg_Start_Date,(P16-1)*Ts_Mths_In_Yr)</f>
        <v>45108</v>
      </c>
      <c r="Q7" s="36">
        <f>EDATE(Ts_Forecast_Reg_Start_Date,(Q16-1)*Ts_Mths_In_Yr)</f>
        <v>45474</v>
      </c>
      <c r="R7" s="36">
        <f>EDATE(Ts_Forecast_Reg_Start_Date,(R16-1)*Ts_Mths_In_Yr)</f>
        <v>45839</v>
      </c>
      <c r="S7" s="36">
        <f>EDATE(Ts_Forecast_Reg_Start_Date,(S16-1)*Ts_Mths_In_Yr)</f>
        <v>46204</v>
      </c>
      <c r="T7" s="36">
        <f>EDATE(Ts_Forecast_Reg_Start_Date,(T16-1)*Ts_Mths_In_Yr)</f>
        <v>46569</v>
      </c>
    </row>
    <row r="8" spans="1:20" hidden="1" outlineLevel="3">
      <c r="B8" s="30" t="s">
        <v>102</v>
      </c>
      <c r="C8" s="30"/>
      <c r="D8" s="30"/>
      <c r="E8" s="30"/>
      <c r="F8" s="30"/>
      <c r="G8" s="30"/>
      <c r="H8" s="30"/>
      <c r="I8" s="30"/>
      <c r="J8" s="36">
        <f>EOMONTH(J7,Ts_Mths_In_Yr-1)</f>
        <v>43465</v>
      </c>
      <c r="K8" s="36">
        <f>EOMONTH(K7,Ts_Mths_In_Yr-1)</f>
        <v>43830</v>
      </c>
      <c r="L8" s="36">
        <f>EOMONTH(L7,Ts_Mths_In_Yr-1)</f>
        <v>44196</v>
      </c>
      <c r="M8" s="36">
        <f>EOMONTH(M7,Ts_Mths_In_Yr-1)</f>
        <v>44561</v>
      </c>
      <c r="N8" s="36">
        <f>EOMONTH(N7,Ts_Mths_In_Yr-1)</f>
        <v>44926</v>
      </c>
      <c r="O8" s="36">
        <f>EOMONTH(O7,Ts_Stub_Length-1)</f>
        <v>45107</v>
      </c>
      <c r="P8" s="36">
        <f>EOMONTH(P7,Ts_Mths_In_Yr-1)</f>
        <v>45473</v>
      </c>
      <c r="Q8" s="36">
        <f>EOMONTH(Q7,Ts_Mths_In_Yr-1)</f>
        <v>45838</v>
      </c>
      <c r="R8" s="36">
        <f>EOMONTH(R7,Ts_Mths_In_Yr-1)</f>
        <v>46203</v>
      </c>
      <c r="S8" s="36">
        <f>EOMONTH(S7,Ts_Mths_In_Yr-1)</f>
        <v>46568</v>
      </c>
      <c r="T8" s="36">
        <f>EOMONTH(T7,Ts_Mths_In_Yr-1)</f>
        <v>46934</v>
      </c>
    </row>
    <row r="9" spans="1:20" hidden="1" outlineLevel="3">
      <c r="B9" s="30" t="s">
        <v>87</v>
      </c>
      <c r="C9" s="30"/>
      <c r="D9" s="30"/>
      <c r="E9" s="30"/>
      <c r="F9" s="30"/>
      <c r="G9" s="30"/>
      <c r="H9" s="30"/>
      <c r="I9" s="30"/>
      <c r="J9" s="14">
        <f t="shared" ref="J9:T9" si="3">DATEDIF(J7,J8,"m")+1</f>
        <v>12</v>
      </c>
      <c r="K9" s="14">
        <f t="shared" si="3"/>
        <v>12</v>
      </c>
      <c r="L9" s="14">
        <f t="shared" si="3"/>
        <v>12</v>
      </c>
      <c r="M9" s="14">
        <f t="shared" si="3"/>
        <v>12</v>
      </c>
      <c r="N9" s="14">
        <f t="shared" si="3"/>
        <v>12</v>
      </c>
      <c r="O9" s="14">
        <f t="shared" si="3"/>
        <v>6</v>
      </c>
      <c r="P9" s="38">
        <f t="shared" si="3"/>
        <v>12</v>
      </c>
      <c r="Q9" s="38">
        <f t="shared" si="3"/>
        <v>12</v>
      </c>
      <c r="R9" s="38">
        <f t="shared" si="3"/>
        <v>12</v>
      </c>
      <c r="S9" s="38">
        <f t="shared" si="3"/>
        <v>12</v>
      </c>
      <c r="T9" s="38">
        <f t="shared" si="3"/>
        <v>12</v>
      </c>
    </row>
    <row r="10" spans="1:20" hidden="1" outlineLevel="3">
      <c r="B10" s="30" t="s">
        <v>72</v>
      </c>
      <c r="C10" s="30"/>
      <c r="D10" s="30"/>
      <c r="E10" s="30"/>
      <c r="F10" s="30"/>
      <c r="G10" s="30"/>
      <c r="H10" s="30"/>
      <c r="I10" s="30"/>
      <c r="J10" s="40">
        <f>COLUMNS($J$10:J10)</f>
        <v>1</v>
      </c>
      <c r="K10" s="40">
        <f>COLUMNS($J$10:K10)</f>
        <v>2</v>
      </c>
      <c r="L10" s="40">
        <f>COLUMNS($J$10:L10)</f>
        <v>3</v>
      </c>
      <c r="M10" s="40">
        <f>COLUMNS($J$10:M10)</f>
        <v>4</v>
      </c>
      <c r="N10" s="40">
        <f>COLUMNS($J$10:N10)</f>
        <v>5</v>
      </c>
      <c r="O10" s="40">
        <f>COLUMNS($J$10:O10)</f>
        <v>6</v>
      </c>
      <c r="P10" s="40">
        <f>COLUMNS($J$10:P10)</f>
        <v>7</v>
      </c>
      <c r="Q10" s="40">
        <f>COLUMNS($J$10:Q10)</f>
        <v>8</v>
      </c>
      <c r="R10" s="40">
        <f>COLUMNS($J$10:R10)</f>
        <v>9</v>
      </c>
      <c r="S10" s="40">
        <f>COLUMNS($J$10:S10)</f>
        <v>10</v>
      </c>
      <c r="T10" s="40">
        <f>COLUMNS($J$10:T10)</f>
        <v>11</v>
      </c>
    </row>
    <row r="11" spans="1:20" hidden="1" outlineLevel="3">
      <c r="B11" s="30" t="s">
        <v>76</v>
      </c>
      <c r="C11" s="30"/>
      <c r="D11" s="30"/>
      <c r="E11" s="30"/>
      <c r="F11" s="30"/>
      <c r="G11" s="30"/>
      <c r="H11" s="30"/>
      <c r="I11" s="30"/>
      <c r="J11" s="40">
        <f>(J12&lt;&gt;0)*1</f>
        <v>1</v>
      </c>
      <c r="K11" s="40">
        <f>(K12&lt;&gt;0)*1</f>
        <v>1</v>
      </c>
      <c r="L11" s="40">
        <f>(L12&lt;&gt;0)*1</f>
        <v>1</v>
      </c>
      <c r="M11" s="40">
        <f>(M12&lt;&gt;0)*1</f>
        <v>1</v>
      </c>
      <c r="N11" s="40">
        <f>(N12&lt;&gt;0)*1</f>
        <v>1</v>
      </c>
      <c r="O11" s="45">
        <v>0</v>
      </c>
      <c r="P11" s="45">
        <v>0</v>
      </c>
      <c r="Q11" s="45">
        <v>0</v>
      </c>
      <c r="R11" s="45">
        <v>0</v>
      </c>
      <c r="S11" s="45">
        <v>0</v>
      </c>
      <c r="T11" s="45">
        <v>0</v>
      </c>
    </row>
    <row r="12" spans="1:20" hidden="1" outlineLevel="3">
      <c r="B12" s="30" t="s">
        <v>96</v>
      </c>
      <c r="C12" s="30"/>
      <c r="D12" s="30"/>
      <c r="E12" s="30"/>
      <c r="F12" s="30"/>
      <c r="G12" s="30"/>
      <c r="H12" s="30"/>
      <c r="I12" s="30"/>
      <c r="J12" s="40">
        <f>COLUMNS($J$10:J10)</f>
        <v>1</v>
      </c>
      <c r="K12" s="40">
        <f>COLUMNS($J$10:K10)</f>
        <v>2</v>
      </c>
      <c r="L12" s="40">
        <f>COLUMNS($J$10:L10)</f>
        <v>3</v>
      </c>
      <c r="M12" s="40">
        <f>COLUMNS($J$10:M10)</f>
        <v>4</v>
      </c>
      <c r="N12" s="40">
        <f>COLUMNS($J$10:N10)</f>
        <v>5</v>
      </c>
      <c r="O12" s="45">
        <v>0</v>
      </c>
      <c r="P12" s="45">
        <v>0</v>
      </c>
      <c r="Q12" s="45">
        <v>0</v>
      </c>
      <c r="R12" s="45">
        <v>0</v>
      </c>
      <c r="S12" s="45">
        <v>0</v>
      </c>
      <c r="T12" s="45">
        <v>0</v>
      </c>
    </row>
    <row r="13" spans="1:20" hidden="1" outlineLevel="3">
      <c r="B13" s="30" t="s">
        <v>79</v>
      </c>
      <c r="C13" s="30"/>
      <c r="D13" s="30"/>
      <c r="E13" s="30"/>
      <c r="F13" s="30"/>
      <c r="G13" s="30"/>
      <c r="H13" s="30"/>
      <c r="I13" s="30"/>
      <c r="J13" s="45">
        <v>0</v>
      </c>
      <c r="K13" s="45">
        <v>0</v>
      </c>
      <c r="L13" s="45">
        <v>0</v>
      </c>
      <c r="M13" s="45">
        <v>0</v>
      </c>
      <c r="N13" s="45">
        <v>0</v>
      </c>
      <c r="O13" s="40">
        <f>(O14&lt;&gt;0)*1</f>
        <v>1</v>
      </c>
      <c r="P13" s="45">
        <v>0</v>
      </c>
      <c r="Q13" s="45">
        <v>0</v>
      </c>
      <c r="R13" s="45">
        <v>0</v>
      </c>
      <c r="S13" s="45">
        <v>0</v>
      </c>
      <c r="T13" s="45">
        <v>0</v>
      </c>
    </row>
    <row r="14" spans="1:20" hidden="1" outlineLevel="3">
      <c r="B14" s="30" t="s">
        <v>97</v>
      </c>
      <c r="C14" s="30"/>
      <c r="D14" s="30"/>
      <c r="E14" s="30"/>
      <c r="F14" s="30"/>
      <c r="G14" s="30"/>
      <c r="H14" s="30"/>
      <c r="I14" s="30"/>
      <c r="J14" s="45">
        <v>0</v>
      </c>
      <c r="K14" s="45">
        <v>0</v>
      </c>
      <c r="L14" s="45">
        <v>0</v>
      </c>
      <c r="M14" s="45">
        <v>0</v>
      </c>
      <c r="N14" s="45">
        <v>0</v>
      </c>
      <c r="O14" s="40">
        <f>COLUMNS($O$14:O14)</f>
        <v>1</v>
      </c>
      <c r="P14" s="45">
        <v>0</v>
      </c>
      <c r="Q14" s="45">
        <v>0</v>
      </c>
      <c r="R14" s="45">
        <v>0</v>
      </c>
      <c r="S14" s="45">
        <v>0</v>
      </c>
      <c r="T14" s="45">
        <v>0</v>
      </c>
    </row>
    <row r="15" spans="1:20" hidden="1" outlineLevel="3">
      <c r="B15" s="30" t="s">
        <v>82</v>
      </c>
      <c r="C15" s="30"/>
      <c r="D15" s="30"/>
      <c r="E15" s="30"/>
      <c r="F15" s="30"/>
      <c r="G15" s="30"/>
      <c r="H15" s="30"/>
      <c r="I15" s="30"/>
      <c r="J15" s="45">
        <v>0</v>
      </c>
      <c r="K15" s="45">
        <v>0</v>
      </c>
      <c r="L15" s="45">
        <v>0</v>
      </c>
      <c r="M15" s="45">
        <v>0</v>
      </c>
      <c r="N15" s="45">
        <v>0</v>
      </c>
      <c r="O15" s="45">
        <v>0</v>
      </c>
      <c r="P15" s="39">
        <f>(P16&lt;&gt;0)*1</f>
        <v>1</v>
      </c>
      <c r="Q15" s="39">
        <f>(Q16&lt;&gt;0)*1</f>
        <v>1</v>
      </c>
      <c r="R15" s="39">
        <f>(R16&lt;&gt;0)*1</f>
        <v>1</v>
      </c>
      <c r="S15" s="39">
        <f>(S16&lt;&gt;0)*1</f>
        <v>1</v>
      </c>
      <c r="T15" s="39">
        <f>(T16&lt;&gt;0)*1</f>
        <v>1</v>
      </c>
    </row>
    <row r="16" spans="1:20" hidden="1" outlineLevel="3">
      <c r="B16" s="30" t="s">
        <v>98</v>
      </c>
      <c r="C16" s="30"/>
      <c r="D16" s="30"/>
      <c r="E16" s="30"/>
      <c r="F16" s="30"/>
      <c r="G16" s="30"/>
      <c r="H16" s="30"/>
      <c r="I16" s="30"/>
      <c r="J16" s="45">
        <v>0</v>
      </c>
      <c r="K16" s="45">
        <v>0</v>
      </c>
      <c r="L16" s="45">
        <v>0</v>
      </c>
      <c r="M16" s="45">
        <v>0</v>
      </c>
      <c r="N16" s="45">
        <v>0</v>
      </c>
      <c r="O16" s="45">
        <v>0</v>
      </c>
      <c r="P16" s="39">
        <f>COLUMNS($P$16:P16)</f>
        <v>1</v>
      </c>
      <c r="Q16" s="39">
        <f>COLUMNS($P$16:Q16)</f>
        <v>2</v>
      </c>
      <c r="R16" s="39">
        <f>COLUMNS($P$16:R16)</f>
        <v>3</v>
      </c>
      <c r="S16" s="39">
        <f>COLUMNS($P$16:S16)</f>
        <v>4</v>
      </c>
      <c r="T16" s="39">
        <f>COLUMNS($P$16:T16)</f>
        <v>5</v>
      </c>
    </row>
    <row r="17" spans="2:20" hidden="1" outlineLevel="3">
      <c r="B17" s="30" t="s">
        <v>206</v>
      </c>
      <c r="C17" s="30"/>
      <c r="D17" s="30"/>
      <c r="E17" s="30"/>
      <c r="F17" s="30"/>
      <c r="G17" s="30"/>
      <c r="H17" s="30"/>
      <c r="I17" s="30"/>
      <c r="J17" s="39">
        <f t="shared" ref="J17:T17" si="4">IF(J$5&lt;=Ts_Last_Actual_Year,1,0)</f>
        <v>1</v>
      </c>
      <c r="K17" s="39">
        <f t="shared" si="4"/>
        <v>1</v>
      </c>
      <c r="L17" s="39">
        <f t="shared" si="4"/>
        <v>1</v>
      </c>
      <c r="M17" s="39">
        <f t="shared" si="4"/>
        <v>1</v>
      </c>
      <c r="N17" s="39">
        <f t="shared" si="4"/>
        <v>0</v>
      </c>
      <c r="O17" s="39">
        <f t="shared" si="4"/>
        <v>0</v>
      </c>
      <c r="P17" s="39">
        <f t="shared" si="4"/>
        <v>0</v>
      </c>
      <c r="Q17" s="39">
        <f t="shared" si="4"/>
        <v>0</v>
      </c>
      <c r="R17" s="39">
        <f t="shared" si="4"/>
        <v>0</v>
      </c>
      <c r="S17" s="39">
        <f t="shared" si="4"/>
        <v>0</v>
      </c>
      <c r="T17" s="39">
        <f t="shared" si="4"/>
        <v>0</v>
      </c>
    </row>
    <row r="18" spans="2:20" hidden="1" outlineLevel="3">
      <c r="B18" s="30" t="s">
        <v>207</v>
      </c>
      <c r="C18" s="30"/>
      <c r="D18" s="30"/>
      <c r="E18" s="30"/>
      <c r="F18" s="30"/>
      <c r="G18" s="30"/>
      <c r="H18" s="30"/>
      <c r="I18" s="30"/>
      <c r="J18" s="39">
        <f t="shared" ref="J18:T18" si="5">IF(J$5&gt;Ts_Last_Actual_Year,1,0)</f>
        <v>0</v>
      </c>
      <c r="K18" s="39">
        <f t="shared" si="5"/>
        <v>0</v>
      </c>
      <c r="L18" s="39">
        <f t="shared" si="5"/>
        <v>0</v>
      </c>
      <c r="M18" s="39">
        <f t="shared" si="5"/>
        <v>0</v>
      </c>
      <c r="N18" s="39">
        <f t="shared" si="5"/>
        <v>1</v>
      </c>
      <c r="O18" s="40">
        <f t="shared" si="5"/>
        <v>1</v>
      </c>
      <c r="P18" s="40">
        <f t="shared" si="5"/>
        <v>1</v>
      </c>
      <c r="Q18" s="40">
        <f t="shared" si="5"/>
        <v>1</v>
      </c>
      <c r="R18" s="40">
        <f t="shared" si="5"/>
        <v>1</v>
      </c>
      <c r="S18" s="40">
        <f t="shared" si="5"/>
        <v>1</v>
      </c>
      <c r="T18" s="40">
        <f t="shared" si="5"/>
        <v>1</v>
      </c>
    </row>
    <row r="19" spans="2:20" hidden="1" outlineLevel="3">
      <c r="B19" s="30" t="s">
        <v>208</v>
      </c>
      <c r="C19" s="30"/>
      <c r="D19" s="30"/>
      <c r="E19" s="30"/>
      <c r="F19" s="30"/>
      <c r="G19" s="30"/>
      <c r="H19" s="30"/>
      <c r="I19" s="30"/>
      <c r="J19" s="39">
        <f>SUM($J18:J18)</f>
        <v>0</v>
      </c>
      <c r="K19" s="39">
        <f>SUM($J18:K18)</f>
        <v>0</v>
      </c>
      <c r="L19" s="39">
        <f>SUM($J18:L18)</f>
        <v>0</v>
      </c>
      <c r="M19" s="39">
        <f>SUM($J18:M18)</f>
        <v>0</v>
      </c>
      <c r="N19" s="39">
        <f>SUM($J18:N18)</f>
        <v>1</v>
      </c>
      <c r="O19" s="39">
        <f>SUM($J18:O18)</f>
        <v>2</v>
      </c>
      <c r="P19" s="39">
        <f>SUM($J18:P18)</f>
        <v>3</v>
      </c>
      <c r="Q19" s="39">
        <f>SUM($J18:Q18)</f>
        <v>4</v>
      </c>
      <c r="R19" s="39">
        <f>SUM($J18:R18)</f>
        <v>5</v>
      </c>
      <c r="S19" s="39">
        <f>SUM($J18:S18)</f>
        <v>6</v>
      </c>
      <c r="T19" s="39">
        <f>SUM($J18:T18)</f>
        <v>7</v>
      </c>
    </row>
    <row r="20" spans="2:20" hidden="1" outlineLevel="3">
      <c r="B20" s="30" t="s">
        <v>481</v>
      </c>
      <c r="C20" s="30"/>
      <c r="D20" s="30"/>
      <c r="E20" s="30"/>
      <c r="F20" s="30"/>
      <c r="G20" s="30"/>
      <c r="H20" s="30"/>
      <c r="I20" s="30"/>
      <c r="J20" s="38">
        <f t="shared" ref="J20:N20" si="6">J9/12</f>
        <v>1</v>
      </c>
      <c r="K20" s="38">
        <f t="shared" si="6"/>
        <v>1</v>
      </c>
      <c r="L20" s="38">
        <f t="shared" si="6"/>
        <v>1</v>
      </c>
      <c r="M20" s="38">
        <f t="shared" si="6"/>
        <v>1</v>
      </c>
      <c r="N20" s="38">
        <f t="shared" si="6"/>
        <v>1</v>
      </c>
      <c r="O20" s="38">
        <f>O9/12</f>
        <v>0.5</v>
      </c>
      <c r="P20" s="38">
        <f t="shared" ref="P20:T20" si="7">P9/12</f>
        <v>1</v>
      </c>
      <c r="Q20" s="38">
        <f t="shared" si="7"/>
        <v>1</v>
      </c>
      <c r="R20" s="38">
        <f t="shared" si="7"/>
        <v>1</v>
      </c>
      <c r="S20" s="38">
        <f t="shared" si="7"/>
        <v>1</v>
      </c>
      <c r="T20" s="38">
        <f t="shared" si="7"/>
        <v>1</v>
      </c>
    </row>
    <row r="21" spans="2:20" hidden="1" outlineLevel="3">
      <c r="B21" s="30"/>
      <c r="C21" s="30"/>
      <c r="D21" s="30"/>
      <c r="E21" s="30"/>
      <c r="F21" s="30"/>
      <c r="G21" s="30"/>
      <c r="H21" s="30"/>
      <c r="I21" s="30"/>
      <c r="J21" s="30"/>
      <c r="K21" s="30"/>
      <c r="L21" s="30"/>
      <c r="M21" s="30"/>
      <c r="N21" s="30"/>
      <c r="O21" s="30"/>
      <c r="P21" s="30"/>
      <c r="Q21" s="30"/>
      <c r="R21" s="30"/>
      <c r="S21" s="30"/>
      <c r="T21" s="30"/>
    </row>
    <row r="22" spans="2:20" s="41" customFormat="1" collapsed="1"/>
    <row r="23" spans="2:20" s="41" customFormat="1" ht="14">
      <c r="B23" s="111" t="s">
        <v>190</v>
      </c>
      <c r="C23" s="47"/>
      <c r="D23" s="47"/>
      <c r="E23" s="47"/>
      <c r="F23" s="47"/>
      <c r="G23" s="47"/>
      <c r="H23" s="47"/>
      <c r="I23" s="47"/>
      <c r="J23" s="47"/>
      <c r="K23" s="47"/>
      <c r="L23" s="47"/>
      <c r="M23" s="47"/>
      <c r="N23" s="47"/>
      <c r="O23" s="47"/>
      <c r="P23" s="47"/>
      <c r="Q23" s="47"/>
      <c r="R23" s="47"/>
      <c r="S23" s="47"/>
      <c r="T23" s="47"/>
    </row>
    <row r="24" spans="2:20" s="41" customFormat="1" ht="5.9" customHeight="1"/>
    <row r="25" spans="2:20" s="41" customFormat="1" ht="14">
      <c r="B25" s="60" t="str">
        <f>GC!F9</f>
        <v>Low Pressure Replacement - Ad Hoc</v>
      </c>
    </row>
    <row r="26" spans="2:20" s="41" customFormat="1" ht="5.9" customHeight="1" outlineLevel="1"/>
    <row r="27" spans="2:20" s="41" customFormat="1" hidden="1" outlineLevel="2">
      <c r="C27" s="50" t="s">
        <v>204</v>
      </c>
    </row>
    <row r="28" spans="2:20" s="41" customFormat="1" ht="5.9" hidden="1" customHeight="1" outlineLevel="2"/>
    <row r="29" spans="2:20" s="41" customFormat="1" hidden="1" outlineLevel="2">
      <c r="D29" s="52" t="s">
        <v>103</v>
      </c>
      <c r="J29" s="91">
        <f>Rates!J42</f>
        <v>1</v>
      </c>
      <c r="K29" s="91">
        <f>Rates!K42</f>
        <v>1</v>
      </c>
      <c r="L29" s="91">
        <f>Rates!L42</f>
        <v>1</v>
      </c>
      <c r="M29" s="91">
        <f>Rates!M42</f>
        <v>1</v>
      </c>
      <c r="N29" s="91">
        <f>Rates!N42</f>
        <v>1</v>
      </c>
      <c r="O29" s="91">
        <f>Rates!O42</f>
        <v>1.0051959235721353</v>
      </c>
      <c r="P29" s="91">
        <f>Rates!P42</f>
        <v>1.0102301741405761</v>
      </c>
      <c r="Q29" s="91">
        <f>Rates!Q42</f>
        <v>1.0181072873442809</v>
      </c>
      <c r="R29" s="91">
        <f>Rates!R42</f>
        <v>1.0293150686557422</v>
      </c>
      <c r="S29" s="91">
        <f>Rates!S42</f>
        <v>1.040646230246951</v>
      </c>
      <c r="T29" s="91">
        <f>Rates!T42</f>
        <v>1.0521021303433229</v>
      </c>
    </row>
    <row r="30" spans="2:20" s="41" customFormat="1" hidden="1" outlineLevel="2">
      <c r="D30" s="52" t="s">
        <v>104</v>
      </c>
      <c r="J30" s="91">
        <f>Rates!J43</f>
        <v>1</v>
      </c>
      <c r="K30" s="91">
        <f>Rates!K43</f>
        <v>1</v>
      </c>
      <c r="L30" s="91">
        <f>Rates!L43</f>
        <v>1</v>
      </c>
      <c r="M30" s="91">
        <f>Rates!M43</f>
        <v>1</v>
      </c>
      <c r="N30" s="91">
        <f>Rates!N43</f>
        <v>1</v>
      </c>
      <c r="O30" s="91">
        <f>Rates!O43</f>
        <v>1</v>
      </c>
      <c r="P30" s="91">
        <f>Rates!P43</f>
        <v>1</v>
      </c>
      <c r="Q30" s="91">
        <f>Rates!Q43</f>
        <v>1</v>
      </c>
      <c r="R30" s="91">
        <f>Rates!R43</f>
        <v>1</v>
      </c>
      <c r="S30" s="91">
        <f>Rates!S43</f>
        <v>1</v>
      </c>
      <c r="T30" s="91">
        <f>Rates!T43</f>
        <v>1</v>
      </c>
    </row>
    <row r="31" spans="2:20" s="41" customFormat="1" hidden="1" outlineLevel="2">
      <c r="D31" s="52" t="s">
        <v>130</v>
      </c>
      <c r="J31" s="91">
        <f>Rates!J45</f>
        <v>1</v>
      </c>
      <c r="K31" s="91">
        <f>Rates!K45</f>
        <v>1</v>
      </c>
      <c r="L31" s="91">
        <f>Rates!L45</f>
        <v>1</v>
      </c>
      <c r="M31" s="91">
        <f>Rates!M45</f>
        <v>1</v>
      </c>
      <c r="N31" s="91">
        <f>Rates!N45</f>
        <v>1</v>
      </c>
      <c r="O31" s="91">
        <f>Rates!O45</f>
        <v>1</v>
      </c>
      <c r="P31" s="91">
        <f>Rates!P45</f>
        <v>1</v>
      </c>
      <c r="Q31" s="91">
        <f>Rates!Q45</f>
        <v>1</v>
      </c>
      <c r="R31" s="91">
        <f>Rates!R45</f>
        <v>1</v>
      </c>
      <c r="S31" s="91">
        <f>Rates!S45</f>
        <v>1</v>
      </c>
      <c r="T31" s="91">
        <f>Rates!T45</f>
        <v>1</v>
      </c>
    </row>
    <row r="32" spans="2:20" s="41" customFormat="1" ht="5.9" hidden="1" customHeight="1" outlineLevel="2"/>
    <row r="33" spans="3:20" s="41" customFormat="1" hidden="1" outlineLevel="2">
      <c r="C33" s="50" t="s">
        <v>105</v>
      </c>
    </row>
    <row r="34" spans="3:20" s="41" customFormat="1" ht="5.9" hidden="1" customHeight="1" outlineLevel="2"/>
    <row r="35" spans="3:20" s="41" customFormat="1" hidden="1" outlineLevel="2">
      <c r="D35" s="52" t="s">
        <v>106</v>
      </c>
      <c r="J35" s="122">
        <f>Rates!J50</f>
        <v>6.9591273870889495E-2</v>
      </c>
      <c r="K35" s="122">
        <f>Rates!K50</f>
        <v>7.3934468928182201E-2</v>
      </c>
      <c r="L35" s="122">
        <f>Rates!L50</f>
        <v>7.5085976469407303E-2</v>
      </c>
      <c r="M35" s="122">
        <f>Rates!M50</f>
        <v>8.0103391005934096E-2</v>
      </c>
      <c r="N35" s="122">
        <f>Rates!N50</f>
        <v>3.7711007382937055E-2</v>
      </c>
      <c r="O35" s="122">
        <f>Rates!O50</f>
        <v>3.3283969054706777E-2</v>
      </c>
      <c r="P35" s="122">
        <f>Rates!P50</f>
        <v>2.6752660513445464E-2</v>
      </c>
      <c r="Q35" s="122">
        <f>Rates!Q50</f>
        <v>2.6060587348993774E-2</v>
      </c>
      <c r="R35" s="122">
        <f>Rates!R50</f>
        <v>2.6873005987587139E-2</v>
      </c>
      <c r="S35" s="122">
        <f>Rates!S50</f>
        <v>2.8546178928104012E-2</v>
      </c>
      <c r="T35" s="122">
        <f>Rates!T50</f>
        <v>2.9920378203686534E-2</v>
      </c>
    </row>
    <row r="36" spans="3:20" s="41" customFormat="1" hidden="1" outlineLevel="2">
      <c r="D36" s="52" t="s">
        <v>107</v>
      </c>
      <c r="J36" s="122">
        <f>Rates!J51</f>
        <v>5.5842732834613398E-2</v>
      </c>
      <c r="K36" s="122">
        <f>Rates!K51</f>
        <v>5.16564294790849E-2</v>
      </c>
      <c r="L36" s="122">
        <f>Rates!L51</f>
        <v>6.0535031919173997E-2</v>
      </c>
      <c r="M36" s="122">
        <f>Rates!M51</f>
        <v>7.1630695797579302E-2</v>
      </c>
      <c r="N36" s="122">
        <f>Rates!N51</f>
        <v>7.4343858126268231E-2</v>
      </c>
      <c r="O36" s="122">
        <f>Rates!O51</f>
        <v>7.4059082290758096E-2</v>
      </c>
      <c r="P36" s="122">
        <f>Rates!P51</f>
        <v>2.4388539961794877E-2</v>
      </c>
      <c r="Q36" s="122">
        <f>Rates!Q51</f>
        <v>2.1171310758207256E-2</v>
      </c>
      <c r="R36" s="122">
        <f>Rates!R51</f>
        <v>2.0024144075344485E-2</v>
      </c>
      <c r="S36" s="122">
        <f>Rates!S51</f>
        <v>3.9620009613577346E-2</v>
      </c>
      <c r="T36" s="122">
        <f>Rates!T51</f>
        <v>5.404914337922874E-2</v>
      </c>
    </row>
    <row r="37" spans="3:20" s="41" customFormat="1" hidden="1" outlineLevel="2">
      <c r="D37" s="52" t="s">
        <v>108</v>
      </c>
      <c r="J37" s="122">
        <f>Rates!J52</f>
        <v>0</v>
      </c>
      <c r="K37" s="122">
        <f>Rates!K52</f>
        <v>0</v>
      </c>
      <c r="L37" s="122">
        <f>Rates!L52</f>
        <v>0</v>
      </c>
      <c r="M37" s="122">
        <f>Rates!M52</f>
        <v>0</v>
      </c>
      <c r="N37" s="122">
        <f>Rates!N52</f>
        <v>0</v>
      </c>
      <c r="O37" s="122">
        <f>Rates!O52</f>
        <v>0</v>
      </c>
      <c r="P37" s="122">
        <f>Rates!P52</f>
        <v>0</v>
      </c>
      <c r="Q37" s="122">
        <f>Rates!Q52</f>
        <v>0</v>
      </c>
      <c r="R37" s="122">
        <f>Rates!R52</f>
        <v>0</v>
      </c>
      <c r="S37" s="122">
        <f>Rates!S52</f>
        <v>0</v>
      </c>
      <c r="T37" s="122">
        <f>Rates!T52</f>
        <v>0</v>
      </c>
    </row>
    <row r="38" spans="3:20" s="41" customFormat="1" outlineLevel="1" collapsed="1"/>
    <row r="39" spans="3:20" s="41" customFormat="1" ht="5.9" customHeight="1" outlineLevel="1"/>
    <row r="40" spans="3:20" s="41" customFormat="1" outlineLevel="1">
      <c r="C40" s="50" t="s">
        <v>118</v>
      </c>
    </row>
    <row r="41" spans="3:20" s="41" customFormat="1" ht="5.9" customHeight="1" outlineLevel="1"/>
    <row r="42" spans="3:20" s="41" customFormat="1" outlineLevel="1">
      <c r="D42" s="50" t="s">
        <v>160</v>
      </c>
      <c r="H42" s="123" t="s">
        <v>192</v>
      </c>
    </row>
    <row r="43" spans="3:20" s="41" customFormat="1" ht="5.9" customHeight="1" outlineLevel="1"/>
    <row r="44" spans="3:20" s="41" customFormat="1" outlineLevel="1">
      <c r="D44" s="103" t="str">
        <f>Work_Codes!D38</f>
        <v>Minor Replacement - Mains Renewal &lt;20m)</v>
      </c>
      <c r="H44" s="85"/>
      <c r="J44" s="126"/>
      <c r="K44" s="126"/>
      <c r="L44" s="126"/>
      <c r="M44" s="179"/>
      <c r="N44" s="211"/>
      <c r="O44" s="211"/>
      <c r="P44" s="216"/>
      <c r="Q44" s="216"/>
      <c r="R44" s="216"/>
      <c r="S44" s="216"/>
      <c r="T44" s="216"/>
    </row>
    <row r="45" spans="3:20" s="41" customFormat="1" outlineLevel="1">
      <c r="D45" s="103" t="str">
        <f>Work_Codes!D39</f>
        <v>Minor Replacement - Alter / Lower Mains</v>
      </c>
      <c r="H45" s="85"/>
      <c r="J45" s="126"/>
      <c r="K45" s="126"/>
      <c r="L45" s="126"/>
      <c r="M45" s="179"/>
      <c r="N45" s="211"/>
      <c r="O45" s="211"/>
      <c r="P45" s="216"/>
      <c r="Q45" s="216"/>
      <c r="R45" s="216"/>
      <c r="S45" s="216"/>
      <c r="T45" s="216"/>
    </row>
    <row r="46" spans="3:20" s="41" customFormat="1" outlineLevel="1">
      <c r="D46" s="103" t="str">
        <f>Work_Codes!D40</f>
        <v>Minor Replacement - Service Renewals</v>
      </c>
      <c r="H46" s="85"/>
      <c r="J46" s="126"/>
      <c r="K46" s="126"/>
      <c r="L46" s="126"/>
      <c r="M46" s="179"/>
      <c r="N46" s="211"/>
      <c r="O46" s="211"/>
      <c r="P46" s="216"/>
      <c r="Q46" s="216"/>
      <c r="R46" s="216"/>
      <c r="S46" s="216"/>
      <c r="T46" s="216"/>
    </row>
    <row r="47" spans="3:20" s="41" customFormat="1" outlineLevel="1">
      <c r="D47" s="103" t="str">
        <f>Work_Codes!D41</f>
        <v>Minor Replacement - Alter / Lower Services</v>
      </c>
      <c r="H47" s="85"/>
      <c r="J47" s="126"/>
      <c r="K47" s="126"/>
      <c r="L47" s="126"/>
      <c r="M47" s="179"/>
      <c r="N47" s="211"/>
      <c r="O47" s="211"/>
      <c r="P47" s="216"/>
      <c r="Q47" s="216"/>
      <c r="R47" s="216"/>
      <c r="S47" s="216"/>
      <c r="T47" s="216"/>
    </row>
    <row r="48" spans="3:20" s="41" customFormat="1" outlineLevel="1">
      <c r="D48" s="103" t="str">
        <f>Work_Codes!D42</f>
        <v>Capex Items Category 5</v>
      </c>
      <c r="H48" s="85"/>
      <c r="J48" s="126"/>
      <c r="K48" s="126"/>
      <c r="L48" s="126"/>
      <c r="M48" s="126"/>
      <c r="N48" s="212"/>
      <c r="O48" s="212"/>
      <c r="P48" s="211"/>
      <c r="Q48" s="211"/>
      <c r="R48" s="211"/>
      <c r="S48" s="211"/>
      <c r="T48" s="211"/>
    </row>
    <row r="49" spans="3:20" s="41" customFormat="1" outlineLevel="1">
      <c r="D49" s="43"/>
      <c r="H49" s="86"/>
      <c r="J49" s="124"/>
      <c r="K49" s="124"/>
      <c r="L49" s="124"/>
      <c r="M49" s="124"/>
      <c r="N49" s="124"/>
      <c r="O49" s="124"/>
      <c r="P49" s="124"/>
      <c r="Q49" s="124"/>
      <c r="R49" s="124"/>
      <c r="S49" s="124"/>
      <c r="T49" s="124"/>
    </row>
    <row r="50" spans="3:20" s="41" customFormat="1" outlineLevel="1">
      <c r="C50" s="50" t="s">
        <v>119</v>
      </c>
    </row>
    <row r="51" spans="3:20" s="41" customFormat="1" ht="5.9" customHeight="1" outlineLevel="1"/>
    <row r="52" spans="3:20" s="41" customFormat="1" outlineLevel="1">
      <c r="D52" s="50" t="str">
        <f>D42</f>
        <v>Capex Category</v>
      </c>
    </row>
    <row r="53" spans="3:20" s="41" customFormat="1" ht="5.9" customHeight="1" outlineLevel="1"/>
    <row r="54" spans="3:20" s="41" customFormat="1" outlineLevel="1">
      <c r="D54" s="103" t="str">
        <f>Work_Codes!D38</f>
        <v>Minor Replacement - Mains Renewal &lt;20m)</v>
      </c>
      <c r="J54" s="163"/>
      <c r="K54" s="163"/>
      <c r="L54" s="163"/>
      <c r="M54" s="163"/>
      <c r="N54" s="213"/>
      <c r="O54" s="213"/>
      <c r="P54" s="213"/>
      <c r="Q54" s="213"/>
      <c r="R54" s="213"/>
      <c r="S54" s="213"/>
      <c r="T54" s="213"/>
    </row>
    <row r="55" spans="3:20" s="41" customFormat="1" outlineLevel="1">
      <c r="D55" s="103" t="str">
        <f>Work_Codes!D39</f>
        <v>Minor Replacement - Alter / Lower Mains</v>
      </c>
      <c r="J55" s="163"/>
      <c r="K55" s="163"/>
      <c r="L55" s="163"/>
      <c r="M55" s="163"/>
      <c r="N55" s="213"/>
      <c r="O55" s="213"/>
      <c r="P55" s="213"/>
      <c r="Q55" s="213"/>
      <c r="R55" s="213"/>
      <c r="S55" s="213"/>
      <c r="T55" s="213"/>
    </row>
    <row r="56" spans="3:20" s="41" customFormat="1" outlineLevel="1">
      <c r="D56" s="103" t="str">
        <f>Work_Codes!D40</f>
        <v>Minor Replacement - Service Renewals</v>
      </c>
      <c r="J56" s="163"/>
      <c r="K56" s="163"/>
      <c r="L56" s="163"/>
      <c r="M56" s="163"/>
      <c r="N56" s="213"/>
      <c r="O56" s="213"/>
      <c r="P56" s="213"/>
      <c r="Q56" s="213"/>
      <c r="R56" s="213"/>
      <c r="S56" s="213"/>
      <c r="T56" s="213"/>
    </row>
    <row r="57" spans="3:20" s="41" customFormat="1" outlineLevel="1">
      <c r="D57" s="103" t="str">
        <f>Work_Codes!D41</f>
        <v>Minor Replacement - Alter / Lower Services</v>
      </c>
      <c r="J57" s="163"/>
      <c r="K57" s="163"/>
      <c r="L57" s="163"/>
      <c r="M57" s="163"/>
      <c r="N57" s="213"/>
      <c r="O57" s="213"/>
      <c r="P57" s="213"/>
      <c r="Q57" s="213"/>
      <c r="R57" s="213"/>
      <c r="S57" s="213"/>
      <c r="T57" s="213"/>
    </row>
    <row r="58" spans="3:20" s="41" customFormat="1" outlineLevel="1">
      <c r="D58" s="103" t="str">
        <f>Work_Codes!D42</f>
        <v>Capex Items Category 5</v>
      </c>
      <c r="J58" s="163"/>
      <c r="K58" s="163"/>
      <c r="L58" s="163"/>
      <c r="M58" s="163"/>
      <c r="N58" s="213"/>
      <c r="O58" s="213"/>
      <c r="P58" s="213"/>
      <c r="Q58" s="213"/>
      <c r="R58" s="213"/>
      <c r="S58" s="213"/>
      <c r="T58" s="213"/>
    </row>
    <row r="59" spans="3:20" s="41" customFormat="1" outlineLevel="1"/>
    <row r="60" spans="3:20" s="41" customFormat="1" outlineLevel="1">
      <c r="C60" s="50" t="s">
        <v>193</v>
      </c>
    </row>
    <row r="61" spans="3:20" s="41" customFormat="1" ht="5.9" customHeight="1" outlineLevel="1"/>
    <row r="62" spans="3:20" s="41" customFormat="1" outlineLevel="1">
      <c r="D62" s="50" t="str">
        <f>D42</f>
        <v>Capex Category</v>
      </c>
    </row>
    <row r="63" spans="3:20" s="41" customFormat="1" ht="5.9" customHeight="1" outlineLevel="1"/>
    <row r="64" spans="3:20" s="41" customFormat="1" outlineLevel="1">
      <c r="D64" s="103" t="str">
        <f>Work_Codes!D38</f>
        <v>Minor Replacement - Mains Renewal &lt;20m)</v>
      </c>
      <c r="J64" s="80">
        <v>0</v>
      </c>
      <c r="K64" s="80">
        <v>0</v>
      </c>
      <c r="L64" s="80">
        <v>0</v>
      </c>
      <c r="M64" s="80">
        <v>0</v>
      </c>
      <c r="N64" s="80">
        <v>0</v>
      </c>
      <c r="O64" s="80">
        <v>0</v>
      </c>
      <c r="P64" s="80">
        <v>273810.18901218363</v>
      </c>
      <c r="Q64" s="80">
        <v>222333.87347789307</v>
      </c>
      <c r="R64" s="80">
        <v>169251.66118504608</v>
      </c>
      <c r="S64" s="80">
        <v>114526.95740188115</v>
      </c>
      <c r="T64" s="80">
        <v>58122.430881454682</v>
      </c>
    </row>
    <row r="65" spans="3:20" s="41" customFormat="1" outlineLevel="1">
      <c r="D65" s="103" t="str">
        <f>Work_Codes!D39</f>
        <v>Minor Replacement - Alter / Lower Mains</v>
      </c>
      <c r="J65" s="80">
        <v>0</v>
      </c>
      <c r="K65" s="80">
        <v>0</v>
      </c>
      <c r="L65" s="80">
        <v>0</v>
      </c>
      <c r="M65" s="80">
        <v>0</v>
      </c>
      <c r="N65" s="80">
        <v>0</v>
      </c>
      <c r="O65" s="80">
        <v>0</v>
      </c>
      <c r="P65" s="80">
        <v>2409.5296633072153</v>
      </c>
      <c r="Q65" s="80">
        <v>2445.6726082568234</v>
      </c>
      <c r="R65" s="80">
        <v>2482.3576973806757</v>
      </c>
      <c r="S65" s="80">
        <v>2519.5930628413857</v>
      </c>
      <c r="T65" s="80">
        <v>2557.3869587840063</v>
      </c>
    </row>
    <row r="66" spans="3:20" s="41" customFormat="1" outlineLevel="1">
      <c r="D66" s="103" t="str">
        <f>Work_Codes!D40</f>
        <v>Minor Replacement - Service Renewals</v>
      </c>
      <c r="J66" s="80">
        <v>0</v>
      </c>
      <c r="K66" s="80">
        <v>0</v>
      </c>
      <c r="L66" s="80">
        <v>0</v>
      </c>
      <c r="M66" s="80">
        <v>0</v>
      </c>
      <c r="N66" s="80">
        <v>0</v>
      </c>
      <c r="O66" s="80">
        <v>0</v>
      </c>
      <c r="P66" s="80">
        <v>180714.72474804116</v>
      </c>
      <c r="Q66" s="80">
        <v>146740.35649540942</v>
      </c>
      <c r="R66" s="80">
        <v>111706.0963821304</v>
      </c>
      <c r="S66" s="80">
        <v>75587.791885241575</v>
      </c>
      <c r="T66" s="80">
        <v>38360.804381760092</v>
      </c>
    </row>
    <row r="67" spans="3:20" s="41" customFormat="1" outlineLevel="1">
      <c r="D67" s="103" t="str">
        <f>Work_Codes!D41</f>
        <v>Minor Replacement - Alter / Lower Services</v>
      </c>
      <c r="J67" s="80">
        <v>0</v>
      </c>
      <c r="K67" s="80">
        <v>0</v>
      </c>
      <c r="L67" s="80">
        <v>0</v>
      </c>
      <c r="M67" s="80">
        <v>0</v>
      </c>
      <c r="N67" s="80">
        <v>0</v>
      </c>
      <c r="O67" s="80">
        <v>0</v>
      </c>
      <c r="P67" s="80">
        <v>12321.45850554826</v>
      </c>
      <c r="Q67" s="80">
        <v>10005.024306505187</v>
      </c>
      <c r="R67" s="80">
        <v>7616.3247533270724</v>
      </c>
      <c r="S67" s="80">
        <v>5153.7130830846518</v>
      </c>
      <c r="T67" s="80">
        <v>2615.5093896654607</v>
      </c>
    </row>
    <row r="68" spans="3:20" s="41" customFormat="1" outlineLevel="1">
      <c r="D68" s="103" t="str">
        <f>Work_Codes!D42</f>
        <v>Capex Items Category 5</v>
      </c>
      <c r="J68" s="80">
        <v>0</v>
      </c>
      <c r="K68" s="80">
        <v>0</v>
      </c>
      <c r="L68" s="80">
        <v>0</v>
      </c>
      <c r="M68" s="80">
        <v>0</v>
      </c>
      <c r="N68" s="80">
        <v>491696.03074271942</v>
      </c>
      <c r="O68" s="80">
        <v>258320</v>
      </c>
      <c r="P68" s="80">
        <v>47384.098070919688</v>
      </c>
      <c r="Q68" s="80">
        <v>31785.073111935519</v>
      </c>
      <c r="R68" s="80">
        <v>18923.559982115752</v>
      </c>
      <c r="S68" s="80">
        <v>8871.9445669512206</v>
      </c>
      <c r="T68" s="80">
        <v>1673.8683883357589</v>
      </c>
    </row>
    <row r="69" spans="3:20" s="41" customFormat="1" ht="6" customHeight="1" outlineLevel="1">
      <c r="D69" s="50"/>
      <c r="J69" s="79"/>
      <c r="K69" s="79"/>
      <c r="L69" s="79"/>
      <c r="M69" s="79"/>
      <c r="N69" s="79"/>
      <c r="O69" s="79"/>
      <c r="P69" s="79"/>
      <c r="Q69" s="79"/>
      <c r="R69" s="79"/>
      <c r="S69" s="79"/>
      <c r="T69" s="79"/>
    </row>
    <row r="70" spans="3:20" s="41" customFormat="1" outlineLevel="1">
      <c r="D70" s="250" t="str">
        <f>"Total "&amp;B25</f>
        <v>Total Low Pressure Replacement - Ad Hoc</v>
      </c>
      <c r="E70" s="250"/>
      <c r="F70" s="250"/>
      <c r="G70" s="250"/>
      <c r="H70" s="250"/>
      <c r="I70" s="250"/>
      <c r="J70" s="101">
        <f t="shared" ref="J70:T70" si="8">SUM(J64:J69)</f>
        <v>0</v>
      </c>
      <c r="K70" s="101">
        <f t="shared" si="8"/>
        <v>0</v>
      </c>
      <c r="L70" s="101">
        <f t="shared" si="8"/>
        <v>0</v>
      </c>
      <c r="M70" s="101">
        <f t="shared" si="8"/>
        <v>0</v>
      </c>
      <c r="N70" s="101">
        <f t="shared" si="8"/>
        <v>491696.03074271942</v>
      </c>
      <c r="O70" s="101">
        <f t="shared" si="8"/>
        <v>258320</v>
      </c>
      <c r="P70" s="101">
        <f t="shared" si="8"/>
        <v>516640</v>
      </c>
      <c r="Q70" s="101">
        <f t="shared" si="8"/>
        <v>413310</v>
      </c>
      <c r="R70" s="101">
        <f t="shared" si="8"/>
        <v>309980</v>
      </c>
      <c r="S70" s="101">
        <f t="shared" si="8"/>
        <v>206660</v>
      </c>
      <c r="T70" s="101">
        <f t="shared" si="8"/>
        <v>103330</v>
      </c>
    </row>
    <row r="71" spans="3:20" outlineLevel="1"/>
    <row r="72" spans="3:20" outlineLevel="1">
      <c r="C72" s="37" t="s">
        <v>286</v>
      </c>
    </row>
    <row r="73" spans="3:20" ht="5.9" customHeight="1" outlineLevel="1"/>
    <row r="74" spans="3:20" outlineLevel="1">
      <c r="D74" s="143" t="str">
        <f>Work_Codes!D46</f>
        <v>Customer Contributions Category 1</v>
      </c>
      <c r="J74" s="148">
        <v>0</v>
      </c>
      <c r="K74" s="148">
        <v>0</v>
      </c>
      <c r="L74" s="148">
        <v>0</v>
      </c>
      <c r="M74" s="148">
        <v>0</v>
      </c>
      <c r="N74" s="148">
        <v>0</v>
      </c>
      <c r="O74" s="148">
        <v>0</v>
      </c>
      <c r="P74" s="148">
        <v>0</v>
      </c>
      <c r="Q74" s="148">
        <v>0</v>
      </c>
      <c r="R74" s="148">
        <v>0</v>
      </c>
      <c r="S74" s="148">
        <v>0</v>
      </c>
      <c r="T74" s="148">
        <v>0</v>
      </c>
    </row>
    <row r="75" spans="3:20" ht="5.9" customHeight="1" outlineLevel="1"/>
    <row r="76" spans="3:20" outlineLevel="1">
      <c r="D76" s="249" t="str">
        <f>"Total "&amp;C72</f>
        <v>Total Customer Connections</v>
      </c>
      <c r="E76" s="249"/>
      <c r="F76" s="249"/>
      <c r="G76" s="249"/>
      <c r="H76" s="249"/>
      <c r="I76" s="249"/>
      <c r="J76" s="82">
        <f t="shared" ref="J76:T76" si="9">SUM(J74:J75)</f>
        <v>0</v>
      </c>
      <c r="K76" s="82">
        <f t="shared" si="9"/>
        <v>0</v>
      </c>
      <c r="L76" s="82">
        <f t="shared" si="9"/>
        <v>0</v>
      </c>
      <c r="M76" s="82">
        <f t="shared" si="9"/>
        <v>0</v>
      </c>
      <c r="N76" s="82">
        <f t="shared" si="9"/>
        <v>0</v>
      </c>
      <c r="O76" s="82">
        <f t="shared" si="9"/>
        <v>0</v>
      </c>
      <c r="P76" s="82">
        <f t="shared" si="9"/>
        <v>0</v>
      </c>
      <c r="Q76" s="82">
        <f t="shared" si="9"/>
        <v>0</v>
      </c>
      <c r="R76" s="82">
        <f t="shared" si="9"/>
        <v>0</v>
      </c>
      <c r="S76" s="82">
        <f t="shared" si="9"/>
        <v>0</v>
      </c>
      <c r="T76" s="82">
        <f t="shared" si="9"/>
        <v>0</v>
      </c>
    </row>
    <row r="77" spans="3:20" s="41" customFormat="1" outlineLevel="1">
      <c r="C77" s="109"/>
      <c r="D77" s="109"/>
      <c r="E77" s="109"/>
      <c r="F77" s="109"/>
      <c r="G77" s="109"/>
      <c r="H77" s="109"/>
      <c r="I77" s="109"/>
      <c r="J77" s="109"/>
      <c r="K77" s="109"/>
      <c r="L77" s="109"/>
      <c r="M77" s="109"/>
      <c r="N77" s="109"/>
      <c r="O77" s="109"/>
      <c r="P77" s="109"/>
      <c r="Q77" s="109"/>
      <c r="R77" s="109"/>
      <c r="S77" s="109"/>
      <c r="T77" s="109"/>
    </row>
    <row r="78" spans="3:20" s="41" customFormat="1" outlineLevel="1"/>
    <row r="79" spans="3:20" s="41" customFormat="1" outlineLevel="1">
      <c r="C79" s="50" t="s">
        <v>213</v>
      </c>
    </row>
    <row r="80" spans="3:20" s="41" customFormat="1" ht="5.9" hidden="1" customHeight="1" outlineLevel="2"/>
    <row r="81" spans="3:20" s="41" customFormat="1" hidden="1" outlineLevel="2">
      <c r="C81" s="50" t="s">
        <v>128</v>
      </c>
    </row>
    <row r="82" spans="3:20" s="41" customFormat="1" ht="5.9" hidden="1" customHeight="1" outlineLevel="2"/>
    <row r="83" spans="3:20" s="41" customFormat="1" hidden="1" outlineLevel="2">
      <c r="D83" s="103" t="str">
        <f>Work_Codes!D38</f>
        <v>Minor Replacement - Mains Renewal &lt;20m)</v>
      </c>
      <c r="J83" s="80">
        <f>Work_Codes!$I38*J64*J$29</f>
        <v>0</v>
      </c>
      <c r="K83" s="80">
        <f>Work_Codes!$I38*K64*K$29</f>
        <v>0</v>
      </c>
      <c r="L83" s="80">
        <f>Work_Codes!$I38*L64*L$29</f>
        <v>0</v>
      </c>
      <c r="M83" s="80">
        <f>Work_Codes!$I38*M64*M$29</f>
        <v>0</v>
      </c>
      <c r="N83" s="80">
        <f>Work_Codes!$I38*N64*N$29</f>
        <v>0</v>
      </c>
      <c r="O83" s="80">
        <f>Work_Codes!$I38*O64*O$29</f>
        <v>0</v>
      </c>
      <c r="P83" s="80">
        <f>Work_Codes!$I38*P64*P$29</f>
        <v>11064.452597089694</v>
      </c>
      <c r="Q83" s="80">
        <f>Work_Codes!$I38*Q64*Q$29</f>
        <v>9054.3894724529709</v>
      </c>
      <c r="R83" s="80">
        <f>Work_Codes!$I38*R64*R$29</f>
        <v>6968.5314101113645</v>
      </c>
      <c r="S83" s="80">
        <f>Work_Codes!$I38*S64*S$29</f>
        <v>4767.2818592768317</v>
      </c>
      <c r="T83" s="80">
        <f>Work_Codes!$I38*T64*T$29</f>
        <v>2446.0293340444405</v>
      </c>
    </row>
    <row r="84" spans="3:20" s="41" customFormat="1" hidden="1" outlineLevel="2">
      <c r="D84" s="103" t="str">
        <f>Work_Codes!D39</f>
        <v>Minor Replacement - Alter / Lower Mains</v>
      </c>
      <c r="J84" s="80">
        <f>Work_Codes!$I39*J65*J$29</f>
        <v>0</v>
      </c>
      <c r="K84" s="80">
        <f>Work_Codes!$I39*K65*K$29</f>
        <v>0</v>
      </c>
      <c r="L84" s="80">
        <f>Work_Codes!$I39*L65*L$29</f>
        <v>0</v>
      </c>
      <c r="M84" s="80">
        <f>Work_Codes!$I39*M65*M$29</f>
        <v>0</v>
      </c>
      <c r="N84" s="80">
        <f>Work_Codes!$I39*N65*N$29</f>
        <v>0</v>
      </c>
      <c r="O84" s="80">
        <f>Work_Codes!$I39*O65*O$29</f>
        <v>0</v>
      </c>
      <c r="P84" s="80">
        <f>Work_Codes!$I39*P65*P$29</f>
        <v>97.36718285438927</v>
      </c>
      <c r="Q84" s="80">
        <f>Work_Codes!$I39*Q65*Q$29</f>
        <v>99.598284196982675</v>
      </c>
      <c r="R84" s="80">
        <f>Work_Codes!$I39*R65*R$29</f>
        <v>102.20512734830002</v>
      </c>
      <c r="S84" s="80">
        <f>Work_Codes!$I39*S65*S$29</f>
        <v>104.88020090409029</v>
      </c>
      <c r="T84" s="80">
        <f>Work_Codes!$I39*T65*T$29</f>
        <v>107.62529069795539</v>
      </c>
    </row>
    <row r="85" spans="3:20" s="41" customFormat="1" hidden="1" outlineLevel="2">
      <c r="D85" s="103" t="str">
        <f>Work_Codes!D40</f>
        <v>Minor Replacement - Service Renewals</v>
      </c>
      <c r="J85" s="80">
        <f>Work_Codes!$I40*J66*J$29</f>
        <v>0</v>
      </c>
      <c r="K85" s="80">
        <f>Work_Codes!$I40*K66*K$29</f>
        <v>0</v>
      </c>
      <c r="L85" s="80">
        <f>Work_Codes!$I40*L66*L$29</f>
        <v>0</v>
      </c>
      <c r="M85" s="80">
        <f>Work_Codes!$I40*M66*M$29</f>
        <v>0</v>
      </c>
      <c r="N85" s="80">
        <f>Work_Codes!$I40*N66*N$29</f>
        <v>0</v>
      </c>
      <c r="O85" s="80">
        <f>Work_Codes!$I40*O66*O$29</f>
        <v>0</v>
      </c>
      <c r="P85" s="80">
        <f>Work_Codes!$I40*P66*P$29</f>
        <v>7302.5387140791963</v>
      </c>
      <c r="Q85" s="80">
        <f>Work_Codes!$I40*Q66*Q$29</f>
        <v>5975.8970518189608</v>
      </c>
      <c r="R85" s="80">
        <f>Work_Codes!$I40*R66*R$29</f>
        <v>4599.2307306735001</v>
      </c>
      <c r="S85" s="80">
        <f>Work_Codes!$I40*S66*S$29</f>
        <v>3146.4060271227086</v>
      </c>
      <c r="T85" s="80">
        <f>Work_Codes!$I40*T66*T$29</f>
        <v>1614.3793604693305</v>
      </c>
    </row>
    <row r="86" spans="3:20" s="41" customFormat="1" hidden="1" outlineLevel="2">
      <c r="D86" s="103" t="str">
        <f>Work_Codes!D41</f>
        <v>Minor Replacement - Alter / Lower Services</v>
      </c>
      <c r="J86" s="80">
        <f>Work_Codes!$I41*J67*J$29</f>
        <v>0</v>
      </c>
      <c r="K86" s="80">
        <f>Work_Codes!$I41*K67*K$29</f>
        <v>0</v>
      </c>
      <c r="L86" s="80">
        <f>Work_Codes!$I41*L67*L$29</f>
        <v>0</v>
      </c>
      <c r="M86" s="80">
        <f>Work_Codes!$I41*M67*M$29</f>
        <v>0</v>
      </c>
      <c r="N86" s="80">
        <f>Work_Codes!$I41*N67*N$29</f>
        <v>0</v>
      </c>
      <c r="O86" s="80">
        <f>Work_Codes!$I41*O67*O$29</f>
        <v>0</v>
      </c>
      <c r="P86" s="80">
        <f>Work_Codes!$I41*P67*P$29</f>
        <v>497.90036686903608</v>
      </c>
      <c r="Q86" s="80">
        <f>Work_Codes!$I41*Q67*Q$29</f>
        <v>407.44752626038365</v>
      </c>
      <c r="R86" s="80">
        <f>Work_Codes!$I41*R67*R$29</f>
        <v>313.58391345501133</v>
      </c>
      <c r="S86" s="80">
        <f>Work_Codes!$I41*S67*S$29</f>
        <v>214.52768366745738</v>
      </c>
      <c r="T86" s="80">
        <f>Work_Codes!$I41*T67*T$29</f>
        <v>110.07132003199983</v>
      </c>
    </row>
    <row r="87" spans="3:20" s="41" customFormat="1" hidden="1" outlineLevel="2">
      <c r="D87" s="103" t="str">
        <f>Work_Codes!D42</f>
        <v>Capex Items Category 5</v>
      </c>
      <c r="J87" s="80">
        <f>Work_Codes!$I42*J68*J$29</f>
        <v>0</v>
      </c>
      <c r="K87" s="80">
        <f>Work_Codes!$I42*K68*K$29</f>
        <v>0</v>
      </c>
      <c r="L87" s="80">
        <f>Work_Codes!$I42*L68*L$29</f>
        <v>0</v>
      </c>
      <c r="M87" s="80">
        <f>Work_Codes!$I42*M68*M$29</f>
        <v>0</v>
      </c>
      <c r="N87" s="80">
        <f>Work_Codes!$I42*N68*N$29</f>
        <v>19667.841229708778</v>
      </c>
      <c r="O87" s="80">
        <f>Work_Codes!$I42*O68*O$29</f>
        <v>10386.488439086161</v>
      </c>
      <c r="P87" s="80">
        <f>Work_Codes!$I42*P68*P$29</f>
        <v>1914.7538258271736</v>
      </c>
      <c r="Q87" s="80">
        <f>Work_Codes!$I42*Q68*Q$29</f>
        <v>1294.4245825612925</v>
      </c>
      <c r="R87" s="80">
        <f>Work_Codes!$I42*R68*R$29</f>
        <v>779.13221768810126</v>
      </c>
      <c r="S87" s="80">
        <f>Work_Codes!$I42*S68*S$29</f>
        <v>369.30222674230828</v>
      </c>
      <c r="T87" s="80">
        <f>Work_Codes!$I42*T68*T$29</f>
        <v>70.443219891295854</v>
      </c>
    </row>
    <row r="88" spans="3:20" ht="5.9" hidden="1" customHeight="1" outlineLevel="2"/>
    <row r="89" spans="3:20" hidden="1" outlineLevel="2">
      <c r="D89" s="249" t="str">
        <f>"Total "&amp;C81</f>
        <v>Total Internal Labour</v>
      </c>
      <c r="E89" s="249"/>
      <c r="F89" s="249"/>
      <c r="G89" s="249"/>
      <c r="H89" s="249"/>
      <c r="I89" s="249"/>
      <c r="J89" s="82">
        <f t="shared" ref="J89:T89" si="10">SUM(J83:J88)</f>
        <v>0</v>
      </c>
      <c r="K89" s="82">
        <f t="shared" si="10"/>
        <v>0</v>
      </c>
      <c r="L89" s="82">
        <f t="shared" si="10"/>
        <v>0</v>
      </c>
      <c r="M89" s="82">
        <f t="shared" si="10"/>
        <v>0</v>
      </c>
      <c r="N89" s="82">
        <f t="shared" si="10"/>
        <v>19667.841229708778</v>
      </c>
      <c r="O89" s="82">
        <f t="shared" si="10"/>
        <v>10386.488439086161</v>
      </c>
      <c r="P89" s="82">
        <f t="shared" si="10"/>
        <v>20877.012686719489</v>
      </c>
      <c r="Q89" s="82">
        <f t="shared" si="10"/>
        <v>16831.756917290593</v>
      </c>
      <c r="R89" s="82">
        <f t="shared" si="10"/>
        <v>12762.683399276277</v>
      </c>
      <c r="S89" s="82">
        <f t="shared" si="10"/>
        <v>8602.3979977133949</v>
      </c>
      <c r="T89" s="82">
        <f t="shared" si="10"/>
        <v>4348.5485251350219</v>
      </c>
    </row>
    <row r="90" spans="3:20" hidden="1" outlineLevel="2"/>
    <row r="91" spans="3:20" hidden="1" outlineLevel="2">
      <c r="C91" s="37" t="s">
        <v>129</v>
      </c>
    </row>
    <row r="92" spans="3:20" ht="5.9" hidden="1" customHeight="1" outlineLevel="2"/>
    <row r="93" spans="3:20" hidden="1" outlineLevel="2">
      <c r="D93" s="59" t="str">
        <f>Work_Codes!D38</f>
        <v>Minor Replacement - Mains Renewal &lt;20m)</v>
      </c>
      <c r="J93" s="81">
        <f>Work_Codes!$J38*J64*J$30</f>
        <v>0</v>
      </c>
      <c r="K93" s="81">
        <f>Work_Codes!$J38*K64*K$30</f>
        <v>0</v>
      </c>
      <c r="L93" s="81">
        <f>Work_Codes!$J38*L64*L$30</f>
        <v>0</v>
      </c>
      <c r="M93" s="81">
        <f>Work_Codes!$J38*M64*M$30</f>
        <v>0</v>
      </c>
      <c r="N93" s="81">
        <f>Work_Codes!$J38*N64*N$30</f>
        <v>0</v>
      </c>
      <c r="O93" s="81">
        <f>Work_Codes!$J38*O64*O$30</f>
        <v>0</v>
      </c>
      <c r="P93" s="81">
        <f>Work_Codes!$J38*P64*P$30</f>
        <v>208095.74364925956</v>
      </c>
      <c r="Q93" s="81">
        <f>Work_Codes!$J38*Q64*Q$30</f>
        <v>168973.74384319872</v>
      </c>
      <c r="R93" s="81">
        <f>Work_Codes!$J38*R64*R$30</f>
        <v>128631.26250063501</v>
      </c>
      <c r="S93" s="81">
        <f>Work_Codes!$J38*S64*S$30</f>
        <v>87040.487625429683</v>
      </c>
      <c r="T93" s="81">
        <f>Work_Codes!$J38*T64*T$30</f>
        <v>44173.047469905556</v>
      </c>
    </row>
    <row r="94" spans="3:20" hidden="1" outlineLevel="2">
      <c r="D94" s="59" t="str">
        <f>Work_Codes!D39</f>
        <v>Minor Replacement - Alter / Lower Mains</v>
      </c>
      <c r="J94" s="81">
        <f>Work_Codes!$J39*J65*J$30</f>
        <v>0</v>
      </c>
      <c r="K94" s="81">
        <f>Work_Codes!$J39*K65*K$30</f>
        <v>0</v>
      </c>
      <c r="L94" s="81">
        <f>Work_Codes!$J39*L65*L$30</f>
        <v>0</v>
      </c>
      <c r="M94" s="81">
        <f>Work_Codes!$J39*M65*M$30</f>
        <v>0</v>
      </c>
      <c r="N94" s="81">
        <f>Work_Codes!$J39*N65*N$30</f>
        <v>0</v>
      </c>
      <c r="O94" s="81">
        <f>Work_Codes!$J39*O65*O$30</f>
        <v>0</v>
      </c>
      <c r="P94" s="81">
        <f>Work_Codes!$J39*P65*P$30</f>
        <v>1831.2425441134837</v>
      </c>
      <c r="Q94" s="81">
        <f>Work_Codes!$J39*Q65*Q$30</f>
        <v>1858.7111822751858</v>
      </c>
      <c r="R94" s="81">
        <f>Work_Codes!$J39*R65*R$30</f>
        <v>1886.5918500093135</v>
      </c>
      <c r="S94" s="81">
        <f>Work_Codes!$J39*S65*S$30</f>
        <v>1914.8907277594533</v>
      </c>
      <c r="T94" s="81">
        <f>Work_Codes!$J39*T65*T$30</f>
        <v>1943.6140886758449</v>
      </c>
    </row>
    <row r="95" spans="3:20" hidden="1" outlineLevel="2">
      <c r="D95" s="59" t="str">
        <f>Work_Codes!D40</f>
        <v>Minor Replacement - Service Renewals</v>
      </c>
      <c r="J95" s="81">
        <f>Work_Codes!$J40*J66*J$30</f>
        <v>0</v>
      </c>
      <c r="K95" s="81">
        <f>Work_Codes!$J40*K66*K$30</f>
        <v>0</v>
      </c>
      <c r="L95" s="81">
        <f>Work_Codes!$J40*L66*L$30</f>
        <v>0</v>
      </c>
      <c r="M95" s="81">
        <f>Work_Codes!$J40*M66*M$30</f>
        <v>0</v>
      </c>
      <c r="N95" s="81">
        <f>Work_Codes!$J40*N66*N$30</f>
        <v>0</v>
      </c>
      <c r="O95" s="81">
        <f>Work_Codes!$J40*O66*O$30</f>
        <v>0</v>
      </c>
      <c r="P95" s="81">
        <f>Work_Codes!$J40*P66*P$30</f>
        <v>137343.19080851128</v>
      </c>
      <c r="Q95" s="81">
        <f>Work_Codes!$J40*Q66*Q$30</f>
        <v>111522.67093651116</v>
      </c>
      <c r="R95" s="81">
        <f>Work_Codes!$J40*R66*R$30</f>
        <v>84896.633250419109</v>
      </c>
      <c r="S95" s="81">
        <f>Work_Codes!$J40*S66*S$30</f>
        <v>57446.721832783594</v>
      </c>
      <c r="T95" s="81">
        <f>Work_Codes!$J40*T66*T$30</f>
        <v>29154.21133013767</v>
      </c>
    </row>
    <row r="96" spans="3:20" hidden="1" outlineLevel="2">
      <c r="D96" s="59" t="str">
        <f>Work_Codes!D41</f>
        <v>Minor Replacement - Alter / Lower Services</v>
      </c>
      <c r="J96" s="81">
        <f>Work_Codes!$J41*J67*J$30</f>
        <v>0</v>
      </c>
      <c r="K96" s="81">
        <f>Work_Codes!$J41*K67*K$30</f>
        <v>0</v>
      </c>
      <c r="L96" s="81">
        <f>Work_Codes!$J41*L67*L$30</f>
        <v>0</v>
      </c>
      <c r="M96" s="81">
        <f>Work_Codes!$J41*M67*M$30</f>
        <v>0</v>
      </c>
      <c r="N96" s="81">
        <f>Work_Codes!$J41*N67*N$30</f>
        <v>0</v>
      </c>
      <c r="O96" s="81">
        <f>Work_Codes!$J41*O67*O$30</f>
        <v>0</v>
      </c>
      <c r="P96" s="81">
        <f>Work_Codes!$J41*P67*P$30</f>
        <v>9364.3084642166777</v>
      </c>
      <c r="Q96" s="81">
        <f>Work_Codes!$J41*Q67*Q$30</f>
        <v>7603.8184729439427</v>
      </c>
      <c r="R96" s="81">
        <f>Work_Codes!$J41*R67*R$30</f>
        <v>5788.4068125285748</v>
      </c>
      <c r="S96" s="81">
        <f>Work_Codes!$J41*S67*S$30</f>
        <v>3916.8219431443354</v>
      </c>
      <c r="T96" s="81">
        <f>Work_Codes!$J41*T67*T$30</f>
        <v>1987.7871361457501</v>
      </c>
    </row>
    <row r="97" spans="3:20" hidden="1" outlineLevel="2">
      <c r="D97" s="59" t="str">
        <f>Work_Codes!D42</f>
        <v>Capex Items Category 5</v>
      </c>
      <c r="J97" s="81">
        <f>Work_Codes!$J42*J68*J$30</f>
        <v>0</v>
      </c>
      <c r="K97" s="81">
        <f>Work_Codes!$J42*K68*K$30</f>
        <v>0</v>
      </c>
      <c r="L97" s="81">
        <f>Work_Codes!$J42*L68*L$30</f>
        <v>0</v>
      </c>
      <c r="M97" s="81">
        <f>Work_Codes!$J42*M68*M$30</f>
        <v>0</v>
      </c>
      <c r="N97" s="81">
        <f>Work_Codes!$J42*N68*N$30</f>
        <v>373688.98336446675</v>
      </c>
      <c r="O97" s="81">
        <f>Work_Codes!$J42*O68*O$30</f>
        <v>196323.20000000001</v>
      </c>
      <c r="P97" s="81">
        <f>Work_Codes!$J42*P68*P$30</f>
        <v>36011.914533898962</v>
      </c>
      <c r="Q97" s="81">
        <f>Work_Codes!$J42*Q68*Q$30</f>
        <v>24156.655565070996</v>
      </c>
      <c r="R97" s="81">
        <f>Work_Codes!$J42*R68*R$30</f>
        <v>14381.905586407971</v>
      </c>
      <c r="S97" s="81">
        <f>Work_Codes!$J42*S68*S$30</f>
        <v>6742.6778708829279</v>
      </c>
      <c r="T97" s="81">
        <f>Work_Codes!$J42*T68*T$30</f>
        <v>1272.1399751351769</v>
      </c>
    </row>
    <row r="98" spans="3:20" ht="5.9" hidden="1" customHeight="1" outlineLevel="2"/>
    <row r="99" spans="3:20" hidden="1" outlineLevel="2">
      <c r="D99" s="249" t="str">
        <f>"Total "&amp;C91</f>
        <v>Total External Labour</v>
      </c>
      <c r="E99" s="249"/>
      <c r="F99" s="249"/>
      <c r="G99" s="249"/>
      <c r="H99" s="249"/>
      <c r="I99" s="249"/>
      <c r="J99" s="82">
        <f t="shared" ref="J99:T99" si="11">SUM(J93:J98)</f>
        <v>0</v>
      </c>
      <c r="K99" s="82">
        <f t="shared" si="11"/>
        <v>0</v>
      </c>
      <c r="L99" s="82">
        <f t="shared" si="11"/>
        <v>0</v>
      </c>
      <c r="M99" s="82">
        <f t="shared" si="11"/>
        <v>0</v>
      </c>
      <c r="N99" s="82">
        <f t="shared" si="11"/>
        <v>373688.98336446675</v>
      </c>
      <c r="O99" s="82">
        <f t="shared" si="11"/>
        <v>196323.20000000001</v>
      </c>
      <c r="P99" s="82">
        <f t="shared" si="11"/>
        <v>392646.39999999991</v>
      </c>
      <c r="Q99" s="82">
        <f t="shared" si="11"/>
        <v>314115.60000000003</v>
      </c>
      <c r="R99" s="82">
        <f t="shared" si="11"/>
        <v>235584.8</v>
      </c>
      <c r="S99" s="82">
        <f t="shared" si="11"/>
        <v>157061.6</v>
      </c>
      <c r="T99" s="82">
        <f t="shared" si="11"/>
        <v>78530.799999999988</v>
      </c>
    </row>
    <row r="100" spans="3:20" hidden="1" outlineLevel="2"/>
    <row r="101" spans="3:20" hidden="1" outlineLevel="2">
      <c r="C101" s="37" t="s">
        <v>130</v>
      </c>
    </row>
    <row r="102" spans="3:20" ht="5.9" hidden="1" customHeight="1" outlineLevel="2"/>
    <row r="103" spans="3:20" hidden="1" outlineLevel="2">
      <c r="D103" s="59" t="str">
        <f>Work_Codes!D38</f>
        <v>Minor Replacement - Mains Renewal &lt;20m)</v>
      </c>
      <c r="J103" s="81">
        <f>Work_Codes!$K38*J64*J$31</f>
        <v>0</v>
      </c>
      <c r="K103" s="81">
        <f>Work_Codes!$K38*K64*K$31</f>
        <v>0</v>
      </c>
      <c r="L103" s="81">
        <f>Work_Codes!$K38*L64*L$31</f>
        <v>0</v>
      </c>
      <c r="M103" s="81">
        <f>Work_Codes!$K38*M64*M$31</f>
        <v>0</v>
      </c>
      <c r="N103" s="81">
        <f>Work_Codes!$K38*N64*N$31</f>
        <v>0</v>
      </c>
      <c r="O103" s="81">
        <f>Work_Codes!$K38*O64*O$31</f>
        <v>0</v>
      </c>
      <c r="P103" s="81">
        <f>Work_Codes!$K38*P64*P$31</f>
        <v>54762.037802436716</v>
      </c>
      <c r="Q103" s="81">
        <f>Work_Codes!$K38*Q64*Q$31</f>
        <v>44466.774695578606</v>
      </c>
      <c r="R103" s="81">
        <f>Work_Codes!$K38*R64*R$31</f>
        <v>33850.332237009206</v>
      </c>
      <c r="S103" s="81">
        <f>Work_Codes!$K38*S64*S$31</f>
        <v>22905.391480376227</v>
      </c>
      <c r="T103" s="81">
        <f>Work_Codes!$K38*T64*T$31</f>
        <v>11624.486176290933</v>
      </c>
    </row>
    <row r="104" spans="3:20" hidden="1" outlineLevel="2">
      <c r="D104" s="59" t="str">
        <f>Work_Codes!D39</f>
        <v>Minor Replacement - Alter / Lower Mains</v>
      </c>
      <c r="J104" s="81">
        <f>Work_Codes!$K39*J65*J$31</f>
        <v>0</v>
      </c>
      <c r="K104" s="81">
        <f>Work_Codes!$K39*K65*K$31</f>
        <v>0</v>
      </c>
      <c r="L104" s="81">
        <f>Work_Codes!$K39*L65*L$31</f>
        <v>0</v>
      </c>
      <c r="M104" s="81">
        <f>Work_Codes!$K39*M65*M$31</f>
        <v>0</v>
      </c>
      <c r="N104" s="81">
        <f>Work_Codes!$K39*N65*N$31</f>
        <v>0</v>
      </c>
      <c r="O104" s="81">
        <f>Work_Codes!$K39*O65*O$31</f>
        <v>0</v>
      </c>
      <c r="P104" s="81">
        <f>Work_Codes!$K39*P65*P$31</f>
        <v>481.90593266144293</v>
      </c>
      <c r="Q104" s="81">
        <f>Work_Codes!$K39*Q65*Q$31</f>
        <v>489.13452165136459</v>
      </c>
      <c r="R104" s="81">
        <f>Work_Codes!$K39*R65*R$31</f>
        <v>496.47153947613504</v>
      </c>
      <c r="S104" s="81">
        <f>Work_Codes!$K39*S65*S$31</f>
        <v>503.91861256827701</v>
      </c>
      <c r="T104" s="81">
        <f>Work_Codes!$K39*T65*T$31</f>
        <v>511.47739175680113</v>
      </c>
    </row>
    <row r="105" spans="3:20" hidden="1" outlineLevel="2">
      <c r="D105" s="59" t="str">
        <f>Work_Codes!D40</f>
        <v>Minor Replacement - Service Renewals</v>
      </c>
      <c r="J105" s="81">
        <f>Work_Codes!$K40*J66*J$31</f>
        <v>0</v>
      </c>
      <c r="K105" s="81">
        <f>Work_Codes!$K40*K66*K$31</f>
        <v>0</v>
      </c>
      <c r="L105" s="81">
        <f>Work_Codes!$K40*L66*L$31</f>
        <v>0</v>
      </c>
      <c r="M105" s="81">
        <f>Work_Codes!$K40*M66*M$31</f>
        <v>0</v>
      </c>
      <c r="N105" s="81">
        <f>Work_Codes!$K40*N66*N$31</f>
        <v>0</v>
      </c>
      <c r="O105" s="81">
        <f>Work_Codes!$K40*O66*O$31</f>
        <v>0</v>
      </c>
      <c r="P105" s="81">
        <f>Work_Codes!$K40*P66*P$31</f>
        <v>36142.944949608223</v>
      </c>
      <c r="Q105" s="81">
        <f>Work_Codes!$K40*Q66*Q$31</f>
        <v>29348.071299081876</v>
      </c>
      <c r="R105" s="81">
        <f>Work_Codes!$K40*R66*R$31</f>
        <v>22341.219276426076</v>
      </c>
      <c r="S105" s="81">
        <f>Work_Codes!$K40*S66*S$31</f>
        <v>15117.558377048312</v>
      </c>
      <c r="T105" s="81">
        <f>Work_Codes!$K40*T66*T$31</f>
        <v>7672.1608763520171</v>
      </c>
    </row>
    <row r="106" spans="3:20" hidden="1" outlineLevel="2">
      <c r="D106" s="59" t="str">
        <f>Work_Codes!D41</f>
        <v>Minor Replacement - Alter / Lower Services</v>
      </c>
      <c r="J106" s="81">
        <f>Work_Codes!$K41*J67*J$31</f>
        <v>0</v>
      </c>
      <c r="K106" s="81">
        <f>Work_Codes!$K41*K67*K$31</f>
        <v>0</v>
      </c>
      <c r="L106" s="81">
        <f>Work_Codes!$K41*L67*L$31</f>
        <v>0</v>
      </c>
      <c r="M106" s="81">
        <f>Work_Codes!$K41*M67*M$31</f>
        <v>0</v>
      </c>
      <c r="N106" s="81">
        <f>Work_Codes!$K41*N67*N$31</f>
        <v>0</v>
      </c>
      <c r="O106" s="81">
        <f>Work_Codes!$K41*O67*O$31</f>
        <v>0</v>
      </c>
      <c r="P106" s="81">
        <f>Work_Codes!$K41*P67*P$31</f>
        <v>2464.2917011096515</v>
      </c>
      <c r="Q106" s="81">
        <f>Work_Codes!$K41*Q67*Q$31</f>
        <v>2001.004861301037</v>
      </c>
      <c r="R106" s="81">
        <f>Work_Codes!$K41*R67*R$31</f>
        <v>1523.2649506654141</v>
      </c>
      <c r="S106" s="81">
        <f>Work_Codes!$K41*S67*S$31</f>
        <v>1030.74261661693</v>
      </c>
      <c r="T106" s="81">
        <f>Work_Codes!$K41*T67*T$31</f>
        <v>523.10187793309206</v>
      </c>
    </row>
    <row r="107" spans="3:20" hidden="1" outlineLevel="2">
      <c r="D107" s="59" t="str">
        <f>Work_Codes!D42</f>
        <v>Capex Items Category 5</v>
      </c>
      <c r="J107" s="81">
        <f>Work_Codes!$K42*J68*J$31</f>
        <v>0</v>
      </c>
      <c r="K107" s="81">
        <f>Work_Codes!$K42*K68*K$31</f>
        <v>0</v>
      </c>
      <c r="L107" s="81">
        <f>Work_Codes!$K42*L68*L$31</f>
        <v>0</v>
      </c>
      <c r="M107" s="81">
        <f>Work_Codes!$K42*M68*M$31</f>
        <v>0</v>
      </c>
      <c r="N107" s="81">
        <f>Work_Codes!$K42*N68*N$31</f>
        <v>98339.206148543861</v>
      </c>
      <c r="O107" s="81">
        <f>Work_Codes!$K42*O68*O$31</f>
        <v>51663.999999999985</v>
      </c>
      <c r="P107" s="81">
        <f>Work_Codes!$K42*P68*P$31</f>
        <v>9476.8196141839362</v>
      </c>
      <c r="Q107" s="81">
        <f>Work_Codes!$K42*Q68*Q$31</f>
        <v>6357.0146223871025</v>
      </c>
      <c r="R107" s="81">
        <f>Work_Codes!$K42*R68*R$31</f>
        <v>3784.7119964231497</v>
      </c>
      <c r="S107" s="81">
        <f>Work_Codes!$K42*S68*S$31</f>
        <v>1774.3889133902437</v>
      </c>
      <c r="T107" s="81">
        <f>Work_Codes!$K42*T68*T$31</f>
        <v>334.77367766715173</v>
      </c>
    </row>
    <row r="108" spans="3:20" ht="5.9" hidden="1" customHeight="1" outlineLevel="2"/>
    <row r="109" spans="3:20" hidden="1" outlineLevel="2">
      <c r="D109" s="249" t="str">
        <f>"Total "&amp;C101</f>
        <v>Total Materials</v>
      </c>
      <c r="E109" s="249"/>
      <c r="F109" s="249"/>
      <c r="G109" s="249"/>
      <c r="H109" s="249"/>
      <c r="I109" s="249"/>
      <c r="J109" s="82">
        <f t="shared" ref="J109:T109" si="12">SUM(J103:J108)</f>
        <v>0</v>
      </c>
      <c r="K109" s="82">
        <f t="shared" si="12"/>
        <v>0</v>
      </c>
      <c r="L109" s="82">
        <f t="shared" si="12"/>
        <v>0</v>
      </c>
      <c r="M109" s="82">
        <f t="shared" si="12"/>
        <v>0</v>
      </c>
      <c r="N109" s="82">
        <f t="shared" si="12"/>
        <v>98339.206148543861</v>
      </c>
      <c r="O109" s="82">
        <f t="shared" si="12"/>
        <v>51663.999999999985</v>
      </c>
      <c r="P109" s="82">
        <f t="shared" si="12"/>
        <v>103327.99999999997</v>
      </c>
      <c r="Q109" s="82">
        <f t="shared" si="12"/>
        <v>82661.999999999985</v>
      </c>
      <c r="R109" s="82">
        <f t="shared" si="12"/>
        <v>61995.999999999985</v>
      </c>
      <c r="S109" s="82">
        <f t="shared" si="12"/>
        <v>41331.999999999985</v>
      </c>
      <c r="T109" s="82">
        <f t="shared" si="12"/>
        <v>20665.999999999996</v>
      </c>
    </row>
    <row r="110" spans="3:20" outlineLevel="1" collapsed="1"/>
    <row r="111" spans="3:20" outlineLevel="1">
      <c r="C111" s="37" t="s">
        <v>217</v>
      </c>
    </row>
    <row r="112" spans="3:20" ht="5.9" customHeight="1" outlineLevel="1"/>
    <row r="113" spans="2:20" outlineLevel="1">
      <c r="D113" s="59" t="str">
        <f>Work_Codes!D38</f>
        <v>Minor Replacement - Mains Renewal &lt;20m)</v>
      </c>
      <c r="J113" s="81">
        <f t="shared" ref="J113:T113" si="13">J83+J93+J103</f>
        <v>0</v>
      </c>
      <c r="K113" s="81">
        <f t="shared" si="13"/>
        <v>0</v>
      </c>
      <c r="L113" s="81">
        <f t="shared" si="13"/>
        <v>0</v>
      </c>
      <c r="M113" s="81">
        <f t="shared" si="13"/>
        <v>0</v>
      </c>
      <c r="N113" s="81">
        <f t="shared" si="13"/>
        <v>0</v>
      </c>
      <c r="O113" s="81">
        <f t="shared" si="13"/>
        <v>0</v>
      </c>
      <c r="P113" s="81">
        <f t="shared" si="13"/>
        <v>273922.23404878599</v>
      </c>
      <c r="Q113" s="81">
        <f t="shared" si="13"/>
        <v>222494.90801123032</v>
      </c>
      <c r="R113" s="81">
        <f t="shared" si="13"/>
        <v>169450.1261477556</v>
      </c>
      <c r="S113" s="81">
        <f t="shared" si="13"/>
        <v>114713.16096508274</v>
      </c>
      <c r="T113" s="81">
        <f t="shared" si="13"/>
        <v>58243.562980240931</v>
      </c>
    </row>
    <row r="114" spans="2:20" outlineLevel="1">
      <c r="D114" s="59" t="str">
        <f>Work_Codes!D39</f>
        <v>Minor Replacement - Alter / Lower Mains</v>
      </c>
      <c r="J114" s="81">
        <f t="shared" ref="J114:T114" si="14">J84+J94+J104</f>
        <v>0</v>
      </c>
      <c r="K114" s="81">
        <f t="shared" si="14"/>
        <v>0</v>
      </c>
      <c r="L114" s="81">
        <f t="shared" si="14"/>
        <v>0</v>
      </c>
      <c r="M114" s="81">
        <f t="shared" si="14"/>
        <v>0</v>
      </c>
      <c r="N114" s="81">
        <f t="shared" si="14"/>
        <v>0</v>
      </c>
      <c r="O114" s="81">
        <f t="shared" si="14"/>
        <v>0</v>
      </c>
      <c r="P114" s="81">
        <f t="shared" si="14"/>
        <v>2410.5156596293159</v>
      </c>
      <c r="Q114" s="81">
        <f t="shared" si="14"/>
        <v>2447.443988123533</v>
      </c>
      <c r="R114" s="81">
        <f t="shared" si="14"/>
        <v>2485.2685168337484</v>
      </c>
      <c r="S114" s="81">
        <f t="shared" si="14"/>
        <v>2523.6895412318208</v>
      </c>
      <c r="T114" s="81">
        <f t="shared" si="14"/>
        <v>2562.716771130601</v>
      </c>
    </row>
    <row r="115" spans="2:20" outlineLevel="1">
      <c r="D115" s="59" t="str">
        <f>Work_Codes!D40</f>
        <v>Minor Replacement - Service Renewals</v>
      </c>
      <c r="J115" s="81">
        <f t="shared" ref="J115:T115" si="15">J85+J95+J105</f>
        <v>0</v>
      </c>
      <c r="K115" s="81">
        <f t="shared" si="15"/>
        <v>0</v>
      </c>
      <c r="L115" s="81">
        <f t="shared" si="15"/>
        <v>0</v>
      </c>
      <c r="M115" s="81">
        <f t="shared" si="15"/>
        <v>0</v>
      </c>
      <c r="N115" s="81">
        <f t="shared" si="15"/>
        <v>0</v>
      </c>
      <c r="O115" s="81">
        <f t="shared" si="15"/>
        <v>0</v>
      </c>
      <c r="P115" s="81">
        <f t="shared" si="15"/>
        <v>180788.67447219871</v>
      </c>
      <c r="Q115" s="81">
        <f t="shared" si="15"/>
        <v>146846.63928741199</v>
      </c>
      <c r="R115" s="81">
        <f t="shared" si="15"/>
        <v>111837.08325751868</v>
      </c>
      <c r="S115" s="81">
        <f t="shared" si="15"/>
        <v>75710.686236954614</v>
      </c>
      <c r="T115" s="81">
        <f t="shared" si="15"/>
        <v>38440.751566959021</v>
      </c>
    </row>
    <row r="116" spans="2:20" outlineLevel="1">
      <c r="D116" s="59" t="str">
        <f>Work_Codes!D41</f>
        <v>Minor Replacement - Alter / Lower Services</v>
      </c>
      <c r="J116" s="81">
        <f t="shared" ref="J116:T116" si="16">J86+J96+J106</f>
        <v>0</v>
      </c>
      <c r="K116" s="81">
        <f t="shared" si="16"/>
        <v>0</v>
      </c>
      <c r="L116" s="81">
        <f t="shared" si="16"/>
        <v>0</v>
      </c>
      <c r="M116" s="81">
        <f t="shared" si="16"/>
        <v>0</v>
      </c>
      <c r="N116" s="81">
        <f t="shared" si="16"/>
        <v>0</v>
      </c>
      <c r="O116" s="81">
        <f t="shared" si="16"/>
        <v>0</v>
      </c>
      <c r="P116" s="81">
        <f t="shared" si="16"/>
        <v>12326.500532195365</v>
      </c>
      <c r="Q116" s="81">
        <f t="shared" si="16"/>
        <v>10012.270860505363</v>
      </c>
      <c r="R116" s="81">
        <f t="shared" si="16"/>
        <v>7625.2556766490006</v>
      </c>
      <c r="S116" s="81">
        <f t="shared" si="16"/>
        <v>5162.0922434287222</v>
      </c>
      <c r="T116" s="81">
        <f t="shared" si="16"/>
        <v>2620.9603341108418</v>
      </c>
    </row>
    <row r="117" spans="2:20" outlineLevel="1">
      <c r="D117" s="59" t="str">
        <f>Work_Codes!D42</f>
        <v>Capex Items Category 5</v>
      </c>
      <c r="J117" s="81">
        <f t="shared" ref="J117:T117" si="17">J87+J97+J107</f>
        <v>0</v>
      </c>
      <c r="K117" s="81">
        <f t="shared" si="17"/>
        <v>0</v>
      </c>
      <c r="L117" s="81">
        <f t="shared" si="17"/>
        <v>0</v>
      </c>
      <c r="M117" s="81">
        <f t="shared" si="17"/>
        <v>0</v>
      </c>
      <c r="N117" s="81">
        <f t="shared" si="17"/>
        <v>491696.03074271942</v>
      </c>
      <c r="O117" s="81">
        <f t="shared" si="17"/>
        <v>258373.68843908614</v>
      </c>
      <c r="P117" s="81">
        <f t="shared" si="17"/>
        <v>47403.487973910072</v>
      </c>
      <c r="Q117" s="81">
        <f t="shared" si="17"/>
        <v>31808.09477001939</v>
      </c>
      <c r="R117" s="81">
        <f t="shared" si="17"/>
        <v>18945.749800519221</v>
      </c>
      <c r="S117" s="81">
        <f t="shared" si="17"/>
        <v>8886.3690110154803</v>
      </c>
      <c r="T117" s="81">
        <f t="shared" si="17"/>
        <v>1677.3568726936246</v>
      </c>
    </row>
    <row r="118" spans="2:20" ht="5.9" customHeight="1" outlineLevel="1"/>
    <row r="119" spans="2:20" outlineLevel="1">
      <c r="D119" s="249" t="str">
        <f>C111</f>
        <v>Total Direct Capex including Escalation (Non CPI)</v>
      </c>
      <c r="E119" s="249"/>
      <c r="F119" s="249"/>
      <c r="G119" s="249"/>
      <c r="H119" s="249"/>
      <c r="I119" s="249"/>
      <c r="J119" s="82">
        <f t="shared" ref="J119:T119" si="18">SUM(J113:J118)</f>
        <v>0</v>
      </c>
      <c r="K119" s="82">
        <f t="shared" si="18"/>
        <v>0</v>
      </c>
      <c r="L119" s="82">
        <f t="shared" si="18"/>
        <v>0</v>
      </c>
      <c r="M119" s="82">
        <f t="shared" si="18"/>
        <v>0</v>
      </c>
      <c r="N119" s="82">
        <f t="shared" si="18"/>
        <v>491696.03074271942</v>
      </c>
      <c r="O119" s="82">
        <f t="shared" si="18"/>
        <v>258373.68843908614</v>
      </c>
      <c r="P119" s="82">
        <f t="shared" si="18"/>
        <v>516851.41268671944</v>
      </c>
      <c r="Q119" s="82">
        <f t="shared" si="18"/>
        <v>413609.3569172906</v>
      </c>
      <c r="R119" s="82">
        <f t="shared" si="18"/>
        <v>310343.48339927621</v>
      </c>
      <c r="S119" s="82">
        <f t="shared" si="18"/>
        <v>206995.99799771339</v>
      </c>
      <c r="T119" s="82">
        <f t="shared" si="18"/>
        <v>103545.34852513502</v>
      </c>
    </row>
    <row r="120" spans="2:20" outlineLevel="1">
      <c r="B120" s="12"/>
      <c r="C120" s="12"/>
      <c r="D120" s="12"/>
      <c r="E120" s="12"/>
      <c r="F120" s="12"/>
      <c r="G120" s="12"/>
      <c r="H120" s="12"/>
      <c r="I120" s="12"/>
      <c r="J120" s="12"/>
      <c r="K120" s="12"/>
      <c r="L120" s="12"/>
      <c r="M120" s="12"/>
      <c r="N120" s="12"/>
      <c r="O120" s="12"/>
      <c r="P120" s="12"/>
      <c r="Q120" s="12"/>
      <c r="R120" s="12"/>
      <c r="S120" s="12"/>
      <c r="T120" s="12"/>
    </row>
    <row r="121" spans="2:20" outlineLevel="1"/>
    <row r="122" spans="2:20" s="41" customFormat="1" outlineLevel="1">
      <c r="C122" s="37" t="s">
        <v>195</v>
      </c>
    </row>
    <row r="123" spans="2:20" s="41" customFormat="1" ht="5.9" customHeight="1" outlineLevel="2">
      <c r="D123"/>
      <c r="E123"/>
    </row>
    <row r="124" spans="2:20" outlineLevel="2">
      <c r="D124" s="37" t="s">
        <v>215</v>
      </c>
    </row>
    <row r="125" spans="2:20" ht="5.9" customHeight="1" outlineLevel="2"/>
    <row r="126" spans="2:20" ht="11.5" customHeight="1" outlineLevel="2">
      <c r="E126" s="247" t="str">
        <f>GC!C40</f>
        <v>Transmission pipelines</v>
      </c>
      <c r="F126" s="247"/>
      <c r="G126" s="247"/>
      <c r="H126" s="247"/>
      <c r="I126" s="247"/>
      <c r="J126" s="81">
        <f ca="1">SUMPRODUCT((Work_Codes!$N$35:$Y$35=$E126)*(Work_Codes!$N$38:$Y$42)*(J$113:J$117))</f>
        <v>0</v>
      </c>
      <c r="K126" s="81">
        <f ca="1">SUMPRODUCT((Work_Codes!$N$35:$Y$35=$E126)*(Work_Codes!$N$38:$Y$42)*(K$113:K$117))</f>
        <v>0</v>
      </c>
      <c r="L126" s="81">
        <f ca="1">SUMPRODUCT((Work_Codes!$N$35:$Y$35=$E126)*(Work_Codes!$N$38:$Y$42)*(L$113:L$117))</f>
        <v>0</v>
      </c>
      <c r="M126" s="81">
        <f ca="1">SUMPRODUCT((Work_Codes!$N$35:$Y$35=$E126)*(Work_Codes!$N$38:$Y$42)*(M$113:M$117))</f>
        <v>0</v>
      </c>
      <c r="N126" s="81">
        <f ca="1">SUMPRODUCT((Work_Codes!$N$35:$Y$35=$E126)*(Work_Codes!$N$38:$Y$42)*(N$113:N$117))</f>
        <v>0</v>
      </c>
      <c r="O126" s="81">
        <f ca="1">SUMPRODUCT((Work_Codes!$N$35:$Y$35=$E126)*(Work_Codes!$N$38:$Y$42)*(O$113:O$117))</f>
        <v>0</v>
      </c>
      <c r="P126" s="81">
        <f ca="1">SUMPRODUCT((Work_Codes!$N$35:$Y$35=$E126)*(Work_Codes!$N$38:$Y$42)*(P$113:P$117))</f>
        <v>0</v>
      </c>
      <c r="Q126" s="81">
        <f ca="1">SUMPRODUCT((Work_Codes!$N$35:$Y$35=$E126)*(Work_Codes!$N$38:$Y$42)*(Q$113:Q$117))</f>
        <v>0</v>
      </c>
      <c r="R126" s="81">
        <f ca="1">SUMPRODUCT((Work_Codes!$N$35:$Y$35=$E126)*(Work_Codes!$N$38:$Y$42)*(R$113:R$117))</f>
        <v>0</v>
      </c>
      <c r="S126" s="81">
        <f ca="1">SUMPRODUCT((Work_Codes!$N$35:$Y$35=$E126)*(Work_Codes!$N$38:$Y$42)*(S$113:S$117))</f>
        <v>0</v>
      </c>
      <c r="T126" s="81">
        <f ca="1">SUMPRODUCT((Work_Codes!$N$35:$Y$35=$E126)*(Work_Codes!$N$38:$Y$42)*(T$113:T$117))</f>
        <v>0</v>
      </c>
    </row>
    <row r="127" spans="2:20" ht="11.5" customHeight="1" outlineLevel="2">
      <c r="E127" s="247" t="str">
        <f>GC!C41</f>
        <v>Distribution pipelines</v>
      </c>
      <c r="F127" s="247"/>
      <c r="G127" s="247"/>
      <c r="H127" s="247"/>
      <c r="I127" s="247"/>
      <c r="J127" s="81">
        <f ca="1">SUMPRODUCT((Work_Codes!$N$35:$Y$35=$E127)*(Work_Codes!$N$38:$Y$42)*(J$113:J$117))</f>
        <v>0</v>
      </c>
      <c r="K127" s="81">
        <f ca="1">SUMPRODUCT((Work_Codes!$N$35:$Y$35=$E127)*(Work_Codes!$N$38:$Y$42)*(K$113:K$117))</f>
        <v>0</v>
      </c>
      <c r="L127" s="81">
        <f ca="1">SUMPRODUCT((Work_Codes!$N$35:$Y$35=$E127)*(Work_Codes!$N$38:$Y$42)*(L$113:L$117))</f>
        <v>0</v>
      </c>
      <c r="M127" s="81">
        <f ca="1">SUMPRODUCT((Work_Codes!$N$35:$Y$35=$E127)*(Work_Codes!$N$38:$Y$42)*(M$113:M$117))</f>
        <v>0</v>
      </c>
      <c r="N127" s="81">
        <f ca="1">SUMPRODUCT((Work_Codes!$N$35:$Y$35=$E127)*(Work_Codes!$N$38:$Y$42)*(N$113:N$117))</f>
        <v>0</v>
      </c>
      <c r="O127" s="81">
        <f ca="1">SUMPRODUCT((Work_Codes!$N$35:$Y$35=$E127)*(Work_Codes!$N$38:$Y$42)*(O$113:O$117))</f>
        <v>0</v>
      </c>
      <c r="P127" s="81">
        <f ca="1">SUMPRODUCT((Work_Codes!$N$35:$Y$35=$E127)*(Work_Codes!$N$38:$Y$42)*(P$113:P$117))</f>
        <v>0</v>
      </c>
      <c r="Q127" s="81">
        <f ca="1">SUMPRODUCT((Work_Codes!$N$35:$Y$35=$E127)*(Work_Codes!$N$38:$Y$42)*(Q$113:Q$117))</f>
        <v>0</v>
      </c>
      <c r="R127" s="81">
        <f ca="1">SUMPRODUCT((Work_Codes!$N$35:$Y$35=$E127)*(Work_Codes!$N$38:$Y$42)*(R$113:R$117))</f>
        <v>0</v>
      </c>
      <c r="S127" s="81">
        <f ca="1">SUMPRODUCT((Work_Codes!$N$35:$Y$35=$E127)*(Work_Codes!$N$38:$Y$42)*(S$113:S$117))</f>
        <v>0</v>
      </c>
      <c r="T127" s="81">
        <f ca="1">SUMPRODUCT((Work_Codes!$N$35:$Y$35=$E127)*(Work_Codes!$N$38:$Y$42)*(T$113:T$117))</f>
        <v>0</v>
      </c>
    </row>
    <row r="128" spans="2:20" ht="11.5" customHeight="1" outlineLevel="2">
      <c r="E128" s="247" t="str">
        <f>GC!C42</f>
        <v>Service pipes</v>
      </c>
      <c r="F128" s="247"/>
      <c r="G128" s="247"/>
      <c r="H128" s="247"/>
      <c r="I128" s="247"/>
      <c r="J128" s="81">
        <f ca="1">SUMPRODUCT((Work_Codes!$N$35:$Y$35=$E128)*(Work_Codes!$N$38:$Y$42)*(J$113:J$117))</f>
        <v>0</v>
      </c>
      <c r="K128" s="81">
        <f ca="1">SUMPRODUCT((Work_Codes!$N$35:$Y$35=$E128)*(Work_Codes!$N$38:$Y$42)*(K$113:K$117))</f>
        <v>0</v>
      </c>
      <c r="L128" s="81">
        <f ca="1">SUMPRODUCT((Work_Codes!$N$35:$Y$35=$E128)*(Work_Codes!$N$38:$Y$42)*(L$113:L$117))</f>
        <v>0</v>
      </c>
      <c r="M128" s="81">
        <f ca="1">SUMPRODUCT((Work_Codes!$N$35:$Y$35=$E128)*(Work_Codes!$N$38:$Y$42)*(M$113:M$117))</f>
        <v>0</v>
      </c>
      <c r="N128" s="81">
        <f ca="1">SUMPRODUCT((Work_Codes!$N$35:$Y$35=$E128)*(Work_Codes!$N$38:$Y$42)*(N$113:N$117))</f>
        <v>0</v>
      </c>
      <c r="O128" s="81">
        <f ca="1">SUMPRODUCT((Work_Codes!$N$35:$Y$35=$E128)*(Work_Codes!$N$38:$Y$42)*(O$113:O$117))</f>
        <v>0</v>
      </c>
      <c r="P128" s="81">
        <f ca="1">SUMPRODUCT((Work_Codes!$N$35:$Y$35=$E128)*(Work_Codes!$N$38:$Y$42)*(P$113:P$117))</f>
        <v>0</v>
      </c>
      <c r="Q128" s="81">
        <f ca="1">SUMPRODUCT((Work_Codes!$N$35:$Y$35=$E128)*(Work_Codes!$N$38:$Y$42)*(Q$113:Q$117))</f>
        <v>0</v>
      </c>
      <c r="R128" s="81">
        <f ca="1">SUMPRODUCT((Work_Codes!$N$35:$Y$35=$E128)*(Work_Codes!$N$38:$Y$42)*(R$113:R$117))</f>
        <v>0</v>
      </c>
      <c r="S128" s="81">
        <f ca="1">SUMPRODUCT((Work_Codes!$N$35:$Y$35=$E128)*(Work_Codes!$N$38:$Y$42)*(S$113:S$117))</f>
        <v>0</v>
      </c>
      <c r="T128" s="81">
        <f ca="1">SUMPRODUCT((Work_Codes!$N$35:$Y$35=$E128)*(Work_Codes!$N$38:$Y$42)*(T$113:T$117))</f>
        <v>0</v>
      </c>
    </row>
    <row r="129" spans="4:20" ht="11.5" customHeight="1" outlineLevel="2">
      <c r="E129" s="247" t="str">
        <f>GC!C43</f>
        <v>Cathodic protection</v>
      </c>
      <c r="F129" s="247"/>
      <c r="G129" s="247"/>
      <c r="H129" s="247"/>
      <c r="I129" s="247"/>
      <c r="J129" s="81">
        <f ca="1">SUMPRODUCT((Work_Codes!$N$35:$Y$35=$E129)*(Work_Codes!$N$38:$Y$42)*(J$113:J$117))</f>
        <v>0</v>
      </c>
      <c r="K129" s="81">
        <f ca="1">SUMPRODUCT((Work_Codes!$N$35:$Y$35=$E129)*(Work_Codes!$N$38:$Y$42)*(K$113:K$117))</f>
        <v>0</v>
      </c>
      <c r="L129" s="81">
        <f ca="1">SUMPRODUCT((Work_Codes!$N$35:$Y$35=$E129)*(Work_Codes!$N$38:$Y$42)*(L$113:L$117))</f>
        <v>0</v>
      </c>
      <c r="M129" s="81">
        <f ca="1">SUMPRODUCT((Work_Codes!$N$35:$Y$35=$E129)*(Work_Codes!$N$38:$Y$42)*(M$113:M$117))</f>
        <v>0</v>
      </c>
      <c r="N129" s="81">
        <f ca="1">SUMPRODUCT((Work_Codes!$N$35:$Y$35=$E129)*(Work_Codes!$N$38:$Y$42)*(N$113:N$117))</f>
        <v>0</v>
      </c>
      <c r="O129" s="81">
        <f ca="1">SUMPRODUCT((Work_Codes!$N$35:$Y$35=$E129)*(Work_Codes!$N$38:$Y$42)*(O$113:O$117))</f>
        <v>0</v>
      </c>
      <c r="P129" s="81">
        <f ca="1">SUMPRODUCT((Work_Codes!$N$35:$Y$35=$E129)*(Work_Codes!$N$38:$Y$42)*(P$113:P$117))</f>
        <v>0</v>
      </c>
      <c r="Q129" s="81">
        <f ca="1">SUMPRODUCT((Work_Codes!$N$35:$Y$35=$E129)*(Work_Codes!$N$38:$Y$42)*(Q$113:Q$117))</f>
        <v>0</v>
      </c>
      <c r="R129" s="81">
        <f ca="1">SUMPRODUCT((Work_Codes!$N$35:$Y$35=$E129)*(Work_Codes!$N$38:$Y$42)*(R$113:R$117))</f>
        <v>0</v>
      </c>
      <c r="S129" s="81">
        <f ca="1">SUMPRODUCT((Work_Codes!$N$35:$Y$35=$E129)*(Work_Codes!$N$38:$Y$42)*(S$113:S$117))</f>
        <v>0</v>
      </c>
      <c r="T129" s="81">
        <f ca="1">SUMPRODUCT((Work_Codes!$N$35:$Y$35=$E129)*(Work_Codes!$N$38:$Y$42)*(T$113:T$117))</f>
        <v>0</v>
      </c>
    </row>
    <row r="130" spans="4:20" ht="11.5" customHeight="1" outlineLevel="2">
      <c r="E130" s="247" t="str">
        <f>GC!C44</f>
        <v>Supply Regulators / Valve Stations</v>
      </c>
      <c r="F130" s="247"/>
      <c r="G130" s="247"/>
      <c r="H130" s="247"/>
      <c r="I130" s="247"/>
      <c r="J130" s="81">
        <f ca="1">SUMPRODUCT((Work_Codes!$N$35:$Y$35=$E130)*(Work_Codes!$N$38:$Y$42)*(J$113:J$117))</f>
        <v>0</v>
      </c>
      <c r="K130" s="81">
        <f ca="1">SUMPRODUCT((Work_Codes!$N$35:$Y$35=$E130)*(Work_Codes!$N$38:$Y$42)*(K$113:K$117))</f>
        <v>0</v>
      </c>
      <c r="L130" s="81">
        <f ca="1">SUMPRODUCT((Work_Codes!$N$35:$Y$35=$E130)*(Work_Codes!$N$38:$Y$42)*(L$113:L$117))</f>
        <v>0</v>
      </c>
      <c r="M130" s="81">
        <f ca="1">SUMPRODUCT((Work_Codes!$N$35:$Y$35=$E130)*(Work_Codes!$N$38:$Y$42)*(M$113:M$117))</f>
        <v>0</v>
      </c>
      <c r="N130" s="81">
        <f ca="1">SUMPRODUCT((Work_Codes!$N$35:$Y$35=$E130)*(Work_Codes!$N$38:$Y$42)*(N$113:N$117))</f>
        <v>0</v>
      </c>
      <c r="O130" s="81">
        <f ca="1">SUMPRODUCT((Work_Codes!$N$35:$Y$35=$E130)*(Work_Codes!$N$38:$Y$42)*(O$113:O$117))</f>
        <v>0</v>
      </c>
      <c r="P130" s="81">
        <f ca="1">SUMPRODUCT((Work_Codes!$N$35:$Y$35=$E130)*(Work_Codes!$N$38:$Y$42)*(P$113:P$117))</f>
        <v>0</v>
      </c>
      <c r="Q130" s="81">
        <f ca="1">SUMPRODUCT((Work_Codes!$N$35:$Y$35=$E130)*(Work_Codes!$N$38:$Y$42)*(Q$113:Q$117))</f>
        <v>0</v>
      </c>
      <c r="R130" s="81">
        <f ca="1">SUMPRODUCT((Work_Codes!$N$35:$Y$35=$E130)*(Work_Codes!$N$38:$Y$42)*(R$113:R$117))</f>
        <v>0</v>
      </c>
      <c r="S130" s="81">
        <f ca="1">SUMPRODUCT((Work_Codes!$N$35:$Y$35=$E130)*(Work_Codes!$N$38:$Y$42)*(S$113:S$117))</f>
        <v>0</v>
      </c>
      <c r="T130" s="81">
        <f ca="1">SUMPRODUCT((Work_Codes!$N$35:$Y$35=$E130)*(Work_Codes!$N$38:$Y$42)*(T$113:T$117))</f>
        <v>0</v>
      </c>
    </row>
    <row r="131" spans="4:20" ht="11.5" customHeight="1" outlineLevel="2">
      <c r="E131" s="247" t="str">
        <f>GC!C45</f>
        <v>Meters</v>
      </c>
      <c r="F131" s="247"/>
      <c r="G131" s="247"/>
      <c r="H131" s="247"/>
      <c r="I131" s="247"/>
      <c r="J131" s="81">
        <f ca="1">SUMPRODUCT((Work_Codes!$N$35:$Y$35=$E131)*(Work_Codes!$N$38:$Y$42)*(J$113:J$117))</f>
        <v>0</v>
      </c>
      <c r="K131" s="81">
        <f ca="1">SUMPRODUCT((Work_Codes!$N$35:$Y$35=$E131)*(Work_Codes!$N$38:$Y$42)*(K$113:K$117))</f>
        <v>0</v>
      </c>
      <c r="L131" s="81">
        <f ca="1">SUMPRODUCT((Work_Codes!$N$35:$Y$35=$E131)*(Work_Codes!$N$38:$Y$42)*(L$113:L$117))</f>
        <v>0</v>
      </c>
      <c r="M131" s="81">
        <f ca="1">SUMPRODUCT((Work_Codes!$N$35:$Y$35=$E131)*(Work_Codes!$N$38:$Y$42)*(M$113:M$117))</f>
        <v>0</v>
      </c>
      <c r="N131" s="81">
        <f ca="1">SUMPRODUCT((Work_Codes!$N$35:$Y$35=$E131)*(Work_Codes!$N$38:$Y$42)*(N$113:N$117))</f>
        <v>0</v>
      </c>
      <c r="O131" s="81">
        <f ca="1">SUMPRODUCT((Work_Codes!$N$35:$Y$35=$E131)*(Work_Codes!$N$38:$Y$42)*(O$113:O$117))</f>
        <v>0</v>
      </c>
      <c r="P131" s="81">
        <f ca="1">SUMPRODUCT((Work_Codes!$N$35:$Y$35=$E131)*(Work_Codes!$N$38:$Y$42)*(P$113:P$117))</f>
        <v>0</v>
      </c>
      <c r="Q131" s="81">
        <f ca="1">SUMPRODUCT((Work_Codes!$N$35:$Y$35=$E131)*(Work_Codes!$N$38:$Y$42)*(Q$113:Q$117))</f>
        <v>0</v>
      </c>
      <c r="R131" s="81">
        <f ca="1">SUMPRODUCT((Work_Codes!$N$35:$Y$35=$E131)*(Work_Codes!$N$38:$Y$42)*(R$113:R$117))</f>
        <v>0</v>
      </c>
      <c r="S131" s="81">
        <f ca="1">SUMPRODUCT((Work_Codes!$N$35:$Y$35=$E131)*(Work_Codes!$N$38:$Y$42)*(S$113:S$117))</f>
        <v>0</v>
      </c>
      <c r="T131" s="81">
        <f ca="1">SUMPRODUCT((Work_Codes!$N$35:$Y$35=$E131)*(Work_Codes!$N$38:$Y$42)*(T$113:T$117))</f>
        <v>0</v>
      </c>
    </row>
    <row r="132" spans="4:20" ht="11.5" customHeight="1" outlineLevel="2">
      <c r="E132" s="247" t="str">
        <f>GC!C46</f>
        <v>SCADA and remote control</v>
      </c>
      <c r="F132" s="247"/>
      <c r="G132" s="247"/>
      <c r="H132" s="247"/>
      <c r="I132" s="247"/>
      <c r="J132" s="81">
        <f ca="1">SUMPRODUCT((Work_Codes!$N$35:$Y$35=$E132)*(Work_Codes!$N$38:$Y$42)*(J$113:J$117))</f>
        <v>0</v>
      </c>
      <c r="K132" s="81">
        <f ca="1">SUMPRODUCT((Work_Codes!$N$35:$Y$35=$E132)*(Work_Codes!$N$38:$Y$42)*(K$113:K$117))</f>
        <v>0</v>
      </c>
      <c r="L132" s="81">
        <f ca="1">SUMPRODUCT((Work_Codes!$N$35:$Y$35=$E132)*(Work_Codes!$N$38:$Y$42)*(L$113:L$117))</f>
        <v>0</v>
      </c>
      <c r="M132" s="81">
        <f ca="1">SUMPRODUCT((Work_Codes!$N$35:$Y$35=$E132)*(Work_Codes!$N$38:$Y$42)*(M$113:M$117))</f>
        <v>0</v>
      </c>
      <c r="N132" s="81">
        <f ca="1">SUMPRODUCT((Work_Codes!$N$35:$Y$35=$E132)*(Work_Codes!$N$38:$Y$42)*(N$113:N$117))</f>
        <v>0</v>
      </c>
      <c r="O132" s="81">
        <f ca="1">SUMPRODUCT((Work_Codes!$N$35:$Y$35=$E132)*(Work_Codes!$N$38:$Y$42)*(O$113:O$117))</f>
        <v>0</v>
      </c>
      <c r="P132" s="81">
        <f ca="1">SUMPRODUCT((Work_Codes!$N$35:$Y$35=$E132)*(Work_Codes!$N$38:$Y$42)*(P$113:P$117))</f>
        <v>0</v>
      </c>
      <c r="Q132" s="81">
        <f ca="1">SUMPRODUCT((Work_Codes!$N$35:$Y$35=$E132)*(Work_Codes!$N$38:$Y$42)*(Q$113:Q$117))</f>
        <v>0</v>
      </c>
      <c r="R132" s="81">
        <f ca="1">SUMPRODUCT((Work_Codes!$N$35:$Y$35=$E132)*(Work_Codes!$N$38:$Y$42)*(R$113:R$117))</f>
        <v>0</v>
      </c>
      <c r="S132" s="81">
        <f ca="1">SUMPRODUCT((Work_Codes!$N$35:$Y$35=$E132)*(Work_Codes!$N$38:$Y$42)*(S$113:S$117))</f>
        <v>0</v>
      </c>
      <c r="T132" s="81">
        <f ca="1">SUMPRODUCT((Work_Codes!$N$35:$Y$35=$E132)*(Work_Codes!$N$38:$Y$42)*(T$113:T$117))</f>
        <v>0</v>
      </c>
    </row>
    <row r="133" spans="4:20" ht="11.5" customHeight="1" outlineLevel="2">
      <c r="E133" s="247" t="str">
        <f>GC!C47</f>
        <v>Buildings</v>
      </c>
      <c r="F133" s="247"/>
      <c r="G133" s="247"/>
      <c r="H133" s="247"/>
      <c r="I133" s="247"/>
      <c r="J133" s="81">
        <f ca="1">SUMPRODUCT((Work_Codes!$N$35:$Y$35=$E133)*(Work_Codes!$N$38:$Y$42)*(J$113:J$117))</f>
        <v>0</v>
      </c>
      <c r="K133" s="81">
        <f ca="1">SUMPRODUCT((Work_Codes!$N$35:$Y$35=$E133)*(Work_Codes!$N$38:$Y$42)*(K$113:K$117))</f>
        <v>0</v>
      </c>
      <c r="L133" s="81">
        <f ca="1">SUMPRODUCT((Work_Codes!$N$35:$Y$35=$E133)*(Work_Codes!$N$38:$Y$42)*(L$113:L$117))</f>
        <v>0</v>
      </c>
      <c r="M133" s="81">
        <f ca="1">SUMPRODUCT((Work_Codes!$N$35:$Y$35=$E133)*(Work_Codes!$N$38:$Y$42)*(M$113:M$117))</f>
        <v>0</v>
      </c>
      <c r="N133" s="81">
        <f ca="1">SUMPRODUCT((Work_Codes!$N$35:$Y$35=$E133)*(Work_Codes!$N$38:$Y$42)*(N$113:N$117))</f>
        <v>0</v>
      </c>
      <c r="O133" s="81">
        <f ca="1">SUMPRODUCT((Work_Codes!$N$35:$Y$35=$E133)*(Work_Codes!$N$38:$Y$42)*(O$113:O$117))</f>
        <v>0</v>
      </c>
      <c r="P133" s="81">
        <f ca="1">SUMPRODUCT((Work_Codes!$N$35:$Y$35=$E133)*(Work_Codes!$N$38:$Y$42)*(P$113:P$117))</f>
        <v>0</v>
      </c>
      <c r="Q133" s="81">
        <f ca="1">SUMPRODUCT((Work_Codes!$N$35:$Y$35=$E133)*(Work_Codes!$N$38:$Y$42)*(Q$113:Q$117))</f>
        <v>0</v>
      </c>
      <c r="R133" s="81">
        <f ca="1">SUMPRODUCT((Work_Codes!$N$35:$Y$35=$E133)*(Work_Codes!$N$38:$Y$42)*(R$113:R$117))</f>
        <v>0</v>
      </c>
      <c r="S133" s="81">
        <f ca="1">SUMPRODUCT((Work_Codes!$N$35:$Y$35=$E133)*(Work_Codes!$N$38:$Y$42)*(S$113:S$117))</f>
        <v>0</v>
      </c>
      <c r="T133" s="81">
        <f ca="1">SUMPRODUCT((Work_Codes!$N$35:$Y$35=$E133)*(Work_Codes!$N$38:$Y$42)*(T$113:T$117))</f>
        <v>0</v>
      </c>
    </row>
    <row r="134" spans="4:20" ht="11.5" customHeight="1" outlineLevel="2">
      <c r="E134" s="247" t="str">
        <f>GC!C48</f>
        <v>Other - IT</v>
      </c>
      <c r="F134" s="247"/>
      <c r="G134" s="247"/>
      <c r="H134" s="247"/>
      <c r="I134" s="247"/>
      <c r="J134" s="81">
        <f ca="1">SUMPRODUCT((Work_Codes!$N$35:$Y$35=$E134)*(Work_Codes!$N$38:$Y$42)*(J$113:J$117))</f>
        <v>0</v>
      </c>
      <c r="K134" s="81">
        <f ca="1">SUMPRODUCT((Work_Codes!$N$35:$Y$35=$E134)*(Work_Codes!$N$38:$Y$42)*(K$113:K$117))</f>
        <v>0</v>
      </c>
      <c r="L134" s="81">
        <f ca="1">SUMPRODUCT((Work_Codes!$N$35:$Y$35=$E134)*(Work_Codes!$N$38:$Y$42)*(L$113:L$117))</f>
        <v>0</v>
      </c>
      <c r="M134" s="81">
        <f ca="1">SUMPRODUCT((Work_Codes!$N$35:$Y$35=$E134)*(Work_Codes!$N$38:$Y$42)*(M$113:M$117))</f>
        <v>0</v>
      </c>
      <c r="N134" s="81">
        <f ca="1">SUMPRODUCT((Work_Codes!$N$35:$Y$35=$E134)*(Work_Codes!$N$38:$Y$42)*(N$113:N$117))</f>
        <v>0</v>
      </c>
      <c r="O134" s="81">
        <f ca="1">SUMPRODUCT((Work_Codes!$N$35:$Y$35=$E134)*(Work_Codes!$N$38:$Y$42)*(O$113:O$117))</f>
        <v>0</v>
      </c>
      <c r="P134" s="81">
        <f ca="1">SUMPRODUCT((Work_Codes!$N$35:$Y$35=$E134)*(Work_Codes!$N$38:$Y$42)*(P$113:P$117))</f>
        <v>0</v>
      </c>
      <c r="Q134" s="81">
        <f ca="1">SUMPRODUCT((Work_Codes!$N$35:$Y$35=$E134)*(Work_Codes!$N$38:$Y$42)*(Q$113:Q$117))</f>
        <v>0</v>
      </c>
      <c r="R134" s="81">
        <f ca="1">SUMPRODUCT((Work_Codes!$N$35:$Y$35=$E134)*(Work_Codes!$N$38:$Y$42)*(R$113:R$117))</f>
        <v>0</v>
      </c>
      <c r="S134" s="81">
        <f ca="1">SUMPRODUCT((Work_Codes!$N$35:$Y$35=$E134)*(Work_Codes!$N$38:$Y$42)*(S$113:S$117))</f>
        <v>0</v>
      </c>
      <c r="T134" s="81">
        <f ca="1">SUMPRODUCT((Work_Codes!$N$35:$Y$35=$E134)*(Work_Codes!$N$38:$Y$42)*(T$113:T$117))</f>
        <v>0</v>
      </c>
    </row>
    <row r="135" spans="4:20" ht="11.5" customHeight="1" outlineLevel="2">
      <c r="E135" s="247" t="str">
        <f>GC!C49</f>
        <v>Other - non IT</v>
      </c>
      <c r="F135" s="247"/>
      <c r="G135" s="247"/>
      <c r="H135" s="247"/>
      <c r="I135" s="247"/>
      <c r="J135" s="81">
        <f ca="1">SUMPRODUCT((Work_Codes!$N$35:$Y$35=$E135)*(Work_Codes!$N$38:$Y$42)*(J$113:J$117))</f>
        <v>0</v>
      </c>
      <c r="K135" s="81">
        <f ca="1">SUMPRODUCT((Work_Codes!$N$35:$Y$35=$E135)*(Work_Codes!$N$38:$Y$42)*(K$113:K$117))</f>
        <v>0</v>
      </c>
      <c r="L135" s="81">
        <f ca="1">SUMPRODUCT((Work_Codes!$N$35:$Y$35=$E135)*(Work_Codes!$N$38:$Y$42)*(L$113:L$117))</f>
        <v>0</v>
      </c>
      <c r="M135" s="81">
        <f ca="1">SUMPRODUCT((Work_Codes!$N$35:$Y$35=$E135)*(Work_Codes!$N$38:$Y$42)*(M$113:M$117))</f>
        <v>0</v>
      </c>
      <c r="N135" s="81">
        <f ca="1">SUMPRODUCT((Work_Codes!$N$35:$Y$35=$E135)*(Work_Codes!$N$38:$Y$42)*(N$113:N$117))</f>
        <v>0</v>
      </c>
      <c r="O135" s="81">
        <f ca="1">SUMPRODUCT((Work_Codes!$N$35:$Y$35=$E135)*(Work_Codes!$N$38:$Y$42)*(O$113:O$117))</f>
        <v>0</v>
      </c>
      <c r="P135" s="81">
        <f ca="1">SUMPRODUCT((Work_Codes!$N$35:$Y$35=$E135)*(Work_Codes!$N$38:$Y$42)*(P$113:P$117))</f>
        <v>0</v>
      </c>
      <c r="Q135" s="81">
        <f ca="1">SUMPRODUCT((Work_Codes!$N$35:$Y$35=$E135)*(Work_Codes!$N$38:$Y$42)*(Q$113:Q$117))</f>
        <v>0</v>
      </c>
      <c r="R135" s="81">
        <f ca="1">SUMPRODUCT((Work_Codes!$N$35:$Y$35=$E135)*(Work_Codes!$N$38:$Y$42)*(R$113:R$117))</f>
        <v>0</v>
      </c>
      <c r="S135" s="81">
        <f ca="1">SUMPRODUCT((Work_Codes!$N$35:$Y$35=$E135)*(Work_Codes!$N$38:$Y$42)*(S$113:S$117))</f>
        <v>0</v>
      </c>
      <c r="T135" s="81">
        <f ca="1">SUMPRODUCT((Work_Codes!$N$35:$Y$35=$E135)*(Work_Codes!$N$38:$Y$42)*(T$113:T$117))</f>
        <v>0</v>
      </c>
    </row>
    <row r="136" spans="4:20" ht="11.5" customHeight="1" outlineLevel="2">
      <c r="E136" s="247" t="str">
        <f>GC!C50</f>
        <v>Land</v>
      </c>
      <c r="F136" s="247"/>
      <c r="G136" s="247"/>
      <c r="H136" s="247"/>
      <c r="I136" s="247"/>
      <c r="J136" s="81">
        <f ca="1">SUMPRODUCT((Work_Codes!$N$35:$Y$35=$E136)*(Work_Codes!$N$38:$Y$42)*(J$113:J$117))</f>
        <v>0</v>
      </c>
      <c r="K136" s="81">
        <f ca="1">SUMPRODUCT((Work_Codes!$N$35:$Y$35=$E136)*(Work_Codes!$N$38:$Y$42)*(K$113:K$117))</f>
        <v>0</v>
      </c>
      <c r="L136" s="81">
        <f ca="1">SUMPRODUCT((Work_Codes!$N$35:$Y$35=$E136)*(Work_Codes!$N$38:$Y$42)*(L$113:L$117))</f>
        <v>0</v>
      </c>
      <c r="M136" s="81">
        <f ca="1">SUMPRODUCT((Work_Codes!$N$35:$Y$35=$E136)*(Work_Codes!$N$38:$Y$42)*(M$113:M$117))</f>
        <v>0</v>
      </c>
      <c r="N136" s="81">
        <f ca="1">SUMPRODUCT((Work_Codes!$N$35:$Y$35=$E136)*(Work_Codes!$N$38:$Y$42)*(N$113:N$117))</f>
        <v>0</v>
      </c>
      <c r="O136" s="81">
        <f ca="1">SUMPRODUCT((Work_Codes!$N$35:$Y$35=$E136)*(Work_Codes!$N$38:$Y$42)*(O$113:O$117))</f>
        <v>0</v>
      </c>
      <c r="P136" s="81">
        <f ca="1">SUMPRODUCT((Work_Codes!$N$35:$Y$35=$E136)*(Work_Codes!$N$38:$Y$42)*(P$113:P$117))</f>
        <v>0</v>
      </c>
      <c r="Q136" s="81">
        <f ca="1">SUMPRODUCT((Work_Codes!$N$35:$Y$35=$E136)*(Work_Codes!$N$38:$Y$42)*(Q$113:Q$117))</f>
        <v>0</v>
      </c>
      <c r="R136" s="81">
        <f ca="1">SUMPRODUCT((Work_Codes!$N$35:$Y$35=$E136)*(Work_Codes!$N$38:$Y$42)*(R$113:R$117))</f>
        <v>0</v>
      </c>
      <c r="S136" s="81">
        <f ca="1">SUMPRODUCT((Work_Codes!$N$35:$Y$35=$E136)*(Work_Codes!$N$38:$Y$42)*(S$113:S$117))</f>
        <v>0</v>
      </c>
      <c r="T136" s="81">
        <f ca="1">SUMPRODUCT((Work_Codes!$N$35:$Y$35=$E136)*(Work_Codes!$N$38:$Y$42)*(T$113:T$117))</f>
        <v>0</v>
      </c>
    </row>
    <row r="137" spans="4:20" outlineLevel="2">
      <c r="E137" s="247" t="str">
        <f>GC!C51</f>
        <v>Capitalised Leases</v>
      </c>
      <c r="F137" s="247"/>
      <c r="G137" s="247"/>
      <c r="H137" s="247"/>
      <c r="I137" s="247"/>
      <c r="J137" s="81">
        <f ca="1">SUMPRODUCT((Work_Codes!$N$35:$Y$35=$E137)*(Work_Codes!$N$38:$Y$42)*(J$113:J$117))</f>
        <v>0</v>
      </c>
      <c r="K137" s="81">
        <f ca="1">SUMPRODUCT((Work_Codes!$N$35:$Y$35=$E137)*(Work_Codes!$N$38:$Y$42)*(K$113:K$117))</f>
        <v>0</v>
      </c>
      <c r="L137" s="81">
        <f ca="1">SUMPRODUCT((Work_Codes!$N$35:$Y$35=$E137)*(Work_Codes!$N$38:$Y$42)*(L$113:L$117))</f>
        <v>0</v>
      </c>
      <c r="M137" s="81">
        <f ca="1">SUMPRODUCT((Work_Codes!$N$35:$Y$35=$E137)*(Work_Codes!$N$38:$Y$42)*(M$113:M$117))</f>
        <v>0</v>
      </c>
      <c r="N137" s="81">
        <f ca="1">SUMPRODUCT((Work_Codes!$N$35:$Y$35=$E137)*(Work_Codes!$N$38:$Y$42)*(N$113:N$117))</f>
        <v>0</v>
      </c>
      <c r="O137" s="81">
        <f ca="1">SUMPRODUCT((Work_Codes!$N$35:$Y$35=$E137)*(Work_Codes!$N$38:$Y$42)*(O$113:O$117))</f>
        <v>0</v>
      </c>
      <c r="P137" s="81">
        <f ca="1">SUMPRODUCT((Work_Codes!$N$35:$Y$35=$E137)*(Work_Codes!$N$38:$Y$42)*(P$113:P$117))</f>
        <v>0</v>
      </c>
      <c r="Q137" s="81">
        <f ca="1">SUMPRODUCT((Work_Codes!$N$35:$Y$35=$E137)*(Work_Codes!$N$38:$Y$42)*(Q$113:Q$117))</f>
        <v>0</v>
      </c>
      <c r="R137" s="81">
        <f ca="1">SUMPRODUCT((Work_Codes!$N$35:$Y$35=$E137)*(Work_Codes!$N$38:$Y$42)*(R$113:R$117))</f>
        <v>0</v>
      </c>
      <c r="S137" s="81">
        <f ca="1">SUMPRODUCT((Work_Codes!$N$35:$Y$35=$E137)*(Work_Codes!$N$38:$Y$42)*(S$113:S$117))</f>
        <v>0</v>
      </c>
      <c r="T137" s="81">
        <f ca="1">SUMPRODUCT((Work_Codes!$N$35:$Y$35=$E137)*(Work_Codes!$N$38:$Y$42)*(T$113:T$117))</f>
        <v>0</v>
      </c>
    </row>
    <row r="138" spans="4:20" outlineLevel="2">
      <c r="E138" s="247" t="str">
        <f>GC!C52</f>
        <v>Transmission pipelines - post 1998</v>
      </c>
      <c r="F138" s="247"/>
      <c r="G138" s="247"/>
      <c r="H138" s="247"/>
      <c r="I138" s="247"/>
      <c r="J138" s="81">
        <f ca="1">SUMPRODUCT((Work_Codes!$N$35:$Y$35=$E138)*(Work_Codes!$N$38:$Y$42)*(J$113:J$117))</f>
        <v>0</v>
      </c>
      <c r="K138" s="81">
        <f ca="1">SUMPRODUCT((Work_Codes!$N$35:$Y$35=$E138)*(Work_Codes!$N$38:$Y$42)*(K$113:K$117))</f>
        <v>0</v>
      </c>
      <c r="L138" s="81">
        <f ca="1">SUMPRODUCT((Work_Codes!$N$35:$Y$35=$E138)*(Work_Codes!$N$38:$Y$42)*(L$113:L$117))</f>
        <v>0</v>
      </c>
      <c r="M138" s="81">
        <f ca="1">SUMPRODUCT((Work_Codes!$N$35:$Y$35=$E138)*(Work_Codes!$N$38:$Y$42)*(M$113:M$117))</f>
        <v>0</v>
      </c>
      <c r="N138" s="81">
        <f ca="1">SUMPRODUCT((Work_Codes!$N$35:$Y$35=$E138)*(Work_Codes!$N$38:$Y$42)*(N$113:N$117))</f>
        <v>0</v>
      </c>
      <c r="O138" s="81">
        <f ca="1">SUMPRODUCT((Work_Codes!$N$35:$Y$35=$E138)*(Work_Codes!$N$38:$Y$42)*(O$113:O$117))</f>
        <v>0</v>
      </c>
      <c r="P138" s="81">
        <f ca="1">SUMPRODUCT((Work_Codes!$N$35:$Y$35=$E138)*(Work_Codes!$N$38:$Y$42)*(P$113:P$117))</f>
        <v>0</v>
      </c>
      <c r="Q138" s="81">
        <f ca="1">SUMPRODUCT((Work_Codes!$N$35:$Y$35=$E138)*(Work_Codes!$N$38:$Y$42)*(Q$113:Q$117))</f>
        <v>0</v>
      </c>
      <c r="R138" s="81">
        <f ca="1">SUMPRODUCT((Work_Codes!$N$35:$Y$35=$E138)*(Work_Codes!$N$38:$Y$42)*(R$113:R$117))</f>
        <v>0</v>
      </c>
      <c r="S138" s="81">
        <f ca="1">SUMPRODUCT((Work_Codes!$N$35:$Y$35=$E138)*(Work_Codes!$N$38:$Y$42)*(S$113:S$117))</f>
        <v>0</v>
      </c>
      <c r="T138" s="81">
        <f ca="1">SUMPRODUCT((Work_Codes!$N$35:$Y$35=$E138)*(Work_Codes!$N$38:$Y$42)*(T$113:T$117))</f>
        <v>0</v>
      </c>
    </row>
    <row r="139" spans="4:20" outlineLevel="2">
      <c r="E139" s="247" t="str">
        <f>GC!C53</f>
        <v>Distribution pipelines - post 1998</v>
      </c>
      <c r="F139" s="247"/>
      <c r="G139" s="247"/>
      <c r="H139" s="247"/>
      <c r="I139" s="247"/>
      <c r="J139" s="81">
        <f ca="1">SUMPRODUCT((Work_Codes!$N$35:$Y$35=$E139)*(Work_Codes!$N$38:$Y$42)*(J$113:J$117))</f>
        <v>0</v>
      </c>
      <c r="K139" s="81">
        <f ca="1">SUMPRODUCT((Work_Codes!$N$35:$Y$35=$E139)*(Work_Codes!$N$38:$Y$42)*(K$113:K$117))</f>
        <v>0</v>
      </c>
      <c r="L139" s="81">
        <f ca="1">SUMPRODUCT((Work_Codes!$N$35:$Y$35=$E139)*(Work_Codes!$N$38:$Y$42)*(L$113:L$117))</f>
        <v>0</v>
      </c>
      <c r="M139" s="81">
        <f ca="1">SUMPRODUCT((Work_Codes!$N$35:$Y$35=$E139)*(Work_Codes!$N$38:$Y$42)*(M$113:M$117))</f>
        <v>0</v>
      </c>
      <c r="N139" s="81">
        <f ca="1">SUMPRODUCT((Work_Codes!$N$35:$Y$35=$E139)*(Work_Codes!$N$38:$Y$42)*(N$113:N$117))</f>
        <v>245848.01537135971</v>
      </c>
      <c r="O139" s="81">
        <f ca="1">SUMPRODUCT((Work_Codes!$N$35:$Y$35=$E139)*(Work_Codes!$N$38:$Y$42)*(O$113:O$117))</f>
        <v>129186.84421954307</v>
      </c>
      <c r="P139" s="81">
        <f ca="1">SUMPRODUCT((Work_Codes!$N$35:$Y$35=$E139)*(Work_Codes!$N$38:$Y$42)*(P$113:P$117))</f>
        <v>300034.49369537033</v>
      </c>
      <c r="Q139" s="81">
        <f ca="1">SUMPRODUCT((Work_Codes!$N$35:$Y$35=$E139)*(Work_Codes!$N$38:$Y$42)*(Q$113:Q$117))</f>
        <v>240846.39938436355</v>
      </c>
      <c r="R139" s="81">
        <f ca="1">SUMPRODUCT((Work_Codes!$N$35:$Y$35=$E139)*(Work_Codes!$N$38:$Y$42)*(R$113:R$117))</f>
        <v>181408.26956484895</v>
      </c>
      <c r="S139" s="81">
        <f ca="1">SUMPRODUCT((Work_Codes!$N$35:$Y$35=$E139)*(Work_Codes!$N$38:$Y$42)*(S$113:S$117))</f>
        <v>121680.03501182231</v>
      </c>
      <c r="T139" s="81">
        <f ca="1">SUMPRODUCT((Work_Codes!$N$35:$Y$35=$E139)*(Work_Codes!$N$38:$Y$42)*(T$113:T$117))</f>
        <v>61644.958187718345</v>
      </c>
    </row>
    <row r="140" spans="4:20" outlineLevel="2">
      <c r="E140" s="247" t="str">
        <f>GC!C54</f>
        <v>Service pipes - post 1998</v>
      </c>
      <c r="F140" s="247"/>
      <c r="G140" s="247"/>
      <c r="H140" s="247"/>
      <c r="I140" s="247"/>
      <c r="J140" s="81">
        <f ca="1">SUMPRODUCT((Work_Codes!$N$35:$Y$35=$E140)*(Work_Codes!$N$38:$Y$42)*(J$113:J$117))</f>
        <v>0</v>
      </c>
      <c r="K140" s="81">
        <f ca="1">SUMPRODUCT((Work_Codes!$N$35:$Y$35=$E140)*(Work_Codes!$N$38:$Y$42)*(K$113:K$117))</f>
        <v>0</v>
      </c>
      <c r="L140" s="81">
        <f ca="1">SUMPRODUCT((Work_Codes!$N$35:$Y$35=$E140)*(Work_Codes!$N$38:$Y$42)*(L$113:L$117))</f>
        <v>0</v>
      </c>
      <c r="M140" s="81">
        <f ca="1">SUMPRODUCT((Work_Codes!$N$35:$Y$35=$E140)*(Work_Codes!$N$38:$Y$42)*(M$113:M$117))</f>
        <v>0</v>
      </c>
      <c r="N140" s="81">
        <f ca="1">SUMPRODUCT((Work_Codes!$N$35:$Y$35=$E140)*(Work_Codes!$N$38:$Y$42)*(N$113:N$117))</f>
        <v>245848.01537135971</v>
      </c>
      <c r="O140" s="81">
        <f ca="1">SUMPRODUCT((Work_Codes!$N$35:$Y$35=$E140)*(Work_Codes!$N$38:$Y$42)*(O$113:O$117))</f>
        <v>129186.84421954307</v>
      </c>
      <c r="P140" s="81">
        <f ca="1">SUMPRODUCT((Work_Codes!$N$35:$Y$35=$E140)*(Work_Codes!$N$38:$Y$42)*(P$113:P$117))</f>
        <v>216816.91899134911</v>
      </c>
      <c r="Q140" s="81">
        <f ca="1">SUMPRODUCT((Work_Codes!$N$35:$Y$35=$E140)*(Work_Codes!$N$38:$Y$42)*(Q$113:Q$117))</f>
        <v>172762.95753292704</v>
      </c>
      <c r="R140" s="81">
        <f ca="1">SUMPRODUCT((Work_Codes!$N$35:$Y$35=$E140)*(Work_Codes!$N$38:$Y$42)*(R$113:R$117))</f>
        <v>128935.2138344273</v>
      </c>
      <c r="S140" s="81">
        <f ca="1">SUMPRODUCT((Work_Codes!$N$35:$Y$35=$E140)*(Work_Codes!$N$38:$Y$42)*(S$113:S$117))</f>
        <v>85315.962985891078</v>
      </c>
      <c r="T140" s="81">
        <f ca="1">SUMPRODUCT((Work_Codes!$N$35:$Y$35=$E140)*(Work_Codes!$N$38:$Y$42)*(T$113:T$117))</f>
        <v>41900.390337416677</v>
      </c>
    </row>
    <row r="141" spans="4:20" outlineLevel="2">
      <c r="E141" s="247" t="str">
        <f>GC!C55</f>
        <v>Cathodic protection - post 1998</v>
      </c>
      <c r="F141" s="247"/>
      <c r="G141" s="247"/>
      <c r="H141" s="247"/>
      <c r="I141" s="247"/>
      <c r="J141" s="81">
        <f ca="1">SUMPRODUCT((Work_Codes!$N$35:$Y$35=$E141)*(Work_Codes!$N$38:$Y$42)*(J$113:J$117))</f>
        <v>0</v>
      </c>
      <c r="K141" s="81">
        <f ca="1">SUMPRODUCT((Work_Codes!$N$35:$Y$35=$E141)*(Work_Codes!$N$38:$Y$42)*(K$113:K$117))</f>
        <v>0</v>
      </c>
      <c r="L141" s="81">
        <f ca="1">SUMPRODUCT((Work_Codes!$N$35:$Y$35=$E141)*(Work_Codes!$N$38:$Y$42)*(L$113:L$117))</f>
        <v>0</v>
      </c>
      <c r="M141" s="81">
        <f ca="1">SUMPRODUCT((Work_Codes!$N$35:$Y$35=$E141)*(Work_Codes!$N$38:$Y$42)*(M$113:M$117))</f>
        <v>0</v>
      </c>
      <c r="N141" s="81">
        <f ca="1">SUMPRODUCT((Work_Codes!$N$35:$Y$35=$E141)*(Work_Codes!$N$38:$Y$42)*(N$113:N$117))</f>
        <v>0</v>
      </c>
      <c r="O141" s="81">
        <f ca="1">SUMPRODUCT((Work_Codes!$N$35:$Y$35=$E141)*(Work_Codes!$N$38:$Y$42)*(O$113:O$117))</f>
        <v>0</v>
      </c>
      <c r="P141" s="81">
        <f ca="1">SUMPRODUCT((Work_Codes!$N$35:$Y$35=$E141)*(Work_Codes!$N$38:$Y$42)*(P$113:P$117))</f>
        <v>0</v>
      </c>
      <c r="Q141" s="81">
        <f ca="1">SUMPRODUCT((Work_Codes!$N$35:$Y$35=$E141)*(Work_Codes!$N$38:$Y$42)*(Q$113:Q$117))</f>
        <v>0</v>
      </c>
      <c r="R141" s="81">
        <f ca="1">SUMPRODUCT((Work_Codes!$N$35:$Y$35=$E141)*(Work_Codes!$N$38:$Y$42)*(R$113:R$117))</f>
        <v>0</v>
      </c>
      <c r="S141" s="81">
        <f ca="1">SUMPRODUCT((Work_Codes!$N$35:$Y$35=$E141)*(Work_Codes!$N$38:$Y$42)*(S$113:S$117))</f>
        <v>0</v>
      </c>
      <c r="T141" s="81">
        <f ca="1">SUMPRODUCT((Work_Codes!$N$35:$Y$35=$E141)*(Work_Codes!$N$38:$Y$42)*(T$113:T$117))</f>
        <v>0</v>
      </c>
    </row>
    <row r="142" spans="4:20" ht="12" customHeight="1" outlineLevel="2">
      <c r="E142" s="249" t="str">
        <f>"Total "&amp;D124</f>
        <v>Total Direct Costs</v>
      </c>
      <c r="F142" s="249"/>
      <c r="G142" s="249"/>
      <c r="H142" s="249"/>
      <c r="I142" s="249"/>
      <c r="J142" s="82">
        <f t="shared" ref="J142:T142" ca="1" si="19">SUM(J126:J141)</f>
        <v>0</v>
      </c>
      <c r="K142" s="82">
        <f t="shared" ca="1" si="19"/>
        <v>0</v>
      </c>
      <c r="L142" s="82">
        <f t="shared" ca="1" si="19"/>
        <v>0</v>
      </c>
      <c r="M142" s="82">
        <f t="shared" ca="1" si="19"/>
        <v>0</v>
      </c>
      <c r="N142" s="82">
        <f t="shared" ca="1" si="19"/>
        <v>491696.03074271942</v>
      </c>
      <c r="O142" s="82">
        <f t="shared" ca="1" si="19"/>
        <v>258373.68843908614</v>
      </c>
      <c r="P142" s="82">
        <f t="shared" ca="1" si="19"/>
        <v>516851.41268671944</v>
      </c>
      <c r="Q142" s="82">
        <f t="shared" ca="1" si="19"/>
        <v>413609.3569172906</v>
      </c>
      <c r="R142" s="82">
        <f t="shared" ca="1" si="19"/>
        <v>310343.48339927627</v>
      </c>
      <c r="S142" s="82">
        <f t="shared" ca="1" si="19"/>
        <v>206995.99799771339</v>
      </c>
      <c r="T142" s="82">
        <f t="shared" ca="1" si="19"/>
        <v>103545.34852513502</v>
      </c>
    </row>
    <row r="143" spans="4:20" outlineLevel="2"/>
    <row r="144" spans="4:20" outlineLevel="2">
      <c r="D144" s="37" t="s">
        <v>364</v>
      </c>
    </row>
    <row r="145" spans="5:20" ht="5.9" customHeight="1" outlineLevel="2"/>
    <row r="146" spans="5:20" outlineLevel="2">
      <c r="E146" s="247" t="str">
        <f>GC!C40</f>
        <v>Transmission pipelines</v>
      </c>
      <c r="F146" s="247"/>
      <c r="G146" s="247"/>
      <c r="H146" s="247"/>
      <c r="I146" s="247"/>
      <c r="J146" s="81">
        <f ca="1">J126*(INDEX(J$35:J$37,MATCH(Work_Codes!$I$32,$D$35:$D$37,0)))</f>
        <v>0</v>
      </c>
      <c r="K146" s="81">
        <f ca="1">K126*(INDEX(K$35:K$37,MATCH(Work_Codes!$I$32,$D$35:$D$37,0)))</f>
        <v>0</v>
      </c>
      <c r="L146" s="81">
        <f ca="1">L126*(INDEX(L$35:L$37,MATCH(Work_Codes!$I$32,$D$35:$D$37,0)))</f>
        <v>0</v>
      </c>
      <c r="M146" s="81">
        <f ca="1">M126*(INDEX(M$35:M$37,MATCH(Work_Codes!$I$32,$D$35:$D$37,0)))</f>
        <v>0</v>
      </c>
      <c r="N146" s="81">
        <f ca="1">N126*(INDEX(N$35:N$37,MATCH(Work_Codes!$I$32,$D$35:$D$37,0)))</f>
        <v>0</v>
      </c>
      <c r="O146" s="81">
        <f ca="1">O126*(INDEX(O$35:O$37,MATCH(Work_Codes!$I$32,$D$35:$D$37,0)))</f>
        <v>0</v>
      </c>
      <c r="P146" s="81">
        <f ca="1">P126*(INDEX(P$35:P$37,MATCH(Work_Codes!$I$32,$D$35:$D$37,0)))</f>
        <v>0</v>
      </c>
      <c r="Q146" s="81">
        <f ca="1">Q126*(INDEX(Q$35:Q$37,MATCH(Work_Codes!$I$32,$D$35:$D$37,0)))</f>
        <v>0</v>
      </c>
      <c r="R146" s="81">
        <f ca="1">R126*(INDEX(R$35:R$37,MATCH(Work_Codes!$I$32,$D$35:$D$37,0)))</f>
        <v>0</v>
      </c>
      <c r="S146" s="81">
        <f ca="1">S126*(INDEX(S$35:S$37,MATCH(Work_Codes!$I$32,$D$35:$D$37,0)))</f>
        <v>0</v>
      </c>
      <c r="T146" s="81">
        <f ca="1">T126*(INDEX(T$35:T$37,MATCH(Work_Codes!$I$32,$D$35:$D$37,0)))</f>
        <v>0</v>
      </c>
    </row>
    <row r="147" spans="5:20" outlineLevel="2">
      <c r="E147" s="247" t="str">
        <f>GC!C41</f>
        <v>Distribution pipelines</v>
      </c>
      <c r="F147" s="247"/>
      <c r="G147" s="247"/>
      <c r="H147" s="247"/>
      <c r="I147" s="247"/>
      <c r="J147" s="81">
        <f ca="1">J127*(INDEX(J$35:J$37,MATCH(Work_Codes!$I$32,$D$35:$D$37,0)))</f>
        <v>0</v>
      </c>
      <c r="K147" s="81">
        <f ca="1">K127*(INDEX(K$35:K$37,MATCH(Work_Codes!$I$32,$D$35:$D$37,0)))</f>
        <v>0</v>
      </c>
      <c r="L147" s="81">
        <f ca="1">L127*(INDEX(L$35:L$37,MATCH(Work_Codes!$I$32,$D$35:$D$37,0)))</f>
        <v>0</v>
      </c>
      <c r="M147" s="81">
        <f ca="1">M127*(INDEX(M$35:M$37,MATCH(Work_Codes!$I$32,$D$35:$D$37,0)))</f>
        <v>0</v>
      </c>
      <c r="N147" s="81">
        <f ca="1">N127*(INDEX(N$35:N$37,MATCH(Work_Codes!$I$32,$D$35:$D$37,0)))</f>
        <v>0</v>
      </c>
      <c r="O147" s="81">
        <f ca="1">O127*(INDEX(O$35:O$37,MATCH(Work_Codes!$I$32,$D$35:$D$37,0)))</f>
        <v>0</v>
      </c>
      <c r="P147" s="81">
        <f ca="1">P127*(INDEX(P$35:P$37,MATCH(Work_Codes!$I$32,$D$35:$D$37,0)))</f>
        <v>0</v>
      </c>
      <c r="Q147" s="81">
        <f ca="1">Q127*(INDEX(Q$35:Q$37,MATCH(Work_Codes!$I$32,$D$35:$D$37,0)))</f>
        <v>0</v>
      </c>
      <c r="R147" s="81">
        <f ca="1">R127*(INDEX(R$35:R$37,MATCH(Work_Codes!$I$32,$D$35:$D$37,0)))</f>
        <v>0</v>
      </c>
      <c r="S147" s="81">
        <f ca="1">S127*(INDEX(S$35:S$37,MATCH(Work_Codes!$I$32,$D$35:$D$37,0)))</f>
        <v>0</v>
      </c>
      <c r="T147" s="81">
        <f ca="1">T127*(INDEX(T$35:T$37,MATCH(Work_Codes!$I$32,$D$35:$D$37,0)))</f>
        <v>0</v>
      </c>
    </row>
    <row r="148" spans="5:20" outlineLevel="2">
      <c r="E148" s="247" t="str">
        <f>GC!C42</f>
        <v>Service pipes</v>
      </c>
      <c r="F148" s="247"/>
      <c r="G148" s="247"/>
      <c r="H148" s="247"/>
      <c r="I148" s="247"/>
      <c r="J148" s="81">
        <f ca="1">J128*(INDEX(J$35:J$37,MATCH(Work_Codes!$I$32,$D$35:$D$37,0)))</f>
        <v>0</v>
      </c>
      <c r="K148" s="81">
        <f ca="1">K128*(INDEX(K$35:K$37,MATCH(Work_Codes!$I$32,$D$35:$D$37,0)))</f>
        <v>0</v>
      </c>
      <c r="L148" s="81">
        <f ca="1">L128*(INDEX(L$35:L$37,MATCH(Work_Codes!$I$32,$D$35:$D$37,0)))</f>
        <v>0</v>
      </c>
      <c r="M148" s="81">
        <f ca="1">M128*(INDEX(M$35:M$37,MATCH(Work_Codes!$I$32,$D$35:$D$37,0)))</f>
        <v>0</v>
      </c>
      <c r="N148" s="81">
        <f ca="1">N128*(INDEX(N$35:N$37,MATCH(Work_Codes!$I$32,$D$35:$D$37,0)))</f>
        <v>0</v>
      </c>
      <c r="O148" s="81">
        <f ca="1">O128*(INDEX(O$35:O$37,MATCH(Work_Codes!$I$32,$D$35:$D$37,0)))</f>
        <v>0</v>
      </c>
      <c r="P148" s="81">
        <f ca="1">P128*(INDEX(P$35:P$37,MATCH(Work_Codes!$I$32,$D$35:$D$37,0)))</f>
        <v>0</v>
      </c>
      <c r="Q148" s="81">
        <f ca="1">Q128*(INDEX(Q$35:Q$37,MATCH(Work_Codes!$I$32,$D$35:$D$37,0)))</f>
        <v>0</v>
      </c>
      <c r="R148" s="81">
        <f ca="1">R128*(INDEX(R$35:R$37,MATCH(Work_Codes!$I$32,$D$35:$D$37,0)))</f>
        <v>0</v>
      </c>
      <c r="S148" s="81">
        <f ca="1">S128*(INDEX(S$35:S$37,MATCH(Work_Codes!$I$32,$D$35:$D$37,0)))</f>
        <v>0</v>
      </c>
      <c r="T148" s="81">
        <f ca="1">T128*(INDEX(T$35:T$37,MATCH(Work_Codes!$I$32,$D$35:$D$37,0)))</f>
        <v>0</v>
      </c>
    </row>
    <row r="149" spans="5:20" outlineLevel="2">
      <c r="E149" s="247" t="str">
        <f>GC!C43</f>
        <v>Cathodic protection</v>
      </c>
      <c r="F149" s="247"/>
      <c r="G149" s="247"/>
      <c r="H149" s="247"/>
      <c r="I149" s="247"/>
      <c r="J149" s="81">
        <f ca="1">J129*(INDEX(J$35:J$37,MATCH(Work_Codes!$I$32,$D$35:$D$37,0)))</f>
        <v>0</v>
      </c>
      <c r="K149" s="81">
        <f ca="1">K129*(INDEX(K$35:K$37,MATCH(Work_Codes!$I$32,$D$35:$D$37,0)))</f>
        <v>0</v>
      </c>
      <c r="L149" s="81">
        <f ca="1">L129*(INDEX(L$35:L$37,MATCH(Work_Codes!$I$32,$D$35:$D$37,0)))</f>
        <v>0</v>
      </c>
      <c r="M149" s="81">
        <f ca="1">M129*(INDEX(M$35:M$37,MATCH(Work_Codes!$I$32,$D$35:$D$37,0)))</f>
        <v>0</v>
      </c>
      <c r="N149" s="81">
        <f ca="1">N129*(INDEX(N$35:N$37,MATCH(Work_Codes!$I$32,$D$35:$D$37,0)))</f>
        <v>0</v>
      </c>
      <c r="O149" s="81">
        <f ca="1">O129*(INDEX(O$35:O$37,MATCH(Work_Codes!$I$32,$D$35:$D$37,0)))</f>
        <v>0</v>
      </c>
      <c r="P149" s="81">
        <f ca="1">P129*(INDEX(P$35:P$37,MATCH(Work_Codes!$I$32,$D$35:$D$37,0)))</f>
        <v>0</v>
      </c>
      <c r="Q149" s="81">
        <f ca="1">Q129*(INDEX(Q$35:Q$37,MATCH(Work_Codes!$I$32,$D$35:$D$37,0)))</f>
        <v>0</v>
      </c>
      <c r="R149" s="81">
        <f ca="1">R129*(INDEX(R$35:R$37,MATCH(Work_Codes!$I$32,$D$35:$D$37,0)))</f>
        <v>0</v>
      </c>
      <c r="S149" s="81">
        <f ca="1">S129*(INDEX(S$35:S$37,MATCH(Work_Codes!$I$32,$D$35:$D$37,0)))</f>
        <v>0</v>
      </c>
      <c r="T149" s="81">
        <f ca="1">T129*(INDEX(T$35:T$37,MATCH(Work_Codes!$I$32,$D$35:$D$37,0)))</f>
        <v>0</v>
      </c>
    </row>
    <row r="150" spans="5:20" outlineLevel="2">
      <c r="E150" s="247" t="str">
        <f>GC!C44</f>
        <v>Supply Regulators / Valve Stations</v>
      </c>
      <c r="F150" s="247"/>
      <c r="G150" s="247"/>
      <c r="H150" s="247"/>
      <c r="I150" s="247"/>
      <c r="J150" s="81">
        <f ca="1">J130*(INDEX(J$35:J$37,MATCH(Work_Codes!$I$32,$D$35:$D$37,0)))</f>
        <v>0</v>
      </c>
      <c r="K150" s="81">
        <f ca="1">K130*(INDEX(K$35:K$37,MATCH(Work_Codes!$I$32,$D$35:$D$37,0)))</f>
        <v>0</v>
      </c>
      <c r="L150" s="81">
        <f ca="1">L130*(INDEX(L$35:L$37,MATCH(Work_Codes!$I$32,$D$35:$D$37,0)))</f>
        <v>0</v>
      </c>
      <c r="M150" s="81">
        <f ca="1">M130*(INDEX(M$35:M$37,MATCH(Work_Codes!$I$32,$D$35:$D$37,0)))</f>
        <v>0</v>
      </c>
      <c r="N150" s="81">
        <f ca="1">N130*(INDEX(N$35:N$37,MATCH(Work_Codes!$I$32,$D$35:$D$37,0)))</f>
        <v>0</v>
      </c>
      <c r="O150" s="81">
        <f ca="1">O130*(INDEX(O$35:O$37,MATCH(Work_Codes!$I$32,$D$35:$D$37,0)))</f>
        <v>0</v>
      </c>
      <c r="P150" s="81">
        <f ca="1">P130*(INDEX(P$35:P$37,MATCH(Work_Codes!$I$32,$D$35:$D$37,0)))</f>
        <v>0</v>
      </c>
      <c r="Q150" s="81">
        <f ca="1">Q130*(INDEX(Q$35:Q$37,MATCH(Work_Codes!$I$32,$D$35:$D$37,0)))</f>
        <v>0</v>
      </c>
      <c r="R150" s="81">
        <f ca="1">R130*(INDEX(R$35:R$37,MATCH(Work_Codes!$I$32,$D$35:$D$37,0)))</f>
        <v>0</v>
      </c>
      <c r="S150" s="81">
        <f ca="1">S130*(INDEX(S$35:S$37,MATCH(Work_Codes!$I$32,$D$35:$D$37,0)))</f>
        <v>0</v>
      </c>
      <c r="T150" s="81">
        <f ca="1">T130*(INDEX(T$35:T$37,MATCH(Work_Codes!$I$32,$D$35:$D$37,0)))</f>
        <v>0</v>
      </c>
    </row>
    <row r="151" spans="5:20" outlineLevel="2">
      <c r="E151" s="247" t="str">
        <f>GC!C45</f>
        <v>Meters</v>
      </c>
      <c r="F151" s="247"/>
      <c r="G151" s="247"/>
      <c r="H151" s="247"/>
      <c r="I151" s="247"/>
      <c r="J151" s="81">
        <f ca="1">J131*(INDEX(J$35:J$37,MATCH(Work_Codes!$I$32,$D$35:$D$37,0)))</f>
        <v>0</v>
      </c>
      <c r="K151" s="81">
        <f ca="1">K131*(INDEX(K$35:K$37,MATCH(Work_Codes!$I$32,$D$35:$D$37,0)))</f>
        <v>0</v>
      </c>
      <c r="L151" s="81">
        <f ca="1">L131*(INDEX(L$35:L$37,MATCH(Work_Codes!$I$32,$D$35:$D$37,0)))</f>
        <v>0</v>
      </c>
      <c r="M151" s="81">
        <f ca="1">M131*(INDEX(M$35:M$37,MATCH(Work_Codes!$I$32,$D$35:$D$37,0)))</f>
        <v>0</v>
      </c>
      <c r="N151" s="81">
        <f ca="1">N131*(INDEX(N$35:N$37,MATCH(Work_Codes!$I$32,$D$35:$D$37,0)))</f>
        <v>0</v>
      </c>
      <c r="O151" s="81">
        <f ca="1">O131*(INDEX(O$35:O$37,MATCH(Work_Codes!$I$32,$D$35:$D$37,0)))</f>
        <v>0</v>
      </c>
      <c r="P151" s="81">
        <f ca="1">P131*(INDEX(P$35:P$37,MATCH(Work_Codes!$I$32,$D$35:$D$37,0)))</f>
        <v>0</v>
      </c>
      <c r="Q151" s="81">
        <f ca="1">Q131*(INDEX(Q$35:Q$37,MATCH(Work_Codes!$I$32,$D$35:$D$37,0)))</f>
        <v>0</v>
      </c>
      <c r="R151" s="81">
        <f ca="1">R131*(INDEX(R$35:R$37,MATCH(Work_Codes!$I$32,$D$35:$D$37,0)))</f>
        <v>0</v>
      </c>
      <c r="S151" s="81">
        <f ca="1">S131*(INDEX(S$35:S$37,MATCH(Work_Codes!$I$32,$D$35:$D$37,0)))</f>
        <v>0</v>
      </c>
      <c r="T151" s="81">
        <f ca="1">T131*(INDEX(T$35:T$37,MATCH(Work_Codes!$I$32,$D$35:$D$37,0)))</f>
        <v>0</v>
      </c>
    </row>
    <row r="152" spans="5:20" outlineLevel="2">
      <c r="E152" s="247" t="str">
        <f>GC!C46</f>
        <v>SCADA and remote control</v>
      </c>
      <c r="F152" s="247"/>
      <c r="G152" s="247"/>
      <c r="H152" s="247"/>
      <c r="I152" s="247"/>
      <c r="J152" s="81">
        <f ca="1">J132*(INDEX(J$35:J$37,MATCH(Work_Codes!$I$32,$D$35:$D$37,0)))</f>
        <v>0</v>
      </c>
      <c r="K152" s="81">
        <f ca="1">K132*(INDEX(K$35:K$37,MATCH(Work_Codes!$I$32,$D$35:$D$37,0)))</f>
        <v>0</v>
      </c>
      <c r="L152" s="81">
        <f ca="1">L132*(INDEX(L$35:L$37,MATCH(Work_Codes!$I$32,$D$35:$D$37,0)))</f>
        <v>0</v>
      </c>
      <c r="M152" s="81">
        <f ca="1">M132*(INDEX(M$35:M$37,MATCH(Work_Codes!$I$32,$D$35:$D$37,0)))</f>
        <v>0</v>
      </c>
      <c r="N152" s="81">
        <f ca="1">N132*(INDEX(N$35:N$37,MATCH(Work_Codes!$I$32,$D$35:$D$37,0)))</f>
        <v>0</v>
      </c>
      <c r="O152" s="81">
        <f ca="1">O132*(INDEX(O$35:O$37,MATCH(Work_Codes!$I$32,$D$35:$D$37,0)))</f>
        <v>0</v>
      </c>
      <c r="P152" s="81">
        <f ca="1">P132*(INDEX(P$35:P$37,MATCH(Work_Codes!$I$32,$D$35:$D$37,0)))</f>
        <v>0</v>
      </c>
      <c r="Q152" s="81">
        <f ca="1">Q132*(INDEX(Q$35:Q$37,MATCH(Work_Codes!$I$32,$D$35:$D$37,0)))</f>
        <v>0</v>
      </c>
      <c r="R152" s="81">
        <f ca="1">R132*(INDEX(R$35:R$37,MATCH(Work_Codes!$I$32,$D$35:$D$37,0)))</f>
        <v>0</v>
      </c>
      <c r="S152" s="81">
        <f ca="1">S132*(INDEX(S$35:S$37,MATCH(Work_Codes!$I$32,$D$35:$D$37,0)))</f>
        <v>0</v>
      </c>
      <c r="T152" s="81">
        <f ca="1">T132*(INDEX(T$35:T$37,MATCH(Work_Codes!$I$32,$D$35:$D$37,0)))</f>
        <v>0</v>
      </c>
    </row>
    <row r="153" spans="5:20" outlineLevel="2">
      <c r="E153" s="247" t="str">
        <f>GC!C47</f>
        <v>Buildings</v>
      </c>
      <c r="F153" s="247"/>
      <c r="G153" s="247"/>
      <c r="H153" s="247"/>
      <c r="I153" s="247"/>
      <c r="J153" s="81">
        <f ca="1">J133*(INDEX(J$35:J$37,MATCH(Work_Codes!$I$32,$D$35:$D$37,0)))</f>
        <v>0</v>
      </c>
      <c r="K153" s="81">
        <f ca="1">K133*(INDEX(K$35:K$37,MATCH(Work_Codes!$I$32,$D$35:$D$37,0)))</f>
        <v>0</v>
      </c>
      <c r="L153" s="81">
        <f ca="1">L133*(INDEX(L$35:L$37,MATCH(Work_Codes!$I$32,$D$35:$D$37,0)))</f>
        <v>0</v>
      </c>
      <c r="M153" s="81">
        <f ca="1">M133*(INDEX(M$35:M$37,MATCH(Work_Codes!$I$32,$D$35:$D$37,0)))</f>
        <v>0</v>
      </c>
      <c r="N153" s="81">
        <f ca="1">N133*(INDEX(N$35:N$37,MATCH(Work_Codes!$I$32,$D$35:$D$37,0)))</f>
        <v>0</v>
      </c>
      <c r="O153" s="81">
        <f ca="1">O133*(INDEX(O$35:O$37,MATCH(Work_Codes!$I$32,$D$35:$D$37,0)))</f>
        <v>0</v>
      </c>
      <c r="P153" s="81">
        <f ca="1">P133*(INDEX(P$35:P$37,MATCH(Work_Codes!$I$32,$D$35:$D$37,0)))</f>
        <v>0</v>
      </c>
      <c r="Q153" s="81">
        <f ca="1">Q133*(INDEX(Q$35:Q$37,MATCH(Work_Codes!$I$32,$D$35:$D$37,0)))</f>
        <v>0</v>
      </c>
      <c r="R153" s="81">
        <f ca="1">R133*(INDEX(R$35:R$37,MATCH(Work_Codes!$I$32,$D$35:$D$37,0)))</f>
        <v>0</v>
      </c>
      <c r="S153" s="81">
        <f ca="1">S133*(INDEX(S$35:S$37,MATCH(Work_Codes!$I$32,$D$35:$D$37,0)))</f>
        <v>0</v>
      </c>
      <c r="T153" s="81">
        <f ca="1">T133*(INDEX(T$35:T$37,MATCH(Work_Codes!$I$32,$D$35:$D$37,0)))</f>
        <v>0</v>
      </c>
    </row>
    <row r="154" spans="5:20" outlineLevel="2">
      <c r="E154" s="247" t="str">
        <f>GC!C48</f>
        <v>Other - IT</v>
      </c>
      <c r="F154" s="247"/>
      <c r="G154" s="247"/>
      <c r="H154" s="247"/>
      <c r="I154" s="247"/>
      <c r="J154" s="81">
        <f ca="1">J134*(INDEX(J$35:J$37,MATCH(Work_Codes!$I$32,$D$35:$D$37,0)))</f>
        <v>0</v>
      </c>
      <c r="K154" s="81">
        <f ca="1">K134*(INDEX(K$35:K$37,MATCH(Work_Codes!$I$32,$D$35:$D$37,0)))</f>
        <v>0</v>
      </c>
      <c r="L154" s="81">
        <f ca="1">L134*(INDEX(L$35:L$37,MATCH(Work_Codes!$I$32,$D$35:$D$37,0)))</f>
        <v>0</v>
      </c>
      <c r="M154" s="81">
        <f ca="1">M134*(INDEX(M$35:M$37,MATCH(Work_Codes!$I$32,$D$35:$D$37,0)))</f>
        <v>0</v>
      </c>
      <c r="N154" s="81">
        <f ca="1">N134*(INDEX(N$35:N$37,MATCH(Work_Codes!$I$32,$D$35:$D$37,0)))</f>
        <v>0</v>
      </c>
      <c r="O154" s="81">
        <f ca="1">O134*(INDEX(O$35:O$37,MATCH(Work_Codes!$I$32,$D$35:$D$37,0)))</f>
        <v>0</v>
      </c>
      <c r="P154" s="81">
        <f ca="1">P134*(INDEX(P$35:P$37,MATCH(Work_Codes!$I$32,$D$35:$D$37,0)))</f>
        <v>0</v>
      </c>
      <c r="Q154" s="81">
        <f ca="1">Q134*(INDEX(Q$35:Q$37,MATCH(Work_Codes!$I$32,$D$35:$D$37,0)))</f>
        <v>0</v>
      </c>
      <c r="R154" s="81">
        <f ca="1">R134*(INDEX(R$35:R$37,MATCH(Work_Codes!$I$32,$D$35:$D$37,0)))</f>
        <v>0</v>
      </c>
      <c r="S154" s="81">
        <f ca="1">S134*(INDEX(S$35:S$37,MATCH(Work_Codes!$I$32,$D$35:$D$37,0)))</f>
        <v>0</v>
      </c>
      <c r="T154" s="81">
        <f ca="1">T134*(INDEX(T$35:T$37,MATCH(Work_Codes!$I$32,$D$35:$D$37,0)))</f>
        <v>0</v>
      </c>
    </row>
    <row r="155" spans="5:20" outlineLevel="2">
      <c r="E155" s="247" t="str">
        <f>GC!C49</f>
        <v>Other - non IT</v>
      </c>
      <c r="F155" s="247"/>
      <c r="G155" s="247"/>
      <c r="H155" s="247"/>
      <c r="I155" s="247"/>
      <c r="J155" s="81">
        <f ca="1">J135*(INDEX(J$35:J$37,MATCH(Work_Codes!$I$32,$D$35:$D$37,0)))</f>
        <v>0</v>
      </c>
      <c r="K155" s="81">
        <f ca="1">K135*(INDEX(K$35:K$37,MATCH(Work_Codes!$I$32,$D$35:$D$37,0)))</f>
        <v>0</v>
      </c>
      <c r="L155" s="81">
        <f ca="1">L135*(INDEX(L$35:L$37,MATCH(Work_Codes!$I$32,$D$35:$D$37,0)))</f>
        <v>0</v>
      </c>
      <c r="M155" s="81">
        <f ca="1">M135*(INDEX(M$35:M$37,MATCH(Work_Codes!$I$32,$D$35:$D$37,0)))</f>
        <v>0</v>
      </c>
      <c r="N155" s="81">
        <f ca="1">N135*(INDEX(N$35:N$37,MATCH(Work_Codes!$I$32,$D$35:$D$37,0)))</f>
        <v>0</v>
      </c>
      <c r="O155" s="81">
        <f ca="1">O135*(INDEX(O$35:O$37,MATCH(Work_Codes!$I$32,$D$35:$D$37,0)))</f>
        <v>0</v>
      </c>
      <c r="P155" s="81">
        <f ca="1">P135*(INDEX(P$35:P$37,MATCH(Work_Codes!$I$32,$D$35:$D$37,0)))</f>
        <v>0</v>
      </c>
      <c r="Q155" s="81">
        <f ca="1">Q135*(INDEX(Q$35:Q$37,MATCH(Work_Codes!$I$32,$D$35:$D$37,0)))</f>
        <v>0</v>
      </c>
      <c r="R155" s="81">
        <f ca="1">R135*(INDEX(R$35:R$37,MATCH(Work_Codes!$I$32,$D$35:$D$37,0)))</f>
        <v>0</v>
      </c>
      <c r="S155" s="81">
        <f ca="1">S135*(INDEX(S$35:S$37,MATCH(Work_Codes!$I$32,$D$35:$D$37,0)))</f>
        <v>0</v>
      </c>
      <c r="T155" s="81">
        <f ca="1">T135*(INDEX(T$35:T$37,MATCH(Work_Codes!$I$32,$D$35:$D$37,0)))</f>
        <v>0</v>
      </c>
    </row>
    <row r="156" spans="5:20" outlineLevel="2">
      <c r="E156" s="247" t="str">
        <f>GC!C50</f>
        <v>Land</v>
      </c>
      <c r="F156" s="247"/>
      <c r="G156" s="247"/>
      <c r="H156" s="247"/>
      <c r="I156" s="247"/>
      <c r="J156" s="81">
        <f ca="1">J136*(INDEX(J$35:J$37,MATCH(Work_Codes!$I$32,$D$35:$D$37,0)))</f>
        <v>0</v>
      </c>
      <c r="K156" s="81">
        <f ca="1">K136*(INDEX(K$35:K$37,MATCH(Work_Codes!$I$32,$D$35:$D$37,0)))</f>
        <v>0</v>
      </c>
      <c r="L156" s="81">
        <f ca="1">L136*(INDEX(L$35:L$37,MATCH(Work_Codes!$I$32,$D$35:$D$37,0)))</f>
        <v>0</v>
      </c>
      <c r="M156" s="81">
        <f ca="1">M136*(INDEX(M$35:M$37,MATCH(Work_Codes!$I$32,$D$35:$D$37,0)))</f>
        <v>0</v>
      </c>
      <c r="N156" s="81">
        <f ca="1">N136*(INDEX(N$35:N$37,MATCH(Work_Codes!$I$32,$D$35:$D$37,0)))</f>
        <v>0</v>
      </c>
      <c r="O156" s="81">
        <f ca="1">O136*(INDEX(O$35:O$37,MATCH(Work_Codes!$I$32,$D$35:$D$37,0)))</f>
        <v>0</v>
      </c>
      <c r="P156" s="81">
        <f ca="1">P136*(INDEX(P$35:P$37,MATCH(Work_Codes!$I$32,$D$35:$D$37,0)))</f>
        <v>0</v>
      </c>
      <c r="Q156" s="81">
        <f ca="1">Q136*(INDEX(Q$35:Q$37,MATCH(Work_Codes!$I$32,$D$35:$D$37,0)))</f>
        <v>0</v>
      </c>
      <c r="R156" s="81">
        <f ca="1">R136*(INDEX(R$35:R$37,MATCH(Work_Codes!$I$32,$D$35:$D$37,0)))</f>
        <v>0</v>
      </c>
      <c r="S156" s="81">
        <f ca="1">S136*(INDEX(S$35:S$37,MATCH(Work_Codes!$I$32,$D$35:$D$37,0)))</f>
        <v>0</v>
      </c>
      <c r="T156" s="81">
        <f ca="1">T136*(INDEX(T$35:T$37,MATCH(Work_Codes!$I$32,$D$35:$D$37,0)))</f>
        <v>0</v>
      </c>
    </row>
    <row r="157" spans="5:20" outlineLevel="2">
      <c r="E157" s="247" t="str">
        <f>GC!C51</f>
        <v>Capitalised Leases</v>
      </c>
      <c r="F157" s="247"/>
      <c r="G157" s="247"/>
      <c r="H157" s="247"/>
      <c r="I157" s="247"/>
      <c r="J157" s="81">
        <f ca="1">J137*(INDEX(J$35:J$37,MATCH(Work_Codes!$I$32,$D$35:$D$37,0)))</f>
        <v>0</v>
      </c>
      <c r="K157" s="81">
        <f ca="1">K137*(INDEX(K$35:K$37,MATCH(Work_Codes!$I$32,$D$35:$D$37,0)))</f>
        <v>0</v>
      </c>
      <c r="L157" s="81">
        <f ca="1">L137*(INDEX(L$35:L$37,MATCH(Work_Codes!$I$32,$D$35:$D$37,0)))</f>
        <v>0</v>
      </c>
      <c r="M157" s="81">
        <f ca="1">M137*(INDEX(M$35:M$37,MATCH(Work_Codes!$I$32,$D$35:$D$37,0)))</f>
        <v>0</v>
      </c>
      <c r="N157" s="81">
        <f ca="1">N137*(INDEX(N$35:N$37,MATCH(Work_Codes!$I$32,$D$35:$D$37,0)))</f>
        <v>0</v>
      </c>
      <c r="O157" s="81">
        <f ca="1">O137*(INDEX(O$35:O$37,MATCH(Work_Codes!$I$32,$D$35:$D$37,0)))</f>
        <v>0</v>
      </c>
      <c r="P157" s="81">
        <f ca="1">P137*(INDEX(P$35:P$37,MATCH(Work_Codes!$I$32,$D$35:$D$37,0)))</f>
        <v>0</v>
      </c>
      <c r="Q157" s="81">
        <f ca="1">Q137*(INDEX(Q$35:Q$37,MATCH(Work_Codes!$I$32,$D$35:$D$37,0)))</f>
        <v>0</v>
      </c>
      <c r="R157" s="81">
        <f ca="1">R137*(INDEX(R$35:R$37,MATCH(Work_Codes!$I$32,$D$35:$D$37,0)))</f>
        <v>0</v>
      </c>
      <c r="S157" s="81">
        <f ca="1">S137*(INDEX(S$35:S$37,MATCH(Work_Codes!$I$32,$D$35:$D$37,0)))</f>
        <v>0</v>
      </c>
      <c r="T157" s="81">
        <f ca="1">T137*(INDEX(T$35:T$37,MATCH(Work_Codes!$I$32,$D$35:$D$37,0)))</f>
        <v>0</v>
      </c>
    </row>
    <row r="158" spans="5:20" outlineLevel="2">
      <c r="E158" s="247" t="str">
        <f>GC!C52</f>
        <v>Transmission pipelines - post 1998</v>
      </c>
      <c r="F158" s="247"/>
      <c r="G158" s="247"/>
      <c r="H158" s="247"/>
      <c r="I158" s="247"/>
      <c r="J158" s="81">
        <f ca="1">J138*(INDEX(J$35:J$37,MATCH(Work_Codes!$I$32,$D$35:$D$37,0)))</f>
        <v>0</v>
      </c>
      <c r="K158" s="81">
        <f ca="1">K138*(INDEX(K$35:K$37,MATCH(Work_Codes!$I$32,$D$35:$D$37,0)))</f>
        <v>0</v>
      </c>
      <c r="L158" s="81">
        <f ca="1">L138*(INDEX(L$35:L$37,MATCH(Work_Codes!$I$32,$D$35:$D$37,0)))</f>
        <v>0</v>
      </c>
      <c r="M158" s="81">
        <f ca="1">M138*(INDEX(M$35:M$37,MATCH(Work_Codes!$I$32,$D$35:$D$37,0)))</f>
        <v>0</v>
      </c>
      <c r="N158" s="81">
        <f ca="1">N138*(INDEX(N$35:N$37,MATCH(Work_Codes!$I$32,$D$35:$D$37,0)))</f>
        <v>0</v>
      </c>
      <c r="O158" s="81">
        <f ca="1">O138*(INDEX(O$35:O$37,MATCH(Work_Codes!$I$32,$D$35:$D$37,0)))</f>
        <v>0</v>
      </c>
      <c r="P158" s="81">
        <f ca="1">P138*(INDEX(P$35:P$37,MATCH(Work_Codes!$I$32,$D$35:$D$37,0)))</f>
        <v>0</v>
      </c>
      <c r="Q158" s="81">
        <f ca="1">Q138*(INDEX(Q$35:Q$37,MATCH(Work_Codes!$I$32,$D$35:$D$37,0)))</f>
        <v>0</v>
      </c>
      <c r="R158" s="81">
        <f ca="1">R138*(INDEX(R$35:R$37,MATCH(Work_Codes!$I$32,$D$35:$D$37,0)))</f>
        <v>0</v>
      </c>
      <c r="S158" s="81">
        <f ca="1">S138*(INDEX(S$35:S$37,MATCH(Work_Codes!$I$32,$D$35:$D$37,0)))</f>
        <v>0</v>
      </c>
      <c r="T158" s="81">
        <f ca="1">T138*(INDEX(T$35:T$37,MATCH(Work_Codes!$I$32,$D$35:$D$37,0)))</f>
        <v>0</v>
      </c>
    </row>
    <row r="159" spans="5:20" outlineLevel="2">
      <c r="E159" s="247" t="str">
        <f>GC!C53</f>
        <v>Distribution pipelines - post 1998</v>
      </c>
      <c r="F159" s="247"/>
      <c r="G159" s="247"/>
      <c r="H159" s="247"/>
      <c r="I159" s="247"/>
      <c r="J159" s="81">
        <f ca="1">J139*(INDEX(J$35:J$37,MATCH(Work_Codes!$I$32,$D$35:$D$37,0)))</f>
        <v>0</v>
      </c>
      <c r="K159" s="81">
        <f ca="1">K139*(INDEX(K$35:K$37,MATCH(Work_Codes!$I$32,$D$35:$D$37,0)))</f>
        <v>0</v>
      </c>
      <c r="L159" s="81">
        <f ca="1">L139*(INDEX(L$35:L$37,MATCH(Work_Codes!$I$32,$D$35:$D$37,0)))</f>
        <v>0</v>
      </c>
      <c r="M159" s="81">
        <f ca="1">M139*(INDEX(M$35:M$37,MATCH(Work_Codes!$I$32,$D$35:$D$37,0)))</f>
        <v>0</v>
      </c>
      <c r="N159" s="81">
        <f ca="1">N139*(INDEX(N$35:N$37,MATCH(Work_Codes!$I$32,$D$35:$D$37,0)))</f>
        <v>9271.1763227497686</v>
      </c>
      <c r="O159" s="81">
        <f ca="1">O139*(INDEX(O$35:O$37,MATCH(Work_Codes!$I$32,$D$35:$D$37,0)))</f>
        <v>4299.850925278497</v>
      </c>
      <c r="P159" s="81">
        <f ca="1">P139*(INDEX(P$35:P$37,MATCH(Work_Codes!$I$32,$D$35:$D$37,0)))</f>
        <v>8026.7209521557361</v>
      </c>
      <c r="Q159" s="81">
        <f ca="1">Q139*(INDEX(Q$35:Q$37,MATCH(Work_Codes!$I$32,$D$35:$D$37,0)))</f>
        <v>6276.5986288468466</v>
      </c>
      <c r="R159" s="81">
        <f ca="1">R139*(INDEX(R$35:R$37,MATCH(Work_Codes!$I$32,$D$35:$D$37,0)))</f>
        <v>4874.9855142140077</v>
      </c>
      <c r="S159" s="81">
        <f ca="1">S139*(INDEX(S$35:S$37,MATCH(Work_Codes!$I$32,$D$35:$D$37,0)))</f>
        <v>3473.5000514254407</v>
      </c>
      <c r="T159" s="81">
        <f ca="1">T139*(INDEX(T$35:T$37,MATCH(Work_Codes!$I$32,$D$35:$D$37,0)))</f>
        <v>1844.4404633269758</v>
      </c>
    </row>
    <row r="160" spans="5:20" outlineLevel="2">
      <c r="E160" s="247" t="str">
        <f>GC!C54</f>
        <v>Service pipes - post 1998</v>
      </c>
      <c r="F160" s="247"/>
      <c r="G160" s="247"/>
      <c r="H160" s="247"/>
      <c r="I160" s="247"/>
      <c r="J160" s="81">
        <f ca="1">J140*(INDEX(J$35:J$37,MATCH(Work_Codes!$I$32,$D$35:$D$37,0)))</f>
        <v>0</v>
      </c>
      <c r="K160" s="81">
        <f ca="1">K140*(INDEX(K$35:K$37,MATCH(Work_Codes!$I$32,$D$35:$D$37,0)))</f>
        <v>0</v>
      </c>
      <c r="L160" s="81">
        <f ca="1">L140*(INDEX(L$35:L$37,MATCH(Work_Codes!$I$32,$D$35:$D$37,0)))</f>
        <v>0</v>
      </c>
      <c r="M160" s="81">
        <f ca="1">M140*(INDEX(M$35:M$37,MATCH(Work_Codes!$I$32,$D$35:$D$37,0)))</f>
        <v>0</v>
      </c>
      <c r="N160" s="81">
        <f ca="1">N140*(INDEX(N$35:N$37,MATCH(Work_Codes!$I$32,$D$35:$D$37,0)))</f>
        <v>9271.1763227497686</v>
      </c>
      <c r="O160" s="81">
        <f ca="1">O140*(INDEX(O$35:O$37,MATCH(Work_Codes!$I$32,$D$35:$D$37,0)))</f>
        <v>4299.850925278497</v>
      </c>
      <c r="P160" s="81">
        <f ca="1">P140*(INDEX(P$35:P$37,MATCH(Work_Codes!$I$32,$D$35:$D$37,0)))</f>
        <v>5800.4294273467694</v>
      </c>
      <c r="Q160" s="81">
        <f ca="1">Q140*(INDEX(Q$35:Q$37,MATCH(Work_Codes!$I$32,$D$35:$D$37,0)))</f>
        <v>4502.3041454573477</v>
      </c>
      <c r="R160" s="81">
        <f ca="1">R140*(INDEX(R$35:R$37,MATCH(Work_Codes!$I$32,$D$35:$D$37,0)))</f>
        <v>3464.8767733833929</v>
      </c>
      <c r="S160" s="81">
        <f ca="1">S140*(INDEX(S$35:S$37,MATCH(Work_Codes!$I$32,$D$35:$D$37,0)))</f>
        <v>2435.4447448187457</v>
      </c>
      <c r="T160" s="81">
        <f ca="1">T140*(INDEX(T$35:T$37,MATCH(Work_Codes!$I$32,$D$35:$D$37,0)))</f>
        <v>1253.6755257775999</v>
      </c>
    </row>
    <row r="161" spans="4:20" outlineLevel="2">
      <c r="E161" s="247" t="str">
        <f>GC!C55</f>
        <v>Cathodic protection - post 1998</v>
      </c>
      <c r="F161" s="247"/>
      <c r="G161" s="247"/>
      <c r="H161" s="247"/>
      <c r="I161" s="247"/>
      <c r="J161" s="81">
        <f ca="1">J141*(INDEX(J$35:J$37,MATCH(Work_Codes!$I$32,$D$35:$D$37,0)))</f>
        <v>0</v>
      </c>
      <c r="K161" s="81">
        <f ca="1">K141*(INDEX(K$35:K$37,MATCH(Work_Codes!$I$32,$D$35:$D$37,0)))</f>
        <v>0</v>
      </c>
      <c r="L161" s="81">
        <f ca="1">L141*(INDEX(L$35:L$37,MATCH(Work_Codes!$I$32,$D$35:$D$37,0)))</f>
        <v>0</v>
      </c>
      <c r="M161" s="81">
        <f ca="1">M141*(INDEX(M$35:M$37,MATCH(Work_Codes!$I$32,$D$35:$D$37,0)))</f>
        <v>0</v>
      </c>
      <c r="N161" s="81">
        <f ca="1">N141*(INDEX(N$35:N$37,MATCH(Work_Codes!$I$32,$D$35:$D$37,0)))</f>
        <v>0</v>
      </c>
      <c r="O161" s="81">
        <f ca="1">O141*(INDEX(O$35:O$37,MATCH(Work_Codes!$I$32,$D$35:$D$37,0)))</f>
        <v>0</v>
      </c>
      <c r="P161" s="81">
        <f ca="1">P141*(INDEX(P$35:P$37,MATCH(Work_Codes!$I$32,$D$35:$D$37,0)))</f>
        <v>0</v>
      </c>
      <c r="Q161" s="81">
        <f ca="1">Q141*(INDEX(Q$35:Q$37,MATCH(Work_Codes!$I$32,$D$35:$D$37,0)))</f>
        <v>0</v>
      </c>
      <c r="R161" s="81">
        <f ca="1">R141*(INDEX(R$35:R$37,MATCH(Work_Codes!$I$32,$D$35:$D$37,0)))</f>
        <v>0</v>
      </c>
      <c r="S161" s="81">
        <f ca="1">S141*(INDEX(S$35:S$37,MATCH(Work_Codes!$I$32,$D$35:$D$37,0)))</f>
        <v>0</v>
      </c>
      <c r="T161" s="81">
        <f ca="1">T141*(INDEX(T$35:T$37,MATCH(Work_Codes!$I$32,$D$35:$D$37,0)))</f>
        <v>0</v>
      </c>
    </row>
    <row r="162" spans="4:20" outlineLevel="2">
      <c r="E162" s="249" t="str">
        <f>"Total "&amp;D144</f>
        <v>Total Overheads</v>
      </c>
      <c r="F162" s="249"/>
      <c r="G162" s="249"/>
      <c r="H162" s="249"/>
      <c r="I162" s="249"/>
      <c r="J162" s="82">
        <f t="shared" ref="J162:T162" ca="1" si="20">SUM(J146:J161)</f>
        <v>0</v>
      </c>
      <c r="K162" s="82">
        <f t="shared" ca="1" si="20"/>
        <v>0</v>
      </c>
      <c r="L162" s="82">
        <f t="shared" ca="1" si="20"/>
        <v>0</v>
      </c>
      <c r="M162" s="82">
        <f t="shared" ca="1" si="20"/>
        <v>0</v>
      </c>
      <c r="N162" s="82">
        <f t="shared" ca="1" si="20"/>
        <v>18542.352645499537</v>
      </c>
      <c r="O162" s="82">
        <f t="shared" ca="1" si="20"/>
        <v>8599.701850556994</v>
      </c>
      <c r="P162" s="82">
        <f t="shared" ca="1" si="20"/>
        <v>13827.150379502506</v>
      </c>
      <c r="Q162" s="82">
        <f t="shared" ca="1" si="20"/>
        <v>10778.902774304195</v>
      </c>
      <c r="R162" s="82">
        <f t="shared" ca="1" si="20"/>
        <v>8339.8622875973997</v>
      </c>
      <c r="S162" s="82">
        <f t="shared" ca="1" si="20"/>
        <v>5908.9447962441864</v>
      </c>
      <c r="T162" s="82">
        <f t="shared" ca="1" si="20"/>
        <v>3098.1159891045754</v>
      </c>
    </row>
    <row r="163" spans="4:20" outlineLevel="2"/>
    <row r="164" spans="4:20" outlineLevel="2">
      <c r="D164" s="37" t="s">
        <v>216</v>
      </c>
    </row>
    <row r="165" spans="4:20" ht="5.9" customHeight="1" outlineLevel="2"/>
    <row r="166" spans="4:20" ht="11.5" customHeight="1" outlineLevel="2">
      <c r="E166" s="247" t="str">
        <f>GC!C40</f>
        <v>Transmission pipelines</v>
      </c>
      <c r="F166" s="247"/>
      <c r="G166" s="247"/>
      <c r="H166" s="247"/>
      <c r="I166" s="247"/>
      <c r="J166" s="81">
        <f ca="1">J126*(1+INDEX(J$35:J$37,MATCH(Work_Codes!$I$32,$D$35:$D$37,0)))</f>
        <v>0</v>
      </c>
      <c r="K166" s="81">
        <f ca="1">K126*(1+INDEX(K$35:K$37,MATCH(Work_Codes!$I$32,$D$35:$D$37,0)))</f>
        <v>0</v>
      </c>
      <c r="L166" s="81">
        <f ca="1">L126*(1+INDEX(L$35:L$37,MATCH(Work_Codes!$I$32,$D$35:$D$37,0)))</f>
        <v>0</v>
      </c>
      <c r="M166" s="81">
        <f ca="1">M126*(1+INDEX(M$35:M$37,MATCH(Work_Codes!$I$32,$D$35:$D$37,0)))</f>
        <v>0</v>
      </c>
      <c r="N166" s="81">
        <f ca="1">N126*(1+INDEX(N$35:N$37,MATCH(Work_Codes!$I$32,$D$35:$D$37,0)))</f>
        <v>0</v>
      </c>
      <c r="O166" s="81">
        <f ca="1">O126*(1+INDEX(O$35:O$37,MATCH(Work_Codes!$I$32,$D$35:$D$37,0)))</f>
        <v>0</v>
      </c>
      <c r="P166" s="81">
        <f ca="1">P126*(1+INDEX(P$35:P$37,MATCH(Work_Codes!$I$32,$D$35:$D$37,0)))</f>
        <v>0</v>
      </c>
      <c r="Q166" s="81">
        <f ca="1">Q126*(1+INDEX(Q$35:Q$37,MATCH(Work_Codes!$I$32,$D$35:$D$37,0)))</f>
        <v>0</v>
      </c>
      <c r="R166" s="81">
        <f ca="1">R126*(1+INDEX(R$35:R$37,MATCH(Work_Codes!$I$32,$D$35:$D$37,0)))</f>
        <v>0</v>
      </c>
      <c r="S166" s="81">
        <f ca="1">S126*(1+INDEX(S$35:S$37,MATCH(Work_Codes!$I$32,$D$35:$D$37,0)))</f>
        <v>0</v>
      </c>
      <c r="T166" s="81">
        <f ca="1">T126*(1+INDEX(T$35:T$37,MATCH(Work_Codes!$I$32,$D$35:$D$37,0)))</f>
        <v>0</v>
      </c>
    </row>
    <row r="167" spans="4:20" ht="11.5" customHeight="1" outlineLevel="2">
      <c r="E167" s="247" t="str">
        <f>GC!C41</f>
        <v>Distribution pipelines</v>
      </c>
      <c r="F167" s="247"/>
      <c r="G167" s="247"/>
      <c r="H167" s="247"/>
      <c r="I167" s="247"/>
      <c r="J167" s="81">
        <f ca="1">J127*(1+INDEX(J$35:J$37,MATCH(Work_Codes!$I$32,$D$35:$D$37,0)))</f>
        <v>0</v>
      </c>
      <c r="K167" s="81">
        <f ca="1">K127*(1+INDEX(K$35:K$37,MATCH(Work_Codes!$I$32,$D$35:$D$37,0)))</f>
        <v>0</v>
      </c>
      <c r="L167" s="81">
        <f ca="1">L127*(1+INDEX(L$35:L$37,MATCH(Work_Codes!$I$32,$D$35:$D$37,0)))</f>
        <v>0</v>
      </c>
      <c r="M167" s="81">
        <f ca="1">M127*(1+INDEX(M$35:M$37,MATCH(Work_Codes!$I$32,$D$35:$D$37,0)))</f>
        <v>0</v>
      </c>
      <c r="N167" s="81">
        <f ca="1">N127*(1+INDEX(N$35:N$37,MATCH(Work_Codes!$I$32,$D$35:$D$37,0)))</f>
        <v>0</v>
      </c>
      <c r="O167" s="81">
        <f ca="1">O127*(1+INDEX(O$35:O$37,MATCH(Work_Codes!$I$32,$D$35:$D$37,0)))</f>
        <v>0</v>
      </c>
      <c r="P167" s="81">
        <f ca="1">P127*(1+INDEX(P$35:P$37,MATCH(Work_Codes!$I$32,$D$35:$D$37,0)))</f>
        <v>0</v>
      </c>
      <c r="Q167" s="81">
        <f ca="1">Q127*(1+INDEX(Q$35:Q$37,MATCH(Work_Codes!$I$32,$D$35:$D$37,0)))</f>
        <v>0</v>
      </c>
      <c r="R167" s="81">
        <f ca="1">R127*(1+INDEX(R$35:R$37,MATCH(Work_Codes!$I$32,$D$35:$D$37,0)))</f>
        <v>0</v>
      </c>
      <c r="S167" s="81">
        <f ca="1">S127*(1+INDEX(S$35:S$37,MATCH(Work_Codes!$I$32,$D$35:$D$37,0)))</f>
        <v>0</v>
      </c>
      <c r="T167" s="81">
        <f ca="1">T127*(1+INDEX(T$35:T$37,MATCH(Work_Codes!$I$32,$D$35:$D$37,0)))</f>
        <v>0</v>
      </c>
    </row>
    <row r="168" spans="4:20" ht="11.5" customHeight="1" outlineLevel="2">
      <c r="E168" s="247" t="str">
        <f>GC!C42</f>
        <v>Service pipes</v>
      </c>
      <c r="F168" s="247"/>
      <c r="G168" s="247"/>
      <c r="H168" s="247"/>
      <c r="I168" s="247"/>
      <c r="J168" s="81">
        <f ca="1">J128*(1+INDEX(J$35:J$37,MATCH(Work_Codes!$I$32,$D$35:$D$37,0)))</f>
        <v>0</v>
      </c>
      <c r="K168" s="81">
        <f ca="1">K128*(1+INDEX(K$35:K$37,MATCH(Work_Codes!$I$32,$D$35:$D$37,0)))</f>
        <v>0</v>
      </c>
      <c r="L168" s="81">
        <f ca="1">L128*(1+INDEX(L$35:L$37,MATCH(Work_Codes!$I$32,$D$35:$D$37,0)))</f>
        <v>0</v>
      </c>
      <c r="M168" s="81">
        <f ca="1">M128*(1+INDEX(M$35:M$37,MATCH(Work_Codes!$I$32,$D$35:$D$37,0)))</f>
        <v>0</v>
      </c>
      <c r="N168" s="81">
        <f ca="1">N128*(1+INDEX(N$35:N$37,MATCH(Work_Codes!$I$32,$D$35:$D$37,0)))</f>
        <v>0</v>
      </c>
      <c r="O168" s="81">
        <f ca="1">O128*(1+INDEX(O$35:O$37,MATCH(Work_Codes!$I$32,$D$35:$D$37,0)))</f>
        <v>0</v>
      </c>
      <c r="P168" s="81">
        <f ca="1">P128*(1+INDEX(P$35:P$37,MATCH(Work_Codes!$I$32,$D$35:$D$37,0)))</f>
        <v>0</v>
      </c>
      <c r="Q168" s="81">
        <f ca="1">Q128*(1+INDEX(Q$35:Q$37,MATCH(Work_Codes!$I$32,$D$35:$D$37,0)))</f>
        <v>0</v>
      </c>
      <c r="R168" s="81">
        <f ca="1">R128*(1+INDEX(R$35:R$37,MATCH(Work_Codes!$I$32,$D$35:$D$37,0)))</f>
        <v>0</v>
      </c>
      <c r="S168" s="81">
        <f ca="1">S128*(1+INDEX(S$35:S$37,MATCH(Work_Codes!$I$32,$D$35:$D$37,0)))</f>
        <v>0</v>
      </c>
      <c r="T168" s="81">
        <f ca="1">T128*(1+INDEX(T$35:T$37,MATCH(Work_Codes!$I$32,$D$35:$D$37,0)))</f>
        <v>0</v>
      </c>
    </row>
    <row r="169" spans="4:20" ht="11.5" customHeight="1" outlineLevel="2">
      <c r="E169" s="247" t="str">
        <f>GC!C43</f>
        <v>Cathodic protection</v>
      </c>
      <c r="F169" s="247"/>
      <c r="G169" s="247"/>
      <c r="H169" s="247"/>
      <c r="I169" s="247"/>
      <c r="J169" s="81">
        <f ca="1">J129*(1+INDEX(J$35:J$37,MATCH(Work_Codes!$I$32,$D$35:$D$37,0)))</f>
        <v>0</v>
      </c>
      <c r="K169" s="81">
        <f ca="1">K129*(1+INDEX(K$35:K$37,MATCH(Work_Codes!$I$32,$D$35:$D$37,0)))</f>
        <v>0</v>
      </c>
      <c r="L169" s="81">
        <f ca="1">L129*(1+INDEX(L$35:L$37,MATCH(Work_Codes!$I$32,$D$35:$D$37,0)))</f>
        <v>0</v>
      </c>
      <c r="M169" s="81">
        <f ca="1">M129*(1+INDEX(M$35:M$37,MATCH(Work_Codes!$I$32,$D$35:$D$37,0)))</f>
        <v>0</v>
      </c>
      <c r="N169" s="81">
        <f ca="1">N129*(1+INDEX(N$35:N$37,MATCH(Work_Codes!$I$32,$D$35:$D$37,0)))</f>
        <v>0</v>
      </c>
      <c r="O169" s="81">
        <f ca="1">O129*(1+INDEX(O$35:O$37,MATCH(Work_Codes!$I$32,$D$35:$D$37,0)))</f>
        <v>0</v>
      </c>
      <c r="P169" s="81">
        <f ca="1">P129*(1+INDEX(P$35:P$37,MATCH(Work_Codes!$I$32,$D$35:$D$37,0)))</f>
        <v>0</v>
      </c>
      <c r="Q169" s="81">
        <f ca="1">Q129*(1+INDEX(Q$35:Q$37,MATCH(Work_Codes!$I$32,$D$35:$D$37,0)))</f>
        <v>0</v>
      </c>
      <c r="R169" s="81">
        <f ca="1">R129*(1+INDEX(R$35:R$37,MATCH(Work_Codes!$I$32,$D$35:$D$37,0)))</f>
        <v>0</v>
      </c>
      <c r="S169" s="81">
        <f ca="1">S129*(1+INDEX(S$35:S$37,MATCH(Work_Codes!$I$32,$D$35:$D$37,0)))</f>
        <v>0</v>
      </c>
      <c r="T169" s="81">
        <f ca="1">T129*(1+INDEX(T$35:T$37,MATCH(Work_Codes!$I$32,$D$35:$D$37,0)))</f>
        <v>0</v>
      </c>
    </row>
    <row r="170" spans="4:20" ht="11.5" customHeight="1" outlineLevel="2">
      <c r="E170" s="247" t="str">
        <f>GC!C44</f>
        <v>Supply Regulators / Valve Stations</v>
      </c>
      <c r="F170" s="247"/>
      <c r="G170" s="247"/>
      <c r="H170" s="247"/>
      <c r="I170" s="247"/>
      <c r="J170" s="81">
        <f ca="1">J130*(1+INDEX(J$35:J$37,MATCH(Work_Codes!$I$32,$D$35:$D$37,0)))</f>
        <v>0</v>
      </c>
      <c r="K170" s="81">
        <f ca="1">K130*(1+INDEX(K$35:K$37,MATCH(Work_Codes!$I$32,$D$35:$D$37,0)))</f>
        <v>0</v>
      </c>
      <c r="L170" s="81">
        <f ca="1">L130*(1+INDEX(L$35:L$37,MATCH(Work_Codes!$I$32,$D$35:$D$37,0)))</f>
        <v>0</v>
      </c>
      <c r="M170" s="81">
        <f ca="1">M130*(1+INDEX(M$35:M$37,MATCH(Work_Codes!$I$32,$D$35:$D$37,0)))</f>
        <v>0</v>
      </c>
      <c r="N170" s="81">
        <f ca="1">N130*(1+INDEX(N$35:N$37,MATCH(Work_Codes!$I$32,$D$35:$D$37,0)))</f>
        <v>0</v>
      </c>
      <c r="O170" s="81">
        <f ca="1">O130*(1+INDEX(O$35:O$37,MATCH(Work_Codes!$I$32,$D$35:$D$37,0)))</f>
        <v>0</v>
      </c>
      <c r="P170" s="81">
        <f ca="1">P130*(1+INDEX(P$35:P$37,MATCH(Work_Codes!$I$32,$D$35:$D$37,0)))</f>
        <v>0</v>
      </c>
      <c r="Q170" s="81">
        <f ca="1">Q130*(1+INDEX(Q$35:Q$37,MATCH(Work_Codes!$I$32,$D$35:$D$37,0)))</f>
        <v>0</v>
      </c>
      <c r="R170" s="81">
        <f ca="1">R130*(1+INDEX(R$35:R$37,MATCH(Work_Codes!$I$32,$D$35:$D$37,0)))</f>
        <v>0</v>
      </c>
      <c r="S170" s="81">
        <f ca="1">S130*(1+INDEX(S$35:S$37,MATCH(Work_Codes!$I$32,$D$35:$D$37,0)))</f>
        <v>0</v>
      </c>
      <c r="T170" s="81">
        <f ca="1">T130*(1+INDEX(T$35:T$37,MATCH(Work_Codes!$I$32,$D$35:$D$37,0)))</f>
        <v>0</v>
      </c>
    </row>
    <row r="171" spans="4:20" ht="11.5" customHeight="1" outlineLevel="2">
      <c r="E171" s="247" t="str">
        <f>GC!C45</f>
        <v>Meters</v>
      </c>
      <c r="F171" s="247"/>
      <c r="G171" s="247"/>
      <c r="H171" s="247"/>
      <c r="I171" s="247"/>
      <c r="J171" s="81">
        <f ca="1">J131*(1+INDEX(J$35:J$37,MATCH(Work_Codes!$I$32,$D$35:$D$37,0)))</f>
        <v>0</v>
      </c>
      <c r="K171" s="81">
        <f ca="1">K131*(1+INDEX(K$35:K$37,MATCH(Work_Codes!$I$32,$D$35:$D$37,0)))</f>
        <v>0</v>
      </c>
      <c r="L171" s="81">
        <f ca="1">L131*(1+INDEX(L$35:L$37,MATCH(Work_Codes!$I$32,$D$35:$D$37,0)))</f>
        <v>0</v>
      </c>
      <c r="M171" s="81">
        <f ca="1">M131*(1+INDEX(M$35:M$37,MATCH(Work_Codes!$I$32,$D$35:$D$37,0)))</f>
        <v>0</v>
      </c>
      <c r="N171" s="81">
        <f ca="1">N131*(1+INDEX(N$35:N$37,MATCH(Work_Codes!$I$32,$D$35:$D$37,0)))</f>
        <v>0</v>
      </c>
      <c r="O171" s="81">
        <f ca="1">O131*(1+INDEX(O$35:O$37,MATCH(Work_Codes!$I$32,$D$35:$D$37,0)))</f>
        <v>0</v>
      </c>
      <c r="P171" s="81">
        <f ca="1">P131*(1+INDEX(P$35:P$37,MATCH(Work_Codes!$I$32,$D$35:$D$37,0)))</f>
        <v>0</v>
      </c>
      <c r="Q171" s="81">
        <f ca="1">Q131*(1+INDEX(Q$35:Q$37,MATCH(Work_Codes!$I$32,$D$35:$D$37,0)))</f>
        <v>0</v>
      </c>
      <c r="R171" s="81">
        <f ca="1">R131*(1+INDEX(R$35:R$37,MATCH(Work_Codes!$I$32,$D$35:$D$37,0)))</f>
        <v>0</v>
      </c>
      <c r="S171" s="81">
        <f ca="1">S131*(1+INDEX(S$35:S$37,MATCH(Work_Codes!$I$32,$D$35:$D$37,0)))</f>
        <v>0</v>
      </c>
      <c r="T171" s="81">
        <f ca="1">T131*(1+INDEX(T$35:T$37,MATCH(Work_Codes!$I$32,$D$35:$D$37,0)))</f>
        <v>0</v>
      </c>
    </row>
    <row r="172" spans="4:20" ht="11.5" customHeight="1" outlineLevel="2">
      <c r="E172" s="247" t="str">
        <f>GC!C46</f>
        <v>SCADA and remote control</v>
      </c>
      <c r="F172" s="247"/>
      <c r="G172" s="247"/>
      <c r="H172" s="247"/>
      <c r="I172" s="247"/>
      <c r="J172" s="81">
        <f ca="1">J132*(1+INDEX(J$35:J$37,MATCH(Work_Codes!$I$32,$D$35:$D$37,0)))</f>
        <v>0</v>
      </c>
      <c r="K172" s="81">
        <f ca="1">K132*(1+INDEX(K$35:K$37,MATCH(Work_Codes!$I$32,$D$35:$D$37,0)))</f>
        <v>0</v>
      </c>
      <c r="L172" s="81">
        <f ca="1">L132*(1+INDEX(L$35:L$37,MATCH(Work_Codes!$I$32,$D$35:$D$37,0)))</f>
        <v>0</v>
      </c>
      <c r="M172" s="81">
        <f ca="1">M132*(1+INDEX(M$35:M$37,MATCH(Work_Codes!$I$32,$D$35:$D$37,0)))</f>
        <v>0</v>
      </c>
      <c r="N172" s="81">
        <f ca="1">N132*(1+INDEX(N$35:N$37,MATCH(Work_Codes!$I$32,$D$35:$D$37,0)))</f>
        <v>0</v>
      </c>
      <c r="O172" s="81">
        <f ca="1">O132*(1+INDEX(O$35:O$37,MATCH(Work_Codes!$I$32,$D$35:$D$37,0)))</f>
        <v>0</v>
      </c>
      <c r="P172" s="81">
        <f ca="1">P132*(1+INDEX(P$35:P$37,MATCH(Work_Codes!$I$32,$D$35:$D$37,0)))</f>
        <v>0</v>
      </c>
      <c r="Q172" s="81">
        <f ca="1">Q132*(1+INDEX(Q$35:Q$37,MATCH(Work_Codes!$I$32,$D$35:$D$37,0)))</f>
        <v>0</v>
      </c>
      <c r="R172" s="81">
        <f ca="1">R132*(1+INDEX(R$35:R$37,MATCH(Work_Codes!$I$32,$D$35:$D$37,0)))</f>
        <v>0</v>
      </c>
      <c r="S172" s="81">
        <f ca="1">S132*(1+INDEX(S$35:S$37,MATCH(Work_Codes!$I$32,$D$35:$D$37,0)))</f>
        <v>0</v>
      </c>
      <c r="T172" s="81">
        <f ca="1">T132*(1+INDEX(T$35:T$37,MATCH(Work_Codes!$I$32,$D$35:$D$37,0)))</f>
        <v>0</v>
      </c>
    </row>
    <row r="173" spans="4:20" ht="11.5" customHeight="1" outlineLevel="2">
      <c r="E173" s="247" t="str">
        <f>GC!C47</f>
        <v>Buildings</v>
      </c>
      <c r="F173" s="247"/>
      <c r="G173" s="247"/>
      <c r="H173" s="247"/>
      <c r="I173" s="247"/>
      <c r="J173" s="81">
        <f ca="1">J133*(1+INDEX(J$35:J$37,MATCH(Work_Codes!$I$32,$D$35:$D$37,0)))</f>
        <v>0</v>
      </c>
      <c r="K173" s="81">
        <f ca="1">K133*(1+INDEX(K$35:K$37,MATCH(Work_Codes!$I$32,$D$35:$D$37,0)))</f>
        <v>0</v>
      </c>
      <c r="L173" s="81">
        <f ca="1">L133*(1+INDEX(L$35:L$37,MATCH(Work_Codes!$I$32,$D$35:$D$37,0)))</f>
        <v>0</v>
      </c>
      <c r="M173" s="81">
        <f ca="1">M133*(1+INDEX(M$35:M$37,MATCH(Work_Codes!$I$32,$D$35:$D$37,0)))</f>
        <v>0</v>
      </c>
      <c r="N173" s="81">
        <f ca="1">N133*(1+INDEX(N$35:N$37,MATCH(Work_Codes!$I$32,$D$35:$D$37,0)))</f>
        <v>0</v>
      </c>
      <c r="O173" s="81">
        <f ca="1">O133*(1+INDEX(O$35:O$37,MATCH(Work_Codes!$I$32,$D$35:$D$37,0)))</f>
        <v>0</v>
      </c>
      <c r="P173" s="81">
        <f ca="1">P133*(1+INDEX(P$35:P$37,MATCH(Work_Codes!$I$32,$D$35:$D$37,0)))</f>
        <v>0</v>
      </c>
      <c r="Q173" s="81">
        <f ca="1">Q133*(1+INDEX(Q$35:Q$37,MATCH(Work_Codes!$I$32,$D$35:$D$37,0)))</f>
        <v>0</v>
      </c>
      <c r="R173" s="81">
        <f ca="1">R133*(1+INDEX(R$35:R$37,MATCH(Work_Codes!$I$32,$D$35:$D$37,0)))</f>
        <v>0</v>
      </c>
      <c r="S173" s="81">
        <f ca="1">S133*(1+INDEX(S$35:S$37,MATCH(Work_Codes!$I$32,$D$35:$D$37,0)))</f>
        <v>0</v>
      </c>
      <c r="T173" s="81">
        <f ca="1">T133*(1+INDEX(T$35:T$37,MATCH(Work_Codes!$I$32,$D$35:$D$37,0)))</f>
        <v>0</v>
      </c>
    </row>
    <row r="174" spans="4:20" ht="11.5" customHeight="1" outlineLevel="2">
      <c r="E174" s="247" t="str">
        <f>GC!C48</f>
        <v>Other - IT</v>
      </c>
      <c r="F174" s="247"/>
      <c r="G174" s="247"/>
      <c r="H174" s="247"/>
      <c r="I174" s="247"/>
      <c r="J174" s="81">
        <f ca="1">J134*(1+INDEX(J$35:J$37,MATCH(Work_Codes!$I$32,$D$35:$D$37,0)))</f>
        <v>0</v>
      </c>
      <c r="K174" s="81">
        <f ca="1">K134*(1+INDEX(K$35:K$37,MATCH(Work_Codes!$I$32,$D$35:$D$37,0)))</f>
        <v>0</v>
      </c>
      <c r="L174" s="81">
        <f ca="1">L134*(1+INDEX(L$35:L$37,MATCH(Work_Codes!$I$32,$D$35:$D$37,0)))</f>
        <v>0</v>
      </c>
      <c r="M174" s="81">
        <f ca="1">M134*(1+INDEX(M$35:M$37,MATCH(Work_Codes!$I$32,$D$35:$D$37,0)))</f>
        <v>0</v>
      </c>
      <c r="N174" s="81">
        <f ca="1">N134*(1+INDEX(N$35:N$37,MATCH(Work_Codes!$I$32,$D$35:$D$37,0)))</f>
        <v>0</v>
      </c>
      <c r="O174" s="81">
        <f ca="1">O134*(1+INDEX(O$35:O$37,MATCH(Work_Codes!$I$32,$D$35:$D$37,0)))</f>
        <v>0</v>
      </c>
      <c r="P174" s="81">
        <f ca="1">P134*(1+INDEX(P$35:P$37,MATCH(Work_Codes!$I$32,$D$35:$D$37,0)))</f>
        <v>0</v>
      </c>
      <c r="Q174" s="81">
        <f ca="1">Q134*(1+INDEX(Q$35:Q$37,MATCH(Work_Codes!$I$32,$D$35:$D$37,0)))</f>
        <v>0</v>
      </c>
      <c r="R174" s="81">
        <f ca="1">R134*(1+INDEX(R$35:R$37,MATCH(Work_Codes!$I$32,$D$35:$D$37,0)))</f>
        <v>0</v>
      </c>
      <c r="S174" s="81">
        <f ca="1">S134*(1+INDEX(S$35:S$37,MATCH(Work_Codes!$I$32,$D$35:$D$37,0)))</f>
        <v>0</v>
      </c>
      <c r="T174" s="81">
        <f ca="1">T134*(1+INDEX(T$35:T$37,MATCH(Work_Codes!$I$32,$D$35:$D$37,0)))</f>
        <v>0</v>
      </c>
    </row>
    <row r="175" spans="4:20" ht="11.5" customHeight="1" outlineLevel="2">
      <c r="E175" s="247" t="str">
        <f>GC!C49</f>
        <v>Other - non IT</v>
      </c>
      <c r="F175" s="247"/>
      <c r="G175" s="247"/>
      <c r="H175" s="247"/>
      <c r="I175" s="247"/>
      <c r="J175" s="81">
        <f ca="1">J135*(1+INDEX(J$35:J$37,MATCH(Work_Codes!$I$32,$D$35:$D$37,0)))</f>
        <v>0</v>
      </c>
      <c r="K175" s="81">
        <f ca="1">K135*(1+INDEX(K$35:K$37,MATCH(Work_Codes!$I$32,$D$35:$D$37,0)))</f>
        <v>0</v>
      </c>
      <c r="L175" s="81">
        <f ca="1">L135*(1+INDEX(L$35:L$37,MATCH(Work_Codes!$I$32,$D$35:$D$37,0)))</f>
        <v>0</v>
      </c>
      <c r="M175" s="81">
        <f ca="1">M135*(1+INDEX(M$35:M$37,MATCH(Work_Codes!$I$32,$D$35:$D$37,0)))</f>
        <v>0</v>
      </c>
      <c r="N175" s="81">
        <f ca="1">N135*(1+INDEX(N$35:N$37,MATCH(Work_Codes!$I$32,$D$35:$D$37,0)))</f>
        <v>0</v>
      </c>
      <c r="O175" s="81">
        <f ca="1">O135*(1+INDEX(O$35:O$37,MATCH(Work_Codes!$I$32,$D$35:$D$37,0)))</f>
        <v>0</v>
      </c>
      <c r="P175" s="81">
        <f ca="1">P135*(1+INDEX(P$35:P$37,MATCH(Work_Codes!$I$32,$D$35:$D$37,0)))</f>
        <v>0</v>
      </c>
      <c r="Q175" s="81">
        <f ca="1">Q135*(1+INDEX(Q$35:Q$37,MATCH(Work_Codes!$I$32,$D$35:$D$37,0)))</f>
        <v>0</v>
      </c>
      <c r="R175" s="81">
        <f ca="1">R135*(1+INDEX(R$35:R$37,MATCH(Work_Codes!$I$32,$D$35:$D$37,0)))</f>
        <v>0</v>
      </c>
      <c r="S175" s="81">
        <f ca="1">S135*(1+INDEX(S$35:S$37,MATCH(Work_Codes!$I$32,$D$35:$D$37,0)))</f>
        <v>0</v>
      </c>
      <c r="T175" s="81">
        <f ca="1">T135*(1+INDEX(T$35:T$37,MATCH(Work_Codes!$I$32,$D$35:$D$37,0)))</f>
        <v>0</v>
      </c>
    </row>
    <row r="176" spans="4:20" ht="11.5" customHeight="1" outlineLevel="2">
      <c r="E176" s="247" t="str">
        <f>GC!C50</f>
        <v>Land</v>
      </c>
      <c r="F176" s="247"/>
      <c r="G176" s="247"/>
      <c r="H176" s="247"/>
      <c r="I176" s="247"/>
      <c r="J176" s="81">
        <f ca="1">J136*(1+INDEX(J$35:J$37,MATCH(Work_Codes!$I$32,$D$35:$D$37,0)))</f>
        <v>0</v>
      </c>
      <c r="K176" s="81">
        <f ca="1">K136*(1+INDEX(K$35:K$37,MATCH(Work_Codes!$I$32,$D$35:$D$37,0)))</f>
        <v>0</v>
      </c>
      <c r="L176" s="81">
        <f ca="1">L136*(1+INDEX(L$35:L$37,MATCH(Work_Codes!$I$32,$D$35:$D$37,0)))</f>
        <v>0</v>
      </c>
      <c r="M176" s="81">
        <f ca="1">M136*(1+INDEX(M$35:M$37,MATCH(Work_Codes!$I$32,$D$35:$D$37,0)))</f>
        <v>0</v>
      </c>
      <c r="N176" s="81">
        <f ca="1">N136*(1+INDEX(N$35:N$37,MATCH(Work_Codes!$I$32,$D$35:$D$37,0)))</f>
        <v>0</v>
      </c>
      <c r="O176" s="81">
        <f ca="1">O136*(1+INDEX(O$35:O$37,MATCH(Work_Codes!$I$32,$D$35:$D$37,0)))</f>
        <v>0</v>
      </c>
      <c r="P176" s="81">
        <f ca="1">P136*(1+INDEX(P$35:P$37,MATCH(Work_Codes!$I$32,$D$35:$D$37,0)))</f>
        <v>0</v>
      </c>
      <c r="Q176" s="81">
        <f ca="1">Q136*(1+INDEX(Q$35:Q$37,MATCH(Work_Codes!$I$32,$D$35:$D$37,0)))</f>
        <v>0</v>
      </c>
      <c r="R176" s="81">
        <f ca="1">R136*(1+INDEX(R$35:R$37,MATCH(Work_Codes!$I$32,$D$35:$D$37,0)))</f>
        <v>0</v>
      </c>
      <c r="S176" s="81">
        <f ca="1">S136*(1+INDEX(S$35:S$37,MATCH(Work_Codes!$I$32,$D$35:$D$37,0)))</f>
        <v>0</v>
      </c>
      <c r="T176" s="81">
        <f ca="1">T136*(1+INDEX(T$35:T$37,MATCH(Work_Codes!$I$32,$D$35:$D$37,0)))</f>
        <v>0</v>
      </c>
    </row>
    <row r="177" spans="4:20" outlineLevel="2">
      <c r="E177" s="247" t="str">
        <f>GC!C51</f>
        <v>Capitalised Leases</v>
      </c>
      <c r="F177" s="247"/>
      <c r="G177" s="247"/>
      <c r="H177" s="247"/>
      <c r="I177" s="247"/>
      <c r="J177" s="81">
        <f ca="1">J137*(1+INDEX(J$35:J$37,MATCH(Work_Codes!$I$32,$D$35:$D$37,0)))</f>
        <v>0</v>
      </c>
      <c r="K177" s="81">
        <f ca="1">K137*(1+INDEX(K$35:K$37,MATCH(Work_Codes!$I$32,$D$35:$D$37,0)))</f>
        <v>0</v>
      </c>
      <c r="L177" s="81">
        <f ca="1">L137*(1+INDEX(L$35:L$37,MATCH(Work_Codes!$I$32,$D$35:$D$37,0)))</f>
        <v>0</v>
      </c>
      <c r="M177" s="81">
        <f ca="1">M137*(1+INDEX(M$35:M$37,MATCH(Work_Codes!$I$32,$D$35:$D$37,0)))</f>
        <v>0</v>
      </c>
      <c r="N177" s="81">
        <f ca="1">N137*(1+INDEX(N$35:N$37,MATCH(Work_Codes!$I$32,$D$35:$D$37,0)))</f>
        <v>0</v>
      </c>
      <c r="O177" s="81">
        <f ca="1">O137*(1+INDEX(O$35:O$37,MATCH(Work_Codes!$I$32,$D$35:$D$37,0)))</f>
        <v>0</v>
      </c>
      <c r="P177" s="81">
        <f ca="1">P137*(1+INDEX(P$35:P$37,MATCH(Work_Codes!$I$32,$D$35:$D$37,0)))</f>
        <v>0</v>
      </c>
      <c r="Q177" s="81">
        <f ca="1">Q137*(1+INDEX(Q$35:Q$37,MATCH(Work_Codes!$I$32,$D$35:$D$37,0)))</f>
        <v>0</v>
      </c>
      <c r="R177" s="81">
        <f ca="1">R137*(1+INDEX(R$35:R$37,MATCH(Work_Codes!$I$32,$D$35:$D$37,0)))</f>
        <v>0</v>
      </c>
      <c r="S177" s="81">
        <f ca="1">S137*(1+INDEX(S$35:S$37,MATCH(Work_Codes!$I$32,$D$35:$D$37,0)))</f>
        <v>0</v>
      </c>
      <c r="T177" s="81">
        <f ca="1">T137*(1+INDEX(T$35:T$37,MATCH(Work_Codes!$I$32,$D$35:$D$37,0)))</f>
        <v>0</v>
      </c>
    </row>
    <row r="178" spans="4:20" outlineLevel="2">
      <c r="E178" s="247" t="str">
        <f>GC!C52</f>
        <v>Transmission pipelines - post 1998</v>
      </c>
      <c r="F178" s="247"/>
      <c r="G178" s="247"/>
      <c r="H178" s="247"/>
      <c r="I178" s="247"/>
      <c r="J178" s="81">
        <f ca="1">J138*(1+INDEX(J$35:J$37,MATCH(Work_Codes!$I$32,$D$35:$D$37,0)))</f>
        <v>0</v>
      </c>
      <c r="K178" s="81">
        <f ca="1">K138*(1+INDEX(K$35:K$37,MATCH(Work_Codes!$I$32,$D$35:$D$37,0)))</f>
        <v>0</v>
      </c>
      <c r="L178" s="81">
        <f ca="1">L138*(1+INDEX(L$35:L$37,MATCH(Work_Codes!$I$32,$D$35:$D$37,0)))</f>
        <v>0</v>
      </c>
      <c r="M178" s="81">
        <f ca="1">M138*(1+INDEX(M$35:M$37,MATCH(Work_Codes!$I$32,$D$35:$D$37,0)))</f>
        <v>0</v>
      </c>
      <c r="N178" s="81">
        <f ca="1">N138*(1+INDEX(N$35:N$37,MATCH(Work_Codes!$I$32,$D$35:$D$37,0)))</f>
        <v>0</v>
      </c>
      <c r="O178" s="81">
        <f ca="1">O138*(1+INDEX(O$35:O$37,MATCH(Work_Codes!$I$32,$D$35:$D$37,0)))</f>
        <v>0</v>
      </c>
      <c r="P178" s="81">
        <f ca="1">P138*(1+INDEX(P$35:P$37,MATCH(Work_Codes!$I$32,$D$35:$D$37,0)))</f>
        <v>0</v>
      </c>
      <c r="Q178" s="81">
        <f ca="1">Q138*(1+INDEX(Q$35:Q$37,MATCH(Work_Codes!$I$32,$D$35:$D$37,0)))</f>
        <v>0</v>
      </c>
      <c r="R178" s="81">
        <f ca="1">R138*(1+INDEX(R$35:R$37,MATCH(Work_Codes!$I$32,$D$35:$D$37,0)))</f>
        <v>0</v>
      </c>
      <c r="S178" s="81">
        <f ca="1">S138*(1+INDEX(S$35:S$37,MATCH(Work_Codes!$I$32,$D$35:$D$37,0)))</f>
        <v>0</v>
      </c>
      <c r="T178" s="81">
        <f ca="1">T138*(1+INDEX(T$35:T$37,MATCH(Work_Codes!$I$32,$D$35:$D$37,0)))</f>
        <v>0</v>
      </c>
    </row>
    <row r="179" spans="4:20" outlineLevel="2">
      <c r="E179" s="247" t="str">
        <f>GC!C53</f>
        <v>Distribution pipelines - post 1998</v>
      </c>
      <c r="F179" s="247"/>
      <c r="G179" s="247"/>
      <c r="H179" s="247"/>
      <c r="I179" s="247"/>
      <c r="J179" s="81">
        <f ca="1">J139*(1+INDEX(J$35:J$37,MATCH(Work_Codes!$I$32,$D$35:$D$37,0)))</f>
        <v>0</v>
      </c>
      <c r="K179" s="81">
        <f ca="1">K139*(1+INDEX(K$35:K$37,MATCH(Work_Codes!$I$32,$D$35:$D$37,0)))</f>
        <v>0</v>
      </c>
      <c r="L179" s="81">
        <f ca="1">L139*(1+INDEX(L$35:L$37,MATCH(Work_Codes!$I$32,$D$35:$D$37,0)))</f>
        <v>0</v>
      </c>
      <c r="M179" s="81">
        <f ca="1">M139*(1+INDEX(M$35:M$37,MATCH(Work_Codes!$I$32,$D$35:$D$37,0)))</f>
        <v>0</v>
      </c>
      <c r="N179" s="81">
        <f ca="1">N139*(1+INDEX(N$35:N$37,MATCH(Work_Codes!$I$32,$D$35:$D$37,0)))</f>
        <v>255119.19169410947</v>
      </c>
      <c r="O179" s="81">
        <f ca="1">O139*(1+INDEX(O$35:O$37,MATCH(Work_Codes!$I$32,$D$35:$D$37,0)))</f>
        <v>133486.69514482157</v>
      </c>
      <c r="P179" s="81">
        <f ca="1">P139*(1+INDEX(P$35:P$37,MATCH(Work_Codes!$I$32,$D$35:$D$37,0)))</f>
        <v>308061.21464752604</v>
      </c>
      <c r="Q179" s="81">
        <f ca="1">Q139*(1+INDEX(Q$35:Q$37,MATCH(Work_Codes!$I$32,$D$35:$D$37,0)))</f>
        <v>247122.99801321042</v>
      </c>
      <c r="R179" s="81">
        <f ca="1">R139*(1+INDEX(R$35:R$37,MATCH(Work_Codes!$I$32,$D$35:$D$37,0)))</f>
        <v>186283.25507906298</v>
      </c>
      <c r="S179" s="81">
        <f ca="1">S139*(1+INDEX(S$35:S$37,MATCH(Work_Codes!$I$32,$D$35:$D$37,0)))</f>
        <v>125153.53506324776</v>
      </c>
      <c r="T179" s="81">
        <f ca="1">T139*(1+INDEX(T$35:T$37,MATCH(Work_Codes!$I$32,$D$35:$D$37,0)))</f>
        <v>63489.398651045318</v>
      </c>
    </row>
    <row r="180" spans="4:20" outlineLevel="2">
      <c r="E180" s="247" t="str">
        <f>GC!C54</f>
        <v>Service pipes - post 1998</v>
      </c>
      <c r="F180" s="247"/>
      <c r="G180" s="247"/>
      <c r="H180" s="247"/>
      <c r="I180" s="247"/>
      <c r="J180" s="81">
        <f ca="1">J140*(1+INDEX(J$35:J$37,MATCH(Work_Codes!$I$32,$D$35:$D$37,0)))</f>
        <v>0</v>
      </c>
      <c r="K180" s="81">
        <f ca="1">K140*(1+INDEX(K$35:K$37,MATCH(Work_Codes!$I$32,$D$35:$D$37,0)))</f>
        <v>0</v>
      </c>
      <c r="L180" s="81">
        <f ca="1">L140*(1+INDEX(L$35:L$37,MATCH(Work_Codes!$I$32,$D$35:$D$37,0)))</f>
        <v>0</v>
      </c>
      <c r="M180" s="81">
        <f ca="1">M140*(1+INDEX(M$35:M$37,MATCH(Work_Codes!$I$32,$D$35:$D$37,0)))</f>
        <v>0</v>
      </c>
      <c r="N180" s="81">
        <f ca="1">N140*(1+INDEX(N$35:N$37,MATCH(Work_Codes!$I$32,$D$35:$D$37,0)))</f>
        <v>255119.19169410947</v>
      </c>
      <c r="O180" s="81">
        <f ca="1">O140*(1+INDEX(O$35:O$37,MATCH(Work_Codes!$I$32,$D$35:$D$37,0)))</f>
        <v>133486.69514482157</v>
      </c>
      <c r="P180" s="81">
        <f ca="1">P140*(1+INDEX(P$35:P$37,MATCH(Work_Codes!$I$32,$D$35:$D$37,0)))</f>
        <v>222617.34841869585</v>
      </c>
      <c r="Q180" s="81">
        <f ca="1">Q140*(1+INDEX(Q$35:Q$37,MATCH(Work_Codes!$I$32,$D$35:$D$37,0)))</f>
        <v>177265.26167838441</v>
      </c>
      <c r="R180" s="81">
        <f ca="1">R140*(1+INDEX(R$35:R$37,MATCH(Work_Codes!$I$32,$D$35:$D$37,0)))</f>
        <v>132400.09060781071</v>
      </c>
      <c r="S180" s="81">
        <f ca="1">S140*(1+INDEX(S$35:S$37,MATCH(Work_Codes!$I$32,$D$35:$D$37,0)))</f>
        <v>87751.407730709834</v>
      </c>
      <c r="T180" s="81">
        <f ca="1">T140*(1+INDEX(T$35:T$37,MATCH(Work_Codes!$I$32,$D$35:$D$37,0)))</f>
        <v>43154.065863194279</v>
      </c>
    </row>
    <row r="181" spans="4:20" outlineLevel="2">
      <c r="E181" s="247" t="str">
        <f>GC!C55</f>
        <v>Cathodic protection - post 1998</v>
      </c>
      <c r="F181" s="247"/>
      <c r="G181" s="247"/>
      <c r="H181" s="247"/>
      <c r="I181" s="247"/>
      <c r="J181" s="81">
        <f ca="1">J141*(1+INDEX(J$35:J$37,MATCH(Work_Codes!$I$32,$D$35:$D$37,0)))</f>
        <v>0</v>
      </c>
      <c r="K181" s="81">
        <f ca="1">K141*(1+INDEX(K$35:K$37,MATCH(Work_Codes!$I$32,$D$35:$D$37,0)))</f>
        <v>0</v>
      </c>
      <c r="L181" s="81">
        <f ca="1">L141*(1+INDEX(L$35:L$37,MATCH(Work_Codes!$I$32,$D$35:$D$37,0)))</f>
        <v>0</v>
      </c>
      <c r="M181" s="81">
        <f ca="1">M141*(1+INDEX(M$35:M$37,MATCH(Work_Codes!$I$32,$D$35:$D$37,0)))</f>
        <v>0</v>
      </c>
      <c r="N181" s="81">
        <f ca="1">N141*(1+INDEX(N$35:N$37,MATCH(Work_Codes!$I$32,$D$35:$D$37,0)))</f>
        <v>0</v>
      </c>
      <c r="O181" s="81">
        <f ca="1">O141*(1+INDEX(O$35:O$37,MATCH(Work_Codes!$I$32,$D$35:$D$37,0)))</f>
        <v>0</v>
      </c>
      <c r="P181" s="81">
        <f ca="1">P141*(1+INDEX(P$35:P$37,MATCH(Work_Codes!$I$32,$D$35:$D$37,0)))</f>
        <v>0</v>
      </c>
      <c r="Q181" s="81">
        <f ca="1">Q141*(1+INDEX(Q$35:Q$37,MATCH(Work_Codes!$I$32,$D$35:$D$37,0)))</f>
        <v>0</v>
      </c>
      <c r="R181" s="81">
        <f ca="1">R141*(1+INDEX(R$35:R$37,MATCH(Work_Codes!$I$32,$D$35:$D$37,0)))</f>
        <v>0</v>
      </c>
      <c r="S181" s="81">
        <f ca="1">S141*(1+INDEX(S$35:S$37,MATCH(Work_Codes!$I$32,$D$35:$D$37,0)))</f>
        <v>0</v>
      </c>
      <c r="T181" s="81">
        <f ca="1">T141*(1+INDEX(T$35:T$37,MATCH(Work_Codes!$I$32,$D$35:$D$37,0)))</f>
        <v>0</v>
      </c>
    </row>
    <row r="182" spans="4:20" ht="12" customHeight="1" outlineLevel="2">
      <c r="E182" s="249" t="str">
        <f>"Total "&amp;D164</f>
        <v>Total Direct Costs + Overheads</v>
      </c>
      <c r="F182" s="249"/>
      <c r="G182" s="249"/>
      <c r="H182" s="249"/>
      <c r="I182" s="249"/>
      <c r="J182" s="82">
        <f t="shared" ref="J182:T182" ca="1" si="21">SUM(J166:J181)</f>
        <v>0</v>
      </c>
      <c r="K182" s="82">
        <f t="shared" ca="1" si="21"/>
        <v>0</v>
      </c>
      <c r="L182" s="82">
        <f t="shared" ca="1" si="21"/>
        <v>0</v>
      </c>
      <c r="M182" s="82">
        <f t="shared" ca="1" si="21"/>
        <v>0</v>
      </c>
      <c r="N182" s="82">
        <f t="shared" ca="1" si="21"/>
        <v>510238.38338821894</v>
      </c>
      <c r="O182" s="82">
        <f t="shared" ca="1" si="21"/>
        <v>266973.39028964314</v>
      </c>
      <c r="P182" s="82">
        <f t="shared" ca="1" si="21"/>
        <v>530678.56306622189</v>
      </c>
      <c r="Q182" s="82">
        <f t="shared" ca="1" si="21"/>
        <v>424388.25969159487</v>
      </c>
      <c r="R182" s="82">
        <f t="shared" ca="1" si="21"/>
        <v>318683.34568687365</v>
      </c>
      <c r="S182" s="82">
        <f t="shared" ca="1" si="21"/>
        <v>212904.9427939576</v>
      </c>
      <c r="T182" s="82">
        <f t="shared" ca="1" si="21"/>
        <v>106643.4645142396</v>
      </c>
    </row>
    <row r="183" spans="4:20" outlineLevel="2"/>
    <row r="184" spans="4:20" outlineLevel="2">
      <c r="D184" s="37" t="s">
        <v>367</v>
      </c>
    </row>
    <row r="185" spans="4:20" ht="5.9" customHeight="1" outlineLevel="2"/>
    <row r="186" spans="4:20" outlineLevel="2">
      <c r="E186" s="247" t="str">
        <f>GC!C40</f>
        <v>Transmission pipelines</v>
      </c>
      <c r="F186" s="247"/>
      <c r="G186" s="247"/>
      <c r="H186" s="247"/>
      <c r="I186" s="247"/>
      <c r="J186" s="81">
        <f ca="1">SUMPRODUCT((Work_Codes!$N$35:$Y$35=$E186)*(Work_Codes!$N$46:$Y$46)*(J$74:J$74))</f>
        <v>0</v>
      </c>
      <c r="K186" s="81">
        <f ca="1">SUMPRODUCT((Work_Codes!$N$35:$Y$35=$E186)*(Work_Codes!$N$46:$Y$46)*(K$74:K$74))</f>
        <v>0</v>
      </c>
      <c r="L186" s="81">
        <f ca="1">SUMPRODUCT((Work_Codes!$N$35:$Y$35=$E186)*(Work_Codes!$N$46:$Y$46)*(L$74:L$74))</f>
        <v>0</v>
      </c>
      <c r="M186" s="81">
        <f ca="1">SUMPRODUCT((Work_Codes!$N$35:$Y$35=$E186)*(Work_Codes!$N$46:$Y$46)*(M$74:M$74))</f>
        <v>0</v>
      </c>
      <c r="N186" s="81">
        <f ca="1">SUMPRODUCT((Work_Codes!$N$35:$Y$35=$E186)*(Work_Codes!$N$46:$Y$46)*(N$74:N$74))</f>
        <v>0</v>
      </c>
      <c r="O186" s="81">
        <f ca="1">SUMPRODUCT((Work_Codes!$N$35:$Y$35=$E186)*(Work_Codes!$N$46:$Y$46)*(O$74:O$74))</f>
        <v>0</v>
      </c>
      <c r="P186" s="81">
        <f ca="1">SUMPRODUCT((Work_Codes!$N$35:$Y$35=$E186)*(Work_Codes!$N$46:$Y$46)*(P$74:P$74))</f>
        <v>0</v>
      </c>
      <c r="Q186" s="81">
        <f ca="1">SUMPRODUCT((Work_Codes!$N$35:$Y$35=$E186)*(Work_Codes!$N$46:$Y$46)*(Q$74:Q$74))</f>
        <v>0</v>
      </c>
      <c r="R186" s="81">
        <f ca="1">SUMPRODUCT((Work_Codes!$N$35:$Y$35=$E186)*(Work_Codes!$N$46:$Y$46)*(R$74:R$74))</f>
        <v>0</v>
      </c>
      <c r="S186" s="81">
        <f ca="1">SUMPRODUCT((Work_Codes!$N$35:$Y$35=$E186)*(Work_Codes!$N$46:$Y$46)*(S$74:S$74))</f>
        <v>0</v>
      </c>
      <c r="T186" s="81">
        <f ca="1">SUMPRODUCT((Work_Codes!$N$35:$Y$35=$E186)*(Work_Codes!$N$46:$Y$46)*(T$74:T$74))</f>
        <v>0</v>
      </c>
    </row>
    <row r="187" spans="4:20" outlineLevel="2">
      <c r="E187" s="247" t="str">
        <f>GC!C41</f>
        <v>Distribution pipelines</v>
      </c>
      <c r="F187" s="247"/>
      <c r="G187" s="247"/>
      <c r="H187" s="247"/>
      <c r="I187" s="247"/>
      <c r="J187" s="81">
        <f ca="1">SUMPRODUCT((Work_Codes!$N$35:$Y$35=$E187)*(Work_Codes!$N$46:$Y$46)*(J$74:J$74))</f>
        <v>0</v>
      </c>
      <c r="K187" s="81">
        <f ca="1">SUMPRODUCT((Work_Codes!$N$35:$Y$35=$E187)*(Work_Codes!$N$46:$Y$46)*(K$74:K$74))</f>
        <v>0</v>
      </c>
      <c r="L187" s="81">
        <f ca="1">SUMPRODUCT((Work_Codes!$N$35:$Y$35=$E187)*(Work_Codes!$N$46:$Y$46)*(L$74:L$74))</f>
        <v>0</v>
      </c>
      <c r="M187" s="81">
        <f ca="1">SUMPRODUCT((Work_Codes!$N$35:$Y$35=$E187)*(Work_Codes!$N$46:$Y$46)*(M$74:M$74))</f>
        <v>0</v>
      </c>
      <c r="N187" s="81">
        <f ca="1">SUMPRODUCT((Work_Codes!$N$35:$Y$35=$E187)*(Work_Codes!$N$46:$Y$46)*(N$74:N$74))</f>
        <v>0</v>
      </c>
      <c r="O187" s="81">
        <f ca="1">SUMPRODUCT((Work_Codes!$N$35:$Y$35=$E187)*(Work_Codes!$N$46:$Y$46)*(O$74:O$74))</f>
        <v>0</v>
      </c>
      <c r="P187" s="81">
        <f ca="1">SUMPRODUCT((Work_Codes!$N$35:$Y$35=$E187)*(Work_Codes!$N$46:$Y$46)*(P$74:P$74))</f>
        <v>0</v>
      </c>
      <c r="Q187" s="81">
        <f ca="1">SUMPRODUCT((Work_Codes!$N$35:$Y$35=$E187)*(Work_Codes!$N$46:$Y$46)*(Q$74:Q$74))</f>
        <v>0</v>
      </c>
      <c r="R187" s="81">
        <f ca="1">SUMPRODUCT((Work_Codes!$N$35:$Y$35=$E187)*(Work_Codes!$N$46:$Y$46)*(R$74:R$74))</f>
        <v>0</v>
      </c>
      <c r="S187" s="81">
        <f ca="1">SUMPRODUCT((Work_Codes!$N$35:$Y$35=$E187)*(Work_Codes!$N$46:$Y$46)*(S$74:S$74))</f>
        <v>0</v>
      </c>
      <c r="T187" s="81">
        <f ca="1">SUMPRODUCT((Work_Codes!$N$35:$Y$35=$E187)*(Work_Codes!$N$46:$Y$46)*(T$74:T$74))</f>
        <v>0</v>
      </c>
    </row>
    <row r="188" spans="4:20" outlineLevel="2">
      <c r="E188" s="247" t="str">
        <f>GC!C42</f>
        <v>Service pipes</v>
      </c>
      <c r="F188" s="247"/>
      <c r="G188" s="247"/>
      <c r="H188" s="247"/>
      <c r="I188" s="247"/>
      <c r="J188" s="81">
        <f ca="1">SUMPRODUCT((Work_Codes!$N$35:$Y$35=$E188)*(Work_Codes!$N$46:$Y$46)*(J$74:J$74))</f>
        <v>0</v>
      </c>
      <c r="K188" s="81">
        <f ca="1">SUMPRODUCT((Work_Codes!$N$35:$Y$35=$E188)*(Work_Codes!$N$46:$Y$46)*(K$74:K$74))</f>
        <v>0</v>
      </c>
      <c r="L188" s="81">
        <f ca="1">SUMPRODUCT((Work_Codes!$N$35:$Y$35=$E188)*(Work_Codes!$N$46:$Y$46)*(L$74:L$74))</f>
        <v>0</v>
      </c>
      <c r="M188" s="81">
        <f ca="1">SUMPRODUCT((Work_Codes!$N$35:$Y$35=$E188)*(Work_Codes!$N$46:$Y$46)*(M$74:M$74))</f>
        <v>0</v>
      </c>
      <c r="N188" s="81">
        <f ca="1">SUMPRODUCT((Work_Codes!$N$35:$Y$35=$E188)*(Work_Codes!$N$46:$Y$46)*(N$74:N$74))</f>
        <v>0</v>
      </c>
      <c r="O188" s="81">
        <f ca="1">SUMPRODUCT((Work_Codes!$N$35:$Y$35=$E188)*(Work_Codes!$N$46:$Y$46)*(O$74:O$74))</f>
        <v>0</v>
      </c>
      <c r="P188" s="81">
        <f ca="1">SUMPRODUCT((Work_Codes!$N$35:$Y$35=$E188)*(Work_Codes!$N$46:$Y$46)*(P$74:P$74))</f>
        <v>0</v>
      </c>
      <c r="Q188" s="81">
        <f ca="1">SUMPRODUCT((Work_Codes!$N$35:$Y$35=$E188)*(Work_Codes!$N$46:$Y$46)*(Q$74:Q$74))</f>
        <v>0</v>
      </c>
      <c r="R188" s="81">
        <f ca="1">SUMPRODUCT((Work_Codes!$N$35:$Y$35=$E188)*(Work_Codes!$N$46:$Y$46)*(R$74:R$74))</f>
        <v>0</v>
      </c>
      <c r="S188" s="81">
        <f ca="1">SUMPRODUCT((Work_Codes!$N$35:$Y$35=$E188)*(Work_Codes!$N$46:$Y$46)*(S$74:S$74))</f>
        <v>0</v>
      </c>
      <c r="T188" s="81">
        <f ca="1">SUMPRODUCT((Work_Codes!$N$35:$Y$35=$E188)*(Work_Codes!$N$46:$Y$46)*(T$74:T$74))</f>
        <v>0</v>
      </c>
    </row>
    <row r="189" spans="4:20" outlineLevel="2">
      <c r="E189" s="247" t="str">
        <f>GC!C43</f>
        <v>Cathodic protection</v>
      </c>
      <c r="F189" s="247"/>
      <c r="G189" s="247"/>
      <c r="H189" s="247"/>
      <c r="I189" s="247"/>
      <c r="J189" s="81">
        <f ca="1">SUMPRODUCT((Work_Codes!$N$35:$Y$35=$E189)*(Work_Codes!$N$46:$Y$46)*(J$74:J$74))</f>
        <v>0</v>
      </c>
      <c r="K189" s="81">
        <f ca="1">SUMPRODUCT((Work_Codes!$N$35:$Y$35=$E189)*(Work_Codes!$N$46:$Y$46)*(K$74:K$74))</f>
        <v>0</v>
      </c>
      <c r="L189" s="81">
        <f ca="1">SUMPRODUCT((Work_Codes!$N$35:$Y$35=$E189)*(Work_Codes!$N$46:$Y$46)*(L$74:L$74))</f>
        <v>0</v>
      </c>
      <c r="M189" s="81">
        <f ca="1">SUMPRODUCT((Work_Codes!$N$35:$Y$35=$E189)*(Work_Codes!$N$46:$Y$46)*(M$74:M$74))</f>
        <v>0</v>
      </c>
      <c r="N189" s="81">
        <f ca="1">SUMPRODUCT((Work_Codes!$N$35:$Y$35=$E189)*(Work_Codes!$N$46:$Y$46)*(N$74:N$74))</f>
        <v>0</v>
      </c>
      <c r="O189" s="81">
        <f ca="1">SUMPRODUCT((Work_Codes!$N$35:$Y$35=$E189)*(Work_Codes!$N$46:$Y$46)*(O$74:O$74))</f>
        <v>0</v>
      </c>
      <c r="P189" s="81">
        <f ca="1">SUMPRODUCT((Work_Codes!$N$35:$Y$35=$E189)*(Work_Codes!$N$46:$Y$46)*(P$74:P$74))</f>
        <v>0</v>
      </c>
      <c r="Q189" s="81">
        <f ca="1">SUMPRODUCT((Work_Codes!$N$35:$Y$35=$E189)*(Work_Codes!$N$46:$Y$46)*(Q$74:Q$74))</f>
        <v>0</v>
      </c>
      <c r="R189" s="81">
        <f ca="1">SUMPRODUCT((Work_Codes!$N$35:$Y$35=$E189)*(Work_Codes!$N$46:$Y$46)*(R$74:R$74))</f>
        <v>0</v>
      </c>
      <c r="S189" s="81">
        <f ca="1">SUMPRODUCT((Work_Codes!$N$35:$Y$35=$E189)*(Work_Codes!$N$46:$Y$46)*(S$74:S$74))</f>
        <v>0</v>
      </c>
      <c r="T189" s="81">
        <f ca="1">SUMPRODUCT((Work_Codes!$N$35:$Y$35=$E189)*(Work_Codes!$N$46:$Y$46)*(T$74:T$74))</f>
        <v>0</v>
      </c>
    </row>
    <row r="190" spans="4:20" outlineLevel="2">
      <c r="E190" s="247" t="str">
        <f>GC!C44</f>
        <v>Supply Regulators / Valve Stations</v>
      </c>
      <c r="F190" s="247"/>
      <c r="G190" s="247"/>
      <c r="H190" s="247"/>
      <c r="I190" s="247"/>
      <c r="J190" s="81">
        <f ca="1">SUMPRODUCT((Work_Codes!$N$35:$Y$35=$E190)*(Work_Codes!$N$46:$Y$46)*(J$74:J$74))</f>
        <v>0</v>
      </c>
      <c r="K190" s="81">
        <f ca="1">SUMPRODUCT((Work_Codes!$N$35:$Y$35=$E190)*(Work_Codes!$N$46:$Y$46)*(K$74:K$74))</f>
        <v>0</v>
      </c>
      <c r="L190" s="81">
        <f ca="1">SUMPRODUCT((Work_Codes!$N$35:$Y$35=$E190)*(Work_Codes!$N$46:$Y$46)*(L$74:L$74))</f>
        <v>0</v>
      </c>
      <c r="M190" s="81">
        <f ca="1">SUMPRODUCT((Work_Codes!$N$35:$Y$35=$E190)*(Work_Codes!$N$46:$Y$46)*(M$74:M$74))</f>
        <v>0</v>
      </c>
      <c r="N190" s="81">
        <f ca="1">SUMPRODUCT((Work_Codes!$N$35:$Y$35=$E190)*(Work_Codes!$N$46:$Y$46)*(N$74:N$74))</f>
        <v>0</v>
      </c>
      <c r="O190" s="81">
        <f ca="1">SUMPRODUCT((Work_Codes!$N$35:$Y$35=$E190)*(Work_Codes!$N$46:$Y$46)*(O$74:O$74))</f>
        <v>0</v>
      </c>
      <c r="P190" s="81">
        <f ca="1">SUMPRODUCT((Work_Codes!$N$35:$Y$35=$E190)*(Work_Codes!$N$46:$Y$46)*(P$74:P$74))</f>
        <v>0</v>
      </c>
      <c r="Q190" s="81">
        <f ca="1">SUMPRODUCT((Work_Codes!$N$35:$Y$35=$E190)*(Work_Codes!$N$46:$Y$46)*(Q$74:Q$74))</f>
        <v>0</v>
      </c>
      <c r="R190" s="81">
        <f ca="1">SUMPRODUCT((Work_Codes!$N$35:$Y$35=$E190)*(Work_Codes!$N$46:$Y$46)*(R$74:R$74))</f>
        <v>0</v>
      </c>
      <c r="S190" s="81">
        <f ca="1">SUMPRODUCT((Work_Codes!$N$35:$Y$35=$E190)*(Work_Codes!$N$46:$Y$46)*(S$74:S$74))</f>
        <v>0</v>
      </c>
      <c r="T190" s="81">
        <f ca="1">SUMPRODUCT((Work_Codes!$N$35:$Y$35=$E190)*(Work_Codes!$N$46:$Y$46)*(T$74:T$74))</f>
        <v>0</v>
      </c>
    </row>
    <row r="191" spans="4:20" outlineLevel="2">
      <c r="E191" s="247" t="str">
        <f>GC!C45</f>
        <v>Meters</v>
      </c>
      <c r="F191" s="247"/>
      <c r="G191" s="247"/>
      <c r="H191" s="247"/>
      <c r="I191" s="247"/>
      <c r="J191" s="81">
        <f ca="1">SUMPRODUCT((Work_Codes!$N$35:$Y$35=$E191)*(Work_Codes!$N$46:$Y$46)*(J$74:J$74))</f>
        <v>0</v>
      </c>
      <c r="K191" s="81">
        <f ca="1">SUMPRODUCT((Work_Codes!$N$35:$Y$35=$E191)*(Work_Codes!$N$46:$Y$46)*(K$74:K$74))</f>
        <v>0</v>
      </c>
      <c r="L191" s="81">
        <f ca="1">SUMPRODUCT((Work_Codes!$N$35:$Y$35=$E191)*(Work_Codes!$N$46:$Y$46)*(L$74:L$74))</f>
        <v>0</v>
      </c>
      <c r="M191" s="81">
        <f ca="1">SUMPRODUCT((Work_Codes!$N$35:$Y$35=$E191)*(Work_Codes!$N$46:$Y$46)*(M$74:M$74))</f>
        <v>0</v>
      </c>
      <c r="N191" s="81">
        <f ca="1">SUMPRODUCT((Work_Codes!$N$35:$Y$35=$E191)*(Work_Codes!$N$46:$Y$46)*(N$74:N$74))</f>
        <v>0</v>
      </c>
      <c r="O191" s="81">
        <f ca="1">SUMPRODUCT((Work_Codes!$N$35:$Y$35=$E191)*(Work_Codes!$N$46:$Y$46)*(O$74:O$74))</f>
        <v>0</v>
      </c>
      <c r="P191" s="81">
        <f ca="1">SUMPRODUCT((Work_Codes!$N$35:$Y$35=$E191)*(Work_Codes!$N$46:$Y$46)*(P$74:P$74))</f>
        <v>0</v>
      </c>
      <c r="Q191" s="81">
        <f ca="1">SUMPRODUCT((Work_Codes!$N$35:$Y$35=$E191)*(Work_Codes!$N$46:$Y$46)*(Q$74:Q$74))</f>
        <v>0</v>
      </c>
      <c r="R191" s="81">
        <f ca="1">SUMPRODUCT((Work_Codes!$N$35:$Y$35=$E191)*(Work_Codes!$N$46:$Y$46)*(R$74:R$74))</f>
        <v>0</v>
      </c>
      <c r="S191" s="81">
        <f ca="1">SUMPRODUCT((Work_Codes!$N$35:$Y$35=$E191)*(Work_Codes!$N$46:$Y$46)*(S$74:S$74))</f>
        <v>0</v>
      </c>
      <c r="T191" s="81">
        <f ca="1">SUMPRODUCT((Work_Codes!$N$35:$Y$35=$E191)*(Work_Codes!$N$46:$Y$46)*(T$74:T$74))</f>
        <v>0</v>
      </c>
    </row>
    <row r="192" spans="4:20" outlineLevel="2">
      <c r="E192" s="247" t="str">
        <f>GC!C46</f>
        <v>SCADA and remote control</v>
      </c>
      <c r="F192" s="247"/>
      <c r="G192" s="247"/>
      <c r="H192" s="247"/>
      <c r="I192" s="247"/>
      <c r="J192" s="81">
        <f ca="1">SUMPRODUCT((Work_Codes!$N$35:$Y$35=$E192)*(Work_Codes!$N$46:$Y$46)*(J$74:J$74))</f>
        <v>0</v>
      </c>
      <c r="K192" s="81">
        <f ca="1">SUMPRODUCT((Work_Codes!$N$35:$Y$35=$E192)*(Work_Codes!$N$46:$Y$46)*(K$74:K$74))</f>
        <v>0</v>
      </c>
      <c r="L192" s="81">
        <f ca="1">SUMPRODUCT((Work_Codes!$N$35:$Y$35=$E192)*(Work_Codes!$N$46:$Y$46)*(L$74:L$74))</f>
        <v>0</v>
      </c>
      <c r="M192" s="81">
        <f ca="1">SUMPRODUCT((Work_Codes!$N$35:$Y$35=$E192)*(Work_Codes!$N$46:$Y$46)*(M$74:M$74))</f>
        <v>0</v>
      </c>
      <c r="N192" s="81">
        <f ca="1">SUMPRODUCT((Work_Codes!$N$35:$Y$35=$E192)*(Work_Codes!$N$46:$Y$46)*(N$74:N$74))</f>
        <v>0</v>
      </c>
      <c r="O192" s="81">
        <f ca="1">SUMPRODUCT((Work_Codes!$N$35:$Y$35=$E192)*(Work_Codes!$N$46:$Y$46)*(O$74:O$74))</f>
        <v>0</v>
      </c>
      <c r="P192" s="81">
        <f ca="1">SUMPRODUCT((Work_Codes!$N$35:$Y$35=$E192)*(Work_Codes!$N$46:$Y$46)*(P$74:P$74))</f>
        <v>0</v>
      </c>
      <c r="Q192" s="81">
        <f ca="1">SUMPRODUCT((Work_Codes!$N$35:$Y$35=$E192)*(Work_Codes!$N$46:$Y$46)*(Q$74:Q$74))</f>
        <v>0</v>
      </c>
      <c r="R192" s="81">
        <f ca="1">SUMPRODUCT((Work_Codes!$N$35:$Y$35=$E192)*(Work_Codes!$N$46:$Y$46)*(R$74:R$74))</f>
        <v>0</v>
      </c>
      <c r="S192" s="81">
        <f ca="1">SUMPRODUCT((Work_Codes!$N$35:$Y$35=$E192)*(Work_Codes!$N$46:$Y$46)*(S$74:S$74))</f>
        <v>0</v>
      </c>
      <c r="T192" s="81">
        <f ca="1">SUMPRODUCT((Work_Codes!$N$35:$Y$35=$E192)*(Work_Codes!$N$46:$Y$46)*(T$74:T$74))</f>
        <v>0</v>
      </c>
    </row>
    <row r="193" spans="2:20" outlineLevel="2">
      <c r="E193" s="247" t="str">
        <f>GC!C47</f>
        <v>Buildings</v>
      </c>
      <c r="F193" s="247"/>
      <c r="G193" s="247"/>
      <c r="H193" s="247"/>
      <c r="I193" s="247"/>
      <c r="J193" s="81">
        <f ca="1">SUMPRODUCT((Work_Codes!$N$35:$Y$35=$E193)*(Work_Codes!$N$46:$Y$46)*(J$74:J$74))</f>
        <v>0</v>
      </c>
      <c r="K193" s="81">
        <f ca="1">SUMPRODUCT((Work_Codes!$N$35:$Y$35=$E193)*(Work_Codes!$N$46:$Y$46)*(K$74:K$74))</f>
        <v>0</v>
      </c>
      <c r="L193" s="81">
        <f ca="1">SUMPRODUCT((Work_Codes!$N$35:$Y$35=$E193)*(Work_Codes!$N$46:$Y$46)*(L$74:L$74))</f>
        <v>0</v>
      </c>
      <c r="M193" s="81">
        <f ca="1">SUMPRODUCT((Work_Codes!$N$35:$Y$35=$E193)*(Work_Codes!$N$46:$Y$46)*(M$74:M$74))</f>
        <v>0</v>
      </c>
      <c r="N193" s="81">
        <f ca="1">SUMPRODUCT((Work_Codes!$N$35:$Y$35=$E193)*(Work_Codes!$N$46:$Y$46)*(N$74:N$74))</f>
        <v>0</v>
      </c>
      <c r="O193" s="81">
        <f ca="1">SUMPRODUCT((Work_Codes!$N$35:$Y$35=$E193)*(Work_Codes!$N$46:$Y$46)*(O$74:O$74))</f>
        <v>0</v>
      </c>
      <c r="P193" s="81">
        <f ca="1">SUMPRODUCT((Work_Codes!$N$35:$Y$35=$E193)*(Work_Codes!$N$46:$Y$46)*(P$74:P$74))</f>
        <v>0</v>
      </c>
      <c r="Q193" s="81">
        <f ca="1">SUMPRODUCT((Work_Codes!$N$35:$Y$35=$E193)*(Work_Codes!$N$46:$Y$46)*(Q$74:Q$74))</f>
        <v>0</v>
      </c>
      <c r="R193" s="81">
        <f ca="1">SUMPRODUCT((Work_Codes!$N$35:$Y$35=$E193)*(Work_Codes!$N$46:$Y$46)*(R$74:R$74))</f>
        <v>0</v>
      </c>
      <c r="S193" s="81">
        <f ca="1">SUMPRODUCT((Work_Codes!$N$35:$Y$35=$E193)*(Work_Codes!$N$46:$Y$46)*(S$74:S$74))</f>
        <v>0</v>
      </c>
      <c r="T193" s="81">
        <f ca="1">SUMPRODUCT((Work_Codes!$N$35:$Y$35=$E193)*(Work_Codes!$N$46:$Y$46)*(T$74:T$74))</f>
        <v>0</v>
      </c>
    </row>
    <row r="194" spans="2:20" outlineLevel="2">
      <c r="E194" s="247" t="str">
        <f>GC!C48</f>
        <v>Other - IT</v>
      </c>
      <c r="F194" s="247"/>
      <c r="G194" s="247"/>
      <c r="H194" s="247"/>
      <c r="I194" s="247"/>
      <c r="J194" s="81">
        <f ca="1">SUMPRODUCT((Work_Codes!$N$35:$Y$35=$E194)*(Work_Codes!$N$46:$Y$46)*(J$74:J$74))</f>
        <v>0</v>
      </c>
      <c r="K194" s="81">
        <f ca="1">SUMPRODUCT((Work_Codes!$N$35:$Y$35=$E194)*(Work_Codes!$N$46:$Y$46)*(K$74:K$74))</f>
        <v>0</v>
      </c>
      <c r="L194" s="81">
        <f ca="1">SUMPRODUCT((Work_Codes!$N$35:$Y$35=$E194)*(Work_Codes!$N$46:$Y$46)*(L$74:L$74))</f>
        <v>0</v>
      </c>
      <c r="M194" s="81">
        <f ca="1">SUMPRODUCT((Work_Codes!$N$35:$Y$35=$E194)*(Work_Codes!$N$46:$Y$46)*(M$74:M$74))</f>
        <v>0</v>
      </c>
      <c r="N194" s="81">
        <f ca="1">SUMPRODUCT((Work_Codes!$N$35:$Y$35=$E194)*(Work_Codes!$N$46:$Y$46)*(N$74:N$74))</f>
        <v>0</v>
      </c>
      <c r="O194" s="81">
        <f ca="1">SUMPRODUCT((Work_Codes!$N$35:$Y$35=$E194)*(Work_Codes!$N$46:$Y$46)*(O$74:O$74))</f>
        <v>0</v>
      </c>
      <c r="P194" s="81">
        <f ca="1">SUMPRODUCT((Work_Codes!$N$35:$Y$35=$E194)*(Work_Codes!$N$46:$Y$46)*(P$74:P$74))</f>
        <v>0</v>
      </c>
      <c r="Q194" s="81">
        <f ca="1">SUMPRODUCT((Work_Codes!$N$35:$Y$35=$E194)*(Work_Codes!$N$46:$Y$46)*(Q$74:Q$74))</f>
        <v>0</v>
      </c>
      <c r="R194" s="81">
        <f ca="1">SUMPRODUCT((Work_Codes!$N$35:$Y$35=$E194)*(Work_Codes!$N$46:$Y$46)*(R$74:R$74))</f>
        <v>0</v>
      </c>
      <c r="S194" s="81">
        <f ca="1">SUMPRODUCT((Work_Codes!$N$35:$Y$35=$E194)*(Work_Codes!$N$46:$Y$46)*(S$74:S$74))</f>
        <v>0</v>
      </c>
      <c r="T194" s="81">
        <f ca="1">SUMPRODUCT((Work_Codes!$N$35:$Y$35=$E194)*(Work_Codes!$N$46:$Y$46)*(T$74:T$74))</f>
        <v>0</v>
      </c>
    </row>
    <row r="195" spans="2:20" outlineLevel="2">
      <c r="E195" s="247" t="str">
        <f>GC!C49</f>
        <v>Other - non IT</v>
      </c>
      <c r="F195" s="247"/>
      <c r="G195" s="247"/>
      <c r="H195" s="247"/>
      <c r="I195" s="247"/>
      <c r="J195" s="81">
        <f ca="1">SUMPRODUCT((Work_Codes!$N$35:$Y$35=$E195)*(Work_Codes!$N$46:$Y$46)*(J$74:J$74))</f>
        <v>0</v>
      </c>
      <c r="K195" s="81">
        <f ca="1">SUMPRODUCT((Work_Codes!$N$35:$Y$35=$E195)*(Work_Codes!$N$46:$Y$46)*(K$74:K$74))</f>
        <v>0</v>
      </c>
      <c r="L195" s="81">
        <f ca="1">SUMPRODUCT((Work_Codes!$N$35:$Y$35=$E195)*(Work_Codes!$N$46:$Y$46)*(L$74:L$74))</f>
        <v>0</v>
      </c>
      <c r="M195" s="81">
        <f ca="1">SUMPRODUCT((Work_Codes!$N$35:$Y$35=$E195)*(Work_Codes!$N$46:$Y$46)*(M$74:M$74))</f>
        <v>0</v>
      </c>
      <c r="N195" s="81">
        <f ca="1">SUMPRODUCT((Work_Codes!$N$35:$Y$35=$E195)*(Work_Codes!$N$46:$Y$46)*(N$74:N$74))</f>
        <v>0</v>
      </c>
      <c r="O195" s="81">
        <f ca="1">SUMPRODUCT((Work_Codes!$N$35:$Y$35=$E195)*(Work_Codes!$N$46:$Y$46)*(O$74:O$74))</f>
        <v>0</v>
      </c>
      <c r="P195" s="81">
        <f ca="1">SUMPRODUCT((Work_Codes!$N$35:$Y$35=$E195)*(Work_Codes!$N$46:$Y$46)*(P$74:P$74))</f>
        <v>0</v>
      </c>
      <c r="Q195" s="81">
        <f ca="1">SUMPRODUCT((Work_Codes!$N$35:$Y$35=$E195)*(Work_Codes!$N$46:$Y$46)*(Q$74:Q$74))</f>
        <v>0</v>
      </c>
      <c r="R195" s="81">
        <f ca="1">SUMPRODUCT((Work_Codes!$N$35:$Y$35=$E195)*(Work_Codes!$N$46:$Y$46)*(R$74:R$74))</f>
        <v>0</v>
      </c>
      <c r="S195" s="81">
        <f ca="1">SUMPRODUCT((Work_Codes!$N$35:$Y$35=$E195)*(Work_Codes!$N$46:$Y$46)*(S$74:S$74))</f>
        <v>0</v>
      </c>
      <c r="T195" s="81">
        <f ca="1">SUMPRODUCT((Work_Codes!$N$35:$Y$35=$E195)*(Work_Codes!$N$46:$Y$46)*(T$74:T$74))</f>
        <v>0</v>
      </c>
    </row>
    <row r="196" spans="2:20" outlineLevel="2">
      <c r="E196" s="247" t="str">
        <f>GC!C50</f>
        <v>Land</v>
      </c>
      <c r="F196" s="247"/>
      <c r="G196" s="247"/>
      <c r="H196" s="247"/>
      <c r="I196" s="247"/>
      <c r="J196" s="81">
        <f ca="1">SUMPRODUCT((Work_Codes!$N$35:$Y$35=$E196)*(Work_Codes!$N$46:$Y$46)*(J$74:J$74))</f>
        <v>0</v>
      </c>
      <c r="K196" s="81">
        <f ca="1">SUMPRODUCT((Work_Codes!$N$35:$Y$35=$E196)*(Work_Codes!$N$46:$Y$46)*(K$74:K$74))</f>
        <v>0</v>
      </c>
      <c r="L196" s="81">
        <f ca="1">SUMPRODUCT((Work_Codes!$N$35:$Y$35=$E196)*(Work_Codes!$N$46:$Y$46)*(L$74:L$74))</f>
        <v>0</v>
      </c>
      <c r="M196" s="81">
        <f ca="1">SUMPRODUCT((Work_Codes!$N$35:$Y$35=$E196)*(Work_Codes!$N$46:$Y$46)*(M$74:M$74))</f>
        <v>0</v>
      </c>
      <c r="N196" s="81">
        <f ca="1">SUMPRODUCT((Work_Codes!$N$35:$Y$35=$E196)*(Work_Codes!$N$46:$Y$46)*(N$74:N$74))</f>
        <v>0</v>
      </c>
      <c r="O196" s="81">
        <f ca="1">SUMPRODUCT((Work_Codes!$N$35:$Y$35=$E196)*(Work_Codes!$N$46:$Y$46)*(O$74:O$74))</f>
        <v>0</v>
      </c>
      <c r="P196" s="81">
        <f ca="1">SUMPRODUCT((Work_Codes!$N$35:$Y$35=$E196)*(Work_Codes!$N$46:$Y$46)*(P$74:P$74))</f>
        <v>0</v>
      </c>
      <c r="Q196" s="81">
        <f ca="1">SUMPRODUCT((Work_Codes!$N$35:$Y$35=$E196)*(Work_Codes!$N$46:$Y$46)*(Q$74:Q$74))</f>
        <v>0</v>
      </c>
      <c r="R196" s="81">
        <f ca="1">SUMPRODUCT((Work_Codes!$N$35:$Y$35=$E196)*(Work_Codes!$N$46:$Y$46)*(R$74:R$74))</f>
        <v>0</v>
      </c>
      <c r="S196" s="81">
        <f ca="1">SUMPRODUCT((Work_Codes!$N$35:$Y$35=$E196)*(Work_Codes!$N$46:$Y$46)*(S$74:S$74))</f>
        <v>0</v>
      </c>
      <c r="T196" s="81">
        <f ca="1">SUMPRODUCT((Work_Codes!$N$35:$Y$35=$E196)*(Work_Codes!$N$46:$Y$46)*(T$74:T$74))</f>
        <v>0</v>
      </c>
    </row>
    <row r="197" spans="2:20" outlineLevel="2">
      <c r="E197" s="247" t="str">
        <f>GC!C51</f>
        <v>Capitalised Leases</v>
      </c>
      <c r="F197" s="247"/>
      <c r="G197" s="247"/>
      <c r="H197" s="247"/>
      <c r="I197" s="247"/>
      <c r="J197" s="81">
        <f ca="1">SUMPRODUCT((Work_Codes!$N$35:$Y$35=$E197)*(Work_Codes!$N$46:$Y$46)*(J$74:J$74))</f>
        <v>0</v>
      </c>
      <c r="K197" s="81">
        <f ca="1">SUMPRODUCT((Work_Codes!$N$35:$Y$35=$E197)*(Work_Codes!$N$46:$Y$46)*(K$74:K$74))</f>
        <v>0</v>
      </c>
      <c r="L197" s="81">
        <f ca="1">SUMPRODUCT((Work_Codes!$N$35:$Y$35=$E197)*(Work_Codes!$N$46:$Y$46)*(L$74:L$74))</f>
        <v>0</v>
      </c>
      <c r="M197" s="81">
        <f ca="1">SUMPRODUCT((Work_Codes!$N$35:$Y$35=$E197)*(Work_Codes!$N$46:$Y$46)*(M$74:M$74))</f>
        <v>0</v>
      </c>
      <c r="N197" s="81">
        <f ca="1">SUMPRODUCT((Work_Codes!$N$35:$Y$35=$E197)*(Work_Codes!$N$46:$Y$46)*(N$74:N$74))</f>
        <v>0</v>
      </c>
      <c r="O197" s="81">
        <f ca="1">SUMPRODUCT((Work_Codes!$N$35:$Y$35=$E197)*(Work_Codes!$N$46:$Y$46)*(O$74:O$74))</f>
        <v>0</v>
      </c>
      <c r="P197" s="81">
        <f ca="1">SUMPRODUCT((Work_Codes!$N$35:$Y$35=$E197)*(Work_Codes!$N$46:$Y$46)*(P$74:P$74))</f>
        <v>0</v>
      </c>
      <c r="Q197" s="81">
        <f ca="1">SUMPRODUCT((Work_Codes!$N$35:$Y$35=$E197)*(Work_Codes!$N$46:$Y$46)*(Q$74:Q$74))</f>
        <v>0</v>
      </c>
      <c r="R197" s="81">
        <f ca="1">SUMPRODUCT((Work_Codes!$N$35:$Y$35=$E197)*(Work_Codes!$N$46:$Y$46)*(R$74:R$74))</f>
        <v>0</v>
      </c>
      <c r="S197" s="81">
        <f ca="1">SUMPRODUCT((Work_Codes!$N$35:$Y$35=$E197)*(Work_Codes!$N$46:$Y$46)*(S$74:S$74))</f>
        <v>0</v>
      </c>
      <c r="T197" s="81">
        <f ca="1">SUMPRODUCT((Work_Codes!$N$35:$Y$35=$E197)*(Work_Codes!$N$46:$Y$46)*(T$74:T$74))</f>
        <v>0</v>
      </c>
    </row>
    <row r="198" spans="2:20" outlineLevel="2">
      <c r="E198" s="247" t="str">
        <f>GC!C52</f>
        <v>Transmission pipelines - post 1998</v>
      </c>
      <c r="F198" s="247"/>
      <c r="G198" s="247"/>
      <c r="H198" s="247"/>
      <c r="I198" s="247"/>
      <c r="J198" s="81">
        <f ca="1">SUMPRODUCT((Work_Codes!$N$35:$Y$35=$E198)*(Work_Codes!$N$46:$Y$46)*(J$74:J$74))</f>
        <v>0</v>
      </c>
      <c r="K198" s="81">
        <f ca="1">SUMPRODUCT((Work_Codes!$N$35:$Y$35=$E198)*(Work_Codes!$N$46:$Y$46)*(K$74:K$74))</f>
        <v>0</v>
      </c>
      <c r="L198" s="81">
        <f ca="1">SUMPRODUCT((Work_Codes!$N$35:$Y$35=$E198)*(Work_Codes!$N$46:$Y$46)*(L$74:L$74))</f>
        <v>0</v>
      </c>
      <c r="M198" s="81">
        <f ca="1">SUMPRODUCT((Work_Codes!$N$35:$Y$35=$E198)*(Work_Codes!$N$46:$Y$46)*(M$74:M$74))</f>
        <v>0</v>
      </c>
      <c r="N198" s="81">
        <f ca="1">SUMPRODUCT((Work_Codes!$N$35:$Y$35=$E198)*(Work_Codes!$N$46:$Y$46)*(N$74:N$74))</f>
        <v>0</v>
      </c>
      <c r="O198" s="81">
        <f ca="1">SUMPRODUCT((Work_Codes!$N$35:$Y$35=$E198)*(Work_Codes!$N$46:$Y$46)*(O$74:O$74))</f>
        <v>0</v>
      </c>
      <c r="P198" s="81">
        <f ca="1">SUMPRODUCT((Work_Codes!$N$35:$Y$35=$E198)*(Work_Codes!$N$46:$Y$46)*(P$74:P$74))</f>
        <v>0</v>
      </c>
      <c r="Q198" s="81">
        <f ca="1">SUMPRODUCT((Work_Codes!$N$35:$Y$35=$E198)*(Work_Codes!$N$46:$Y$46)*(Q$74:Q$74))</f>
        <v>0</v>
      </c>
      <c r="R198" s="81">
        <f ca="1">SUMPRODUCT((Work_Codes!$N$35:$Y$35=$E198)*(Work_Codes!$N$46:$Y$46)*(R$74:R$74))</f>
        <v>0</v>
      </c>
      <c r="S198" s="81">
        <f ca="1">SUMPRODUCT((Work_Codes!$N$35:$Y$35=$E198)*(Work_Codes!$N$46:$Y$46)*(S$74:S$74))</f>
        <v>0</v>
      </c>
      <c r="T198" s="81">
        <f ca="1">SUMPRODUCT((Work_Codes!$N$35:$Y$35=$E198)*(Work_Codes!$N$46:$Y$46)*(T$74:T$74))</f>
        <v>0</v>
      </c>
    </row>
    <row r="199" spans="2:20" outlineLevel="2">
      <c r="E199" s="247" t="str">
        <f>GC!C53</f>
        <v>Distribution pipelines - post 1998</v>
      </c>
      <c r="F199" s="247"/>
      <c r="G199" s="247"/>
      <c r="H199" s="247"/>
      <c r="I199" s="247"/>
      <c r="J199" s="81">
        <f ca="1">SUMPRODUCT((Work_Codes!$N$35:$Y$35=$E199)*(Work_Codes!$N$46:$Y$46)*(J$74:J$74))</f>
        <v>0</v>
      </c>
      <c r="K199" s="81">
        <f ca="1">SUMPRODUCT((Work_Codes!$N$35:$Y$35=$E199)*(Work_Codes!$N$46:$Y$46)*(K$74:K$74))</f>
        <v>0</v>
      </c>
      <c r="L199" s="81">
        <f ca="1">SUMPRODUCT((Work_Codes!$N$35:$Y$35=$E199)*(Work_Codes!$N$46:$Y$46)*(L$74:L$74))</f>
        <v>0</v>
      </c>
      <c r="M199" s="81">
        <f ca="1">SUMPRODUCT((Work_Codes!$N$35:$Y$35=$E199)*(Work_Codes!$N$46:$Y$46)*(M$74:M$74))</f>
        <v>0</v>
      </c>
      <c r="N199" s="81">
        <f ca="1">SUMPRODUCT((Work_Codes!$N$35:$Y$35=$E199)*(Work_Codes!$N$46:$Y$46)*(N$74:N$74))</f>
        <v>0</v>
      </c>
      <c r="O199" s="81">
        <f ca="1">SUMPRODUCT((Work_Codes!$N$35:$Y$35=$E199)*(Work_Codes!$N$46:$Y$46)*(O$74:O$74))</f>
        <v>0</v>
      </c>
      <c r="P199" s="81">
        <f ca="1">SUMPRODUCT((Work_Codes!$N$35:$Y$35=$E199)*(Work_Codes!$N$46:$Y$46)*(P$74:P$74))</f>
        <v>0</v>
      </c>
      <c r="Q199" s="81">
        <f ca="1">SUMPRODUCT((Work_Codes!$N$35:$Y$35=$E199)*(Work_Codes!$N$46:$Y$46)*(Q$74:Q$74))</f>
        <v>0</v>
      </c>
      <c r="R199" s="81">
        <f ca="1">SUMPRODUCT((Work_Codes!$N$35:$Y$35=$E199)*(Work_Codes!$N$46:$Y$46)*(R$74:R$74))</f>
        <v>0</v>
      </c>
      <c r="S199" s="81">
        <f ca="1">SUMPRODUCT((Work_Codes!$N$35:$Y$35=$E199)*(Work_Codes!$N$46:$Y$46)*(S$74:S$74))</f>
        <v>0</v>
      </c>
      <c r="T199" s="81">
        <f ca="1">SUMPRODUCT((Work_Codes!$N$35:$Y$35=$E199)*(Work_Codes!$N$46:$Y$46)*(T$74:T$74))</f>
        <v>0</v>
      </c>
    </row>
    <row r="200" spans="2:20" outlineLevel="2">
      <c r="E200" s="247" t="str">
        <f>GC!C54</f>
        <v>Service pipes - post 1998</v>
      </c>
      <c r="F200" s="247"/>
      <c r="G200" s="247"/>
      <c r="H200" s="247"/>
      <c r="I200" s="247"/>
      <c r="J200" s="81">
        <f ca="1">SUMPRODUCT((Work_Codes!$N$35:$Y$35=$E200)*(Work_Codes!$N$46:$Y$46)*(J$74:J$74))</f>
        <v>0</v>
      </c>
      <c r="K200" s="81">
        <f ca="1">SUMPRODUCT((Work_Codes!$N$35:$Y$35=$E200)*(Work_Codes!$N$46:$Y$46)*(K$74:K$74))</f>
        <v>0</v>
      </c>
      <c r="L200" s="81">
        <f ca="1">SUMPRODUCT((Work_Codes!$N$35:$Y$35=$E200)*(Work_Codes!$N$46:$Y$46)*(L$74:L$74))</f>
        <v>0</v>
      </c>
      <c r="M200" s="81">
        <f ca="1">SUMPRODUCT((Work_Codes!$N$35:$Y$35=$E200)*(Work_Codes!$N$46:$Y$46)*(M$74:M$74))</f>
        <v>0</v>
      </c>
      <c r="N200" s="81">
        <f ca="1">SUMPRODUCT((Work_Codes!$N$35:$Y$35=$E200)*(Work_Codes!$N$46:$Y$46)*(N$74:N$74))</f>
        <v>0</v>
      </c>
      <c r="O200" s="81">
        <f ca="1">SUMPRODUCT((Work_Codes!$N$35:$Y$35=$E200)*(Work_Codes!$N$46:$Y$46)*(O$74:O$74))</f>
        <v>0</v>
      </c>
      <c r="P200" s="81">
        <f ca="1">SUMPRODUCT((Work_Codes!$N$35:$Y$35=$E200)*(Work_Codes!$N$46:$Y$46)*(P$74:P$74))</f>
        <v>0</v>
      </c>
      <c r="Q200" s="81">
        <f ca="1">SUMPRODUCT((Work_Codes!$N$35:$Y$35=$E200)*(Work_Codes!$N$46:$Y$46)*(Q$74:Q$74))</f>
        <v>0</v>
      </c>
      <c r="R200" s="81">
        <f ca="1">SUMPRODUCT((Work_Codes!$N$35:$Y$35=$E200)*(Work_Codes!$N$46:$Y$46)*(R$74:R$74))</f>
        <v>0</v>
      </c>
      <c r="S200" s="81">
        <f ca="1">SUMPRODUCT((Work_Codes!$N$35:$Y$35=$E200)*(Work_Codes!$N$46:$Y$46)*(S$74:S$74))</f>
        <v>0</v>
      </c>
      <c r="T200" s="81">
        <f ca="1">SUMPRODUCT((Work_Codes!$N$35:$Y$35=$E200)*(Work_Codes!$N$46:$Y$46)*(T$74:T$74))</f>
        <v>0</v>
      </c>
    </row>
    <row r="201" spans="2:20" outlineLevel="2">
      <c r="E201" s="247" t="str">
        <f>GC!C55</f>
        <v>Cathodic protection - post 1998</v>
      </c>
      <c r="F201" s="247"/>
      <c r="G201" s="247"/>
      <c r="H201" s="247"/>
      <c r="I201" s="247"/>
      <c r="J201" s="81">
        <f ca="1">SUMPRODUCT((Work_Codes!$N$35:$Y$35=$E201)*(Work_Codes!$N$46:$Y$46)*(J$74:J$74))</f>
        <v>0</v>
      </c>
      <c r="K201" s="81">
        <f ca="1">SUMPRODUCT((Work_Codes!$N$35:$Y$35=$E201)*(Work_Codes!$N$46:$Y$46)*(K$74:K$74))</f>
        <v>0</v>
      </c>
      <c r="L201" s="81">
        <f ca="1">SUMPRODUCT((Work_Codes!$N$35:$Y$35=$E201)*(Work_Codes!$N$46:$Y$46)*(L$74:L$74))</f>
        <v>0</v>
      </c>
      <c r="M201" s="81">
        <f ca="1">SUMPRODUCT((Work_Codes!$N$35:$Y$35=$E201)*(Work_Codes!$N$46:$Y$46)*(M$74:M$74))</f>
        <v>0</v>
      </c>
      <c r="N201" s="81">
        <f ca="1">SUMPRODUCT((Work_Codes!$N$35:$Y$35=$E201)*(Work_Codes!$N$46:$Y$46)*(N$74:N$74))</f>
        <v>0</v>
      </c>
      <c r="O201" s="81">
        <f ca="1">SUMPRODUCT((Work_Codes!$N$35:$Y$35=$E201)*(Work_Codes!$N$46:$Y$46)*(O$74:O$74))</f>
        <v>0</v>
      </c>
      <c r="P201" s="81">
        <f ca="1">SUMPRODUCT((Work_Codes!$N$35:$Y$35=$E201)*(Work_Codes!$N$46:$Y$46)*(P$74:P$74))</f>
        <v>0</v>
      </c>
      <c r="Q201" s="81">
        <f ca="1">SUMPRODUCT((Work_Codes!$N$35:$Y$35=$E201)*(Work_Codes!$N$46:$Y$46)*(Q$74:Q$74))</f>
        <v>0</v>
      </c>
      <c r="R201" s="81">
        <f ca="1">SUMPRODUCT((Work_Codes!$N$35:$Y$35=$E201)*(Work_Codes!$N$46:$Y$46)*(R$74:R$74))</f>
        <v>0</v>
      </c>
      <c r="S201" s="81">
        <f ca="1">SUMPRODUCT((Work_Codes!$N$35:$Y$35=$E201)*(Work_Codes!$N$46:$Y$46)*(S$74:S$74))</f>
        <v>0</v>
      </c>
      <c r="T201" s="81">
        <f ca="1">SUMPRODUCT((Work_Codes!$N$35:$Y$35=$E201)*(Work_Codes!$N$46:$Y$46)*(T$74:T$74))</f>
        <v>0</v>
      </c>
    </row>
    <row r="202" spans="2:20" outlineLevel="2">
      <c r="E202" s="249" t="str">
        <f>"Total "&amp;D184</f>
        <v>Total Customer Contributions</v>
      </c>
      <c r="F202" s="249"/>
      <c r="G202" s="249"/>
      <c r="H202" s="249"/>
      <c r="I202" s="249"/>
      <c r="J202" s="82">
        <f t="shared" ref="J202:T202" ca="1" si="22">SUM(J186:J201)</f>
        <v>0</v>
      </c>
      <c r="K202" s="82">
        <f t="shared" ca="1" si="22"/>
        <v>0</v>
      </c>
      <c r="L202" s="82">
        <f t="shared" ca="1" si="22"/>
        <v>0</v>
      </c>
      <c r="M202" s="82">
        <f t="shared" ca="1" si="22"/>
        <v>0</v>
      </c>
      <c r="N202" s="82">
        <f t="shared" ca="1" si="22"/>
        <v>0</v>
      </c>
      <c r="O202" s="82">
        <f t="shared" ca="1" si="22"/>
        <v>0</v>
      </c>
      <c r="P202" s="82">
        <f t="shared" ca="1" si="22"/>
        <v>0</v>
      </c>
      <c r="Q202" s="82">
        <f t="shared" ca="1" si="22"/>
        <v>0</v>
      </c>
      <c r="R202" s="82">
        <f t="shared" ca="1" si="22"/>
        <v>0</v>
      </c>
      <c r="S202" s="82">
        <f t="shared" ca="1" si="22"/>
        <v>0</v>
      </c>
      <c r="T202" s="82">
        <f t="shared" ca="1" si="22"/>
        <v>0</v>
      </c>
    </row>
    <row r="203" spans="2:20" outlineLevel="1">
      <c r="B203" s="12"/>
      <c r="C203" s="12"/>
      <c r="D203" s="12"/>
      <c r="E203" s="12"/>
      <c r="F203" s="12"/>
      <c r="G203" s="12"/>
      <c r="H203" s="12"/>
      <c r="I203" s="12"/>
      <c r="J203" s="12"/>
      <c r="K203" s="12"/>
      <c r="L203" s="12"/>
      <c r="M203" s="12"/>
      <c r="N203" s="12"/>
      <c r="O203" s="12"/>
      <c r="P203" s="12"/>
      <c r="Q203" s="12"/>
      <c r="R203" s="12"/>
      <c r="S203" s="12"/>
      <c r="T203" s="12"/>
    </row>
    <row r="204" spans="2:20" s="41" customFormat="1" outlineLevel="1"/>
    <row r="205" spans="2:20" s="41" customFormat="1" outlineLevel="1">
      <c r="C205" s="37" t="s">
        <v>196</v>
      </c>
    </row>
    <row r="206" spans="2:20" s="41" customFormat="1" ht="5.9" customHeight="1" outlineLevel="2"/>
    <row r="207" spans="2:20" outlineLevel="2">
      <c r="D207" s="37" t="s">
        <v>215</v>
      </c>
    </row>
    <row r="208" spans="2:20" ht="5.9" customHeight="1" outlineLevel="2"/>
    <row r="209" spans="5:20" ht="12" customHeight="1" outlineLevel="2">
      <c r="E209" s="247" t="str">
        <f>GC!C60</f>
        <v>Mains replacement</v>
      </c>
      <c r="F209" s="247"/>
      <c r="G209" s="247"/>
      <c r="H209" s="247"/>
      <c r="I209" s="247"/>
      <c r="J209" s="81">
        <f ca="1">SUMPRODUCT((Work_Codes!$AC$35:$AO$35=$E209)*(Work_Codes!$AC$38:$AO$42)*(J$113:J$117))</f>
        <v>0</v>
      </c>
      <c r="K209" s="81">
        <f ca="1">SUMPRODUCT((Work_Codes!$AC$35:$AO$35=$E209)*(Work_Codes!$AC$38:$AO$42)*(K$113:K$117))</f>
        <v>0</v>
      </c>
      <c r="L209" s="81">
        <f ca="1">SUMPRODUCT((Work_Codes!$AC$35:$AO$35=$E209)*(Work_Codes!$AC$38:$AO$42)*(L$113:L$117))</f>
        <v>0</v>
      </c>
      <c r="M209" s="81">
        <f ca="1">SUMPRODUCT((Work_Codes!$AC$35:$AO$35=$E209)*(Work_Codes!$AC$38:$AO$42)*(M$113:M$117))</f>
        <v>0</v>
      </c>
      <c r="N209" s="81">
        <f ca="1">SUMPRODUCT((Work_Codes!$AC$35:$AO$35=$E209)*(Work_Codes!$AC$38:$AO$42)*(N$113:N$117))</f>
        <v>491696.03074271942</v>
      </c>
      <c r="O209" s="81">
        <f ca="1">SUMPRODUCT((Work_Codes!$AC$35:$AO$35=$E209)*(Work_Codes!$AC$38:$AO$42)*(O$113:O$117))</f>
        <v>258373.68843908614</v>
      </c>
      <c r="P209" s="81">
        <f ca="1">SUMPRODUCT((Work_Codes!$AC$35:$AO$35=$E209)*(Work_Codes!$AC$38:$AO$42)*(P$113:P$117))</f>
        <v>516851.41268671944</v>
      </c>
      <c r="Q209" s="81">
        <f ca="1">SUMPRODUCT((Work_Codes!$AC$35:$AO$35=$E209)*(Work_Codes!$AC$38:$AO$42)*(Q$113:Q$117))</f>
        <v>413609.3569172906</v>
      </c>
      <c r="R209" s="81">
        <f ca="1">SUMPRODUCT((Work_Codes!$AC$35:$AO$35=$E209)*(Work_Codes!$AC$38:$AO$42)*(R$113:R$117))</f>
        <v>310343.48339927621</v>
      </c>
      <c r="S209" s="81">
        <f ca="1">SUMPRODUCT((Work_Codes!$AC$35:$AO$35=$E209)*(Work_Codes!$AC$38:$AO$42)*(S$113:S$117))</f>
        <v>206995.99799771339</v>
      </c>
      <c r="T209" s="81">
        <f ca="1">SUMPRODUCT((Work_Codes!$AC$35:$AO$35=$E209)*(Work_Codes!$AC$38:$AO$42)*(T$113:T$117))</f>
        <v>103545.34852513502</v>
      </c>
    </row>
    <row r="210" spans="5:20" ht="12" customHeight="1" outlineLevel="2">
      <c r="E210" s="247" t="str">
        <f>GC!C61</f>
        <v>Residential new customer connections</v>
      </c>
      <c r="F210" s="247"/>
      <c r="G210" s="247"/>
      <c r="H210" s="247"/>
      <c r="I210" s="247"/>
      <c r="J210" s="81">
        <f ca="1">SUMPRODUCT((Work_Codes!$AC$35:$AO$35=$E210)*(Work_Codes!$AC$38:$AO$42)*(J$113:J$117))</f>
        <v>0</v>
      </c>
      <c r="K210" s="81">
        <f ca="1">SUMPRODUCT((Work_Codes!$AC$35:$AO$35=$E210)*(Work_Codes!$AC$38:$AO$42)*(K$113:K$117))</f>
        <v>0</v>
      </c>
      <c r="L210" s="81">
        <f ca="1">SUMPRODUCT((Work_Codes!$AC$35:$AO$35=$E210)*(Work_Codes!$AC$38:$AO$42)*(L$113:L$117))</f>
        <v>0</v>
      </c>
      <c r="M210" s="81">
        <f ca="1">SUMPRODUCT((Work_Codes!$AC$35:$AO$35=$E210)*(Work_Codes!$AC$38:$AO$42)*(M$113:M$117))</f>
        <v>0</v>
      </c>
      <c r="N210" s="81">
        <f ca="1">SUMPRODUCT((Work_Codes!$AC$35:$AO$35=$E210)*(Work_Codes!$AC$38:$AO$42)*(N$113:N$117))</f>
        <v>0</v>
      </c>
      <c r="O210" s="81">
        <f ca="1">SUMPRODUCT((Work_Codes!$AC$35:$AO$35=$E210)*(Work_Codes!$AC$38:$AO$42)*(O$113:O$117))</f>
        <v>0</v>
      </c>
      <c r="P210" s="81">
        <f ca="1">SUMPRODUCT((Work_Codes!$AC$35:$AO$35=$E210)*(Work_Codes!$AC$38:$AO$42)*(P$113:P$117))</f>
        <v>0</v>
      </c>
      <c r="Q210" s="81">
        <f ca="1">SUMPRODUCT((Work_Codes!$AC$35:$AO$35=$E210)*(Work_Codes!$AC$38:$AO$42)*(Q$113:Q$117))</f>
        <v>0</v>
      </c>
      <c r="R210" s="81">
        <f ca="1">SUMPRODUCT((Work_Codes!$AC$35:$AO$35=$E210)*(Work_Codes!$AC$38:$AO$42)*(R$113:R$117))</f>
        <v>0</v>
      </c>
      <c r="S210" s="81">
        <f ca="1">SUMPRODUCT((Work_Codes!$AC$35:$AO$35=$E210)*(Work_Codes!$AC$38:$AO$42)*(S$113:S$117))</f>
        <v>0</v>
      </c>
      <c r="T210" s="81">
        <f ca="1">SUMPRODUCT((Work_Codes!$AC$35:$AO$35=$E210)*(Work_Codes!$AC$38:$AO$42)*(T$113:T$117))</f>
        <v>0</v>
      </c>
    </row>
    <row r="211" spans="5:20" ht="12" customHeight="1" outlineLevel="2">
      <c r="E211" s="247" t="str">
        <f>GC!C62</f>
        <v>Commercial and industrial new customer connections</v>
      </c>
      <c r="F211" s="247"/>
      <c r="G211" s="247"/>
      <c r="H211" s="247"/>
      <c r="I211" s="247"/>
      <c r="J211" s="81">
        <f ca="1">SUMPRODUCT((Work_Codes!$AC$35:$AO$35=$E211)*(Work_Codes!$AC$38:$AO$42)*(J$113:J$117))</f>
        <v>0</v>
      </c>
      <c r="K211" s="81">
        <f ca="1">SUMPRODUCT((Work_Codes!$AC$35:$AO$35=$E211)*(Work_Codes!$AC$38:$AO$42)*(K$113:K$117))</f>
        <v>0</v>
      </c>
      <c r="L211" s="81">
        <f ca="1">SUMPRODUCT((Work_Codes!$AC$35:$AO$35=$E211)*(Work_Codes!$AC$38:$AO$42)*(L$113:L$117))</f>
        <v>0</v>
      </c>
      <c r="M211" s="81">
        <f ca="1">SUMPRODUCT((Work_Codes!$AC$35:$AO$35=$E211)*(Work_Codes!$AC$38:$AO$42)*(M$113:M$117))</f>
        <v>0</v>
      </c>
      <c r="N211" s="81">
        <f ca="1">SUMPRODUCT((Work_Codes!$AC$35:$AO$35=$E211)*(Work_Codes!$AC$38:$AO$42)*(N$113:N$117))</f>
        <v>0</v>
      </c>
      <c r="O211" s="81">
        <f ca="1">SUMPRODUCT((Work_Codes!$AC$35:$AO$35=$E211)*(Work_Codes!$AC$38:$AO$42)*(O$113:O$117))</f>
        <v>0</v>
      </c>
      <c r="P211" s="81">
        <f ca="1">SUMPRODUCT((Work_Codes!$AC$35:$AO$35=$E211)*(Work_Codes!$AC$38:$AO$42)*(P$113:P$117))</f>
        <v>0</v>
      </c>
      <c r="Q211" s="81">
        <f ca="1">SUMPRODUCT((Work_Codes!$AC$35:$AO$35=$E211)*(Work_Codes!$AC$38:$AO$42)*(Q$113:Q$117))</f>
        <v>0</v>
      </c>
      <c r="R211" s="81">
        <f ca="1">SUMPRODUCT((Work_Codes!$AC$35:$AO$35=$E211)*(Work_Codes!$AC$38:$AO$42)*(R$113:R$117))</f>
        <v>0</v>
      </c>
      <c r="S211" s="81">
        <f ca="1">SUMPRODUCT((Work_Codes!$AC$35:$AO$35=$E211)*(Work_Codes!$AC$38:$AO$42)*(S$113:S$117))</f>
        <v>0</v>
      </c>
      <c r="T211" s="81">
        <f ca="1">SUMPRODUCT((Work_Codes!$AC$35:$AO$35=$E211)*(Work_Codes!$AC$38:$AO$42)*(T$113:T$117))</f>
        <v>0</v>
      </c>
    </row>
    <row r="212" spans="5:20" ht="12" customHeight="1" outlineLevel="2">
      <c r="E212" s="247" t="str">
        <f>GC!C63</f>
        <v>Residential meter replacement</v>
      </c>
      <c r="F212" s="247"/>
      <c r="G212" s="247"/>
      <c r="H212" s="247"/>
      <c r="I212" s="247"/>
      <c r="J212" s="81">
        <f ca="1">SUMPRODUCT((Work_Codes!$AC$35:$AO$35=$E212)*(Work_Codes!$AC$38:$AO$42)*(J$113:J$117))</f>
        <v>0</v>
      </c>
      <c r="K212" s="81">
        <f ca="1">SUMPRODUCT((Work_Codes!$AC$35:$AO$35=$E212)*(Work_Codes!$AC$38:$AO$42)*(K$113:K$117))</f>
        <v>0</v>
      </c>
      <c r="L212" s="81">
        <f ca="1">SUMPRODUCT((Work_Codes!$AC$35:$AO$35=$E212)*(Work_Codes!$AC$38:$AO$42)*(L$113:L$117))</f>
        <v>0</v>
      </c>
      <c r="M212" s="81">
        <f ca="1">SUMPRODUCT((Work_Codes!$AC$35:$AO$35=$E212)*(Work_Codes!$AC$38:$AO$42)*(M$113:M$117))</f>
        <v>0</v>
      </c>
      <c r="N212" s="81">
        <f ca="1">SUMPRODUCT((Work_Codes!$AC$35:$AO$35=$E212)*(Work_Codes!$AC$38:$AO$42)*(N$113:N$117))</f>
        <v>0</v>
      </c>
      <c r="O212" s="81">
        <f ca="1">SUMPRODUCT((Work_Codes!$AC$35:$AO$35=$E212)*(Work_Codes!$AC$38:$AO$42)*(O$113:O$117))</f>
        <v>0</v>
      </c>
      <c r="P212" s="81">
        <f ca="1">SUMPRODUCT((Work_Codes!$AC$35:$AO$35=$E212)*(Work_Codes!$AC$38:$AO$42)*(P$113:P$117))</f>
        <v>0</v>
      </c>
      <c r="Q212" s="81">
        <f ca="1">SUMPRODUCT((Work_Codes!$AC$35:$AO$35=$E212)*(Work_Codes!$AC$38:$AO$42)*(Q$113:Q$117))</f>
        <v>0</v>
      </c>
      <c r="R212" s="81">
        <f ca="1">SUMPRODUCT((Work_Codes!$AC$35:$AO$35=$E212)*(Work_Codes!$AC$38:$AO$42)*(R$113:R$117))</f>
        <v>0</v>
      </c>
      <c r="S212" s="81">
        <f ca="1">SUMPRODUCT((Work_Codes!$AC$35:$AO$35=$E212)*(Work_Codes!$AC$38:$AO$42)*(S$113:S$117))</f>
        <v>0</v>
      </c>
      <c r="T212" s="81">
        <f ca="1">SUMPRODUCT((Work_Codes!$AC$35:$AO$35=$E212)*(Work_Codes!$AC$38:$AO$42)*(T$113:T$117))</f>
        <v>0</v>
      </c>
    </row>
    <row r="213" spans="5:20" ht="12" customHeight="1" outlineLevel="2">
      <c r="E213" s="247" t="str">
        <f>GC!C64</f>
        <v>Commercial and industrial meter replacement</v>
      </c>
      <c r="F213" s="247"/>
      <c r="G213" s="247"/>
      <c r="H213" s="247"/>
      <c r="I213" s="247"/>
      <c r="J213" s="81">
        <f ca="1">SUMPRODUCT((Work_Codes!$AC$35:$AO$35=$E213)*(Work_Codes!$AC$38:$AO$42)*(J$113:J$117))</f>
        <v>0</v>
      </c>
      <c r="K213" s="81">
        <f ca="1">SUMPRODUCT((Work_Codes!$AC$35:$AO$35=$E213)*(Work_Codes!$AC$38:$AO$42)*(K$113:K$117))</f>
        <v>0</v>
      </c>
      <c r="L213" s="81">
        <f ca="1">SUMPRODUCT((Work_Codes!$AC$35:$AO$35=$E213)*(Work_Codes!$AC$38:$AO$42)*(L$113:L$117))</f>
        <v>0</v>
      </c>
      <c r="M213" s="81">
        <f ca="1">SUMPRODUCT((Work_Codes!$AC$35:$AO$35=$E213)*(Work_Codes!$AC$38:$AO$42)*(M$113:M$117))</f>
        <v>0</v>
      </c>
      <c r="N213" s="81">
        <f ca="1">SUMPRODUCT((Work_Codes!$AC$35:$AO$35=$E213)*(Work_Codes!$AC$38:$AO$42)*(N$113:N$117))</f>
        <v>0</v>
      </c>
      <c r="O213" s="81">
        <f ca="1">SUMPRODUCT((Work_Codes!$AC$35:$AO$35=$E213)*(Work_Codes!$AC$38:$AO$42)*(O$113:O$117))</f>
        <v>0</v>
      </c>
      <c r="P213" s="81">
        <f ca="1">SUMPRODUCT((Work_Codes!$AC$35:$AO$35=$E213)*(Work_Codes!$AC$38:$AO$42)*(P$113:P$117))</f>
        <v>0</v>
      </c>
      <c r="Q213" s="81">
        <f ca="1">SUMPRODUCT((Work_Codes!$AC$35:$AO$35=$E213)*(Work_Codes!$AC$38:$AO$42)*(Q$113:Q$117))</f>
        <v>0</v>
      </c>
      <c r="R213" s="81">
        <f ca="1">SUMPRODUCT((Work_Codes!$AC$35:$AO$35=$E213)*(Work_Codes!$AC$38:$AO$42)*(R$113:R$117))</f>
        <v>0</v>
      </c>
      <c r="S213" s="81">
        <f ca="1">SUMPRODUCT((Work_Codes!$AC$35:$AO$35=$E213)*(Work_Codes!$AC$38:$AO$42)*(S$113:S$117))</f>
        <v>0</v>
      </c>
      <c r="T213" s="81">
        <f ca="1">SUMPRODUCT((Work_Codes!$AC$35:$AO$35=$E213)*(Work_Codes!$AC$38:$AO$42)*(T$113:T$117))</f>
        <v>0</v>
      </c>
    </row>
    <row r="214" spans="5:20" ht="12" customHeight="1" outlineLevel="2">
      <c r="E214" s="247" t="str">
        <f>GC!C65</f>
        <v>Augmentation</v>
      </c>
      <c r="F214" s="247"/>
      <c r="G214" s="247"/>
      <c r="H214" s="247"/>
      <c r="I214" s="247"/>
      <c r="J214" s="81">
        <f ca="1">SUMPRODUCT((Work_Codes!$AC$35:$AO$35=$E214)*(Work_Codes!$AC$38:$AO$42)*(J$113:J$117))</f>
        <v>0</v>
      </c>
      <c r="K214" s="81">
        <f ca="1">SUMPRODUCT((Work_Codes!$AC$35:$AO$35=$E214)*(Work_Codes!$AC$38:$AO$42)*(K$113:K$117))</f>
        <v>0</v>
      </c>
      <c r="L214" s="81">
        <f ca="1">SUMPRODUCT((Work_Codes!$AC$35:$AO$35=$E214)*(Work_Codes!$AC$38:$AO$42)*(L$113:L$117))</f>
        <v>0</v>
      </c>
      <c r="M214" s="81">
        <f ca="1">SUMPRODUCT((Work_Codes!$AC$35:$AO$35=$E214)*(Work_Codes!$AC$38:$AO$42)*(M$113:M$117))</f>
        <v>0</v>
      </c>
      <c r="N214" s="81">
        <f ca="1">SUMPRODUCT((Work_Codes!$AC$35:$AO$35=$E214)*(Work_Codes!$AC$38:$AO$42)*(N$113:N$117))</f>
        <v>0</v>
      </c>
      <c r="O214" s="81">
        <f ca="1">SUMPRODUCT((Work_Codes!$AC$35:$AO$35=$E214)*(Work_Codes!$AC$38:$AO$42)*(O$113:O$117))</f>
        <v>0</v>
      </c>
      <c r="P214" s="81">
        <f ca="1">SUMPRODUCT((Work_Codes!$AC$35:$AO$35=$E214)*(Work_Codes!$AC$38:$AO$42)*(P$113:P$117))</f>
        <v>0</v>
      </c>
      <c r="Q214" s="81">
        <f ca="1">SUMPRODUCT((Work_Codes!$AC$35:$AO$35=$E214)*(Work_Codes!$AC$38:$AO$42)*(Q$113:Q$117))</f>
        <v>0</v>
      </c>
      <c r="R214" s="81">
        <f ca="1">SUMPRODUCT((Work_Codes!$AC$35:$AO$35=$E214)*(Work_Codes!$AC$38:$AO$42)*(R$113:R$117))</f>
        <v>0</v>
      </c>
      <c r="S214" s="81">
        <f ca="1">SUMPRODUCT((Work_Codes!$AC$35:$AO$35=$E214)*(Work_Codes!$AC$38:$AO$42)*(S$113:S$117))</f>
        <v>0</v>
      </c>
      <c r="T214" s="81">
        <f ca="1">SUMPRODUCT((Work_Codes!$AC$35:$AO$35=$E214)*(Work_Codes!$AC$38:$AO$42)*(T$113:T$117))</f>
        <v>0</v>
      </c>
    </row>
    <row r="215" spans="5:20" ht="12" customHeight="1" outlineLevel="2">
      <c r="E215" s="247" t="str">
        <f>GC!C66</f>
        <v>IT capex</v>
      </c>
      <c r="F215" s="247"/>
      <c r="G215" s="247"/>
      <c r="H215" s="247"/>
      <c r="I215" s="247"/>
      <c r="J215" s="81">
        <f ca="1">SUMPRODUCT((Work_Codes!$AC$35:$AO$35=$E215)*(Work_Codes!$AC$38:$AO$42)*(J$113:J$117))</f>
        <v>0</v>
      </c>
      <c r="K215" s="81">
        <f ca="1">SUMPRODUCT((Work_Codes!$AC$35:$AO$35=$E215)*(Work_Codes!$AC$38:$AO$42)*(K$113:K$117))</f>
        <v>0</v>
      </c>
      <c r="L215" s="81">
        <f ca="1">SUMPRODUCT((Work_Codes!$AC$35:$AO$35=$E215)*(Work_Codes!$AC$38:$AO$42)*(L$113:L$117))</f>
        <v>0</v>
      </c>
      <c r="M215" s="81">
        <f ca="1">SUMPRODUCT((Work_Codes!$AC$35:$AO$35=$E215)*(Work_Codes!$AC$38:$AO$42)*(M$113:M$117))</f>
        <v>0</v>
      </c>
      <c r="N215" s="81">
        <f ca="1">SUMPRODUCT((Work_Codes!$AC$35:$AO$35=$E215)*(Work_Codes!$AC$38:$AO$42)*(N$113:N$117))</f>
        <v>0</v>
      </c>
      <c r="O215" s="81">
        <f ca="1">SUMPRODUCT((Work_Codes!$AC$35:$AO$35=$E215)*(Work_Codes!$AC$38:$AO$42)*(O$113:O$117))</f>
        <v>0</v>
      </c>
      <c r="P215" s="81">
        <f ca="1">SUMPRODUCT((Work_Codes!$AC$35:$AO$35=$E215)*(Work_Codes!$AC$38:$AO$42)*(P$113:P$117))</f>
        <v>0</v>
      </c>
      <c r="Q215" s="81">
        <f ca="1">SUMPRODUCT((Work_Codes!$AC$35:$AO$35=$E215)*(Work_Codes!$AC$38:$AO$42)*(Q$113:Q$117))</f>
        <v>0</v>
      </c>
      <c r="R215" s="81">
        <f ca="1">SUMPRODUCT((Work_Codes!$AC$35:$AO$35=$E215)*(Work_Codes!$AC$38:$AO$42)*(R$113:R$117))</f>
        <v>0</v>
      </c>
      <c r="S215" s="81">
        <f ca="1">SUMPRODUCT((Work_Codes!$AC$35:$AO$35=$E215)*(Work_Codes!$AC$38:$AO$42)*(S$113:S$117))</f>
        <v>0</v>
      </c>
      <c r="T215" s="81">
        <f ca="1">SUMPRODUCT((Work_Codes!$AC$35:$AO$35=$E215)*(Work_Codes!$AC$38:$AO$42)*(T$113:T$117))</f>
        <v>0</v>
      </c>
    </row>
    <row r="216" spans="5:20" ht="12" customHeight="1" outlineLevel="2">
      <c r="E216" s="247" t="str">
        <f>GC!C67</f>
        <v>SCADA</v>
      </c>
      <c r="F216" s="247"/>
      <c r="G216" s="247"/>
      <c r="H216" s="247"/>
      <c r="I216" s="247"/>
      <c r="J216" s="81">
        <f ca="1">SUMPRODUCT((Work_Codes!$AC$35:$AO$35=$E216)*(Work_Codes!$AC$38:$AO$42)*(J$113:J$117))</f>
        <v>0</v>
      </c>
      <c r="K216" s="81">
        <f ca="1">SUMPRODUCT((Work_Codes!$AC$35:$AO$35=$E216)*(Work_Codes!$AC$38:$AO$42)*(K$113:K$117))</f>
        <v>0</v>
      </c>
      <c r="L216" s="81">
        <f ca="1">SUMPRODUCT((Work_Codes!$AC$35:$AO$35=$E216)*(Work_Codes!$AC$38:$AO$42)*(L$113:L$117))</f>
        <v>0</v>
      </c>
      <c r="M216" s="81">
        <f ca="1">SUMPRODUCT((Work_Codes!$AC$35:$AO$35=$E216)*(Work_Codes!$AC$38:$AO$42)*(M$113:M$117))</f>
        <v>0</v>
      </c>
      <c r="N216" s="81">
        <f ca="1">SUMPRODUCT((Work_Codes!$AC$35:$AO$35=$E216)*(Work_Codes!$AC$38:$AO$42)*(N$113:N$117))</f>
        <v>0</v>
      </c>
      <c r="O216" s="81">
        <f ca="1">SUMPRODUCT((Work_Codes!$AC$35:$AO$35=$E216)*(Work_Codes!$AC$38:$AO$42)*(O$113:O$117))</f>
        <v>0</v>
      </c>
      <c r="P216" s="81">
        <f ca="1">SUMPRODUCT((Work_Codes!$AC$35:$AO$35=$E216)*(Work_Codes!$AC$38:$AO$42)*(P$113:P$117))</f>
        <v>0</v>
      </c>
      <c r="Q216" s="81">
        <f ca="1">SUMPRODUCT((Work_Codes!$AC$35:$AO$35=$E216)*(Work_Codes!$AC$38:$AO$42)*(Q$113:Q$117))</f>
        <v>0</v>
      </c>
      <c r="R216" s="81">
        <f ca="1">SUMPRODUCT((Work_Codes!$AC$35:$AO$35=$E216)*(Work_Codes!$AC$38:$AO$42)*(R$113:R$117))</f>
        <v>0</v>
      </c>
      <c r="S216" s="81">
        <f ca="1">SUMPRODUCT((Work_Codes!$AC$35:$AO$35=$E216)*(Work_Codes!$AC$38:$AO$42)*(S$113:S$117))</f>
        <v>0</v>
      </c>
      <c r="T216" s="81">
        <f ca="1">SUMPRODUCT((Work_Codes!$AC$35:$AO$35=$E216)*(Work_Codes!$AC$38:$AO$42)*(T$113:T$117))</f>
        <v>0</v>
      </c>
    </row>
    <row r="217" spans="5:20" ht="12" customHeight="1" outlineLevel="2">
      <c r="E217" s="247" t="str">
        <f>GC!C68</f>
        <v>Other</v>
      </c>
      <c r="F217" s="247"/>
      <c r="G217" s="247"/>
      <c r="H217" s="247"/>
      <c r="I217" s="247"/>
      <c r="J217" s="81">
        <f ca="1">SUMPRODUCT((Work_Codes!$AC$35:$AO$35=$E217)*(Work_Codes!$AC$38:$AO$42)*(J$113:J$117))</f>
        <v>0</v>
      </c>
      <c r="K217" s="81">
        <f ca="1">SUMPRODUCT((Work_Codes!$AC$35:$AO$35=$E217)*(Work_Codes!$AC$38:$AO$42)*(K$113:K$117))</f>
        <v>0</v>
      </c>
      <c r="L217" s="81">
        <f ca="1">SUMPRODUCT((Work_Codes!$AC$35:$AO$35=$E217)*(Work_Codes!$AC$38:$AO$42)*(L$113:L$117))</f>
        <v>0</v>
      </c>
      <c r="M217" s="81">
        <f ca="1">SUMPRODUCT((Work_Codes!$AC$35:$AO$35=$E217)*(Work_Codes!$AC$38:$AO$42)*(M$113:M$117))</f>
        <v>0</v>
      </c>
      <c r="N217" s="81">
        <f ca="1">SUMPRODUCT((Work_Codes!$AC$35:$AO$35=$E217)*(Work_Codes!$AC$38:$AO$42)*(N$113:N$117))</f>
        <v>0</v>
      </c>
      <c r="O217" s="81">
        <f ca="1">SUMPRODUCT((Work_Codes!$AC$35:$AO$35=$E217)*(Work_Codes!$AC$38:$AO$42)*(O$113:O$117))</f>
        <v>0</v>
      </c>
      <c r="P217" s="81">
        <f ca="1">SUMPRODUCT((Work_Codes!$AC$35:$AO$35=$E217)*(Work_Codes!$AC$38:$AO$42)*(P$113:P$117))</f>
        <v>0</v>
      </c>
      <c r="Q217" s="81">
        <f ca="1">SUMPRODUCT((Work_Codes!$AC$35:$AO$35=$E217)*(Work_Codes!$AC$38:$AO$42)*(Q$113:Q$117))</f>
        <v>0</v>
      </c>
      <c r="R217" s="81">
        <f ca="1">SUMPRODUCT((Work_Codes!$AC$35:$AO$35=$E217)*(Work_Codes!$AC$38:$AO$42)*(R$113:R$117))</f>
        <v>0</v>
      </c>
      <c r="S217" s="81">
        <f ca="1">SUMPRODUCT((Work_Codes!$AC$35:$AO$35=$E217)*(Work_Codes!$AC$38:$AO$42)*(S$113:S$117))</f>
        <v>0</v>
      </c>
      <c r="T217" s="81">
        <f ca="1">SUMPRODUCT((Work_Codes!$AC$35:$AO$35=$E217)*(Work_Codes!$AC$38:$AO$42)*(T$113:T$117))</f>
        <v>0</v>
      </c>
    </row>
    <row r="218" spans="5:20" outlineLevel="2">
      <c r="E218" s="247" t="str">
        <f>GC!C69</f>
        <v>Capitalised Leases</v>
      </c>
      <c r="F218" s="247"/>
      <c r="G218" s="247"/>
      <c r="H218" s="247"/>
      <c r="I218" s="247"/>
      <c r="J218" s="81">
        <f ca="1">SUMPRODUCT((Work_Codes!$AC$35:$AO$35=$E218)*(Work_Codes!$AC$38:$AO$42)*(J$113:J$117))</f>
        <v>0</v>
      </c>
      <c r="K218" s="81">
        <f ca="1">SUMPRODUCT((Work_Codes!$AC$35:$AO$35=$E218)*(Work_Codes!$AC$38:$AO$42)*(K$113:K$117))</f>
        <v>0</v>
      </c>
      <c r="L218" s="81">
        <f ca="1">SUMPRODUCT((Work_Codes!$AC$35:$AO$35=$E218)*(Work_Codes!$AC$38:$AO$42)*(L$113:L$117))</f>
        <v>0</v>
      </c>
      <c r="M218" s="81">
        <f ca="1">SUMPRODUCT((Work_Codes!$AC$35:$AO$35=$E218)*(Work_Codes!$AC$38:$AO$42)*(M$113:M$117))</f>
        <v>0</v>
      </c>
      <c r="N218" s="81">
        <f ca="1">SUMPRODUCT((Work_Codes!$AC$35:$AO$35=$E218)*(Work_Codes!$AC$38:$AO$42)*(N$113:N$117))</f>
        <v>0</v>
      </c>
      <c r="O218" s="81">
        <f ca="1">SUMPRODUCT((Work_Codes!$AC$35:$AO$35=$E218)*(Work_Codes!$AC$38:$AO$42)*(O$113:O$117))</f>
        <v>0</v>
      </c>
      <c r="P218" s="81">
        <f ca="1">SUMPRODUCT((Work_Codes!$AC$35:$AO$35=$E218)*(Work_Codes!$AC$38:$AO$42)*(P$113:P$117))</f>
        <v>0</v>
      </c>
      <c r="Q218" s="81">
        <f ca="1">SUMPRODUCT((Work_Codes!$AC$35:$AO$35=$E218)*(Work_Codes!$AC$38:$AO$42)*(Q$113:Q$117))</f>
        <v>0</v>
      </c>
      <c r="R218" s="81">
        <f ca="1">SUMPRODUCT((Work_Codes!$AC$35:$AO$35=$E218)*(Work_Codes!$AC$38:$AO$42)*(R$113:R$117))</f>
        <v>0</v>
      </c>
      <c r="S218" s="81">
        <f ca="1">SUMPRODUCT((Work_Codes!$AC$35:$AO$35=$E218)*(Work_Codes!$AC$38:$AO$42)*(S$113:S$117))</f>
        <v>0</v>
      </c>
      <c r="T218" s="81">
        <f ca="1">SUMPRODUCT((Work_Codes!$AC$35:$AO$35=$E218)*(Work_Codes!$AC$38:$AO$42)*(T$113:T$117))</f>
        <v>0</v>
      </c>
    </row>
    <row r="219" spans="5:20" ht="12" customHeight="1" outlineLevel="2">
      <c r="E219" s="247" t="str">
        <f>GC!C70</f>
        <v>Gas Extensions - Energy for the Regions</v>
      </c>
      <c r="F219" s="247"/>
      <c r="G219" s="247"/>
      <c r="H219" s="247"/>
      <c r="I219" s="247"/>
      <c r="J219" s="81">
        <f ca="1">SUMPRODUCT((Work_Codes!$AC$35:$AO$35=$E219)*(Work_Codes!$AC$38:$AO$42)*(J$113:J$117))</f>
        <v>0</v>
      </c>
      <c r="K219" s="81">
        <f ca="1">SUMPRODUCT((Work_Codes!$AC$35:$AO$35=$E219)*(Work_Codes!$AC$38:$AO$42)*(K$113:K$117))</f>
        <v>0</v>
      </c>
      <c r="L219" s="81">
        <f ca="1">SUMPRODUCT((Work_Codes!$AC$35:$AO$35=$E219)*(Work_Codes!$AC$38:$AO$42)*(L$113:L$117))</f>
        <v>0</v>
      </c>
      <c r="M219" s="81">
        <f ca="1">SUMPRODUCT((Work_Codes!$AC$35:$AO$35=$E219)*(Work_Codes!$AC$38:$AO$42)*(M$113:M$117))</f>
        <v>0</v>
      </c>
      <c r="N219" s="81">
        <f ca="1">SUMPRODUCT((Work_Codes!$AC$35:$AO$35=$E219)*(Work_Codes!$AC$38:$AO$42)*(N$113:N$117))</f>
        <v>0</v>
      </c>
      <c r="O219" s="81">
        <f ca="1">SUMPRODUCT((Work_Codes!$AC$35:$AO$35=$E219)*(Work_Codes!$AC$38:$AO$42)*(O$113:O$117))</f>
        <v>0</v>
      </c>
      <c r="P219" s="81">
        <f ca="1">SUMPRODUCT((Work_Codes!$AC$35:$AO$35=$E219)*(Work_Codes!$AC$38:$AO$42)*(P$113:P$117))</f>
        <v>0</v>
      </c>
      <c r="Q219" s="81">
        <f ca="1">SUMPRODUCT((Work_Codes!$AC$35:$AO$35=$E219)*(Work_Codes!$AC$38:$AO$42)*(Q$113:Q$117))</f>
        <v>0</v>
      </c>
      <c r="R219" s="81">
        <f ca="1">SUMPRODUCT((Work_Codes!$AC$35:$AO$35=$E219)*(Work_Codes!$AC$38:$AO$42)*(R$113:R$117))</f>
        <v>0</v>
      </c>
      <c r="S219" s="81">
        <f ca="1">SUMPRODUCT((Work_Codes!$AC$35:$AO$35=$E219)*(Work_Codes!$AC$38:$AO$42)*(S$113:S$117))</f>
        <v>0</v>
      </c>
      <c r="T219" s="81">
        <f ca="1">SUMPRODUCT((Work_Codes!$AC$35:$AO$35=$E219)*(Work_Codes!$AC$38:$AO$42)*(T$113:T$117))</f>
        <v>0</v>
      </c>
    </row>
    <row r="220" spans="5:20" ht="12" customHeight="1" outlineLevel="2">
      <c r="E220" s="247" t="str">
        <f>GC!C71</f>
        <v>Gas Extensions - Other</v>
      </c>
      <c r="F220" s="247"/>
      <c r="G220" s="247"/>
      <c r="H220" s="247"/>
      <c r="I220" s="247"/>
      <c r="J220" s="81">
        <f ca="1">SUMPRODUCT((Work_Codes!$AC$35:$AO$35=$E220)*(Work_Codes!$AC$38:$AO$42)*(J$113:J$117))</f>
        <v>0</v>
      </c>
      <c r="K220" s="81">
        <f ca="1">SUMPRODUCT((Work_Codes!$AC$35:$AO$35=$E220)*(Work_Codes!$AC$38:$AO$42)*(K$113:K$117))</f>
        <v>0</v>
      </c>
      <c r="L220" s="81">
        <f ca="1">SUMPRODUCT((Work_Codes!$AC$35:$AO$35=$E220)*(Work_Codes!$AC$38:$AO$42)*(L$113:L$117))</f>
        <v>0</v>
      </c>
      <c r="M220" s="81">
        <f ca="1">SUMPRODUCT((Work_Codes!$AC$35:$AO$35=$E220)*(Work_Codes!$AC$38:$AO$42)*(M$113:M$117))</f>
        <v>0</v>
      </c>
      <c r="N220" s="81">
        <f ca="1">SUMPRODUCT((Work_Codes!$AC$35:$AO$35=$E220)*(Work_Codes!$AC$38:$AO$42)*(N$113:N$117))</f>
        <v>0</v>
      </c>
      <c r="O220" s="81">
        <f ca="1">SUMPRODUCT((Work_Codes!$AC$35:$AO$35=$E220)*(Work_Codes!$AC$38:$AO$42)*(O$113:O$117))</f>
        <v>0</v>
      </c>
      <c r="P220" s="81">
        <f ca="1">SUMPRODUCT((Work_Codes!$AC$35:$AO$35=$E220)*(Work_Codes!$AC$38:$AO$42)*(P$113:P$117))</f>
        <v>0</v>
      </c>
      <c r="Q220" s="81">
        <f ca="1">SUMPRODUCT((Work_Codes!$AC$35:$AO$35=$E220)*(Work_Codes!$AC$38:$AO$42)*(Q$113:Q$117))</f>
        <v>0</v>
      </c>
      <c r="R220" s="81">
        <f ca="1">SUMPRODUCT((Work_Codes!$AC$35:$AO$35=$E220)*(Work_Codes!$AC$38:$AO$42)*(R$113:R$117))</f>
        <v>0</v>
      </c>
      <c r="S220" s="81">
        <f ca="1">SUMPRODUCT((Work_Codes!$AC$35:$AO$35=$E220)*(Work_Codes!$AC$38:$AO$42)*(S$113:S$117))</f>
        <v>0</v>
      </c>
      <c r="T220" s="81">
        <f ca="1">SUMPRODUCT((Work_Codes!$AC$35:$AO$35=$E220)*(Work_Codes!$AC$38:$AO$42)*(T$113:T$117))</f>
        <v>0</v>
      </c>
    </row>
    <row r="221" spans="5:20" ht="12" customHeight="1" outlineLevel="2">
      <c r="E221" s="247" t="str">
        <f>GC!C72</f>
        <v>Customer contributions</v>
      </c>
      <c r="F221" s="247"/>
      <c r="G221" s="247"/>
      <c r="H221" s="247"/>
      <c r="I221" s="247"/>
      <c r="J221" s="81">
        <f ca="1">SUMPRODUCT((Work_Codes!$AC$35:$AO$35=$E221)*(Work_Codes!$AC$38:$AO$42)*(J$113:J$117))</f>
        <v>0</v>
      </c>
      <c r="K221" s="81">
        <f ca="1">SUMPRODUCT((Work_Codes!$AC$35:$AO$35=$E221)*(Work_Codes!$AC$38:$AO$42)*(K$113:K$117))</f>
        <v>0</v>
      </c>
      <c r="L221" s="81">
        <f ca="1">SUMPRODUCT((Work_Codes!$AC$35:$AO$35=$E221)*(Work_Codes!$AC$38:$AO$42)*(L$113:L$117))</f>
        <v>0</v>
      </c>
      <c r="M221" s="81">
        <f ca="1">SUMPRODUCT((Work_Codes!$AC$35:$AO$35=$E221)*(Work_Codes!$AC$38:$AO$42)*(M$113:M$117))</f>
        <v>0</v>
      </c>
      <c r="N221" s="81">
        <f ca="1">SUMPRODUCT((Work_Codes!$AC$35:$AO$35=$E221)*(Work_Codes!$AC$38:$AO$42)*(N$113:N$117))</f>
        <v>0</v>
      </c>
      <c r="O221" s="81">
        <f ca="1">SUMPRODUCT((Work_Codes!$AC$35:$AO$35=$E221)*(Work_Codes!$AC$38:$AO$42)*(O$113:O$117))</f>
        <v>0</v>
      </c>
      <c r="P221" s="81">
        <f ca="1">SUMPRODUCT((Work_Codes!$AC$35:$AO$35=$E221)*(Work_Codes!$AC$38:$AO$42)*(P$113:P$117))</f>
        <v>0</v>
      </c>
      <c r="Q221" s="81">
        <f ca="1">SUMPRODUCT((Work_Codes!$AC$35:$AO$35=$E221)*(Work_Codes!$AC$38:$AO$42)*(Q$113:Q$117))</f>
        <v>0</v>
      </c>
      <c r="R221" s="81">
        <f ca="1">SUMPRODUCT((Work_Codes!$AC$35:$AO$35=$E221)*(Work_Codes!$AC$38:$AO$42)*(R$113:R$117))</f>
        <v>0</v>
      </c>
      <c r="S221" s="81">
        <f ca="1">SUMPRODUCT((Work_Codes!$AC$35:$AO$35=$E221)*(Work_Codes!$AC$38:$AO$42)*(S$113:S$117))</f>
        <v>0</v>
      </c>
      <c r="T221" s="81">
        <f ca="1">SUMPRODUCT((Work_Codes!$AC$35:$AO$35=$E221)*(Work_Codes!$AC$38:$AO$42)*(T$113:T$117))</f>
        <v>0</v>
      </c>
    </row>
    <row r="222" spans="5:20" ht="12" customHeight="1" outlineLevel="2">
      <c r="E222" s="247" t="str">
        <f>GC!C73</f>
        <v>Government contributions</v>
      </c>
      <c r="F222" s="247"/>
      <c r="G222" s="247"/>
      <c r="H222" s="247"/>
      <c r="I222" s="247"/>
      <c r="J222" s="81">
        <f ca="1">SUMPRODUCT((Work_Codes!$AC$35:$AO$35=$E222)*(Work_Codes!$AC$38:$AO$42)*(J$113:J$117))</f>
        <v>0</v>
      </c>
      <c r="K222" s="81">
        <f ca="1">SUMPRODUCT((Work_Codes!$AC$35:$AO$35=$E222)*(Work_Codes!$AC$38:$AO$42)*(K$113:K$117))</f>
        <v>0</v>
      </c>
      <c r="L222" s="81">
        <f ca="1">SUMPRODUCT((Work_Codes!$AC$35:$AO$35=$E222)*(Work_Codes!$AC$38:$AO$42)*(L$113:L$117))</f>
        <v>0</v>
      </c>
      <c r="M222" s="81">
        <f ca="1">SUMPRODUCT((Work_Codes!$AC$35:$AO$35=$E222)*(Work_Codes!$AC$38:$AO$42)*(M$113:M$117))</f>
        <v>0</v>
      </c>
      <c r="N222" s="81">
        <f ca="1">SUMPRODUCT((Work_Codes!$AC$35:$AO$35=$E222)*(Work_Codes!$AC$38:$AO$42)*(N$113:N$117))</f>
        <v>0</v>
      </c>
      <c r="O222" s="81">
        <f ca="1">SUMPRODUCT((Work_Codes!$AC$35:$AO$35=$E222)*(Work_Codes!$AC$38:$AO$42)*(O$113:O$117))</f>
        <v>0</v>
      </c>
      <c r="P222" s="81">
        <f ca="1">SUMPRODUCT((Work_Codes!$AC$35:$AO$35=$E222)*(Work_Codes!$AC$38:$AO$42)*(P$113:P$117))</f>
        <v>0</v>
      </c>
      <c r="Q222" s="81">
        <f ca="1">SUMPRODUCT((Work_Codes!$AC$35:$AO$35=$E222)*(Work_Codes!$AC$38:$AO$42)*(Q$113:Q$117))</f>
        <v>0</v>
      </c>
      <c r="R222" s="81">
        <f ca="1">SUMPRODUCT((Work_Codes!$AC$35:$AO$35=$E222)*(Work_Codes!$AC$38:$AO$42)*(R$113:R$117))</f>
        <v>0</v>
      </c>
      <c r="S222" s="81">
        <f ca="1">SUMPRODUCT((Work_Codes!$AC$35:$AO$35=$E222)*(Work_Codes!$AC$38:$AO$42)*(S$113:S$117))</f>
        <v>0</v>
      </c>
      <c r="T222" s="81">
        <f ca="1">SUMPRODUCT((Work_Codes!$AC$35:$AO$35=$E222)*(Work_Codes!$AC$38:$AO$42)*(T$113:T$117))</f>
        <v>0</v>
      </c>
    </row>
    <row r="223" spans="5:20" ht="12" customHeight="1" outlineLevel="2">
      <c r="E223" s="249" t="str">
        <f>"Total "&amp;D207</f>
        <v>Total Direct Costs</v>
      </c>
      <c r="F223" s="249"/>
      <c r="G223" s="249"/>
      <c r="H223" s="249"/>
      <c r="I223" s="249"/>
      <c r="J223" s="82">
        <f t="shared" ref="J223:T223" ca="1" si="23">SUM(J209:J222)</f>
        <v>0</v>
      </c>
      <c r="K223" s="82">
        <f t="shared" ca="1" si="23"/>
        <v>0</v>
      </c>
      <c r="L223" s="82">
        <f t="shared" ca="1" si="23"/>
        <v>0</v>
      </c>
      <c r="M223" s="82">
        <f t="shared" ca="1" si="23"/>
        <v>0</v>
      </c>
      <c r="N223" s="82">
        <f t="shared" ca="1" si="23"/>
        <v>491696.03074271942</v>
      </c>
      <c r="O223" s="82">
        <f t="shared" ca="1" si="23"/>
        <v>258373.68843908614</v>
      </c>
      <c r="P223" s="82">
        <f t="shared" ca="1" si="23"/>
        <v>516851.41268671944</v>
      </c>
      <c r="Q223" s="82">
        <f t="shared" ca="1" si="23"/>
        <v>413609.3569172906</v>
      </c>
      <c r="R223" s="82">
        <f t="shared" ca="1" si="23"/>
        <v>310343.48339927621</v>
      </c>
      <c r="S223" s="82">
        <f t="shared" ca="1" si="23"/>
        <v>206995.99799771339</v>
      </c>
      <c r="T223" s="82">
        <f t="shared" ca="1" si="23"/>
        <v>103545.34852513502</v>
      </c>
    </row>
    <row r="224" spans="5:20" outlineLevel="2"/>
    <row r="225" spans="4:20" outlineLevel="2">
      <c r="D225" s="37" t="s">
        <v>216</v>
      </c>
    </row>
    <row r="226" spans="4:20" ht="5.9" customHeight="1" outlineLevel="2"/>
    <row r="227" spans="4:20" ht="12" customHeight="1" outlineLevel="2">
      <c r="E227" s="247" t="str">
        <f>GC!C60</f>
        <v>Mains replacement</v>
      </c>
      <c r="F227" s="247"/>
      <c r="G227" s="247"/>
      <c r="H227" s="247"/>
      <c r="I227" s="247"/>
      <c r="J227" s="81">
        <f ca="1">J209*(1+INDEX(J$35:J$37,MATCH(Work_Codes!$I$32,$D$35:$D$37,0)))</f>
        <v>0</v>
      </c>
      <c r="K227" s="81">
        <f ca="1">K209*(1+INDEX(K$35:K$37,MATCH(Work_Codes!$I$32,$D$35:$D$37,0)))</f>
        <v>0</v>
      </c>
      <c r="L227" s="81">
        <f ca="1">L209*(1+INDEX(L$35:L$37,MATCH(Work_Codes!$I$32,$D$35:$D$37,0)))</f>
        <v>0</v>
      </c>
      <c r="M227" s="81">
        <f ca="1">M209*(1+INDEX(M$35:M$37,MATCH(Work_Codes!$I$32,$D$35:$D$37,0)))</f>
        <v>0</v>
      </c>
      <c r="N227" s="81">
        <f ca="1">N209*(1+INDEX(N$35:N$37,MATCH(Work_Codes!$I$32,$D$35:$D$37,0)))</f>
        <v>510238.38338821894</v>
      </c>
      <c r="O227" s="81">
        <f ca="1">O209*(1+INDEX(O$35:O$37,MATCH(Work_Codes!$I$32,$D$35:$D$37,0)))</f>
        <v>266973.39028964314</v>
      </c>
      <c r="P227" s="81">
        <f ca="1">P209*(1+INDEX(P$35:P$37,MATCH(Work_Codes!$I$32,$D$35:$D$37,0)))</f>
        <v>530678.56306622189</v>
      </c>
      <c r="Q227" s="81">
        <f ca="1">Q209*(1+INDEX(Q$35:Q$37,MATCH(Work_Codes!$I$32,$D$35:$D$37,0)))</f>
        <v>424388.25969159481</v>
      </c>
      <c r="R227" s="81">
        <f ca="1">R209*(1+INDEX(R$35:R$37,MATCH(Work_Codes!$I$32,$D$35:$D$37,0)))</f>
        <v>318683.34568687365</v>
      </c>
      <c r="S227" s="81">
        <f ca="1">S209*(1+INDEX(S$35:S$37,MATCH(Work_Codes!$I$32,$D$35:$D$37,0)))</f>
        <v>212904.9427939576</v>
      </c>
      <c r="T227" s="81">
        <f ca="1">T209*(1+INDEX(T$35:T$37,MATCH(Work_Codes!$I$32,$D$35:$D$37,0)))</f>
        <v>106643.4645142396</v>
      </c>
    </row>
    <row r="228" spans="4:20" ht="12" customHeight="1" outlineLevel="2">
      <c r="E228" s="247" t="str">
        <f>GC!C61</f>
        <v>Residential new customer connections</v>
      </c>
      <c r="F228" s="247"/>
      <c r="G228" s="247"/>
      <c r="H228" s="247"/>
      <c r="I228" s="247"/>
      <c r="J228" s="81">
        <f ca="1">J210*(1+INDEX(J$35:J$37,MATCH(Work_Codes!$I$32,$D$35:$D$37,0)))</f>
        <v>0</v>
      </c>
      <c r="K228" s="81">
        <f ca="1">K210*(1+INDEX(K$35:K$37,MATCH(Work_Codes!$I$32,$D$35:$D$37,0)))</f>
        <v>0</v>
      </c>
      <c r="L228" s="81">
        <f ca="1">L210*(1+INDEX(L$35:L$37,MATCH(Work_Codes!$I$32,$D$35:$D$37,0)))</f>
        <v>0</v>
      </c>
      <c r="M228" s="81">
        <f ca="1">M210*(1+INDEX(M$35:M$37,MATCH(Work_Codes!$I$32,$D$35:$D$37,0)))</f>
        <v>0</v>
      </c>
      <c r="N228" s="81">
        <f ca="1">N210*(1+INDEX(N$35:N$37,MATCH(Work_Codes!$I$32,$D$35:$D$37,0)))</f>
        <v>0</v>
      </c>
      <c r="O228" s="81">
        <f ca="1">O210*(1+INDEX(O$35:O$37,MATCH(Work_Codes!$I$32,$D$35:$D$37,0)))</f>
        <v>0</v>
      </c>
      <c r="P228" s="81">
        <f ca="1">P210*(1+INDEX(P$35:P$37,MATCH(Work_Codes!$I$32,$D$35:$D$37,0)))</f>
        <v>0</v>
      </c>
      <c r="Q228" s="81">
        <f ca="1">Q210*(1+INDEX(Q$35:Q$37,MATCH(Work_Codes!$I$32,$D$35:$D$37,0)))</f>
        <v>0</v>
      </c>
      <c r="R228" s="81">
        <f ca="1">R210*(1+INDEX(R$35:R$37,MATCH(Work_Codes!$I$32,$D$35:$D$37,0)))</f>
        <v>0</v>
      </c>
      <c r="S228" s="81">
        <f ca="1">S210*(1+INDEX(S$35:S$37,MATCH(Work_Codes!$I$32,$D$35:$D$37,0)))</f>
        <v>0</v>
      </c>
      <c r="T228" s="81">
        <f ca="1">T210*(1+INDEX(T$35:T$37,MATCH(Work_Codes!$I$32,$D$35:$D$37,0)))</f>
        <v>0</v>
      </c>
    </row>
    <row r="229" spans="4:20" ht="12" customHeight="1" outlineLevel="2">
      <c r="E229" s="247" t="str">
        <f>GC!C62</f>
        <v>Commercial and industrial new customer connections</v>
      </c>
      <c r="F229" s="247"/>
      <c r="G229" s="247"/>
      <c r="H229" s="247"/>
      <c r="I229" s="247"/>
      <c r="J229" s="81">
        <f ca="1">J211*(1+INDEX(J$35:J$37,MATCH(Work_Codes!$I$32,$D$35:$D$37,0)))</f>
        <v>0</v>
      </c>
      <c r="K229" s="81">
        <f ca="1">K211*(1+INDEX(K$35:K$37,MATCH(Work_Codes!$I$32,$D$35:$D$37,0)))</f>
        <v>0</v>
      </c>
      <c r="L229" s="81">
        <f ca="1">L211*(1+INDEX(L$35:L$37,MATCH(Work_Codes!$I$32,$D$35:$D$37,0)))</f>
        <v>0</v>
      </c>
      <c r="M229" s="81">
        <f ca="1">M211*(1+INDEX(M$35:M$37,MATCH(Work_Codes!$I$32,$D$35:$D$37,0)))</f>
        <v>0</v>
      </c>
      <c r="N229" s="81">
        <f ca="1">N211*(1+INDEX(N$35:N$37,MATCH(Work_Codes!$I$32,$D$35:$D$37,0)))</f>
        <v>0</v>
      </c>
      <c r="O229" s="81">
        <f ca="1">O211*(1+INDEX(O$35:O$37,MATCH(Work_Codes!$I$32,$D$35:$D$37,0)))</f>
        <v>0</v>
      </c>
      <c r="P229" s="81">
        <f ca="1">P211*(1+INDEX(P$35:P$37,MATCH(Work_Codes!$I$32,$D$35:$D$37,0)))</f>
        <v>0</v>
      </c>
      <c r="Q229" s="81">
        <f ca="1">Q211*(1+INDEX(Q$35:Q$37,MATCH(Work_Codes!$I$32,$D$35:$D$37,0)))</f>
        <v>0</v>
      </c>
      <c r="R229" s="81">
        <f ca="1">R211*(1+INDEX(R$35:R$37,MATCH(Work_Codes!$I$32,$D$35:$D$37,0)))</f>
        <v>0</v>
      </c>
      <c r="S229" s="81">
        <f ca="1">S211*(1+INDEX(S$35:S$37,MATCH(Work_Codes!$I$32,$D$35:$D$37,0)))</f>
        <v>0</v>
      </c>
      <c r="T229" s="81">
        <f ca="1">T211*(1+INDEX(T$35:T$37,MATCH(Work_Codes!$I$32,$D$35:$D$37,0)))</f>
        <v>0</v>
      </c>
    </row>
    <row r="230" spans="4:20" ht="12" customHeight="1" outlineLevel="2">
      <c r="E230" s="247" t="str">
        <f>GC!C63</f>
        <v>Residential meter replacement</v>
      </c>
      <c r="F230" s="247"/>
      <c r="G230" s="247"/>
      <c r="H230" s="247"/>
      <c r="I230" s="247"/>
      <c r="J230" s="81">
        <f ca="1">J212*(1+INDEX(J$35:J$37,MATCH(Work_Codes!$I$32,$D$35:$D$37,0)))</f>
        <v>0</v>
      </c>
      <c r="K230" s="81">
        <f ca="1">K212*(1+INDEX(K$35:K$37,MATCH(Work_Codes!$I$32,$D$35:$D$37,0)))</f>
        <v>0</v>
      </c>
      <c r="L230" s="81">
        <f ca="1">L212*(1+INDEX(L$35:L$37,MATCH(Work_Codes!$I$32,$D$35:$D$37,0)))</f>
        <v>0</v>
      </c>
      <c r="M230" s="81">
        <f ca="1">M212*(1+INDEX(M$35:M$37,MATCH(Work_Codes!$I$32,$D$35:$D$37,0)))</f>
        <v>0</v>
      </c>
      <c r="N230" s="81">
        <f ca="1">N212*(1+INDEX(N$35:N$37,MATCH(Work_Codes!$I$32,$D$35:$D$37,0)))</f>
        <v>0</v>
      </c>
      <c r="O230" s="81">
        <f ca="1">O212*(1+INDEX(O$35:O$37,MATCH(Work_Codes!$I$32,$D$35:$D$37,0)))</f>
        <v>0</v>
      </c>
      <c r="P230" s="81">
        <f ca="1">P212*(1+INDEX(P$35:P$37,MATCH(Work_Codes!$I$32,$D$35:$D$37,0)))</f>
        <v>0</v>
      </c>
      <c r="Q230" s="81">
        <f ca="1">Q212*(1+INDEX(Q$35:Q$37,MATCH(Work_Codes!$I$32,$D$35:$D$37,0)))</f>
        <v>0</v>
      </c>
      <c r="R230" s="81">
        <f ca="1">R212*(1+INDEX(R$35:R$37,MATCH(Work_Codes!$I$32,$D$35:$D$37,0)))</f>
        <v>0</v>
      </c>
      <c r="S230" s="81">
        <f ca="1">S212*(1+INDEX(S$35:S$37,MATCH(Work_Codes!$I$32,$D$35:$D$37,0)))</f>
        <v>0</v>
      </c>
      <c r="T230" s="81">
        <f ca="1">T212*(1+INDEX(T$35:T$37,MATCH(Work_Codes!$I$32,$D$35:$D$37,0)))</f>
        <v>0</v>
      </c>
    </row>
    <row r="231" spans="4:20" ht="12" customHeight="1" outlineLevel="2">
      <c r="E231" s="247" t="str">
        <f>GC!C64</f>
        <v>Commercial and industrial meter replacement</v>
      </c>
      <c r="F231" s="247"/>
      <c r="G231" s="247"/>
      <c r="H231" s="247"/>
      <c r="I231" s="247"/>
      <c r="J231" s="81">
        <f ca="1">J213*(1+INDEX(J$35:J$37,MATCH(Work_Codes!$I$32,$D$35:$D$37,0)))</f>
        <v>0</v>
      </c>
      <c r="K231" s="81">
        <f ca="1">K213*(1+INDEX(K$35:K$37,MATCH(Work_Codes!$I$32,$D$35:$D$37,0)))</f>
        <v>0</v>
      </c>
      <c r="L231" s="81">
        <f ca="1">L213*(1+INDEX(L$35:L$37,MATCH(Work_Codes!$I$32,$D$35:$D$37,0)))</f>
        <v>0</v>
      </c>
      <c r="M231" s="81">
        <f ca="1">M213*(1+INDEX(M$35:M$37,MATCH(Work_Codes!$I$32,$D$35:$D$37,0)))</f>
        <v>0</v>
      </c>
      <c r="N231" s="81">
        <f ca="1">N213*(1+INDEX(N$35:N$37,MATCH(Work_Codes!$I$32,$D$35:$D$37,0)))</f>
        <v>0</v>
      </c>
      <c r="O231" s="81">
        <f ca="1">O213*(1+INDEX(O$35:O$37,MATCH(Work_Codes!$I$32,$D$35:$D$37,0)))</f>
        <v>0</v>
      </c>
      <c r="P231" s="81">
        <f ca="1">P213*(1+INDEX(P$35:P$37,MATCH(Work_Codes!$I$32,$D$35:$D$37,0)))</f>
        <v>0</v>
      </c>
      <c r="Q231" s="81">
        <f ca="1">Q213*(1+INDEX(Q$35:Q$37,MATCH(Work_Codes!$I$32,$D$35:$D$37,0)))</f>
        <v>0</v>
      </c>
      <c r="R231" s="81">
        <f ca="1">R213*(1+INDEX(R$35:R$37,MATCH(Work_Codes!$I$32,$D$35:$D$37,0)))</f>
        <v>0</v>
      </c>
      <c r="S231" s="81">
        <f ca="1">S213*(1+INDEX(S$35:S$37,MATCH(Work_Codes!$I$32,$D$35:$D$37,0)))</f>
        <v>0</v>
      </c>
      <c r="T231" s="81">
        <f ca="1">T213*(1+INDEX(T$35:T$37,MATCH(Work_Codes!$I$32,$D$35:$D$37,0)))</f>
        <v>0</v>
      </c>
    </row>
    <row r="232" spans="4:20" ht="12" customHeight="1" outlineLevel="2">
      <c r="E232" s="247" t="str">
        <f>GC!C65</f>
        <v>Augmentation</v>
      </c>
      <c r="F232" s="247"/>
      <c r="G232" s="247"/>
      <c r="H232" s="247"/>
      <c r="I232" s="247"/>
      <c r="J232" s="81">
        <f ca="1">J214*(1+INDEX(J$35:J$37,MATCH(Work_Codes!$I$32,$D$35:$D$37,0)))</f>
        <v>0</v>
      </c>
      <c r="K232" s="81">
        <f ca="1">K214*(1+INDEX(K$35:K$37,MATCH(Work_Codes!$I$32,$D$35:$D$37,0)))</f>
        <v>0</v>
      </c>
      <c r="L232" s="81">
        <f ca="1">L214*(1+INDEX(L$35:L$37,MATCH(Work_Codes!$I$32,$D$35:$D$37,0)))</f>
        <v>0</v>
      </c>
      <c r="M232" s="81">
        <f ca="1">M214*(1+INDEX(M$35:M$37,MATCH(Work_Codes!$I$32,$D$35:$D$37,0)))</f>
        <v>0</v>
      </c>
      <c r="N232" s="81">
        <f ca="1">N214*(1+INDEX(N$35:N$37,MATCH(Work_Codes!$I$32,$D$35:$D$37,0)))</f>
        <v>0</v>
      </c>
      <c r="O232" s="81">
        <f ca="1">O214*(1+INDEX(O$35:O$37,MATCH(Work_Codes!$I$32,$D$35:$D$37,0)))</f>
        <v>0</v>
      </c>
      <c r="P232" s="81">
        <f ca="1">P214*(1+INDEX(P$35:P$37,MATCH(Work_Codes!$I$32,$D$35:$D$37,0)))</f>
        <v>0</v>
      </c>
      <c r="Q232" s="81">
        <f ca="1">Q214*(1+INDEX(Q$35:Q$37,MATCH(Work_Codes!$I$32,$D$35:$D$37,0)))</f>
        <v>0</v>
      </c>
      <c r="R232" s="81">
        <f ca="1">R214*(1+INDEX(R$35:R$37,MATCH(Work_Codes!$I$32,$D$35:$D$37,0)))</f>
        <v>0</v>
      </c>
      <c r="S232" s="81">
        <f ca="1">S214*(1+INDEX(S$35:S$37,MATCH(Work_Codes!$I$32,$D$35:$D$37,0)))</f>
        <v>0</v>
      </c>
      <c r="T232" s="81">
        <f ca="1">T214*(1+INDEX(T$35:T$37,MATCH(Work_Codes!$I$32,$D$35:$D$37,0)))</f>
        <v>0</v>
      </c>
    </row>
    <row r="233" spans="4:20" ht="12" customHeight="1" outlineLevel="2">
      <c r="E233" s="247" t="str">
        <f>GC!C66</f>
        <v>IT capex</v>
      </c>
      <c r="F233" s="247"/>
      <c r="G233" s="247"/>
      <c r="H233" s="247"/>
      <c r="I233" s="247"/>
      <c r="J233" s="81">
        <f ca="1">J215*(1+INDEX(J$35:J$37,MATCH(Work_Codes!$I$32,$D$35:$D$37,0)))</f>
        <v>0</v>
      </c>
      <c r="K233" s="81">
        <f ca="1">K215*(1+INDEX(K$35:K$37,MATCH(Work_Codes!$I$32,$D$35:$D$37,0)))</f>
        <v>0</v>
      </c>
      <c r="L233" s="81">
        <f ca="1">L215*(1+INDEX(L$35:L$37,MATCH(Work_Codes!$I$32,$D$35:$D$37,0)))</f>
        <v>0</v>
      </c>
      <c r="M233" s="81">
        <f ca="1">M215*(1+INDEX(M$35:M$37,MATCH(Work_Codes!$I$32,$D$35:$D$37,0)))</f>
        <v>0</v>
      </c>
      <c r="N233" s="81">
        <f ca="1">N215*(1+INDEX(N$35:N$37,MATCH(Work_Codes!$I$32,$D$35:$D$37,0)))</f>
        <v>0</v>
      </c>
      <c r="O233" s="81">
        <f ca="1">O215*(1+INDEX(O$35:O$37,MATCH(Work_Codes!$I$32,$D$35:$D$37,0)))</f>
        <v>0</v>
      </c>
      <c r="P233" s="81">
        <f ca="1">P215*(1+INDEX(P$35:P$37,MATCH(Work_Codes!$I$32,$D$35:$D$37,0)))</f>
        <v>0</v>
      </c>
      <c r="Q233" s="81">
        <f ca="1">Q215*(1+INDEX(Q$35:Q$37,MATCH(Work_Codes!$I$32,$D$35:$D$37,0)))</f>
        <v>0</v>
      </c>
      <c r="R233" s="81">
        <f ca="1">R215*(1+INDEX(R$35:R$37,MATCH(Work_Codes!$I$32,$D$35:$D$37,0)))</f>
        <v>0</v>
      </c>
      <c r="S233" s="81">
        <f ca="1">S215*(1+INDEX(S$35:S$37,MATCH(Work_Codes!$I$32,$D$35:$D$37,0)))</f>
        <v>0</v>
      </c>
      <c r="T233" s="81">
        <f ca="1">T215*(1+INDEX(T$35:T$37,MATCH(Work_Codes!$I$32,$D$35:$D$37,0)))</f>
        <v>0</v>
      </c>
    </row>
    <row r="234" spans="4:20" ht="12" customHeight="1" outlineLevel="2">
      <c r="E234" s="247" t="str">
        <f>GC!C67</f>
        <v>SCADA</v>
      </c>
      <c r="F234" s="247"/>
      <c r="G234" s="247"/>
      <c r="H234" s="247"/>
      <c r="I234" s="247"/>
      <c r="J234" s="81">
        <f ca="1">J216*(1+INDEX(J$35:J$37,MATCH(Work_Codes!$I$32,$D$35:$D$37,0)))</f>
        <v>0</v>
      </c>
      <c r="K234" s="81">
        <f ca="1">K216*(1+INDEX(K$35:K$37,MATCH(Work_Codes!$I$32,$D$35:$D$37,0)))</f>
        <v>0</v>
      </c>
      <c r="L234" s="81">
        <f ca="1">L216*(1+INDEX(L$35:L$37,MATCH(Work_Codes!$I$32,$D$35:$D$37,0)))</f>
        <v>0</v>
      </c>
      <c r="M234" s="81">
        <f ca="1">M216*(1+INDEX(M$35:M$37,MATCH(Work_Codes!$I$32,$D$35:$D$37,0)))</f>
        <v>0</v>
      </c>
      <c r="N234" s="81">
        <f ca="1">N216*(1+INDEX(N$35:N$37,MATCH(Work_Codes!$I$32,$D$35:$D$37,0)))</f>
        <v>0</v>
      </c>
      <c r="O234" s="81">
        <f ca="1">O216*(1+INDEX(O$35:O$37,MATCH(Work_Codes!$I$32,$D$35:$D$37,0)))</f>
        <v>0</v>
      </c>
      <c r="P234" s="81">
        <f ca="1">P216*(1+INDEX(P$35:P$37,MATCH(Work_Codes!$I$32,$D$35:$D$37,0)))</f>
        <v>0</v>
      </c>
      <c r="Q234" s="81">
        <f ca="1">Q216*(1+INDEX(Q$35:Q$37,MATCH(Work_Codes!$I$32,$D$35:$D$37,0)))</f>
        <v>0</v>
      </c>
      <c r="R234" s="81">
        <f ca="1">R216*(1+INDEX(R$35:R$37,MATCH(Work_Codes!$I$32,$D$35:$D$37,0)))</f>
        <v>0</v>
      </c>
      <c r="S234" s="81">
        <f ca="1">S216*(1+INDEX(S$35:S$37,MATCH(Work_Codes!$I$32,$D$35:$D$37,0)))</f>
        <v>0</v>
      </c>
      <c r="T234" s="81">
        <f ca="1">T216*(1+INDEX(T$35:T$37,MATCH(Work_Codes!$I$32,$D$35:$D$37,0)))</f>
        <v>0</v>
      </c>
    </row>
    <row r="235" spans="4:20" ht="12" customHeight="1" outlineLevel="2">
      <c r="E235" s="247" t="str">
        <f>GC!C68</f>
        <v>Other</v>
      </c>
      <c r="F235" s="247"/>
      <c r="G235" s="247"/>
      <c r="H235" s="247"/>
      <c r="I235" s="247"/>
      <c r="J235" s="81">
        <f ca="1">J217*(1+INDEX(J$35:J$37,MATCH(Work_Codes!$I$32,$D$35:$D$37,0)))</f>
        <v>0</v>
      </c>
      <c r="K235" s="81">
        <f ca="1">K217*(1+INDEX(K$35:K$37,MATCH(Work_Codes!$I$32,$D$35:$D$37,0)))</f>
        <v>0</v>
      </c>
      <c r="L235" s="81">
        <f ca="1">L217*(1+INDEX(L$35:L$37,MATCH(Work_Codes!$I$32,$D$35:$D$37,0)))</f>
        <v>0</v>
      </c>
      <c r="M235" s="81">
        <f ca="1">M217*(1+INDEX(M$35:M$37,MATCH(Work_Codes!$I$32,$D$35:$D$37,0)))</f>
        <v>0</v>
      </c>
      <c r="N235" s="81">
        <f ca="1">N217*(1+INDEX(N$35:N$37,MATCH(Work_Codes!$I$32,$D$35:$D$37,0)))</f>
        <v>0</v>
      </c>
      <c r="O235" s="81">
        <f ca="1">O217*(1+INDEX(O$35:O$37,MATCH(Work_Codes!$I$32,$D$35:$D$37,0)))</f>
        <v>0</v>
      </c>
      <c r="P235" s="81">
        <f ca="1">P217*(1+INDEX(P$35:P$37,MATCH(Work_Codes!$I$32,$D$35:$D$37,0)))</f>
        <v>0</v>
      </c>
      <c r="Q235" s="81">
        <f ca="1">Q217*(1+INDEX(Q$35:Q$37,MATCH(Work_Codes!$I$32,$D$35:$D$37,0)))</f>
        <v>0</v>
      </c>
      <c r="R235" s="81">
        <f ca="1">R217*(1+INDEX(R$35:R$37,MATCH(Work_Codes!$I$32,$D$35:$D$37,0)))</f>
        <v>0</v>
      </c>
      <c r="S235" s="81">
        <f ca="1">S217*(1+INDEX(S$35:S$37,MATCH(Work_Codes!$I$32,$D$35:$D$37,0)))</f>
        <v>0</v>
      </c>
      <c r="T235" s="81">
        <f ca="1">T217*(1+INDEX(T$35:T$37,MATCH(Work_Codes!$I$32,$D$35:$D$37,0)))</f>
        <v>0</v>
      </c>
    </row>
    <row r="236" spans="4:20" outlineLevel="2">
      <c r="E236" s="247" t="str">
        <f>GC!C69</f>
        <v>Capitalised Leases</v>
      </c>
      <c r="F236" s="247"/>
      <c r="G236" s="247"/>
      <c r="H236" s="247"/>
      <c r="I236" s="247"/>
      <c r="J236" s="81">
        <f ca="1">J218*(1+INDEX(J$35:J$37,MATCH(Work_Codes!$I$32,$D$35:$D$37,0)))</f>
        <v>0</v>
      </c>
      <c r="K236" s="81">
        <f ca="1">K218*(1+INDEX(K$35:K$37,MATCH(Work_Codes!$I$32,$D$35:$D$37,0)))</f>
        <v>0</v>
      </c>
      <c r="L236" s="81">
        <f ca="1">L218*(1+INDEX(L$35:L$37,MATCH(Work_Codes!$I$32,$D$35:$D$37,0)))</f>
        <v>0</v>
      </c>
      <c r="M236" s="81">
        <f ca="1">M218*(1+INDEX(M$35:M$37,MATCH(Work_Codes!$I$32,$D$35:$D$37,0)))</f>
        <v>0</v>
      </c>
      <c r="N236" s="81">
        <f ca="1">N218*(1+INDEX(N$35:N$37,MATCH(Work_Codes!$I$32,$D$35:$D$37,0)))</f>
        <v>0</v>
      </c>
      <c r="O236" s="81">
        <f ca="1">O218*(1+INDEX(O$35:O$37,MATCH(Work_Codes!$I$32,$D$35:$D$37,0)))</f>
        <v>0</v>
      </c>
      <c r="P236" s="81">
        <f ca="1">P218*(1+INDEX(P$35:P$37,MATCH(Work_Codes!$I$32,$D$35:$D$37,0)))</f>
        <v>0</v>
      </c>
      <c r="Q236" s="81">
        <f ca="1">Q218*(1+INDEX(Q$35:Q$37,MATCH(Work_Codes!$I$32,$D$35:$D$37,0)))</f>
        <v>0</v>
      </c>
      <c r="R236" s="81">
        <f ca="1">R218*(1+INDEX(R$35:R$37,MATCH(Work_Codes!$I$32,$D$35:$D$37,0)))</f>
        <v>0</v>
      </c>
      <c r="S236" s="81">
        <f ca="1">S218*(1+INDEX(S$35:S$37,MATCH(Work_Codes!$I$32,$D$35:$D$37,0)))</f>
        <v>0</v>
      </c>
      <c r="T236" s="81">
        <f ca="1">T218*(1+INDEX(T$35:T$37,MATCH(Work_Codes!$I$32,$D$35:$D$37,0)))</f>
        <v>0</v>
      </c>
    </row>
    <row r="237" spans="4:20" ht="12" customHeight="1" outlineLevel="2">
      <c r="E237" s="247" t="str">
        <f>GC!C70</f>
        <v>Gas Extensions - Energy for the Regions</v>
      </c>
      <c r="F237" s="247"/>
      <c r="G237" s="247"/>
      <c r="H237" s="247"/>
      <c r="I237" s="247"/>
      <c r="J237" s="81">
        <f ca="1">J219*(1+INDEX(J$35:J$37,MATCH(Work_Codes!$I$32,$D$35:$D$37,0)))</f>
        <v>0</v>
      </c>
      <c r="K237" s="81">
        <f ca="1">K219*(1+INDEX(K$35:K$37,MATCH(Work_Codes!$I$32,$D$35:$D$37,0)))</f>
        <v>0</v>
      </c>
      <c r="L237" s="81">
        <f ca="1">L219*(1+INDEX(L$35:L$37,MATCH(Work_Codes!$I$32,$D$35:$D$37,0)))</f>
        <v>0</v>
      </c>
      <c r="M237" s="81">
        <f ca="1">M219*(1+INDEX(M$35:M$37,MATCH(Work_Codes!$I$32,$D$35:$D$37,0)))</f>
        <v>0</v>
      </c>
      <c r="N237" s="81">
        <f ca="1">N219*(1+INDEX(N$35:N$37,MATCH(Work_Codes!$I$32,$D$35:$D$37,0)))</f>
        <v>0</v>
      </c>
      <c r="O237" s="81">
        <f ca="1">O219*(1+INDEX(O$35:O$37,MATCH(Work_Codes!$I$32,$D$35:$D$37,0)))</f>
        <v>0</v>
      </c>
      <c r="P237" s="81">
        <f ca="1">P219*(1+INDEX(P$35:P$37,MATCH(Work_Codes!$I$32,$D$35:$D$37,0)))</f>
        <v>0</v>
      </c>
      <c r="Q237" s="81">
        <f ca="1">Q219*(1+INDEX(Q$35:Q$37,MATCH(Work_Codes!$I$32,$D$35:$D$37,0)))</f>
        <v>0</v>
      </c>
      <c r="R237" s="81">
        <f ca="1">R219*(1+INDEX(R$35:R$37,MATCH(Work_Codes!$I$32,$D$35:$D$37,0)))</f>
        <v>0</v>
      </c>
      <c r="S237" s="81">
        <f ca="1">S219*(1+INDEX(S$35:S$37,MATCH(Work_Codes!$I$32,$D$35:$D$37,0)))</f>
        <v>0</v>
      </c>
      <c r="T237" s="81">
        <f ca="1">T219*(1+INDEX(T$35:T$37,MATCH(Work_Codes!$I$32,$D$35:$D$37,0)))</f>
        <v>0</v>
      </c>
    </row>
    <row r="238" spans="4:20" ht="12" customHeight="1" outlineLevel="2">
      <c r="E238" s="247" t="str">
        <f>GC!C71</f>
        <v>Gas Extensions - Other</v>
      </c>
      <c r="F238" s="247"/>
      <c r="G238" s="247"/>
      <c r="H238" s="247"/>
      <c r="I238" s="247"/>
      <c r="J238" s="81">
        <f ca="1">J220*(1+INDEX(J$35:J$37,MATCH(Work_Codes!$I$32,$D$35:$D$37,0)))</f>
        <v>0</v>
      </c>
      <c r="K238" s="81">
        <f ca="1">K220*(1+INDEX(K$35:K$37,MATCH(Work_Codes!$I$32,$D$35:$D$37,0)))</f>
        <v>0</v>
      </c>
      <c r="L238" s="81">
        <f ca="1">L220*(1+INDEX(L$35:L$37,MATCH(Work_Codes!$I$32,$D$35:$D$37,0)))</f>
        <v>0</v>
      </c>
      <c r="M238" s="81">
        <f ca="1">M220*(1+INDEX(M$35:M$37,MATCH(Work_Codes!$I$32,$D$35:$D$37,0)))</f>
        <v>0</v>
      </c>
      <c r="N238" s="81">
        <f ca="1">N220*(1+INDEX(N$35:N$37,MATCH(Work_Codes!$I$32,$D$35:$D$37,0)))</f>
        <v>0</v>
      </c>
      <c r="O238" s="81">
        <f ca="1">O220*(1+INDEX(O$35:O$37,MATCH(Work_Codes!$I$32,$D$35:$D$37,0)))</f>
        <v>0</v>
      </c>
      <c r="P238" s="81">
        <f ca="1">P220*(1+INDEX(P$35:P$37,MATCH(Work_Codes!$I$32,$D$35:$D$37,0)))</f>
        <v>0</v>
      </c>
      <c r="Q238" s="81">
        <f ca="1">Q220*(1+INDEX(Q$35:Q$37,MATCH(Work_Codes!$I$32,$D$35:$D$37,0)))</f>
        <v>0</v>
      </c>
      <c r="R238" s="81">
        <f ca="1">R220*(1+INDEX(R$35:R$37,MATCH(Work_Codes!$I$32,$D$35:$D$37,0)))</f>
        <v>0</v>
      </c>
      <c r="S238" s="81">
        <f ca="1">S220*(1+INDEX(S$35:S$37,MATCH(Work_Codes!$I$32,$D$35:$D$37,0)))</f>
        <v>0</v>
      </c>
      <c r="T238" s="81">
        <f ca="1">T220*(1+INDEX(T$35:T$37,MATCH(Work_Codes!$I$32,$D$35:$D$37,0)))</f>
        <v>0</v>
      </c>
    </row>
    <row r="239" spans="4:20" ht="12" customHeight="1" outlineLevel="2">
      <c r="E239" s="247" t="str">
        <f>GC!C72</f>
        <v>Customer contributions</v>
      </c>
      <c r="F239" s="247"/>
      <c r="G239" s="247"/>
      <c r="H239" s="247"/>
      <c r="I239" s="247"/>
      <c r="J239" s="81">
        <f ca="1">J221*(1+INDEX(J$35:J$37,MATCH(Work_Codes!$I$32,$D$35:$D$37,0)))</f>
        <v>0</v>
      </c>
      <c r="K239" s="81">
        <f ca="1">K221*(1+INDEX(K$35:K$37,MATCH(Work_Codes!$I$32,$D$35:$D$37,0)))</f>
        <v>0</v>
      </c>
      <c r="L239" s="81">
        <f ca="1">L221*(1+INDEX(L$35:L$37,MATCH(Work_Codes!$I$32,$D$35:$D$37,0)))</f>
        <v>0</v>
      </c>
      <c r="M239" s="81">
        <f ca="1">M221*(1+INDEX(M$35:M$37,MATCH(Work_Codes!$I$32,$D$35:$D$37,0)))</f>
        <v>0</v>
      </c>
      <c r="N239" s="81">
        <f ca="1">N221*(1+INDEX(N$35:N$37,MATCH(Work_Codes!$I$32,$D$35:$D$37,0)))</f>
        <v>0</v>
      </c>
      <c r="O239" s="81">
        <f ca="1">O221*(1+INDEX(O$35:O$37,MATCH(Work_Codes!$I$32,$D$35:$D$37,0)))</f>
        <v>0</v>
      </c>
      <c r="P239" s="81">
        <f ca="1">P221*(1+INDEX(P$35:P$37,MATCH(Work_Codes!$I$32,$D$35:$D$37,0)))</f>
        <v>0</v>
      </c>
      <c r="Q239" s="81">
        <f ca="1">Q221*(1+INDEX(Q$35:Q$37,MATCH(Work_Codes!$I$32,$D$35:$D$37,0)))</f>
        <v>0</v>
      </c>
      <c r="R239" s="81">
        <f ca="1">R221*(1+INDEX(R$35:R$37,MATCH(Work_Codes!$I$32,$D$35:$D$37,0)))</f>
        <v>0</v>
      </c>
      <c r="S239" s="81">
        <f ca="1">S221*(1+INDEX(S$35:S$37,MATCH(Work_Codes!$I$32,$D$35:$D$37,0)))</f>
        <v>0</v>
      </c>
      <c r="T239" s="81">
        <f ca="1">T221*(1+INDEX(T$35:T$37,MATCH(Work_Codes!$I$32,$D$35:$D$37,0)))</f>
        <v>0</v>
      </c>
    </row>
    <row r="240" spans="4:20" ht="12" customHeight="1" outlineLevel="2">
      <c r="E240" s="247" t="str">
        <f>GC!C73</f>
        <v>Government contributions</v>
      </c>
      <c r="F240" s="247"/>
      <c r="G240" s="247"/>
      <c r="H240" s="247"/>
      <c r="I240" s="247"/>
      <c r="J240" s="81">
        <f ca="1">J222*(1+INDEX(J$35:J$37,MATCH(Work_Codes!$I$32,$D$35:$D$37,0)))</f>
        <v>0</v>
      </c>
      <c r="K240" s="81">
        <f ca="1">K222*(1+INDEX(K$35:K$37,MATCH(Work_Codes!$I$32,$D$35:$D$37,0)))</f>
        <v>0</v>
      </c>
      <c r="L240" s="81">
        <f ca="1">L222*(1+INDEX(L$35:L$37,MATCH(Work_Codes!$I$32,$D$35:$D$37,0)))</f>
        <v>0</v>
      </c>
      <c r="M240" s="81">
        <f ca="1">M222*(1+INDEX(M$35:M$37,MATCH(Work_Codes!$I$32,$D$35:$D$37,0)))</f>
        <v>0</v>
      </c>
      <c r="N240" s="81">
        <f ca="1">N222*(1+INDEX(N$35:N$37,MATCH(Work_Codes!$I$32,$D$35:$D$37,0)))</f>
        <v>0</v>
      </c>
      <c r="O240" s="81">
        <f ca="1">O222*(1+INDEX(O$35:O$37,MATCH(Work_Codes!$I$32,$D$35:$D$37,0)))</f>
        <v>0</v>
      </c>
      <c r="P240" s="81">
        <f ca="1">P222*(1+INDEX(P$35:P$37,MATCH(Work_Codes!$I$32,$D$35:$D$37,0)))</f>
        <v>0</v>
      </c>
      <c r="Q240" s="81">
        <f ca="1">Q222*(1+INDEX(Q$35:Q$37,MATCH(Work_Codes!$I$32,$D$35:$D$37,0)))</f>
        <v>0</v>
      </c>
      <c r="R240" s="81">
        <f ca="1">R222*(1+INDEX(R$35:R$37,MATCH(Work_Codes!$I$32,$D$35:$D$37,0)))</f>
        <v>0</v>
      </c>
      <c r="S240" s="81">
        <f ca="1">S222*(1+INDEX(S$35:S$37,MATCH(Work_Codes!$I$32,$D$35:$D$37,0)))</f>
        <v>0</v>
      </c>
      <c r="T240" s="81">
        <f ca="1">T222*(1+INDEX(T$35:T$37,MATCH(Work_Codes!$I$32,$D$35:$D$37,0)))</f>
        <v>0</v>
      </c>
    </row>
    <row r="241" spans="4:20" ht="12" customHeight="1" outlineLevel="2">
      <c r="E241" s="249" t="str">
        <f>"Total "&amp;D225</f>
        <v>Total Direct Costs + Overheads</v>
      </c>
      <c r="F241" s="249"/>
      <c r="G241" s="249"/>
      <c r="H241" s="249"/>
      <c r="I241" s="249"/>
      <c r="J241" s="82">
        <f t="shared" ref="J241:T241" ca="1" si="24">SUM(J227:J240)</f>
        <v>0</v>
      </c>
      <c r="K241" s="82">
        <f t="shared" ca="1" si="24"/>
        <v>0</v>
      </c>
      <c r="L241" s="82">
        <f t="shared" ca="1" si="24"/>
        <v>0</v>
      </c>
      <c r="M241" s="82">
        <f t="shared" ca="1" si="24"/>
        <v>0</v>
      </c>
      <c r="N241" s="82">
        <f t="shared" ca="1" si="24"/>
        <v>510238.38338821894</v>
      </c>
      <c r="O241" s="82">
        <f t="shared" ca="1" si="24"/>
        <v>266973.39028964314</v>
      </c>
      <c r="P241" s="82">
        <f t="shared" ca="1" si="24"/>
        <v>530678.56306622189</v>
      </c>
      <c r="Q241" s="82">
        <f t="shared" ca="1" si="24"/>
        <v>424388.25969159481</v>
      </c>
      <c r="R241" s="82">
        <f t="shared" ca="1" si="24"/>
        <v>318683.34568687365</v>
      </c>
      <c r="S241" s="82">
        <f t="shared" ca="1" si="24"/>
        <v>212904.9427939576</v>
      </c>
      <c r="T241" s="82">
        <f t="shared" ca="1" si="24"/>
        <v>106643.4645142396</v>
      </c>
    </row>
    <row r="242" spans="4:20" outlineLevel="2"/>
    <row r="243" spans="4:20" outlineLevel="2">
      <c r="D243" s="37" t="s">
        <v>367</v>
      </c>
    </row>
    <row r="244" spans="4:20" ht="5.75" customHeight="1" outlineLevel="2"/>
    <row r="245" spans="4:20" outlineLevel="2">
      <c r="E245" s="247" t="str">
        <f>GC!C60</f>
        <v>Mains replacement</v>
      </c>
      <c r="F245" s="247"/>
      <c r="G245" s="247"/>
      <c r="H245" s="247"/>
      <c r="I245" s="247"/>
      <c r="J245" s="81">
        <f ca="1">SUMPRODUCT((Work_Codes!$AC$35:$AO$35=$E245)*(Work_Codes!$AC$46:$AO$46)*(J$74:J$74))</f>
        <v>0</v>
      </c>
      <c r="K245" s="81">
        <f ca="1">SUMPRODUCT((Work_Codes!$AC$35:$AO$35=$E245)*(Work_Codes!$AC$46:$AO$46)*(K$74:K$74))</f>
        <v>0</v>
      </c>
      <c r="L245" s="81">
        <f ca="1">SUMPRODUCT((Work_Codes!$AC$35:$AO$35=$E245)*(Work_Codes!$AC$46:$AO$46)*(L$74:L$74))</f>
        <v>0</v>
      </c>
      <c r="M245" s="81">
        <f ca="1">SUMPRODUCT((Work_Codes!$AC$35:$AO$35=$E245)*(Work_Codes!$AC$46:$AO$46)*(M$74:M$74))</f>
        <v>0</v>
      </c>
      <c r="N245" s="81">
        <f ca="1">SUMPRODUCT((Work_Codes!$AC$35:$AO$35=$E245)*(Work_Codes!$AC$46:$AO$46)*(N$74:N$74))</f>
        <v>0</v>
      </c>
      <c r="O245" s="81">
        <f ca="1">SUMPRODUCT((Work_Codes!$AC$35:$AO$35=$E245)*(Work_Codes!$AC$46:$AO$46)*(O$74:O$74))</f>
        <v>0</v>
      </c>
      <c r="P245" s="81">
        <f ca="1">SUMPRODUCT((Work_Codes!$AC$35:$AO$35=$E245)*(Work_Codes!$AC$46:$AO$46)*(P$74:P$74))</f>
        <v>0</v>
      </c>
      <c r="Q245" s="81">
        <f ca="1">SUMPRODUCT((Work_Codes!$AC$35:$AO$35=$E245)*(Work_Codes!$AC$46:$AO$46)*(Q$74:Q$74))</f>
        <v>0</v>
      </c>
      <c r="R245" s="81">
        <f ca="1">SUMPRODUCT((Work_Codes!$AC$35:$AO$35=$E245)*(Work_Codes!$AC$46:$AO$46)*(R$74:R$74))</f>
        <v>0</v>
      </c>
      <c r="S245" s="81">
        <f ca="1">SUMPRODUCT((Work_Codes!$AC$35:$AO$35=$E245)*(Work_Codes!$AC$46:$AO$46)*(S$74:S$74))</f>
        <v>0</v>
      </c>
      <c r="T245" s="81">
        <f ca="1">SUMPRODUCT((Work_Codes!$AC$35:$AO$35=$E245)*(Work_Codes!$AC$46:$AO$46)*(T$74:T$74))</f>
        <v>0</v>
      </c>
    </row>
    <row r="246" spans="4:20" outlineLevel="2">
      <c r="E246" s="247" t="str">
        <f>GC!C61</f>
        <v>Residential new customer connections</v>
      </c>
      <c r="F246" s="247"/>
      <c r="G246" s="247"/>
      <c r="H246" s="247"/>
      <c r="I246" s="247"/>
      <c r="J246" s="81">
        <f ca="1">SUMPRODUCT((Work_Codes!$AC$35:$AO$35=$E246)*(Work_Codes!$AC$46:$AO$46)*(J$74:J$74))</f>
        <v>0</v>
      </c>
      <c r="K246" s="81">
        <f ca="1">SUMPRODUCT((Work_Codes!$AC$35:$AO$35=$E246)*(Work_Codes!$AC$46:$AO$46)*(K$74:K$74))</f>
        <v>0</v>
      </c>
      <c r="L246" s="81">
        <f ca="1">SUMPRODUCT((Work_Codes!$AC$35:$AO$35=$E246)*(Work_Codes!$AC$46:$AO$46)*(L$74:L$74))</f>
        <v>0</v>
      </c>
      <c r="M246" s="81">
        <f ca="1">SUMPRODUCT((Work_Codes!$AC$35:$AO$35=$E246)*(Work_Codes!$AC$46:$AO$46)*(M$74:M$74))</f>
        <v>0</v>
      </c>
      <c r="N246" s="81">
        <f ca="1">SUMPRODUCT((Work_Codes!$AC$35:$AO$35=$E246)*(Work_Codes!$AC$46:$AO$46)*(N$74:N$74))</f>
        <v>0</v>
      </c>
      <c r="O246" s="81">
        <f ca="1">SUMPRODUCT((Work_Codes!$AC$35:$AO$35=$E246)*(Work_Codes!$AC$46:$AO$46)*(O$74:O$74))</f>
        <v>0</v>
      </c>
      <c r="P246" s="81">
        <f ca="1">SUMPRODUCT((Work_Codes!$AC$35:$AO$35=$E246)*(Work_Codes!$AC$46:$AO$46)*(P$74:P$74))</f>
        <v>0</v>
      </c>
      <c r="Q246" s="81">
        <f ca="1">SUMPRODUCT((Work_Codes!$AC$35:$AO$35=$E246)*(Work_Codes!$AC$46:$AO$46)*(Q$74:Q$74))</f>
        <v>0</v>
      </c>
      <c r="R246" s="81">
        <f ca="1">SUMPRODUCT((Work_Codes!$AC$35:$AO$35=$E246)*(Work_Codes!$AC$46:$AO$46)*(R$74:R$74))</f>
        <v>0</v>
      </c>
      <c r="S246" s="81">
        <f ca="1">SUMPRODUCT((Work_Codes!$AC$35:$AO$35=$E246)*(Work_Codes!$AC$46:$AO$46)*(S$74:S$74))</f>
        <v>0</v>
      </c>
      <c r="T246" s="81">
        <f ca="1">SUMPRODUCT((Work_Codes!$AC$35:$AO$35=$E246)*(Work_Codes!$AC$46:$AO$46)*(T$74:T$74))</f>
        <v>0</v>
      </c>
    </row>
    <row r="247" spans="4:20" outlineLevel="2">
      <c r="E247" s="247" t="str">
        <f>GC!C62</f>
        <v>Commercial and industrial new customer connections</v>
      </c>
      <c r="F247" s="247"/>
      <c r="G247" s="247"/>
      <c r="H247" s="247"/>
      <c r="I247" s="247"/>
      <c r="J247" s="81">
        <f ca="1">SUMPRODUCT((Work_Codes!$AC$35:$AO$35=$E247)*(Work_Codes!$AC$46:$AO$46)*(J$74:J$74))</f>
        <v>0</v>
      </c>
      <c r="K247" s="81">
        <f ca="1">SUMPRODUCT((Work_Codes!$AC$35:$AO$35=$E247)*(Work_Codes!$AC$46:$AO$46)*(K$74:K$74))</f>
        <v>0</v>
      </c>
      <c r="L247" s="81">
        <f ca="1">SUMPRODUCT((Work_Codes!$AC$35:$AO$35=$E247)*(Work_Codes!$AC$46:$AO$46)*(L$74:L$74))</f>
        <v>0</v>
      </c>
      <c r="M247" s="81">
        <f ca="1">SUMPRODUCT((Work_Codes!$AC$35:$AO$35=$E247)*(Work_Codes!$AC$46:$AO$46)*(M$74:M$74))</f>
        <v>0</v>
      </c>
      <c r="N247" s="81">
        <f ca="1">SUMPRODUCT((Work_Codes!$AC$35:$AO$35=$E247)*(Work_Codes!$AC$46:$AO$46)*(N$74:N$74))</f>
        <v>0</v>
      </c>
      <c r="O247" s="81">
        <f ca="1">SUMPRODUCT((Work_Codes!$AC$35:$AO$35=$E247)*(Work_Codes!$AC$46:$AO$46)*(O$74:O$74))</f>
        <v>0</v>
      </c>
      <c r="P247" s="81">
        <f ca="1">SUMPRODUCT((Work_Codes!$AC$35:$AO$35=$E247)*(Work_Codes!$AC$46:$AO$46)*(P$74:P$74))</f>
        <v>0</v>
      </c>
      <c r="Q247" s="81">
        <f ca="1">SUMPRODUCT((Work_Codes!$AC$35:$AO$35=$E247)*(Work_Codes!$AC$46:$AO$46)*(Q$74:Q$74))</f>
        <v>0</v>
      </c>
      <c r="R247" s="81">
        <f ca="1">SUMPRODUCT((Work_Codes!$AC$35:$AO$35=$E247)*(Work_Codes!$AC$46:$AO$46)*(R$74:R$74))</f>
        <v>0</v>
      </c>
      <c r="S247" s="81">
        <f ca="1">SUMPRODUCT((Work_Codes!$AC$35:$AO$35=$E247)*(Work_Codes!$AC$46:$AO$46)*(S$74:S$74))</f>
        <v>0</v>
      </c>
      <c r="T247" s="81">
        <f ca="1">SUMPRODUCT((Work_Codes!$AC$35:$AO$35=$E247)*(Work_Codes!$AC$46:$AO$46)*(T$74:T$74))</f>
        <v>0</v>
      </c>
    </row>
    <row r="248" spans="4:20" outlineLevel="2">
      <c r="E248" s="247" t="str">
        <f>GC!C63</f>
        <v>Residential meter replacement</v>
      </c>
      <c r="F248" s="247"/>
      <c r="G248" s="247"/>
      <c r="H248" s="247"/>
      <c r="I248" s="247"/>
      <c r="J248" s="81">
        <f ca="1">SUMPRODUCT((Work_Codes!$AC$35:$AO$35=$E248)*(Work_Codes!$AC$46:$AO$46)*(J$74:J$74))</f>
        <v>0</v>
      </c>
      <c r="K248" s="81">
        <f ca="1">SUMPRODUCT((Work_Codes!$AC$35:$AO$35=$E248)*(Work_Codes!$AC$46:$AO$46)*(K$74:K$74))</f>
        <v>0</v>
      </c>
      <c r="L248" s="81">
        <f ca="1">SUMPRODUCT((Work_Codes!$AC$35:$AO$35=$E248)*(Work_Codes!$AC$46:$AO$46)*(L$74:L$74))</f>
        <v>0</v>
      </c>
      <c r="M248" s="81">
        <f ca="1">SUMPRODUCT((Work_Codes!$AC$35:$AO$35=$E248)*(Work_Codes!$AC$46:$AO$46)*(M$74:M$74))</f>
        <v>0</v>
      </c>
      <c r="N248" s="81">
        <f ca="1">SUMPRODUCT((Work_Codes!$AC$35:$AO$35=$E248)*(Work_Codes!$AC$46:$AO$46)*(N$74:N$74))</f>
        <v>0</v>
      </c>
      <c r="O248" s="81">
        <f ca="1">SUMPRODUCT((Work_Codes!$AC$35:$AO$35=$E248)*(Work_Codes!$AC$46:$AO$46)*(O$74:O$74))</f>
        <v>0</v>
      </c>
      <c r="P248" s="81">
        <f ca="1">SUMPRODUCT((Work_Codes!$AC$35:$AO$35=$E248)*(Work_Codes!$AC$46:$AO$46)*(P$74:P$74))</f>
        <v>0</v>
      </c>
      <c r="Q248" s="81">
        <f ca="1">SUMPRODUCT((Work_Codes!$AC$35:$AO$35=$E248)*(Work_Codes!$AC$46:$AO$46)*(Q$74:Q$74))</f>
        <v>0</v>
      </c>
      <c r="R248" s="81">
        <f ca="1">SUMPRODUCT((Work_Codes!$AC$35:$AO$35=$E248)*(Work_Codes!$AC$46:$AO$46)*(R$74:R$74))</f>
        <v>0</v>
      </c>
      <c r="S248" s="81">
        <f ca="1">SUMPRODUCT((Work_Codes!$AC$35:$AO$35=$E248)*(Work_Codes!$AC$46:$AO$46)*(S$74:S$74))</f>
        <v>0</v>
      </c>
      <c r="T248" s="81">
        <f ca="1">SUMPRODUCT((Work_Codes!$AC$35:$AO$35=$E248)*(Work_Codes!$AC$46:$AO$46)*(T$74:T$74))</f>
        <v>0</v>
      </c>
    </row>
    <row r="249" spans="4:20" outlineLevel="2">
      <c r="E249" s="247" t="str">
        <f>GC!C64</f>
        <v>Commercial and industrial meter replacement</v>
      </c>
      <c r="F249" s="247"/>
      <c r="G249" s="247"/>
      <c r="H249" s="247"/>
      <c r="I249" s="247"/>
      <c r="J249" s="81">
        <f ca="1">SUMPRODUCT((Work_Codes!$AC$35:$AO$35=$E249)*(Work_Codes!$AC$46:$AO$46)*(J$74:J$74))</f>
        <v>0</v>
      </c>
      <c r="K249" s="81">
        <f ca="1">SUMPRODUCT((Work_Codes!$AC$35:$AO$35=$E249)*(Work_Codes!$AC$46:$AO$46)*(K$74:K$74))</f>
        <v>0</v>
      </c>
      <c r="L249" s="81">
        <f ca="1">SUMPRODUCT((Work_Codes!$AC$35:$AO$35=$E249)*(Work_Codes!$AC$46:$AO$46)*(L$74:L$74))</f>
        <v>0</v>
      </c>
      <c r="M249" s="81">
        <f ca="1">SUMPRODUCT((Work_Codes!$AC$35:$AO$35=$E249)*(Work_Codes!$AC$46:$AO$46)*(M$74:M$74))</f>
        <v>0</v>
      </c>
      <c r="N249" s="81">
        <f ca="1">SUMPRODUCT((Work_Codes!$AC$35:$AO$35=$E249)*(Work_Codes!$AC$46:$AO$46)*(N$74:N$74))</f>
        <v>0</v>
      </c>
      <c r="O249" s="81">
        <f ca="1">SUMPRODUCT((Work_Codes!$AC$35:$AO$35=$E249)*(Work_Codes!$AC$46:$AO$46)*(O$74:O$74))</f>
        <v>0</v>
      </c>
      <c r="P249" s="81">
        <f ca="1">SUMPRODUCT((Work_Codes!$AC$35:$AO$35=$E249)*(Work_Codes!$AC$46:$AO$46)*(P$74:P$74))</f>
        <v>0</v>
      </c>
      <c r="Q249" s="81">
        <f ca="1">SUMPRODUCT((Work_Codes!$AC$35:$AO$35=$E249)*(Work_Codes!$AC$46:$AO$46)*(Q$74:Q$74))</f>
        <v>0</v>
      </c>
      <c r="R249" s="81">
        <f ca="1">SUMPRODUCT((Work_Codes!$AC$35:$AO$35=$E249)*(Work_Codes!$AC$46:$AO$46)*(R$74:R$74))</f>
        <v>0</v>
      </c>
      <c r="S249" s="81">
        <f ca="1">SUMPRODUCT((Work_Codes!$AC$35:$AO$35=$E249)*(Work_Codes!$AC$46:$AO$46)*(S$74:S$74))</f>
        <v>0</v>
      </c>
      <c r="T249" s="81">
        <f ca="1">SUMPRODUCT((Work_Codes!$AC$35:$AO$35=$E249)*(Work_Codes!$AC$46:$AO$46)*(T$74:T$74))</f>
        <v>0</v>
      </c>
    </row>
    <row r="250" spans="4:20" outlineLevel="2">
      <c r="E250" s="247" t="str">
        <f>GC!C65</f>
        <v>Augmentation</v>
      </c>
      <c r="F250" s="247"/>
      <c r="G250" s="247"/>
      <c r="H250" s="247"/>
      <c r="I250" s="247"/>
      <c r="J250" s="81">
        <f ca="1">SUMPRODUCT((Work_Codes!$AC$35:$AO$35=$E250)*(Work_Codes!$AC$46:$AO$46)*(J$74:J$74))</f>
        <v>0</v>
      </c>
      <c r="K250" s="81">
        <f ca="1">SUMPRODUCT((Work_Codes!$AC$35:$AO$35=$E250)*(Work_Codes!$AC$46:$AO$46)*(K$74:K$74))</f>
        <v>0</v>
      </c>
      <c r="L250" s="81">
        <f ca="1">SUMPRODUCT((Work_Codes!$AC$35:$AO$35=$E250)*(Work_Codes!$AC$46:$AO$46)*(L$74:L$74))</f>
        <v>0</v>
      </c>
      <c r="M250" s="81">
        <f ca="1">SUMPRODUCT((Work_Codes!$AC$35:$AO$35=$E250)*(Work_Codes!$AC$46:$AO$46)*(M$74:M$74))</f>
        <v>0</v>
      </c>
      <c r="N250" s="81">
        <f ca="1">SUMPRODUCT((Work_Codes!$AC$35:$AO$35=$E250)*(Work_Codes!$AC$46:$AO$46)*(N$74:N$74))</f>
        <v>0</v>
      </c>
      <c r="O250" s="81">
        <f ca="1">SUMPRODUCT((Work_Codes!$AC$35:$AO$35=$E250)*(Work_Codes!$AC$46:$AO$46)*(O$74:O$74))</f>
        <v>0</v>
      </c>
      <c r="P250" s="81">
        <f ca="1">SUMPRODUCT((Work_Codes!$AC$35:$AO$35=$E250)*(Work_Codes!$AC$46:$AO$46)*(P$74:P$74))</f>
        <v>0</v>
      </c>
      <c r="Q250" s="81">
        <f ca="1">SUMPRODUCT((Work_Codes!$AC$35:$AO$35=$E250)*(Work_Codes!$AC$46:$AO$46)*(Q$74:Q$74))</f>
        <v>0</v>
      </c>
      <c r="R250" s="81">
        <f ca="1">SUMPRODUCT((Work_Codes!$AC$35:$AO$35=$E250)*(Work_Codes!$AC$46:$AO$46)*(R$74:R$74))</f>
        <v>0</v>
      </c>
      <c r="S250" s="81">
        <f ca="1">SUMPRODUCT((Work_Codes!$AC$35:$AO$35=$E250)*(Work_Codes!$AC$46:$AO$46)*(S$74:S$74))</f>
        <v>0</v>
      </c>
      <c r="T250" s="81">
        <f ca="1">SUMPRODUCT((Work_Codes!$AC$35:$AO$35=$E250)*(Work_Codes!$AC$46:$AO$46)*(T$74:T$74))</f>
        <v>0</v>
      </c>
    </row>
    <row r="251" spans="4:20" outlineLevel="2">
      <c r="E251" s="247" t="str">
        <f>GC!C66</f>
        <v>IT capex</v>
      </c>
      <c r="F251" s="247"/>
      <c r="G251" s="247"/>
      <c r="H251" s="247"/>
      <c r="I251" s="247"/>
      <c r="J251" s="81">
        <f ca="1">SUMPRODUCT((Work_Codes!$AC$35:$AO$35=$E251)*(Work_Codes!$AC$46:$AO$46)*(J$74:J$74))</f>
        <v>0</v>
      </c>
      <c r="K251" s="81">
        <f ca="1">SUMPRODUCT((Work_Codes!$AC$35:$AO$35=$E251)*(Work_Codes!$AC$46:$AO$46)*(K$74:K$74))</f>
        <v>0</v>
      </c>
      <c r="L251" s="81">
        <f ca="1">SUMPRODUCT((Work_Codes!$AC$35:$AO$35=$E251)*(Work_Codes!$AC$46:$AO$46)*(L$74:L$74))</f>
        <v>0</v>
      </c>
      <c r="M251" s="81">
        <f ca="1">SUMPRODUCT((Work_Codes!$AC$35:$AO$35=$E251)*(Work_Codes!$AC$46:$AO$46)*(M$74:M$74))</f>
        <v>0</v>
      </c>
      <c r="N251" s="81">
        <f ca="1">SUMPRODUCT((Work_Codes!$AC$35:$AO$35=$E251)*(Work_Codes!$AC$46:$AO$46)*(N$74:N$74))</f>
        <v>0</v>
      </c>
      <c r="O251" s="81">
        <f ca="1">SUMPRODUCT((Work_Codes!$AC$35:$AO$35=$E251)*(Work_Codes!$AC$46:$AO$46)*(O$74:O$74))</f>
        <v>0</v>
      </c>
      <c r="P251" s="81">
        <f ca="1">SUMPRODUCT((Work_Codes!$AC$35:$AO$35=$E251)*(Work_Codes!$AC$46:$AO$46)*(P$74:P$74))</f>
        <v>0</v>
      </c>
      <c r="Q251" s="81">
        <f ca="1">SUMPRODUCT((Work_Codes!$AC$35:$AO$35=$E251)*(Work_Codes!$AC$46:$AO$46)*(Q$74:Q$74))</f>
        <v>0</v>
      </c>
      <c r="R251" s="81">
        <f ca="1">SUMPRODUCT((Work_Codes!$AC$35:$AO$35=$E251)*(Work_Codes!$AC$46:$AO$46)*(R$74:R$74))</f>
        <v>0</v>
      </c>
      <c r="S251" s="81">
        <f ca="1">SUMPRODUCT((Work_Codes!$AC$35:$AO$35=$E251)*(Work_Codes!$AC$46:$AO$46)*(S$74:S$74))</f>
        <v>0</v>
      </c>
      <c r="T251" s="81">
        <f ca="1">SUMPRODUCT((Work_Codes!$AC$35:$AO$35=$E251)*(Work_Codes!$AC$46:$AO$46)*(T$74:T$74))</f>
        <v>0</v>
      </c>
    </row>
    <row r="252" spans="4:20" outlineLevel="2">
      <c r="E252" s="247" t="str">
        <f>GC!C67</f>
        <v>SCADA</v>
      </c>
      <c r="F252" s="247"/>
      <c r="G252" s="247"/>
      <c r="H252" s="247"/>
      <c r="I252" s="247"/>
      <c r="J252" s="81">
        <f ca="1">SUMPRODUCT((Work_Codes!$AC$35:$AO$35=$E252)*(Work_Codes!$AC$46:$AO$46)*(J$74:J$74))</f>
        <v>0</v>
      </c>
      <c r="K252" s="81">
        <f ca="1">SUMPRODUCT((Work_Codes!$AC$35:$AO$35=$E252)*(Work_Codes!$AC$46:$AO$46)*(K$74:K$74))</f>
        <v>0</v>
      </c>
      <c r="L252" s="81">
        <f ca="1">SUMPRODUCT((Work_Codes!$AC$35:$AO$35=$E252)*(Work_Codes!$AC$46:$AO$46)*(L$74:L$74))</f>
        <v>0</v>
      </c>
      <c r="M252" s="81">
        <f ca="1">SUMPRODUCT((Work_Codes!$AC$35:$AO$35=$E252)*(Work_Codes!$AC$46:$AO$46)*(M$74:M$74))</f>
        <v>0</v>
      </c>
      <c r="N252" s="81">
        <f ca="1">SUMPRODUCT((Work_Codes!$AC$35:$AO$35=$E252)*(Work_Codes!$AC$46:$AO$46)*(N$74:N$74))</f>
        <v>0</v>
      </c>
      <c r="O252" s="81">
        <f ca="1">SUMPRODUCT((Work_Codes!$AC$35:$AO$35=$E252)*(Work_Codes!$AC$46:$AO$46)*(O$74:O$74))</f>
        <v>0</v>
      </c>
      <c r="P252" s="81">
        <f ca="1">SUMPRODUCT((Work_Codes!$AC$35:$AO$35=$E252)*(Work_Codes!$AC$46:$AO$46)*(P$74:P$74))</f>
        <v>0</v>
      </c>
      <c r="Q252" s="81">
        <f ca="1">SUMPRODUCT((Work_Codes!$AC$35:$AO$35=$E252)*(Work_Codes!$AC$46:$AO$46)*(Q$74:Q$74))</f>
        <v>0</v>
      </c>
      <c r="R252" s="81">
        <f ca="1">SUMPRODUCT((Work_Codes!$AC$35:$AO$35=$E252)*(Work_Codes!$AC$46:$AO$46)*(R$74:R$74))</f>
        <v>0</v>
      </c>
      <c r="S252" s="81">
        <f ca="1">SUMPRODUCT((Work_Codes!$AC$35:$AO$35=$E252)*(Work_Codes!$AC$46:$AO$46)*(S$74:S$74))</f>
        <v>0</v>
      </c>
      <c r="T252" s="81">
        <f ca="1">SUMPRODUCT((Work_Codes!$AC$35:$AO$35=$E252)*(Work_Codes!$AC$46:$AO$46)*(T$74:T$74))</f>
        <v>0</v>
      </c>
    </row>
    <row r="253" spans="4:20" outlineLevel="2">
      <c r="E253" s="247" t="str">
        <f>GC!C68</f>
        <v>Other</v>
      </c>
      <c r="F253" s="247"/>
      <c r="G253" s="247"/>
      <c r="H253" s="247"/>
      <c r="I253" s="247"/>
      <c r="J253" s="81">
        <f ca="1">SUMPRODUCT((Work_Codes!$AC$35:$AO$35=$E253)*(Work_Codes!$AC$46:$AO$46)*(J$74:J$74))</f>
        <v>0</v>
      </c>
      <c r="K253" s="81">
        <f ca="1">SUMPRODUCT((Work_Codes!$AC$35:$AO$35=$E253)*(Work_Codes!$AC$46:$AO$46)*(K$74:K$74))</f>
        <v>0</v>
      </c>
      <c r="L253" s="81">
        <f ca="1">SUMPRODUCT((Work_Codes!$AC$35:$AO$35=$E253)*(Work_Codes!$AC$46:$AO$46)*(L$74:L$74))</f>
        <v>0</v>
      </c>
      <c r="M253" s="81">
        <f ca="1">SUMPRODUCT((Work_Codes!$AC$35:$AO$35=$E253)*(Work_Codes!$AC$46:$AO$46)*(M$74:M$74))</f>
        <v>0</v>
      </c>
      <c r="N253" s="81">
        <f ca="1">SUMPRODUCT((Work_Codes!$AC$35:$AO$35=$E253)*(Work_Codes!$AC$46:$AO$46)*(N$74:N$74))</f>
        <v>0</v>
      </c>
      <c r="O253" s="81">
        <f ca="1">SUMPRODUCT((Work_Codes!$AC$35:$AO$35=$E253)*(Work_Codes!$AC$46:$AO$46)*(O$74:O$74))</f>
        <v>0</v>
      </c>
      <c r="P253" s="81">
        <f ca="1">SUMPRODUCT((Work_Codes!$AC$35:$AO$35=$E253)*(Work_Codes!$AC$46:$AO$46)*(P$74:P$74))</f>
        <v>0</v>
      </c>
      <c r="Q253" s="81">
        <f ca="1">SUMPRODUCT((Work_Codes!$AC$35:$AO$35=$E253)*(Work_Codes!$AC$46:$AO$46)*(Q$74:Q$74))</f>
        <v>0</v>
      </c>
      <c r="R253" s="81">
        <f ca="1">SUMPRODUCT((Work_Codes!$AC$35:$AO$35=$E253)*(Work_Codes!$AC$46:$AO$46)*(R$74:R$74))</f>
        <v>0</v>
      </c>
      <c r="S253" s="81">
        <f ca="1">SUMPRODUCT((Work_Codes!$AC$35:$AO$35=$E253)*(Work_Codes!$AC$46:$AO$46)*(S$74:S$74))</f>
        <v>0</v>
      </c>
      <c r="T253" s="81">
        <f ca="1">SUMPRODUCT((Work_Codes!$AC$35:$AO$35=$E253)*(Work_Codes!$AC$46:$AO$46)*(T$74:T$74))</f>
        <v>0</v>
      </c>
    </row>
    <row r="254" spans="4:20" outlineLevel="2">
      <c r="E254" s="247" t="str">
        <f>GC!C69</f>
        <v>Capitalised Leases</v>
      </c>
      <c r="F254" s="247"/>
      <c r="G254" s="247"/>
      <c r="H254" s="247"/>
      <c r="I254" s="247"/>
      <c r="J254" s="81">
        <f ca="1">SUMPRODUCT((Work_Codes!$AC$35:$AO$35=$E254)*(Work_Codes!$AC$46:$AO$46)*(J$74:J$74))</f>
        <v>0</v>
      </c>
      <c r="K254" s="81">
        <f ca="1">SUMPRODUCT((Work_Codes!$AC$35:$AO$35=$E254)*(Work_Codes!$AC$46:$AO$46)*(K$74:K$74))</f>
        <v>0</v>
      </c>
      <c r="L254" s="81">
        <f ca="1">SUMPRODUCT((Work_Codes!$AC$35:$AO$35=$E254)*(Work_Codes!$AC$46:$AO$46)*(L$74:L$74))</f>
        <v>0</v>
      </c>
      <c r="M254" s="81">
        <f ca="1">SUMPRODUCT((Work_Codes!$AC$35:$AO$35=$E254)*(Work_Codes!$AC$46:$AO$46)*(M$74:M$74))</f>
        <v>0</v>
      </c>
      <c r="N254" s="81">
        <f ca="1">SUMPRODUCT((Work_Codes!$AC$35:$AO$35=$E254)*(Work_Codes!$AC$46:$AO$46)*(N$74:N$74))</f>
        <v>0</v>
      </c>
      <c r="O254" s="81">
        <f ca="1">SUMPRODUCT((Work_Codes!$AC$35:$AO$35=$E254)*(Work_Codes!$AC$46:$AO$46)*(O$74:O$74))</f>
        <v>0</v>
      </c>
      <c r="P254" s="81">
        <f ca="1">SUMPRODUCT((Work_Codes!$AC$35:$AO$35=$E254)*(Work_Codes!$AC$46:$AO$46)*(P$74:P$74))</f>
        <v>0</v>
      </c>
      <c r="Q254" s="81">
        <f ca="1">SUMPRODUCT((Work_Codes!$AC$35:$AO$35=$E254)*(Work_Codes!$AC$46:$AO$46)*(Q$74:Q$74))</f>
        <v>0</v>
      </c>
      <c r="R254" s="81">
        <f ca="1">SUMPRODUCT((Work_Codes!$AC$35:$AO$35=$E254)*(Work_Codes!$AC$46:$AO$46)*(R$74:R$74))</f>
        <v>0</v>
      </c>
      <c r="S254" s="81">
        <f ca="1">SUMPRODUCT((Work_Codes!$AC$35:$AO$35=$E254)*(Work_Codes!$AC$46:$AO$46)*(S$74:S$74))</f>
        <v>0</v>
      </c>
      <c r="T254" s="81">
        <f ca="1">SUMPRODUCT((Work_Codes!$AC$35:$AO$35=$E254)*(Work_Codes!$AC$46:$AO$46)*(T$74:T$74))</f>
        <v>0</v>
      </c>
    </row>
    <row r="255" spans="4:20" outlineLevel="2">
      <c r="E255" s="247" t="str">
        <f>GC!C70</f>
        <v>Gas Extensions - Energy for the Regions</v>
      </c>
      <c r="F255" s="247"/>
      <c r="G255" s="247"/>
      <c r="H255" s="247"/>
      <c r="I255" s="247"/>
      <c r="J255" s="81">
        <f ca="1">SUMPRODUCT((Work_Codes!$AC$35:$AO$35=$E255)*(Work_Codes!$AC$46:$AO$46)*(J$74:J$74))</f>
        <v>0</v>
      </c>
      <c r="K255" s="81">
        <f ca="1">SUMPRODUCT((Work_Codes!$AC$35:$AO$35=$E255)*(Work_Codes!$AC$46:$AO$46)*(K$74:K$74))</f>
        <v>0</v>
      </c>
      <c r="L255" s="81">
        <f ca="1">SUMPRODUCT((Work_Codes!$AC$35:$AO$35=$E255)*(Work_Codes!$AC$46:$AO$46)*(L$74:L$74))</f>
        <v>0</v>
      </c>
      <c r="M255" s="81">
        <f ca="1">SUMPRODUCT((Work_Codes!$AC$35:$AO$35=$E255)*(Work_Codes!$AC$46:$AO$46)*(M$74:M$74))</f>
        <v>0</v>
      </c>
      <c r="N255" s="81">
        <f ca="1">SUMPRODUCT((Work_Codes!$AC$35:$AO$35=$E255)*(Work_Codes!$AC$46:$AO$46)*(N$74:N$74))</f>
        <v>0</v>
      </c>
      <c r="O255" s="81">
        <f ca="1">SUMPRODUCT((Work_Codes!$AC$35:$AO$35=$E255)*(Work_Codes!$AC$46:$AO$46)*(O$74:O$74))</f>
        <v>0</v>
      </c>
      <c r="P255" s="81">
        <f ca="1">SUMPRODUCT((Work_Codes!$AC$35:$AO$35=$E255)*(Work_Codes!$AC$46:$AO$46)*(P$74:P$74))</f>
        <v>0</v>
      </c>
      <c r="Q255" s="81">
        <f ca="1">SUMPRODUCT((Work_Codes!$AC$35:$AO$35=$E255)*(Work_Codes!$AC$46:$AO$46)*(Q$74:Q$74))</f>
        <v>0</v>
      </c>
      <c r="R255" s="81">
        <f ca="1">SUMPRODUCT((Work_Codes!$AC$35:$AO$35=$E255)*(Work_Codes!$AC$46:$AO$46)*(R$74:R$74))</f>
        <v>0</v>
      </c>
      <c r="S255" s="81">
        <f ca="1">SUMPRODUCT((Work_Codes!$AC$35:$AO$35=$E255)*(Work_Codes!$AC$46:$AO$46)*(S$74:S$74))</f>
        <v>0</v>
      </c>
      <c r="T255" s="81">
        <f ca="1">SUMPRODUCT((Work_Codes!$AC$35:$AO$35=$E255)*(Work_Codes!$AC$46:$AO$46)*(T$74:T$74))</f>
        <v>0</v>
      </c>
    </row>
    <row r="256" spans="4:20" outlineLevel="2">
      <c r="E256" s="247" t="str">
        <f>GC!C71</f>
        <v>Gas Extensions - Other</v>
      </c>
      <c r="F256" s="247"/>
      <c r="G256" s="247"/>
      <c r="H256" s="247"/>
      <c r="I256" s="247"/>
      <c r="J256" s="81">
        <f ca="1">SUMPRODUCT((Work_Codes!$AC$35:$AO$35=$E256)*(Work_Codes!$AC$46:$AO$46)*(J$74:J$74))</f>
        <v>0</v>
      </c>
      <c r="K256" s="81">
        <f ca="1">SUMPRODUCT((Work_Codes!$AC$35:$AO$35=$E256)*(Work_Codes!$AC$46:$AO$46)*(K$74:K$74))</f>
        <v>0</v>
      </c>
      <c r="L256" s="81">
        <f ca="1">SUMPRODUCT((Work_Codes!$AC$35:$AO$35=$E256)*(Work_Codes!$AC$46:$AO$46)*(L$74:L$74))</f>
        <v>0</v>
      </c>
      <c r="M256" s="81">
        <f ca="1">SUMPRODUCT((Work_Codes!$AC$35:$AO$35=$E256)*(Work_Codes!$AC$46:$AO$46)*(M$74:M$74))</f>
        <v>0</v>
      </c>
      <c r="N256" s="81">
        <f ca="1">SUMPRODUCT((Work_Codes!$AC$35:$AO$35=$E256)*(Work_Codes!$AC$46:$AO$46)*(N$74:N$74))</f>
        <v>0</v>
      </c>
      <c r="O256" s="81">
        <f ca="1">SUMPRODUCT((Work_Codes!$AC$35:$AO$35=$E256)*(Work_Codes!$AC$46:$AO$46)*(O$74:O$74))</f>
        <v>0</v>
      </c>
      <c r="P256" s="81">
        <f ca="1">SUMPRODUCT((Work_Codes!$AC$35:$AO$35=$E256)*(Work_Codes!$AC$46:$AO$46)*(P$74:P$74))</f>
        <v>0</v>
      </c>
      <c r="Q256" s="81">
        <f ca="1">SUMPRODUCT((Work_Codes!$AC$35:$AO$35=$E256)*(Work_Codes!$AC$46:$AO$46)*(Q$74:Q$74))</f>
        <v>0</v>
      </c>
      <c r="R256" s="81">
        <f ca="1">SUMPRODUCT((Work_Codes!$AC$35:$AO$35=$E256)*(Work_Codes!$AC$46:$AO$46)*(R$74:R$74))</f>
        <v>0</v>
      </c>
      <c r="S256" s="81">
        <f ca="1">SUMPRODUCT((Work_Codes!$AC$35:$AO$35=$E256)*(Work_Codes!$AC$46:$AO$46)*(S$74:S$74))</f>
        <v>0</v>
      </c>
      <c r="T256" s="81">
        <f ca="1">SUMPRODUCT((Work_Codes!$AC$35:$AO$35=$E256)*(Work_Codes!$AC$46:$AO$46)*(T$74:T$74))</f>
        <v>0</v>
      </c>
    </row>
    <row r="257" spans="2:20" outlineLevel="2">
      <c r="E257" s="247" t="str">
        <f>GC!C72</f>
        <v>Customer contributions</v>
      </c>
      <c r="F257" s="247"/>
      <c r="G257" s="247"/>
      <c r="H257" s="247"/>
      <c r="I257" s="247"/>
      <c r="J257" s="81">
        <f ca="1">SUMPRODUCT((Work_Codes!$AC$35:$AO$35=$E257)*(Work_Codes!$AC$46:$AO$46)*(J$74:J$74))</f>
        <v>0</v>
      </c>
      <c r="K257" s="81">
        <f ca="1">SUMPRODUCT((Work_Codes!$AC$35:$AO$35=$E257)*(Work_Codes!$AC$46:$AO$46)*(K$74:K$74))</f>
        <v>0</v>
      </c>
      <c r="L257" s="81">
        <f ca="1">SUMPRODUCT((Work_Codes!$AC$35:$AO$35=$E257)*(Work_Codes!$AC$46:$AO$46)*(L$74:L$74))</f>
        <v>0</v>
      </c>
      <c r="M257" s="81">
        <f ca="1">SUMPRODUCT((Work_Codes!$AC$35:$AO$35=$E257)*(Work_Codes!$AC$46:$AO$46)*(M$74:M$74))</f>
        <v>0</v>
      </c>
      <c r="N257" s="81">
        <f ca="1">SUMPRODUCT((Work_Codes!$AC$35:$AO$35=$E257)*(Work_Codes!$AC$46:$AO$46)*(N$74:N$74))</f>
        <v>0</v>
      </c>
      <c r="O257" s="81">
        <f ca="1">SUMPRODUCT((Work_Codes!$AC$35:$AO$35=$E257)*(Work_Codes!$AC$46:$AO$46)*(O$74:O$74))</f>
        <v>0</v>
      </c>
      <c r="P257" s="81">
        <f ca="1">SUMPRODUCT((Work_Codes!$AC$35:$AO$35=$E257)*(Work_Codes!$AC$46:$AO$46)*(P$74:P$74))</f>
        <v>0</v>
      </c>
      <c r="Q257" s="81">
        <f ca="1">SUMPRODUCT((Work_Codes!$AC$35:$AO$35=$E257)*(Work_Codes!$AC$46:$AO$46)*(Q$74:Q$74))</f>
        <v>0</v>
      </c>
      <c r="R257" s="81">
        <f ca="1">SUMPRODUCT((Work_Codes!$AC$35:$AO$35=$E257)*(Work_Codes!$AC$46:$AO$46)*(R$74:R$74))</f>
        <v>0</v>
      </c>
      <c r="S257" s="81">
        <f ca="1">SUMPRODUCT((Work_Codes!$AC$35:$AO$35=$E257)*(Work_Codes!$AC$46:$AO$46)*(S$74:S$74))</f>
        <v>0</v>
      </c>
      <c r="T257" s="81">
        <f ca="1">SUMPRODUCT((Work_Codes!$AC$35:$AO$35=$E257)*(Work_Codes!$AC$46:$AO$46)*(T$74:T$74))</f>
        <v>0</v>
      </c>
    </row>
    <row r="258" spans="2:20" outlineLevel="2">
      <c r="E258" s="247" t="str">
        <f>GC!C73</f>
        <v>Government contributions</v>
      </c>
      <c r="F258" s="247"/>
      <c r="G258" s="247"/>
      <c r="H258" s="247"/>
      <c r="I258" s="247"/>
      <c r="J258" s="81">
        <f ca="1">SUMPRODUCT((Work_Codes!$AC$35:$AO$35=$E258)*(Work_Codes!$AC$46:$AO$46)*(J$74:J$74))</f>
        <v>0</v>
      </c>
      <c r="K258" s="81">
        <f ca="1">SUMPRODUCT((Work_Codes!$AC$35:$AO$35=$E258)*(Work_Codes!$AC$46:$AO$46)*(K$74:K$74))</f>
        <v>0</v>
      </c>
      <c r="L258" s="81">
        <f ca="1">SUMPRODUCT((Work_Codes!$AC$35:$AO$35=$E258)*(Work_Codes!$AC$46:$AO$46)*(L$74:L$74))</f>
        <v>0</v>
      </c>
      <c r="M258" s="81">
        <f ca="1">SUMPRODUCT((Work_Codes!$AC$35:$AO$35=$E258)*(Work_Codes!$AC$46:$AO$46)*(M$74:M$74))</f>
        <v>0</v>
      </c>
      <c r="N258" s="81">
        <f ca="1">SUMPRODUCT((Work_Codes!$AC$35:$AO$35=$E258)*(Work_Codes!$AC$46:$AO$46)*(N$74:N$74))</f>
        <v>0</v>
      </c>
      <c r="O258" s="81">
        <f ca="1">SUMPRODUCT((Work_Codes!$AC$35:$AO$35=$E258)*(Work_Codes!$AC$46:$AO$46)*(O$74:O$74))</f>
        <v>0</v>
      </c>
      <c r="P258" s="81">
        <f ca="1">SUMPRODUCT((Work_Codes!$AC$35:$AO$35=$E258)*(Work_Codes!$AC$46:$AO$46)*(P$74:P$74))</f>
        <v>0</v>
      </c>
      <c r="Q258" s="81">
        <f ca="1">SUMPRODUCT((Work_Codes!$AC$35:$AO$35=$E258)*(Work_Codes!$AC$46:$AO$46)*(Q$74:Q$74))</f>
        <v>0</v>
      </c>
      <c r="R258" s="81">
        <f ca="1">SUMPRODUCT((Work_Codes!$AC$35:$AO$35=$E258)*(Work_Codes!$AC$46:$AO$46)*(R$74:R$74))</f>
        <v>0</v>
      </c>
      <c r="S258" s="81">
        <f ca="1">SUMPRODUCT((Work_Codes!$AC$35:$AO$35=$E258)*(Work_Codes!$AC$46:$AO$46)*(S$74:S$74))</f>
        <v>0</v>
      </c>
      <c r="T258" s="81">
        <f ca="1">SUMPRODUCT((Work_Codes!$AC$35:$AO$35=$E258)*(Work_Codes!$AC$46:$AO$46)*(T$74:T$74))</f>
        <v>0</v>
      </c>
    </row>
    <row r="259" spans="2:20" outlineLevel="2">
      <c r="E259" s="249" t="str">
        <f t="shared" ref="E259" si="25">"Total "&amp;D243</f>
        <v>Total Customer Contributions</v>
      </c>
      <c r="F259" s="249"/>
      <c r="G259" s="249"/>
      <c r="H259" s="249"/>
      <c r="I259" s="249"/>
      <c r="J259" s="82">
        <f t="shared" ref="J259:T259" ca="1" si="26">SUM(J245:J258)</f>
        <v>0</v>
      </c>
      <c r="K259" s="82">
        <f t="shared" ca="1" si="26"/>
        <v>0</v>
      </c>
      <c r="L259" s="82">
        <f t="shared" ca="1" si="26"/>
        <v>0</v>
      </c>
      <c r="M259" s="82">
        <f t="shared" ca="1" si="26"/>
        <v>0</v>
      </c>
      <c r="N259" s="82">
        <f t="shared" ca="1" si="26"/>
        <v>0</v>
      </c>
      <c r="O259" s="82">
        <f t="shared" ca="1" si="26"/>
        <v>0</v>
      </c>
      <c r="P259" s="82">
        <f t="shared" ca="1" si="26"/>
        <v>0</v>
      </c>
      <c r="Q259" s="82">
        <f t="shared" ca="1" si="26"/>
        <v>0</v>
      </c>
      <c r="R259" s="82">
        <f t="shared" ca="1" si="26"/>
        <v>0</v>
      </c>
      <c r="S259" s="82">
        <f t="shared" ca="1" si="26"/>
        <v>0</v>
      </c>
      <c r="T259" s="82">
        <f t="shared" ca="1" si="26"/>
        <v>0</v>
      </c>
    </row>
    <row r="260" spans="2:20" outlineLevel="2">
      <c r="B260" s="12"/>
      <c r="C260" s="12"/>
      <c r="D260" s="12"/>
      <c r="E260" s="12"/>
      <c r="F260" s="12"/>
      <c r="G260" s="12"/>
      <c r="H260" s="12"/>
      <c r="I260" s="12"/>
      <c r="J260" s="12"/>
      <c r="K260" s="12"/>
      <c r="L260" s="12"/>
      <c r="M260" s="12"/>
      <c r="N260" s="12"/>
      <c r="O260" s="12"/>
      <c r="P260" s="12"/>
      <c r="Q260" s="12"/>
      <c r="R260" s="12"/>
      <c r="S260" s="12"/>
      <c r="T260" s="12"/>
    </row>
    <row r="261" spans="2:20" outlineLevel="2"/>
    <row r="262" spans="2:20" outlineLevel="2">
      <c r="C262" s="37" t="s">
        <v>311</v>
      </c>
    </row>
    <row r="263" spans="2:20" ht="5.9" customHeight="1" outlineLevel="2"/>
    <row r="264" spans="2:20" outlineLevel="2">
      <c r="D264" s="37" t="s">
        <v>215</v>
      </c>
    </row>
    <row r="265" spans="2:20" ht="5.9" customHeight="1" outlineLevel="2"/>
    <row r="266" spans="2:20" outlineLevel="2">
      <c r="E266" s="247" t="str">
        <f>GC!C78</f>
        <v>Mains &amp; Services</v>
      </c>
      <c r="F266" s="247"/>
      <c r="G266" s="247"/>
      <c r="H266" s="247"/>
      <c r="I266" s="247"/>
      <c r="J266" s="81">
        <f ca="1">SUMPRODUCT((Work_Codes!$AR$35:$AX$35=$E266)*(Work_Codes!$AR$38:$AX$42)*(J$113:J$117))</f>
        <v>0</v>
      </c>
      <c r="K266" s="81">
        <f ca="1">SUMPRODUCT((Work_Codes!$AR$35:$AX$35=$E266)*(Work_Codes!$AR$38:$AX$42)*(K$113:K$117))</f>
        <v>0</v>
      </c>
      <c r="L266" s="81">
        <f ca="1">SUMPRODUCT((Work_Codes!$AR$35:$AX$35=$E266)*(Work_Codes!$AR$38:$AX$42)*(L$113:L$117))</f>
        <v>0</v>
      </c>
      <c r="M266" s="81">
        <f ca="1">SUMPRODUCT((Work_Codes!$AR$35:$AX$35=$E266)*(Work_Codes!$AR$38:$AX$42)*(M$113:M$117))</f>
        <v>0</v>
      </c>
      <c r="N266" s="81">
        <f ca="1">SUMPRODUCT((Work_Codes!$AR$35:$AX$35=$E266)*(Work_Codes!$AR$38:$AX$42)*(N$113:N$117))</f>
        <v>491696.03074271942</v>
      </c>
      <c r="O266" s="81">
        <f ca="1">SUMPRODUCT((Work_Codes!$AR$35:$AX$35=$E266)*(Work_Codes!$AR$38:$AX$42)*(O$113:O$117))</f>
        <v>258373.68843908614</v>
      </c>
      <c r="P266" s="81">
        <f ca="1">SUMPRODUCT((Work_Codes!$AR$35:$AX$35=$E266)*(Work_Codes!$AR$38:$AX$42)*(P$113:P$117))</f>
        <v>516851.41268671944</v>
      </c>
      <c r="Q266" s="81">
        <f ca="1">SUMPRODUCT((Work_Codes!$AR$35:$AX$35=$E266)*(Work_Codes!$AR$38:$AX$42)*(Q$113:Q$117))</f>
        <v>413609.3569172906</v>
      </c>
      <c r="R266" s="81">
        <f ca="1">SUMPRODUCT((Work_Codes!$AR$35:$AX$35=$E266)*(Work_Codes!$AR$38:$AX$42)*(R$113:R$117))</f>
        <v>310343.48339927621</v>
      </c>
      <c r="S266" s="81">
        <f ca="1">SUMPRODUCT((Work_Codes!$AR$35:$AX$35=$E266)*(Work_Codes!$AR$38:$AX$42)*(S$113:S$117))</f>
        <v>206995.99799771339</v>
      </c>
      <c r="T266" s="81">
        <f ca="1">SUMPRODUCT((Work_Codes!$AR$35:$AX$35=$E266)*(Work_Codes!$AR$38:$AX$42)*(T$113:T$117))</f>
        <v>103545.34852513502</v>
      </c>
    </row>
    <row r="267" spans="2:20" outlineLevel="2">
      <c r="E267" s="247" t="str">
        <f>GC!C79</f>
        <v>Meters Domestic</v>
      </c>
      <c r="F267" s="247"/>
      <c r="G267" s="247"/>
      <c r="H267" s="247"/>
      <c r="I267" s="247"/>
      <c r="J267" s="81">
        <f ca="1">SUMPRODUCT((Work_Codes!$AR$35:$AX$35=$E267)*(Work_Codes!$AR$38:$AX$42)*(J$113:J$117))</f>
        <v>0</v>
      </c>
      <c r="K267" s="81">
        <f ca="1">SUMPRODUCT((Work_Codes!$AR$35:$AX$35=$E267)*(Work_Codes!$AR$38:$AX$42)*(K$113:K$117))</f>
        <v>0</v>
      </c>
      <c r="L267" s="81">
        <f ca="1">SUMPRODUCT((Work_Codes!$AR$35:$AX$35=$E267)*(Work_Codes!$AR$38:$AX$42)*(L$113:L$117))</f>
        <v>0</v>
      </c>
      <c r="M267" s="81">
        <f ca="1">SUMPRODUCT((Work_Codes!$AR$35:$AX$35=$E267)*(Work_Codes!$AR$38:$AX$42)*(M$113:M$117))</f>
        <v>0</v>
      </c>
      <c r="N267" s="81">
        <f ca="1">SUMPRODUCT((Work_Codes!$AR$35:$AX$35=$E267)*(Work_Codes!$AR$38:$AX$42)*(N$113:N$117))</f>
        <v>0</v>
      </c>
      <c r="O267" s="81">
        <f ca="1">SUMPRODUCT((Work_Codes!$AR$35:$AX$35=$E267)*(Work_Codes!$AR$38:$AX$42)*(O$113:O$117))</f>
        <v>0</v>
      </c>
      <c r="P267" s="81">
        <f ca="1">SUMPRODUCT((Work_Codes!$AR$35:$AX$35=$E267)*(Work_Codes!$AR$38:$AX$42)*(P$113:P$117))</f>
        <v>0</v>
      </c>
      <c r="Q267" s="81">
        <f ca="1">SUMPRODUCT((Work_Codes!$AR$35:$AX$35=$E267)*(Work_Codes!$AR$38:$AX$42)*(Q$113:Q$117))</f>
        <v>0</v>
      </c>
      <c r="R267" s="81">
        <f ca="1">SUMPRODUCT((Work_Codes!$AR$35:$AX$35=$E267)*(Work_Codes!$AR$38:$AX$42)*(R$113:R$117))</f>
        <v>0</v>
      </c>
      <c r="S267" s="81">
        <f ca="1">SUMPRODUCT((Work_Codes!$AR$35:$AX$35=$E267)*(Work_Codes!$AR$38:$AX$42)*(S$113:S$117))</f>
        <v>0</v>
      </c>
      <c r="T267" s="81">
        <f ca="1">SUMPRODUCT((Work_Codes!$AR$35:$AX$35=$E267)*(Work_Codes!$AR$38:$AX$42)*(T$113:T$117))</f>
        <v>0</v>
      </c>
    </row>
    <row r="268" spans="2:20" outlineLevel="2">
      <c r="E268" s="247" t="str">
        <f>GC!C80</f>
        <v>Meters Industrial &amp; Commercial</v>
      </c>
      <c r="F268" s="247"/>
      <c r="G268" s="247"/>
      <c r="H268" s="247"/>
      <c r="I268" s="247"/>
      <c r="J268" s="81">
        <f ca="1">SUMPRODUCT((Work_Codes!$AR$35:$AX$35=$E268)*(Work_Codes!$AR$38:$AX$42)*(J$113:J$117))</f>
        <v>0</v>
      </c>
      <c r="K268" s="81">
        <f ca="1">SUMPRODUCT((Work_Codes!$AR$35:$AX$35=$E268)*(Work_Codes!$AR$38:$AX$42)*(K$113:K$117))</f>
        <v>0</v>
      </c>
      <c r="L268" s="81">
        <f ca="1">SUMPRODUCT((Work_Codes!$AR$35:$AX$35=$E268)*(Work_Codes!$AR$38:$AX$42)*(L$113:L$117))</f>
        <v>0</v>
      </c>
      <c r="M268" s="81">
        <f ca="1">SUMPRODUCT((Work_Codes!$AR$35:$AX$35=$E268)*(Work_Codes!$AR$38:$AX$42)*(M$113:M$117))</f>
        <v>0</v>
      </c>
      <c r="N268" s="81">
        <f ca="1">SUMPRODUCT((Work_Codes!$AR$35:$AX$35=$E268)*(Work_Codes!$AR$38:$AX$42)*(N$113:N$117))</f>
        <v>0</v>
      </c>
      <c r="O268" s="81">
        <f ca="1">SUMPRODUCT((Work_Codes!$AR$35:$AX$35=$E268)*(Work_Codes!$AR$38:$AX$42)*(O$113:O$117))</f>
        <v>0</v>
      </c>
      <c r="P268" s="81">
        <f ca="1">SUMPRODUCT((Work_Codes!$AR$35:$AX$35=$E268)*(Work_Codes!$AR$38:$AX$42)*(P$113:P$117))</f>
        <v>0</v>
      </c>
      <c r="Q268" s="81">
        <f ca="1">SUMPRODUCT((Work_Codes!$AR$35:$AX$35=$E268)*(Work_Codes!$AR$38:$AX$42)*(Q$113:Q$117))</f>
        <v>0</v>
      </c>
      <c r="R268" s="81">
        <f ca="1">SUMPRODUCT((Work_Codes!$AR$35:$AX$35=$E268)*(Work_Codes!$AR$38:$AX$42)*(R$113:R$117))</f>
        <v>0</v>
      </c>
      <c r="S268" s="81">
        <f ca="1">SUMPRODUCT((Work_Codes!$AR$35:$AX$35=$E268)*(Work_Codes!$AR$38:$AX$42)*(S$113:S$117))</f>
        <v>0</v>
      </c>
      <c r="T268" s="81">
        <f ca="1">SUMPRODUCT((Work_Codes!$AR$35:$AX$35=$E268)*(Work_Codes!$AR$38:$AX$42)*(T$113:T$117))</f>
        <v>0</v>
      </c>
    </row>
    <row r="269" spans="2:20" outlineLevel="2">
      <c r="E269" s="247" t="str">
        <f>GC!C81</f>
        <v>Buildings</v>
      </c>
      <c r="F269" s="247"/>
      <c r="G269" s="247"/>
      <c r="H269" s="247"/>
      <c r="I269" s="247"/>
      <c r="J269" s="81">
        <f ca="1">SUMPRODUCT((Work_Codes!$AR$35:$AX$35=$E269)*(Work_Codes!$AR$38:$AX$42)*(J$113:J$117))</f>
        <v>0</v>
      </c>
      <c r="K269" s="81">
        <f ca="1">SUMPRODUCT((Work_Codes!$AR$35:$AX$35=$E269)*(Work_Codes!$AR$38:$AX$42)*(K$113:K$117))</f>
        <v>0</v>
      </c>
      <c r="L269" s="81">
        <f ca="1">SUMPRODUCT((Work_Codes!$AR$35:$AX$35=$E269)*(Work_Codes!$AR$38:$AX$42)*(L$113:L$117))</f>
        <v>0</v>
      </c>
      <c r="M269" s="81">
        <f ca="1">SUMPRODUCT((Work_Codes!$AR$35:$AX$35=$E269)*(Work_Codes!$AR$38:$AX$42)*(M$113:M$117))</f>
        <v>0</v>
      </c>
      <c r="N269" s="81">
        <f ca="1">SUMPRODUCT((Work_Codes!$AR$35:$AX$35=$E269)*(Work_Codes!$AR$38:$AX$42)*(N$113:N$117))</f>
        <v>0</v>
      </c>
      <c r="O269" s="81">
        <f ca="1">SUMPRODUCT((Work_Codes!$AR$35:$AX$35=$E269)*(Work_Codes!$AR$38:$AX$42)*(O$113:O$117))</f>
        <v>0</v>
      </c>
      <c r="P269" s="81">
        <f ca="1">SUMPRODUCT((Work_Codes!$AR$35:$AX$35=$E269)*(Work_Codes!$AR$38:$AX$42)*(P$113:P$117))</f>
        <v>0</v>
      </c>
      <c r="Q269" s="81">
        <f ca="1">SUMPRODUCT((Work_Codes!$AR$35:$AX$35=$E269)*(Work_Codes!$AR$38:$AX$42)*(Q$113:Q$117))</f>
        <v>0</v>
      </c>
      <c r="R269" s="81">
        <f ca="1">SUMPRODUCT((Work_Codes!$AR$35:$AX$35=$E269)*(Work_Codes!$AR$38:$AX$42)*(R$113:R$117))</f>
        <v>0</v>
      </c>
      <c r="S269" s="81">
        <f ca="1">SUMPRODUCT((Work_Codes!$AR$35:$AX$35=$E269)*(Work_Codes!$AR$38:$AX$42)*(S$113:S$117))</f>
        <v>0</v>
      </c>
      <c r="T269" s="81">
        <f ca="1">SUMPRODUCT((Work_Codes!$AR$35:$AX$35=$E269)*(Work_Codes!$AR$38:$AX$42)*(T$113:T$117))</f>
        <v>0</v>
      </c>
    </row>
    <row r="270" spans="2:20" outlineLevel="2">
      <c r="E270" s="247" t="str">
        <f>GC!C82</f>
        <v>Other Assets</v>
      </c>
      <c r="F270" s="247"/>
      <c r="G270" s="247"/>
      <c r="H270" s="247"/>
      <c r="I270" s="247"/>
      <c r="J270" s="81">
        <f ca="1">SUMPRODUCT((Work_Codes!$AR$35:$AX$35=$E270)*(Work_Codes!$AR$38:$AX$42)*(J$113:J$117))</f>
        <v>0</v>
      </c>
      <c r="K270" s="81">
        <f ca="1">SUMPRODUCT((Work_Codes!$AR$35:$AX$35=$E270)*(Work_Codes!$AR$38:$AX$42)*(K$113:K$117))</f>
        <v>0</v>
      </c>
      <c r="L270" s="81">
        <f ca="1">SUMPRODUCT((Work_Codes!$AR$35:$AX$35=$E270)*(Work_Codes!$AR$38:$AX$42)*(L$113:L$117))</f>
        <v>0</v>
      </c>
      <c r="M270" s="81">
        <f ca="1">SUMPRODUCT((Work_Codes!$AR$35:$AX$35=$E270)*(Work_Codes!$AR$38:$AX$42)*(M$113:M$117))</f>
        <v>0</v>
      </c>
      <c r="N270" s="81">
        <f ca="1">SUMPRODUCT((Work_Codes!$AR$35:$AX$35=$E270)*(Work_Codes!$AR$38:$AX$42)*(N$113:N$117))</f>
        <v>0</v>
      </c>
      <c r="O270" s="81">
        <f ca="1">SUMPRODUCT((Work_Codes!$AR$35:$AX$35=$E270)*(Work_Codes!$AR$38:$AX$42)*(O$113:O$117))</f>
        <v>0</v>
      </c>
      <c r="P270" s="81">
        <f ca="1">SUMPRODUCT((Work_Codes!$AR$35:$AX$35=$E270)*(Work_Codes!$AR$38:$AX$42)*(P$113:P$117))</f>
        <v>0</v>
      </c>
      <c r="Q270" s="81">
        <f ca="1">SUMPRODUCT((Work_Codes!$AR$35:$AX$35=$E270)*(Work_Codes!$AR$38:$AX$42)*(Q$113:Q$117))</f>
        <v>0</v>
      </c>
      <c r="R270" s="81">
        <f ca="1">SUMPRODUCT((Work_Codes!$AR$35:$AX$35=$E270)*(Work_Codes!$AR$38:$AX$42)*(R$113:R$117))</f>
        <v>0</v>
      </c>
      <c r="S270" s="81">
        <f ca="1">SUMPRODUCT((Work_Codes!$AR$35:$AX$35=$E270)*(Work_Codes!$AR$38:$AX$42)*(S$113:S$117))</f>
        <v>0</v>
      </c>
      <c r="T270" s="81">
        <f ca="1">SUMPRODUCT((Work_Codes!$AR$35:$AX$35=$E270)*(Work_Codes!$AR$38:$AX$42)*(T$113:T$117))</f>
        <v>0</v>
      </c>
    </row>
    <row r="271" spans="2:20" outlineLevel="2">
      <c r="E271" s="247" t="str">
        <f>GC!C83</f>
        <v>Repairs</v>
      </c>
      <c r="F271" s="247"/>
      <c r="G271" s="247"/>
      <c r="H271" s="247"/>
      <c r="I271" s="247"/>
      <c r="J271" s="81">
        <f ca="1">SUMPRODUCT((Work_Codes!$AR$35:$AX$35=$E271)*(Work_Codes!$AR$38:$AX$42)*(J$113:J$117))</f>
        <v>0</v>
      </c>
      <c r="K271" s="81">
        <f ca="1">SUMPRODUCT((Work_Codes!$AR$35:$AX$35=$E271)*(Work_Codes!$AR$38:$AX$42)*(K$113:K$117))</f>
        <v>0</v>
      </c>
      <c r="L271" s="81">
        <f ca="1">SUMPRODUCT((Work_Codes!$AR$35:$AX$35=$E271)*(Work_Codes!$AR$38:$AX$42)*(L$113:L$117))</f>
        <v>0</v>
      </c>
      <c r="M271" s="81">
        <f ca="1">SUMPRODUCT((Work_Codes!$AR$35:$AX$35=$E271)*(Work_Codes!$AR$38:$AX$42)*(M$113:M$117))</f>
        <v>0</v>
      </c>
      <c r="N271" s="81">
        <f ca="1">SUMPRODUCT((Work_Codes!$AR$35:$AX$35=$E271)*(Work_Codes!$AR$38:$AX$42)*(N$113:N$117))</f>
        <v>0</v>
      </c>
      <c r="O271" s="81">
        <f ca="1">SUMPRODUCT((Work_Codes!$AR$35:$AX$35=$E271)*(Work_Codes!$AR$38:$AX$42)*(O$113:O$117))</f>
        <v>0</v>
      </c>
      <c r="P271" s="81">
        <f ca="1">SUMPRODUCT((Work_Codes!$AR$35:$AX$35=$E271)*(Work_Codes!$AR$38:$AX$42)*(P$113:P$117))</f>
        <v>0</v>
      </c>
      <c r="Q271" s="81">
        <f ca="1">SUMPRODUCT((Work_Codes!$AR$35:$AX$35=$E271)*(Work_Codes!$AR$38:$AX$42)*(Q$113:Q$117))</f>
        <v>0</v>
      </c>
      <c r="R271" s="81">
        <f ca="1">SUMPRODUCT((Work_Codes!$AR$35:$AX$35=$E271)*(Work_Codes!$AR$38:$AX$42)*(R$113:R$117))</f>
        <v>0</v>
      </c>
      <c r="S271" s="81">
        <f ca="1">SUMPRODUCT((Work_Codes!$AR$35:$AX$35=$E271)*(Work_Codes!$AR$38:$AX$42)*(S$113:S$117))</f>
        <v>0</v>
      </c>
      <c r="T271" s="81">
        <f ca="1">SUMPRODUCT((Work_Codes!$AR$35:$AX$35=$E271)*(Work_Codes!$AR$38:$AX$42)*(T$113:T$117))</f>
        <v>0</v>
      </c>
    </row>
    <row r="272" spans="2:20" outlineLevel="2">
      <c r="E272" s="247" t="str">
        <f>GC!C84</f>
        <v>Land</v>
      </c>
      <c r="F272" s="247"/>
      <c r="G272" s="247"/>
      <c r="H272" s="247"/>
      <c r="I272" s="247"/>
      <c r="J272" s="81">
        <f ca="1">SUMPRODUCT((Work_Codes!$AR$35:$AX$35=$E272)*(Work_Codes!$AR$38:$AX$42)*(J$113:J$117))</f>
        <v>0</v>
      </c>
      <c r="K272" s="81">
        <f ca="1">SUMPRODUCT((Work_Codes!$AR$35:$AX$35=$E272)*(Work_Codes!$AR$38:$AX$42)*(K$113:K$117))</f>
        <v>0</v>
      </c>
      <c r="L272" s="81">
        <f ca="1">SUMPRODUCT((Work_Codes!$AR$35:$AX$35=$E272)*(Work_Codes!$AR$38:$AX$42)*(L$113:L$117))</f>
        <v>0</v>
      </c>
      <c r="M272" s="81">
        <f ca="1">SUMPRODUCT((Work_Codes!$AR$35:$AX$35=$E272)*(Work_Codes!$AR$38:$AX$42)*(M$113:M$117))</f>
        <v>0</v>
      </c>
      <c r="N272" s="81">
        <f ca="1">SUMPRODUCT((Work_Codes!$AR$35:$AX$35=$E272)*(Work_Codes!$AR$38:$AX$42)*(N$113:N$117))</f>
        <v>0</v>
      </c>
      <c r="O272" s="81">
        <f ca="1">SUMPRODUCT((Work_Codes!$AR$35:$AX$35=$E272)*(Work_Codes!$AR$38:$AX$42)*(O$113:O$117))</f>
        <v>0</v>
      </c>
      <c r="P272" s="81">
        <f ca="1">SUMPRODUCT((Work_Codes!$AR$35:$AX$35=$E272)*(Work_Codes!$AR$38:$AX$42)*(P$113:P$117))</f>
        <v>0</v>
      </c>
      <c r="Q272" s="81">
        <f ca="1">SUMPRODUCT((Work_Codes!$AR$35:$AX$35=$E272)*(Work_Codes!$AR$38:$AX$42)*(Q$113:Q$117))</f>
        <v>0</v>
      </c>
      <c r="R272" s="81">
        <f ca="1">SUMPRODUCT((Work_Codes!$AR$35:$AX$35=$E272)*(Work_Codes!$AR$38:$AX$42)*(R$113:R$117))</f>
        <v>0</v>
      </c>
      <c r="S272" s="81">
        <f ca="1">SUMPRODUCT((Work_Codes!$AR$35:$AX$35=$E272)*(Work_Codes!$AR$38:$AX$42)*(S$113:S$117))</f>
        <v>0</v>
      </c>
      <c r="T272" s="81">
        <f ca="1">SUMPRODUCT((Work_Codes!$AR$35:$AX$35=$E272)*(Work_Codes!$AR$38:$AX$42)*(T$113:T$117))</f>
        <v>0</v>
      </c>
    </row>
    <row r="273" spans="2:20" outlineLevel="2">
      <c r="E273" s="249" t="str">
        <f>"Total "&amp;D264</f>
        <v>Total Direct Costs</v>
      </c>
      <c r="F273" s="249"/>
      <c r="G273" s="249"/>
      <c r="H273" s="249"/>
      <c r="I273" s="249"/>
      <c r="J273" s="82">
        <f t="shared" ref="J273:T273" ca="1" si="27">SUM(J266:J272)</f>
        <v>0</v>
      </c>
      <c r="K273" s="82">
        <f t="shared" ca="1" si="27"/>
        <v>0</v>
      </c>
      <c r="L273" s="82">
        <f t="shared" ca="1" si="27"/>
        <v>0</v>
      </c>
      <c r="M273" s="82">
        <f t="shared" ca="1" si="27"/>
        <v>0</v>
      </c>
      <c r="N273" s="82">
        <f t="shared" ca="1" si="27"/>
        <v>491696.03074271942</v>
      </c>
      <c r="O273" s="82">
        <f t="shared" ca="1" si="27"/>
        <v>258373.68843908614</v>
      </c>
      <c r="P273" s="82">
        <f t="shared" ca="1" si="27"/>
        <v>516851.41268671944</v>
      </c>
      <c r="Q273" s="82">
        <f t="shared" ca="1" si="27"/>
        <v>413609.3569172906</v>
      </c>
      <c r="R273" s="82">
        <f t="shared" ca="1" si="27"/>
        <v>310343.48339927621</v>
      </c>
      <c r="S273" s="82">
        <f t="shared" ca="1" si="27"/>
        <v>206995.99799771339</v>
      </c>
      <c r="T273" s="82">
        <f t="shared" ca="1" si="27"/>
        <v>103545.34852513502</v>
      </c>
    </row>
    <row r="274" spans="2:20" outlineLevel="2"/>
    <row r="275" spans="2:20" outlineLevel="2">
      <c r="D275" s="37" t="s">
        <v>313</v>
      </c>
    </row>
    <row r="276" spans="2:20" ht="5.9" customHeight="1" outlineLevel="2"/>
    <row r="277" spans="2:20" outlineLevel="2">
      <c r="E277" s="247" t="str">
        <f>GC!C78</f>
        <v>Mains &amp; Services</v>
      </c>
      <c r="F277" s="247"/>
      <c r="G277" s="247"/>
      <c r="H277" s="247"/>
      <c r="I277" s="247"/>
      <c r="J277" s="81">
        <f ca="1">J266*(1+INDEX(J$35:J$37,MATCH(Work_Codes!$I$32,$D$35:$D$37,0)))</f>
        <v>0</v>
      </c>
      <c r="K277" s="81">
        <f ca="1">K266*(1+INDEX(K$35:K$37,MATCH(Work_Codes!$I$32,$D$35:$D$37,0)))</f>
        <v>0</v>
      </c>
      <c r="L277" s="81">
        <f ca="1">L266*(1+INDEX(L$35:L$37,MATCH(Work_Codes!$I$32,$D$35:$D$37,0)))</f>
        <v>0</v>
      </c>
      <c r="M277" s="81">
        <f ca="1">M266*(1+INDEX(M$35:M$37,MATCH(Work_Codes!$I$32,$D$35:$D$37,0)))</f>
        <v>0</v>
      </c>
      <c r="N277" s="81">
        <f ca="1">N266*(1+INDEX(N$35:N$37,MATCH(Work_Codes!$I$32,$D$35:$D$37,0)))</f>
        <v>510238.38338821894</v>
      </c>
      <c r="O277" s="81">
        <f ca="1">O266*(1+INDEX(O$35:O$37,MATCH(Work_Codes!$I$32,$D$35:$D$37,0)))</f>
        <v>266973.39028964314</v>
      </c>
      <c r="P277" s="81">
        <f ca="1">P266*(1+INDEX(P$35:P$37,MATCH(Work_Codes!$I$32,$D$35:$D$37,0)))</f>
        <v>530678.56306622189</v>
      </c>
      <c r="Q277" s="81">
        <f ca="1">Q266*(1+INDEX(Q$35:Q$37,MATCH(Work_Codes!$I$32,$D$35:$D$37,0)))</f>
        <v>424388.25969159481</v>
      </c>
      <c r="R277" s="81">
        <f ca="1">R266*(1+INDEX(R$35:R$37,MATCH(Work_Codes!$I$32,$D$35:$D$37,0)))</f>
        <v>318683.34568687365</v>
      </c>
      <c r="S277" s="81">
        <f ca="1">S266*(1+INDEX(S$35:S$37,MATCH(Work_Codes!$I$32,$D$35:$D$37,0)))</f>
        <v>212904.9427939576</v>
      </c>
      <c r="T277" s="81">
        <f ca="1">T266*(1+INDEX(T$35:T$37,MATCH(Work_Codes!$I$32,$D$35:$D$37,0)))</f>
        <v>106643.4645142396</v>
      </c>
    </row>
    <row r="278" spans="2:20" outlineLevel="2">
      <c r="E278" s="247" t="str">
        <f>GC!C79</f>
        <v>Meters Domestic</v>
      </c>
      <c r="F278" s="247"/>
      <c r="G278" s="247"/>
      <c r="H278" s="247"/>
      <c r="I278" s="247"/>
      <c r="J278" s="81">
        <f ca="1">J267*(1+INDEX(J$35:J$37,MATCH(Work_Codes!$I$32,$D$35:$D$37,0)))</f>
        <v>0</v>
      </c>
      <c r="K278" s="81">
        <f ca="1">K267*(1+INDEX(K$35:K$37,MATCH(Work_Codes!$I$32,$D$35:$D$37,0)))</f>
        <v>0</v>
      </c>
      <c r="L278" s="81">
        <f ca="1">L267*(1+INDEX(L$35:L$37,MATCH(Work_Codes!$I$32,$D$35:$D$37,0)))</f>
        <v>0</v>
      </c>
      <c r="M278" s="81">
        <f ca="1">M267*(1+INDEX(M$35:M$37,MATCH(Work_Codes!$I$32,$D$35:$D$37,0)))</f>
        <v>0</v>
      </c>
      <c r="N278" s="81">
        <f ca="1">N267*(1+INDEX(N$35:N$37,MATCH(Work_Codes!$I$32,$D$35:$D$37,0)))</f>
        <v>0</v>
      </c>
      <c r="O278" s="81">
        <f ca="1">O267*(1+INDEX(O$35:O$37,MATCH(Work_Codes!$I$32,$D$35:$D$37,0)))</f>
        <v>0</v>
      </c>
      <c r="P278" s="81">
        <f ca="1">P267*(1+INDEX(P$35:P$37,MATCH(Work_Codes!$I$32,$D$35:$D$37,0)))</f>
        <v>0</v>
      </c>
      <c r="Q278" s="81">
        <f ca="1">Q267*(1+INDEX(Q$35:Q$37,MATCH(Work_Codes!$I$32,$D$35:$D$37,0)))</f>
        <v>0</v>
      </c>
      <c r="R278" s="81">
        <f ca="1">R267*(1+INDEX(R$35:R$37,MATCH(Work_Codes!$I$32,$D$35:$D$37,0)))</f>
        <v>0</v>
      </c>
      <c r="S278" s="81">
        <f ca="1">S267*(1+INDEX(S$35:S$37,MATCH(Work_Codes!$I$32,$D$35:$D$37,0)))</f>
        <v>0</v>
      </c>
      <c r="T278" s="81">
        <f ca="1">T267*(1+INDEX(T$35:T$37,MATCH(Work_Codes!$I$32,$D$35:$D$37,0)))</f>
        <v>0</v>
      </c>
    </row>
    <row r="279" spans="2:20" outlineLevel="2">
      <c r="E279" s="247" t="str">
        <f>GC!C80</f>
        <v>Meters Industrial &amp; Commercial</v>
      </c>
      <c r="F279" s="247"/>
      <c r="G279" s="247"/>
      <c r="H279" s="247"/>
      <c r="I279" s="247"/>
      <c r="J279" s="81">
        <f ca="1">J268*(1+INDEX(J$35:J$37,MATCH(Work_Codes!$I$32,$D$35:$D$37,0)))</f>
        <v>0</v>
      </c>
      <c r="K279" s="81">
        <f ca="1">K268*(1+INDEX(K$35:K$37,MATCH(Work_Codes!$I$32,$D$35:$D$37,0)))</f>
        <v>0</v>
      </c>
      <c r="L279" s="81">
        <f ca="1">L268*(1+INDEX(L$35:L$37,MATCH(Work_Codes!$I$32,$D$35:$D$37,0)))</f>
        <v>0</v>
      </c>
      <c r="M279" s="81">
        <f ca="1">M268*(1+INDEX(M$35:M$37,MATCH(Work_Codes!$I$32,$D$35:$D$37,0)))</f>
        <v>0</v>
      </c>
      <c r="N279" s="81">
        <f ca="1">N268*(1+INDEX(N$35:N$37,MATCH(Work_Codes!$I$32,$D$35:$D$37,0)))</f>
        <v>0</v>
      </c>
      <c r="O279" s="81">
        <f ca="1">O268*(1+INDEX(O$35:O$37,MATCH(Work_Codes!$I$32,$D$35:$D$37,0)))</f>
        <v>0</v>
      </c>
      <c r="P279" s="81">
        <f ca="1">P268*(1+INDEX(P$35:P$37,MATCH(Work_Codes!$I$32,$D$35:$D$37,0)))</f>
        <v>0</v>
      </c>
      <c r="Q279" s="81">
        <f ca="1">Q268*(1+INDEX(Q$35:Q$37,MATCH(Work_Codes!$I$32,$D$35:$D$37,0)))</f>
        <v>0</v>
      </c>
      <c r="R279" s="81">
        <f ca="1">R268*(1+INDEX(R$35:R$37,MATCH(Work_Codes!$I$32,$D$35:$D$37,0)))</f>
        <v>0</v>
      </c>
      <c r="S279" s="81">
        <f ca="1">S268*(1+INDEX(S$35:S$37,MATCH(Work_Codes!$I$32,$D$35:$D$37,0)))</f>
        <v>0</v>
      </c>
      <c r="T279" s="81">
        <f ca="1">T268*(1+INDEX(T$35:T$37,MATCH(Work_Codes!$I$32,$D$35:$D$37,0)))</f>
        <v>0</v>
      </c>
    </row>
    <row r="280" spans="2:20" outlineLevel="2">
      <c r="E280" s="247" t="str">
        <f>GC!C81</f>
        <v>Buildings</v>
      </c>
      <c r="F280" s="247"/>
      <c r="G280" s="247"/>
      <c r="H280" s="247"/>
      <c r="I280" s="247"/>
      <c r="J280" s="81">
        <f ca="1">J269*(1+INDEX(J$35:J$37,MATCH(Work_Codes!$I$32,$D$35:$D$37,0)))</f>
        <v>0</v>
      </c>
      <c r="K280" s="81">
        <f ca="1">K269*(1+INDEX(K$35:K$37,MATCH(Work_Codes!$I$32,$D$35:$D$37,0)))</f>
        <v>0</v>
      </c>
      <c r="L280" s="81">
        <f ca="1">L269*(1+INDEX(L$35:L$37,MATCH(Work_Codes!$I$32,$D$35:$D$37,0)))</f>
        <v>0</v>
      </c>
      <c r="M280" s="81">
        <f ca="1">M269*(1+INDEX(M$35:M$37,MATCH(Work_Codes!$I$32,$D$35:$D$37,0)))</f>
        <v>0</v>
      </c>
      <c r="N280" s="81">
        <f ca="1">N269*(1+INDEX(N$35:N$37,MATCH(Work_Codes!$I$32,$D$35:$D$37,0)))</f>
        <v>0</v>
      </c>
      <c r="O280" s="81">
        <f ca="1">O269*(1+INDEX(O$35:O$37,MATCH(Work_Codes!$I$32,$D$35:$D$37,0)))</f>
        <v>0</v>
      </c>
      <c r="P280" s="81">
        <f ca="1">P269*(1+INDEX(P$35:P$37,MATCH(Work_Codes!$I$32,$D$35:$D$37,0)))</f>
        <v>0</v>
      </c>
      <c r="Q280" s="81">
        <f ca="1">Q269*(1+INDEX(Q$35:Q$37,MATCH(Work_Codes!$I$32,$D$35:$D$37,0)))</f>
        <v>0</v>
      </c>
      <c r="R280" s="81">
        <f ca="1">R269*(1+INDEX(R$35:R$37,MATCH(Work_Codes!$I$32,$D$35:$D$37,0)))</f>
        <v>0</v>
      </c>
      <c r="S280" s="81">
        <f ca="1">S269*(1+INDEX(S$35:S$37,MATCH(Work_Codes!$I$32,$D$35:$D$37,0)))</f>
        <v>0</v>
      </c>
      <c r="T280" s="81">
        <f ca="1">T269*(1+INDEX(T$35:T$37,MATCH(Work_Codes!$I$32,$D$35:$D$37,0)))</f>
        <v>0</v>
      </c>
    </row>
    <row r="281" spans="2:20" outlineLevel="2">
      <c r="E281" s="247" t="str">
        <f>GC!C82</f>
        <v>Other Assets</v>
      </c>
      <c r="F281" s="247"/>
      <c r="G281" s="247"/>
      <c r="H281" s="247"/>
      <c r="I281" s="247"/>
      <c r="J281" s="81">
        <f ca="1">J270*(1+INDEX(J$35:J$37,MATCH(Work_Codes!$I$32,$D$35:$D$37,0)))</f>
        <v>0</v>
      </c>
      <c r="K281" s="81">
        <f ca="1">K270*(1+INDEX(K$35:K$37,MATCH(Work_Codes!$I$32,$D$35:$D$37,0)))</f>
        <v>0</v>
      </c>
      <c r="L281" s="81">
        <f ca="1">L270*(1+INDEX(L$35:L$37,MATCH(Work_Codes!$I$32,$D$35:$D$37,0)))</f>
        <v>0</v>
      </c>
      <c r="M281" s="81">
        <f ca="1">M270*(1+INDEX(M$35:M$37,MATCH(Work_Codes!$I$32,$D$35:$D$37,0)))</f>
        <v>0</v>
      </c>
      <c r="N281" s="81">
        <f ca="1">N270*(1+INDEX(N$35:N$37,MATCH(Work_Codes!$I$32,$D$35:$D$37,0)))</f>
        <v>0</v>
      </c>
      <c r="O281" s="81">
        <f ca="1">O270*(1+INDEX(O$35:O$37,MATCH(Work_Codes!$I$32,$D$35:$D$37,0)))</f>
        <v>0</v>
      </c>
      <c r="P281" s="81">
        <f ca="1">P270*(1+INDEX(P$35:P$37,MATCH(Work_Codes!$I$32,$D$35:$D$37,0)))</f>
        <v>0</v>
      </c>
      <c r="Q281" s="81">
        <f ca="1">Q270*(1+INDEX(Q$35:Q$37,MATCH(Work_Codes!$I$32,$D$35:$D$37,0)))</f>
        <v>0</v>
      </c>
      <c r="R281" s="81">
        <f ca="1">R270*(1+INDEX(R$35:R$37,MATCH(Work_Codes!$I$32,$D$35:$D$37,0)))</f>
        <v>0</v>
      </c>
      <c r="S281" s="81">
        <f ca="1">S270*(1+INDEX(S$35:S$37,MATCH(Work_Codes!$I$32,$D$35:$D$37,0)))</f>
        <v>0</v>
      </c>
      <c r="T281" s="81">
        <f ca="1">T270*(1+INDEX(T$35:T$37,MATCH(Work_Codes!$I$32,$D$35:$D$37,0)))</f>
        <v>0</v>
      </c>
    </row>
    <row r="282" spans="2:20" outlineLevel="2">
      <c r="E282" s="247" t="str">
        <f>GC!C83</f>
        <v>Repairs</v>
      </c>
      <c r="F282" s="247"/>
      <c r="G282" s="247"/>
      <c r="H282" s="247"/>
      <c r="I282" s="247"/>
      <c r="J282" s="81">
        <f ca="1">J271*(1+INDEX(J$35:J$37,MATCH(Work_Codes!$I$32,$D$35:$D$37,0)))</f>
        <v>0</v>
      </c>
      <c r="K282" s="81">
        <f ca="1">K271*(1+INDEX(K$35:K$37,MATCH(Work_Codes!$I$32,$D$35:$D$37,0)))</f>
        <v>0</v>
      </c>
      <c r="L282" s="81">
        <f ca="1">L271*(1+INDEX(L$35:L$37,MATCH(Work_Codes!$I$32,$D$35:$D$37,0)))</f>
        <v>0</v>
      </c>
      <c r="M282" s="81">
        <f ca="1">M271*(1+INDEX(M$35:M$37,MATCH(Work_Codes!$I$32,$D$35:$D$37,0)))</f>
        <v>0</v>
      </c>
      <c r="N282" s="81">
        <f ca="1">N271*(1+INDEX(N$35:N$37,MATCH(Work_Codes!$I$32,$D$35:$D$37,0)))</f>
        <v>0</v>
      </c>
      <c r="O282" s="81">
        <f ca="1">O271*(1+INDEX(O$35:O$37,MATCH(Work_Codes!$I$32,$D$35:$D$37,0)))</f>
        <v>0</v>
      </c>
      <c r="P282" s="81">
        <f ca="1">P271*(1+INDEX(P$35:P$37,MATCH(Work_Codes!$I$32,$D$35:$D$37,0)))</f>
        <v>0</v>
      </c>
      <c r="Q282" s="81">
        <f ca="1">Q271*(1+INDEX(Q$35:Q$37,MATCH(Work_Codes!$I$32,$D$35:$D$37,0)))</f>
        <v>0</v>
      </c>
      <c r="R282" s="81">
        <f ca="1">R271*(1+INDEX(R$35:R$37,MATCH(Work_Codes!$I$32,$D$35:$D$37,0)))</f>
        <v>0</v>
      </c>
      <c r="S282" s="81">
        <f ca="1">S271*(1+INDEX(S$35:S$37,MATCH(Work_Codes!$I$32,$D$35:$D$37,0)))</f>
        <v>0</v>
      </c>
      <c r="T282" s="81">
        <f ca="1">T271*(1+INDEX(T$35:T$37,MATCH(Work_Codes!$I$32,$D$35:$D$37,0)))</f>
        <v>0</v>
      </c>
    </row>
    <row r="283" spans="2:20" outlineLevel="2">
      <c r="E283" s="247" t="str">
        <f>GC!C84</f>
        <v>Land</v>
      </c>
      <c r="F283" s="247"/>
      <c r="G283" s="247"/>
      <c r="H283" s="247"/>
      <c r="I283" s="247"/>
      <c r="J283" s="81">
        <f ca="1">J272*(1+INDEX(J$35:J$37,MATCH(Work_Codes!$I$32,$D$35:$D$37,0)))</f>
        <v>0</v>
      </c>
      <c r="K283" s="81">
        <f ca="1">K272*(1+INDEX(K$35:K$37,MATCH(Work_Codes!$I$32,$D$35:$D$37,0)))</f>
        <v>0</v>
      </c>
      <c r="L283" s="81">
        <f ca="1">L272*(1+INDEX(L$35:L$37,MATCH(Work_Codes!$I$32,$D$35:$D$37,0)))</f>
        <v>0</v>
      </c>
      <c r="M283" s="81">
        <f ca="1">M272*(1+INDEX(M$35:M$37,MATCH(Work_Codes!$I$32,$D$35:$D$37,0)))</f>
        <v>0</v>
      </c>
      <c r="N283" s="81">
        <f ca="1">N272*(1+INDEX(N$35:N$37,MATCH(Work_Codes!$I$32,$D$35:$D$37,0)))</f>
        <v>0</v>
      </c>
      <c r="O283" s="81">
        <f ca="1">O272*(1+INDEX(O$35:O$37,MATCH(Work_Codes!$I$32,$D$35:$D$37,0)))</f>
        <v>0</v>
      </c>
      <c r="P283" s="81">
        <f ca="1">P272*(1+INDEX(P$35:P$37,MATCH(Work_Codes!$I$32,$D$35:$D$37,0)))</f>
        <v>0</v>
      </c>
      <c r="Q283" s="81">
        <f ca="1">Q272*(1+INDEX(Q$35:Q$37,MATCH(Work_Codes!$I$32,$D$35:$D$37,0)))</f>
        <v>0</v>
      </c>
      <c r="R283" s="81">
        <f ca="1">R272*(1+INDEX(R$35:R$37,MATCH(Work_Codes!$I$32,$D$35:$D$37,0)))</f>
        <v>0</v>
      </c>
      <c r="S283" s="81">
        <f ca="1">S272*(1+INDEX(S$35:S$37,MATCH(Work_Codes!$I$32,$D$35:$D$37,0)))</f>
        <v>0</v>
      </c>
      <c r="T283" s="81">
        <f ca="1">T272*(1+INDEX(T$35:T$37,MATCH(Work_Codes!$I$32,$D$35:$D$37,0)))</f>
        <v>0</v>
      </c>
    </row>
    <row r="284" spans="2:20" outlineLevel="2">
      <c r="E284" s="249" t="str">
        <f>"Total "&amp;D275</f>
        <v>Total Direct Costs +  Overheads</v>
      </c>
      <c r="F284" s="249"/>
      <c r="G284" s="249"/>
      <c r="H284" s="249"/>
      <c r="I284" s="249"/>
      <c r="J284" s="82">
        <f t="shared" ref="J284:T284" ca="1" si="28">SUM(J277:J283)</f>
        <v>0</v>
      </c>
      <c r="K284" s="82">
        <f t="shared" ca="1" si="28"/>
        <v>0</v>
      </c>
      <c r="L284" s="82">
        <f t="shared" ca="1" si="28"/>
        <v>0</v>
      </c>
      <c r="M284" s="82">
        <f t="shared" ca="1" si="28"/>
        <v>0</v>
      </c>
      <c r="N284" s="82">
        <f t="shared" ca="1" si="28"/>
        <v>510238.38338821894</v>
      </c>
      <c r="O284" s="82">
        <f t="shared" ca="1" si="28"/>
        <v>266973.39028964314</v>
      </c>
      <c r="P284" s="82">
        <f t="shared" ca="1" si="28"/>
        <v>530678.56306622189</v>
      </c>
      <c r="Q284" s="82">
        <f t="shared" ca="1" si="28"/>
        <v>424388.25969159481</v>
      </c>
      <c r="R284" s="82">
        <f t="shared" ca="1" si="28"/>
        <v>318683.34568687365</v>
      </c>
      <c r="S284" s="82">
        <f t="shared" ca="1" si="28"/>
        <v>212904.9427939576</v>
      </c>
      <c r="T284" s="82">
        <f t="shared" ca="1" si="28"/>
        <v>106643.4645142396</v>
      </c>
    </row>
    <row r="285" spans="2:20" outlineLevel="1">
      <c r="B285" s="12"/>
      <c r="C285" s="12"/>
      <c r="D285" s="12"/>
      <c r="E285" s="12"/>
      <c r="F285" s="12"/>
      <c r="G285" s="12"/>
      <c r="H285" s="12"/>
      <c r="I285" s="12"/>
      <c r="J285" s="12"/>
      <c r="K285" s="12"/>
      <c r="L285" s="12"/>
      <c r="M285" s="12"/>
      <c r="N285" s="12"/>
      <c r="O285" s="12"/>
      <c r="P285" s="12"/>
      <c r="Q285" s="12"/>
      <c r="R285" s="12"/>
      <c r="S285" s="12"/>
      <c r="T285" s="12"/>
    </row>
    <row r="286" spans="2:20" outlineLevel="1"/>
    <row r="287" spans="2:20" outlineLevel="1">
      <c r="C287" s="37" t="s">
        <v>19</v>
      </c>
    </row>
    <row r="288" spans="2:20" ht="5.9" customHeight="1" outlineLevel="1"/>
    <row r="289" spans="2:20" outlineLevel="1">
      <c r="F289" s="51" t="str">
        <f>$B$23&amp;" Work Code v RAB Category Direct Check"</f>
        <v>3002 - Inputs Work Code v RAB Category Direct Check</v>
      </c>
      <c r="I289" s="130">
        <f ca="1">IF(ISERROR(SUM(J289:T289)),1,MIN(SUM(J289:T289),1))</f>
        <v>0</v>
      </c>
      <c r="J289" s="81">
        <f t="shared" ref="J289:T289" ca="1" si="29">J119-J142</f>
        <v>0</v>
      </c>
      <c r="K289" s="81">
        <f t="shared" ca="1" si="29"/>
        <v>0</v>
      </c>
      <c r="L289" s="81">
        <f t="shared" ca="1" si="29"/>
        <v>0</v>
      </c>
      <c r="M289" s="81">
        <f t="shared" ca="1" si="29"/>
        <v>0</v>
      </c>
      <c r="N289" s="81">
        <f t="shared" ca="1" si="29"/>
        <v>0</v>
      </c>
      <c r="O289" s="81">
        <f t="shared" ca="1" si="29"/>
        <v>0</v>
      </c>
      <c r="P289" s="81">
        <f t="shared" ca="1" si="29"/>
        <v>0</v>
      </c>
      <c r="Q289" s="81">
        <f t="shared" ca="1" si="29"/>
        <v>0</v>
      </c>
      <c r="R289" s="81">
        <f t="shared" ca="1" si="29"/>
        <v>0</v>
      </c>
      <c r="S289" s="81">
        <f t="shared" ca="1" si="29"/>
        <v>0</v>
      </c>
      <c r="T289" s="81">
        <f t="shared" ca="1" si="29"/>
        <v>0</v>
      </c>
    </row>
    <row r="290" spans="2:20" outlineLevel="1">
      <c r="F290" s="51" t="str">
        <f>$B$23&amp;" Work Code v RIN Category Direct Check"</f>
        <v>3002 - Inputs Work Code v RIN Category Direct Check</v>
      </c>
      <c r="I290" s="130">
        <f ca="1">IF(ISERROR(SUM(J290:T290)),1,MIN(SUM(J290:T290),1))</f>
        <v>0</v>
      </c>
      <c r="J290" s="81">
        <f t="shared" ref="J290:T290" ca="1" si="30">J119-J223</f>
        <v>0</v>
      </c>
      <c r="K290" s="81">
        <f t="shared" ca="1" si="30"/>
        <v>0</v>
      </c>
      <c r="L290" s="81">
        <f t="shared" ca="1" si="30"/>
        <v>0</v>
      </c>
      <c r="M290" s="81">
        <f t="shared" ca="1" si="30"/>
        <v>0</v>
      </c>
      <c r="N290" s="81">
        <f t="shared" ca="1" si="30"/>
        <v>0</v>
      </c>
      <c r="O290" s="81">
        <f t="shared" ca="1" si="30"/>
        <v>0</v>
      </c>
      <c r="P290" s="81">
        <f t="shared" ca="1" si="30"/>
        <v>0</v>
      </c>
      <c r="Q290" s="81">
        <f t="shared" ca="1" si="30"/>
        <v>0</v>
      </c>
      <c r="R290" s="81">
        <f t="shared" ca="1" si="30"/>
        <v>0</v>
      </c>
      <c r="S290" s="81">
        <f t="shared" ca="1" si="30"/>
        <v>0</v>
      </c>
      <c r="T290" s="81">
        <f t="shared" ca="1" si="30"/>
        <v>0</v>
      </c>
    </row>
    <row r="291" spans="2:20" outlineLevel="1">
      <c r="F291" s="51" t="str">
        <f>$B$23&amp;" Work Code v Tax Category Direct Check"</f>
        <v>3002 - Inputs Work Code v Tax Category Direct Check</v>
      </c>
      <c r="I291" s="130">
        <f ca="1">IF(ISERROR(SUM(J291:T291)),1,MIN(SUM(J291:T291),1))</f>
        <v>0</v>
      </c>
      <c r="J291" s="81">
        <f t="shared" ref="J291:T291" ca="1" si="31">J119-J273</f>
        <v>0</v>
      </c>
      <c r="K291" s="81">
        <f t="shared" ca="1" si="31"/>
        <v>0</v>
      </c>
      <c r="L291" s="81">
        <f t="shared" ca="1" si="31"/>
        <v>0</v>
      </c>
      <c r="M291" s="81">
        <f t="shared" ca="1" si="31"/>
        <v>0</v>
      </c>
      <c r="N291" s="81">
        <f t="shared" ca="1" si="31"/>
        <v>0</v>
      </c>
      <c r="O291" s="81">
        <f t="shared" ca="1" si="31"/>
        <v>0</v>
      </c>
      <c r="P291" s="81">
        <f t="shared" ca="1" si="31"/>
        <v>0</v>
      </c>
      <c r="Q291" s="81">
        <f t="shared" ca="1" si="31"/>
        <v>0</v>
      </c>
      <c r="R291" s="81">
        <f t="shared" ca="1" si="31"/>
        <v>0</v>
      </c>
      <c r="S291" s="81">
        <f t="shared" ca="1" si="31"/>
        <v>0</v>
      </c>
      <c r="T291" s="81">
        <f t="shared" ca="1" si="31"/>
        <v>0</v>
      </c>
    </row>
    <row r="292" spans="2:20" outlineLevel="1">
      <c r="F292" s="51" t="str">
        <f>$B$23&amp;" Customer Contributions v RAB Category Direct Check"</f>
        <v>3002 - Inputs Customer Contributions v RAB Category Direct Check</v>
      </c>
      <c r="I292" s="130">
        <f ca="1">IF(ISERROR(SUM(J292:T292)),1,MIN(SUM(J292:T292),1))</f>
        <v>0</v>
      </c>
      <c r="J292" s="81">
        <f t="shared" ref="J292:T292" ca="1" si="32">J76-J202</f>
        <v>0</v>
      </c>
      <c r="K292" s="81">
        <f t="shared" ca="1" si="32"/>
        <v>0</v>
      </c>
      <c r="L292" s="81">
        <f t="shared" ca="1" si="32"/>
        <v>0</v>
      </c>
      <c r="M292" s="81">
        <f t="shared" ca="1" si="32"/>
        <v>0</v>
      </c>
      <c r="N292" s="81">
        <f t="shared" ca="1" si="32"/>
        <v>0</v>
      </c>
      <c r="O292" s="81">
        <f t="shared" ca="1" si="32"/>
        <v>0</v>
      </c>
      <c r="P292" s="81">
        <f t="shared" ca="1" si="32"/>
        <v>0</v>
      </c>
      <c r="Q292" s="81">
        <f t="shared" ca="1" si="32"/>
        <v>0</v>
      </c>
      <c r="R292" s="81">
        <f t="shared" ca="1" si="32"/>
        <v>0</v>
      </c>
      <c r="S292" s="81">
        <f t="shared" ca="1" si="32"/>
        <v>0</v>
      </c>
      <c r="T292" s="81">
        <f t="shared" ca="1" si="32"/>
        <v>0</v>
      </c>
    </row>
    <row r="293" spans="2:20" ht="5.9" customHeight="1" outlineLevel="1"/>
    <row r="294" spans="2:20" outlineLevel="1">
      <c r="F294" s="51" t="str">
        <f>$B$23&amp;" RAB v RIN Direct + Overhead Check"</f>
        <v>3002 - Inputs RAB v RIN Direct + Overhead Check</v>
      </c>
      <c r="I294" s="130">
        <f ca="1">IF(ISERROR(SUM(J294:T294)),1,MIN(SUM(J294:T294),1))</f>
        <v>0</v>
      </c>
      <c r="J294" s="81">
        <f t="shared" ref="J294:T294" ca="1" si="33">J182-J241</f>
        <v>0</v>
      </c>
      <c r="K294" s="81">
        <f t="shared" ca="1" si="33"/>
        <v>0</v>
      </c>
      <c r="L294" s="81">
        <f t="shared" ca="1" si="33"/>
        <v>0</v>
      </c>
      <c r="M294" s="81">
        <f t="shared" ca="1" si="33"/>
        <v>0</v>
      </c>
      <c r="N294" s="81">
        <f t="shared" ca="1" si="33"/>
        <v>0</v>
      </c>
      <c r="O294" s="81">
        <f t="shared" ca="1" si="33"/>
        <v>0</v>
      </c>
      <c r="P294" s="81">
        <f t="shared" ca="1" si="33"/>
        <v>0</v>
      </c>
      <c r="Q294" s="81">
        <f t="shared" ca="1" si="33"/>
        <v>0</v>
      </c>
      <c r="R294" s="81">
        <f t="shared" ca="1" si="33"/>
        <v>0</v>
      </c>
      <c r="S294" s="81">
        <f t="shared" ca="1" si="33"/>
        <v>0</v>
      </c>
      <c r="T294" s="81">
        <f t="shared" ca="1" si="33"/>
        <v>0</v>
      </c>
    </row>
    <row r="295" spans="2:20" outlineLevel="1">
      <c r="F295" s="51" t="str">
        <f>$B$23&amp;" RAB v Tax Direct + Overhead Check"</f>
        <v>3002 - Inputs RAB v Tax Direct + Overhead Check</v>
      </c>
      <c r="I295" s="130">
        <f ca="1">IF(ISERROR(SUM(J295:T295)),1,MIN(SUM(J295:T295),1))</f>
        <v>0</v>
      </c>
      <c r="J295" s="81">
        <f t="shared" ref="J295:T295" ca="1" si="34">J182-J284</f>
        <v>0</v>
      </c>
      <c r="K295" s="81">
        <f t="shared" ca="1" si="34"/>
        <v>0</v>
      </c>
      <c r="L295" s="81">
        <f t="shared" ca="1" si="34"/>
        <v>0</v>
      </c>
      <c r="M295" s="81">
        <f t="shared" ca="1" si="34"/>
        <v>0</v>
      </c>
      <c r="N295" s="81">
        <f t="shared" ca="1" si="34"/>
        <v>0</v>
      </c>
      <c r="O295" s="81">
        <f t="shared" ca="1" si="34"/>
        <v>0</v>
      </c>
      <c r="P295" s="81">
        <f t="shared" ca="1" si="34"/>
        <v>0</v>
      </c>
      <c r="Q295" s="81">
        <f t="shared" ca="1" si="34"/>
        <v>0</v>
      </c>
      <c r="R295" s="81">
        <f t="shared" ca="1" si="34"/>
        <v>0</v>
      </c>
      <c r="S295" s="81">
        <f t="shared" ca="1" si="34"/>
        <v>0</v>
      </c>
      <c r="T295" s="81">
        <f t="shared" ca="1" si="34"/>
        <v>0</v>
      </c>
    </row>
    <row r="296" spans="2:20" s="41" customFormat="1" ht="12" outlineLevel="1" thickBot="1">
      <c r="B296" s="94"/>
      <c r="C296" s="94"/>
      <c r="D296" s="94"/>
      <c r="E296" s="94"/>
      <c r="F296" s="94"/>
      <c r="G296" s="94"/>
      <c r="H296" s="94"/>
      <c r="I296" s="94"/>
      <c r="J296" s="94"/>
      <c r="K296" s="94"/>
      <c r="L296" s="94"/>
      <c r="M296" s="94"/>
      <c r="N296" s="94"/>
      <c r="O296" s="94"/>
      <c r="P296" s="94"/>
      <c r="Q296" s="94"/>
      <c r="R296" s="94"/>
      <c r="S296" s="94"/>
      <c r="T296" s="94"/>
    </row>
    <row r="298" spans="2:20" ht="14">
      <c r="B298" s="110" t="s">
        <v>232</v>
      </c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</row>
    <row r="299" spans="2:20" ht="5.9" customHeight="1"/>
    <row r="300" spans="2:20" ht="14">
      <c r="B300" s="56" t="str">
        <f>GC!F11</f>
        <v>Medium Pressure Replacement - Ad Hoc</v>
      </c>
    </row>
    <row r="301" spans="2:20" ht="5.9" customHeight="1" outlineLevel="1"/>
    <row r="302" spans="2:20" hidden="1" outlineLevel="2">
      <c r="C302" s="37" t="s">
        <v>204</v>
      </c>
    </row>
    <row r="303" spans="2:20" ht="5.9" hidden="1" customHeight="1" outlineLevel="2"/>
    <row r="304" spans="2:20" hidden="1" outlineLevel="2">
      <c r="D304" s="51" t="s">
        <v>103</v>
      </c>
      <c r="J304" s="92">
        <f>Rates!J42</f>
        <v>1</v>
      </c>
      <c r="K304" s="92">
        <f>Rates!K42</f>
        <v>1</v>
      </c>
      <c r="L304" s="92">
        <f>Rates!L42</f>
        <v>1</v>
      </c>
      <c r="M304" s="92">
        <f>Rates!M42</f>
        <v>1</v>
      </c>
      <c r="N304" s="92">
        <f>Rates!N42</f>
        <v>1</v>
      </c>
      <c r="O304" s="92">
        <f>Rates!O42</f>
        <v>1.0051959235721353</v>
      </c>
      <c r="P304" s="92">
        <f>Rates!P42</f>
        <v>1.0102301741405761</v>
      </c>
      <c r="Q304" s="92">
        <f>Rates!Q42</f>
        <v>1.0181072873442809</v>
      </c>
      <c r="R304" s="92">
        <f>Rates!R42</f>
        <v>1.0293150686557422</v>
      </c>
      <c r="S304" s="92">
        <f>Rates!S42</f>
        <v>1.040646230246951</v>
      </c>
      <c r="T304" s="92">
        <f>Rates!T42</f>
        <v>1.0521021303433229</v>
      </c>
    </row>
    <row r="305" spans="3:20" hidden="1" outlineLevel="2">
      <c r="D305" s="51" t="s">
        <v>104</v>
      </c>
      <c r="J305" s="92">
        <f>Rates!J43</f>
        <v>1</v>
      </c>
      <c r="K305" s="92">
        <f>Rates!K43</f>
        <v>1</v>
      </c>
      <c r="L305" s="92">
        <f>Rates!L43</f>
        <v>1</v>
      </c>
      <c r="M305" s="92">
        <f>Rates!M43</f>
        <v>1</v>
      </c>
      <c r="N305" s="92">
        <f>Rates!N43</f>
        <v>1</v>
      </c>
      <c r="O305" s="92">
        <f>Rates!O43</f>
        <v>1</v>
      </c>
      <c r="P305" s="92">
        <f>Rates!P43</f>
        <v>1</v>
      </c>
      <c r="Q305" s="92">
        <f>Rates!Q43</f>
        <v>1</v>
      </c>
      <c r="R305" s="92">
        <f>Rates!R43</f>
        <v>1</v>
      </c>
      <c r="S305" s="92">
        <f>Rates!S43</f>
        <v>1</v>
      </c>
      <c r="T305" s="92">
        <f>Rates!T43</f>
        <v>1</v>
      </c>
    </row>
    <row r="306" spans="3:20" hidden="1" outlineLevel="2">
      <c r="D306" s="51" t="s">
        <v>130</v>
      </c>
      <c r="J306" s="92">
        <f>Rates!J45</f>
        <v>1</v>
      </c>
      <c r="K306" s="92">
        <f>Rates!K45</f>
        <v>1</v>
      </c>
      <c r="L306" s="92">
        <f>Rates!L45</f>
        <v>1</v>
      </c>
      <c r="M306" s="92">
        <f>Rates!M45</f>
        <v>1</v>
      </c>
      <c r="N306" s="92">
        <f>Rates!N45</f>
        <v>1</v>
      </c>
      <c r="O306" s="92">
        <f>Rates!O45</f>
        <v>1</v>
      </c>
      <c r="P306" s="92">
        <f>Rates!P45</f>
        <v>1</v>
      </c>
      <c r="Q306" s="92">
        <f>Rates!Q45</f>
        <v>1</v>
      </c>
      <c r="R306" s="92">
        <f>Rates!R45</f>
        <v>1</v>
      </c>
      <c r="S306" s="92">
        <f>Rates!S45</f>
        <v>1</v>
      </c>
      <c r="T306" s="92">
        <f>Rates!T45</f>
        <v>1</v>
      </c>
    </row>
    <row r="307" spans="3:20" ht="5.9" hidden="1" customHeight="1" outlineLevel="2"/>
    <row r="308" spans="3:20" hidden="1" outlineLevel="2">
      <c r="C308" s="37" t="s">
        <v>105</v>
      </c>
    </row>
    <row r="309" spans="3:20" ht="5.9" hidden="1" customHeight="1" outlineLevel="2"/>
    <row r="310" spans="3:20" hidden="1" outlineLevel="2">
      <c r="D310" s="51" t="s">
        <v>106</v>
      </c>
      <c r="J310" s="100">
        <f>Rates!J50</f>
        <v>6.9591273870889495E-2</v>
      </c>
      <c r="K310" s="100">
        <f>Rates!K50</f>
        <v>7.3934468928182201E-2</v>
      </c>
      <c r="L310" s="100">
        <f>Rates!L50</f>
        <v>7.5085976469407303E-2</v>
      </c>
      <c r="M310" s="100">
        <f>Rates!M50</f>
        <v>8.0103391005934096E-2</v>
      </c>
      <c r="N310" s="100">
        <f>Rates!N50</f>
        <v>3.7711007382937055E-2</v>
      </c>
      <c r="O310" s="100">
        <f>Rates!O50</f>
        <v>3.3283969054706777E-2</v>
      </c>
      <c r="P310" s="100">
        <f>Rates!P50</f>
        <v>2.6752660513445464E-2</v>
      </c>
      <c r="Q310" s="100">
        <f>Rates!Q50</f>
        <v>2.6060587348993774E-2</v>
      </c>
      <c r="R310" s="100">
        <f>Rates!R50</f>
        <v>2.6873005987587139E-2</v>
      </c>
      <c r="S310" s="100">
        <f>Rates!S50</f>
        <v>2.8546178928104012E-2</v>
      </c>
      <c r="T310" s="100">
        <f>Rates!T50</f>
        <v>2.9920378203686534E-2</v>
      </c>
    </row>
    <row r="311" spans="3:20" hidden="1" outlineLevel="2">
      <c r="D311" s="51" t="s">
        <v>107</v>
      </c>
      <c r="J311" s="100">
        <f>Rates!J51</f>
        <v>5.5842732834613398E-2</v>
      </c>
      <c r="K311" s="100">
        <f>Rates!K51</f>
        <v>5.16564294790849E-2</v>
      </c>
      <c r="L311" s="100">
        <f>Rates!L51</f>
        <v>6.0535031919173997E-2</v>
      </c>
      <c r="M311" s="100">
        <f>Rates!M51</f>
        <v>7.1630695797579302E-2</v>
      </c>
      <c r="N311" s="100">
        <f>Rates!N51</f>
        <v>7.4343858126268231E-2</v>
      </c>
      <c r="O311" s="100">
        <f>Rates!O51</f>
        <v>7.4059082290758096E-2</v>
      </c>
      <c r="P311" s="100">
        <f>Rates!P51</f>
        <v>2.4388539961794877E-2</v>
      </c>
      <c r="Q311" s="100">
        <f>Rates!Q51</f>
        <v>2.1171310758207256E-2</v>
      </c>
      <c r="R311" s="100">
        <f>Rates!R51</f>
        <v>2.0024144075344485E-2</v>
      </c>
      <c r="S311" s="100">
        <f>Rates!S51</f>
        <v>3.9620009613577346E-2</v>
      </c>
      <c r="T311" s="100">
        <f>Rates!T51</f>
        <v>5.404914337922874E-2</v>
      </c>
    </row>
    <row r="312" spans="3:20" hidden="1" outlineLevel="2">
      <c r="D312" s="51" t="s">
        <v>108</v>
      </c>
      <c r="J312" s="100">
        <f>Rates!J52</f>
        <v>0</v>
      </c>
      <c r="K312" s="100">
        <f>Rates!K52</f>
        <v>0</v>
      </c>
      <c r="L312" s="100">
        <f>Rates!L52</f>
        <v>0</v>
      </c>
      <c r="M312" s="100">
        <f>Rates!M52</f>
        <v>0</v>
      </c>
      <c r="N312" s="100">
        <f>Rates!N52</f>
        <v>0</v>
      </c>
      <c r="O312" s="100">
        <f>Rates!O52</f>
        <v>0</v>
      </c>
      <c r="P312" s="100">
        <f>Rates!P52</f>
        <v>0</v>
      </c>
      <c r="Q312" s="100">
        <f>Rates!Q52</f>
        <v>0</v>
      </c>
      <c r="R312" s="100">
        <f>Rates!R52</f>
        <v>0</v>
      </c>
      <c r="S312" s="100">
        <f>Rates!S52</f>
        <v>0</v>
      </c>
      <c r="T312" s="100">
        <f>Rates!T52</f>
        <v>0</v>
      </c>
    </row>
    <row r="313" spans="3:20" outlineLevel="1" collapsed="1"/>
    <row r="314" spans="3:20" ht="5.9" customHeight="1" outlineLevel="1"/>
    <row r="315" spans="3:20" outlineLevel="1">
      <c r="C315" s="37" t="s">
        <v>118</v>
      </c>
    </row>
    <row r="316" spans="3:20" ht="5.9" customHeight="1" outlineLevel="1"/>
    <row r="317" spans="3:20" outlineLevel="1">
      <c r="D317" s="37" t="s">
        <v>160</v>
      </c>
      <c r="H317" s="107" t="s">
        <v>192</v>
      </c>
    </row>
    <row r="318" spans="3:20" ht="5.9" customHeight="1" outlineLevel="1"/>
    <row r="319" spans="3:20" outlineLevel="1">
      <c r="D319" s="102" t="str">
        <f>Work_Codes!D81</f>
        <v>Minor Replacement - Mains Renewal &lt;20m)</v>
      </c>
      <c r="H319" s="63"/>
      <c r="J319" s="125"/>
      <c r="K319" s="125"/>
      <c r="L319" s="125"/>
      <c r="M319" s="178"/>
      <c r="N319" s="211"/>
      <c r="O319" s="217"/>
      <c r="P319" s="216"/>
      <c r="Q319" s="216"/>
      <c r="R319" s="216"/>
      <c r="S319" s="216"/>
      <c r="T319" s="216"/>
    </row>
    <row r="320" spans="3:20" outlineLevel="1">
      <c r="D320" s="102" t="str">
        <f>Work_Codes!D82</f>
        <v>Minor Replacement - Alter / Lower Mains</v>
      </c>
      <c r="H320" s="63"/>
      <c r="J320" s="125"/>
      <c r="K320" s="125"/>
      <c r="L320" s="125"/>
      <c r="M320" s="178"/>
      <c r="N320" s="211"/>
      <c r="O320" s="217"/>
      <c r="P320" s="216"/>
      <c r="Q320" s="216"/>
      <c r="R320" s="216"/>
      <c r="S320" s="216"/>
      <c r="T320" s="216"/>
    </row>
    <row r="321" spans="3:20" outlineLevel="1">
      <c r="D321" s="102" t="str">
        <f>Work_Codes!D83</f>
        <v>Minor Replacement - Service Renewals</v>
      </c>
      <c r="H321" s="63"/>
      <c r="J321" s="125"/>
      <c r="K321" s="125"/>
      <c r="L321" s="125"/>
      <c r="M321" s="178"/>
      <c r="N321" s="211"/>
      <c r="O321" s="217"/>
      <c r="P321" s="216"/>
      <c r="Q321" s="216"/>
      <c r="R321" s="216"/>
      <c r="S321" s="216"/>
      <c r="T321" s="216"/>
    </row>
    <row r="322" spans="3:20" outlineLevel="1">
      <c r="D322" s="102" t="str">
        <f>Work_Codes!D84</f>
        <v>Minor Replacement - Alter / Lower Services</v>
      </c>
      <c r="H322" s="63"/>
      <c r="J322" s="125"/>
      <c r="K322" s="125"/>
      <c r="L322" s="125"/>
      <c r="M322" s="178"/>
      <c r="N322" s="211"/>
      <c r="O322" s="217"/>
      <c r="P322" s="216"/>
      <c r="Q322" s="216"/>
      <c r="R322" s="216"/>
      <c r="S322" s="216"/>
      <c r="T322" s="216"/>
    </row>
    <row r="323" spans="3:20" outlineLevel="1">
      <c r="D323" s="102" t="str">
        <f>Work_Codes!D85</f>
        <v>Capex Items Category 5</v>
      </c>
      <c r="H323" s="63"/>
      <c r="J323" s="125"/>
      <c r="K323" s="125"/>
      <c r="L323" s="125"/>
      <c r="M323" s="178"/>
      <c r="N323" s="211"/>
      <c r="O323" s="211"/>
      <c r="P323" s="211"/>
      <c r="Q323" s="211"/>
      <c r="R323" s="211"/>
      <c r="S323" s="211"/>
      <c r="T323" s="211"/>
    </row>
    <row r="324" spans="3:20" outlineLevel="1">
      <c r="D324" s="105"/>
      <c r="H324" s="58"/>
      <c r="J324" s="66"/>
      <c r="K324" s="66"/>
      <c r="L324" s="66"/>
      <c r="M324" s="66"/>
      <c r="N324" s="66"/>
      <c r="O324" s="66"/>
      <c r="P324" s="66"/>
      <c r="Q324" s="66"/>
      <c r="R324" s="66"/>
      <c r="S324" s="66"/>
      <c r="T324" s="66"/>
    </row>
    <row r="325" spans="3:20" outlineLevel="1">
      <c r="C325" s="37" t="s">
        <v>119</v>
      </c>
    </row>
    <row r="326" spans="3:20" ht="5.9" customHeight="1" outlineLevel="1"/>
    <row r="327" spans="3:20" outlineLevel="1">
      <c r="D327" s="37" t="str">
        <f>D317</f>
        <v>Capex Category</v>
      </c>
    </row>
    <row r="328" spans="3:20" ht="5.9" customHeight="1" outlineLevel="1"/>
    <row r="329" spans="3:20" outlineLevel="1">
      <c r="D329" s="102" t="str">
        <f>Work_Codes!D81</f>
        <v>Minor Replacement - Mains Renewal &lt;20m)</v>
      </c>
      <c r="J329" s="163"/>
      <c r="K329" s="163"/>
      <c r="L329" s="163"/>
      <c r="M329" s="163"/>
      <c r="N329" s="213"/>
      <c r="O329" s="213"/>
      <c r="P329" s="213"/>
      <c r="Q329" s="213"/>
      <c r="R329" s="213"/>
      <c r="S329" s="213"/>
      <c r="T329" s="213"/>
    </row>
    <row r="330" spans="3:20" outlineLevel="1">
      <c r="D330" s="102" t="str">
        <f>Work_Codes!D82</f>
        <v>Minor Replacement - Alter / Lower Mains</v>
      </c>
      <c r="J330" s="163"/>
      <c r="K330" s="163"/>
      <c r="L330" s="163"/>
      <c r="M330" s="163"/>
      <c r="N330" s="213"/>
      <c r="O330" s="213"/>
      <c r="P330" s="213"/>
      <c r="Q330" s="213"/>
      <c r="R330" s="213"/>
      <c r="S330" s="213"/>
      <c r="T330" s="213"/>
    </row>
    <row r="331" spans="3:20" outlineLevel="1">
      <c r="D331" s="102" t="str">
        <f>Work_Codes!D83</f>
        <v>Minor Replacement - Service Renewals</v>
      </c>
      <c r="J331" s="163"/>
      <c r="K331" s="163"/>
      <c r="L331" s="163"/>
      <c r="M331" s="163"/>
      <c r="N331" s="213"/>
      <c r="O331" s="213"/>
      <c r="P331" s="213"/>
      <c r="Q331" s="213"/>
      <c r="R331" s="213"/>
      <c r="S331" s="213"/>
      <c r="T331" s="213"/>
    </row>
    <row r="332" spans="3:20" outlineLevel="1">
      <c r="D332" s="102" t="str">
        <f>Work_Codes!D84</f>
        <v>Minor Replacement - Alter / Lower Services</v>
      </c>
      <c r="J332" s="163"/>
      <c r="K332" s="163"/>
      <c r="L332" s="163"/>
      <c r="M332" s="163"/>
      <c r="N332" s="213"/>
      <c r="O332" s="213"/>
      <c r="P332" s="213"/>
      <c r="Q332" s="213"/>
      <c r="R332" s="213"/>
      <c r="S332" s="213"/>
      <c r="T332" s="213"/>
    </row>
    <row r="333" spans="3:20" outlineLevel="1">
      <c r="D333" s="102" t="str">
        <f>Work_Codes!D85</f>
        <v>Capex Items Category 5</v>
      </c>
      <c r="J333" s="163"/>
      <c r="K333" s="163"/>
      <c r="L333" s="163"/>
      <c r="M333" s="163"/>
      <c r="N333" s="213"/>
      <c r="O333" s="213"/>
      <c r="P333" s="213"/>
      <c r="Q333" s="213"/>
      <c r="R333" s="213"/>
      <c r="S333" s="213"/>
      <c r="T333" s="213"/>
    </row>
    <row r="334" spans="3:20" outlineLevel="1"/>
    <row r="335" spans="3:20" outlineLevel="1">
      <c r="C335" s="37" t="s">
        <v>193</v>
      </c>
    </row>
    <row r="336" spans="3:20" ht="5.9" customHeight="1" outlineLevel="1"/>
    <row r="337" spans="3:20" outlineLevel="1">
      <c r="D337" s="37" t="str">
        <f>D317</f>
        <v>Capex Category</v>
      </c>
    </row>
    <row r="338" spans="3:20" ht="5.9" customHeight="1" outlineLevel="1"/>
    <row r="339" spans="3:20" outlineLevel="1">
      <c r="D339" s="102" t="str">
        <f>Work_Codes!D81</f>
        <v>Minor Replacement - Mains Renewal &lt;20m)</v>
      </c>
      <c r="J339" s="81">
        <v>0</v>
      </c>
      <c r="K339" s="81">
        <v>0</v>
      </c>
      <c r="L339" s="81">
        <v>0</v>
      </c>
      <c r="M339" s="81">
        <v>0</v>
      </c>
      <c r="N339" s="81">
        <v>0</v>
      </c>
      <c r="O339" s="81">
        <v>0</v>
      </c>
      <c r="P339" s="81">
        <v>43809.63024194938</v>
      </c>
      <c r="Q339" s="81">
        <v>44466.774695578613</v>
      </c>
      <c r="R339" s="81">
        <v>45133.776316012285</v>
      </c>
      <c r="S339" s="81">
        <v>45810.782960752462</v>
      </c>
      <c r="T339" s="81">
        <v>46497.944705163747</v>
      </c>
    </row>
    <row r="340" spans="3:20" outlineLevel="1">
      <c r="D340" s="102" t="str">
        <f>Work_Codes!D82</f>
        <v>Minor Replacement - Alter / Lower Mains</v>
      </c>
      <c r="J340" s="81">
        <v>0</v>
      </c>
      <c r="K340" s="81">
        <v>0</v>
      </c>
      <c r="L340" s="81">
        <v>0</v>
      </c>
      <c r="M340" s="81">
        <v>0</v>
      </c>
      <c r="N340" s="81">
        <v>0</v>
      </c>
      <c r="O340" s="81">
        <v>0</v>
      </c>
      <c r="P340" s="81">
        <v>2409.5296633072153</v>
      </c>
      <c r="Q340" s="81">
        <v>2445.6726082568234</v>
      </c>
      <c r="R340" s="81">
        <v>2482.3576973806757</v>
      </c>
      <c r="S340" s="81">
        <v>2519.5930628413857</v>
      </c>
      <c r="T340" s="81">
        <v>2557.3869587840063</v>
      </c>
    </row>
    <row r="341" spans="3:20" outlineLevel="1">
      <c r="D341" s="102" t="str">
        <f>Work_Codes!D83</f>
        <v>Minor Replacement - Service Renewals</v>
      </c>
      <c r="J341" s="81">
        <v>0</v>
      </c>
      <c r="K341" s="81">
        <v>0</v>
      </c>
      <c r="L341" s="81">
        <v>0</v>
      </c>
      <c r="M341" s="81">
        <v>0</v>
      </c>
      <c r="N341" s="81">
        <v>0</v>
      </c>
      <c r="O341" s="81">
        <v>0</v>
      </c>
      <c r="P341" s="81">
        <v>100838.81640940697</v>
      </c>
      <c r="Q341" s="81">
        <v>102351.39865554807</v>
      </c>
      <c r="R341" s="81">
        <v>103886.66963538129</v>
      </c>
      <c r="S341" s="81">
        <v>105444.969679912</v>
      </c>
      <c r="T341" s="81">
        <v>107026.64422511066</v>
      </c>
    </row>
    <row r="342" spans="3:20" outlineLevel="1">
      <c r="D342" s="102" t="str">
        <f>Work_Codes!D84</f>
        <v>Minor Replacement - Alter / Lower Services</v>
      </c>
      <c r="J342" s="81">
        <v>0</v>
      </c>
      <c r="K342" s="81">
        <v>0</v>
      </c>
      <c r="L342" s="81">
        <v>0</v>
      </c>
      <c r="M342" s="81">
        <v>0</v>
      </c>
      <c r="N342" s="81">
        <v>0</v>
      </c>
      <c r="O342" s="81">
        <v>0</v>
      </c>
      <c r="P342" s="81">
        <v>6776.8021780515428</v>
      </c>
      <c r="Q342" s="81">
        <v>6878.454210722316</v>
      </c>
      <c r="R342" s="81">
        <v>6981.6310238831502</v>
      </c>
      <c r="S342" s="81">
        <v>7086.3554892413958</v>
      </c>
      <c r="T342" s="81">
        <v>7192.6508215800168</v>
      </c>
    </row>
    <row r="343" spans="3:20" outlineLevel="1">
      <c r="D343" s="102" t="str">
        <f>Work_Codes!D85</f>
        <v>Capex Items Category 5</v>
      </c>
      <c r="J343" s="81">
        <v>0</v>
      </c>
      <c r="K343" s="81">
        <v>0</v>
      </c>
      <c r="L343" s="81">
        <v>0</v>
      </c>
      <c r="M343" s="81">
        <v>0</v>
      </c>
      <c r="N343" s="81">
        <v>281780.374862617</v>
      </c>
      <c r="O343" s="81">
        <v>139148.69333333327</v>
      </c>
      <c r="P343" s="81">
        <v>204665.22150728488</v>
      </c>
      <c r="Q343" s="81">
        <v>202357.69982989418</v>
      </c>
      <c r="R343" s="81">
        <v>200015.5653273426</v>
      </c>
      <c r="S343" s="81">
        <v>197638.29880725275</v>
      </c>
      <c r="T343" s="81">
        <v>195225.37328936154</v>
      </c>
    </row>
    <row r="344" spans="3:20" ht="5.9" customHeight="1" outlineLevel="1">
      <c r="D344" s="37"/>
      <c r="J344" s="78"/>
      <c r="K344" s="78"/>
      <c r="L344" s="78"/>
      <c r="M344" s="78"/>
      <c r="N344" s="78"/>
      <c r="O344" s="78"/>
      <c r="P344" s="78"/>
      <c r="Q344" s="78"/>
      <c r="R344" s="78"/>
      <c r="S344" s="78"/>
      <c r="T344" s="78"/>
    </row>
    <row r="345" spans="3:20" outlineLevel="1">
      <c r="D345" s="249" t="str">
        <f>"Total "&amp;B300</f>
        <v>Total Medium Pressure Replacement - Ad Hoc</v>
      </c>
      <c r="E345" s="249"/>
      <c r="F345" s="249"/>
      <c r="G345" s="249"/>
      <c r="H345" s="249"/>
      <c r="I345" s="249"/>
      <c r="J345" s="82">
        <f t="shared" ref="J345:T345" si="35">SUM(J339:J344)</f>
        <v>0</v>
      </c>
      <c r="K345" s="82">
        <f t="shared" si="35"/>
        <v>0</v>
      </c>
      <c r="L345" s="82">
        <f t="shared" si="35"/>
        <v>0</v>
      </c>
      <c r="M345" s="82">
        <f t="shared" si="35"/>
        <v>0</v>
      </c>
      <c r="N345" s="82">
        <f t="shared" si="35"/>
        <v>281780.374862617</v>
      </c>
      <c r="O345" s="82">
        <f t="shared" si="35"/>
        <v>139148.69333333327</v>
      </c>
      <c r="P345" s="82">
        <f t="shared" si="35"/>
        <v>358500</v>
      </c>
      <c r="Q345" s="82">
        <f t="shared" si="35"/>
        <v>358500</v>
      </c>
      <c r="R345" s="82">
        <f t="shared" si="35"/>
        <v>358500</v>
      </c>
      <c r="S345" s="82">
        <f t="shared" si="35"/>
        <v>358500</v>
      </c>
      <c r="T345" s="82">
        <f t="shared" si="35"/>
        <v>358500</v>
      </c>
    </row>
    <row r="346" spans="3:20" outlineLevel="1"/>
    <row r="347" spans="3:20" outlineLevel="1">
      <c r="C347" s="37" t="s">
        <v>286</v>
      </c>
    </row>
    <row r="348" spans="3:20" ht="5.9" customHeight="1" outlineLevel="1"/>
    <row r="349" spans="3:20" outlineLevel="1">
      <c r="D349" s="143" t="str">
        <f>Work_Codes!D89</f>
        <v>Customer Contributions Category 1</v>
      </c>
      <c r="J349" s="148">
        <v>0</v>
      </c>
      <c r="K349" s="148">
        <v>0</v>
      </c>
      <c r="L349" s="148">
        <v>0</v>
      </c>
      <c r="M349" s="148">
        <v>0</v>
      </c>
      <c r="N349" s="148">
        <v>0</v>
      </c>
      <c r="O349" s="148">
        <v>0</v>
      </c>
      <c r="P349" s="148">
        <v>0</v>
      </c>
      <c r="Q349" s="148">
        <v>0</v>
      </c>
      <c r="R349" s="148">
        <v>0</v>
      </c>
      <c r="S349" s="148">
        <v>0</v>
      </c>
      <c r="T349" s="148">
        <v>0</v>
      </c>
    </row>
    <row r="350" spans="3:20" ht="5.9" customHeight="1" outlineLevel="1"/>
    <row r="351" spans="3:20" outlineLevel="1">
      <c r="D351" s="249" t="str">
        <f>"Total "&amp;C347</f>
        <v>Total Customer Connections</v>
      </c>
      <c r="E351" s="249"/>
      <c r="F351" s="249"/>
      <c r="G351" s="249"/>
      <c r="H351" s="249"/>
      <c r="I351" s="249"/>
      <c r="J351" s="82">
        <f t="shared" ref="J351:T351" si="36">SUM(J349:J350)</f>
        <v>0</v>
      </c>
      <c r="K351" s="82">
        <f t="shared" si="36"/>
        <v>0</v>
      </c>
      <c r="L351" s="82">
        <f t="shared" si="36"/>
        <v>0</v>
      </c>
      <c r="M351" s="82">
        <f t="shared" si="36"/>
        <v>0</v>
      </c>
      <c r="N351" s="82">
        <f t="shared" si="36"/>
        <v>0</v>
      </c>
      <c r="O351" s="82">
        <f t="shared" si="36"/>
        <v>0</v>
      </c>
      <c r="P351" s="82">
        <f t="shared" si="36"/>
        <v>0</v>
      </c>
      <c r="Q351" s="82">
        <f t="shared" si="36"/>
        <v>0</v>
      </c>
      <c r="R351" s="82">
        <f t="shared" si="36"/>
        <v>0</v>
      </c>
      <c r="S351" s="82">
        <f t="shared" si="36"/>
        <v>0</v>
      </c>
      <c r="T351" s="82">
        <f t="shared" si="36"/>
        <v>0</v>
      </c>
    </row>
    <row r="352" spans="3:20" outlineLevel="1">
      <c r="C352" s="12"/>
      <c r="D352" s="12"/>
      <c r="E352" s="12"/>
      <c r="F352" s="12"/>
      <c r="G352" s="12"/>
      <c r="H352" s="12"/>
      <c r="I352" s="12"/>
      <c r="J352" s="12"/>
      <c r="K352" s="12"/>
      <c r="L352" s="12"/>
      <c r="M352" s="12"/>
      <c r="N352" s="12"/>
      <c r="O352" s="12"/>
      <c r="P352" s="12"/>
      <c r="Q352" s="12"/>
      <c r="R352" s="12"/>
      <c r="S352" s="12"/>
      <c r="T352" s="12"/>
    </row>
    <row r="353" spans="3:20" outlineLevel="1"/>
    <row r="354" spans="3:20" outlineLevel="1">
      <c r="C354" s="37" t="s">
        <v>213</v>
      </c>
    </row>
    <row r="355" spans="3:20" ht="5.9" hidden="1" customHeight="1" outlineLevel="2"/>
    <row r="356" spans="3:20" hidden="1" outlineLevel="2">
      <c r="C356" s="37" t="s">
        <v>128</v>
      </c>
    </row>
    <row r="357" spans="3:20" ht="5.9" hidden="1" customHeight="1" outlineLevel="2"/>
    <row r="358" spans="3:20" hidden="1" outlineLevel="2">
      <c r="D358" s="102" t="str">
        <f>Work_Codes!D81</f>
        <v>Minor Replacement - Mains Renewal &lt;20m)</v>
      </c>
      <c r="J358" s="81">
        <f>Work_Codes!$I81*J339*J$304</f>
        <v>0</v>
      </c>
      <c r="K358" s="81">
        <f>Work_Codes!$I81*K339*K$304</f>
        <v>0</v>
      </c>
      <c r="L358" s="81">
        <f>Work_Codes!$I81*L339*L$304</f>
        <v>0</v>
      </c>
      <c r="M358" s="81">
        <f>Work_Codes!$I81*M339*M$304</f>
        <v>0</v>
      </c>
      <c r="N358" s="81">
        <f>Work_Codes!$I81*N339*N$304</f>
        <v>0</v>
      </c>
      <c r="O358" s="81">
        <f>Work_Codes!$I81*O339*O$304</f>
        <v>0</v>
      </c>
      <c r="P358" s="81">
        <f>Work_Codes!$I81*P339*P$304</f>
        <v>1770.312415534351</v>
      </c>
      <c r="Q358" s="81">
        <f>Work_Codes!$I81*Q339*Q$304</f>
        <v>1810.8778944905941</v>
      </c>
      <c r="R358" s="81">
        <f>Work_Codes!$I81*R339*R$304</f>
        <v>1858.2750426963639</v>
      </c>
      <c r="S358" s="81">
        <f>Work_Codes!$I81*S339*S$304</f>
        <v>1906.9127437107325</v>
      </c>
      <c r="T358" s="81">
        <f>Work_Codes!$I81*T339*T$304</f>
        <v>1956.8234672355522</v>
      </c>
    </row>
    <row r="359" spans="3:20" hidden="1" outlineLevel="2">
      <c r="D359" s="102" t="str">
        <f>Work_Codes!D82</f>
        <v>Minor Replacement - Alter / Lower Mains</v>
      </c>
      <c r="J359" s="81">
        <f>Work_Codes!$I82*J340*J$304</f>
        <v>0</v>
      </c>
      <c r="K359" s="81">
        <f>Work_Codes!$I82*K340*K$304</f>
        <v>0</v>
      </c>
      <c r="L359" s="81">
        <f>Work_Codes!$I82*L340*L$304</f>
        <v>0</v>
      </c>
      <c r="M359" s="81">
        <f>Work_Codes!$I82*M340*M$304</f>
        <v>0</v>
      </c>
      <c r="N359" s="81">
        <f>Work_Codes!$I82*N340*N$304</f>
        <v>0</v>
      </c>
      <c r="O359" s="81">
        <f>Work_Codes!$I82*O340*O$304</f>
        <v>0</v>
      </c>
      <c r="P359" s="81">
        <f>Work_Codes!$I82*P340*P$304</f>
        <v>97.36718285438927</v>
      </c>
      <c r="Q359" s="81">
        <f>Work_Codes!$I82*Q340*Q$304</f>
        <v>99.598284196982675</v>
      </c>
      <c r="R359" s="81">
        <f>Work_Codes!$I82*R340*R$304</f>
        <v>102.20512734830002</v>
      </c>
      <c r="S359" s="81">
        <f>Work_Codes!$I82*S340*S$304</f>
        <v>104.88020090409029</v>
      </c>
      <c r="T359" s="81">
        <f>Work_Codes!$I82*T340*T$304</f>
        <v>107.62529069795539</v>
      </c>
    </row>
    <row r="360" spans="3:20" hidden="1" outlineLevel="2">
      <c r="D360" s="102" t="str">
        <f>Work_Codes!D83</f>
        <v>Minor Replacement - Service Renewals</v>
      </c>
      <c r="J360" s="81">
        <f>Work_Codes!$I83*J341*J$304</f>
        <v>0</v>
      </c>
      <c r="K360" s="81">
        <f>Work_Codes!$I83*K341*K$304</f>
        <v>0</v>
      </c>
      <c r="L360" s="81">
        <f>Work_Codes!$I83*L341*L$304</f>
        <v>0</v>
      </c>
      <c r="M360" s="81">
        <f>Work_Codes!$I83*M341*M$304</f>
        <v>0</v>
      </c>
      <c r="N360" s="81">
        <f>Work_Codes!$I83*N341*N$304</f>
        <v>0</v>
      </c>
      <c r="O360" s="81">
        <f>Work_Codes!$I83*O341*O$304</f>
        <v>0</v>
      </c>
      <c r="P360" s="81">
        <f>Work_Codes!$I83*P341*P$304</f>
        <v>4074.8166024561915</v>
      </c>
      <c r="Q360" s="81">
        <f>Work_Codes!$I83*Q341*Q$304</f>
        <v>4168.1881936437248</v>
      </c>
      <c r="R360" s="81">
        <f>Work_Codes!$I83*R341*R$304</f>
        <v>4277.2845795263556</v>
      </c>
      <c r="S360" s="81">
        <f>Work_Codes!$I83*S341*S$304</f>
        <v>4389.2364078361788</v>
      </c>
      <c r="T360" s="81">
        <f>Work_Codes!$I83*T341*T$304</f>
        <v>4504.1184157094331</v>
      </c>
    </row>
    <row r="361" spans="3:20" hidden="1" outlineLevel="2">
      <c r="D361" s="102" t="str">
        <f>Work_Codes!D84</f>
        <v>Minor Replacement - Alter / Lower Services</v>
      </c>
      <c r="J361" s="81">
        <f>Work_Codes!$I84*J342*J$304</f>
        <v>0</v>
      </c>
      <c r="K361" s="81">
        <f>Work_Codes!$I84*K342*K$304</f>
        <v>0</v>
      </c>
      <c r="L361" s="81">
        <f>Work_Codes!$I84*L342*L$304</f>
        <v>0</v>
      </c>
      <c r="M361" s="81">
        <f>Work_Codes!$I84*M342*M$304</f>
        <v>0</v>
      </c>
      <c r="N361" s="81">
        <f>Work_Codes!$I84*N342*N$304</f>
        <v>0</v>
      </c>
      <c r="O361" s="81">
        <f>Work_Codes!$I84*O342*O$304</f>
        <v>0</v>
      </c>
      <c r="P361" s="81">
        <f>Work_Codes!$I84*P342*P$304</f>
        <v>273.84520177796981</v>
      </c>
      <c r="Q361" s="81">
        <f>Work_Codes!$I84*Q342*Q$304</f>
        <v>280.12017430401374</v>
      </c>
      <c r="R361" s="81">
        <f>Work_Codes!$I84*R342*R$304</f>
        <v>287.45192066709376</v>
      </c>
      <c r="S361" s="81">
        <f>Work_Codes!$I84*S342*S$304</f>
        <v>294.97556504275389</v>
      </c>
      <c r="T361" s="81">
        <f>Work_Codes!$I84*T342*T$304</f>
        <v>302.69613008799951</v>
      </c>
    </row>
    <row r="362" spans="3:20" hidden="1" outlineLevel="2">
      <c r="D362" s="102" t="str">
        <f>Work_Codes!D85</f>
        <v>Capex Items Category 5</v>
      </c>
      <c r="J362" s="81">
        <f>Work_Codes!$I85*J343*J$304</f>
        <v>0</v>
      </c>
      <c r="K362" s="81">
        <f>Work_Codes!$I85*K343*K$304</f>
        <v>0</v>
      </c>
      <c r="L362" s="81">
        <f>Work_Codes!$I85*L343*L$304</f>
        <v>0</v>
      </c>
      <c r="M362" s="81">
        <f>Work_Codes!$I85*M343*M$304</f>
        <v>0</v>
      </c>
      <c r="N362" s="81">
        <f>Work_Codes!$I85*N343*N$304</f>
        <v>11271.21499450468</v>
      </c>
      <c r="O362" s="81">
        <f>Work_Codes!$I85*O343*O$304</f>
        <v>5594.8679723622299</v>
      </c>
      <c r="P362" s="81">
        <f>Work_Codes!$I85*P343*P$304</f>
        <v>8270.3592945529599</v>
      </c>
      <c r="Q362" s="81">
        <f>Work_Codes!$I85*Q343*Q$304</f>
        <v>8240.8739538816735</v>
      </c>
      <c r="R362" s="81">
        <f>Work_Codes!$I85*R343*R$304</f>
        <v>8235.1614142852286</v>
      </c>
      <c r="S362" s="81">
        <f>Work_Codes!$I85*S343*S$304</f>
        <v>8226.8620242475226</v>
      </c>
      <c r="T362" s="81">
        <f>Work_Codes!$I85*T343*T$304</f>
        <v>8215.8812453923092</v>
      </c>
    </row>
    <row r="363" spans="3:20" ht="5.9" hidden="1" customHeight="1" outlineLevel="2"/>
    <row r="364" spans="3:20" hidden="1" outlineLevel="2">
      <c r="D364" s="249" t="str">
        <f>"Total "&amp;C356</f>
        <v>Total Internal Labour</v>
      </c>
      <c r="E364" s="249"/>
      <c r="F364" s="249"/>
      <c r="G364" s="249"/>
      <c r="H364" s="249"/>
      <c r="I364" s="249"/>
      <c r="J364" s="82">
        <f t="shared" ref="J364:T364" si="37">SUM(J358:J363)</f>
        <v>0</v>
      </c>
      <c r="K364" s="82">
        <f t="shared" si="37"/>
        <v>0</v>
      </c>
      <c r="L364" s="82">
        <f t="shared" si="37"/>
        <v>0</v>
      </c>
      <c r="M364" s="82">
        <f t="shared" si="37"/>
        <v>0</v>
      </c>
      <c r="N364" s="82">
        <f t="shared" si="37"/>
        <v>11271.21499450468</v>
      </c>
      <c r="O364" s="82">
        <f t="shared" si="37"/>
        <v>5594.8679723622299</v>
      </c>
      <c r="P364" s="82">
        <f t="shared" si="37"/>
        <v>14486.700697175862</v>
      </c>
      <c r="Q364" s="82">
        <f t="shared" si="37"/>
        <v>14599.658500516989</v>
      </c>
      <c r="R364" s="82">
        <f t="shared" si="37"/>
        <v>14760.378084523341</v>
      </c>
      <c r="S364" s="82">
        <f t="shared" si="37"/>
        <v>14922.866941741278</v>
      </c>
      <c r="T364" s="82">
        <f t="shared" si="37"/>
        <v>15087.14454912325</v>
      </c>
    </row>
    <row r="365" spans="3:20" hidden="1" outlineLevel="2"/>
    <row r="366" spans="3:20" hidden="1" outlineLevel="2">
      <c r="C366" s="37" t="s">
        <v>129</v>
      </c>
    </row>
    <row r="367" spans="3:20" ht="5.9" hidden="1" customHeight="1" outlineLevel="2"/>
    <row r="368" spans="3:20" hidden="1" outlineLevel="2">
      <c r="D368" s="102" t="str">
        <f>Work_Codes!D81</f>
        <v>Minor Replacement - Mains Renewal &lt;20m)</v>
      </c>
      <c r="J368" s="81">
        <f>Work_Codes!$J81*J339*J$305</f>
        <v>0</v>
      </c>
      <c r="K368" s="81">
        <f>Work_Codes!$J81*K339*K$305</f>
        <v>0</v>
      </c>
      <c r="L368" s="81">
        <f>Work_Codes!$J81*L339*L$305</f>
        <v>0</v>
      </c>
      <c r="M368" s="81">
        <f>Work_Codes!$J81*M339*M$305</f>
        <v>0</v>
      </c>
      <c r="N368" s="81">
        <f>Work_Codes!$J81*N339*N$305</f>
        <v>0</v>
      </c>
      <c r="O368" s="81">
        <f>Work_Codes!$J81*O339*O$305</f>
        <v>0</v>
      </c>
      <c r="P368" s="81">
        <f>Work_Codes!$J81*P339*P$305</f>
        <v>33295.318983881531</v>
      </c>
      <c r="Q368" s="81">
        <f>Work_Codes!$J81*Q339*Q$305</f>
        <v>33794.748768639744</v>
      </c>
      <c r="R368" s="81">
        <f>Work_Codes!$J81*R339*R$305</f>
        <v>34301.670000169339</v>
      </c>
      <c r="S368" s="81">
        <f>Work_Codes!$J81*S339*S$305</f>
        <v>34816.195050171875</v>
      </c>
      <c r="T368" s="81">
        <f>Work_Codes!$J81*T339*T$305</f>
        <v>35338.437975924448</v>
      </c>
    </row>
    <row r="369" spans="3:20" hidden="1" outlineLevel="2">
      <c r="D369" s="102" t="str">
        <f>Work_Codes!D82</f>
        <v>Minor Replacement - Alter / Lower Mains</v>
      </c>
      <c r="J369" s="81">
        <f>Work_Codes!$J82*J340*J$305</f>
        <v>0</v>
      </c>
      <c r="K369" s="81">
        <f>Work_Codes!$J82*K340*K$305</f>
        <v>0</v>
      </c>
      <c r="L369" s="81">
        <f>Work_Codes!$J82*L340*L$305</f>
        <v>0</v>
      </c>
      <c r="M369" s="81">
        <f>Work_Codes!$J82*M340*M$305</f>
        <v>0</v>
      </c>
      <c r="N369" s="81">
        <f>Work_Codes!$J82*N340*N$305</f>
        <v>0</v>
      </c>
      <c r="O369" s="81">
        <f>Work_Codes!$J82*O340*O$305</f>
        <v>0</v>
      </c>
      <c r="P369" s="81">
        <f>Work_Codes!$J82*P340*P$305</f>
        <v>1831.2425441134837</v>
      </c>
      <c r="Q369" s="81">
        <f>Work_Codes!$J82*Q340*Q$305</f>
        <v>1858.7111822751858</v>
      </c>
      <c r="R369" s="81">
        <f>Work_Codes!$J82*R340*R$305</f>
        <v>1886.5918500093135</v>
      </c>
      <c r="S369" s="81">
        <f>Work_Codes!$J82*S340*S$305</f>
        <v>1914.8907277594533</v>
      </c>
      <c r="T369" s="81">
        <f>Work_Codes!$J82*T340*T$305</f>
        <v>1943.6140886758449</v>
      </c>
    </row>
    <row r="370" spans="3:20" hidden="1" outlineLevel="2">
      <c r="D370" s="102" t="str">
        <f>Work_Codes!D83</f>
        <v>Minor Replacement - Service Renewals</v>
      </c>
      <c r="J370" s="81">
        <f>Work_Codes!$J83*J341*J$305</f>
        <v>0</v>
      </c>
      <c r="K370" s="81">
        <f>Work_Codes!$J83*K341*K$305</f>
        <v>0</v>
      </c>
      <c r="L370" s="81">
        <f>Work_Codes!$J83*L341*L$305</f>
        <v>0</v>
      </c>
      <c r="M370" s="81">
        <f>Work_Codes!$J83*M341*M$305</f>
        <v>0</v>
      </c>
      <c r="N370" s="81">
        <f>Work_Codes!$J83*N341*N$305</f>
        <v>0</v>
      </c>
      <c r="O370" s="81">
        <f>Work_Codes!$J83*O341*O$305</f>
        <v>0</v>
      </c>
      <c r="P370" s="81">
        <f>Work_Codes!$J83*P341*P$305</f>
        <v>76637.500471149295</v>
      </c>
      <c r="Q370" s="81">
        <f>Work_Codes!$J83*Q341*Q$305</f>
        <v>77787.062978216534</v>
      </c>
      <c r="R370" s="81">
        <f>Work_Codes!$J83*R341*R$305</f>
        <v>78953.868922889786</v>
      </c>
      <c r="S370" s="81">
        <f>Work_Codes!$J83*S341*S$305</f>
        <v>80138.176956733121</v>
      </c>
      <c r="T370" s="81">
        <f>Work_Codes!$J83*T341*T$305</f>
        <v>81340.249611084102</v>
      </c>
    </row>
    <row r="371" spans="3:20" hidden="1" outlineLevel="2">
      <c r="D371" s="102" t="str">
        <f>Work_Codes!D84</f>
        <v>Minor Replacement - Alter / Lower Services</v>
      </c>
      <c r="J371" s="81">
        <f>Work_Codes!$J84*J342*J$305</f>
        <v>0</v>
      </c>
      <c r="K371" s="81">
        <f>Work_Codes!$J84*K342*K$305</f>
        <v>0</v>
      </c>
      <c r="L371" s="81">
        <f>Work_Codes!$J84*L342*L$305</f>
        <v>0</v>
      </c>
      <c r="M371" s="81">
        <f>Work_Codes!$J84*M342*M$305</f>
        <v>0</v>
      </c>
      <c r="N371" s="81">
        <f>Work_Codes!$J84*N342*N$305</f>
        <v>0</v>
      </c>
      <c r="O371" s="81">
        <f>Work_Codes!$J84*O342*O$305</f>
        <v>0</v>
      </c>
      <c r="P371" s="81">
        <f>Work_Codes!$J84*P342*P$305</f>
        <v>5150.369655319173</v>
      </c>
      <c r="Q371" s="81">
        <f>Work_Codes!$J84*Q342*Q$305</f>
        <v>5227.6252001489602</v>
      </c>
      <c r="R371" s="81">
        <f>Work_Codes!$J84*R342*R$305</f>
        <v>5306.0395781511943</v>
      </c>
      <c r="S371" s="81">
        <f>Work_Codes!$J84*S342*S$305</f>
        <v>5385.6301718234608</v>
      </c>
      <c r="T371" s="81">
        <f>Work_Codes!$J84*T342*T$305</f>
        <v>5466.4146244008125</v>
      </c>
    </row>
    <row r="372" spans="3:20" hidden="1" outlineLevel="2">
      <c r="D372" s="102" t="str">
        <f>Work_Codes!D85</f>
        <v>Capex Items Category 5</v>
      </c>
      <c r="J372" s="81">
        <f>Work_Codes!$J85*J343*J$305</f>
        <v>0</v>
      </c>
      <c r="K372" s="81">
        <f>Work_Codes!$J85*K343*K$305</f>
        <v>0</v>
      </c>
      <c r="L372" s="81">
        <f>Work_Codes!$J85*L343*L$305</f>
        <v>0</v>
      </c>
      <c r="M372" s="81">
        <f>Work_Codes!$J85*M343*M$305</f>
        <v>0</v>
      </c>
      <c r="N372" s="81">
        <f>Work_Codes!$J85*N343*N$305</f>
        <v>214153.08489558892</v>
      </c>
      <c r="O372" s="81">
        <f>Work_Codes!$J85*O343*O$305</f>
        <v>105753.00693333329</v>
      </c>
      <c r="P372" s="81">
        <f>Work_Codes!$J85*P343*P$305</f>
        <v>155545.56834553651</v>
      </c>
      <c r="Q372" s="81">
        <f>Work_Codes!$J85*Q343*Q$305</f>
        <v>153791.85187071958</v>
      </c>
      <c r="R372" s="81">
        <f>Work_Codes!$J85*R343*R$305</f>
        <v>152011.82964878037</v>
      </c>
      <c r="S372" s="81">
        <f>Work_Codes!$J85*S343*S$305</f>
        <v>150205.10709351208</v>
      </c>
      <c r="T372" s="81">
        <f>Work_Codes!$J85*T343*T$305</f>
        <v>148371.28369991478</v>
      </c>
    </row>
    <row r="373" spans="3:20" ht="5.9" hidden="1" customHeight="1" outlineLevel="2"/>
    <row r="374" spans="3:20" hidden="1" outlineLevel="2">
      <c r="D374" s="249" t="str">
        <f>"Total "&amp;C366</f>
        <v>Total External Labour</v>
      </c>
      <c r="E374" s="249"/>
      <c r="F374" s="249"/>
      <c r="G374" s="249"/>
      <c r="H374" s="249"/>
      <c r="I374" s="249"/>
      <c r="J374" s="82">
        <f t="shared" ref="J374:T374" si="38">SUM(J368:J373)</f>
        <v>0</v>
      </c>
      <c r="K374" s="82">
        <f t="shared" si="38"/>
        <v>0</v>
      </c>
      <c r="L374" s="82">
        <f t="shared" si="38"/>
        <v>0</v>
      </c>
      <c r="M374" s="82">
        <f t="shared" si="38"/>
        <v>0</v>
      </c>
      <c r="N374" s="82">
        <f t="shared" si="38"/>
        <v>214153.08489558892</v>
      </c>
      <c r="O374" s="82">
        <f t="shared" si="38"/>
        <v>105753.00693333329</v>
      </c>
      <c r="P374" s="82">
        <f t="shared" si="38"/>
        <v>272460</v>
      </c>
      <c r="Q374" s="82">
        <f t="shared" si="38"/>
        <v>272460</v>
      </c>
      <c r="R374" s="82">
        <f t="shared" si="38"/>
        <v>272460</v>
      </c>
      <c r="S374" s="82">
        <f t="shared" si="38"/>
        <v>272460</v>
      </c>
      <c r="T374" s="82">
        <f t="shared" si="38"/>
        <v>272460</v>
      </c>
    </row>
    <row r="375" spans="3:20" hidden="1" outlineLevel="2"/>
    <row r="376" spans="3:20" hidden="1" outlineLevel="2">
      <c r="C376" s="37" t="s">
        <v>130</v>
      </c>
    </row>
    <row r="377" spans="3:20" ht="5.9" hidden="1" customHeight="1" outlineLevel="2"/>
    <row r="378" spans="3:20" hidden="1" outlineLevel="2">
      <c r="D378" s="102" t="str">
        <f>Work_Codes!D81</f>
        <v>Minor Replacement - Mains Renewal &lt;20m)</v>
      </c>
      <c r="J378" s="81">
        <f>Work_Codes!$K81*J339*J$306</f>
        <v>0</v>
      </c>
      <c r="K378" s="81">
        <f>Work_Codes!$K81*K339*K$306</f>
        <v>0</v>
      </c>
      <c r="L378" s="81">
        <f>Work_Codes!$K81*L339*L$306</f>
        <v>0</v>
      </c>
      <c r="M378" s="81">
        <f>Work_Codes!$K81*M339*M$306</f>
        <v>0</v>
      </c>
      <c r="N378" s="81">
        <f>Work_Codes!$K81*N339*N$306</f>
        <v>0</v>
      </c>
      <c r="O378" s="81">
        <f>Work_Codes!$K81*O339*O$306</f>
        <v>0</v>
      </c>
      <c r="P378" s="81">
        <f>Work_Codes!$K81*P339*P$306</f>
        <v>8761.9260483898743</v>
      </c>
      <c r="Q378" s="81">
        <f>Work_Codes!$K81*Q339*Q$306</f>
        <v>8893.3549391157212</v>
      </c>
      <c r="R378" s="81">
        <f>Work_Codes!$K81*R339*R$306</f>
        <v>9026.7552632024544</v>
      </c>
      <c r="S378" s="81">
        <f>Work_Codes!$K81*S339*S$306</f>
        <v>9162.1565921504898</v>
      </c>
      <c r="T378" s="81">
        <f>Work_Codes!$K81*T339*T$306</f>
        <v>9299.5889410327472</v>
      </c>
    </row>
    <row r="379" spans="3:20" hidden="1" outlineLevel="2">
      <c r="D379" s="102" t="str">
        <f>Work_Codes!D82</f>
        <v>Minor Replacement - Alter / Lower Mains</v>
      </c>
      <c r="J379" s="81">
        <f>Work_Codes!$K82*J340*J$306</f>
        <v>0</v>
      </c>
      <c r="K379" s="81">
        <f>Work_Codes!$K82*K340*K$306</f>
        <v>0</v>
      </c>
      <c r="L379" s="81">
        <f>Work_Codes!$K82*L340*L$306</f>
        <v>0</v>
      </c>
      <c r="M379" s="81">
        <f>Work_Codes!$K82*M340*M$306</f>
        <v>0</v>
      </c>
      <c r="N379" s="81">
        <f>Work_Codes!$K82*N340*N$306</f>
        <v>0</v>
      </c>
      <c r="O379" s="81">
        <f>Work_Codes!$K82*O340*O$306</f>
        <v>0</v>
      </c>
      <c r="P379" s="81">
        <f>Work_Codes!$K82*P340*P$306</f>
        <v>481.90593266144293</v>
      </c>
      <c r="Q379" s="81">
        <f>Work_Codes!$K82*Q340*Q$306</f>
        <v>489.13452165136459</v>
      </c>
      <c r="R379" s="81">
        <f>Work_Codes!$K82*R340*R$306</f>
        <v>496.47153947613504</v>
      </c>
      <c r="S379" s="81">
        <f>Work_Codes!$K82*S340*S$306</f>
        <v>503.91861256827701</v>
      </c>
      <c r="T379" s="81">
        <f>Work_Codes!$K82*T340*T$306</f>
        <v>511.47739175680113</v>
      </c>
    </row>
    <row r="380" spans="3:20" hidden="1" outlineLevel="2">
      <c r="D380" s="102" t="str">
        <f>Work_Codes!D83</f>
        <v>Minor Replacement - Service Renewals</v>
      </c>
      <c r="J380" s="81">
        <f>Work_Codes!$K83*J341*J$306</f>
        <v>0</v>
      </c>
      <c r="K380" s="81">
        <f>Work_Codes!$K83*K341*K$306</f>
        <v>0</v>
      </c>
      <c r="L380" s="81">
        <f>Work_Codes!$K83*L341*L$306</f>
        <v>0</v>
      </c>
      <c r="M380" s="81">
        <f>Work_Codes!$K83*M341*M$306</f>
        <v>0</v>
      </c>
      <c r="N380" s="81">
        <f>Work_Codes!$K83*N341*N$306</f>
        <v>0</v>
      </c>
      <c r="O380" s="81">
        <f>Work_Codes!$K83*O341*O$306</f>
        <v>0</v>
      </c>
      <c r="P380" s="81">
        <f>Work_Codes!$K83*P341*P$306</f>
        <v>20167.763281881387</v>
      </c>
      <c r="Q380" s="81">
        <f>Work_Codes!$K83*Q341*Q$306</f>
        <v>20470.279731109607</v>
      </c>
      <c r="R380" s="81">
        <f>Work_Codes!$K83*R341*R$306</f>
        <v>20777.333927076252</v>
      </c>
      <c r="S380" s="81">
        <f>Work_Codes!$K83*S341*S$306</f>
        <v>21088.993935982395</v>
      </c>
      <c r="T380" s="81">
        <f>Work_Codes!$K83*T341*T$306</f>
        <v>21405.328845022126</v>
      </c>
    </row>
    <row r="381" spans="3:20" hidden="1" outlineLevel="2">
      <c r="D381" s="102" t="str">
        <f>Work_Codes!D84</f>
        <v>Minor Replacement - Alter / Lower Services</v>
      </c>
      <c r="J381" s="81">
        <f>Work_Codes!$K84*J342*J$306</f>
        <v>0</v>
      </c>
      <c r="K381" s="81">
        <f>Work_Codes!$K84*K342*K$306</f>
        <v>0</v>
      </c>
      <c r="L381" s="81">
        <f>Work_Codes!$K84*L342*L$306</f>
        <v>0</v>
      </c>
      <c r="M381" s="81">
        <f>Work_Codes!$K84*M342*M$306</f>
        <v>0</v>
      </c>
      <c r="N381" s="81">
        <f>Work_Codes!$K84*N342*N$306</f>
        <v>0</v>
      </c>
      <c r="O381" s="81">
        <f>Work_Codes!$K84*O342*O$306</f>
        <v>0</v>
      </c>
      <c r="P381" s="81">
        <f>Work_Codes!$K84*P342*P$306</f>
        <v>1355.3604356103083</v>
      </c>
      <c r="Q381" s="81">
        <f>Work_Codes!$K84*Q342*Q$306</f>
        <v>1375.690842144463</v>
      </c>
      <c r="R381" s="81">
        <f>Work_Codes!$K84*R342*R$306</f>
        <v>1396.3262047766298</v>
      </c>
      <c r="S381" s="81">
        <f>Work_Codes!$K84*S342*S$306</f>
        <v>1417.2710978482789</v>
      </c>
      <c r="T381" s="81">
        <f>Work_Codes!$K84*T342*T$306</f>
        <v>1438.530164316003</v>
      </c>
    </row>
    <row r="382" spans="3:20" hidden="1" outlineLevel="2">
      <c r="D382" s="102" t="str">
        <f>Work_Codes!D85</f>
        <v>Capex Items Category 5</v>
      </c>
      <c r="J382" s="81">
        <f>Work_Codes!$K85*J343*J$306</f>
        <v>0</v>
      </c>
      <c r="K382" s="81">
        <f>Work_Codes!$K85*K343*K$306</f>
        <v>0</v>
      </c>
      <c r="L382" s="81">
        <f>Work_Codes!$K85*L343*L$306</f>
        <v>0</v>
      </c>
      <c r="M382" s="81">
        <f>Work_Codes!$K85*M343*M$306</f>
        <v>0</v>
      </c>
      <c r="N382" s="81">
        <f>Work_Codes!$K85*N343*N$306</f>
        <v>56356.074972523384</v>
      </c>
      <c r="O382" s="81">
        <f>Work_Codes!$K85*O343*O$306</f>
        <v>27829.73866666665</v>
      </c>
      <c r="P382" s="81">
        <f>Work_Codes!$K85*P343*P$306</f>
        <v>40933.044301456968</v>
      </c>
      <c r="Q382" s="81">
        <f>Work_Codes!$K85*Q343*Q$306</f>
        <v>40471.539965978824</v>
      </c>
      <c r="R382" s="81">
        <f>Work_Codes!$K85*R343*R$306</f>
        <v>40003.113065468511</v>
      </c>
      <c r="S382" s="81">
        <f>Work_Codes!$K85*S343*S$306</f>
        <v>39527.659761450544</v>
      </c>
      <c r="T382" s="81">
        <f>Work_Codes!$K85*T343*T$306</f>
        <v>39045.074657872297</v>
      </c>
    </row>
    <row r="383" spans="3:20" ht="5.9" hidden="1" customHeight="1" outlineLevel="2"/>
    <row r="384" spans="3:20" hidden="1" outlineLevel="2">
      <c r="D384" s="249" t="str">
        <f>"Total "&amp;C376</f>
        <v>Total Materials</v>
      </c>
      <c r="E384" s="249"/>
      <c r="F384" s="249"/>
      <c r="G384" s="249"/>
      <c r="H384" s="249"/>
      <c r="I384" s="249"/>
      <c r="J384" s="82">
        <f t="shared" ref="J384:T384" si="39">SUM(J378:J383)</f>
        <v>0</v>
      </c>
      <c r="K384" s="82">
        <f t="shared" si="39"/>
        <v>0</v>
      </c>
      <c r="L384" s="82">
        <f t="shared" si="39"/>
        <v>0</v>
      </c>
      <c r="M384" s="82">
        <f t="shared" si="39"/>
        <v>0</v>
      </c>
      <c r="N384" s="82">
        <f t="shared" si="39"/>
        <v>56356.074972523384</v>
      </c>
      <c r="O384" s="82">
        <f t="shared" si="39"/>
        <v>27829.73866666665</v>
      </c>
      <c r="P384" s="82">
        <f t="shared" si="39"/>
        <v>71699.999999999985</v>
      </c>
      <c r="Q384" s="82">
        <f t="shared" si="39"/>
        <v>71699.999999999985</v>
      </c>
      <c r="R384" s="82">
        <f t="shared" si="39"/>
        <v>71699.999999999985</v>
      </c>
      <c r="S384" s="82">
        <f t="shared" si="39"/>
        <v>71699.999999999985</v>
      </c>
      <c r="T384" s="82">
        <f t="shared" si="39"/>
        <v>71699.999999999971</v>
      </c>
    </row>
    <row r="385" spans="2:20" outlineLevel="1" collapsed="1"/>
    <row r="386" spans="2:20" outlineLevel="1">
      <c r="C386" s="37" t="s">
        <v>217</v>
      </c>
    </row>
    <row r="387" spans="2:20" ht="5.9" customHeight="1" outlineLevel="1"/>
    <row r="388" spans="2:20" outlineLevel="1">
      <c r="D388" s="102" t="str">
        <f>Work_Codes!D81</f>
        <v>Minor Replacement - Mains Renewal &lt;20m)</v>
      </c>
      <c r="J388" s="81">
        <f t="shared" ref="J388:T388" si="40">J358+J368+J378</f>
        <v>0</v>
      </c>
      <c r="K388" s="81">
        <f t="shared" si="40"/>
        <v>0</v>
      </c>
      <c r="L388" s="81">
        <f t="shared" si="40"/>
        <v>0</v>
      </c>
      <c r="M388" s="81">
        <f t="shared" si="40"/>
        <v>0</v>
      </c>
      <c r="N388" s="81">
        <f t="shared" si="40"/>
        <v>0</v>
      </c>
      <c r="O388" s="81">
        <f t="shared" si="40"/>
        <v>0</v>
      </c>
      <c r="P388" s="81">
        <f t="shared" si="40"/>
        <v>43827.557447805761</v>
      </c>
      <c r="Q388" s="81">
        <f t="shared" si="40"/>
        <v>44498.981602246058</v>
      </c>
      <c r="R388" s="81">
        <f t="shared" si="40"/>
        <v>45186.700306068153</v>
      </c>
      <c r="S388" s="81">
        <f t="shared" si="40"/>
        <v>45885.264386033094</v>
      </c>
      <c r="T388" s="81">
        <f t="shared" si="40"/>
        <v>46594.850384192745</v>
      </c>
    </row>
    <row r="389" spans="2:20" outlineLevel="1">
      <c r="D389" s="102" t="str">
        <f>Work_Codes!D82</f>
        <v>Minor Replacement - Alter / Lower Mains</v>
      </c>
      <c r="J389" s="81">
        <f t="shared" ref="J389:T389" si="41">J359+J369+J379</f>
        <v>0</v>
      </c>
      <c r="K389" s="81">
        <f t="shared" si="41"/>
        <v>0</v>
      </c>
      <c r="L389" s="81">
        <f t="shared" si="41"/>
        <v>0</v>
      </c>
      <c r="M389" s="81">
        <f t="shared" si="41"/>
        <v>0</v>
      </c>
      <c r="N389" s="81">
        <f t="shared" si="41"/>
        <v>0</v>
      </c>
      <c r="O389" s="81">
        <f t="shared" si="41"/>
        <v>0</v>
      </c>
      <c r="P389" s="81">
        <f t="shared" si="41"/>
        <v>2410.5156596293159</v>
      </c>
      <c r="Q389" s="81">
        <f t="shared" si="41"/>
        <v>2447.443988123533</v>
      </c>
      <c r="R389" s="81">
        <f t="shared" si="41"/>
        <v>2485.2685168337484</v>
      </c>
      <c r="S389" s="81">
        <f t="shared" si="41"/>
        <v>2523.6895412318208</v>
      </c>
      <c r="T389" s="81">
        <f t="shared" si="41"/>
        <v>2562.716771130601</v>
      </c>
    </row>
    <row r="390" spans="2:20" outlineLevel="1">
      <c r="D390" s="102" t="str">
        <f>Work_Codes!D83</f>
        <v>Minor Replacement - Service Renewals</v>
      </c>
      <c r="J390" s="81">
        <f t="shared" ref="J390:T390" si="42">J360+J370+J380</f>
        <v>0</v>
      </c>
      <c r="K390" s="81">
        <f t="shared" si="42"/>
        <v>0</v>
      </c>
      <c r="L390" s="81">
        <f t="shared" si="42"/>
        <v>0</v>
      </c>
      <c r="M390" s="81">
        <f t="shared" si="42"/>
        <v>0</v>
      </c>
      <c r="N390" s="81">
        <f t="shared" si="42"/>
        <v>0</v>
      </c>
      <c r="O390" s="81">
        <f t="shared" si="42"/>
        <v>0</v>
      </c>
      <c r="P390" s="81">
        <f t="shared" si="42"/>
        <v>100880.08035548688</v>
      </c>
      <c r="Q390" s="81">
        <f t="shared" si="42"/>
        <v>102425.53090296987</v>
      </c>
      <c r="R390" s="81">
        <f t="shared" si="42"/>
        <v>104008.48742949239</v>
      </c>
      <c r="S390" s="81">
        <f t="shared" si="42"/>
        <v>105616.4073005517</v>
      </c>
      <c r="T390" s="81">
        <f t="shared" si="42"/>
        <v>107249.69687181567</v>
      </c>
    </row>
    <row r="391" spans="2:20" outlineLevel="1">
      <c r="D391" s="102" t="str">
        <f>Work_Codes!D84</f>
        <v>Minor Replacement - Alter / Lower Services</v>
      </c>
      <c r="J391" s="81">
        <f t="shared" ref="J391:T391" si="43">J361+J371+J381</f>
        <v>0</v>
      </c>
      <c r="K391" s="81">
        <f t="shared" si="43"/>
        <v>0</v>
      </c>
      <c r="L391" s="81">
        <f t="shared" si="43"/>
        <v>0</v>
      </c>
      <c r="M391" s="81">
        <f t="shared" si="43"/>
        <v>0</v>
      </c>
      <c r="N391" s="81">
        <f t="shared" si="43"/>
        <v>0</v>
      </c>
      <c r="O391" s="81">
        <f t="shared" si="43"/>
        <v>0</v>
      </c>
      <c r="P391" s="81">
        <f t="shared" si="43"/>
        <v>6779.5752927074518</v>
      </c>
      <c r="Q391" s="81">
        <f t="shared" si="43"/>
        <v>6883.4362165974371</v>
      </c>
      <c r="R391" s="81">
        <f t="shared" si="43"/>
        <v>6989.8177035949175</v>
      </c>
      <c r="S391" s="81">
        <f t="shared" si="43"/>
        <v>7097.8768347144942</v>
      </c>
      <c r="T391" s="81">
        <f t="shared" si="43"/>
        <v>7207.6409188048146</v>
      </c>
    </row>
    <row r="392" spans="2:20" outlineLevel="1">
      <c r="D392" s="102" t="str">
        <f>Work_Codes!D85</f>
        <v>Capex Items Category 5</v>
      </c>
      <c r="J392" s="81">
        <f t="shared" ref="J392:T392" si="44">J362+J372+J382</f>
        <v>0</v>
      </c>
      <c r="K392" s="81">
        <f t="shared" si="44"/>
        <v>0</v>
      </c>
      <c r="L392" s="81">
        <f t="shared" si="44"/>
        <v>0</v>
      </c>
      <c r="M392" s="81">
        <f t="shared" si="44"/>
        <v>0</v>
      </c>
      <c r="N392" s="81">
        <f t="shared" si="44"/>
        <v>281780.374862617</v>
      </c>
      <c r="O392" s="81">
        <f t="shared" si="44"/>
        <v>139177.61357236217</v>
      </c>
      <c r="P392" s="81">
        <f t="shared" si="44"/>
        <v>204748.97194154645</v>
      </c>
      <c r="Q392" s="81">
        <f t="shared" si="44"/>
        <v>202504.26579058007</v>
      </c>
      <c r="R392" s="81">
        <f t="shared" si="44"/>
        <v>200250.10412853409</v>
      </c>
      <c r="S392" s="81">
        <f t="shared" si="44"/>
        <v>197959.62887921015</v>
      </c>
      <c r="T392" s="81">
        <f t="shared" si="44"/>
        <v>195632.23960317939</v>
      </c>
    </row>
    <row r="393" spans="2:20" ht="5.9" customHeight="1" outlineLevel="1"/>
    <row r="394" spans="2:20" outlineLevel="1">
      <c r="D394" s="249" t="str">
        <f>C386</f>
        <v>Total Direct Capex including Escalation (Non CPI)</v>
      </c>
      <c r="E394" s="249"/>
      <c r="F394" s="249"/>
      <c r="G394" s="249"/>
      <c r="H394" s="249"/>
      <c r="I394" s="249"/>
      <c r="J394" s="82">
        <f t="shared" ref="J394:T394" si="45">SUM(J388:J393)</f>
        <v>0</v>
      </c>
      <c r="K394" s="82">
        <f t="shared" si="45"/>
        <v>0</v>
      </c>
      <c r="L394" s="82">
        <f t="shared" si="45"/>
        <v>0</v>
      </c>
      <c r="M394" s="82">
        <f t="shared" si="45"/>
        <v>0</v>
      </c>
      <c r="N394" s="82">
        <f t="shared" si="45"/>
        <v>281780.374862617</v>
      </c>
      <c r="O394" s="82">
        <f t="shared" si="45"/>
        <v>139177.61357236217</v>
      </c>
      <c r="P394" s="82">
        <f t="shared" si="45"/>
        <v>358646.70069717587</v>
      </c>
      <c r="Q394" s="82">
        <f t="shared" si="45"/>
        <v>358759.65850051696</v>
      </c>
      <c r="R394" s="82">
        <f t="shared" si="45"/>
        <v>358920.37808452331</v>
      </c>
      <c r="S394" s="82">
        <f t="shared" si="45"/>
        <v>359082.86694174126</v>
      </c>
      <c r="T394" s="82">
        <f t="shared" si="45"/>
        <v>359247.14454912324</v>
      </c>
    </row>
    <row r="395" spans="2:20" outlineLevel="1">
      <c r="B395" s="12"/>
      <c r="C395" s="12"/>
      <c r="D395" s="12"/>
      <c r="E395" s="12"/>
      <c r="F395" s="12"/>
      <c r="G395" s="12"/>
      <c r="H395" s="12"/>
      <c r="I395" s="12"/>
      <c r="J395" s="12"/>
      <c r="K395" s="12"/>
      <c r="L395" s="12"/>
      <c r="M395" s="12"/>
      <c r="N395" s="12"/>
      <c r="O395" s="12"/>
      <c r="P395" s="12"/>
      <c r="Q395" s="12"/>
      <c r="R395" s="12"/>
      <c r="S395" s="12"/>
      <c r="T395" s="12"/>
    </row>
    <row r="396" spans="2:20" outlineLevel="1"/>
    <row r="397" spans="2:20" outlineLevel="1">
      <c r="C397" s="37" t="s">
        <v>195</v>
      </c>
    </row>
    <row r="398" spans="2:20" ht="5.9" customHeight="1" outlineLevel="2"/>
    <row r="399" spans="2:20" outlineLevel="2">
      <c r="D399" s="37" t="s">
        <v>215</v>
      </c>
    </row>
    <row r="400" spans="2:20" ht="5.9" customHeight="1" outlineLevel="2"/>
    <row r="401" spans="5:20" ht="11.5" customHeight="1" outlineLevel="2">
      <c r="E401" s="247" t="str">
        <f>GC!C40</f>
        <v>Transmission pipelines</v>
      </c>
      <c r="F401" s="247"/>
      <c r="G401" s="247"/>
      <c r="H401" s="247"/>
      <c r="I401" s="247"/>
      <c r="J401" s="81">
        <f ca="1">SUMPRODUCT((Work_Codes!$N$78:$Y$78=$E401)*(Work_Codes!$N$81:$Y$85)*(J$388:J$392))</f>
        <v>0</v>
      </c>
      <c r="K401" s="81">
        <f ca="1">SUMPRODUCT((Work_Codes!$N$78:$Y$78=$E401)*(Work_Codes!$N$81:$Y$85)*(K$388:K$392))</f>
        <v>0</v>
      </c>
      <c r="L401" s="81">
        <f ca="1">SUMPRODUCT((Work_Codes!$N$78:$Y$78=$E401)*(Work_Codes!$N$81:$Y$85)*(L$388:L$392))</f>
        <v>0</v>
      </c>
      <c r="M401" s="81">
        <f ca="1">SUMPRODUCT((Work_Codes!$N$78:$Y$78=$E401)*(Work_Codes!$N$81:$Y$85)*(M$388:M$392))</f>
        <v>0</v>
      </c>
      <c r="N401" s="81">
        <f ca="1">SUMPRODUCT((Work_Codes!$N$78:$Y$78=$E401)*(Work_Codes!$N$81:$Y$85)*(N$388:N$392))</f>
        <v>0</v>
      </c>
      <c r="O401" s="81">
        <f ca="1">SUMPRODUCT((Work_Codes!$N$78:$Y$78=$E401)*(Work_Codes!$N$81:$Y$85)*(O$388:O$392))</f>
        <v>0</v>
      </c>
      <c r="P401" s="81">
        <f ca="1">SUMPRODUCT((Work_Codes!$N$78:$Y$78=$E401)*(Work_Codes!$N$81:$Y$85)*(P$388:P$392))</f>
        <v>0</v>
      </c>
      <c r="Q401" s="81">
        <f ca="1">SUMPRODUCT((Work_Codes!$N$78:$Y$78=$E401)*(Work_Codes!$N$81:$Y$85)*(Q$388:Q$392))</f>
        <v>0</v>
      </c>
      <c r="R401" s="81">
        <f ca="1">SUMPRODUCT((Work_Codes!$N$78:$Y$78=$E401)*(Work_Codes!$N$81:$Y$85)*(R$388:R$392))</f>
        <v>0</v>
      </c>
      <c r="S401" s="81">
        <f ca="1">SUMPRODUCT((Work_Codes!$N$78:$Y$78=$E401)*(Work_Codes!$N$81:$Y$85)*(S$388:S$392))</f>
        <v>0</v>
      </c>
      <c r="T401" s="81">
        <f ca="1">SUMPRODUCT((Work_Codes!$N$78:$Y$78=$E401)*(Work_Codes!$N$81:$Y$85)*(T$388:T$392))</f>
        <v>0</v>
      </c>
    </row>
    <row r="402" spans="5:20" ht="11.5" customHeight="1" outlineLevel="2">
      <c r="E402" s="247" t="str">
        <f>GC!C41</f>
        <v>Distribution pipelines</v>
      </c>
      <c r="F402" s="247"/>
      <c r="G402" s="247"/>
      <c r="H402" s="247"/>
      <c r="I402" s="247"/>
      <c r="J402" s="81">
        <f ca="1">SUMPRODUCT((Work_Codes!$N$78:$Y$78=$E402)*(Work_Codes!$N$81:$Y$85)*(J$388:J$392))</f>
        <v>0</v>
      </c>
      <c r="K402" s="81">
        <f ca="1">SUMPRODUCT((Work_Codes!$N$78:$Y$78=$E402)*(Work_Codes!$N$81:$Y$85)*(K$388:K$392))</f>
        <v>0</v>
      </c>
      <c r="L402" s="81">
        <f ca="1">SUMPRODUCT((Work_Codes!$N$78:$Y$78=$E402)*(Work_Codes!$N$81:$Y$85)*(L$388:L$392))</f>
        <v>0</v>
      </c>
      <c r="M402" s="81">
        <f ca="1">SUMPRODUCT((Work_Codes!$N$78:$Y$78=$E402)*(Work_Codes!$N$81:$Y$85)*(M$388:M$392))</f>
        <v>0</v>
      </c>
      <c r="N402" s="81">
        <f ca="1">SUMPRODUCT((Work_Codes!$N$78:$Y$78=$E402)*(Work_Codes!$N$81:$Y$85)*(N$388:N$392))</f>
        <v>0</v>
      </c>
      <c r="O402" s="81">
        <f ca="1">SUMPRODUCT((Work_Codes!$N$78:$Y$78=$E402)*(Work_Codes!$N$81:$Y$85)*(O$388:O$392))</f>
        <v>0</v>
      </c>
      <c r="P402" s="81">
        <f ca="1">SUMPRODUCT((Work_Codes!$N$78:$Y$78=$E402)*(Work_Codes!$N$81:$Y$85)*(P$388:P$392))</f>
        <v>0</v>
      </c>
      <c r="Q402" s="81">
        <f ca="1">SUMPRODUCT((Work_Codes!$N$78:$Y$78=$E402)*(Work_Codes!$N$81:$Y$85)*(Q$388:Q$392))</f>
        <v>0</v>
      </c>
      <c r="R402" s="81">
        <f ca="1">SUMPRODUCT((Work_Codes!$N$78:$Y$78=$E402)*(Work_Codes!$N$81:$Y$85)*(R$388:R$392))</f>
        <v>0</v>
      </c>
      <c r="S402" s="81">
        <f ca="1">SUMPRODUCT((Work_Codes!$N$78:$Y$78=$E402)*(Work_Codes!$N$81:$Y$85)*(S$388:S$392))</f>
        <v>0</v>
      </c>
      <c r="T402" s="81">
        <f ca="1">SUMPRODUCT((Work_Codes!$N$78:$Y$78=$E402)*(Work_Codes!$N$81:$Y$85)*(T$388:T$392))</f>
        <v>0</v>
      </c>
    </row>
    <row r="403" spans="5:20" ht="11.5" customHeight="1" outlineLevel="2">
      <c r="E403" s="247" t="str">
        <f>GC!C42</f>
        <v>Service pipes</v>
      </c>
      <c r="F403" s="247"/>
      <c r="G403" s="247"/>
      <c r="H403" s="247"/>
      <c r="I403" s="247"/>
      <c r="J403" s="81">
        <f ca="1">SUMPRODUCT((Work_Codes!$N$78:$Y$78=$E403)*(Work_Codes!$N$81:$Y$85)*(J$388:J$392))</f>
        <v>0</v>
      </c>
      <c r="K403" s="81">
        <f ca="1">SUMPRODUCT((Work_Codes!$N$78:$Y$78=$E403)*(Work_Codes!$N$81:$Y$85)*(K$388:K$392))</f>
        <v>0</v>
      </c>
      <c r="L403" s="81">
        <f ca="1">SUMPRODUCT((Work_Codes!$N$78:$Y$78=$E403)*(Work_Codes!$N$81:$Y$85)*(L$388:L$392))</f>
        <v>0</v>
      </c>
      <c r="M403" s="81">
        <f ca="1">SUMPRODUCT((Work_Codes!$N$78:$Y$78=$E403)*(Work_Codes!$N$81:$Y$85)*(M$388:M$392))</f>
        <v>0</v>
      </c>
      <c r="N403" s="81">
        <f ca="1">SUMPRODUCT((Work_Codes!$N$78:$Y$78=$E403)*(Work_Codes!$N$81:$Y$85)*(N$388:N$392))</f>
        <v>0</v>
      </c>
      <c r="O403" s="81">
        <f ca="1">SUMPRODUCT((Work_Codes!$N$78:$Y$78=$E403)*(Work_Codes!$N$81:$Y$85)*(O$388:O$392))</f>
        <v>0</v>
      </c>
      <c r="P403" s="81">
        <f ca="1">SUMPRODUCT((Work_Codes!$N$78:$Y$78=$E403)*(Work_Codes!$N$81:$Y$85)*(P$388:P$392))</f>
        <v>0</v>
      </c>
      <c r="Q403" s="81">
        <f ca="1">SUMPRODUCT((Work_Codes!$N$78:$Y$78=$E403)*(Work_Codes!$N$81:$Y$85)*(Q$388:Q$392))</f>
        <v>0</v>
      </c>
      <c r="R403" s="81">
        <f ca="1">SUMPRODUCT((Work_Codes!$N$78:$Y$78=$E403)*(Work_Codes!$N$81:$Y$85)*(R$388:R$392))</f>
        <v>0</v>
      </c>
      <c r="S403" s="81">
        <f ca="1">SUMPRODUCT((Work_Codes!$N$78:$Y$78=$E403)*(Work_Codes!$N$81:$Y$85)*(S$388:S$392))</f>
        <v>0</v>
      </c>
      <c r="T403" s="81">
        <f ca="1">SUMPRODUCT((Work_Codes!$N$78:$Y$78=$E403)*(Work_Codes!$N$81:$Y$85)*(T$388:T$392))</f>
        <v>0</v>
      </c>
    </row>
    <row r="404" spans="5:20" ht="11.5" customHeight="1" outlineLevel="2">
      <c r="E404" s="247" t="str">
        <f>GC!C43</f>
        <v>Cathodic protection</v>
      </c>
      <c r="F404" s="247"/>
      <c r="G404" s="247"/>
      <c r="H404" s="247"/>
      <c r="I404" s="247"/>
      <c r="J404" s="81">
        <f ca="1">SUMPRODUCT((Work_Codes!$N$78:$Y$78=$E404)*(Work_Codes!$N$81:$Y$85)*(J$388:J$392))</f>
        <v>0</v>
      </c>
      <c r="K404" s="81">
        <f ca="1">SUMPRODUCT((Work_Codes!$N$78:$Y$78=$E404)*(Work_Codes!$N$81:$Y$85)*(K$388:K$392))</f>
        <v>0</v>
      </c>
      <c r="L404" s="81">
        <f ca="1">SUMPRODUCT((Work_Codes!$N$78:$Y$78=$E404)*(Work_Codes!$N$81:$Y$85)*(L$388:L$392))</f>
        <v>0</v>
      </c>
      <c r="M404" s="81">
        <f ca="1">SUMPRODUCT((Work_Codes!$N$78:$Y$78=$E404)*(Work_Codes!$N$81:$Y$85)*(M$388:M$392))</f>
        <v>0</v>
      </c>
      <c r="N404" s="81">
        <f ca="1">SUMPRODUCT((Work_Codes!$N$78:$Y$78=$E404)*(Work_Codes!$N$81:$Y$85)*(N$388:N$392))</f>
        <v>0</v>
      </c>
      <c r="O404" s="81">
        <f ca="1">SUMPRODUCT((Work_Codes!$N$78:$Y$78=$E404)*(Work_Codes!$N$81:$Y$85)*(O$388:O$392))</f>
        <v>0</v>
      </c>
      <c r="P404" s="81">
        <f ca="1">SUMPRODUCT((Work_Codes!$N$78:$Y$78=$E404)*(Work_Codes!$N$81:$Y$85)*(P$388:P$392))</f>
        <v>0</v>
      </c>
      <c r="Q404" s="81">
        <f ca="1">SUMPRODUCT((Work_Codes!$N$78:$Y$78=$E404)*(Work_Codes!$N$81:$Y$85)*(Q$388:Q$392))</f>
        <v>0</v>
      </c>
      <c r="R404" s="81">
        <f ca="1">SUMPRODUCT((Work_Codes!$N$78:$Y$78=$E404)*(Work_Codes!$N$81:$Y$85)*(R$388:R$392))</f>
        <v>0</v>
      </c>
      <c r="S404" s="81">
        <f ca="1">SUMPRODUCT((Work_Codes!$N$78:$Y$78=$E404)*(Work_Codes!$N$81:$Y$85)*(S$388:S$392))</f>
        <v>0</v>
      </c>
      <c r="T404" s="81">
        <f ca="1">SUMPRODUCT((Work_Codes!$N$78:$Y$78=$E404)*(Work_Codes!$N$81:$Y$85)*(T$388:T$392))</f>
        <v>0</v>
      </c>
    </row>
    <row r="405" spans="5:20" ht="11.5" customHeight="1" outlineLevel="2">
      <c r="E405" s="247" t="str">
        <f>GC!C44</f>
        <v>Supply Regulators / Valve Stations</v>
      </c>
      <c r="F405" s="247"/>
      <c r="G405" s="247"/>
      <c r="H405" s="247"/>
      <c r="I405" s="247"/>
      <c r="J405" s="81">
        <f ca="1">SUMPRODUCT((Work_Codes!$N$78:$Y$78=$E405)*(Work_Codes!$N$81:$Y$85)*(J$388:J$392))</f>
        <v>0</v>
      </c>
      <c r="K405" s="81">
        <f ca="1">SUMPRODUCT((Work_Codes!$N$78:$Y$78=$E405)*(Work_Codes!$N$81:$Y$85)*(K$388:K$392))</f>
        <v>0</v>
      </c>
      <c r="L405" s="81">
        <f ca="1">SUMPRODUCT((Work_Codes!$N$78:$Y$78=$E405)*(Work_Codes!$N$81:$Y$85)*(L$388:L$392))</f>
        <v>0</v>
      </c>
      <c r="M405" s="81">
        <f ca="1">SUMPRODUCT((Work_Codes!$N$78:$Y$78=$E405)*(Work_Codes!$N$81:$Y$85)*(M$388:M$392))</f>
        <v>0</v>
      </c>
      <c r="N405" s="81">
        <f ca="1">SUMPRODUCT((Work_Codes!$N$78:$Y$78=$E405)*(Work_Codes!$N$81:$Y$85)*(N$388:N$392))</f>
        <v>0</v>
      </c>
      <c r="O405" s="81">
        <f ca="1">SUMPRODUCT((Work_Codes!$N$78:$Y$78=$E405)*(Work_Codes!$N$81:$Y$85)*(O$388:O$392))</f>
        <v>0</v>
      </c>
      <c r="P405" s="81">
        <f ca="1">SUMPRODUCT((Work_Codes!$N$78:$Y$78=$E405)*(Work_Codes!$N$81:$Y$85)*(P$388:P$392))</f>
        <v>0</v>
      </c>
      <c r="Q405" s="81">
        <f ca="1">SUMPRODUCT((Work_Codes!$N$78:$Y$78=$E405)*(Work_Codes!$N$81:$Y$85)*(Q$388:Q$392))</f>
        <v>0</v>
      </c>
      <c r="R405" s="81">
        <f ca="1">SUMPRODUCT((Work_Codes!$N$78:$Y$78=$E405)*(Work_Codes!$N$81:$Y$85)*(R$388:R$392))</f>
        <v>0</v>
      </c>
      <c r="S405" s="81">
        <f ca="1">SUMPRODUCT((Work_Codes!$N$78:$Y$78=$E405)*(Work_Codes!$N$81:$Y$85)*(S$388:S$392))</f>
        <v>0</v>
      </c>
      <c r="T405" s="81">
        <f ca="1">SUMPRODUCT((Work_Codes!$N$78:$Y$78=$E405)*(Work_Codes!$N$81:$Y$85)*(T$388:T$392))</f>
        <v>0</v>
      </c>
    </row>
    <row r="406" spans="5:20" ht="11.5" customHeight="1" outlineLevel="2">
      <c r="E406" s="247" t="str">
        <f>GC!C45</f>
        <v>Meters</v>
      </c>
      <c r="F406" s="247"/>
      <c r="G406" s="247"/>
      <c r="H406" s="247"/>
      <c r="I406" s="247"/>
      <c r="J406" s="81">
        <f ca="1">SUMPRODUCT((Work_Codes!$N$78:$Y$78=$E406)*(Work_Codes!$N$81:$Y$85)*(J$388:J$392))</f>
        <v>0</v>
      </c>
      <c r="K406" s="81">
        <f ca="1">SUMPRODUCT((Work_Codes!$N$78:$Y$78=$E406)*(Work_Codes!$N$81:$Y$85)*(K$388:K$392))</f>
        <v>0</v>
      </c>
      <c r="L406" s="81">
        <f ca="1">SUMPRODUCT((Work_Codes!$N$78:$Y$78=$E406)*(Work_Codes!$N$81:$Y$85)*(L$388:L$392))</f>
        <v>0</v>
      </c>
      <c r="M406" s="81">
        <f ca="1">SUMPRODUCT((Work_Codes!$N$78:$Y$78=$E406)*(Work_Codes!$N$81:$Y$85)*(M$388:M$392))</f>
        <v>0</v>
      </c>
      <c r="N406" s="81">
        <f ca="1">SUMPRODUCT((Work_Codes!$N$78:$Y$78=$E406)*(Work_Codes!$N$81:$Y$85)*(N$388:N$392))</f>
        <v>0</v>
      </c>
      <c r="O406" s="81">
        <f ca="1">SUMPRODUCT((Work_Codes!$N$78:$Y$78=$E406)*(Work_Codes!$N$81:$Y$85)*(O$388:O$392))</f>
        <v>0</v>
      </c>
      <c r="P406" s="81">
        <f ca="1">SUMPRODUCT((Work_Codes!$N$78:$Y$78=$E406)*(Work_Codes!$N$81:$Y$85)*(P$388:P$392))</f>
        <v>0</v>
      </c>
      <c r="Q406" s="81">
        <f ca="1">SUMPRODUCT((Work_Codes!$N$78:$Y$78=$E406)*(Work_Codes!$N$81:$Y$85)*(Q$388:Q$392))</f>
        <v>0</v>
      </c>
      <c r="R406" s="81">
        <f ca="1">SUMPRODUCT((Work_Codes!$N$78:$Y$78=$E406)*(Work_Codes!$N$81:$Y$85)*(R$388:R$392))</f>
        <v>0</v>
      </c>
      <c r="S406" s="81">
        <f ca="1">SUMPRODUCT((Work_Codes!$N$78:$Y$78=$E406)*(Work_Codes!$N$81:$Y$85)*(S$388:S$392))</f>
        <v>0</v>
      </c>
      <c r="T406" s="81">
        <f ca="1">SUMPRODUCT((Work_Codes!$N$78:$Y$78=$E406)*(Work_Codes!$N$81:$Y$85)*(T$388:T$392))</f>
        <v>0</v>
      </c>
    </row>
    <row r="407" spans="5:20" ht="11.5" customHeight="1" outlineLevel="2">
      <c r="E407" s="247" t="str">
        <f>GC!C46</f>
        <v>SCADA and remote control</v>
      </c>
      <c r="F407" s="247"/>
      <c r="G407" s="247"/>
      <c r="H407" s="247"/>
      <c r="I407" s="247"/>
      <c r="J407" s="81">
        <f ca="1">SUMPRODUCT((Work_Codes!$N$78:$Y$78=$E407)*(Work_Codes!$N$81:$Y$85)*(J$388:J$392))</f>
        <v>0</v>
      </c>
      <c r="K407" s="81">
        <f ca="1">SUMPRODUCT((Work_Codes!$N$78:$Y$78=$E407)*(Work_Codes!$N$81:$Y$85)*(K$388:K$392))</f>
        <v>0</v>
      </c>
      <c r="L407" s="81">
        <f ca="1">SUMPRODUCT((Work_Codes!$N$78:$Y$78=$E407)*(Work_Codes!$N$81:$Y$85)*(L$388:L$392))</f>
        <v>0</v>
      </c>
      <c r="M407" s="81">
        <f ca="1">SUMPRODUCT((Work_Codes!$N$78:$Y$78=$E407)*(Work_Codes!$N$81:$Y$85)*(M$388:M$392))</f>
        <v>0</v>
      </c>
      <c r="N407" s="81">
        <f ca="1">SUMPRODUCT((Work_Codes!$N$78:$Y$78=$E407)*(Work_Codes!$N$81:$Y$85)*(N$388:N$392))</f>
        <v>0</v>
      </c>
      <c r="O407" s="81">
        <f ca="1">SUMPRODUCT((Work_Codes!$N$78:$Y$78=$E407)*(Work_Codes!$N$81:$Y$85)*(O$388:O$392))</f>
        <v>0</v>
      </c>
      <c r="P407" s="81">
        <f ca="1">SUMPRODUCT((Work_Codes!$N$78:$Y$78=$E407)*(Work_Codes!$N$81:$Y$85)*(P$388:P$392))</f>
        <v>0</v>
      </c>
      <c r="Q407" s="81">
        <f ca="1">SUMPRODUCT((Work_Codes!$N$78:$Y$78=$E407)*(Work_Codes!$N$81:$Y$85)*(Q$388:Q$392))</f>
        <v>0</v>
      </c>
      <c r="R407" s="81">
        <f ca="1">SUMPRODUCT((Work_Codes!$N$78:$Y$78=$E407)*(Work_Codes!$N$81:$Y$85)*(R$388:R$392))</f>
        <v>0</v>
      </c>
      <c r="S407" s="81">
        <f ca="1">SUMPRODUCT((Work_Codes!$N$78:$Y$78=$E407)*(Work_Codes!$N$81:$Y$85)*(S$388:S$392))</f>
        <v>0</v>
      </c>
      <c r="T407" s="81">
        <f ca="1">SUMPRODUCT((Work_Codes!$N$78:$Y$78=$E407)*(Work_Codes!$N$81:$Y$85)*(T$388:T$392))</f>
        <v>0</v>
      </c>
    </row>
    <row r="408" spans="5:20" ht="11.5" customHeight="1" outlineLevel="2">
      <c r="E408" s="247" t="str">
        <f>GC!C47</f>
        <v>Buildings</v>
      </c>
      <c r="F408" s="247"/>
      <c r="G408" s="247"/>
      <c r="H408" s="247"/>
      <c r="I408" s="247"/>
      <c r="J408" s="81">
        <f ca="1">SUMPRODUCT((Work_Codes!$N$78:$Y$78=$E408)*(Work_Codes!$N$81:$Y$85)*(J$388:J$392))</f>
        <v>0</v>
      </c>
      <c r="K408" s="81">
        <f ca="1">SUMPRODUCT((Work_Codes!$N$78:$Y$78=$E408)*(Work_Codes!$N$81:$Y$85)*(K$388:K$392))</f>
        <v>0</v>
      </c>
      <c r="L408" s="81">
        <f ca="1">SUMPRODUCT((Work_Codes!$N$78:$Y$78=$E408)*(Work_Codes!$N$81:$Y$85)*(L$388:L$392))</f>
        <v>0</v>
      </c>
      <c r="M408" s="81">
        <f ca="1">SUMPRODUCT((Work_Codes!$N$78:$Y$78=$E408)*(Work_Codes!$N$81:$Y$85)*(M$388:M$392))</f>
        <v>0</v>
      </c>
      <c r="N408" s="81">
        <f ca="1">SUMPRODUCT((Work_Codes!$N$78:$Y$78=$E408)*(Work_Codes!$N$81:$Y$85)*(N$388:N$392))</f>
        <v>0</v>
      </c>
      <c r="O408" s="81">
        <f ca="1">SUMPRODUCT((Work_Codes!$N$78:$Y$78=$E408)*(Work_Codes!$N$81:$Y$85)*(O$388:O$392))</f>
        <v>0</v>
      </c>
      <c r="P408" s="81">
        <f ca="1">SUMPRODUCT((Work_Codes!$N$78:$Y$78=$E408)*(Work_Codes!$N$81:$Y$85)*(P$388:P$392))</f>
        <v>0</v>
      </c>
      <c r="Q408" s="81">
        <f ca="1">SUMPRODUCT((Work_Codes!$N$78:$Y$78=$E408)*(Work_Codes!$N$81:$Y$85)*(Q$388:Q$392))</f>
        <v>0</v>
      </c>
      <c r="R408" s="81">
        <f ca="1">SUMPRODUCT((Work_Codes!$N$78:$Y$78=$E408)*(Work_Codes!$N$81:$Y$85)*(R$388:R$392))</f>
        <v>0</v>
      </c>
      <c r="S408" s="81">
        <f ca="1">SUMPRODUCT((Work_Codes!$N$78:$Y$78=$E408)*(Work_Codes!$N$81:$Y$85)*(S$388:S$392))</f>
        <v>0</v>
      </c>
      <c r="T408" s="81">
        <f ca="1">SUMPRODUCT((Work_Codes!$N$78:$Y$78=$E408)*(Work_Codes!$N$81:$Y$85)*(T$388:T$392))</f>
        <v>0</v>
      </c>
    </row>
    <row r="409" spans="5:20" ht="11.5" customHeight="1" outlineLevel="2">
      <c r="E409" s="247" t="str">
        <f>GC!C48</f>
        <v>Other - IT</v>
      </c>
      <c r="F409" s="247"/>
      <c r="G409" s="247"/>
      <c r="H409" s="247"/>
      <c r="I409" s="247"/>
      <c r="J409" s="81">
        <f ca="1">SUMPRODUCT((Work_Codes!$N$78:$Y$78=$E409)*(Work_Codes!$N$81:$Y$85)*(J$388:J$392))</f>
        <v>0</v>
      </c>
      <c r="K409" s="81">
        <f ca="1">SUMPRODUCT((Work_Codes!$N$78:$Y$78=$E409)*(Work_Codes!$N$81:$Y$85)*(K$388:K$392))</f>
        <v>0</v>
      </c>
      <c r="L409" s="81">
        <f ca="1">SUMPRODUCT((Work_Codes!$N$78:$Y$78=$E409)*(Work_Codes!$N$81:$Y$85)*(L$388:L$392))</f>
        <v>0</v>
      </c>
      <c r="M409" s="81">
        <f ca="1">SUMPRODUCT((Work_Codes!$N$78:$Y$78=$E409)*(Work_Codes!$N$81:$Y$85)*(M$388:M$392))</f>
        <v>0</v>
      </c>
      <c r="N409" s="81">
        <f ca="1">SUMPRODUCT((Work_Codes!$N$78:$Y$78=$E409)*(Work_Codes!$N$81:$Y$85)*(N$388:N$392))</f>
        <v>0</v>
      </c>
      <c r="O409" s="81">
        <f ca="1">SUMPRODUCT((Work_Codes!$N$78:$Y$78=$E409)*(Work_Codes!$N$81:$Y$85)*(O$388:O$392))</f>
        <v>0</v>
      </c>
      <c r="P409" s="81">
        <f ca="1">SUMPRODUCT((Work_Codes!$N$78:$Y$78=$E409)*(Work_Codes!$N$81:$Y$85)*(P$388:P$392))</f>
        <v>0</v>
      </c>
      <c r="Q409" s="81">
        <f ca="1">SUMPRODUCT((Work_Codes!$N$78:$Y$78=$E409)*(Work_Codes!$N$81:$Y$85)*(Q$388:Q$392))</f>
        <v>0</v>
      </c>
      <c r="R409" s="81">
        <f ca="1">SUMPRODUCT((Work_Codes!$N$78:$Y$78=$E409)*(Work_Codes!$N$81:$Y$85)*(R$388:R$392))</f>
        <v>0</v>
      </c>
      <c r="S409" s="81">
        <f ca="1">SUMPRODUCT((Work_Codes!$N$78:$Y$78=$E409)*(Work_Codes!$N$81:$Y$85)*(S$388:S$392))</f>
        <v>0</v>
      </c>
      <c r="T409" s="81">
        <f ca="1">SUMPRODUCT((Work_Codes!$N$78:$Y$78=$E409)*(Work_Codes!$N$81:$Y$85)*(T$388:T$392))</f>
        <v>0</v>
      </c>
    </row>
    <row r="410" spans="5:20" ht="11.5" customHeight="1" outlineLevel="2">
      <c r="E410" s="247" t="str">
        <f>GC!C49</f>
        <v>Other - non IT</v>
      </c>
      <c r="F410" s="247"/>
      <c r="G410" s="247"/>
      <c r="H410" s="247"/>
      <c r="I410" s="247"/>
      <c r="J410" s="81">
        <f ca="1">SUMPRODUCT((Work_Codes!$N$78:$Y$78=$E410)*(Work_Codes!$N$81:$Y$85)*(J$388:J$392))</f>
        <v>0</v>
      </c>
      <c r="K410" s="81">
        <f ca="1">SUMPRODUCT((Work_Codes!$N$78:$Y$78=$E410)*(Work_Codes!$N$81:$Y$85)*(K$388:K$392))</f>
        <v>0</v>
      </c>
      <c r="L410" s="81">
        <f ca="1">SUMPRODUCT((Work_Codes!$N$78:$Y$78=$E410)*(Work_Codes!$N$81:$Y$85)*(L$388:L$392))</f>
        <v>0</v>
      </c>
      <c r="M410" s="81">
        <f ca="1">SUMPRODUCT((Work_Codes!$N$78:$Y$78=$E410)*(Work_Codes!$N$81:$Y$85)*(M$388:M$392))</f>
        <v>0</v>
      </c>
      <c r="N410" s="81">
        <f ca="1">SUMPRODUCT((Work_Codes!$N$78:$Y$78=$E410)*(Work_Codes!$N$81:$Y$85)*(N$388:N$392))</f>
        <v>0</v>
      </c>
      <c r="O410" s="81">
        <f ca="1">SUMPRODUCT((Work_Codes!$N$78:$Y$78=$E410)*(Work_Codes!$N$81:$Y$85)*(O$388:O$392))</f>
        <v>0</v>
      </c>
      <c r="P410" s="81">
        <f ca="1">SUMPRODUCT((Work_Codes!$N$78:$Y$78=$E410)*(Work_Codes!$N$81:$Y$85)*(P$388:P$392))</f>
        <v>0</v>
      </c>
      <c r="Q410" s="81">
        <f ca="1">SUMPRODUCT((Work_Codes!$N$78:$Y$78=$E410)*(Work_Codes!$N$81:$Y$85)*(Q$388:Q$392))</f>
        <v>0</v>
      </c>
      <c r="R410" s="81">
        <f ca="1">SUMPRODUCT((Work_Codes!$N$78:$Y$78=$E410)*(Work_Codes!$N$81:$Y$85)*(R$388:R$392))</f>
        <v>0</v>
      </c>
      <c r="S410" s="81">
        <f ca="1">SUMPRODUCT((Work_Codes!$N$78:$Y$78=$E410)*(Work_Codes!$N$81:$Y$85)*(S$388:S$392))</f>
        <v>0</v>
      </c>
      <c r="T410" s="81">
        <f ca="1">SUMPRODUCT((Work_Codes!$N$78:$Y$78=$E410)*(Work_Codes!$N$81:$Y$85)*(T$388:T$392))</f>
        <v>0</v>
      </c>
    </row>
    <row r="411" spans="5:20" ht="11.5" customHeight="1" outlineLevel="2">
      <c r="E411" s="247" t="str">
        <f>GC!C50</f>
        <v>Land</v>
      </c>
      <c r="F411" s="247"/>
      <c r="G411" s="247"/>
      <c r="H411" s="247"/>
      <c r="I411" s="247"/>
      <c r="J411" s="81">
        <f ca="1">SUMPRODUCT((Work_Codes!$N$78:$Y$78=$E411)*(Work_Codes!$N$81:$Y$85)*(J$388:J$392))</f>
        <v>0</v>
      </c>
      <c r="K411" s="81">
        <f ca="1">SUMPRODUCT((Work_Codes!$N$78:$Y$78=$E411)*(Work_Codes!$N$81:$Y$85)*(K$388:K$392))</f>
        <v>0</v>
      </c>
      <c r="L411" s="81">
        <f ca="1">SUMPRODUCT((Work_Codes!$N$78:$Y$78=$E411)*(Work_Codes!$N$81:$Y$85)*(L$388:L$392))</f>
        <v>0</v>
      </c>
      <c r="M411" s="81">
        <f ca="1">SUMPRODUCT((Work_Codes!$N$78:$Y$78=$E411)*(Work_Codes!$N$81:$Y$85)*(M$388:M$392))</f>
        <v>0</v>
      </c>
      <c r="N411" s="81">
        <f ca="1">SUMPRODUCT((Work_Codes!$N$78:$Y$78=$E411)*(Work_Codes!$N$81:$Y$85)*(N$388:N$392))</f>
        <v>0</v>
      </c>
      <c r="O411" s="81">
        <f ca="1">SUMPRODUCT((Work_Codes!$N$78:$Y$78=$E411)*(Work_Codes!$N$81:$Y$85)*(O$388:O$392))</f>
        <v>0</v>
      </c>
      <c r="P411" s="81">
        <f ca="1">SUMPRODUCT((Work_Codes!$N$78:$Y$78=$E411)*(Work_Codes!$N$81:$Y$85)*(P$388:P$392))</f>
        <v>0</v>
      </c>
      <c r="Q411" s="81">
        <f ca="1">SUMPRODUCT((Work_Codes!$N$78:$Y$78=$E411)*(Work_Codes!$N$81:$Y$85)*(Q$388:Q$392))</f>
        <v>0</v>
      </c>
      <c r="R411" s="81">
        <f ca="1">SUMPRODUCT((Work_Codes!$N$78:$Y$78=$E411)*(Work_Codes!$N$81:$Y$85)*(R$388:R$392))</f>
        <v>0</v>
      </c>
      <c r="S411" s="81">
        <f ca="1">SUMPRODUCT((Work_Codes!$N$78:$Y$78=$E411)*(Work_Codes!$N$81:$Y$85)*(S$388:S$392))</f>
        <v>0</v>
      </c>
      <c r="T411" s="81">
        <f ca="1">SUMPRODUCT((Work_Codes!$N$78:$Y$78=$E411)*(Work_Codes!$N$81:$Y$85)*(T$388:T$392))</f>
        <v>0</v>
      </c>
    </row>
    <row r="412" spans="5:20" outlineLevel="2">
      <c r="E412" s="247" t="str">
        <f>GC!C51</f>
        <v>Capitalised Leases</v>
      </c>
      <c r="F412" s="247"/>
      <c r="G412" s="247"/>
      <c r="H412" s="247"/>
      <c r="I412" s="247"/>
      <c r="J412" s="81">
        <f ca="1">SUMPRODUCT((Work_Codes!$N$78:$Y$78=$E412)*(Work_Codes!$N$81:$Y$85)*(J$388:J$392))</f>
        <v>0</v>
      </c>
      <c r="K412" s="81">
        <f ca="1">SUMPRODUCT((Work_Codes!$N$78:$Y$78=$E412)*(Work_Codes!$N$81:$Y$85)*(K$388:K$392))</f>
        <v>0</v>
      </c>
      <c r="L412" s="81">
        <f ca="1">SUMPRODUCT((Work_Codes!$N$78:$Y$78=$E412)*(Work_Codes!$N$81:$Y$85)*(L$388:L$392))</f>
        <v>0</v>
      </c>
      <c r="M412" s="81">
        <f ca="1">SUMPRODUCT((Work_Codes!$N$78:$Y$78=$E412)*(Work_Codes!$N$81:$Y$85)*(M$388:M$392))</f>
        <v>0</v>
      </c>
      <c r="N412" s="81">
        <f ca="1">SUMPRODUCT((Work_Codes!$N$78:$Y$78=$E412)*(Work_Codes!$N$81:$Y$85)*(N$388:N$392))</f>
        <v>0</v>
      </c>
      <c r="O412" s="81">
        <f ca="1">SUMPRODUCT((Work_Codes!$N$78:$Y$78=$E412)*(Work_Codes!$N$81:$Y$85)*(O$388:O$392))</f>
        <v>0</v>
      </c>
      <c r="P412" s="81">
        <f ca="1">SUMPRODUCT((Work_Codes!$N$78:$Y$78=$E412)*(Work_Codes!$N$81:$Y$85)*(P$388:P$392))</f>
        <v>0</v>
      </c>
      <c r="Q412" s="81">
        <f ca="1">SUMPRODUCT((Work_Codes!$N$78:$Y$78=$E412)*(Work_Codes!$N$81:$Y$85)*(Q$388:Q$392))</f>
        <v>0</v>
      </c>
      <c r="R412" s="81">
        <f ca="1">SUMPRODUCT((Work_Codes!$N$78:$Y$78=$E412)*(Work_Codes!$N$81:$Y$85)*(R$388:R$392))</f>
        <v>0</v>
      </c>
      <c r="S412" s="81">
        <f ca="1">SUMPRODUCT((Work_Codes!$N$78:$Y$78=$E412)*(Work_Codes!$N$81:$Y$85)*(S$388:S$392))</f>
        <v>0</v>
      </c>
      <c r="T412" s="81">
        <f ca="1">SUMPRODUCT((Work_Codes!$N$78:$Y$78=$E412)*(Work_Codes!$N$81:$Y$85)*(T$388:T$392))</f>
        <v>0</v>
      </c>
    </row>
    <row r="413" spans="5:20" outlineLevel="2">
      <c r="E413" s="247" t="str">
        <f>GC!C52</f>
        <v>Transmission pipelines - post 1998</v>
      </c>
      <c r="F413" s="247"/>
      <c r="G413" s="247"/>
      <c r="H413" s="247"/>
      <c r="I413" s="247"/>
      <c r="J413" s="81">
        <f ca="1">SUMPRODUCT((Work_Codes!$N$78:$Y$78=$E413)*(Work_Codes!$N$81:$Y$85)*(J$388:J$392))</f>
        <v>0</v>
      </c>
      <c r="K413" s="81">
        <f ca="1">SUMPRODUCT((Work_Codes!$N$78:$Y$78=$E413)*(Work_Codes!$N$81:$Y$85)*(K$388:K$392))</f>
        <v>0</v>
      </c>
      <c r="L413" s="81">
        <f ca="1">SUMPRODUCT((Work_Codes!$N$78:$Y$78=$E413)*(Work_Codes!$N$81:$Y$85)*(L$388:L$392))</f>
        <v>0</v>
      </c>
      <c r="M413" s="81">
        <f ca="1">SUMPRODUCT((Work_Codes!$N$78:$Y$78=$E413)*(Work_Codes!$N$81:$Y$85)*(M$388:M$392))</f>
        <v>0</v>
      </c>
      <c r="N413" s="81">
        <f ca="1">SUMPRODUCT((Work_Codes!$N$78:$Y$78=$E413)*(Work_Codes!$N$81:$Y$85)*(N$388:N$392))</f>
        <v>0</v>
      </c>
      <c r="O413" s="81">
        <f ca="1">SUMPRODUCT((Work_Codes!$N$78:$Y$78=$E413)*(Work_Codes!$N$81:$Y$85)*(O$388:O$392))</f>
        <v>0</v>
      </c>
      <c r="P413" s="81">
        <f ca="1">SUMPRODUCT((Work_Codes!$N$78:$Y$78=$E413)*(Work_Codes!$N$81:$Y$85)*(P$388:P$392))</f>
        <v>0</v>
      </c>
      <c r="Q413" s="81">
        <f ca="1">SUMPRODUCT((Work_Codes!$N$78:$Y$78=$E413)*(Work_Codes!$N$81:$Y$85)*(Q$388:Q$392))</f>
        <v>0</v>
      </c>
      <c r="R413" s="81">
        <f ca="1">SUMPRODUCT((Work_Codes!$N$78:$Y$78=$E413)*(Work_Codes!$N$81:$Y$85)*(R$388:R$392))</f>
        <v>0</v>
      </c>
      <c r="S413" s="81">
        <f ca="1">SUMPRODUCT((Work_Codes!$N$78:$Y$78=$E413)*(Work_Codes!$N$81:$Y$85)*(S$388:S$392))</f>
        <v>0</v>
      </c>
      <c r="T413" s="81">
        <f ca="1">SUMPRODUCT((Work_Codes!$N$78:$Y$78=$E413)*(Work_Codes!$N$81:$Y$85)*(T$388:T$392))</f>
        <v>0</v>
      </c>
    </row>
    <row r="414" spans="5:20" outlineLevel="2">
      <c r="E414" s="247" t="str">
        <f>GC!C53</f>
        <v>Distribution pipelines - post 1998</v>
      </c>
      <c r="F414" s="247"/>
      <c r="G414" s="247"/>
      <c r="H414" s="247"/>
      <c r="I414" s="247"/>
      <c r="J414" s="81">
        <f ca="1">SUMPRODUCT((Work_Codes!$N$78:$Y$78=$E414)*(Work_Codes!$N$81:$Y$85)*(J$388:J$392))</f>
        <v>0</v>
      </c>
      <c r="K414" s="81">
        <f ca="1">SUMPRODUCT((Work_Codes!$N$78:$Y$78=$E414)*(Work_Codes!$N$81:$Y$85)*(K$388:K$392))</f>
        <v>0</v>
      </c>
      <c r="L414" s="81">
        <f ca="1">SUMPRODUCT((Work_Codes!$N$78:$Y$78=$E414)*(Work_Codes!$N$81:$Y$85)*(L$388:L$392))</f>
        <v>0</v>
      </c>
      <c r="M414" s="81">
        <f ca="1">SUMPRODUCT((Work_Codes!$N$78:$Y$78=$E414)*(Work_Codes!$N$81:$Y$85)*(M$388:M$392))</f>
        <v>0</v>
      </c>
      <c r="N414" s="81">
        <f ca="1">SUMPRODUCT((Work_Codes!$N$78:$Y$78=$E414)*(Work_Codes!$N$81:$Y$85)*(N$388:N$392))</f>
        <v>140890.1874313085</v>
      </c>
      <c r="O414" s="81">
        <f ca="1">SUMPRODUCT((Work_Codes!$N$78:$Y$78=$E414)*(Work_Codes!$N$81:$Y$85)*(O$388:O$392))</f>
        <v>69588.806786181085</v>
      </c>
      <c r="P414" s="81">
        <f ca="1">SUMPRODUCT((Work_Codes!$N$78:$Y$78=$E414)*(Work_Codes!$N$81:$Y$85)*(P$388:P$392))</f>
        <v>148612.55907820829</v>
      </c>
      <c r="Q414" s="81">
        <f ca="1">SUMPRODUCT((Work_Codes!$N$78:$Y$78=$E414)*(Work_Codes!$N$81:$Y$85)*(Q$388:Q$392))</f>
        <v>148198.55848565963</v>
      </c>
      <c r="R414" s="81">
        <f ca="1">SUMPRODUCT((Work_Codes!$N$78:$Y$78=$E414)*(Work_Codes!$N$81:$Y$85)*(R$388:R$392))</f>
        <v>147797.02088716894</v>
      </c>
      <c r="S414" s="81">
        <f ca="1">SUMPRODUCT((Work_Codes!$N$78:$Y$78=$E414)*(Work_Codes!$N$81:$Y$85)*(S$388:S$392))</f>
        <v>147388.76836687</v>
      </c>
      <c r="T414" s="81">
        <f ca="1">SUMPRODUCT((Work_Codes!$N$78:$Y$78=$E414)*(Work_Codes!$N$81:$Y$85)*(T$388:T$392))</f>
        <v>146973.68695691304</v>
      </c>
    </row>
    <row r="415" spans="5:20" outlineLevel="2">
      <c r="E415" s="247" t="str">
        <f>GC!C54</f>
        <v>Service pipes - post 1998</v>
      </c>
      <c r="F415" s="247"/>
      <c r="G415" s="247"/>
      <c r="H415" s="247"/>
      <c r="I415" s="247"/>
      <c r="J415" s="81">
        <f ca="1">SUMPRODUCT((Work_Codes!$N$78:$Y$78=$E415)*(Work_Codes!$N$81:$Y$85)*(J$388:J$392))</f>
        <v>0</v>
      </c>
      <c r="K415" s="81">
        <f ca="1">SUMPRODUCT((Work_Codes!$N$78:$Y$78=$E415)*(Work_Codes!$N$81:$Y$85)*(K$388:K$392))</f>
        <v>0</v>
      </c>
      <c r="L415" s="81">
        <f ca="1">SUMPRODUCT((Work_Codes!$N$78:$Y$78=$E415)*(Work_Codes!$N$81:$Y$85)*(L$388:L$392))</f>
        <v>0</v>
      </c>
      <c r="M415" s="81">
        <f ca="1">SUMPRODUCT((Work_Codes!$N$78:$Y$78=$E415)*(Work_Codes!$N$81:$Y$85)*(M$388:M$392))</f>
        <v>0</v>
      </c>
      <c r="N415" s="81">
        <f ca="1">SUMPRODUCT((Work_Codes!$N$78:$Y$78=$E415)*(Work_Codes!$N$81:$Y$85)*(N$388:N$392))</f>
        <v>140890.1874313085</v>
      </c>
      <c r="O415" s="81">
        <f ca="1">SUMPRODUCT((Work_Codes!$N$78:$Y$78=$E415)*(Work_Codes!$N$81:$Y$85)*(O$388:O$392))</f>
        <v>69588.806786181085</v>
      </c>
      <c r="P415" s="81">
        <f ca="1">SUMPRODUCT((Work_Codes!$N$78:$Y$78=$E415)*(Work_Codes!$N$81:$Y$85)*(P$388:P$392))</f>
        <v>210034.14161896755</v>
      </c>
      <c r="Q415" s="81">
        <f ca="1">SUMPRODUCT((Work_Codes!$N$78:$Y$78=$E415)*(Work_Codes!$N$81:$Y$85)*(Q$388:Q$392))</f>
        <v>210561.10001485734</v>
      </c>
      <c r="R415" s="81">
        <f ca="1">SUMPRODUCT((Work_Codes!$N$78:$Y$78=$E415)*(Work_Codes!$N$81:$Y$85)*(R$388:R$392))</f>
        <v>211123.35719735437</v>
      </c>
      <c r="S415" s="81">
        <f ca="1">SUMPRODUCT((Work_Codes!$N$78:$Y$78=$E415)*(Work_Codes!$N$81:$Y$85)*(S$388:S$392))</f>
        <v>211694.09857487126</v>
      </c>
      <c r="T415" s="81">
        <f ca="1">SUMPRODUCT((Work_Codes!$N$78:$Y$78=$E415)*(Work_Codes!$N$81:$Y$85)*(T$388:T$392))</f>
        <v>212273.45759221018</v>
      </c>
    </row>
    <row r="416" spans="5:20" outlineLevel="2">
      <c r="E416" s="247" t="str">
        <f>GC!C55</f>
        <v>Cathodic protection - post 1998</v>
      </c>
      <c r="F416" s="247"/>
      <c r="G416" s="247"/>
      <c r="H416" s="247"/>
      <c r="I416" s="247"/>
      <c r="J416" s="81">
        <f ca="1">SUMPRODUCT((Work_Codes!$N$78:$Y$78=$E416)*(Work_Codes!$N$81:$Y$85)*(J$388:J$392))</f>
        <v>0</v>
      </c>
      <c r="K416" s="81">
        <f ca="1">SUMPRODUCT((Work_Codes!$N$78:$Y$78=$E416)*(Work_Codes!$N$81:$Y$85)*(K$388:K$392))</f>
        <v>0</v>
      </c>
      <c r="L416" s="81">
        <f ca="1">SUMPRODUCT((Work_Codes!$N$78:$Y$78=$E416)*(Work_Codes!$N$81:$Y$85)*(L$388:L$392))</f>
        <v>0</v>
      </c>
      <c r="M416" s="81">
        <f ca="1">SUMPRODUCT((Work_Codes!$N$78:$Y$78=$E416)*(Work_Codes!$N$81:$Y$85)*(M$388:M$392))</f>
        <v>0</v>
      </c>
      <c r="N416" s="81">
        <f ca="1">SUMPRODUCT((Work_Codes!$N$78:$Y$78=$E416)*(Work_Codes!$N$81:$Y$85)*(N$388:N$392))</f>
        <v>0</v>
      </c>
      <c r="O416" s="81">
        <f ca="1">SUMPRODUCT((Work_Codes!$N$78:$Y$78=$E416)*(Work_Codes!$N$81:$Y$85)*(O$388:O$392))</f>
        <v>0</v>
      </c>
      <c r="P416" s="81">
        <f ca="1">SUMPRODUCT((Work_Codes!$N$78:$Y$78=$E416)*(Work_Codes!$N$81:$Y$85)*(P$388:P$392))</f>
        <v>0</v>
      </c>
      <c r="Q416" s="81">
        <f ca="1">SUMPRODUCT((Work_Codes!$N$78:$Y$78=$E416)*(Work_Codes!$N$81:$Y$85)*(Q$388:Q$392))</f>
        <v>0</v>
      </c>
      <c r="R416" s="81">
        <f ca="1">SUMPRODUCT((Work_Codes!$N$78:$Y$78=$E416)*(Work_Codes!$N$81:$Y$85)*(R$388:R$392))</f>
        <v>0</v>
      </c>
      <c r="S416" s="81">
        <f ca="1">SUMPRODUCT((Work_Codes!$N$78:$Y$78=$E416)*(Work_Codes!$N$81:$Y$85)*(S$388:S$392))</f>
        <v>0</v>
      </c>
      <c r="T416" s="81">
        <f ca="1">SUMPRODUCT((Work_Codes!$N$78:$Y$78=$E416)*(Work_Codes!$N$81:$Y$85)*(T$388:T$392))</f>
        <v>0</v>
      </c>
    </row>
    <row r="417" spans="4:20" ht="12" customHeight="1" outlineLevel="2">
      <c r="E417" s="249" t="str">
        <f>"Total "&amp;D399</f>
        <v>Total Direct Costs</v>
      </c>
      <c r="F417" s="249"/>
      <c r="G417" s="249"/>
      <c r="H417" s="249"/>
      <c r="I417" s="249"/>
      <c r="J417" s="82">
        <f t="shared" ref="J417:T417" ca="1" si="46">SUM(J401:J416)</f>
        <v>0</v>
      </c>
      <c r="K417" s="82">
        <f t="shared" ca="1" si="46"/>
        <v>0</v>
      </c>
      <c r="L417" s="82">
        <f t="shared" ca="1" si="46"/>
        <v>0</v>
      </c>
      <c r="M417" s="82">
        <f t="shared" ca="1" si="46"/>
        <v>0</v>
      </c>
      <c r="N417" s="82">
        <f t="shared" ca="1" si="46"/>
        <v>281780.374862617</v>
      </c>
      <c r="O417" s="82">
        <f t="shared" ca="1" si="46"/>
        <v>139177.61357236217</v>
      </c>
      <c r="P417" s="82">
        <f t="shared" ca="1" si="46"/>
        <v>358646.70069717581</v>
      </c>
      <c r="Q417" s="82">
        <f t="shared" ca="1" si="46"/>
        <v>358759.65850051696</v>
      </c>
      <c r="R417" s="82">
        <f t="shared" ca="1" si="46"/>
        <v>358920.37808452331</v>
      </c>
      <c r="S417" s="82">
        <f t="shared" ca="1" si="46"/>
        <v>359082.86694174126</v>
      </c>
      <c r="T417" s="82">
        <f t="shared" ca="1" si="46"/>
        <v>359247.14454912324</v>
      </c>
    </row>
    <row r="418" spans="4:20" outlineLevel="2"/>
    <row r="419" spans="4:20" outlineLevel="2">
      <c r="D419" s="37" t="s">
        <v>364</v>
      </c>
    </row>
    <row r="420" spans="4:20" ht="5.9" customHeight="1" outlineLevel="2"/>
    <row r="421" spans="4:20" outlineLevel="2">
      <c r="E421" s="247" t="str">
        <f>GC!C40</f>
        <v>Transmission pipelines</v>
      </c>
      <c r="F421" s="247"/>
      <c r="G421" s="247"/>
      <c r="H421" s="247"/>
      <c r="I421" s="247"/>
      <c r="J421" s="81">
        <f ca="1">J401*(INDEX(J$310:J$312,MATCH(Work_Codes!$I$75,$D$310:$D$312,0)))</f>
        <v>0</v>
      </c>
      <c r="K421" s="81">
        <f ca="1">K401*(INDEX(K$310:K$312,MATCH(Work_Codes!$I$75,$D$310:$D$312,0)))</f>
        <v>0</v>
      </c>
      <c r="L421" s="81">
        <f ca="1">L401*(INDEX(L$310:L$312,MATCH(Work_Codes!$I$75,$D$310:$D$312,0)))</f>
        <v>0</v>
      </c>
      <c r="M421" s="81">
        <f ca="1">M401*(INDEX(M$310:M$312,MATCH(Work_Codes!$I$75,$D$310:$D$312,0)))</f>
        <v>0</v>
      </c>
      <c r="N421" s="81">
        <f ca="1">N401*(INDEX(N$310:N$312,MATCH(Work_Codes!$I$75,$D$310:$D$312,0)))</f>
        <v>0</v>
      </c>
      <c r="O421" s="81">
        <f ca="1">O401*(INDEX(O$310:O$312,MATCH(Work_Codes!$I$75,$D$310:$D$312,0)))</f>
        <v>0</v>
      </c>
      <c r="P421" s="81">
        <f ca="1">P401*(INDEX(P$310:P$312,MATCH(Work_Codes!$I$75,$D$310:$D$312,0)))</f>
        <v>0</v>
      </c>
      <c r="Q421" s="81">
        <f ca="1">Q401*(INDEX(Q$310:Q$312,MATCH(Work_Codes!$I$75,$D$310:$D$312,0)))</f>
        <v>0</v>
      </c>
      <c r="R421" s="81">
        <f ca="1">R401*(INDEX(R$310:R$312,MATCH(Work_Codes!$I$75,$D$310:$D$312,0)))</f>
        <v>0</v>
      </c>
      <c r="S421" s="81">
        <f ca="1">S401*(INDEX(S$310:S$312,MATCH(Work_Codes!$I$75,$D$310:$D$312,0)))</f>
        <v>0</v>
      </c>
      <c r="T421" s="81">
        <f ca="1">T401*(INDEX(T$310:T$312,MATCH(Work_Codes!$I$75,$D$310:$D$312,0)))</f>
        <v>0</v>
      </c>
    </row>
    <row r="422" spans="4:20" outlineLevel="2">
      <c r="E422" s="247" t="str">
        <f>GC!C41</f>
        <v>Distribution pipelines</v>
      </c>
      <c r="F422" s="247"/>
      <c r="G422" s="247"/>
      <c r="H422" s="247"/>
      <c r="I422" s="247"/>
      <c r="J422" s="81">
        <f ca="1">J402*(INDEX(J$310:J$312,MATCH(Work_Codes!$I$75,$D$310:$D$312,0)))</f>
        <v>0</v>
      </c>
      <c r="K422" s="81">
        <f ca="1">K402*(INDEX(K$310:K$312,MATCH(Work_Codes!$I$75,$D$310:$D$312,0)))</f>
        <v>0</v>
      </c>
      <c r="L422" s="81">
        <f ca="1">L402*(INDEX(L$310:L$312,MATCH(Work_Codes!$I$75,$D$310:$D$312,0)))</f>
        <v>0</v>
      </c>
      <c r="M422" s="81">
        <f ca="1">M402*(INDEX(M$310:M$312,MATCH(Work_Codes!$I$75,$D$310:$D$312,0)))</f>
        <v>0</v>
      </c>
      <c r="N422" s="81">
        <f ca="1">N402*(INDEX(N$310:N$312,MATCH(Work_Codes!$I$75,$D$310:$D$312,0)))</f>
        <v>0</v>
      </c>
      <c r="O422" s="81">
        <f ca="1">O402*(INDEX(O$310:O$312,MATCH(Work_Codes!$I$75,$D$310:$D$312,0)))</f>
        <v>0</v>
      </c>
      <c r="P422" s="81">
        <f ca="1">P402*(INDEX(P$310:P$312,MATCH(Work_Codes!$I$75,$D$310:$D$312,0)))</f>
        <v>0</v>
      </c>
      <c r="Q422" s="81">
        <f ca="1">Q402*(INDEX(Q$310:Q$312,MATCH(Work_Codes!$I$75,$D$310:$D$312,0)))</f>
        <v>0</v>
      </c>
      <c r="R422" s="81">
        <f ca="1">R402*(INDEX(R$310:R$312,MATCH(Work_Codes!$I$75,$D$310:$D$312,0)))</f>
        <v>0</v>
      </c>
      <c r="S422" s="81">
        <f ca="1">S402*(INDEX(S$310:S$312,MATCH(Work_Codes!$I$75,$D$310:$D$312,0)))</f>
        <v>0</v>
      </c>
      <c r="T422" s="81">
        <f ca="1">T402*(INDEX(T$310:T$312,MATCH(Work_Codes!$I$75,$D$310:$D$312,0)))</f>
        <v>0</v>
      </c>
    </row>
    <row r="423" spans="4:20" outlineLevel="2">
      <c r="E423" s="247" t="str">
        <f>GC!C42</f>
        <v>Service pipes</v>
      </c>
      <c r="F423" s="247"/>
      <c r="G423" s="247"/>
      <c r="H423" s="247"/>
      <c r="I423" s="247"/>
      <c r="J423" s="81">
        <f ca="1">J403*(INDEX(J$310:J$312,MATCH(Work_Codes!$I$75,$D$310:$D$312,0)))</f>
        <v>0</v>
      </c>
      <c r="K423" s="81">
        <f ca="1">K403*(INDEX(K$310:K$312,MATCH(Work_Codes!$I$75,$D$310:$D$312,0)))</f>
        <v>0</v>
      </c>
      <c r="L423" s="81">
        <f ca="1">L403*(INDEX(L$310:L$312,MATCH(Work_Codes!$I$75,$D$310:$D$312,0)))</f>
        <v>0</v>
      </c>
      <c r="M423" s="81">
        <f ca="1">M403*(INDEX(M$310:M$312,MATCH(Work_Codes!$I$75,$D$310:$D$312,0)))</f>
        <v>0</v>
      </c>
      <c r="N423" s="81">
        <f ca="1">N403*(INDEX(N$310:N$312,MATCH(Work_Codes!$I$75,$D$310:$D$312,0)))</f>
        <v>0</v>
      </c>
      <c r="O423" s="81">
        <f ca="1">O403*(INDEX(O$310:O$312,MATCH(Work_Codes!$I$75,$D$310:$D$312,0)))</f>
        <v>0</v>
      </c>
      <c r="P423" s="81">
        <f ca="1">P403*(INDEX(P$310:P$312,MATCH(Work_Codes!$I$75,$D$310:$D$312,0)))</f>
        <v>0</v>
      </c>
      <c r="Q423" s="81">
        <f ca="1">Q403*(INDEX(Q$310:Q$312,MATCH(Work_Codes!$I$75,$D$310:$D$312,0)))</f>
        <v>0</v>
      </c>
      <c r="R423" s="81">
        <f ca="1">R403*(INDEX(R$310:R$312,MATCH(Work_Codes!$I$75,$D$310:$D$312,0)))</f>
        <v>0</v>
      </c>
      <c r="S423" s="81">
        <f ca="1">S403*(INDEX(S$310:S$312,MATCH(Work_Codes!$I$75,$D$310:$D$312,0)))</f>
        <v>0</v>
      </c>
      <c r="T423" s="81">
        <f ca="1">T403*(INDEX(T$310:T$312,MATCH(Work_Codes!$I$75,$D$310:$D$312,0)))</f>
        <v>0</v>
      </c>
    </row>
    <row r="424" spans="4:20" outlineLevel="2">
      <c r="E424" s="247" t="str">
        <f>GC!C43</f>
        <v>Cathodic protection</v>
      </c>
      <c r="F424" s="247"/>
      <c r="G424" s="247"/>
      <c r="H424" s="247"/>
      <c r="I424" s="247"/>
      <c r="J424" s="81">
        <f ca="1">J404*(INDEX(J$310:J$312,MATCH(Work_Codes!$I$75,$D$310:$D$312,0)))</f>
        <v>0</v>
      </c>
      <c r="K424" s="81">
        <f ca="1">K404*(INDEX(K$310:K$312,MATCH(Work_Codes!$I$75,$D$310:$D$312,0)))</f>
        <v>0</v>
      </c>
      <c r="L424" s="81">
        <f ca="1">L404*(INDEX(L$310:L$312,MATCH(Work_Codes!$I$75,$D$310:$D$312,0)))</f>
        <v>0</v>
      </c>
      <c r="M424" s="81">
        <f ca="1">M404*(INDEX(M$310:M$312,MATCH(Work_Codes!$I$75,$D$310:$D$312,0)))</f>
        <v>0</v>
      </c>
      <c r="N424" s="81">
        <f ca="1">N404*(INDEX(N$310:N$312,MATCH(Work_Codes!$I$75,$D$310:$D$312,0)))</f>
        <v>0</v>
      </c>
      <c r="O424" s="81">
        <f ca="1">O404*(INDEX(O$310:O$312,MATCH(Work_Codes!$I$75,$D$310:$D$312,0)))</f>
        <v>0</v>
      </c>
      <c r="P424" s="81">
        <f ca="1">P404*(INDEX(P$310:P$312,MATCH(Work_Codes!$I$75,$D$310:$D$312,0)))</f>
        <v>0</v>
      </c>
      <c r="Q424" s="81">
        <f ca="1">Q404*(INDEX(Q$310:Q$312,MATCH(Work_Codes!$I$75,$D$310:$D$312,0)))</f>
        <v>0</v>
      </c>
      <c r="R424" s="81">
        <f ca="1">R404*(INDEX(R$310:R$312,MATCH(Work_Codes!$I$75,$D$310:$D$312,0)))</f>
        <v>0</v>
      </c>
      <c r="S424" s="81">
        <f ca="1">S404*(INDEX(S$310:S$312,MATCH(Work_Codes!$I$75,$D$310:$D$312,0)))</f>
        <v>0</v>
      </c>
      <c r="T424" s="81">
        <f ca="1">T404*(INDEX(T$310:T$312,MATCH(Work_Codes!$I$75,$D$310:$D$312,0)))</f>
        <v>0</v>
      </c>
    </row>
    <row r="425" spans="4:20" outlineLevel="2">
      <c r="E425" s="247" t="str">
        <f>GC!C44</f>
        <v>Supply Regulators / Valve Stations</v>
      </c>
      <c r="F425" s="247"/>
      <c r="G425" s="247"/>
      <c r="H425" s="247"/>
      <c r="I425" s="247"/>
      <c r="J425" s="81">
        <f ca="1">J405*(INDEX(J$310:J$312,MATCH(Work_Codes!$I$75,$D$310:$D$312,0)))</f>
        <v>0</v>
      </c>
      <c r="K425" s="81">
        <f ca="1">K405*(INDEX(K$310:K$312,MATCH(Work_Codes!$I$75,$D$310:$D$312,0)))</f>
        <v>0</v>
      </c>
      <c r="L425" s="81">
        <f ca="1">L405*(INDEX(L$310:L$312,MATCH(Work_Codes!$I$75,$D$310:$D$312,0)))</f>
        <v>0</v>
      </c>
      <c r="M425" s="81">
        <f ca="1">M405*(INDEX(M$310:M$312,MATCH(Work_Codes!$I$75,$D$310:$D$312,0)))</f>
        <v>0</v>
      </c>
      <c r="N425" s="81">
        <f ca="1">N405*(INDEX(N$310:N$312,MATCH(Work_Codes!$I$75,$D$310:$D$312,0)))</f>
        <v>0</v>
      </c>
      <c r="O425" s="81">
        <f ca="1">O405*(INDEX(O$310:O$312,MATCH(Work_Codes!$I$75,$D$310:$D$312,0)))</f>
        <v>0</v>
      </c>
      <c r="P425" s="81">
        <f ca="1">P405*(INDEX(P$310:P$312,MATCH(Work_Codes!$I$75,$D$310:$D$312,0)))</f>
        <v>0</v>
      </c>
      <c r="Q425" s="81">
        <f ca="1">Q405*(INDEX(Q$310:Q$312,MATCH(Work_Codes!$I$75,$D$310:$D$312,0)))</f>
        <v>0</v>
      </c>
      <c r="R425" s="81">
        <f ca="1">R405*(INDEX(R$310:R$312,MATCH(Work_Codes!$I$75,$D$310:$D$312,0)))</f>
        <v>0</v>
      </c>
      <c r="S425" s="81">
        <f ca="1">S405*(INDEX(S$310:S$312,MATCH(Work_Codes!$I$75,$D$310:$D$312,0)))</f>
        <v>0</v>
      </c>
      <c r="T425" s="81">
        <f ca="1">T405*(INDEX(T$310:T$312,MATCH(Work_Codes!$I$75,$D$310:$D$312,0)))</f>
        <v>0</v>
      </c>
    </row>
    <row r="426" spans="4:20" outlineLevel="2">
      <c r="E426" s="247" t="str">
        <f>GC!C45</f>
        <v>Meters</v>
      </c>
      <c r="F426" s="247"/>
      <c r="G426" s="247"/>
      <c r="H426" s="247"/>
      <c r="I426" s="247"/>
      <c r="J426" s="81">
        <f ca="1">J406*(INDEX(J$310:J$312,MATCH(Work_Codes!$I$75,$D$310:$D$312,0)))</f>
        <v>0</v>
      </c>
      <c r="K426" s="81">
        <f ca="1">K406*(INDEX(K$310:K$312,MATCH(Work_Codes!$I$75,$D$310:$D$312,0)))</f>
        <v>0</v>
      </c>
      <c r="L426" s="81">
        <f ca="1">L406*(INDEX(L$310:L$312,MATCH(Work_Codes!$I$75,$D$310:$D$312,0)))</f>
        <v>0</v>
      </c>
      <c r="M426" s="81">
        <f ca="1">M406*(INDEX(M$310:M$312,MATCH(Work_Codes!$I$75,$D$310:$D$312,0)))</f>
        <v>0</v>
      </c>
      <c r="N426" s="81">
        <f ca="1">N406*(INDEX(N$310:N$312,MATCH(Work_Codes!$I$75,$D$310:$D$312,0)))</f>
        <v>0</v>
      </c>
      <c r="O426" s="81">
        <f ca="1">O406*(INDEX(O$310:O$312,MATCH(Work_Codes!$I$75,$D$310:$D$312,0)))</f>
        <v>0</v>
      </c>
      <c r="P426" s="81">
        <f ca="1">P406*(INDEX(P$310:P$312,MATCH(Work_Codes!$I$75,$D$310:$D$312,0)))</f>
        <v>0</v>
      </c>
      <c r="Q426" s="81">
        <f ca="1">Q406*(INDEX(Q$310:Q$312,MATCH(Work_Codes!$I$75,$D$310:$D$312,0)))</f>
        <v>0</v>
      </c>
      <c r="R426" s="81">
        <f ca="1">R406*(INDEX(R$310:R$312,MATCH(Work_Codes!$I$75,$D$310:$D$312,0)))</f>
        <v>0</v>
      </c>
      <c r="S426" s="81">
        <f ca="1">S406*(INDEX(S$310:S$312,MATCH(Work_Codes!$I$75,$D$310:$D$312,0)))</f>
        <v>0</v>
      </c>
      <c r="T426" s="81">
        <f ca="1">T406*(INDEX(T$310:T$312,MATCH(Work_Codes!$I$75,$D$310:$D$312,0)))</f>
        <v>0</v>
      </c>
    </row>
    <row r="427" spans="4:20" outlineLevel="2">
      <c r="E427" s="247" t="str">
        <f>GC!C46</f>
        <v>SCADA and remote control</v>
      </c>
      <c r="F427" s="247"/>
      <c r="G427" s="247"/>
      <c r="H427" s="247"/>
      <c r="I427" s="247"/>
      <c r="J427" s="81">
        <f ca="1">J407*(INDEX(J$310:J$312,MATCH(Work_Codes!$I$75,$D$310:$D$312,0)))</f>
        <v>0</v>
      </c>
      <c r="K427" s="81">
        <f ca="1">K407*(INDEX(K$310:K$312,MATCH(Work_Codes!$I$75,$D$310:$D$312,0)))</f>
        <v>0</v>
      </c>
      <c r="L427" s="81">
        <f ca="1">L407*(INDEX(L$310:L$312,MATCH(Work_Codes!$I$75,$D$310:$D$312,0)))</f>
        <v>0</v>
      </c>
      <c r="M427" s="81">
        <f ca="1">M407*(INDEX(M$310:M$312,MATCH(Work_Codes!$I$75,$D$310:$D$312,0)))</f>
        <v>0</v>
      </c>
      <c r="N427" s="81">
        <f ca="1">N407*(INDEX(N$310:N$312,MATCH(Work_Codes!$I$75,$D$310:$D$312,0)))</f>
        <v>0</v>
      </c>
      <c r="O427" s="81">
        <f ca="1">O407*(INDEX(O$310:O$312,MATCH(Work_Codes!$I$75,$D$310:$D$312,0)))</f>
        <v>0</v>
      </c>
      <c r="P427" s="81">
        <f ca="1">P407*(INDEX(P$310:P$312,MATCH(Work_Codes!$I$75,$D$310:$D$312,0)))</f>
        <v>0</v>
      </c>
      <c r="Q427" s="81">
        <f ca="1">Q407*(INDEX(Q$310:Q$312,MATCH(Work_Codes!$I$75,$D$310:$D$312,0)))</f>
        <v>0</v>
      </c>
      <c r="R427" s="81">
        <f ca="1">R407*(INDEX(R$310:R$312,MATCH(Work_Codes!$I$75,$D$310:$D$312,0)))</f>
        <v>0</v>
      </c>
      <c r="S427" s="81">
        <f ca="1">S407*(INDEX(S$310:S$312,MATCH(Work_Codes!$I$75,$D$310:$D$312,0)))</f>
        <v>0</v>
      </c>
      <c r="T427" s="81">
        <f ca="1">T407*(INDEX(T$310:T$312,MATCH(Work_Codes!$I$75,$D$310:$D$312,0)))</f>
        <v>0</v>
      </c>
    </row>
    <row r="428" spans="4:20" outlineLevel="2">
      <c r="E428" s="247" t="str">
        <f>GC!C47</f>
        <v>Buildings</v>
      </c>
      <c r="F428" s="247"/>
      <c r="G428" s="247"/>
      <c r="H428" s="247"/>
      <c r="I428" s="247"/>
      <c r="J428" s="81">
        <f ca="1">J408*(INDEX(J$310:J$312,MATCH(Work_Codes!$I$75,$D$310:$D$312,0)))</f>
        <v>0</v>
      </c>
      <c r="K428" s="81">
        <f ca="1">K408*(INDEX(K$310:K$312,MATCH(Work_Codes!$I$75,$D$310:$D$312,0)))</f>
        <v>0</v>
      </c>
      <c r="L428" s="81">
        <f ca="1">L408*(INDEX(L$310:L$312,MATCH(Work_Codes!$I$75,$D$310:$D$312,0)))</f>
        <v>0</v>
      </c>
      <c r="M428" s="81">
        <f ca="1">M408*(INDEX(M$310:M$312,MATCH(Work_Codes!$I$75,$D$310:$D$312,0)))</f>
        <v>0</v>
      </c>
      <c r="N428" s="81">
        <f ca="1">N408*(INDEX(N$310:N$312,MATCH(Work_Codes!$I$75,$D$310:$D$312,0)))</f>
        <v>0</v>
      </c>
      <c r="O428" s="81">
        <f ca="1">O408*(INDEX(O$310:O$312,MATCH(Work_Codes!$I$75,$D$310:$D$312,0)))</f>
        <v>0</v>
      </c>
      <c r="P428" s="81">
        <f ca="1">P408*(INDEX(P$310:P$312,MATCH(Work_Codes!$I$75,$D$310:$D$312,0)))</f>
        <v>0</v>
      </c>
      <c r="Q428" s="81">
        <f ca="1">Q408*(INDEX(Q$310:Q$312,MATCH(Work_Codes!$I$75,$D$310:$D$312,0)))</f>
        <v>0</v>
      </c>
      <c r="R428" s="81">
        <f ca="1">R408*(INDEX(R$310:R$312,MATCH(Work_Codes!$I$75,$D$310:$D$312,0)))</f>
        <v>0</v>
      </c>
      <c r="S428" s="81">
        <f ca="1">S408*(INDEX(S$310:S$312,MATCH(Work_Codes!$I$75,$D$310:$D$312,0)))</f>
        <v>0</v>
      </c>
      <c r="T428" s="81">
        <f ca="1">T408*(INDEX(T$310:T$312,MATCH(Work_Codes!$I$75,$D$310:$D$312,0)))</f>
        <v>0</v>
      </c>
    </row>
    <row r="429" spans="4:20" outlineLevel="2">
      <c r="E429" s="247" t="str">
        <f>GC!C48</f>
        <v>Other - IT</v>
      </c>
      <c r="F429" s="247"/>
      <c r="G429" s="247"/>
      <c r="H429" s="247"/>
      <c r="I429" s="247"/>
      <c r="J429" s="81">
        <f ca="1">J409*(INDEX(J$310:J$312,MATCH(Work_Codes!$I$75,$D$310:$D$312,0)))</f>
        <v>0</v>
      </c>
      <c r="K429" s="81">
        <f ca="1">K409*(INDEX(K$310:K$312,MATCH(Work_Codes!$I$75,$D$310:$D$312,0)))</f>
        <v>0</v>
      </c>
      <c r="L429" s="81">
        <f ca="1">L409*(INDEX(L$310:L$312,MATCH(Work_Codes!$I$75,$D$310:$D$312,0)))</f>
        <v>0</v>
      </c>
      <c r="M429" s="81">
        <f ca="1">M409*(INDEX(M$310:M$312,MATCH(Work_Codes!$I$75,$D$310:$D$312,0)))</f>
        <v>0</v>
      </c>
      <c r="N429" s="81">
        <f ca="1">N409*(INDEX(N$310:N$312,MATCH(Work_Codes!$I$75,$D$310:$D$312,0)))</f>
        <v>0</v>
      </c>
      <c r="O429" s="81">
        <f ca="1">O409*(INDEX(O$310:O$312,MATCH(Work_Codes!$I$75,$D$310:$D$312,0)))</f>
        <v>0</v>
      </c>
      <c r="P429" s="81">
        <f ca="1">P409*(INDEX(P$310:P$312,MATCH(Work_Codes!$I$75,$D$310:$D$312,0)))</f>
        <v>0</v>
      </c>
      <c r="Q429" s="81">
        <f ca="1">Q409*(INDEX(Q$310:Q$312,MATCH(Work_Codes!$I$75,$D$310:$D$312,0)))</f>
        <v>0</v>
      </c>
      <c r="R429" s="81">
        <f ca="1">R409*(INDEX(R$310:R$312,MATCH(Work_Codes!$I$75,$D$310:$D$312,0)))</f>
        <v>0</v>
      </c>
      <c r="S429" s="81">
        <f ca="1">S409*(INDEX(S$310:S$312,MATCH(Work_Codes!$I$75,$D$310:$D$312,0)))</f>
        <v>0</v>
      </c>
      <c r="T429" s="81">
        <f ca="1">T409*(INDEX(T$310:T$312,MATCH(Work_Codes!$I$75,$D$310:$D$312,0)))</f>
        <v>0</v>
      </c>
    </row>
    <row r="430" spans="4:20" outlineLevel="2">
      <c r="E430" s="247" t="str">
        <f>GC!C49</f>
        <v>Other - non IT</v>
      </c>
      <c r="F430" s="247"/>
      <c r="G430" s="247"/>
      <c r="H430" s="247"/>
      <c r="I430" s="247"/>
      <c r="J430" s="81">
        <f ca="1">J410*(INDEX(J$310:J$312,MATCH(Work_Codes!$I$75,$D$310:$D$312,0)))</f>
        <v>0</v>
      </c>
      <c r="K430" s="81">
        <f ca="1">K410*(INDEX(K$310:K$312,MATCH(Work_Codes!$I$75,$D$310:$D$312,0)))</f>
        <v>0</v>
      </c>
      <c r="L430" s="81">
        <f ca="1">L410*(INDEX(L$310:L$312,MATCH(Work_Codes!$I$75,$D$310:$D$312,0)))</f>
        <v>0</v>
      </c>
      <c r="M430" s="81">
        <f ca="1">M410*(INDEX(M$310:M$312,MATCH(Work_Codes!$I$75,$D$310:$D$312,0)))</f>
        <v>0</v>
      </c>
      <c r="N430" s="81">
        <f ca="1">N410*(INDEX(N$310:N$312,MATCH(Work_Codes!$I$75,$D$310:$D$312,0)))</f>
        <v>0</v>
      </c>
      <c r="O430" s="81">
        <f ca="1">O410*(INDEX(O$310:O$312,MATCH(Work_Codes!$I$75,$D$310:$D$312,0)))</f>
        <v>0</v>
      </c>
      <c r="P430" s="81">
        <f ca="1">P410*(INDEX(P$310:P$312,MATCH(Work_Codes!$I$75,$D$310:$D$312,0)))</f>
        <v>0</v>
      </c>
      <c r="Q430" s="81">
        <f ca="1">Q410*(INDEX(Q$310:Q$312,MATCH(Work_Codes!$I$75,$D$310:$D$312,0)))</f>
        <v>0</v>
      </c>
      <c r="R430" s="81">
        <f ca="1">R410*(INDEX(R$310:R$312,MATCH(Work_Codes!$I$75,$D$310:$D$312,0)))</f>
        <v>0</v>
      </c>
      <c r="S430" s="81">
        <f ca="1">S410*(INDEX(S$310:S$312,MATCH(Work_Codes!$I$75,$D$310:$D$312,0)))</f>
        <v>0</v>
      </c>
      <c r="T430" s="81">
        <f ca="1">T410*(INDEX(T$310:T$312,MATCH(Work_Codes!$I$75,$D$310:$D$312,0)))</f>
        <v>0</v>
      </c>
    </row>
    <row r="431" spans="4:20" outlineLevel="2">
      <c r="E431" s="247" t="str">
        <f>GC!C50</f>
        <v>Land</v>
      </c>
      <c r="F431" s="247"/>
      <c r="G431" s="247"/>
      <c r="H431" s="247"/>
      <c r="I431" s="247"/>
      <c r="J431" s="81">
        <f ca="1">J411*(INDEX(J$310:J$312,MATCH(Work_Codes!$I$75,$D$310:$D$312,0)))</f>
        <v>0</v>
      </c>
      <c r="K431" s="81">
        <f ca="1">K411*(INDEX(K$310:K$312,MATCH(Work_Codes!$I$75,$D$310:$D$312,0)))</f>
        <v>0</v>
      </c>
      <c r="L431" s="81">
        <f ca="1">L411*(INDEX(L$310:L$312,MATCH(Work_Codes!$I$75,$D$310:$D$312,0)))</f>
        <v>0</v>
      </c>
      <c r="M431" s="81">
        <f ca="1">M411*(INDEX(M$310:M$312,MATCH(Work_Codes!$I$75,$D$310:$D$312,0)))</f>
        <v>0</v>
      </c>
      <c r="N431" s="81">
        <f ca="1">N411*(INDEX(N$310:N$312,MATCH(Work_Codes!$I$75,$D$310:$D$312,0)))</f>
        <v>0</v>
      </c>
      <c r="O431" s="81">
        <f ca="1">O411*(INDEX(O$310:O$312,MATCH(Work_Codes!$I$75,$D$310:$D$312,0)))</f>
        <v>0</v>
      </c>
      <c r="P431" s="81">
        <f ca="1">P411*(INDEX(P$310:P$312,MATCH(Work_Codes!$I$75,$D$310:$D$312,0)))</f>
        <v>0</v>
      </c>
      <c r="Q431" s="81">
        <f ca="1">Q411*(INDEX(Q$310:Q$312,MATCH(Work_Codes!$I$75,$D$310:$D$312,0)))</f>
        <v>0</v>
      </c>
      <c r="R431" s="81">
        <f ca="1">R411*(INDEX(R$310:R$312,MATCH(Work_Codes!$I$75,$D$310:$D$312,0)))</f>
        <v>0</v>
      </c>
      <c r="S431" s="81">
        <f ca="1">S411*(INDEX(S$310:S$312,MATCH(Work_Codes!$I$75,$D$310:$D$312,0)))</f>
        <v>0</v>
      </c>
      <c r="T431" s="81">
        <f ca="1">T411*(INDEX(T$310:T$312,MATCH(Work_Codes!$I$75,$D$310:$D$312,0)))</f>
        <v>0</v>
      </c>
    </row>
    <row r="432" spans="4:20" outlineLevel="2">
      <c r="E432" s="247" t="str">
        <f>GC!C51</f>
        <v>Capitalised Leases</v>
      </c>
      <c r="F432" s="247"/>
      <c r="G432" s="247"/>
      <c r="H432" s="247"/>
      <c r="I432" s="247"/>
      <c r="J432" s="81">
        <f ca="1">J412*(INDEX(J$310:J$312,MATCH(Work_Codes!$I$75,$D$310:$D$312,0)))</f>
        <v>0</v>
      </c>
      <c r="K432" s="81">
        <f ca="1">K412*(INDEX(K$310:K$312,MATCH(Work_Codes!$I$75,$D$310:$D$312,0)))</f>
        <v>0</v>
      </c>
      <c r="L432" s="81">
        <f ca="1">L412*(INDEX(L$310:L$312,MATCH(Work_Codes!$I$75,$D$310:$D$312,0)))</f>
        <v>0</v>
      </c>
      <c r="M432" s="81">
        <f ca="1">M412*(INDEX(M$310:M$312,MATCH(Work_Codes!$I$75,$D$310:$D$312,0)))</f>
        <v>0</v>
      </c>
      <c r="N432" s="81">
        <f ca="1">N412*(INDEX(N$310:N$312,MATCH(Work_Codes!$I$75,$D$310:$D$312,0)))</f>
        <v>0</v>
      </c>
      <c r="O432" s="81">
        <f ca="1">O412*(INDEX(O$310:O$312,MATCH(Work_Codes!$I$75,$D$310:$D$312,0)))</f>
        <v>0</v>
      </c>
      <c r="P432" s="81">
        <f ca="1">P412*(INDEX(P$310:P$312,MATCH(Work_Codes!$I$75,$D$310:$D$312,0)))</f>
        <v>0</v>
      </c>
      <c r="Q432" s="81">
        <f ca="1">Q412*(INDEX(Q$310:Q$312,MATCH(Work_Codes!$I$75,$D$310:$D$312,0)))</f>
        <v>0</v>
      </c>
      <c r="R432" s="81">
        <f ca="1">R412*(INDEX(R$310:R$312,MATCH(Work_Codes!$I$75,$D$310:$D$312,0)))</f>
        <v>0</v>
      </c>
      <c r="S432" s="81">
        <f ca="1">S412*(INDEX(S$310:S$312,MATCH(Work_Codes!$I$75,$D$310:$D$312,0)))</f>
        <v>0</v>
      </c>
      <c r="T432" s="81">
        <f ca="1">T412*(INDEX(T$310:T$312,MATCH(Work_Codes!$I$75,$D$310:$D$312,0)))</f>
        <v>0</v>
      </c>
    </row>
    <row r="433" spans="4:20" outlineLevel="2">
      <c r="E433" s="247" t="str">
        <f>GC!C52</f>
        <v>Transmission pipelines - post 1998</v>
      </c>
      <c r="F433" s="247"/>
      <c r="G433" s="247"/>
      <c r="H433" s="247"/>
      <c r="I433" s="247"/>
      <c r="J433" s="81">
        <f ca="1">J413*(INDEX(J$310:J$312,MATCH(Work_Codes!$I$75,$D$310:$D$312,0)))</f>
        <v>0</v>
      </c>
      <c r="K433" s="81">
        <f ca="1">K413*(INDEX(K$310:K$312,MATCH(Work_Codes!$I$75,$D$310:$D$312,0)))</f>
        <v>0</v>
      </c>
      <c r="L433" s="81">
        <f ca="1">L413*(INDEX(L$310:L$312,MATCH(Work_Codes!$I$75,$D$310:$D$312,0)))</f>
        <v>0</v>
      </c>
      <c r="M433" s="81">
        <f ca="1">M413*(INDEX(M$310:M$312,MATCH(Work_Codes!$I$75,$D$310:$D$312,0)))</f>
        <v>0</v>
      </c>
      <c r="N433" s="81">
        <f ca="1">N413*(INDEX(N$310:N$312,MATCH(Work_Codes!$I$75,$D$310:$D$312,0)))</f>
        <v>0</v>
      </c>
      <c r="O433" s="81">
        <f ca="1">O413*(INDEX(O$310:O$312,MATCH(Work_Codes!$I$75,$D$310:$D$312,0)))</f>
        <v>0</v>
      </c>
      <c r="P433" s="81">
        <f ca="1">P413*(INDEX(P$310:P$312,MATCH(Work_Codes!$I$75,$D$310:$D$312,0)))</f>
        <v>0</v>
      </c>
      <c r="Q433" s="81">
        <f ca="1">Q413*(INDEX(Q$310:Q$312,MATCH(Work_Codes!$I$75,$D$310:$D$312,0)))</f>
        <v>0</v>
      </c>
      <c r="R433" s="81">
        <f ca="1">R413*(INDEX(R$310:R$312,MATCH(Work_Codes!$I$75,$D$310:$D$312,0)))</f>
        <v>0</v>
      </c>
      <c r="S433" s="81">
        <f ca="1">S413*(INDEX(S$310:S$312,MATCH(Work_Codes!$I$75,$D$310:$D$312,0)))</f>
        <v>0</v>
      </c>
      <c r="T433" s="81">
        <f ca="1">T413*(INDEX(T$310:T$312,MATCH(Work_Codes!$I$75,$D$310:$D$312,0)))</f>
        <v>0</v>
      </c>
    </row>
    <row r="434" spans="4:20" outlineLevel="2">
      <c r="E434" s="247" t="str">
        <f>GC!C53</f>
        <v>Distribution pipelines - post 1998</v>
      </c>
      <c r="F434" s="247"/>
      <c r="G434" s="247"/>
      <c r="H434" s="247"/>
      <c r="I434" s="247"/>
      <c r="J434" s="81">
        <f ca="1">J414*(INDEX(J$310:J$312,MATCH(Work_Codes!$I$75,$D$310:$D$312,0)))</f>
        <v>0</v>
      </c>
      <c r="K434" s="81">
        <f ca="1">K414*(INDEX(K$310:K$312,MATCH(Work_Codes!$I$75,$D$310:$D$312,0)))</f>
        <v>0</v>
      </c>
      <c r="L434" s="81">
        <f ca="1">L414*(INDEX(L$310:L$312,MATCH(Work_Codes!$I$75,$D$310:$D$312,0)))</f>
        <v>0</v>
      </c>
      <c r="M434" s="81">
        <f ca="1">M414*(INDEX(M$310:M$312,MATCH(Work_Codes!$I$75,$D$310:$D$312,0)))</f>
        <v>0</v>
      </c>
      <c r="N434" s="81">
        <f ca="1">N414*(INDEX(N$310:N$312,MATCH(Work_Codes!$I$75,$D$310:$D$312,0)))</f>
        <v>5313.1108984054599</v>
      </c>
      <c r="O434" s="81">
        <f ca="1">O414*(INDEX(O$310:O$312,MATCH(Work_Codes!$I$75,$D$310:$D$312,0)))</f>
        <v>2316.1916916252203</v>
      </c>
      <c r="P434" s="81">
        <f ca="1">P414*(INDEX(P$310:P$312,MATCH(Work_Codes!$I$75,$D$310:$D$312,0)))</f>
        <v>3975.7813410536642</v>
      </c>
      <c r="Q434" s="81">
        <f ca="1">Q414*(INDEX(Q$310:Q$312,MATCH(Work_Codes!$I$75,$D$310:$D$312,0)))</f>
        <v>3862.1414784104954</v>
      </c>
      <c r="R434" s="81">
        <f ca="1">R414*(INDEX(R$310:R$312,MATCH(Work_Codes!$I$75,$D$310:$D$312,0)))</f>
        <v>3971.7502272484326</v>
      </c>
      <c r="S434" s="81">
        <f ca="1">S414*(INDEX(S$310:S$312,MATCH(Work_Codes!$I$75,$D$310:$D$312,0)))</f>
        <v>4207.3861537935481</v>
      </c>
      <c r="T434" s="81">
        <f ca="1">T414*(INDEX(T$310:T$312,MATCH(Work_Codes!$I$75,$D$310:$D$312,0)))</f>
        <v>4397.5082997410682</v>
      </c>
    </row>
    <row r="435" spans="4:20" outlineLevel="2">
      <c r="E435" s="247" t="str">
        <f>GC!C54</f>
        <v>Service pipes - post 1998</v>
      </c>
      <c r="F435" s="247"/>
      <c r="G435" s="247"/>
      <c r="H435" s="247"/>
      <c r="I435" s="247"/>
      <c r="J435" s="81">
        <f ca="1">J415*(INDEX(J$310:J$312,MATCH(Work_Codes!$I$75,$D$310:$D$312,0)))</f>
        <v>0</v>
      </c>
      <c r="K435" s="81">
        <f ca="1">K415*(INDEX(K$310:K$312,MATCH(Work_Codes!$I$75,$D$310:$D$312,0)))</f>
        <v>0</v>
      </c>
      <c r="L435" s="81">
        <f ca="1">L415*(INDEX(L$310:L$312,MATCH(Work_Codes!$I$75,$D$310:$D$312,0)))</f>
        <v>0</v>
      </c>
      <c r="M435" s="81">
        <f ca="1">M415*(INDEX(M$310:M$312,MATCH(Work_Codes!$I$75,$D$310:$D$312,0)))</f>
        <v>0</v>
      </c>
      <c r="N435" s="81">
        <f ca="1">N415*(INDEX(N$310:N$312,MATCH(Work_Codes!$I$75,$D$310:$D$312,0)))</f>
        <v>5313.1108984054599</v>
      </c>
      <c r="O435" s="81">
        <f ca="1">O415*(INDEX(O$310:O$312,MATCH(Work_Codes!$I$75,$D$310:$D$312,0)))</f>
        <v>2316.1916916252203</v>
      </c>
      <c r="P435" s="81">
        <f ca="1">P415*(INDEX(P$310:P$312,MATCH(Work_Codes!$I$75,$D$310:$D$312,0)))</f>
        <v>5618.9720869651655</v>
      </c>
      <c r="Q435" s="81">
        <f ca="1">Q415*(INDEX(Q$310:Q$312,MATCH(Work_Codes!$I$75,$D$310:$D$312,0)))</f>
        <v>5487.3459392374043</v>
      </c>
      <c r="R435" s="81">
        <f ca="1">R415*(INDEX(R$310:R$312,MATCH(Work_Codes!$I$75,$D$310:$D$312,0)))</f>
        <v>5673.5192420840021</v>
      </c>
      <c r="S435" s="81">
        <f ca="1">S415*(INDEX(S$310:S$312,MATCH(Work_Codes!$I$75,$D$310:$D$312,0)))</f>
        <v>6043.0576159419634</v>
      </c>
      <c r="T435" s="81">
        <f ca="1">T415*(INDEX(T$310:T$312,MATCH(Work_Codes!$I$75,$D$310:$D$312,0)))</f>
        <v>6351.3021337631435</v>
      </c>
    </row>
    <row r="436" spans="4:20" outlineLevel="2">
      <c r="E436" s="247" t="str">
        <f>GC!C55</f>
        <v>Cathodic protection - post 1998</v>
      </c>
      <c r="F436" s="247"/>
      <c r="G436" s="247"/>
      <c r="H436" s="247"/>
      <c r="I436" s="247"/>
      <c r="J436" s="81">
        <f ca="1">J416*(INDEX(J$310:J$312,MATCH(Work_Codes!$I$75,$D$310:$D$312,0)))</f>
        <v>0</v>
      </c>
      <c r="K436" s="81">
        <f ca="1">K416*(INDEX(K$310:K$312,MATCH(Work_Codes!$I$75,$D$310:$D$312,0)))</f>
        <v>0</v>
      </c>
      <c r="L436" s="81">
        <f ca="1">L416*(INDEX(L$310:L$312,MATCH(Work_Codes!$I$75,$D$310:$D$312,0)))</f>
        <v>0</v>
      </c>
      <c r="M436" s="81">
        <f ca="1">M416*(INDEX(M$310:M$312,MATCH(Work_Codes!$I$75,$D$310:$D$312,0)))</f>
        <v>0</v>
      </c>
      <c r="N436" s="81">
        <f ca="1">N416*(INDEX(N$310:N$312,MATCH(Work_Codes!$I$75,$D$310:$D$312,0)))</f>
        <v>0</v>
      </c>
      <c r="O436" s="81">
        <f ca="1">O416*(INDEX(O$310:O$312,MATCH(Work_Codes!$I$75,$D$310:$D$312,0)))</f>
        <v>0</v>
      </c>
      <c r="P436" s="81">
        <f ca="1">P416*(INDEX(P$310:P$312,MATCH(Work_Codes!$I$75,$D$310:$D$312,0)))</f>
        <v>0</v>
      </c>
      <c r="Q436" s="81">
        <f ca="1">Q416*(INDEX(Q$310:Q$312,MATCH(Work_Codes!$I$75,$D$310:$D$312,0)))</f>
        <v>0</v>
      </c>
      <c r="R436" s="81">
        <f ca="1">R416*(INDEX(R$310:R$312,MATCH(Work_Codes!$I$75,$D$310:$D$312,0)))</f>
        <v>0</v>
      </c>
      <c r="S436" s="81">
        <f ca="1">S416*(INDEX(S$310:S$312,MATCH(Work_Codes!$I$75,$D$310:$D$312,0)))</f>
        <v>0</v>
      </c>
      <c r="T436" s="81">
        <f ca="1">T416*(INDEX(T$310:T$312,MATCH(Work_Codes!$I$75,$D$310:$D$312,0)))</f>
        <v>0</v>
      </c>
    </row>
    <row r="437" spans="4:20" outlineLevel="2">
      <c r="E437" s="249" t="str">
        <f>"Total "&amp;D419</f>
        <v>Total Overheads</v>
      </c>
      <c r="F437" s="249"/>
      <c r="G437" s="249"/>
      <c r="H437" s="249"/>
      <c r="I437" s="249"/>
      <c r="J437" s="82">
        <f t="shared" ref="J437:T437" ca="1" si="47">SUM(J421:J436)</f>
        <v>0</v>
      </c>
      <c r="K437" s="82">
        <f t="shared" ca="1" si="47"/>
        <v>0</v>
      </c>
      <c r="L437" s="82">
        <f t="shared" ca="1" si="47"/>
        <v>0</v>
      </c>
      <c r="M437" s="82">
        <f t="shared" ca="1" si="47"/>
        <v>0</v>
      </c>
      <c r="N437" s="82">
        <f t="shared" ca="1" si="47"/>
        <v>10626.22179681092</v>
      </c>
      <c r="O437" s="82">
        <f t="shared" ca="1" si="47"/>
        <v>4632.3833832504406</v>
      </c>
      <c r="P437" s="82">
        <f t="shared" ca="1" si="47"/>
        <v>9594.7534280188302</v>
      </c>
      <c r="Q437" s="82">
        <f t="shared" ca="1" si="47"/>
        <v>9349.4874176478988</v>
      </c>
      <c r="R437" s="82">
        <f t="shared" ca="1" si="47"/>
        <v>9645.2694693324338</v>
      </c>
      <c r="S437" s="82">
        <f t="shared" ca="1" si="47"/>
        <v>10250.443769735512</v>
      </c>
      <c r="T437" s="82">
        <f t="shared" ca="1" si="47"/>
        <v>10748.810433504212</v>
      </c>
    </row>
    <row r="438" spans="4:20" outlineLevel="2"/>
    <row r="439" spans="4:20" outlineLevel="2">
      <c r="D439" s="37" t="s">
        <v>216</v>
      </c>
    </row>
    <row r="440" spans="4:20" ht="5.9" customHeight="1" outlineLevel="2"/>
    <row r="441" spans="4:20" ht="11.5" customHeight="1" outlineLevel="2">
      <c r="E441" s="247" t="str">
        <f>GC!C40</f>
        <v>Transmission pipelines</v>
      </c>
      <c r="F441" s="247"/>
      <c r="G441" s="247"/>
      <c r="H441" s="247"/>
      <c r="I441" s="247"/>
      <c r="J441" s="81">
        <f ca="1">J401*(1+INDEX(J$310:J$312,MATCH(Work_Codes!$I$75,$D$310:$D$312,0)))</f>
        <v>0</v>
      </c>
      <c r="K441" s="81">
        <f ca="1">K401*(1+INDEX(K$310:K$312,MATCH(Work_Codes!$I$75,$D$310:$D$312,0)))</f>
        <v>0</v>
      </c>
      <c r="L441" s="81">
        <f ca="1">L401*(1+INDEX(L$310:L$312,MATCH(Work_Codes!$I$75,$D$310:$D$312,0)))</f>
        <v>0</v>
      </c>
      <c r="M441" s="81">
        <f ca="1">M401*(1+INDEX(M$310:M$312,MATCH(Work_Codes!$I$75,$D$310:$D$312,0)))</f>
        <v>0</v>
      </c>
      <c r="N441" s="81">
        <f ca="1">N401*(1+INDEX(N$310:N$312,MATCH(Work_Codes!$I$75,$D$310:$D$312,0)))</f>
        <v>0</v>
      </c>
      <c r="O441" s="81">
        <f ca="1">O401*(1+INDEX(O$310:O$312,MATCH(Work_Codes!$I$75,$D$310:$D$312,0)))</f>
        <v>0</v>
      </c>
      <c r="P441" s="81">
        <f ca="1">P401*(1+INDEX(P$310:P$312,MATCH(Work_Codes!$I$75,$D$310:$D$312,0)))</f>
        <v>0</v>
      </c>
      <c r="Q441" s="81">
        <f ca="1">Q401*(1+INDEX(Q$310:Q$312,MATCH(Work_Codes!$I$75,$D$310:$D$312,0)))</f>
        <v>0</v>
      </c>
      <c r="R441" s="81">
        <f ca="1">R401*(1+INDEX(R$310:R$312,MATCH(Work_Codes!$I$75,$D$310:$D$312,0)))</f>
        <v>0</v>
      </c>
      <c r="S441" s="81">
        <f ca="1">S401*(1+INDEX(S$310:S$312,MATCH(Work_Codes!$I$75,$D$310:$D$312,0)))</f>
        <v>0</v>
      </c>
      <c r="T441" s="81">
        <f ca="1">T401*(1+INDEX(T$310:T$312,MATCH(Work_Codes!$I$75,$D$310:$D$312,0)))</f>
        <v>0</v>
      </c>
    </row>
    <row r="442" spans="4:20" ht="11.5" customHeight="1" outlineLevel="2">
      <c r="E442" s="247" t="str">
        <f>GC!C41</f>
        <v>Distribution pipelines</v>
      </c>
      <c r="F442" s="247"/>
      <c r="G442" s="247"/>
      <c r="H442" s="247"/>
      <c r="I442" s="247"/>
      <c r="J442" s="81">
        <f ca="1">J402*(1+INDEX(J$310:J$312,MATCH(Work_Codes!$I$75,$D$310:$D$312,0)))</f>
        <v>0</v>
      </c>
      <c r="K442" s="81">
        <f ca="1">K402*(1+INDEX(K$310:K$312,MATCH(Work_Codes!$I$75,$D$310:$D$312,0)))</f>
        <v>0</v>
      </c>
      <c r="L442" s="81">
        <f ca="1">L402*(1+INDEX(L$310:L$312,MATCH(Work_Codes!$I$75,$D$310:$D$312,0)))</f>
        <v>0</v>
      </c>
      <c r="M442" s="81">
        <f ca="1">M402*(1+INDEX(M$310:M$312,MATCH(Work_Codes!$I$75,$D$310:$D$312,0)))</f>
        <v>0</v>
      </c>
      <c r="N442" s="81">
        <f ca="1">N402*(1+INDEX(N$310:N$312,MATCH(Work_Codes!$I$75,$D$310:$D$312,0)))</f>
        <v>0</v>
      </c>
      <c r="O442" s="81">
        <f ca="1">O402*(1+INDEX(O$310:O$312,MATCH(Work_Codes!$I$75,$D$310:$D$312,0)))</f>
        <v>0</v>
      </c>
      <c r="P442" s="81">
        <f ca="1">P402*(1+INDEX(P$310:P$312,MATCH(Work_Codes!$I$75,$D$310:$D$312,0)))</f>
        <v>0</v>
      </c>
      <c r="Q442" s="81">
        <f ca="1">Q402*(1+INDEX(Q$310:Q$312,MATCH(Work_Codes!$I$75,$D$310:$D$312,0)))</f>
        <v>0</v>
      </c>
      <c r="R442" s="81">
        <f ca="1">R402*(1+INDEX(R$310:R$312,MATCH(Work_Codes!$I$75,$D$310:$D$312,0)))</f>
        <v>0</v>
      </c>
      <c r="S442" s="81">
        <f ca="1">S402*(1+INDEX(S$310:S$312,MATCH(Work_Codes!$I$75,$D$310:$D$312,0)))</f>
        <v>0</v>
      </c>
      <c r="T442" s="81">
        <f ca="1">T402*(1+INDEX(T$310:T$312,MATCH(Work_Codes!$I$75,$D$310:$D$312,0)))</f>
        <v>0</v>
      </c>
    </row>
    <row r="443" spans="4:20" ht="11.5" customHeight="1" outlineLevel="2">
      <c r="E443" s="247" t="str">
        <f>GC!C42</f>
        <v>Service pipes</v>
      </c>
      <c r="F443" s="247"/>
      <c r="G443" s="247"/>
      <c r="H443" s="247"/>
      <c r="I443" s="247"/>
      <c r="J443" s="81">
        <f ca="1">J403*(1+INDEX(J$310:J$312,MATCH(Work_Codes!$I$75,$D$310:$D$312,0)))</f>
        <v>0</v>
      </c>
      <c r="K443" s="81">
        <f ca="1">K403*(1+INDEX(K$310:K$312,MATCH(Work_Codes!$I$75,$D$310:$D$312,0)))</f>
        <v>0</v>
      </c>
      <c r="L443" s="81">
        <f ca="1">L403*(1+INDEX(L$310:L$312,MATCH(Work_Codes!$I$75,$D$310:$D$312,0)))</f>
        <v>0</v>
      </c>
      <c r="M443" s="81">
        <f ca="1">M403*(1+INDEX(M$310:M$312,MATCH(Work_Codes!$I$75,$D$310:$D$312,0)))</f>
        <v>0</v>
      </c>
      <c r="N443" s="81">
        <f ca="1">N403*(1+INDEX(N$310:N$312,MATCH(Work_Codes!$I$75,$D$310:$D$312,0)))</f>
        <v>0</v>
      </c>
      <c r="O443" s="81">
        <f ca="1">O403*(1+INDEX(O$310:O$312,MATCH(Work_Codes!$I$75,$D$310:$D$312,0)))</f>
        <v>0</v>
      </c>
      <c r="P443" s="81">
        <f ca="1">P403*(1+INDEX(P$310:P$312,MATCH(Work_Codes!$I$75,$D$310:$D$312,0)))</f>
        <v>0</v>
      </c>
      <c r="Q443" s="81">
        <f ca="1">Q403*(1+INDEX(Q$310:Q$312,MATCH(Work_Codes!$I$75,$D$310:$D$312,0)))</f>
        <v>0</v>
      </c>
      <c r="R443" s="81">
        <f ca="1">R403*(1+INDEX(R$310:R$312,MATCH(Work_Codes!$I$75,$D$310:$D$312,0)))</f>
        <v>0</v>
      </c>
      <c r="S443" s="81">
        <f ca="1">S403*(1+INDEX(S$310:S$312,MATCH(Work_Codes!$I$75,$D$310:$D$312,0)))</f>
        <v>0</v>
      </c>
      <c r="T443" s="81">
        <f ca="1">T403*(1+INDEX(T$310:T$312,MATCH(Work_Codes!$I$75,$D$310:$D$312,0)))</f>
        <v>0</v>
      </c>
    </row>
    <row r="444" spans="4:20" ht="11.5" customHeight="1" outlineLevel="2">
      <c r="E444" s="247" t="str">
        <f>GC!C43</f>
        <v>Cathodic protection</v>
      </c>
      <c r="F444" s="247"/>
      <c r="G444" s="247"/>
      <c r="H444" s="247"/>
      <c r="I444" s="247"/>
      <c r="J444" s="81">
        <f ca="1">J404*(1+INDEX(J$310:J$312,MATCH(Work_Codes!$I$75,$D$310:$D$312,0)))</f>
        <v>0</v>
      </c>
      <c r="K444" s="81">
        <f ca="1">K404*(1+INDEX(K$310:K$312,MATCH(Work_Codes!$I$75,$D$310:$D$312,0)))</f>
        <v>0</v>
      </c>
      <c r="L444" s="81">
        <f ca="1">L404*(1+INDEX(L$310:L$312,MATCH(Work_Codes!$I$75,$D$310:$D$312,0)))</f>
        <v>0</v>
      </c>
      <c r="M444" s="81">
        <f ca="1">M404*(1+INDEX(M$310:M$312,MATCH(Work_Codes!$I$75,$D$310:$D$312,0)))</f>
        <v>0</v>
      </c>
      <c r="N444" s="81">
        <f ca="1">N404*(1+INDEX(N$310:N$312,MATCH(Work_Codes!$I$75,$D$310:$D$312,0)))</f>
        <v>0</v>
      </c>
      <c r="O444" s="81">
        <f ca="1">O404*(1+INDEX(O$310:O$312,MATCH(Work_Codes!$I$75,$D$310:$D$312,0)))</f>
        <v>0</v>
      </c>
      <c r="P444" s="81">
        <f ca="1">P404*(1+INDEX(P$310:P$312,MATCH(Work_Codes!$I$75,$D$310:$D$312,0)))</f>
        <v>0</v>
      </c>
      <c r="Q444" s="81">
        <f ca="1">Q404*(1+INDEX(Q$310:Q$312,MATCH(Work_Codes!$I$75,$D$310:$D$312,0)))</f>
        <v>0</v>
      </c>
      <c r="R444" s="81">
        <f ca="1">R404*(1+INDEX(R$310:R$312,MATCH(Work_Codes!$I$75,$D$310:$D$312,0)))</f>
        <v>0</v>
      </c>
      <c r="S444" s="81">
        <f ca="1">S404*(1+INDEX(S$310:S$312,MATCH(Work_Codes!$I$75,$D$310:$D$312,0)))</f>
        <v>0</v>
      </c>
      <c r="T444" s="81">
        <f ca="1">T404*(1+INDEX(T$310:T$312,MATCH(Work_Codes!$I$75,$D$310:$D$312,0)))</f>
        <v>0</v>
      </c>
    </row>
    <row r="445" spans="4:20" ht="11.5" customHeight="1" outlineLevel="2">
      <c r="E445" s="247" t="str">
        <f>GC!C44</f>
        <v>Supply Regulators / Valve Stations</v>
      </c>
      <c r="F445" s="247"/>
      <c r="G445" s="247"/>
      <c r="H445" s="247"/>
      <c r="I445" s="247"/>
      <c r="J445" s="81">
        <f ca="1">J405*(1+INDEX(J$310:J$312,MATCH(Work_Codes!$I$75,$D$310:$D$312,0)))</f>
        <v>0</v>
      </c>
      <c r="K445" s="81">
        <f ca="1">K405*(1+INDEX(K$310:K$312,MATCH(Work_Codes!$I$75,$D$310:$D$312,0)))</f>
        <v>0</v>
      </c>
      <c r="L445" s="81">
        <f ca="1">L405*(1+INDEX(L$310:L$312,MATCH(Work_Codes!$I$75,$D$310:$D$312,0)))</f>
        <v>0</v>
      </c>
      <c r="M445" s="81">
        <f ca="1">M405*(1+INDEX(M$310:M$312,MATCH(Work_Codes!$I$75,$D$310:$D$312,0)))</f>
        <v>0</v>
      </c>
      <c r="N445" s="81">
        <f ca="1">N405*(1+INDEX(N$310:N$312,MATCH(Work_Codes!$I$75,$D$310:$D$312,0)))</f>
        <v>0</v>
      </c>
      <c r="O445" s="81">
        <f ca="1">O405*(1+INDEX(O$310:O$312,MATCH(Work_Codes!$I$75,$D$310:$D$312,0)))</f>
        <v>0</v>
      </c>
      <c r="P445" s="81">
        <f ca="1">P405*(1+INDEX(P$310:P$312,MATCH(Work_Codes!$I$75,$D$310:$D$312,0)))</f>
        <v>0</v>
      </c>
      <c r="Q445" s="81">
        <f ca="1">Q405*(1+INDEX(Q$310:Q$312,MATCH(Work_Codes!$I$75,$D$310:$D$312,0)))</f>
        <v>0</v>
      </c>
      <c r="R445" s="81">
        <f ca="1">R405*(1+INDEX(R$310:R$312,MATCH(Work_Codes!$I$75,$D$310:$D$312,0)))</f>
        <v>0</v>
      </c>
      <c r="S445" s="81">
        <f ca="1">S405*(1+INDEX(S$310:S$312,MATCH(Work_Codes!$I$75,$D$310:$D$312,0)))</f>
        <v>0</v>
      </c>
      <c r="T445" s="81">
        <f ca="1">T405*(1+INDEX(T$310:T$312,MATCH(Work_Codes!$I$75,$D$310:$D$312,0)))</f>
        <v>0</v>
      </c>
    </row>
    <row r="446" spans="4:20" ht="11.5" customHeight="1" outlineLevel="2">
      <c r="E446" s="247" t="str">
        <f>GC!C45</f>
        <v>Meters</v>
      </c>
      <c r="F446" s="247"/>
      <c r="G446" s="247"/>
      <c r="H446" s="247"/>
      <c r="I446" s="247"/>
      <c r="J446" s="81">
        <f ca="1">J406*(1+INDEX(J$310:J$312,MATCH(Work_Codes!$I$75,$D$310:$D$312,0)))</f>
        <v>0</v>
      </c>
      <c r="K446" s="81">
        <f ca="1">K406*(1+INDEX(K$310:K$312,MATCH(Work_Codes!$I$75,$D$310:$D$312,0)))</f>
        <v>0</v>
      </c>
      <c r="L446" s="81">
        <f ca="1">L406*(1+INDEX(L$310:L$312,MATCH(Work_Codes!$I$75,$D$310:$D$312,0)))</f>
        <v>0</v>
      </c>
      <c r="M446" s="81">
        <f ca="1">M406*(1+INDEX(M$310:M$312,MATCH(Work_Codes!$I$75,$D$310:$D$312,0)))</f>
        <v>0</v>
      </c>
      <c r="N446" s="81">
        <f ca="1">N406*(1+INDEX(N$310:N$312,MATCH(Work_Codes!$I$75,$D$310:$D$312,0)))</f>
        <v>0</v>
      </c>
      <c r="O446" s="81">
        <f ca="1">O406*(1+INDEX(O$310:O$312,MATCH(Work_Codes!$I$75,$D$310:$D$312,0)))</f>
        <v>0</v>
      </c>
      <c r="P446" s="81">
        <f ca="1">P406*(1+INDEX(P$310:P$312,MATCH(Work_Codes!$I$75,$D$310:$D$312,0)))</f>
        <v>0</v>
      </c>
      <c r="Q446" s="81">
        <f ca="1">Q406*(1+INDEX(Q$310:Q$312,MATCH(Work_Codes!$I$75,$D$310:$D$312,0)))</f>
        <v>0</v>
      </c>
      <c r="R446" s="81">
        <f ca="1">R406*(1+INDEX(R$310:R$312,MATCH(Work_Codes!$I$75,$D$310:$D$312,0)))</f>
        <v>0</v>
      </c>
      <c r="S446" s="81">
        <f ca="1">S406*(1+INDEX(S$310:S$312,MATCH(Work_Codes!$I$75,$D$310:$D$312,0)))</f>
        <v>0</v>
      </c>
      <c r="T446" s="81">
        <f ca="1">T406*(1+INDEX(T$310:T$312,MATCH(Work_Codes!$I$75,$D$310:$D$312,0)))</f>
        <v>0</v>
      </c>
    </row>
    <row r="447" spans="4:20" ht="11.5" customHeight="1" outlineLevel="2">
      <c r="E447" s="247" t="str">
        <f>GC!C46</f>
        <v>SCADA and remote control</v>
      </c>
      <c r="F447" s="247"/>
      <c r="G447" s="247"/>
      <c r="H447" s="247"/>
      <c r="I447" s="247"/>
      <c r="J447" s="81">
        <f ca="1">J407*(1+INDEX(J$310:J$312,MATCH(Work_Codes!$I$75,$D$310:$D$312,0)))</f>
        <v>0</v>
      </c>
      <c r="K447" s="81">
        <f ca="1">K407*(1+INDEX(K$310:K$312,MATCH(Work_Codes!$I$75,$D$310:$D$312,0)))</f>
        <v>0</v>
      </c>
      <c r="L447" s="81">
        <f ca="1">L407*(1+INDEX(L$310:L$312,MATCH(Work_Codes!$I$75,$D$310:$D$312,0)))</f>
        <v>0</v>
      </c>
      <c r="M447" s="81">
        <f ca="1">M407*(1+INDEX(M$310:M$312,MATCH(Work_Codes!$I$75,$D$310:$D$312,0)))</f>
        <v>0</v>
      </c>
      <c r="N447" s="81">
        <f ca="1">N407*(1+INDEX(N$310:N$312,MATCH(Work_Codes!$I$75,$D$310:$D$312,0)))</f>
        <v>0</v>
      </c>
      <c r="O447" s="81">
        <f ca="1">O407*(1+INDEX(O$310:O$312,MATCH(Work_Codes!$I$75,$D$310:$D$312,0)))</f>
        <v>0</v>
      </c>
      <c r="P447" s="81">
        <f ca="1">P407*(1+INDEX(P$310:P$312,MATCH(Work_Codes!$I$75,$D$310:$D$312,0)))</f>
        <v>0</v>
      </c>
      <c r="Q447" s="81">
        <f ca="1">Q407*(1+INDEX(Q$310:Q$312,MATCH(Work_Codes!$I$75,$D$310:$D$312,0)))</f>
        <v>0</v>
      </c>
      <c r="R447" s="81">
        <f ca="1">R407*(1+INDEX(R$310:R$312,MATCH(Work_Codes!$I$75,$D$310:$D$312,0)))</f>
        <v>0</v>
      </c>
      <c r="S447" s="81">
        <f ca="1">S407*(1+INDEX(S$310:S$312,MATCH(Work_Codes!$I$75,$D$310:$D$312,0)))</f>
        <v>0</v>
      </c>
      <c r="T447" s="81">
        <f ca="1">T407*(1+INDEX(T$310:T$312,MATCH(Work_Codes!$I$75,$D$310:$D$312,0)))</f>
        <v>0</v>
      </c>
    </row>
    <row r="448" spans="4:20" ht="11.5" customHeight="1" outlineLevel="2">
      <c r="E448" s="247" t="str">
        <f>GC!C47</f>
        <v>Buildings</v>
      </c>
      <c r="F448" s="247"/>
      <c r="G448" s="247"/>
      <c r="H448" s="247"/>
      <c r="I448" s="247"/>
      <c r="J448" s="81">
        <f ca="1">J408*(1+INDEX(J$310:J$312,MATCH(Work_Codes!$I$75,$D$310:$D$312,0)))</f>
        <v>0</v>
      </c>
      <c r="K448" s="81">
        <f ca="1">K408*(1+INDEX(K$310:K$312,MATCH(Work_Codes!$I$75,$D$310:$D$312,0)))</f>
        <v>0</v>
      </c>
      <c r="L448" s="81">
        <f ca="1">L408*(1+INDEX(L$310:L$312,MATCH(Work_Codes!$I$75,$D$310:$D$312,0)))</f>
        <v>0</v>
      </c>
      <c r="M448" s="81">
        <f ca="1">M408*(1+INDEX(M$310:M$312,MATCH(Work_Codes!$I$75,$D$310:$D$312,0)))</f>
        <v>0</v>
      </c>
      <c r="N448" s="81">
        <f ca="1">N408*(1+INDEX(N$310:N$312,MATCH(Work_Codes!$I$75,$D$310:$D$312,0)))</f>
        <v>0</v>
      </c>
      <c r="O448" s="81">
        <f ca="1">O408*(1+INDEX(O$310:O$312,MATCH(Work_Codes!$I$75,$D$310:$D$312,0)))</f>
        <v>0</v>
      </c>
      <c r="P448" s="81">
        <f ca="1">P408*(1+INDEX(P$310:P$312,MATCH(Work_Codes!$I$75,$D$310:$D$312,0)))</f>
        <v>0</v>
      </c>
      <c r="Q448" s="81">
        <f ca="1">Q408*(1+INDEX(Q$310:Q$312,MATCH(Work_Codes!$I$75,$D$310:$D$312,0)))</f>
        <v>0</v>
      </c>
      <c r="R448" s="81">
        <f ca="1">R408*(1+INDEX(R$310:R$312,MATCH(Work_Codes!$I$75,$D$310:$D$312,0)))</f>
        <v>0</v>
      </c>
      <c r="S448" s="81">
        <f ca="1">S408*(1+INDEX(S$310:S$312,MATCH(Work_Codes!$I$75,$D$310:$D$312,0)))</f>
        <v>0</v>
      </c>
      <c r="T448" s="81">
        <f ca="1">T408*(1+INDEX(T$310:T$312,MATCH(Work_Codes!$I$75,$D$310:$D$312,0)))</f>
        <v>0</v>
      </c>
    </row>
    <row r="449" spans="4:20" ht="11.5" customHeight="1" outlineLevel="2">
      <c r="E449" s="247" t="str">
        <f>GC!C48</f>
        <v>Other - IT</v>
      </c>
      <c r="F449" s="247"/>
      <c r="G449" s="247"/>
      <c r="H449" s="247"/>
      <c r="I449" s="247"/>
      <c r="J449" s="81">
        <f ca="1">J409*(1+INDEX(J$310:J$312,MATCH(Work_Codes!$I$75,$D$310:$D$312,0)))</f>
        <v>0</v>
      </c>
      <c r="K449" s="81">
        <f ca="1">K409*(1+INDEX(K$310:K$312,MATCH(Work_Codes!$I$75,$D$310:$D$312,0)))</f>
        <v>0</v>
      </c>
      <c r="L449" s="81">
        <f ca="1">L409*(1+INDEX(L$310:L$312,MATCH(Work_Codes!$I$75,$D$310:$D$312,0)))</f>
        <v>0</v>
      </c>
      <c r="M449" s="81">
        <f ca="1">M409*(1+INDEX(M$310:M$312,MATCH(Work_Codes!$I$75,$D$310:$D$312,0)))</f>
        <v>0</v>
      </c>
      <c r="N449" s="81">
        <f ca="1">N409*(1+INDEX(N$310:N$312,MATCH(Work_Codes!$I$75,$D$310:$D$312,0)))</f>
        <v>0</v>
      </c>
      <c r="O449" s="81">
        <f ca="1">O409*(1+INDEX(O$310:O$312,MATCH(Work_Codes!$I$75,$D$310:$D$312,0)))</f>
        <v>0</v>
      </c>
      <c r="P449" s="81">
        <f ca="1">P409*(1+INDEX(P$310:P$312,MATCH(Work_Codes!$I$75,$D$310:$D$312,0)))</f>
        <v>0</v>
      </c>
      <c r="Q449" s="81">
        <f ca="1">Q409*(1+INDEX(Q$310:Q$312,MATCH(Work_Codes!$I$75,$D$310:$D$312,0)))</f>
        <v>0</v>
      </c>
      <c r="R449" s="81">
        <f ca="1">R409*(1+INDEX(R$310:R$312,MATCH(Work_Codes!$I$75,$D$310:$D$312,0)))</f>
        <v>0</v>
      </c>
      <c r="S449" s="81">
        <f ca="1">S409*(1+INDEX(S$310:S$312,MATCH(Work_Codes!$I$75,$D$310:$D$312,0)))</f>
        <v>0</v>
      </c>
      <c r="T449" s="81">
        <f ca="1">T409*(1+INDEX(T$310:T$312,MATCH(Work_Codes!$I$75,$D$310:$D$312,0)))</f>
        <v>0</v>
      </c>
    </row>
    <row r="450" spans="4:20" ht="11.5" customHeight="1" outlineLevel="2">
      <c r="E450" s="247" t="str">
        <f>GC!C49</f>
        <v>Other - non IT</v>
      </c>
      <c r="F450" s="247"/>
      <c r="G450" s="247"/>
      <c r="H450" s="247"/>
      <c r="I450" s="247"/>
      <c r="J450" s="81">
        <f ca="1">J410*(1+INDEX(J$310:J$312,MATCH(Work_Codes!$I$75,$D$310:$D$312,0)))</f>
        <v>0</v>
      </c>
      <c r="K450" s="81">
        <f ca="1">K410*(1+INDEX(K$310:K$312,MATCH(Work_Codes!$I$75,$D$310:$D$312,0)))</f>
        <v>0</v>
      </c>
      <c r="L450" s="81">
        <f ca="1">L410*(1+INDEX(L$310:L$312,MATCH(Work_Codes!$I$75,$D$310:$D$312,0)))</f>
        <v>0</v>
      </c>
      <c r="M450" s="81">
        <f ca="1">M410*(1+INDEX(M$310:M$312,MATCH(Work_Codes!$I$75,$D$310:$D$312,0)))</f>
        <v>0</v>
      </c>
      <c r="N450" s="81">
        <f ca="1">N410*(1+INDEX(N$310:N$312,MATCH(Work_Codes!$I$75,$D$310:$D$312,0)))</f>
        <v>0</v>
      </c>
      <c r="O450" s="81">
        <f ca="1">O410*(1+INDEX(O$310:O$312,MATCH(Work_Codes!$I$75,$D$310:$D$312,0)))</f>
        <v>0</v>
      </c>
      <c r="P450" s="81">
        <f ca="1">P410*(1+INDEX(P$310:P$312,MATCH(Work_Codes!$I$75,$D$310:$D$312,0)))</f>
        <v>0</v>
      </c>
      <c r="Q450" s="81">
        <f ca="1">Q410*(1+INDEX(Q$310:Q$312,MATCH(Work_Codes!$I$75,$D$310:$D$312,0)))</f>
        <v>0</v>
      </c>
      <c r="R450" s="81">
        <f ca="1">R410*(1+INDEX(R$310:R$312,MATCH(Work_Codes!$I$75,$D$310:$D$312,0)))</f>
        <v>0</v>
      </c>
      <c r="S450" s="81">
        <f ca="1">S410*(1+INDEX(S$310:S$312,MATCH(Work_Codes!$I$75,$D$310:$D$312,0)))</f>
        <v>0</v>
      </c>
      <c r="T450" s="81">
        <f ca="1">T410*(1+INDEX(T$310:T$312,MATCH(Work_Codes!$I$75,$D$310:$D$312,0)))</f>
        <v>0</v>
      </c>
    </row>
    <row r="451" spans="4:20" ht="11.5" customHeight="1" outlineLevel="2">
      <c r="E451" s="247" t="str">
        <f>GC!C50</f>
        <v>Land</v>
      </c>
      <c r="F451" s="247"/>
      <c r="G451" s="247"/>
      <c r="H451" s="247"/>
      <c r="I451" s="247"/>
      <c r="J451" s="81">
        <f ca="1">J411*(1+INDEX(J$310:J$312,MATCH(Work_Codes!$I$75,$D$310:$D$312,0)))</f>
        <v>0</v>
      </c>
      <c r="K451" s="81">
        <f ca="1">K411*(1+INDEX(K$310:K$312,MATCH(Work_Codes!$I$75,$D$310:$D$312,0)))</f>
        <v>0</v>
      </c>
      <c r="L451" s="81">
        <f ca="1">L411*(1+INDEX(L$310:L$312,MATCH(Work_Codes!$I$75,$D$310:$D$312,0)))</f>
        <v>0</v>
      </c>
      <c r="M451" s="81">
        <f ca="1">M411*(1+INDEX(M$310:M$312,MATCH(Work_Codes!$I$75,$D$310:$D$312,0)))</f>
        <v>0</v>
      </c>
      <c r="N451" s="81">
        <f ca="1">N411*(1+INDEX(N$310:N$312,MATCH(Work_Codes!$I$75,$D$310:$D$312,0)))</f>
        <v>0</v>
      </c>
      <c r="O451" s="81">
        <f ca="1">O411*(1+INDEX(O$310:O$312,MATCH(Work_Codes!$I$75,$D$310:$D$312,0)))</f>
        <v>0</v>
      </c>
      <c r="P451" s="81">
        <f ca="1">P411*(1+INDEX(P$310:P$312,MATCH(Work_Codes!$I$75,$D$310:$D$312,0)))</f>
        <v>0</v>
      </c>
      <c r="Q451" s="81">
        <f ca="1">Q411*(1+INDEX(Q$310:Q$312,MATCH(Work_Codes!$I$75,$D$310:$D$312,0)))</f>
        <v>0</v>
      </c>
      <c r="R451" s="81">
        <f ca="1">R411*(1+INDEX(R$310:R$312,MATCH(Work_Codes!$I$75,$D$310:$D$312,0)))</f>
        <v>0</v>
      </c>
      <c r="S451" s="81">
        <f ca="1">S411*(1+INDEX(S$310:S$312,MATCH(Work_Codes!$I$75,$D$310:$D$312,0)))</f>
        <v>0</v>
      </c>
      <c r="T451" s="81">
        <f ca="1">T411*(1+INDEX(T$310:T$312,MATCH(Work_Codes!$I$75,$D$310:$D$312,0)))</f>
        <v>0</v>
      </c>
    </row>
    <row r="452" spans="4:20" outlineLevel="2">
      <c r="E452" s="247" t="str">
        <f>GC!C51</f>
        <v>Capitalised Leases</v>
      </c>
      <c r="F452" s="247"/>
      <c r="G452" s="247"/>
      <c r="H452" s="247"/>
      <c r="I452" s="247"/>
      <c r="J452" s="81">
        <f ca="1">J412*(1+INDEX(J$310:J$312,MATCH(Work_Codes!$I$75,$D$310:$D$312,0)))</f>
        <v>0</v>
      </c>
      <c r="K452" s="81">
        <f ca="1">K412*(1+INDEX(K$310:K$312,MATCH(Work_Codes!$I$75,$D$310:$D$312,0)))</f>
        <v>0</v>
      </c>
      <c r="L452" s="81">
        <f ca="1">L412*(1+INDEX(L$310:L$312,MATCH(Work_Codes!$I$75,$D$310:$D$312,0)))</f>
        <v>0</v>
      </c>
      <c r="M452" s="81">
        <f ca="1">M412*(1+INDEX(M$310:M$312,MATCH(Work_Codes!$I$75,$D$310:$D$312,0)))</f>
        <v>0</v>
      </c>
      <c r="N452" s="81">
        <f ca="1">N412*(1+INDEX(N$310:N$312,MATCH(Work_Codes!$I$75,$D$310:$D$312,0)))</f>
        <v>0</v>
      </c>
      <c r="O452" s="81">
        <f ca="1">O412*(1+INDEX(O$310:O$312,MATCH(Work_Codes!$I$75,$D$310:$D$312,0)))</f>
        <v>0</v>
      </c>
      <c r="P452" s="81">
        <f ca="1">P412*(1+INDEX(P$310:P$312,MATCH(Work_Codes!$I$75,$D$310:$D$312,0)))</f>
        <v>0</v>
      </c>
      <c r="Q452" s="81">
        <f ca="1">Q412*(1+INDEX(Q$310:Q$312,MATCH(Work_Codes!$I$75,$D$310:$D$312,0)))</f>
        <v>0</v>
      </c>
      <c r="R452" s="81">
        <f ca="1">R412*(1+INDEX(R$310:R$312,MATCH(Work_Codes!$I$75,$D$310:$D$312,0)))</f>
        <v>0</v>
      </c>
      <c r="S452" s="81">
        <f ca="1">S412*(1+INDEX(S$310:S$312,MATCH(Work_Codes!$I$75,$D$310:$D$312,0)))</f>
        <v>0</v>
      </c>
      <c r="T452" s="81">
        <f ca="1">T412*(1+INDEX(T$310:T$312,MATCH(Work_Codes!$I$75,$D$310:$D$312,0)))</f>
        <v>0</v>
      </c>
    </row>
    <row r="453" spans="4:20" outlineLevel="2">
      <c r="E453" s="247" t="str">
        <f>GC!C52</f>
        <v>Transmission pipelines - post 1998</v>
      </c>
      <c r="F453" s="247"/>
      <c r="G453" s="247"/>
      <c r="H453" s="247"/>
      <c r="I453" s="247"/>
      <c r="J453" s="81">
        <f ca="1">J413*(1+INDEX(J$310:J$312,MATCH(Work_Codes!$I$75,$D$310:$D$312,0)))</f>
        <v>0</v>
      </c>
      <c r="K453" s="81">
        <f ca="1">K413*(1+INDEX(K$310:K$312,MATCH(Work_Codes!$I$75,$D$310:$D$312,0)))</f>
        <v>0</v>
      </c>
      <c r="L453" s="81">
        <f ca="1">L413*(1+INDEX(L$310:L$312,MATCH(Work_Codes!$I$75,$D$310:$D$312,0)))</f>
        <v>0</v>
      </c>
      <c r="M453" s="81">
        <f ca="1">M413*(1+INDEX(M$310:M$312,MATCH(Work_Codes!$I$75,$D$310:$D$312,0)))</f>
        <v>0</v>
      </c>
      <c r="N453" s="81">
        <f ca="1">N413*(1+INDEX(N$310:N$312,MATCH(Work_Codes!$I$75,$D$310:$D$312,0)))</f>
        <v>0</v>
      </c>
      <c r="O453" s="81">
        <f ca="1">O413*(1+INDEX(O$310:O$312,MATCH(Work_Codes!$I$75,$D$310:$D$312,0)))</f>
        <v>0</v>
      </c>
      <c r="P453" s="81">
        <f ca="1">P413*(1+INDEX(P$310:P$312,MATCH(Work_Codes!$I$75,$D$310:$D$312,0)))</f>
        <v>0</v>
      </c>
      <c r="Q453" s="81">
        <f ca="1">Q413*(1+INDEX(Q$310:Q$312,MATCH(Work_Codes!$I$75,$D$310:$D$312,0)))</f>
        <v>0</v>
      </c>
      <c r="R453" s="81">
        <f ca="1">R413*(1+INDEX(R$310:R$312,MATCH(Work_Codes!$I$75,$D$310:$D$312,0)))</f>
        <v>0</v>
      </c>
      <c r="S453" s="81">
        <f ca="1">S413*(1+INDEX(S$310:S$312,MATCH(Work_Codes!$I$75,$D$310:$D$312,0)))</f>
        <v>0</v>
      </c>
      <c r="T453" s="81">
        <f ca="1">T413*(1+INDEX(T$310:T$312,MATCH(Work_Codes!$I$75,$D$310:$D$312,0)))</f>
        <v>0</v>
      </c>
    </row>
    <row r="454" spans="4:20" outlineLevel="2">
      <c r="E454" s="247" t="str">
        <f>GC!C53</f>
        <v>Distribution pipelines - post 1998</v>
      </c>
      <c r="F454" s="247"/>
      <c r="G454" s="247"/>
      <c r="H454" s="247"/>
      <c r="I454" s="247"/>
      <c r="J454" s="81">
        <f ca="1">J414*(1+INDEX(J$310:J$312,MATCH(Work_Codes!$I$75,$D$310:$D$312,0)))</f>
        <v>0</v>
      </c>
      <c r="K454" s="81">
        <f ca="1">K414*(1+INDEX(K$310:K$312,MATCH(Work_Codes!$I$75,$D$310:$D$312,0)))</f>
        <v>0</v>
      </c>
      <c r="L454" s="81">
        <f ca="1">L414*(1+INDEX(L$310:L$312,MATCH(Work_Codes!$I$75,$D$310:$D$312,0)))</f>
        <v>0</v>
      </c>
      <c r="M454" s="81">
        <f ca="1">M414*(1+INDEX(M$310:M$312,MATCH(Work_Codes!$I$75,$D$310:$D$312,0)))</f>
        <v>0</v>
      </c>
      <c r="N454" s="81">
        <f ca="1">N414*(1+INDEX(N$310:N$312,MATCH(Work_Codes!$I$75,$D$310:$D$312,0)))</f>
        <v>146203.29832971396</v>
      </c>
      <c r="O454" s="81">
        <f ca="1">O414*(1+INDEX(O$310:O$312,MATCH(Work_Codes!$I$75,$D$310:$D$312,0)))</f>
        <v>71904.998477806308</v>
      </c>
      <c r="P454" s="81">
        <f ca="1">P414*(1+INDEX(P$310:P$312,MATCH(Work_Codes!$I$75,$D$310:$D$312,0)))</f>
        <v>152588.34041926195</v>
      </c>
      <c r="Q454" s="81">
        <f ca="1">Q414*(1+INDEX(Q$310:Q$312,MATCH(Work_Codes!$I$75,$D$310:$D$312,0)))</f>
        <v>152060.69996407014</v>
      </c>
      <c r="R454" s="81">
        <f ca="1">R414*(1+INDEX(R$310:R$312,MATCH(Work_Codes!$I$75,$D$310:$D$312,0)))</f>
        <v>151768.77111441738</v>
      </c>
      <c r="S454" s="81">
        <f ca="1">S414*(1+INDEX(S$310:S$312,MATCH(Work_Codes!$I$75,$D$310:$D$312,0)))</f>
        <v>151596.15452066355</v>
      </c>
      <c r="T454" s="81">
        <f ca="1">T414*(1+INDEX(T$310:T$312,MATCH(Work_Codes!$I$75,$D$310:$D$312,0)))</f>
        <v>151371.19525665411</v>
      </c>
    </row>
    <row r="455" spans="4:20" outlineLevel="2">
      <c r="E455" s="247" t="str">
        <f>GC!C54</f>
        <v>Service pipes - post 1998</v>
      </c>
      <c r="F455" s="247"/>
      <c r="G455" s="247"/>
      <c r="H455" s="247"/>
      <c r="I455" s="247"/>
      <c r="J455" s="81">
        <f ca="1">J415*(1+INDEX(J$310:J$312,MATCH(Work_Codes!$I$75,$D$310:$D$312,0)))</f>
        <v>0</v>
      </c>
      <c r="K455" s="81">
        <f ca="1">K415*(1+INDEX(K$310:K$312,MATCH(Work_Codes!$I$75,$D$310:$D$312,0)))</f>
        <v>0</v>
      </c>
      <c r="L455" s="81">
        <f ca="1">L415*(1+INDEX(L$310:L$312,MATCH(Work_Codes!$I$75,$D$310:$D$312,0)))</f>
        <v>0</v>
      </c>
      <c r="M455" s="81">
        <f ca="1">M415*(1+INDEX(M$310:M$312,MATCH(Work_Codes!$I$75,$D$310:$D$312,0)))</f>
        <v>0</v>
      </c>
      <c r="N455" s="81">
        <f ca="1">N415*(1+INDEX(N$310:N$312,MATCH(Work_Codes!$I$75,$D$310:$D$312,0)))</f>
        <v>146203.29832971396</v>
      </c>
      <c r="O455" s="81">
        <f ca="1">O415*(1+INDEX(O$310:O$312,MATCH(Work_Codes!$I$75,$D$310:$D$312,0)))</f>
        <v>71904.998477806308</v>
      </c>
      <c r="P455" s="81">
        <f ca="1">P415*(1+INDEX(P$310:P$312,MATCH(Work_Codes!$I$75,$D$310:$D$312,0)))</f>
        <v>215653.11370593269</v>
      </c>
      <c r="Q455" s="81">
        <f ca="1">Q415*(1+INDEX(Q$310:Q$312,MATCH(Work_Codes!$I$75,$D$310:$D$312,0)))</f>
        <v>216048.44595409476</v>
      </c>
      <c r="R455" s="81">
        <f ca="1">R415*(1+INDEX(R$310:R$312,MATCH(Work_Codes!$I$75,$D$310:$D$312,0)))</f>
        <v>216796.87643943841</v>
      </c>
      <c r="S455" s="81">
        <f ca="1">S415*(1+INDEX(S$310:S$312,MATCH(Work_Codes!$I$75,$D$310:$D$312,0)))</f>
        <v>217737.15619081323</v>
      </c>
      <c r="T455" s="81">
        <f ca="1">T415*(1+INDEX(T$310:T$312,MATCH(Work_Codes!$I$75,$D$310:$D$312,0)))</f>
        <v>218624.75972597333</v>
      </c>
    </row>
    <row r="456" spans="4:20" outlineLevel="2">
      <c r="E456" s="247" t="str">
        <f>GC!C55</f>
        <v>Cathodic protection - post 1998</v>
      </c>
      <c r="F456" s="247"/>
      <c r="G456" s="247"/>
      <c r="H456" s="247"/>
      <c r="I456" s="247"/>
      <c r="J456" s="81">
        <f ca="1">J416*(1+INDEX(J$310:J$312,MATCH(Work_Codes!$I$75,$D$310:$D$312,0)))</f>
        <v>0</v>
      </c>
      <c r="K456" s="81">
        <f ca="1">K416*(1+INDEX(K$310:K$312,MATCH(Work_Codes!$I$75,$D$310:$D$312,0)))</f>
        <v>0</v>
      </c>
      <c r="L456" s="81">
        <f ca="1">L416*(1+INDEX(L$310:L$312,MATCH(Work_Codes!$I$75,$D$310:$D$312,0)))</f>
        <v>0</v>
      </c>
      <c r="M456" s="81">
        <f ca="1">M416*(1+INDEX(M$310:M$312,MATCH(Work_Codes!$I$75,$D$310:$D$312,0)))</f>
        <v>0</v>
      </c>
      <c r="N456" s="81">
        <f ca="1">N416*(1+INDEX(N$310:N$312,MATCH(Work_Codes!$I$75,$D$310:$D$312,0)))</f>
        <v>0</v>
      </c>
      <c r="O456" s="81">
        <f ca="1">O416*(1+INDEX(O$310:O$312,MATCH(Work_Codes!$I$75,$D$310:$D$312,0)))</f>
        <v>0</v>
      </c>
      <c r="P456" s="81">
        <f ca="1">P416*(1+INDEX(P$310:P$312,MATCH(Work_Codes!$I$75,$D$310:$D$312,0)))</f>
        <v>0</v>
      </c>
      <c r="Q456" s="81">
        <f ca="1">Q416*(1+INDEX(Q$310:Q$312,MATCH(Work_Codes!$I$75,$D$310:$D$312,0)))</f>
        <v>0</v>
      </c>
      <c r="R456" s="81">
        <f ca="1">R416*(1+INDEX(R$310:R$312,MATCH(Work_Codes!$I$75,$D$310:$D$312,0)))</f>
        <v>0</v>
      </c>
      <c r="S456" s="81">
        <f ca="1">S416*(1+INDEX(S$310:S$312,MATCH(Work_Codes!$I$75,$D$310:$D$312,0)))</f>
        <v>0</v>
      </c>
      <c r="T456" s="81">
        <f ca="1">T416*(1+INDEX(T$310:T$312,MATCH(Work_Codes!$I$75,$D$310:$D$312,0)))</f>
        <v>0</v>
      </c>
    </row>
    <row r="457" spans="4:20" ht="12" customHeight="1" outlineLevel="2">
      <c r="E457" s="249" t="str">
        <f>"Total "&amp;D439</f>
        <v>Total Direct Costs + Overheads</v>
      </c>
      <c r="F457" s="249"/>
      <c r="G457" s="249"/>
      <c r="H457" s="249"/>
      <c r="I457" s="249"/>
      <c r="J457" s="82">
        <f t="shared" ref="J457:T457" ca="1" si="48">SUM(J441:J456)</f>
        <v>0</v>
      </c>
      <c r="K457" s="82">
        <f t="shared" ca="1" si="48"/>
        <v>0</v>
      </c>
      <c r="L457" s="82">
        <f t="shared" ca="1" si="48"/>
        <v>0</v>
      </c>
      <c r="M457" s="82">
        <f t="shared" ca="1" si="48"/>
        <v>0</v>
      </c>
      <c r="N457" s="82">
        <f t="shared" ca="1" si="48"/>
        <v>292406.59665942792</v>
      </c>
      <c r="O457" s="82">
        <f t="shared" ca="1" si="48"/>
        <v>143809.99695561262</v>
      </c>
      <c r="P457" s="82">
        <f t="shared" ca="1" si="48"/>
        <v>368241.45412519464</v>
      </c>
      <c r="Q457" s="82">
        <f t="shared" ca="1" si="48"/>
        <v>368109.14591816487</v>
      </c>
      <c r="R457" s="82">
        <f t="shared" ca="1" si="48"/>
        <v>368565.64755385579</v>
      </c>
      <c r="S457" s="82">
        <f t="shared" ca="1" si="48"/>
        <v>369333.31071147678</v>
      </c>
      <c r="T457" s="82">
        <f t="shared" ca="1" si="48"/>
        <v>369995.95498262742</v>
      </c>
    </row>
    <row r="458" spans="4:20" outlineLevel="2"/>
    <row r="459" spans="4:20" outlineLevel="2">
      <c r="D459" s="37" t="s">
        <v>367</v>
      </c>
    </row>
    <row r="460" spans="4:20" ht="5.9" customHeight="1" outlineLevel="2"/>
    <row r="461" spans="4:20" outlineLevel="2">
      <c r="E461" s="247" t="str">
        <f>GC!C40</f>
        <v>Transmission pipelines</v>
      </c>
      <c r="F461" s="247"/>
      <c r="G461" s="247"/>
      <c r="H461" s="247"/>
      <c r="I461" s="247"/>
      <c r="J461" s="81">
        <f ca="1">SUMPRODUCT((Work_Codes!$N$78:$Y$78=$E461)*(Work_Codes!$N$89:$Y$89)*(J$349:J$349))</f>
        <v>0</v>
      </c>
      <c r="K461" s="81">
        <f ca="1">SUMPRODUCT((Work_Codes!$N$78:$Y$78=$E461)*(Work_Codes!$N$89:$Y$89)*(K$349:K$349))</f>
        <v>0</v>
      </c>
      <c r="L461" s="81">
        <f ca="1">SUMPRODUCT((Work_Codes!$N$78:$Y$78=$E461)*(Work_Codes!$N$89:$Y$89)*(L$349:L$349))</f>
        <v>0</v>
      </c>
      <c r="M461" s="81">
        <f ca="1">SUMPRODUCT((Work_Codes!$N$78:$Y$78=$E461)*(Work_Codes!$N$89:$Y$89)*(M$349:M$349))</f>
        <v>0</v>
      </c>
      <c r="N461" s="81">
        <f ca="1">SUMPRODUCT((Work_Codes!$N$78:$Y$78=$E461)*(Work_Codes!$N$89:$Y$89)*(N$349:N$349))</f>
        <v>0</v>
      </c>
      <c r="O461" s="81">
        <f ca="1">SUMPRODUCT((Work_Codes!$N$78:$Y$78=$E461)*(Work_Codes!$N$89:$Y$89)*(O$349:O$349))</f>
        <v>0</v>
      </c>
      <c r="P461" s="81">
        <f ca="1">SUMPRODUCT((Work_Codes!$N$78:$Y$78=$E461)*(Work_Codes!$N$89:$Y$89)*(P$349:P$349))</f>
        <v>0</v>
      </c>
      <c r="Q461" s="81">
        <f ca="1">SUMPRODUCT((Work_Codes!$N$78:$Y$78=$E461)*(Work_Codes!$N$89:$Y$89)*(Q$349:Q$349))</f>
        <v>0</v>
      </c>
      <c r="R461" s="81">
        <f ca="1">SUMPRODUCT((Work_Codes!$N$78:$Y$78=$E461)*(Work_Codes!$N$89:$Y$89)*(R$349:R$349))</f>
        <v>0</v>
      </c>
      <c r="S461" s="81">
        <f ca="1">SUMPRODUCT((Work_Codes!$N$78:$Y$78=$E461)*(Work_Codes!$N$89:$Y$89)*(S$349:S$349))</f>
        <v>0</v>
      </c>
      <c r="T461" s="81">
        <f ca="1">SUMPRODUCT((Work_Codes!$N$78:$Y$78=$E461)*(Work_Codes!$N$89:$Y$89)*(T$349:T$349))</f>
        <v>0</v>
      </c>
    </row>
    <row r="462" spans="4:20" outlineLevel="2">
      <c r="E462" s="247" t="str">
        <f>GC!C41</f>
        <v>Distribution pipelines</v>
      </c>
      <c r="F462" s="247"/>
      <c r="G462" s="247"/>
      <c r="H462" s="247"/>
      <c r="I462" s="247"/>
      <c r="J462" s="81">
        <f ca="1">SUMPRODUCT((Work_Codes!$N$78:$Y$78=$E462)*(Work_Codes!$N$89:$Y$89)*(J$349:J$349))</f>
        <v>0</v>
      </c>
      <c r="K462" s="81">
        <f ca="1">SUMPRODUCT((Work_Codes!$N$78:$Y$78=$E462)*(Work_Codes!$N$89:$Y$89)*(K$349:K$349))</f>
        <v>0</v>
      </c>
      <c r="L462" s="81">
        <f ca="1">SUMPRODUCT((Work_Codes!$N$78:$Y$78=$E462)*(Work_Codes!$N$89:$Y$89)*(L$349:L$349))</f>
        <v>0</v>
      </c>
      <c r="M462" s="81">
        <f ca="1">SUMPRODUCT((Work_Codes!$N$78:$Y$78=$E462)*(Work_Codes!$N$89:$Y$89)*(M$349:M$349))</f>
        <v>0</v>
      </c>
      <c r="N462" s="81">
        <f ca="1">SUMPRODUCT((Work_Codes!$N$78:$Y$78=$E462)*(Work_Codes!$N$89:$Y$89)*(N$349:N$349))</f>
        <v>0</v>
      </c>
      <c r="O462" s="81">
        <f ca="1">SUMPRODUCT((Work_Codes!$N$78:$Y$78=$E462)*(Work_Codes!$N$89:$Y$89)*(O$349:O$349))</f>
        <v>0</v>
      </c>
      <c r="P462" s="81">
        <f ca="1">SUMPRODUCT((Work_Codes!$N$78:$Y$78=$E462)*(Work_Codes!$N$89:$Y$89)*(P$349:P$349))</f>
        <v>0</v>
      </c>
      <c r="Q462" s="81">
        <f ca="1">SUMPRODUCT((Work_Codes!$N$78:$Y$78=$E462)*(Work_Codes!$N$89:$Y$89)*(Q$349:Q$349))</f>
        <v>0</v>
      </c>
      <c r="R462" s="81">
        <f ca="1">SUMPRODUCT((Work_Codes!$N$78:$Y$78=$E462)*(Work_Codes!$N$89:$Y$89)*(R$349:R$349))</f>
        <v>0</v>
      </c>
      <c r="S462" s="81">
        <f ca="1">SUMPRODUCT((Work_Codes!$N$78:$Y$78=$E462)*(Work_Codes!$N$89:$Y$89)*(S$349:S$349))</f>
        <v>0</v>
      </c>
      <c r="T462" s="81">
        <f ca="1">SUMPRODUCT((Work_Codes!$N$78:$Y$78=$E462)*(Work_Codes!$N$89:$Y$89)*(T$349:T$349))</f>
        <v>0</v>
      </c>
    </row>
    <row r="463" spans="4:20" outlineLevel="2">
      <c r="E463" s="247" t="str">
        <f>GC!C42</f>
        <v>Service pipes</v>
      </c>
      <c r="F463" s="247"/>
      <c r="G463" s="247"/>
      <c r="H463" s="247"/>
      <c r="I463" s="247"/>
      <c r="J463" s="81">
        <f ca="1">SUMPRODUCT((Work_Codes!$N$78:$Y$78=$E463)*(Work_Codes!$N$89:$Y$89)*(J$349:J$349))</f>
        <v>0</v>
      </c>
      <c r="K463" s="81">
        <f ca="1">SUMPRODUCT((Work_Codes!$N$78:$Y$78=$E463)*(Work_Codes!$N$89:$Y$89)*(K$349:K$349))</f>
        <v>0</v>
      </c>
      <c r="L463" s="81">
        <f ca="1">SUMPRODUCT((Work_Codes!$N$78:$Y$78=$E463)*(Work_Codes!$N$89:$Y$89)*(L$349:L$349))</f>
        <v>0</v>
      </c>
      <c r="M463" s="81">
        <f ca="1">SUMPRODUCT((Work_Codes!$N$78:$Y$78=$E463)*(Work_Codes!$N$89:$Y$89)*(M$349:M$349))</f>
        <v>0</v>
      </c>
      <c r="N463" s="81">
        <f ca="1">SUMPRODUCT((Work_Codes!$N$78:$Y$78=$E463)*(Work_Codes!$N$89:$Y$89)*(N$349:N$349))</f>
        <v>0</v>
      </c>
      <c r="O463" s="81">
        <f ca="1">SUMPRODUCT((Work_Codes!$N$78:$Y$78=$E463)*(Work_Codes!$N$89:$Y$89)*(O$349:O$349))</f>
        <v>0</v>
      </c>
      <c r="P463" s="81">
        <f ca="1">SUMPRODUCT((Work_Codes!$N$78:$Y$78=$E463)*(Work_Codes!$N$89:$Y$89)*(P$349:P$349))</f>
        <v>0</v>
      </c>
      <c r="Q463" s="81">
        <f ca="1">SUMPRODUCT((Work_Codes!$N$78:$Y$78=$E463)*(Work_Codes!$N$89:$Y$89)*(Q$349:Q$349))</f>
        <v>0</v>
      </c>
      <c r="R463" s="81">
        <f ca="1">SUMPRODUCT((Work_Codes!$N$78:$Y$78=$E463)*(Work_Codes!$N$89:$Y$89)*(R$349:R$349))</f>
        <v>0</v>
      </c>
      <c r="S463" s="81">
        <f ca="1">SUMPRODUCT((Work_Codes!$N$78:$Y$78=$E463)*(Work_Codes!$N$89:$Y$89)*(S$349:S$349))</f>
        <v>0</v>
      </c>
      <c r="T463" s="81">
        <f ca="1">SUMPRODUCT((Work_Codes!$N$78:$Y$78=$E463)*(Work_Codes!$N$89:$Y$89)*(T$349:T$349))</f>
        <v>0</v>
      </c>
    </row>
    <row r="464" spans="4:20" outlineLevel="2">
      <c r="E464" s="247" t="str">
        <f>GC!C43</f>
        <v>Cathodic protection</v>
      </c>
      <c r="F464" s="247"/>
      <c r="G464" s="247"/>
      <c r="H464" s="247"/>
      <c r="I464" s="247"/>
      <c r="J464" s="81">
        <f ca="1">SUMPRODUCT((Work_Codes!$N$78:$Y$78=$E464)*(Work_Codes!$N$89:$Y$89)*(J$349:J$349))</f>
        <v>0</v>
      </c>
      <c r="K464" s="81">
        <f ca="1">SUMPRODUCT((Work_Codes!$N$78:$Y$78=$E464)*(Work_Codes!$N$89:$Y$89)*(K$349:K$349))</f>
        <v>0</v>
      </c>
      <c r="L464" s="81">
        <f ca="1">SUMPRODUCT((Work_Codes!$N$78:$Y$78=$E464)*(Work_Codes!$N$89:$Y$89)*(L$349:L$349))</f>
        <v>0</v>
      </c>
      <c r="M464" s="81">
        <f ca="1">SUMPRODUCT((Work_Codes!$N$78:$Y$78=$E464)*(Work_Codes!$N$89:$Y$89)*(M$349:M$349))</f>
        <v>0</v>
      </c>
      <c r="N464" s="81">
        <f ca="1">SUMPRODUCT((Work_Codes!$N$78:$Y$78=$E464)*(Work_Codes!$N$89:$Y$89)*(N$349:N$349))</f>
        <v>0</v>
      </c>
      <c r="O464" s="81">
        <f ca="1">SUMPRODUCT((Work_Codes!$N$78:$Y$78=$E464)*(Work_Codes!$N$89:$Y$89)*(O$349:O$349))</f>
        <v>0</v>
      </c>
      <c r="P464" s="81">
        <f ca="1">SUMPRODUCT((Work_Codes!$N$78:$Y$78=$E464)*(Work_Codes!$N$89:$Y$89)*(P$349:P$349))</f>
        <v>0</v>
      </c>
      <c r="Q464" s="81">
        <f ca="1">SUMPRODUCT((Work_Codes!$N$78:$Y$78=$E464)*(Work_Codes!$N$89:$Y$89)*(Q$349:Q$349))</f>
        <v>0</v>
      </c>
      <c r="R464" s="81">
        <f ca="1">SUMPRODUCT((Work_Codes!$N$78:$Y$78=$E464)*(Work_Codes!$N$89:$Y$89)*(R$349:R$349))</f>
        <v>0</v>
      </c>
      <c r="S464" s="81">
        <f ca="1">SUMPRODUCT((Work_Codes!$N$78:$Y$78=$E464)*(Work_Codes!$N$89:$Y$89)*(S$349:S$349))</f>
        <v>0</v>
      </c>
      <c r="T464" s="81">
        <f ca="1">SUMPRODUCT((Work_Codes!$N$78:$Y$78=$E464)*(Work_Codes!$N$89:$Y$89)*(T$349:T$349))</f>
        <v>0</v>
      </c>
    </row>
    <row r="465" spans="2:20" outlineLevel="2">
      <c r="E465" s="247" t="str">
        <f>GC!C44</f>
        <v>Supply Regulators / Valve Stations</v>
      </c>
      <c r="F465" s="247"/>
      <c r="G465" s="247"/>
      <c r="H465" s="247"/>
      <c r="I465" s="247"/>
      <c r="J465" s="81">
        <f ca="1">SUMPRODUCT((Work_Codes!$N$78:$Y$78=$E465)*(Work_Codes!$N$89:$Y$89)*(J$349:J$349))</f>
        <v>0</v>
      </c>
      <c r="K465" s="81">
        <f ca="1">SUMPRODUCT((Work_Codes!$N$78:$Y$78=$E465)*(Work_Codes!$N$89:$Y$89)*(K$349:K$349))</f>
        <v>0</v>
      </c>
      <c r="L465" s="81">
        <f ca="1">SUMPRODUCT((Work_Codes!$N$78:$Y$78=$E465)*(Work_Codes!$N$89:$Y$89)*(L$349:L$349))</f>
        <v>0</v>
      </c>
      <c r="M465" s="81">
        <f ca="1">SUMPRODUCT((Work_Codes!$N$78:$Y$78=$E465)*(Work_Codes!$N$89:$Y$89)*(M$349:M$349))</f>
        <v>0</v>
      </c>
      <c r="N465" s="81">
        <f ca="1">SUMPRODUCT((Work_Codes!$N$78:$Y$78=$E465)*(Work_Codes!$N$89:$Y$89)*(N$349:N$349))</f>
        <v>0</v>
      </c>
      <c r="O465" s="81">
        <f ca="1">SUMPRODUCT((Work_Codes!$N$78:$Y$78=$E465)*(Work_Codes!$N$89:$Y$89)*(O$349:O$349))</f>
        <v>0</v>
      </c>
      <c r="P465" s="81">
        <f ca="1">SUMPRODUCT((Work_Codes!$N$78:$Y$78=$E465)*(Work_Codes!$N$89:$Y$89)*(P$349:P$349))</f>
        <v>0</v>
      </c>
      <c r="Q465" s="81">
        <f ca="1">SUMPRODUCT((Work_Codes!$N$78:$Y$78=$E465)*(Work_Codes!$N$89:$Y$89)*(Q$349:Q$349))</f>
        <v>0</v>
      </c>
      <c r="R465" s="81">
        <f ca="1">SUMPRODUCT((Work_Codes!$N$78:$Y$78=$E465)*(Work_Codes!$N$89:$Y$89)*(R$349:R$349))</f>
        <v>0</v>
      </c>
      <c r="S465" s="81">
        <f ca="1">SUMPRODUCT((Work_Codes!$N$78:$Y$78=$E465)*(Work_Codes!$N$89:$Y$89)*(S$349:S$349))</f>
        <v>0</v>
      </c>
      <c r="T465" s="81">
        <f ca="1">SUMPRODUCT((Work_Codes!$N$78:$Y$78=$E465)*(Work_Codes!$N$89:$Y$89)*(T$349:T$349))</f>
        <v>0</v>
      </c>
    </row>
    <row r="466" spans="2:20" outlineLevel="2">
      <c r="E466" s="247" t="str">
        <f>GC!C45</f>
        <v>Meters</v>
      </c>
      <c r="F466" s="247"/>
      <c r="G466" s="247"/>
      <c r="H466" s="247"/>
      <c r="I466" s="247"/>
      <c r="J466" s="81">
        <f ca="1">SUMPRODUCT((Work_Codes!$N$78:$Y$78=$E466)*(Work_Codes!$N$89:$Y$89)*(J$349:J$349))</f>
        <v>0</v>
      </c>
      <c r="K466" s="81">
        <f ca="1">SUMPRODUCT((Work_Codes!$N$78:$Y$78=$E466)*(Work_Codes!$N$89:$Y$89)*(K$349:K$349))</f>
        <v>0</v>
      </c>
      <c r="L466" s="81">
        <f ca="1">SUMPRODUCT((Work_Codes!$N$78:$Y$78=$E466)*(Work_Codes!$N$89:$Y$89)*(L$349:L$349))</f>
        <v>0</v>
      </c>
      <c r="M466" s="81">
        <f ca="1">SUMPRODUCT((Work_Codes!$N$78:$Y$78=$E466)*(Work_Codes!$N$89:$Y$89)*(M$349:M$349))</f>
        <v>0</v>
      </c>
      <c r="N466" s="81">
        <f ca="1">SUMPRODUCT((Work_Codes!$N$78:$Y$78=$E466)*(Work_Codes!$N$89:$Y$89)*(N$349:N$349))</f>
        <v>0</v>
      </c>
      <c r="O466" s="81">
        <f ca="1">SUMPRODUCT((Work_Codes!$N$78:$Y$78=$E466)*(Work_Codes!$N$89:$Y$89)*(O$349:O$349))</f>
        <v>0</v>
      </c>
      <c r="P466" s="81">
        <f ca="1">SUMPRODUCT((Work_Codes!$N$78:$Y$78=$E466)*(Work_Codes!$N$89:$Y$89)*(P$349:P$349))</f>
        <v>0</v>
      </c>
      <c r="Q466" s="81">
        <f ca="1">SUMPRODUCT((Work_Codes!$N$78:$Y$78=$E466)*(Work_Codes!$N$89:$Y$89)*(Q$349:Q$349))</f>
        <v>0</v>
      </c>
      <c r="R466" s="81">
        <f ca="1">SUMPRODUCT((Work_Codes!$N$78:$Y$78=$E466)*(Work_Codes!$N$89:$Y$89)*(R$349:R$349))</f>
        <v>0</v>
      </c>
      <c r="S466" s="81">
        <f ca="1">SUMPRODUCT((Work_Codes!$N$78:$Y$78=$E466)*(Work_Codes!$N$89:$Y$89)*(S$349:S$349))</f>
        <v>0</v>
      </c>
      <c r="T466" s="81">
        <f ca="1">SUMPRODUCT((Work_Codes!$N$78:$Y$78=$E466)*(Work_Codes!$N$89:$Y$89)*(T$349:T$349))</f>
        <v>0</v>
      </c>
    </row>
    <row r="467" spans="2:20" outlineLevel="2">
      <c r="E467" s="247" t="str">
        <f>GC!C46</f>
        <v>SCADA and remote control</v>
      </c>
      <c r="F467" s="247"/>
      <c r="G467" s="247"/>
      <c r="H467" s="247"/>
      <c r="I467" s="247"/>
      <c r="J467" s="81">
        <f ca="1">SUMPRODUCT((Work_Codes!$N$78:$Y$78=$E467)*(Work_Codes!$N$89:$Y$89)*(J$349:J$349))</f>
        <v>0</v>
      </c>
      <c r="K467" s="81">
        <f ca="1">SUMPRODUCT((Work_Codes!$N$78:$Y$78=$E467)*(Work_Codes!$N$89:$Y$89)*(K$349:K$349))</f>
        <v>0</v>
      </c>
      <c r="L467" s="81">
        <f ca="1">SUMPRODUCT((Work_Codes!$N$78:$Y$78=$E467)*(Work_Codes!$N$89:$Y$89)*(L$349:L$349))</f>
        <v>0</v>
      </c>
      <c r="M467" s="81">
        <f ca="1">SUMPRODUCT((Work_Codes!$N$78:$Y$78=$E467)*(Work_Codes!$N$89:$Y$89)*(M$349:M$349))</f>
        <v>0</v>
      </c>
      <c r="N467" s="81">
        <f ca="1">SUMPRODUCT((Work_Codes!$N$78:$Y$78=$E467)*(Work_Codes!$N$89:$Y$89)*(N$349:N$349))</f>
        <v>0</v>
      </c>
      <c r="O467" s="81">
        <f ca="1">SUMPRODUCT((Work_Codes!$N$78:$Y$78=$E467)*(Work_Codes!$N$89:$Y$89)*(O$349:O$349))</f>
        <v>0</v>
      </c>
      <c r="P467" s="81">
        <f ca="1">SUMPRODUCT((Work_Codes!$N$78:$Y$78=$E467)*(Work_Codes!$N$89:$Y$89)*(P$349:P$349))</f>
        <v>0</v>
      </c>
      <c r="Q467" s="81">
        <f ca="1">SUMPRODUCT((Work_Codes!$N$78:$Y$78=$E467)*(Work_Codes!$N$89:$Y$89)*(Q$349:Q$349))</f>
        <v>0</v>
      </c>
      <c r="R467" s="81">
        <f ca="1">SUMPRODUCT((Work_Codes!$N$78:$Y$78=$E467)*(Work_Codes!$N$89:$Y$89)*(R$349:R$349))</f>
        <v>0</v>
      </c>
      <c r="S467" s="81">
        <f ca="1">SUMPRODUCT((Work_Codes!$N$78:$Y$78=$E467)*(Work_Codes!$N$89:$Y$89)*(S$349:S$349))</f>
        <v>0</v>
      </c>
      <c r="T467" s="81">
        <f ca="1">SUMPRODUCT((Work_Codes!$N$78:$Y$78=$E467)*(Work_Codes!$N$89:$Y$89)*(T$349:T$349))</f>
        <v>0</v>
      </c>
    </row>
    <row r="468" spans="2:20" outlineLevel="2">
      <c r="E468" s="247" t="str">
        <f>GC!C47</f>
        <v>Buildings</v>
      </c>
      <c r="F468" s="247"/>
      <c r="G468" s="247"/>
      <c r="H468" s="247"/>
      <c r="I468" s="247"/>
      <c r="J468" s="81">
        <f ca="1">SUMPRODUCT((Work_Codes!$N$78:$Y$78=$E468)*(Work_Codes!$N$89:$Y$89)*(J$349:J$349))</f>
        <v>0</v>
      </c>
      <c r="K468" s="81">
        <f ca="1">SUMPRODUCT((Work_Codes!$N$78:$Y$78=$E468)*(Work_Codes!$N$89:$Y$89)*(K$349:K$349))</f>
        <v>0</v>
      </c>
      <c r="L468" s="81">
        <f ca="1">SUMPRODUCT((Work_Codes!$N$78:$Y$78=$E468)*(Work_Codes!$N$89:$Y$89)*(L$349:L$349))</f>
        <v>0</v>
      </c>
      <c r="M468" s="81">
        <f ca="1">SUMPRODUCT((Work_Codes!$N$78:$Y$78=$E468)*(Work_Codes!$N$89:$Y$89)*(M$349:M$349))</f>
        <v>0</v>
      </c>
      <c r="N468" s="81">
        <f ca="1">SUMPRODUCT((Work_Codes!$N$78:$Y$78=$E468)*(Work_Codes!$N$89:$Y$89)*(N$349:N$349))</f>
        <v>0</v>
      </c>
      <c r="O468" s="81">
        <f ca="1">SUMPRODUCT((Work_Codes!$N$78:$Y$78=$E468)*(Work_Codes!$N$89:$Y$89)*(O$349:O$349))</f>
        <v>0</v>
      </c>
      <c r="P468" s="81">
        <f ca="1">SUMPRODUCT((Work_Codes!$N$78:$Y$78=$E468)*(Work_Codes!$N$89:$Y$89)*(P$349:P$349))</f>
        <v>0</v>
      </c>
      <c r="Q468" s="81">
        <f ca="1">SUMPRODUCT((Work_Codes!$N$78:$Y$78=$E468)*(Work_Codes!$N$89:$Y$89)*(Q$349:Q$349))</f>
        <v>0</v>
      </c>
      <c r="R468" s="81">
        <f ca="1">SUMPRODUCT((Work_Codes!$N$78:$Y$78=$E468)*(Work_Codes!$N$89:$Y$89)*(R$349:R$349))</f>
        <v>0</v>
      </c>
      <c r="S468" s="81">
        <f ca="1">SUMPRODUCT((Work_Codes!$N$78:$Y$78=$E468)*(Work_Codes!$N$89:$Y$89)*(S$349:S$349))</f>
        <v>0</v>
      </c>
      <c r="T468" s="81">
        <f ca="1">SUMPRODUCT((Work_Codes!$N$78:$Y$78=$E468)*(Work_Codes!$N$89:$Y$89)*(T$349:T$349))</f>
        <v>0</v>
      </c>
    </row>
    <row r="469" spans="2:20" outlineLevel="2">
      <c r="E469" s="247" t="str">
        <f>GC!C48</f>
        <v>Other - IT</v>
      </c>
      <c r="F469" s="247"/>
      <c r="G469" s="247"/>
      <c r="H469" s="247"/>
      <c r="I469" s="247"/>
      <c r="J469" s="81">
        <f ca="1">SUMPRODUCT((Work_Codes!$N$78:$Y$78=$E469)*(Work_Codes!$N$89:$Y$89)*(J$349:J$349))</f>
        <v>0</v>
      </c>
      <c r="K469" s="81">
        <f ca="1">SUMPRODUCT((Work_Codes!$N$78:$Y$78=$E469)*(Work_Codes!$N$89:$Y$89)*(K$349:K$349))</f>
        <v>0</v>
      </c>
      <c r="L469" s="81">
        <f ca="1">SUMPRODUCT((Work_Codes!$N$78:$Y$78=$E469)*(Work_Codes!$N$89:$Y$89)*(L$349:L$349))</f>
        <v>0</v>
      </c>
      <c r="M469" s="81">
        <f ca="1">SUMPRODUCT((Work_Codes!$N$78:$Y$78=$E469)*(Work_Codes!$N$89:$Y$89)*(M$349:M$349))</f>
        <v>0</v>
      </c>
      <c r="N469" s="81">
        <f ca="1">SUMPRODUCT((Work_Codes!$N$78:$Y$78=$E469)*(Work_Codes!$N$89:$Y$89)*(N$349:N$349))</f>
        <v>0</v>
      </c>
      <c r="O469" s="81">
        <f ca="1">SUMPRODUCT((Work_Codes!$N$78:$Y$78=$E469)*(Work_Codes!$N$89:$Y$89)*(O$349:O$349))</f>
        <v>0</v>
      </c>
      <c r="P469" s="81">
        <f ca="1">SUMPRODUCT((Work_Codes!$N$78:$Y$78=$E469)*(Work_Codes!$N$89:$Y$89)*(P$349:P$349))</f>
        <v>0</v>
      </c>
      <c r="Q469" s="81">
        <f ca="1">SUMPRODUCT((Work_Codes!$N$78:$Y$78=$E469)*(Work_Codes!$N$89:$Y$89)*(Q$349:Q$349))</f>
        <v>0</v>
      </c>
      <c r="R469" s="81">
        <f ca="1">SUMPRODUCT((Work_Codes!$N$78:$Y$78=$E469)*(Work_Codes!$N$89:$Y$89)*(R$349:R$349))</f>
        <v>0</v>
      </c>
      <c r="S469" s="81">
        <f ca="1">SUMPRODUCT((Work_Codes!$N$78:$Y$78=$E469)*(Work_Codes!$N$89:$Y$89)*(S$349:S$349))</f>
        <v>0</v>
      </c>
      <c r="T469" s="81">
        <f ca="1">SUMPRODUCT((Work_Codes!$N$78:$Y$78=$E469)*(Work_Codes!$N$89:$Y$89)*(T$349:T$349))</f>
        <v>0</v>
      </c>
    </row>
    <row r="470" spans="2:20" outlineLevel="2">
      <c r="E470" s="247" t="str">
        <f>GC!C49</f>
        <v>Other - non IT</v>
      </c>
      <c r="F470" s="247"/>
      <c r="G470" s="247"/>
      <c r="H470" s="247"/>
      <c r="I470" s="247"/>
      <c r="J470" s="81">
        <f ca="1">SUMPRODUCT((Work_Codes!$N$78:$Y$78=$E470)*(Work_Codes!$N$89:$Y$89)*(J$349:J$349))</f>
        <v>0</v>
      </c>
      <c r="K470" s="81">
        <f ca="1">SUMPRODUCT((Work_Codes!$N$78:$Y$78=$E470)*(Work_Codes!$N$89:$Y$89)*(K$349:K$349))</f>
        <v>0</v>
      </c>
      <c r="L470" s="81">
        <f ca="1">SUMPRODUCT((Work_Codes!$N$78:$Y$78=$E470)*(Work_Codes!$N$89:$Y$89)*(L$349:L$349))</f>
        <v>0</v>
      </c>
      <c r="M470" s="81">
        <f ca="1">SUMPRODUCT((Work_Codes!$N$78:$Y$78=$E470)*(Work_Codes!$N$89:$Y$89)*(M$349:M$349))</f>
        <v>0</v>
      </c>
      <c r="N470" s="81">
        <f ca="1">SUMPRODUCT((Work_Codes!$N$78:$Y$78=$E470)*(Work_Codes!$N$89:$Y$89)*(N$349:N$349))</f>
        <v>0</v>
      </c>
      <c r="O470" s="81">
        <f ca="1">SUMPRODUCT((Work_Codes!$N$78:$Y$78=$E470)*(Work_Codes!$N$89:$Y$89)*(O$349:O$349))</f>
        <v>0</v>
      </c>
      <c r="P470" s="81">
        <f ca="1">SUMPRODUCT((Work_Codes!$N$78:$Y$78=$E470)*(Work_Codes!$N$89:$Y$89)*(P$349:P$349))</f>
        <v>0</v>
      </c>
      <c r="Q470" s="81">
        <f ca="1">SUMPRODUCT((Work_Codes!$N$78:$Y$78=$E470)*(Work_Codes!$N$89:$Y$89)*(Q$349:Q$349))</f>
        <v>0</v>
      </c>
      <c r="R470" s="81">
        <f ca="1">SUMPRODUCT((Work_Codes!$N$78:$Y$78=$E470)*(Work_Codes!$N$89:$Y$89)*(R$349:R$349))</f>
        <v>0</v>
      </c>
      <c r="S470" s="81">
        <f ca="1">SUMPRODUCT((Work_Codes!$N$78:$Y$78=$E470)*(Work_Codes!$N$89:$Y$89)*(S$349:S$349))</f>
        <v>0</v>
      </c>
      <c r="T470" s="81">
        <f ca="1">SUMPRODUCT((Work_Codes!$N$78:$Y$78=$E470)*(Work_Codes!$N$89:$Y$89)*(T$349:T$349))</f>
        <v>0</v>
      </c>
    </row>
    <row r="471" spans="2:20" outlineLevel="2">
      <c r="E471" s="247" t="str">
        <f>GC!C50</f>
        <v>Land</v>
      </c>
      <c r="F471" s="247"/>
      <c r="G471" s="247"/>
      <c r="H471" s="247"/>
      <c r="I471" s="247"/>
      <c r="J471" s="81">
        <f ca="1">SUMPRODUCT((Work_Codes!$N$78:$Y$78=$E471)*(Work_Codes!$N$89:$Y$89)*(J$349:J$349))</f>
        <v>0</v>
      </c>
      <c r="K471" s="81">
        <f ca="1">SUMPRODUCT((Work_Codes!$N$78:$Y$78=$E471)*(Work_Codes!$N$89:$Y$89)*(K$349:K$349))</f>
        <v>0</v>
      </c>
      <c r="L471" s="81">
        <f ca="1">SUMPRODUCT((Work_Codes!$N$78:$Y$78=$E471)*(Work_Codes!$N$89:$Y$89)*(L$349:L$349))</f>
        <v>0</v>
      </c>
      <c r="M471" s="81">
        <f ca="1">SUMPRODUCT((Work_Codes!$N$78:$Y$78=$E471)*(Work_Codes!$N$89:$Y$89)*(M$349:M$349))</f>
        <v>0</v>
      </c>
      <c r="N471" s="81">
        <f ca="1">SUMPRODUCT((Work_Codes!$N$78:$Y$78=$E471)*(Work_Codes!$N$89:$Y$89)*(N$349:N$349))</f>
        <v>0</v>
      </c>
      <c r="O471" s="81">
        <f ca="1">SUMPRODUCT((Work_Codes!$N$78:$Y$78=$E471)*(Work_Codes!$N$89:$Y$89)*(O$349:O$349))</f>
        <v>0</v>
      </c>
      <c r="P471" s="81">
        <f ca="1">SUMPRODUCT((Work_Codes!$N$78:$Y$78=$E471)*(Work_Codes!$N$89:$Y$89)*(P$349:P$349))</f>
        <v>0</v>
      </c>
      <c r="Q471" s="81">
        <f ca="1">SUMPRODUCT((Work_Codes!$N$78:$Y$78=$E471)*(Work_Codes!$N$89:$Y$89)*(Q$349:Q$349))</f>
        <v>0</v>
      </c>
      <c r="R471" s="81">
        <f ca="1">SUMPRODUCT((Work_Codes!$N$78:$Y$78=$E471)*(Work_Codes!$N$89:$Y$89)*(R$349:R$349))</f>
        <v>0</v>
      </c>
      <c r="S471" s="81">
        <f ca="1">SUMPRODUCT((Work_Codes!$N$78:$Y$78=$E471)*(Work_Codes!$N$89:$Y$89)*(S$349:S$349))</f>
        <v>0</v>
      </c>
      <c r="T471" s="81">
        <f ca="1">SUMPRODUCT((Work_Codes!$N$78:$Y$78=$E471)*(Work_Codes!$N$89:$Y$89)*(T$349:T$349))</f>
        <v>0</v>
      </c>
    </row>
    <row r="472" spans="2:20" outlineLevel="2">
      <c r="E472" s="247" t="str">
        <f>GC!C51</f>
        <v>Capitalised Leases</v>
      </c>
      <c r="F472" s="247"/>
      <c r="G472" s="247"/>
      <c r="H472" s="247"/>
      <c r="I472" s="247"/>
      <c r="J472" s="81">
        <f ca="1">SUMPRODUCT((Work_Codes!$N$78:$Y$78=$E472)*(Work_Codes!$N$89:$Y$89)*(J$349:J$349))</f>
        <v>0</v>
      </c>
      <c r="K472" s="81">
        <f ca="1">SUMPRODUCT((Work_Codes!$N$78:$Y$78=$E472)*(Work_Codes!$N$89:$Y$89)*(K$349:K$349))</f>
        <v>0</v>
      </c>
      <c r="L472" s="81">
        <f ca="1">SUMPRODUCT((Work_Codes!$N$78:$Y$78=$E472)*(Work_Codes!$N$89:$Y$89)*(L$349:L$349))</f>
        <v>0</v>
      </c>
      <c r="M472" s="81">
        <f ca="1">SUMPRODUCT((Work_Codes!$N$78:$Y$78=$E472)*(Work_Codes!$N$89:$Y$89)*(M$349:M$349))</f>
        <v>0</v>
      </c>
      <c r="N472" s="81">
        <f ca="1">SUMPRODUCT((Work_Codes!$N$78:$Y$78=$E472)*(Work_Codes!$N$89:$Y$89)*(N$349:N$349))</f>
        <v>0</v>
      </c>
      <c r="O472" s="81">
        <f ca="1">SUMPRODUCT((Work_Codes!$N$78:$Y$78=$E472)*(Work_Codes!$N$89:$Y$89)*(O$349:O$349))</f>
        <v>0</v>
      </c>
      <c r="P472" s="81">
        <f ca="1">SUMPRODUCT((Work_Codes!$N$78:$Y$78=$E472)*(Work_Codes!$N$89:$Y$89)*(P$349:P$349))</f>
        <v>0</v>
      </c>
      <c r="Q472" s="81">
        <f ca="1">SUMPRODUCT((Work_Codes!$N$78:$Y$78=$E472)*(Work_Codes!$N$89:$Y$89)*(Q$349:Q$349))</f>
        <v>0</v>
      </c>
      <c r="R472" s="81">
        <f ca="1">SUMPRODUCT((Work_Codes!$N$78:$Y$78=$E472)*(Work_Codes!$N$89:$Y$89)*(R$349:R$349))</f>
        <v>0</v>
      </c>
      <c r="S472" s="81">
        <f ca="1">SUMPRODUCT((Work_Codes!$N$78:$Y$78=$E472)*(Work_Codes!$N$89:$Y$89)*(S$349:S$349))</f>
        <v>0</v>
      </c>
      <c r="T472" s="81">
        <f ca="1">SUMPRODUCT((Work_Codes!$N$78:$Y$78=$E472)*(Work_Codes!$N$89:$Y$89)*(T$349:T$349))</f>
        <v>0</v>
      </c>
    </row>
    <row r="473" spans="2:20" outlineLevel="2">
      <c r="E473" s="247" t="str">
        <f>GC!C52</f>
        <v>Transmission pipelines - post 1998</v>
      </c>
      <c r="F473" s="247"/>
      <c r="G473" s="247"/>
      <c r="H473" s="247"/>
      <c r="I473" s="247"/>
      <c r="J473" s="81">
        <f ca="1">SUMPRODUCT((Work_Codes!$N$78:$Y$78=$E473)*(Work_Codes!$N$89:$Y$89)*(J$349:J$349))</f>
        <v>0</v>
      </c>
      <c r="K473" s="81">
        <f ca="1">SUMPRODUCT((Work_Codes!$N$78:$Y$78=$E473)*(Work_Codes!$N$89:$Y$89)*(K$349:K$349))</f>
        <v>0</v>
      </c>
      <c r="L473" s="81">
        <f ca="1">SUMPRODUCT((Work_Codes!$N$78:$Y$78=$E473)*(Work_Codes!$N$89:$Y$89)*(L$349:L$349))</f>
        <v>0</v>
      </c>
      <c r="M473" s="81">
        <f ca="1">SUMPRODUCT((Work_Codes!$N$78:$Y$78=$E473)*(Work_Codes!$N$89:$Y$89)*(M$349:M$349))</f>
        <v>0</v>
      </c>
      <c r="N473" s="81">
        <f ca="1">SUMPRODUCT((Work_Codes!$N$78:$Y$78=$E473)*(Work_Codes!$N$89:$Y$89)*(N$349:N$349))</f>
        <v>0</v>
      </c>
      <c r="O473" s="81">
        <f ca="1">SUMPRODUCT((Work_Codes!$N$78:$Y$78=$E473)*(Work_Codes!$N$89:$Y$89)*(O$349:O$349))</f>
        <v>0</v>
      </c>
      <c r="P473" s="81">
        <f ca="1">SUMPRODUCT((Work_Codes!$N$78:$Y$78=$E473)*(Work_Codes!$N$89:$Y$89)*(P$349:P$349))</f>
        <v>0</v>
      </c>
      <c r="Q473" s="81">
        <f ca="1">SUMPRODUCT((Work_Codes!$N$78:$Y$78=$E473)*(Work_Codes!$N$89:$Y$89)*(Q$349:Q$349))</f>
        <v>0</v>
      </c>
      <c r="R473" s="81">
        <f ca="1">SUMPRODUCT((Work_Codes!$N$78:$Y$78=$E473)*(Work_Codes!$N$89:$Y$89)*(R$349:R$349))</f>
        <v>0</v>
      </c>
      <c r="S473" s="81">
        <f ca="1">SUMPRODUCT((Work_Codes!$N$78:$Y$78=$E473)*(Work_Codes!$N$89:$Y$89)*(S$349:S$349))</f>
        <v>0</v>
      </c>
      <c r="T473" s="81">
        <f ca="1">SUMPRODUCT((Work_Codes!$N$78:$Y$78=$E473)*(Work_Codes!$N$89:$Y$89)*(T$349:T$349))</f>
        <v>0</v>
      </c>
    </row>
    <row r="474" spans="2:20" outlineLevel="2">
      <c r="E474" s="247" t="str">
        <f>GC!C53</f>
        <v>Distribution pipelines - post 1998</v>
      </c>
      <c r="F474" s="247"/>
      <c r="G474" s="247"/>
      <c r="H474" s="247"/>
      <c r="I474" s="247"/>
      <c r="J474" s="81">
        <f ca="1">SUMPRODUCT((Work_Codes!$N$78:$Y$78=$E474)*(Work_Codes!$N$89:$Y$89)*(J$349:J$349))</f>
        <v>0</v>
      </c>
      <c r="K474" s="81">
        <f ca="1">SUMPRODUCT((Work_Codes!$N$78:$Y$78=$E474)*(Work_Codes!$N$89:$Y$89)*(K$349:K$349))</f>
        <v>0</v>
      </c>
      <c r="L474" s="81">
        <f ca="1">SUMPRODUCT((Work_Codes!$N$78:$Y$78=$E474)*(Work_Codes!$N$89:$Y$89)*(L$349:L$349))</f>
        <v>0</v>
      </c>
      <c r="M474" s="81">
        <f ca="1">SUMPRODUCT((Work_Codes!$N$78:$Y$78=$E474)*(Work_Codes!$N$89:$Y$89)*(M$349:M$349))</f>
        <v>0</v>
      </c>
      <c r="N474" s="81">
        <f ca="1">SUMPRODUCT((Work_Codes!$N$78:$Y$78=$E474)*(Work_Codes!$N$89:$Y$89)*(N$349:N$349))</f>
        <v>0</v>
      </c>
      <c r="O474" s="81">
        <f ca="1">SUMPRODUCT((Work_Codes!$N$78:$Y$78=$E474)*(Work_Codes!$N$89:$Y$89)*(O$349:O$349))</f>
        <v>0</v>
      </c>
      <c r="P474" s="81">
        <f ca="1">SUMPRODUCT((Work_Codes!$N$78:$Y$78=$E474)*(Work_Codes!$N$89:$Y$89)*(P$349:P$349))</f>
        <v>0</v>
      </c>
      <c r="Q474" s="81">
        <f ca="1">SUMPRODUCT((Work_Codes!$N$78:$Y$78=$E474)*(Work_Codes!$N$89:$Y$89)*(Q$349:Q$349))</f>
        <v>0</v>
      </c>
      <c r="R474" s="81">
        <f ca="1">SUMPRODUCT((Work_Codes!$N$78:$Y$78=$E474)*(Work_Codes!$N$89:$Y$89)*(R$349:R$349))</f>
        <v>0</v>
      </c>
      <c r="S474" s="81">
        <f ca="1">SUMPRODUCT((Work_Codes!$N$78:$Y$78=$E474)*(Work_Codes!$N$89:$Y$89)*(S$349:S$349))</f>
        <v>0</v>
      </c>
      <c r="T474" s="81">
        <f ca="1">SUMPRODUCT((Work_Codes!$N$78:$Y$78=$E474)*(Work_Codes!$N$89:$Y$89)*(T$349:T$349))</f>
        <v>0</v>
      </c>
    </row>
    <row r="475" spans="2:20" outlineLevel="2">
      <c r="E475" s="247" t="str">
        <f>GC!C54</f>
        <v>Service pipes - post 1998</v>
      </c>
      <c r="F475" s="247"/>
      <c r="G475" s="247"/>
      <c r="H475" s="247"/>
      <c r="I475" s="247"/>
      <c r="J475" s="81">
        <f ca="1">SUMPRODUCT((Work_Codes!$N$78:$Y$78=$E475)*(Work_Codes!$N$89:$Y$89)*(J$349:J$349))</f>
        <v>0</v>
      </c>
      <c r="K475" s="81">
        <f ca="1">SUMPRODUCT((Work_Codes!$N$78:$Y$78=$E475)*(Work_Codes!$N$89:$Y$89)*(K$349:K$349))</f>
        <v>0</v>
      </c>
      <c r="L475" s="81">
        <f ca="1">SUMPRODUCT((Work_Codes!$N$78:$Y$78=$E475)*(Work_Codes!$N$89:$Y$89)*(L$349:L$349))</f>
        <v>0</v>
      </c>
      <c r="M475" s="81">
        <f ca="1">SUMPRODUCT((Work_Codes!$N$78:$Y$78=$E475)*(Work_Codes!$N$89:$Y$89)*(M$349:M$349))</f>
        <v>0</v>
      </c>
      <c r="N475" s="81">
        <f ca="1">SUMPRODUCT((Work_Codes!$N$78:$Y$78=$E475)*(Work_Codes!$N$89:$Y$89)*(N$349:N$349))</f>
        <v>0</v>
      </c>
      <c r="O475" s="81">
        <f ca="1">SUMPRODUCT((Work_Codes!$N$78:$Y$78=$E475)*(Work_Codes!$N$89:$Y$89)*(O$349:O$349))</f>
        <v>0</v>
      </c>
      <c r="P475" s="81">
        <f ca="1">SUMPRODUCT((Work_Codes!$N$78:$Y$78=$E475)*(Work_Codes!$N$89:$Y$89)*(P$349:P$349))</f>
        <v>0</v>
      </c>
      <c r="Q475" s="81">
        <f ca="1">SUMPRODUCT((Work_Codes!$N$78:$Y$78=$E475)*(Work_Codes!$N$89:$Y$89)*(Q$349:Q$349))</f>
        <v>0</v>
      </c>
      <c r="R475" s="81">
        <f ca="1">SUMPRODUCT((Work_Codes!$N$78:$Y$78=$E475)*(Work_Codes!$N$89:$Y$89)*(R$349:R$349))</f>
        <v>0</v>
      </c>
      <c r="S475" s="81">
        <f ca="1">SUMPRODUCT((Work_Codes!$N$78:$Y$78=$E475)*(Work_Codes!$N$89:$Y$89)*(S$349:S$349))</f>
        <v>0</v>
      </c>
      <c r="T475" s="81">
        <f ca="1">SUMPRODUCT((Work_Codes!$N$78:$Y$78=$E475)*(Work_Codes!$N$89:$Y$89)*(T$349:T$349))</f>
        <v>0</v>
      </c>
    </row>
    <row r="476" spans="2:20" outlineLevel="2">
      <c r="E476" s="247" t="str">
        <f>GC!C55</f>
        <v>Cathodic protection - post 1998</v>
      </c>
      <c r="F476" s="247"/>
      <c r="G476" s="247"/>
      <c r="H476" s="247"/>
      <c r="I476" s="247"/>
      <c r="J476" s="81">
        <f ca="1">SUMPRODUCT((Work_Codes!$N$78:$Y$78=$E476)*(Work_Codes!$N$89:$Y$89)*(J$349:J$349))</f>
        <v>0</v>
      </c>
      <c r="K476" s="81">
        <f ca="1">SUMPRODUCT((Work_Codes!$N$78:$Y$78=$E476)*(Work_Codes!$N$89:$Y$89)*(K$349:K$349))</f>
        <v>0</v>
      </c>
      <c r="L476" s="81">
        <f ca="1">SUMPRODUCT((Work_Codes!$N$78:$Y$78=$E476)*(Work_Codes!$N$89:$Y$89)*(L$349:L$349))</f>
        <v>0</v>
      </c>
      <c r="M476" s="81">
        <f ca="1">SUMPRODUCT((Work_Codes!$N$78:$Y$78=$E476)*(Work_Codes!$N$89:$Y$89)*(M$349:M$349))</f>
        <v>0</v>
      </c>
      <c r="N476" s="81">
        <f ca="1">SUMPRODUCT((Work_Codes!$N$78:$Y$78=$E476)*(Work_Codes!$N$89:$Y$89)*(N$349:N$349))</f>
        <v>0</v>
      </c>
      <c r="O476" s="81">
        <f ca="1">SUMPRODUCT((Work_Codes!$N$78:$Y$78=$E476)*(Work_Codes!$N$89:$Y$89)*(O$349:O$349))</f>
        <v>0</v>
      </c>
      <c r="P476" s="81">
        <f ca="1">SUMPRODUCT((Work_Codes!$N$78:$Y$78=$E476)*(Work_Codes!$N$89:$Y$89)*(P$349:P$349))</f>
        <v>0</v>
      </c>
      <c r="Q476" s="81">
        <f ca="1">SUMPRODUCT((Work_Codes!$N$78:$Y$78=$E476)*(Work_Codes!$N$89:$Y$89)*(Q$349:Q$349))</f>
        <v>0</v>
      </c>
      <c r="R476" s="81">
        <f ca="1">SUMPRODUCT((Work_Codes!$N$78:$Y$78=$E476)*(Work_Codes!$N$89:$Y$89)*(R$349:R$349))</f>
        <v>0</v>
      </c>
      <c r="S476" s="81">
        <f ca="1">SUMPRODUCT((Work_Codes!$N$78:$Y$78=$E476)*(Work_Codes!$N$89:$Y$89)*(S$349:S$349))</f>
        <v>0</v>
      </c>
      <c r="T476" s="81">
        <f ca="1">SUMPRODUCT((Work_Codes!$N$78:$Y$78=$E476)*(Work_Codes!$N$89:$Y$89)*(T$349:T$349))</f>
        <v>0</v>
      </c>
    </row>
    <row r="477" spans="2:20" outlineLevel="2">
      <c r="E477" s="249" t="str">
        <f>"Total "&amp;D459</f>
        <v>Total Customer Contributions</v>
      </c>
      <c r="F477" s="249"/>
      <c r="G477" s="249"/>
      <c r="H477" s="249"/>
      <c r="I477" s="249"/>
      <c r="J477" s="82">
        <f t="shared" ref="J477:T477" ca="1" si="49">SUM(J461:J476)</f>
        <v>0</v>
      </c>
      <c r="K477" s="82">
        <f t="shared" ca="1" si="49"/>
        <v>0</v>
      </c>
      <c r="L477" s="82">
        <f t="shared" ca="1" si="49"/>
        <v>0</v>
      </c>
      <c r="M477" s="82">
        <f t="shared" ca="1" si="49"/>
        <v>0</v>
      </c>
      <c r="N477" s="82">
        <f t="shared" ca="1" si="49"/>
        <v>0</v>
      </c>
      <c r="O477" s="82">
        <f t="shared" ca="1" si="49"/>
        <v>0</v>
      </c>
      <c r="P477" s="82">
        <f t="shared" ca="1" si="49"/>
        <v>0</v>
      </c>
      <c r="Q477" s="82">
        <f t="shared" ca="1" si="49"/>
        <v>0</v>
      </c>
      <c r="R477" s="82">
        <f t="shared" ca="1" si="49"/>
        <v>0</v>
      </c>
      <c r="S477" s="82">
        <f t="shared" ca="1" si="49"/>
        <v>0</v>
      </c>
      <c r="T477" s="82">
        <f t="shared" ca="1" si="49"/>
        <v>0</v>
      </c>
    </row>
    <row r="478" spans="2:20" outlineLevel="1">
      <c r="B478" s="12"/>
      <c r="C478" s="12"/>
      <c r="D478" s="12"/>
      <c r="E478" s="12"/>
      <c r="F478" s="12"/>
      <c r="G478" s="12"/>
      <c r="H478" s="12"/>
      <c r="I478" s="12"/>
      <c r="J478" s="12"/>
      <c r="K478" s="12"/>
      <c r="L478" s="12"/>
      <c r="M478" s="12"/>
      <c r="N478" s="12"/>
      <c r="O478" s="12"/>
      <c r="P478" s="12"/>
      <c r="Q478" s="12"/>
      <c r="R478" s="12"/>
      <c r="S478" s="12"/>
      <c r="T478" s="12"/>
    </row>
    <row r="479" spans="2:20" outlineLevel="1"/>
    <row r="480" spans="2:20" outlineLevel="1">
      <c r="C480" s="37" t="s">
        <v>196</v>
      </c>
    </row>
    <row r="481" spans="4:20" ht="5.9" customHeight="1" outlineLevel="2"/>
    <row r="482" spans="4:20" outlineLevel="2">
      <c r="D482" s="37" t="s">
        <v>215</v>
      </c>
    </row>
    <row r="483" spans="4:20" ht="5.9" customHeight="1" outlineLevel="2"/>
    <row r="484" spans="4:20" ht="12" customHeight="1" outlineLevel="2">
      <c r="E484" s="247" t="str">
        <f>GC!C60</f>
        <v>Mains replacement</v>
      </c>
      <c r="F484" s="247"/>
      <c r="G484" s="247"/>
      <c r="H484" s="247"/>
      <c r="I484" s="247"/>
      <c r="J484" s="81">
        <f ca="1">SUMPRODUCT((Work_Codes!$AC$78:$AO$78=$E484)*(Work_Codes!$AC$81:$AO$85)*(J$388:J$392))</f>
        <v>0</v>
      </c>
      <c r="K484" s="81">
        <f ca="1">SUMPRODUCT((Work_Codes!$AC$78:$AO$78=$E484)*(Work_Codes!$AC$81:$AO$85)*(K$388:K$392))</f>
        <v>0</v>
      </c>
      <c r="L484" s="81">
        <f ca="1">SUMPRODUCT((Work_Codes!$AC$78:$AO$78=$E484)*(Work_Codes!$AC$81:$AO$85)*(L$388:L$392))</f>
        <v>0</v>
      </c>
      <c r="M484" s="81">
        <f ca="1">SUMPRODUCT((Work_Codes!$AC$78:$AO$78=$E484)*(Work_Codes!$AC$81:$AO$85)*(M$388:M$392))</f>
        <v>0</v>
      </c>
      <c r="N484" s="81">
        <f ca="1">SUMPRODUCT((Work_Codes!$AC$78:$AO$78=$E484)*(Work_Codes!$AC$81:$AO$85)*(N$388:N$392))</f>
        <v>281780.374862617</v>
      </c>
      <c r="O484" s="81">
        <f ca="1">SUMPRODUCT((Work_Codes!$AC$78:$AO$78=$E484)*(Work_Codes!$AC$81:$AO$85)*(O$388:O$392))</f>
        <v>139177.61357236217</v>
      </c>
      <c r="P484" s="81">
        <f ca="1">SUMPRODUCT((Work_Codes!$AC$78:$AO$78=$E484)*(Work_Codes!$AC$81:$AO$85)*(P$388:P$392))</f>
        <v>358646.70069717587</v>
      </c>
      <c r="Q484" s="81">
        <f ca="1">SUMPRODUCT((Work_Codes!$AC$78:$AO$78=$E484)*(Work_Codes!$AC$81:$AO$85)*(Q$388:Q$392))</f>
        <v>358759.65850051696</v>
      </c>
      <c r="R484" s="81">
        <f ca="1">SUMPRODUCT((Work_Codes!$AC$78:$AO$78=$E484)*(Work_Codes!$AC$81:$AO$85)*(R$388:R$392))</f>
        <v>358920.37808452331</v>
      </c>
      <c r="S484" s="81">
        <f ca="1">SUMPRODUCT((Work_Codes!$AC$78:$AO$78=$E484)*(Work_Codes!$AC$81:$AO$85)*(S$388:S$392))</f>
        <v>359082.86694174126</v>
      </c>
      <c r="T484" s="81">
        <f ca="1">SUMPRODUCT((Work_Codes!$AC$78:$AO$78=$E484)*(Work_Codes!$AC$81:$AO$85)*(T$388:T$392))</f>
        <v>359247.14454912324</v>
      </c>
    </row>
    <row r="485" spans="4:20" ht="12" customHeight="1" outlineLevel="2">
      <c r="E485" s="247" t="str">
        <f>GC!C61</f>
        <v>Residential new customer connections</v>
      </c>
      <c r="F485" s="247"/>
      <c r="G485" s="247"/>
      <c r="H485" s="247"/>
      <c r="I485" s="247"/>
      <c r="J485" s="81">
        <f ca="1">SUMPRODUCT((Work_Codes!$AC$78:$AO$78=$E485)*(Work_Codes!$AC$81:$AO$85)*(J$388:J$392))</f>
        <v>0</v>
      </c>
      <c r="K485" s="81">
        <f ca="1">SUMPRODUCT((Work_Codes!$AC$78:$AO$78=$E485)*(Work_Codes!$AC$81:$AO$85)*(K$388:K$392))</f>
        <v>0</v>
      </c>
      <c r="L485" s="81">
        <f ca="1">SUMPRODUCT((Work_Codes!$AC$78:$AO$78=$E485)*(Work_Codes!$AC$81:$AO$85)*(L$388:L$392))</f>
        <v>0</v>
      </c>
      <c r="M485" s="81">
        <f ca="1">SUMPRODUCT((Work_Codes!$AC$78:$AO$78=$E485)*(Work_Codes!$AC$81:$AO$85)*(M$388:M$392))</f>
        <v>0</v>
      </c>
      <c r="N485" s="81">
        <f ca="1">SUMPRODUCT((Work_Codes!$AC$78:$AO$78=$E485)*(Work_Codes!$AC$81:$AO$85)*(N$388:N$392))</f>
        <v>0</v>
      </c>
      <c r="O485" s="81">
        <f ca="1">SUMPRODUCT((Work_Codes!$AC$78:$AO$78=$E485)*(Work_Codes!$AC$81:$AO$85)*(O$388:O$392))</f>
        <v>0</v>
      </c>
      <c r="P485" s="81">
        <f ca="1">SUMPRODUCT((Work_Codes!$AC$78:$AO$78=$E485)*(Work_Codes!$AC$81:$AO$85)*(P$388:P$392))</f>
        <v>0</v>
      </c>
      <c r="Q485" s="81">
        <f ca="1">SUMPRODUCT((Work_Codes!$AC$78:$AO$78=$E485)*(Work_Codes!$AC$81:$AO$85)*(Q$388:Q$392))</f>
        <v>0</v>
      </c>
      <c r="R485" s="81">
        <f ca="1">SUMPRODUCT((Work_Codes!$AC$78:$AO$78=$E485)*(Work_Codes!$AC$81:$AO$85)*(R$388:R$392))</f>
        <v>0</v>
      </c>
      <c r="S485" s="81">
        <f ca="1">SUMPRODUCT((Work_Codes!$AC$78:$AO$78=$E485)*(Work_Codes!$AC$81:$AO$85)*(S$388:S$392))</f>
        <v>0</v>
      </c>
      <c r="T485" s="81">
        <f ca="1">SUMPRODUCT((Work_Codes!$AC$78:$AO$78=$E485)*(Work_Codes!$AC$81:$AO$85)*(T$388:T$392))</f>
        <v>0</v>
      </c>
    </row>
    <row r="486" spans="4:20" ht="12" customHeight="1" outlineLevel="2">
      <c r="E486" s="247" t="str">
        <f>GC!C62</f>
        <v>Commercial and industrial new customer connections</v>
      </c>
      <c r="F486" s="247"/>
      <c r="G486" s="247"/>
      <c r="H486" s="247"/>
      <c r="I486" s="247"/>
      <c r="J486" s="81">
        <f ca="1">SUMPRODUCT((Work_Codes!$AC$78:$AO$78=$E486)*(Work_Codes!$AC$81:$AO$85)*(J$388:J$392))</f>
        <v>0</v>
      </c>
      <c r="K486" s="81">
        <f ca="1">SUMPRODUCT((Work_Codes!$AC$78:$AO$78=$E486)*(Work_Codes!$AC$81:$AO$85)*(K$388:K$392))</f>
        <v>0</v>
      </c>
      <c r="L486" s="81">
        <f ca="1">SUMPRODUCT((Work_Codes!$AC$78:$AO$78=$E486)*(Work_Codes!$AC$81:$AO$85)*(L$388:L$392))</f>
        <v>0</v>
      </c>
      <c r="M486" s="81">
        <f ca="1">SUMPRODUCT((Work_Codes!$AC$78:$AO$78=$E486)*(Work_Codes!$AC$81:$AO$85)*(M$388:M$392))</f>
        <v>0</v>
      </c>
      <c r="N486" s="81">
        <f ca="1">SUMPRODUCT((Work_Codes!$AC$78:$AO$78=$E486)*(Work_Codes!$AC$81:$AO$85)*(N$388:N$392))</f>
        <v>0</v>
      </c>
      <c r="O486" s="81">
        <f ca="1">SUMPRODUCT((Work_Codes!$AC$78:$AO$78=$E486)*(Work_Codes!$AC$81:$AO$85)*(O$388:O$392))</f>
        <v>0</v>
      </c>
      <c r="P486" s="81">
        <f ca="1">SUMPRODUCT((Work_Codes!$AC$78:$AO$78=$E486)*(Work_Codes!$AC$81:$AO$85)*(P$388:P$392))</f>
        <v>0</v>
      </c>
      <c r="Q486" s="81">
        <f ca="1">SUMPRODUCT((Work_Codes!$AC$78:$AO$78=$E486)*(Work_Codes!$AC$81:$AO$85)*(Q$388:Q$392))</f>
        <v>0</v>
      </c>
      <c r="R486" s="81">
        <f ca="1">SUMPRODUCT((Work_Codes!$AC$78:$AO$78=$E486)*(Work_Codes!$AC$81:$AO$85)*(R$388:R$392))</f>
        <v>0</v>
      </c>
      <c r="S486" s="81">
        <f ca="1">SUMPRODUCT((Work_Codes!$AC$78:$AO$78=$E486)*(Work_Codes!$AC$81:$AO$85)*(S$388:S$392))</f>
        <v>0</v>
      </c>
      <c r="T486" s="81">
        <f ca="1">SUMPRODUCT((Work_Codes!$AC$78:$AO$78=$E486)*(Work_Codes!$AC$81:$AO$85)*(T$388:T$392))</f>
        <v>0</v>
      </c>
    </row>
    <row r="487" spans="4:20" ht="12" customHeight="1" outlineLevel="2">
      <c r="E487" s="247" t="str">
        <f>GC!C63</f>
        <v>Residential meter replacement</v>
      </c>
      <c r="F487" s="247"/>
      <c r="G487" s="247"/>
      <c r="H487" s="247"/>
      <c r="I487" s="247"/>
      <c r="J487" s="81">
        <f ca="1">SUMPRODUCT((Work_Codes!$AC$78:$AO$78=$E487)*(Work_Codes!$AC$81:$AO$85)*(J$388:J$392))</f>
        <v>0</v>
      </c>
      <c r="K487" s="81">
        <f ca="1">SUMPRODUCT((Work_Codes!$AC$78:$AO$78=$E487)*(Work_Codes!$AC$81:$AO$85)*(K$388:K$392))</f>
        <v>0</v>
      </c>
      <c r="L487" s="81">
        <f ca="1">SUMPRODUCT((Work_Codes!$AC$78:$AO$78=$E487)*(Work_Codes!$AC$81:$AO$85)*(L$388:L$392))</f>
        <v>0</v>
      </c>
      <c r="M487" s="81">
        <f ca="1">SUMPRODUCT((Work_Codes!$AC$78:$AO$78=$E487)*(Work_Codes!$AC$81:$AO$85)*(M$388:M$392))</f>
        <v>0</v>
      </c>
      <c r="N487" s="81">
        <f ca="1">SUMPRODUCT((Work_Codes!$AC$78:$AO$78=$E487)*(Work_Codes!$AC$81:$AO$85)*(N$388:N$392))</f>
        <v>0</v>
      </c>
      <c r="O487" s="81">
        <f ca="1">SUMPRODUCT((Work_Codes!$AC$78:$AO$78=$E487)*(Work_Codes!$AC$81:$AO$85)*(O$388:O$392))</f>
        <v>0</v>
      </c>
      <c r="P487" s="81">
        <f ca="1">SUMPRODUCT((Work_Codes!$AC$78:$AO$78=$E487)*(Work_Codes!$AC$81:$AO$85)*(P$388:P$392))</f>
        <v>0</v>
      </c>
      <c r="Q487" s="81">
        <f ca="1">SUMPRODUCT((Work_Codes!$AC$78:$AO$78=$E487)*(Work_Codes!$AC$81:$AO$85)*(Q$388:Q$392))</f>
        <v>0</v>
      </c>
      <c r="R487" s="81">
        <f ca="1">SUMPRODUCT((Work_Codes!$AC$78:$AO$78=$E487)*(Work_Codes!$AC$81:$AO$85)*(R$388:R$392))</f>
        <v>0</v>
      </c>
      <c r="S487" s="81">
        <f ca="1">SUMPRODUCT((Work_Codes!$AC$78:$AO$78=$E487)*(Work_Codes!$AC$81:$AO$85)*(S$388:S$392))</f>
        <v>0</v>
      </c>
      <c r="T487" s="81">
        <f ca="1">SUMPRODUCT((Work_Codes!$AC$78:$AO$78=$E487)*(Work_Codes!$AC$81:$AO$85)*(T$388:T$392))</f>
        <v>0</v>
      </c>
    </row>
    <row r="488" spans="4:20" ht="12" customHeight="1" outlineLevel="2">
      <c r="E488" s="247" t="str">
        <f>GC!C64</f>
        <v>Commercial and industrial meter replacement</v>
      </c>
      <c r="F488" s="247"/>
      <c r="G488" s="247"/>
      <c r="H488" s="247"/>
      <c r="I488" s="247"/>
      <c r="J488" s="81">
        <f ca="1">SUMPRODUCT((Work_Codes!$AC$78:$AO$78=$E488)*(Work_Codes!$AC$81:$AO$85)*(J$388:J$392))</f>
        <v>0</v>
      </c>
      <c r="K488" s="81">
        <f ca="1">SUMPRODUCT((Work_Codes!$AC$78:$AO$78=$E488)*(Work_Codes!$AC$81:$AO$85)*(K$388:K$392))</f>
        <v>0</v>
      </c>
      <c r="L488" s="81">
        <f ca="1">SUMPRODUCT((Work_Codes!$AC$78:$AO$78=$E488)*(Work_Codes!$AC$81:$AO$85)*(L$388:L$392))</f>
        <v>0</v>
      </c>
      <c r="M488" s="81">
        <f ca="1">SUMPRODUCT((Work_Codes!$AC$78:$AO$78=$E488)*(Work_Codes!$AC$81:$AO$85)*(M$388:M$392))</f>
        <v>0</v>
      </c>
      <c r="N488" s="81">
        <f ca="1">SUMPRODUCT((Work_Codes!$AC$78:$AO$78=$E488)*(Work_Codes!$AC$81:$AO$85)*(N$388:N$392))</f>
        <v>0</v>
      </c>
      <c r="O488" s="81">
        <f ca="1">SUMPRODUCT((Work_Codes!$AC$78:$AO$78=$E488)*(Work_Codes!$AC$81:$AO$85)*(O$388:O$392))</f>
        <v>0</v>
      </c>
      <c r="P488" s="81">
        <f ca="1">SUMPRODUCT((Work_Codes!$AC$78:$AO$78=$E488)*(Work_Codes!$AC$81:$AO$85)*(P$388:P$392))</f>
        <v>0</v>
      </c>
      <c r="Q488" s="81">
        <f ca="1">SUMPRODUCT((Work_Codes!$AC$78:$AO$78=$E488)*(Work_Codes!$AC$81:$AO$85)*(Q$388:Q$392))</f>
        <v>0</v>
      </c>
      <c r="R488" s="81">
        <f ca="1">SUMPRODUCT((Work_Codes!$AC$78:$AO$78=$E488)*(Work_Codes!$AC$81:$AO$85)*(R$388:R$392))</f>
        <v>0</v>
      </c>
      <c r="S488" s="81">
        <f ca="1">SUMPRODUCT((Work_Codes!$AC$78:$AO$78=$E488)*(Work_Codes!$AC$81:$AO$85)*(S$388:S$392))</f>
        <v>0</v>
      </c>
      <c r="T488" s="81">
        <f ca="1">SUMPRODUCT((Work_Codes!$AC$78:$AO$78=$E488)*(Work_Codes!$AC$81:$AO$85)*(T$388:T$392))</f>
        <v>0</v>
      </c>
    </row>
    <row r="489" spans="4:20" ht="12" customHeight="1" outlineLevel="2">
      <c r="E489" s="247" t="str">
        <f>GC!C65</f>
        <v>Augmentation</v>
      </c>
      <c r="F489" s="247"/>
      <c r="G489" s="247"/>
      <c r="H489" s="247"/>
      <c r="I489" s="247"/>
      <c r="J489" s="81">
        <f ca="1">SUMPRODUCT((Work_Codes!$AC$78:$AO$78=$E489)*(Work_Codes!$AC$81:$AO$85)*(J$388:J$392))</f>
        <v>0</v>
      </c>
      <c r="K489" s="81">
        <f ca="1">SUMPRODUCT((Work_Codes!$AC$78:$AO$78=$E489)*(Work_Codes!$AC$81:$AO$85)*(K$388:K$392))</f>
        <v>0</v>
      </c>
      <c r="L489" s="81">
        <f ca="1">SUMPRODUCT((Work_Codes!$AC$78:$AO$78=$E489)*(Work_Codes!$AC$81:$AO$85)*(L$388:L$392))</f>
        <v>0</v>
      </c>
      <c r="M489" s="81">
        <f ca="1">SUMPRODUCT((Work_Codes!$AC$78:$AO$78=$E489)*(Work_Codes!$AC$81:$AO$85)*(M$388:M$392))</f>
        <v>0</v>
      </c>
      <c r="N489" s="81">
        <f ca="1">SUMPRODUCT((Work_Codes!$AC$78:$AO$78=$E489)*(Work_Codes!$AC$81:$AO$85)*(N$388:N$392))</f>
        <v>0</v>
      </c>
      <c r="O489" s="81">
        <f ca="1">SUMPRODUCT((Work_Codes!$AC$78:$AO$78=$E489)*(Work_Codes!$AC$81:$AO$85)*(O$388:O$392))</f>
        <v>0</v>
      </c>
      <c r="P489" s="81">
        <f ca="1">SUMPRODUCT((Work_Codes!$AC$78:$AO$78=$E489)*(Work_Codes!$AC$81:$AO$85)*(P$388:P$392))</f>
        <v>0</v>
      </c>
      <c r="Q489" s="81">
        <f ca="1">SUMPRODUCT((Work_Codes!$AC$78:$AO$78=$E489)*(Work_Codes!$AC$81:$AO$85)*(Q$388:Q$392))</f>
        <v>0</v>
      </c>
      <c r="R489" s="81">
        <f ca="1">SUMPRODUCT((Work_Codes!$AC$78:$AO$78=$E489)*(Work_Codes!$AC$81:$AO$85)*(R$388:R$392))</f>
        <v>0</v>
      </c>
      <c r="S489" s="81">
        <f ca="1">SUMPRODUCT((Work_Codes!$AC$78:$AO$78=$E489)*(Work_Codes!$AC$81:$AO$85)*(S$388:S$392))</f>
        <v>0</v>
      </c>
      <c r="T489" s="81">
        <f ca="1">SUMPRODUCT((Work_Codes!$AC$78:$AO$78=$E489)*(Work_Codes!$AC$81:$AO$85)*(T$388:T$392))</f>
        <v>0</v>
      </c>
    </row>
    <row r="490" spans="4:20" ht="12" customHeight="1" outlineLevel="2">
      <c r="E490" s="247" t="str">
        <f>GC!C66</f>
        <v>IT capex</v>
      </c>
      <c r="F490" s="247"/>
      <c r="G490" s="247"/>
      <c r="H490" s="247"/>
      <c r="I490" s="247"/>
      <c r="J490" s="81">
        <f ca="1">SUMPRODUCT((Work_Codes!$AC$78:$AO$78=$E490)*(Work_Codes!$AC$81:$AO$85)*(J$388:J$392))</f>
        <v>0</v>
      </c>
      <c r="K490" s="81">
        <f ca="1">SUMPRODUCT((Work_Codes!$AC$78:$AO$78=$E490)*(Work_Codes!$AC$81:$AO$85)*(K$388:K$392))</f>
        <v>0</v>
      </c>
      <c r="L490" s="81">
        <f ca="1">SUMPRODUCT((Work_Codes!$AC$78:$AO$78=$E490)*(Work_Codes!$AC$81:$AO$85)*(L$388:L$392))</f>
        <v>0</v>
      </c>
      <c r="M490" s="81">
        <f ca="1">SUMPRODUCT((Work_Codes!$AC$78:$AO$78=$E490)*(Work_Codes!$AC$81:$AO$85)*(M$388:M$392))</f>
        <v>0</v>
      </c>
      <c r="N490" s="81">
        <f ca="1">SUMPRODUCT((Work_Codes!$AC$78:$AO$78=$E490)*(Work_Codes!$AC$81:$AO$85)*(N$388:N$392))</f>
        <v>0</v>
      </c>
      <c r="O490" s="81">
        <f ca="1">SUMPRODUCT((Work_Codes!$AC$78:$AO$78=$E490)*(Work_Codes!$AC$81:$AO$85)*(O$388:O$392))</f>
        <v>0</v>
      </c>
      <c r="P490" s="81">
        <f ca="1">SUMPRODUCT((Work_Codes!$AC$78:$AO$78=$E490)*(Work_Codes!$AC$81:$AO$85)*(P$388:P$392))</f>
        <v>0</v>
      </c>
      <c r="Q490" s="81">
        <f ca="1">SUMPRODUCT((Work_Codes!$AC$78:$AO$78=$E490)*(Work_Codes!$AC$81:$AO$85)*(Q$388:Q$392))</f>
        <v>0</v>
      </c>
      <c r="R490" s="81">
        <f ca="1">SUMPRODUCT((Work_Codes!$AC$78:$AO$78=$E490)*(Work_Codes!$AC$81:$AO$85)*(R$388:R$392))</f>
        <v>0</v>
      </c>
      <c r="S490" s="81">
        <f ca="1">SUMPRODUCT((Work_Codes!$AC$78:$AO$78=$E490)*(Work_Codes!$AC$81:$AO$85)*(S$388:S$392))</f>
        <v>0</v>
      </c>
      <c r="T490" s="81">
        <f ca="1">SUMPRODUCT((Work_Codes!$AC$78:$AO$78=$E490)*(Work_Codes!$AC$81:$AO$85)*(T$388:T$392))</f>
        <v>0</v>
      </c>
    </row>
    <row r="491" spans="4:20" ht="12" customHeight="1" outlineLevel="2">
      <c r="E491" s="247" t="str">
        <f>GC!C67</f>
        <v>SCADA</v>
      </c>
      <c r="F491" s="247"/>
      <c r="G491" s="247"/>
      <c r="H491" s="247"/>
      <c r="I491" s="247"/>
      <c r="J491" s="81">
        <f ca="1">SUMPRODUCT((Work_Codes!$AC$78:$AO$78=$E491)*(Work_Codes!$AC$81:$AO$85)*(J$388:J$392))</f>
        <v>0</v>
      </c>
      <c r="K491" s="81">
        <f ca="1">SUMPRODUCT((Work_Codes!$AC$78:$AO$78=$E491)*(Work_Codes!$AC$81:$AO$85)*(K$388:K$392))</f>
        <v>0</v>
      </c>
      <c r="L491" s="81">
        <f ca="1">SUMPRODUCT((Work_Codes!$AC$78:$AO$78=$E491)*(Work_Codes!$AC$81:$AO$85)*(L$388:L$392))</f>
        <v>0</v>
      </c>
      <c r="M491" s="81">
        <f ca="1">SUMPRODUCT((Work_Codes!$AC$78:$AO$78=$E491)*(Work_Codes!$AC$81:$AO$85)*(M$388:M$392))</f>
        <v>0</v>
      </c>
      <c r="N491" s="81">
        <f ca="1">SUMPRODUCT((Work_Codes!$AC$78:$AO$78=$E491)*(Work_Codes!$AC$81:$AO$85)*(N$388:N$392))</f>
        <v>0</v>
      </c>
      <c r="O491" s="81">
        <f ca="1">SUMPRODUCT((Work_Codes!$AC$78:$AO$78=$E491)*(Work_Codes!$AC$81:$AO$85)*(O$388:O$392))</f>
        <v>0</v>
      </c>
      <c r="P491" s="81">
        <f ca="1">SUMPRODUCT((Work_Codes!$AC$78:$AO$78=$E491)*(Work_Codes!$AC$81:$AO$85)*(P$388:P$392))</f>
        <v>0</v>
      </c>
      <c r="Q491" s="81">
        <f ca="1">SUMPRODUCT((Work_Codes!$AC$78:$AO$78=$E491)*(Work_Codes!$AC$81:$AO$85)*(Q$388:Q$392))</f>
        <v>0</v>
      </c>
      <c r="R491" s="81">
        <f ca="1">SUMPRODUCT((Work_Codes!$AC$78:$AO$78=$E491)*(Work_Codes!$AC$81:$AO$85)*(R$388:R$392))</f>
        <v>0</v>
      </c>
      <c r="S491" s="81">
        <f ca="1">SUMPRODUCT((Work_Codes!$AC$78:$AO$78=$E491)*(Work_Codes!$AC$81:$AO$85)*(S$388:S$392))</f>
        <v>0</v>
      </c>
      <c r="T491" s="81">
        <f ca="1">SUMPRODUCT((Work_Codes!$AC$78:$AO$78=$E491)*(Work_Codes!$AC$81:$AO$85)*(T$388:T$392))</f>
        <v>0</v>
      </c>
    </row>
    <row r="492" spans="4:20" ht="12" customHeight="1" outlineLevel="2">
      <c r="E492" s="247" t="str">
        <f>GC!C68</f>
        <v>Other</v>
      </c>
      <c r="F492" s="247"/>
      <c r="G492" s="247"/>
      <c r="H492" s="247"/>
      <c r="I492" s="247"/>
      <c r="J492" s="81">
        <f ca="1">SUMPRODUCT((Work_Codes!$AC$78:$AO$78=$E492)*(Work_Codes!$AC$81:$AO$85)*(J$388:J$392))</f>
        <v>0</v>
      </c>
      <c r="K492" s="81">
        <f ca="1">SUMPRODUCT((Work_Codes!$AC$78:$AO$78=$E492)*(Work_Codes!$AC$81:$AO$85)*(K$388:K$392))</f>
        <v>0</v>
      </c>
      <c r="L492" s="81">
        <f ca="1">SUMPRODUCT((Work_Codes!$AC$78:$AO$78=$E492)*(Work_Codes!$AC$81:$AO$85)*(L$388:L$392))</f>
        <v>0</v>
      </c>
      <c r="M492" s="81">
        <f ca="1">SUMPRODUCT((Work_Codes!$AC$78:$AO$78=$E492)*(Work_Codes!$AC$81:$AO$85)*(M$388:M$392))</f>
        <v>0</v>
      </c>
      <c r="N492" s="81">
        <f ca="1">SUMPRODUCT((Work_Codes!$AC$78:$AO$78=$E492)*(Work_Codes!$AC$81:$AO$85)*(N$388:N$392))</f>
        <v>0</v>
      </c>
      <c r="O492" s="81">
        <f ca="1">SUMPRODUCT((Work_Codes!$AC$78:$AO$78=$E492)*(Work_Codes!$AC$81:$AO$85)*(O$388:O$392))</f>
        <v>0</v>
      </c>
      <c r="P492" s="81">
        <f ca="1">SUMPRODUCT((Work_Codes!$AC$78:$AO$78=$E492)*(Work_Codes!$AC$81:$AO$85)*(P$388:P$392))</f>
        <v>0</v>
      </c>
      <c r="Q492" s="81">
        <f ca="1">SUMPRODUCT((Work_Codes!$AC$78:$AO$78=$E492)*(Work_Codes!$AC$81:$AO$85)*(Q$388:Q$392))</f>
        <v>0</v>
      </c>
      <c r="R492" s="81">
        <f ca="1">SUMPRODUCT((Work_Codes!$AC$78:$AO$78=$E492)*(Work_Codes!$AC$81:$AO$85)*(R$388:R$392))</f>
        <v>0</v>
      </c>
      <c r="S492" s="81">
        <f ca="1">SUMPRODUCT((Work_Codes!$AC$78:$AO$78=$E492)*(Work_Codes!$AC$81:$AO$85)*(S$388:S$392))</f>
        <v>0</v>
      </c>
      <c r="T492" s="81">
        <f ca="1">SUMPRODUCT((Work_Codes!$AC$78:$AO$78=$E492)*(Work_Codes!$AC$81:$AO$85)*(T$388:T$392))</f>
        <v>0</v>
      </c>
    </row>
    <row r="493" spans="4:20" outlineLevel="2">
      <c r="E493" s="247" t="str">
        <f>GC!C69</f>
        <v>Capitalised Leases</v>
      </c>
      <c r="F493" s="247"/>
      <c r="G493" s="247"/>
      <c r="H493" s="247"/>
      <c r="I493" s="247"/>
      <c r="J493" s="81">
        <f ca="1">SUMPRODUCT((Work_Codes!$AC$78:$AO$78=$E493)*(Work_Codes!$AC$81:$AO$85)*(J$388:J$392))</f>
        <v>0</v>
      </c>
      <c r="K493" s="81">
        <f ca="1">SUMPRODUCT((Work_Codes!$AC$78:$AO$78=$E493)*(Work_Codes!$AC$81:$AO$85)*(K$388:K$392))</f>
        <v>0</v>
      </c>
      <c r="L493" s="81">
        <f ca="1">SUMPRODUCT((Work_Codes!$AC$78:$AO$78=$E493)*(Work_Codes!$AC$81:$AO$85)*(L$388:L$392))</f>
        <v>0</v>
      </c>
      <c r="M493" s="81">
        <f ca="1">SUMPRODUCT((Work_Codes!$AC$78:$AO$78=$E493)*(Work_Codes!$AC$81:$AO$85)*(M$388:M$392))</f>
        <v>0</v>
      </c>
      <c r="N493" s="81">
        <f ca="1">SUMPRODUCT((Work_Codes!$AC$78:$AO$78=$E493)*(Work_Codes!$AC$81:$AO$85)*(N$388:N$392))</f>
        <v>0</v>
      </c>
      <c r="O493" s="81">
        <f ca="1">SUMPRODUCT((Work_Codes!$AC$78:$AO$78=$E493)*(Work_Codes!$AC$81:$AO$85)*(O$388:O$392))</f>
        <v>0</v>
      </c>
      <c r="P493" s="81">
        <f ca="1">SUMPRODUCT((Work_Codes!$AC$78:$AO$78=$E493)*(Work_Codes!$AC$81:$AO$85)*(P$388:P$392))</f>
        <v>0</v>
      </c>
      <c r="Q493" s="81">
        <f ca="1">SUMPRODUCT((Work_Codes!$AC$78:$AO$78=$E493)*(Work_Codes!$AC$81:$AO$85)*(Q$388:Q$392))</f>
        <v>0</v>
      </c>
      <c r="R493" s="81">
        <f ca="1">SUMPRODUCT((Work_Codes!$AC$78:$AO$78=$E493)*(Work_Codes!$AC$81:$AO$85)*(R$388:R$392))</f>
        <v>0</v>
      </c>
      <c r="S493" s="81">
        <f ca="1">SUMPRODUCT((Work_Codes!$AC$78:$AO$78=$E493)*(Work_Codes!$AC$81:$AO$85)*(S$388:S$392))</f>
        <v>0</v>
      </c>
      <c r="T493" s="81">
        <f ca="1">SUMPRODUCT((Work_Codes!$AC$78:$AO$78=$E493)*(Work_Codes!$AC$81:$AO$85)*(T$388:T$392))</f>
        <v>0</v>
      </c>
    </row>
    <row r="494" spans="4:20" ht="12" customHeight="1" outlineLevel="2">
      <c r="E494" s="247" t="str">
        <f>GC!C70</f>
        <v>Gas Extensions - Energy for the Regions</v>
      </c>
      <c r="F494" s="247"/>
      <c r="G494" s="247"/>
      <c r="H494" s="247"/>
      <c r="I494" s="247"/>
      <c r="J494" s="81">
        <f ca="1">SUMPRODUCT((Work_Codes!$AC$78:$AO$78=$E494)*(Work_Codes!$AC$81:$AO$85)*(J$388:J$392))</f>
        <v>0</v>
      </c>
      <c r="K494" s="81">
        <f ca="1">SUMPRODUCT((Work_Codes!$AC$78:$AO$78=$E494)*(Work_Codes!$AC$81:$AO$85)*(K$388:K$392))</f>
        <v>0</v>
      </c>
      <c r="L494" s="81">
        <f ca="1">SUMPRODUCT((Work_Codes!$AC$78:$AO$78=$E494)*(Work_Codes!$AC$81:$AO$85)*(L$388:L$392))</f>
        <v>0</v>
      </c>
      <c r="M494" s="81">
        <f ca="1">SUMPRODUCT((Work_Codes!$AC$78:$AO$78=$E494)*(Work_Codes!$AC$81:$AO$85)*(M$388:M$392))</f>
        <v>0</v>
      </c>
      <c r="N494" s="81">
        <f ca="1">SUMPRODUCT((Work_Codes!$AC$78:$AO$78=$E494)*(Work_Codes!$AC$81:$AO$85)*(N$388:N$392))</f>
        <v>0</v>
      </c>
      <c r="O494" s="81">
        <f ca="1">SUMPRODUCT((Work_Codes!$AC$78:$AO$78=$E494)*(Work_Codes!$AC$81:$AO$85)*(O$388:O$392))</f>
        <v>0</v>
      </c>
      <c r="P494" s="81">
        <f ca="1">SUMPRODUCT((Work_Codes!$AC$78:$AO$78=$E494)*(Work_Codes!$AC$81:$AO$85)*(P$388:P$392))</f>
        <v>0</v>
      </c>
      <c r="Q494" s="81">
        <f ca="1">SUMPRODUCT((Work_Codes!$AC$78:$AO$78=$E494)*(Work_Codes!$AC$81:$AO$85)*(Q$388:Q$392))</f>
        <v>0</v>
      </c>
      <c r="R494" s="81">
        <f ca="1">SUMPRODUCT((Work_Codes!$AC$78:$AO$78=$E494)*(Work_Codes!$AC$81:$AO$85)*(R$388:R$392))</f>
        <v>0</v>
      </c>
      <c r="S494" s="81">
        <f ca="1">SUMPRODUCT((Work_Codes!$AC$78:$AO$78=$E494)*(Work_Codes!$AC$81:$AO$85)*(S$388:S$392))</f>
        <v>0</v>
      </c>
      <c r="T494" s="81">
        <f ca="1">SUMPRODUCT((Work_Codes!$AC$78:$AO$78=$E494)*(Work_Codes!$AC$81:$AO$85)*(T$388:T$392))</f>
        <v>0</v>
      </c>
    </row>
    <row r="495" spans="4:20" ht="12" customHeight="1" outlineLevel="2">
      <c r="E495" s="247" t="str">
        <f>GC!C71</f>
        <v>Gas Extensions - Other</v>
      </c>
      <c r="F495" s="247"/>
      <c r="G495" s="247"/>
      <c r="H495" s="247"/>
      <c r="I495" s="247"/>
      <c r="J495" s="81">
        <f ca="1">SUMPRODUCT((Work_Codes!$AC$78:$AO$78=$E495)*(Work_Codes!$AC$81:$AO$85)*(J$388:J$392))</f>
        <v>0</v>
      </c>
      <c r="K495" s="81">
        <f ca="1">SUMPRODUCT((Work_Codes!$AC$78:$AO$78=$E495)*(Work_Codes!$AC$81:$AO$85)*(K$388:K$392))</f>
        <v>0</v>
      </c>
      <c r="L495" s="81">
        <f ca="1">SUMPRODUCT((Work_Codes!$AC$78:$AO$78=$E495)*(Work_Codes!$AC$81:$AO$85)*(L$388:L$392))</f>
        <v>0</v>
      </c>
      <c r="M495" s="81">
        <f ca="1">SUMPRODUCT((Work_Codes!$AC$78:$AO$78=$E495)*(Work_Codes!$AC$81:$AO$85)*(M$388:M$392))</f>
        <v>0</v>
      </c>
      <c r="N495" s="81">
        <f ca="1">SUMPRODUCT((Work_Codes!$AC$78:$AO$78=$E495)*(Work_Codes!$AC$81:$AO$85)*(N$388:N$392))</f>
        <v>0</v>
      </c>
      <c r="O495" s="81">
        <f ca="1">SUMPRODUCT((Work_Codes!$AC$78:$AO$78=$E495)*(Work_Codes!$AC$81:$AO$85)*(O$388:O$392))</f>
        <v>0</v>
      </c>
      <c r="P495" s="81">
        <f ca="1">SUMPRODUCT((Work_Codes!$AC$78:$AO$78=$E495)*(Work_Codes!$AC$81:$AO$85)*(P$388:P$392))</f>
        <v>0</v>
      </c>
      <c r="Q495" s="81">
        <f ca="1">SUMPRODUCT((Work_Codes!$AC$78:$AO$78=$E495)*(Work_Codes!$AC$81:$AO$85)*(Q$388:Q$392))</f>
        <v>0</v>
      </c>
      <c r="R495" s="81">
        <f ca="1">SUMPRODUCT((Work_Codes!$AC$78:$AO$78=$E495)*(Work_Codes!$AC$81:$AO$85)*(R$388:R$392))</f>
        <v>0</v>
      </c>
      <c r="S495" s="81">
        <f ca="1">SUMPRODUCT((Work_Codes!$AC$78:$AO$78=$E495)*(Work_Codes!$AC$81:$AO$85)*(S$388:S$392))</f>
        <v>0</v>
      </c>
      <c r="T495" s="81">
        <f ca="1">SUMPRODUCT((Work_Codes!$AC$78:$AO$78=$E495)*(Work_Codes!$AC$81:$AO$85)*(T$388:T$392))</f>
        <v>0</v>
      </c>
    </row>
    <row r="496" spans="4:20" ht="12" customHeight="1" outlineLevel="2">
      <c r="E496" s="247" t="str">
        <f>GC!C72</f>
        <v>Customer contributions</v>
      </c>
      <c r="F496" s="247"/>
      <c r="G496" s="247"/>
      <c r="H496" s="247"/>
      <c r="I496" s="247"/>
      <c r="J496" s="81">
        <f ca="1">SUMPRODUCT((Work_Codes!$AC$78:$AO$78=$E496)*(Work_Codes!$AC$81:$AO$85)*(J$388:J$392))</f>
        <v>0</v>
      </c>
      <c r="K496" s="81">
        <f ca="1">SUMPRODUCT((Work_Codes!$AC$78:$AO$78=$E496)*(Work_Codes!$AC$81:$AO$85)*(K$388:K$392))</f>
        <v>0</v>
      </c>
      <c r="L496" s="81">
        <f ca="1">SUMPRODUCT((Work_Codes!$AC$78:$AO$78=$E496)*(Work_Codes!$AC$81:$AO$85)*(L$388:L$392))</f>
        <v>0</v>
      </c>
      <c r="M496" s="81">
        <f ca="1">SUMPRODUCT((Work_Codes!$AC$78:$AO$78=$E496)*(Work_Codes!$AC$81:$AO$85)*(M$388:M$392))</f>
        <v>0</v>
      </c>
      <c r="N496" s="81">
        <f ca="1">SUMPRODUCT((Work_Codes!$AC$78:$AO$78=$E496)*(Work_Codes!$AC$81:$AO$85)*(N$388:N$392))</f>
        <v>0</v>
      </c>
      <c r="O496" s="81">
        <f ca="1">SUMPRODUCT((Work_Codes!$AC$78:$AO$78=$E496)*(Work_Codes!$AC$81:$AO$85)*(O$388:O$392))</f>
        <v>0</v>
      </c>
      <c r="P496" s="81">
        <f ca="1">SUMPRODUCT((Work_Codes!$AC$78:$AO$78=$E496)*(Work_Codes!$AC$81:$AO$85)*(P$388:P$392))</f>
        <v>0</v>
      </c>
      <c r="Q496" s="81">
        <f ca="1">SUMPRODUCT((Work_Codes!$AC$78:$AO$78=$E496)*(Work_Codes!$AC$81:$AO$85)*(Q$388:Q$392))</f>
        <v>0</v>
      </c>
      <c r="R496" s="81">
        <f ca="1">SUMPRODUCT((Work_Codes!$AC$78:$AO$78=$E496)*(Work_Codes!$AC$81:$AO$85)*(R$388:R$392))</f>
        <v>0</v>
      </c>
      <c r="S496" s="81">
        <f ca="1">SUMPRODUCT((Work_Codes!$AC$78:$AO$78=$E496)*(Work_Codes!$AC$81:$AO$85)*(S$388:S$392))</f>
        <v>0</v>
      </c>
      <c r="T496" s="81">
        <f ca="1">SUMPRODUCT((Work_Codes!$AC$78:$AO$78=$E496)*(Work_Codes!$AC$81:$AO$85)*(T$388:T$392))</f>
        <v>0</v>
      </c>
    </row>
    <row r="497" spans="4:20" ht="12" customHeight="1" outlineLevel="2">
      <c r="E497" s="247" t="str">
        <f>GC!C73</f>
        <v>Government contributions</v>
      </c>
      <c r="F497" s="247"/>
      <c r="G497" s="247"/>
      <c r="H497" s="247"/>
      <c r="I497" s="247"/>
      <c r="J497" s="81">
        <f ca="1">SUMPRODUCT((Work_Codes!$AC$78:$AO$78=$E497)*(Work_Codes!$AC$81:$AO$85)*(J$388:J$392))</f>
        <v>0</v>
      </c>
      <c r="K497" s="81">
        <f ca="1">SUMPRODUCT((Work_Codes!$AC$78:$AO$78=$E497)*(Work_Codes!$AC$81:$AO$85)*(K$388:K$392))</f>
        <v>0</v>
      </c>
      <c r="L497" s="81">
        <f ca="1">SUMPRODUCT((Work_Codes!$AC$78:$AO$78=$E497)*(Work_Codes!$AC$81:$AO$85)*(L$388:L$392))</f>
        <v>0</v>
      </c>
      <c r="M497" s="81">
        <f ca="1">SUMPRODUCT((Work_Codes!$AC$78:$AO$78=$E497)*(Work_Codes!$AC$81:$AO$85)*(M$388:M$392))</f>
        <v>0</v>
      </c>
      <c r="N497" s="81">
        <f ca="1">SUMPRODUCT((Work_Codes!$AC$78:$AO$78=$E497)*(Work_Codes!$AC$81:$AO$85)*(N$388:N$392))</f>
        <v>0</v>
      </c>
      <c r="O497" s="81">
        <f ca="1">SUMPRODUCT((Work_Codes!$AC$78:$AO$78=$E497)*(Work_Codes!$AC$81:$AO$85)*(O$388:O$392))</f>
        <v>0</v>
      </c>
      <c r="P497" s="81">
        <f ca="1">SUMPRODUCT((Work_Codes!$AC$78:$AO$78=$E497)*(Work_Codes!$AC$81:$AO$85)*(P$388:P$392))</f>
        <v>0</v>
      </c>
      <c r="Q497" s="81">
        <f ca="1">SUMPRODUCT((Work_Codes!$AC$78:$AO$78=$E497)*(Work_Codes!$AC$81:$AO$85)*(Q$388:Q$392))</f>
        <v>0</v>
      </c>
      <c r="R497" s="81">
        <f ca="1">SUMPRODUCT((Work_Codes!$AC$78:$AO$78=$E497)*(Work_Codes!$AC$81:$AO$85)*(R$388:R$392))</f>
        <v>0</v>
      </c>
      <c r="S497" s="81">
        <f ca="1">SUMPRODUCT((Work_Codes!$AC$78:$AO$78=$E497)*(Work_Codes!$AC$81:$AO$85)*(S$388:S$392))</f>
        <v>0</v>
      </c>
      <c r="T497" s="81">
        <f ca="1">SUMPRODUCT((Work_Codes!$AC$78:$AO$78=$E497)*(Work_Codes!$AC$81:$AO$85)*(T$388:T$392))</f>
        <v>0</v>
      </c>
    </row>
    <row r="498" spans="4:20" ht="12" customHeight="1" outlineLevel="2">
      <c r="E498" s="249" t="str">
        <f>"Total "&amp;D482</f>
        <v>Total Direct Costs</v>
      </c>
      <c r="F498" s="249"/>
      <c r="G498" s="249"/>
      <c r="H498" s="249"/>
      <c r="I498" s="249"/>
      <c r="J498" s="82">
        <f t="shared" ref="J498:T498" ca="1" si="50">SUM(J484:J497)</f>
        <v>0</v>
      </c>
      <c r="K498" s="82">
        <f t="shared" ca="1" si="50"/>
        <v>0</v>
      </c>
      <c r="L498" s="82">
        <f t="shared" ca="1" si="50"/>
        <v>0</v>
      </c>
      <c r="M498" s="82">
        <f t="shared" ca="1" si="50"/>
        <v>0</v>
      </c>
      <c r="N498" s="82">
        <f t="shared" ca="1" si="50"/>
        <v>281780.374862617</v>
      </c>
      <c r="O498" s="82">
        <f t="shared" ca="1" si="50"/>
        <v>139177.61357236217</v>
      </c>
      <c r="P498" s="82">
        <f t="shared" ca="1" si="50"/>
        <v>358646.70069717587</v>
      </c>
      <c r="Q498" s="82">
        <f t="shared" ca="1" si="50"/>
        <v>358759.65850051696</v>
      </c>
      <c r="R498" s="82">
        <f t="shared" ca="1" si="50"/>
        <v>358920.37808452331</v>
      </c>
      <c r="S498" s="82">
        <f t="shared" ca="1" si="50"/>
        <v>359082.86694174126</v>
      </c>
      <c r="T498" s="82">
        <f t="shared" ca="1" si="50"/>
        <v>359247.14454912324</v>
      </c>
    </row>
    <row r="499" spans="4:20" outlineLevel="2"/>
    <row r="500" spans="4:20" outlineLevel="2">
      <c r="D500" s="37" t="s">
        <v>216</v>
      </c>
    </row>
    <row r="501" spans="4:20" ht="5.9" customHeight="1" outlineLevel="2"/>
    <row r="502" spans="4:20" ht="12" customHeight="1" outlineLevel="2">
      <c r="E502" s="247" t="str">
        <f>GC!C60</f>
        <v>Mains replacement</v>
      </c>
      <c r="F502" s="247"/>
      <c r="G502" s="247"/>
      <c r="H502" s="247"/>
      <c r="I502" s="247"/>
      <c r="J502" s="81">
        <f ca="1">J484*(1+INDEX(J$310:J$312,MATCH(Work_Codes!$I$75,$D$310:$D$312,0)))</f>
        <v>0</v>
      </c>
      <c r="K502" s="81">
        <f ca="1">K484*(1+INDEX(K$310:K$312,MATCH(Work_Codes!$I$75,$D$310:$D$312,0)))</f>
        <v>0</v>
      </c>
      <c r="L502" s="81">
        <f ca="1">L484*(1+INDEX(L$310:L$312,MATCH(Work_Codes!$I$75,$D$310:$D$312,0)))</f>
        <v>0</v>
      </c>
      <c r="M502" s="81">
        <f ca="1">M484*(1+INDEX(M$310:M$312,MATCH(Work_Codes!$I$75,$D$310:$D$312,0)))</f>
        <v>0</v>
      </c>
      <c r="N502" s="81">
        <f ca="1">N484*(1+INDEX(N$310:N$312,MATCH(Work_Codes!$I$75,$D$310:$D$312,0)))</f>
        <v>292406.59665942792</v>
      </c>
      <c r="O502" s="81">
        <f ca="1">O484*(1+INDEX(O$310:O$312,MATCH(Work_Codes!$I$75,$D$310:$D$312,0)))</f>
        <v>143809.99695561262</v>
      </c>
      <c r="P502" s="81">
        <f ca="1">P484*(1+INDEX(P$310:P$312,MATCH(Work_Codes!$I$75,$D$310:$D$312,0)))</f>
        <v>368241.45412519469</v>
      </c>
      <c r="Q502" s="81">
        <f ca="1">Q484*(1+INDEX(Q$310:Q$312,MATCH(Work_Codes!$I$75,$D$310:$D$312,0)))</f>
        <v>368109.14591816487</v>
      </c>
      <c r="R502" s="81">
        <f ca="1">R484*(1+INDEX(R$310:R$312,MATCH(Work_Codes!$I$75,$D$310:$D$312,0)))</f>
        <v>368565.64755385579</v>
      </c>
      <c r="S502" s="81">
        <f ca="1">S484*(1+INDEX(S$310:S$312,MATCH(Work_Codes!$I$75,$D$310:$D$312,0)))</f>
        <v>369333.31071147678</v>
      </c>
      <c r="T502" s="81">
        <f ca="1">T484*(1+INDEX(T$310:T$312,MATCH(Work_Codes!$I$75,$D$310:$D$312,0)))</f>
        <v>369995.95498262747</v>
      </c>
    </row>
    <row r="503" spans="4:20" ht="12" customHeight="1" outlineLevel="2">
      <c r="E503" s="247" t="str">
        <f>GC!C61</f>
        <v>Residential new customer connections</v>
      </c>
      <c r="F503" s="247"/>
      <c r="G503" s="247"/>
      <c r="H503" s="247"/>
      <c r="I503" s="247"/>
      <c r="J503" s="81">
        <f ca="1">J485*(1+INDEX(J$310:J$312,MATCH(Work_Codes!$I$75,$D$310:$D$312,0)))</f>
        <v>0</v>
      </c>
      <c r="K503" s="81">
        <f ca="1">K485*(1+INDEX(K$310:K$312,MATCH(Work_Codes!$I$75,$D$310:$D$312,0)))</f>
        <v>0</v>
      </c>
      <c r="L503" s="81">
        <f ca="1">L485*(1+INDEX(L$310:L$312,MATCH(Work_Codes!$I$75,$D$310:$D$312,0)))</f>
        <v>0</v>
      </c>
      <c r="M503" s="81">
        <f ca="1">M485*(1+INDEX(M$310:M$312,MATCH(Work_Codes!$I$75,$D$310:$D$312,0)))</f>
        <v>0</v>
      </c>
      <c r="N503" s="81">
        <f ca="1">N485*(1+INDEX(N$310:N$312,MATCH(Work_Codes!$I$75,$D$310:$D$312,0)))</f>
        <v>0</v>
      </c>
      <c r="O503" s="81">
        <f ca="1">O485*(1+INDEX(O$310:O$312,MATCH(Work_Codes!$I$75,$D$310:$D$312,0)))</f>
        <v>0</v>
      </c>
      <c r="P503" s="81">
        <f ca="1">P485*(1+INDEX(P$310:P$312,MATCH(Work_Codes!$I$75,$D$310:$D$312,0)))</f>
        <v>0</v>
      </c>
      <c r="Q503" s="81">
        <f ca="1">Q485*(1+INDEX(Q$310:Q$312,MATCH(Work_Codes!$I$75,$D$310:$D$312,0)))</f>
        <v>0</v>
      </c>
      <c r="R503" s="81">
        <f ca="1">R485*(1+INDEX(R$310:R$312,MATCH(Work_Codes!$I$75,$D$310:$D$312,0)))</f>
        <v>0</v>
      </c>
      <c r="S503" s="81">
        <f ca="1">S485*(1+INDEX(S$310:S$312,MATCH(Work_Codes!$I$75,$D$310:$D$312,0)))</f>
        <v>0</v>
      </c>
      <c r="T503" s="81">
        <f ca="1">T485*(1+INDEX(T$310:T$312,MATCH(Work_Codes!$I$75,$D$310:$D$312,0)))</f>
        <v>0</v>
      </c>
    </row>
    <row r="504" spans="4:20" ht="12" customHeight="1" outlineLevel="2">
      <c r="E504" s="247" t="str">
        <f>GC!C62</f>
        <v>Commercial and industrial new customer connections</v>
      </c>
      <c r="F504" s="247"/>
      <c r="G504" s="247"/>
      <c r="H504" s="247"/>
      <c r="I504" s="247"/>
      <c r="J504" s="81">
        <f ca="1">J486*(1+INDEX(J$310:J$312,MATCH(Work_Codes!$I$75,$D$310:$D$312,0)))</f>
        <v>0</v>
      </c>
      <c r="K504" s="81">
        <f ca="1">K486*(1+INDEX(K$310:K$312,MATCH(Work_Codes!$I$75,$D$310:$D$312,0)))</f>
        <v>0</v>
      </c>
      <c r="L504" s="81">
        <f ca="1">L486*(1+INDEX(L$310:L$312,MATCH(Work_Codes!$I$75,$D$310:$D$312,0)))</f>
        <v>0</v>
      </c>
      <c r="M504" s="81">
        <f ca="1">M486*(1+INDEX(M$310:M$312,MATCH(Work_Codes!$I$75,$D$310:$D$312,0)))</f>
        <v>0</v>
      </c>
      <c r="N504" s="81">
        <f ca="1">N486*(1+INDEX(N$310:N$312,MATCH(Work_Codes!$I$75,$D$310:$D$312,0)))</f>
        <v>0</v>
      </c>
      <c r="O504" s="81">
        <f ca="1">O486*(1+INDEX(O$310:O$312,MATCH(Work_Codes!$I$75,$D$310:$D$312,0)))</f>
        <v>0</v>
      </c>
      <c r="P504" s="81">
        <f ca="1">P486*(1+INDEX(P$310:P$312,MATCH(Work_Codes!$I$75,$D$310:$D$312,0)))</f>
        <v>0</v>
      </c>
      <c r="Q504" s="81">
        <f ca="1">Q486*(1+INDEX(Q$310:Q$312,MATCH(Work_Codes!$I$75,$D$310:$D$312,0)))</f>
        <v>0</v>
      </c>
      <c r="R504" s="81">
        <f ca="1">R486*(1+INDEX(R$310:R$312,MATCH(Work_Codes!$I$75,$D$310:$D$312,0)))</f>
        <v>0</v>
      </c>
      <c r="S504" s="81">
        <f ca="1">S486*(1+INDEX(S$310:S$312,MATCH(Work_Codes!$I$75,$D$310:$D$312,0)))</f>
        <v>0</v>
      </c>
      <c r="T504" s="81">
        <f ca="1">T486*(1+INDEX(T$310:T$312,MATCH(Work_Codes!$I$75,$D$310:$D$312,0)))</f>
        <v>0</v>
      </c>
    </row>
    <row r="505" spans="4:20" ht="12" customHeight="1" outlineLevel="2">
      <c r="E505" s="247" t="str">
        <f>GC!C63</f>
        <v>Residential meter replacement</v>
      </c>
      <c r="F505" s="247"/>
      <c r="G505" s="247"/>
      <c r="H505" s="247"/>
      <c r="I505" s="247"/>
      <c r="J505" s="81">
        <f ca="1">J487*(1+INDEX(J$310:J$312,MATCH(Work_Codes!$I$75,$D$310:$D$312,0)))</f>
        <v>0</v>
      </c>
      <c r="K505" s="81">
        <f ca="1">K487*(1+INDEX(K$310:K$312,MATCH(Work_Codes!$I$75,$D$310:$D$312,0)))</f>
        <v>0</v>
      </c>
      <c r="L505" s="81">
        <f ca="1">L487*(1+INDEX(L$310:L$312,MATCH(Work_Codes!$I$75,$D$310:$D$312,0)))</f>
        <v>0</v>
      </c>
      <c r="M505" s="81">
        <f ca="1">M487*(1+INDEX(M$310:M$312,MATCH(Work_Codes!$I$75,$D$310:$D$312,0)))</f>
        <v>0</v>
      </c>
      <c r="N505" s="81">
        <f ca="1">N487*(1+INDEX(N$310:N$312,MATCH(Work_Codes!$I$75,$D$310:$D$312,0)))</f>
        <v>0</v>
      </c>
      <c r="O505" s="81">
        <f ca="1">O487*(1+INDEX(O$310:O$312,MATCH(Work_Codes!$I$75,$D$310:$D$312,0)))</f>
        <v>0</v>
      </c>
      <c r="P505" s="81">
        <f ca="1">P487*(1+INDEX(P$310:P$312,MATCH(Work_Codes!$I$75,$D$310:$D$312,0)))</f>
        <v>0</v>
      </c>
      <c r="Q505" s="81">
        <f ca="1">Q487*(1+INDEX(Q$310:Q$312,MATCH(Work_Codes!$I$75,$D$310:$D$312,0)))</f>
        <v>0</v>
      </c>
      <c r="R505" s="81">
        <f ca="1">R487*(1+INDEX(R$310:R$312,MATCH(Work_Codes!$I$75,$D$310:$D$312,0)))</f>
        <v>0</v>
      </c>
      <c r="S505" s="81">
        <f ca="1">S487*(1+INDEX(S$310:S$312,MATCH(Work_Codes!$I$75,$D$310:$D$312,0)))</f>
        <v>0</v>
      </c>
      <c r="T505" s="81">
        <f ca="1">T487*(1+INDEX(T$310:T$312,MATCH(Work_Codes!$I$75,$D$310:$D$312,0)))</f>
        <v>0</v>
      </c>
    </row>
    <row r="506" spans="4:20" ht="12" customHeight="1" outlineLevel="2">
      <c r="E506" s="247" t="str">
        <f>GC!C64</f>
        <v>Commercial and industrial meter replacement</v>
      </c>
      <c r="F506" s="247"/>
      <c r="G506" s="247"/>
      <c r="H506" s="247"/>
      <c r="I506" s="247"/>
      <c r="J506" s="81">
        <f ca="1">J488*(1+INDEX(J$310:J$312,MATCH(Work_Codes!$I$75,$D$310:$D$312,0)))</f>
        <v>0</v>
      </c>
      <c r="K506" s="81">
        <f ca="1">K488*(1+INDEX(K$310:K$312,MATCH(Work_Codes!$I$75,$D$310:$D$312,0)))</f>
        <v>0</v>
      </c>
      <c r="L506" s="81">
        <f ca="1">L488*(1+INDEX(L$310:L$312,MATCH(Work_Codes!$I$75,$D$310:$D$312,0)))</f>
        <v>0</v>
      </c>
      <c r="M506" s="81">
        <f ca="1">M488*(1+INDEX(M$310:M$312,MATCH(Work_Codes!$I$75,$D$310:$D$312,0)))</f>
        <v>0</v>
      </c>
      <c r="N506" s="81">
        <f ca="1">N488*(1+INDEX(N$310:N$312,MATCH(Work_Codes!$I$75,$D$310:$D$312,0)))</f>
        <v>0</v>
      </c>
      <c r="O506" s="81">
        <f ca="1">O488*(1+INDEX(O$310:O$312,MATCH(Work_Codes!$I$75,$D$310:$D$312,0)))</f>
        <v>0</v>
      </c>
      <c r="P506" s="81">
        <f ca="1">P488*(1+INDEX(P$310:P$312,MATCH(Work_Codes!$I$75,$D$310:$D$312,0)))</f>
        <v>0</v>
      </c>
      <c r="Q506" s="81">
        <f ca="1">Q488*(1+INDEX(Q$310:Q$312,MATCH(Work_Codes!$I$75,$D$310:$D$312,0)))</f>
        <v>0</v>
      </c>
      <c r="R506" s="81">
        <f ca="1">R488*(1+INDEX(R$310:R$312,MATCH(Work_Codes!$I$75,$D$310:$D$312,0)))</f>
        <v>0</v>
      </c>
      <c r="S506" s="81">
        <f ca="1">S488*(1+INDEX(S$310:S$312,MATCH(Work_Codes!$I$75,$D$310:$D$312,0)))</f>
        <v>0</v>
      </c>
      <c r="T506" s="81">
        <f ca="1">T488*(1+INDEX(T$310:T$312,MATCH(Work_Codes!$I$75,$D$310:$D$312,0)))</f>
        <v>0</v>
      </c>
    </row>
    <row r="507" spans="4:20" ht="12" customHeight="1" outlineLevel="2">
      <c r="E507" s="247" t="str">
        <f>GC!C65</f>
        <v>Augmentation</v>
      </c>
      <c r="F507" s="247"/>
      <c r="G507" s="247"/>
      <c r="H507" s="247"/>
      <c r="I507" s="247"/>
      <c r="J507" s="81">
        <f ca="1">J489*(1+INDEX(J$310:J$312,MATCH(Work_Codes!$I$75,$D$310:$D$312,0)))</f>
        <v>0</v>
      </c>
      <c r="K507" s="81">
        <f ca="1">K489*(1+INDEX(K$310:K$312,MATCH(Work_Codes!$I$75,$D$310:$D$312,0)))</f>
        <v>0</v>
      </c>
      <c r="L507" s="81">
        <f ca="1">L489*(1+INDEX(L$310:L$312,MATCH(Work_Codes!$I$75,$D$310:$D$312,0)))</f>
        <v>0</v>
      </c>
      <c r="M507" s="81">
        <f ca="1">M489*(1+INDEX(M$310:M$312,MATCH(Work_Codes!$I$75,$D$310:$D$312,0)))</f>
        <v>0</v>
      </c>
      <c r="N507" s="81">
        <f ca="1">N489*(1+INDEX(N$310:N$312,MATCH(Work_Codes!$I$75,$D$310:$D$312,0)))</f>
        <v>0</v>
      </c>
      <c r="O507" s="81">
        <f ca="1">O489*(1+INDEX(O$310:O$312,MATCH(Work_Codes!$I$75,$D$310:$D$312,0)))</f>
        <v>0</v>
      </c>
      <c r="P507" s="81">
        <f ca="1">P489*(1+INDEX(P$310:P$312,MATCH(Work_Codes!$I$75,$D$310:$D$312,0)))</f>
        <v>0</v>
      </c>
      <c r="Q507" s="81">
        <f ca="1">Q489*(1+INDEX(Q$310:Q$312,MATCH(Work_Codes!$I$75,$D$310:$D$312,0)))</f>
        <v>0</v>
      </c>
      <c r="R507" s="81">
        <f ca="1">R489*(1+INDEX(R$310:R$312,MATCH(Work_Codes!$I$75,$D$310:$D$312,0)))</f>
        <v>0</v>
      </c>
      <c r="S507" s="81">
        <f ca="1">S489*(1+INDEX(S$310:S$312,MATCH(Work_Codes!$I$75,$D$310:$D$312,0)))</f>
        <v>0</v>
      </c>
      <c r="T507" s="81">
        <f ca="1">T489*(1+INDEX(T$310:T$312,MATCH(Work_Codes!$I$75,$D$310:$D$312,0)))</f>
        <v>0</v>
      </c>
    </row>
    <row r="508" spans="4:20" ht="12" customHeight="1" outlineLevel="2">
      <c r="E508" s="247" t="str">
        <f>GC!C66</f>
        <v>IT capex</v>
      </c>
      <c r="F508" s="247"/>
      <c r="G508" s="247"/>
      <c r="H508" s="247"/>
      <c r="I508" s="247"/>
      <c r="J508" s="81">
        <f ca="1">J490*(1+INDEX(J$310:J$312,MATCH(Work_Codes!$I$75,$D$310:$D$312,0)))</f>
        <v>0</v>
      </c>
      <c r="K508" s="81">
        <f ca="1">K490*(1+INDEX(K$310:K$312,MATCH(Work_Codes!$I$75,$D$310:$D$312,0)))</f>
        <v>0</v>
      </c>
      <c r="L508" s="81">
        <f ca="1">L490*(1+INDEX(L$310:L$312,MATCH(Work_Codes!$I$75,$D$310:$D$312,0)))</f>
        <v>0</v>
      </c>
      <c r="M508" s="81">
        <f ca="1">M490*(1+INDEX(M$310:M$312,MATCH(Work_Codes!$I$75,$D$310:$D$312,0)))</f>
        <v>0</v>
      </c>
      <c r="N508" s="81">
        <f ca="1">N490*(1+INDEX(N$310:N$312,MATCH(Work_Codes!$I$75,$D$310:$D$312,0)))</f>
        <v>0</v>
      </c>
      <c r="O508" s="81">
        <f ca="1">O490*(1+INDEX(O$310:O$312,MATCH(Work_Codes!$I$75,$D$310:$D$312,0)))</f>
        <v>0</v>
      </c>
      <c r="P508" s="81">
        <f ca="1">P490*(1+INDEX(P$310:P$312,MATCH(Work_Codes!$I$75,$D$310:$D$312,0)))</f>
        <v>0</v>
      </c>
      <c r="Q508" s="81">
        <f ca="1">Q490*(1+INDEX(Q$310:Q$312,MATCH(Work_Codes!$I$75,$D$310:$D$312,0)))</f>
        <v>0</v>
      </c>
      <c r="R508" s="81">
        <f ca="1">R490*(1+INDEX(R$310:R$312,MATCH(Work_Codes!$I$75,$D$310:$D$312,0)))</f>
        <v>0</v>
      </c>
      <c r="S508" s="81">
        <f ca="1">S490*(1+INDEX(S$310:S$312,MATCH(Work_Codes!$I$75,$D$310:$D$312,0)))</f>
        <v>0</v>
      </c>
      <c r="T508" s="81">
        <f ca="1">T490*(1+INDEX(T$310:T$312,MATCH(Work_Codes!$I$75,$D$310:$D$312,0)))</f>
        <v>0</v>
      </c>
    </row>
    <row r="509" spans="4:20" ht="12" customHeight="1" outlineLevel="2">
      <c r="E509" s="247" t="str">
        <f>GC!C67</f>
        <v>SCADA</v>
      </c>
      <c r="F509" s="247"/>
      <c r="G509" s="247"/>
      <c r="H509" s="247"/>
      <c r="I509" s="247"/>
      <c r="J509" s="81">
        <f ca="1">J491*(1+INDEX(J$310:J$312,MATCH(Work_Codes!$I$75,$D$310:$D$312,0)))</f>
        <v>0</v>
      </c>
      <c r="K509" s="81">
        <f ca="1">K491*(1+INDEX(K$310:K$312,MATCH(Work_Codes!$I$75,$D$310:$D$312,0)))</f>
        <v>0</v>
      </c>
      <c r="L509" s="81">
        <f ca="1">L491*(1+INDEX(L$310:L$312,MATCH(Work_Codes!$I$75,$D$310:$D$312,0)))</f>
        <v>0</v>
      </c>
      <c r="M509" s="81">
        <f ca="1">M491*(1+INDEX(M$310:M$312,MATCH(Work_Codes!$I$75,$D$310:$D$312,0)))</f>
        <v>0</v>
      </c>
      <c r="N509" s="81">
        <f ca="1">N491*(1+INDEX(N$310:N$312,MATCH(Work_Codes!$I$75,$D$310:$D$312,0)))</f>
        <v>0</v>
      </c>
      <c r="O509" s="81">
        <f ca="1">O491*(1+INDEX(O$310:O$312,MATCH(Work_Codes!$I$75,$D$310:$D$312,0)))</f>
        <v>0</v>
      </c>
      <c r="P509" s="81">
        <f ca="1">P491*(1+INDEX(P$310:P$312,MATCH(Work_Codes!$I$75,$D$310:$D$312,0)))</f>
        <v>0</v>
      </c>
      <c r="Q509" s="81">
        <f ca="1">Q491*(1+INDEX(Q$310:Q$312,MATCH(Work_Codes!$I$75,$D$310:$D$312,0)))</f>
        <v>0</v>
      </c>
      <c r="R509" s="81">
        <f ca="1">R491*(1+INDEX(R$310:R$312,MATCH(Work_Codes!$I$75,$D$310:$D$312,0)))</f>
        <v>0</v>
      </c>
      <c r="S509" s="81">
        <f ca="1">S491*(1+INDEX(S$310:S$312,MATCH(Work_Codes!$I$75,$D$310:$D$312,0)))</f>
        <v>0</v>
      </c>
      <c r="T509" s="81">
        <f ca="1">T491*(1+INDEX(T$310:T$312,MATCH(Work_Codes!$I$75,$D$310:$D$312,0)))</f>
        <v>0</v>
      </c>
    </row>
    <row r="510" spans="4:20" ht="12" customHeight="1" outlineLevel="2">
      <c r="E510" s="247" t="str">
        <f>GC!C68</f>
        <v>Other</v>
      </c>
      <c r="F510" s="247"/>
      <c r="G510" s="247"/>
      <c r="H510" s="247"/>
      <c r="I510" s="247"/>
      <c r="J510" s="81">
        <f ca="1">J492*(1+INDEX(J$310:J$312,MATCH(Work_Codes!$I$75,$D$310:$D$312,0)))</f>
        <v>0</v>
      </c>
      <c r="K510" s="81">
        <f ca="1">K492*(1+INDEX(K$310:K$312,MATCH(Work_Codes!$I$75,$D$310:$D$312,0)))</f>
        <v>0</v>
      </c>
      <c r="L510" s="81">
        <f ca="1">L492*(1+INDEX(L$310:L$312,MATCH(Work_Codes!$I$75,$D$310:$D$312,0)))</f>
        <v>0</v>
      </c>
      <c r="M510" s="81">
        <f ca="1">M492*(1+INDEX(M$310:M$312,MATCH(Work_Codes!$I$75,$D$310:$D$312,0)))</f>
        <v>0</v>
      </c>
      <c r="N510" s="81">
        <f ca="1">N492*(1+INDEX(N$310:N$312,MATCH(Work_Codes!$I$75,$D$310:$D$312,0)))</f>
        <v>0</v>
      </c>
      <c r="O510" s="81">
        <f ca="1">O492*(1+INDEX(O$310:O$312,MATCH(Work_Codes!$I$75,$D$310:$D$312,0)))</f>
        <v>0</v>
      </c>
      <c r="P510" s="81">
        <f ca="1">P492*(1+INDEX(P$310:P$312,MATCH(Work_Codes!$I$75,$D$310:$D$312,0)))</f>
        <v>0</v>
      </c>
      <c r="Q510" s="81">
        <f ca="1">Q492*(1+INDEX(Q$310:Q$312,MATCH(Work_Codes!$I$75,$D$310:$D$312,0)))</f>
        <v>0</v>
      </c>
      <c r="R510" s="81">
        <f ca="1">R492*(1+INDEX(R$310:R$312,MATCH(Work_Codes!$I$75,$D$310:$D$312,0)))</f>
        <v>0</v>
      </c>
      <c r="S510" s="81">
        <f ca="1">S492*(1+INDEX(S$310:S$312,MATCH(Work_Codes!$I$75,$D$310:$D$312,0)))</f>
        <v>0</v>
      </c>
      <c r="T510" s="81">
        <f ca="1">T492*(1+INDEX(T$310:T$312,MATCH(Work_Codes!$I$75,$D$310:$D$312,0)))</f>
        <v>0</v>
      </c>
    </row>
    <row r="511" spans="4:20" outlineLevel="2">
      <c r="E511" s="247" t="str">
        <f>GC!C69</f>
        <v>Capitalised Leases</v>
      </c>
      <c r="F511" s="247"/>
      <c r="G511" s="247"/>
      <c r="H511" s="247"/>
      <c r="I511" s="247"/>
      <c r="J511" s="81">
        <f ca="1">J493*(1+INDEX(J$310:J$312,MATCH(Work_Codes!$I$75,$D$310:$D$312,0)))</f>
        <v>0</v>
      </c>
      <c r="K511" s="81">
        <f ca="1">K493*(1+INDEX(K$310:K$312,MATCH(Work_Codes!$I$75,$D$310:$D$312,0)))</f>
        <v>0</v>
      </c>
      <c r="L511" s="81">
        <f ca="1">L493*(1+INDEX(L$310:L$312,MATCH(Work_Codes!$I$75,$D$310:$D$312,0)))</f>
        <v>0</v>
      </c>
      <c r="M511" s="81">
        <f ca="1">M493*(1+INDEX(M$310:M$312,MATCH(Work_Codes!$I$75,$D$310:$D$312,0)))</f>
        <v>0</v>
      </c>
      <c r="N511" s="81">
        <f ca="1">N493*(1+INDEX(N$310:N$312,MATCH(Work_Codes!$I$75,$D$310:$D$312,0)))</f>
        <v>0</v>
      </c>
      <c r="O511" s="81">
        <f ca="1">O493*(1+INDEX(O$310:O$312,MATCH(Work_Codes!$I$75,$D$310:$D$312,0)))</f>
        <v>0</v>
      </c>
      <c r="P511" s="81">
        <f ca="1">P493*(1+INDEX(P$310:P$312,MATCH(Work_Codes!$I$75,$D$310:$D$312,0)))</f>
        <v>0</v>
      </c>
      <c r="Q511" s="81">
        <f ca="1">Q493*(1+INDEX(Q$310:Q$312,MATCH(Work_Codes!$I$75,$D$310:$D$312,0)))</f>
        <v>0</v>
      </c>
      <c r="R511" s="81">
        <f ca="1">R493*(1+INDEX(R$310:R$312,MATCH(Work_Codes!$I$75,$D$310:$D$312,0)))</f>
        <v>0</v>
      </c>
      <c r="S511" s="81">
        <f ca="1">S493*(1+INDEX(S$310:S$312,MATCH(Work_Codes!$I$75,$D$310:$D$312,0)))</f>
        <v>0</v>
      </c>
      <c r="T511" s="81">
        <f ca="1">T493*(1+INDEX(T$310:T$312,MATCH(Work_Codes!$I$75,$D$310:$D$312,0)))</f>
        <v>0</v>
      </c>
    </row>
    <row r="512" spans="4:20" ht="12" customHeight="1" outlineLevel="2">
      <c r="E512" s="247" t="str">
        <f>GC!C70</f>
        <v>Gas Extensions - Energy for the Regions</v>
      </c>
      <c r="F512" s="247"/>
      <c r="G512" s="247"/>
      <c r="H512" s="247"/>
      <c r="I512" s="247"/>
      <c r="J512" s="81">
        <f ca="1">J494*(1+INDEX(J$310:J$312,MATCH(Work_Codes!$I$75,$D$310:$D$312,0)))</f>
        <v>0</v>
      </c>
      <c r="K512" s="81">
        <f ca="1">K494*(1+INDEX(K$310:K$312,MATCH(Work_Codes!$I$75,$D$310:$D$312,0)))</f>
        <v>0</v>
      </c>
      <c r="L512" s="81">
        <f ca="1">L494*(1+INDEX(L$310:L$312,MATCH(Work_Codes!$I$75,$D$310:$D$312,0)))</f>
        <v>0</v>
      </c>
      <c r="M512" s="81">
        <f ca="1">M494*(1+INDEX(M$310:M$312,MATCH(Work_Codes!$I$75,$D$310:$D$312,0)))</f>
        <v>0</v>
      </c>
      <c r="N512" s="81">
        <f ca="1">N494*(1+INDEX(N$310:N$312,MATCH(Work_Codes!$I$75,$D$310:$D$312,0)))</f>
        <v>0</v>
      </c>
      <c r="O512" s="81">
        <f ca="1">O494*(1+INDEX(O$310:O$312,MATCH(Work_Codes!$I$75,$D$310:$D$312,0)))</f>
        <v>0</v>
      </c>
      <c r="P512" s="81">
        <f ca="1">P494*(1+INDEX(P$310:P$312,MATCH(Work_Codes!$I$75,$D$310:$D$312,0)))</f>
        <v>0</v>
      </c>
      <c r="Q512" s="81">
        <f ca="1">Q494*(1+INDEX(Q$310:Q$312,MATCH(Work_Codes!$I$75,$D$310:$D$312,0)))</f>
        <v>0</v>
      </c>
      <c r="R512" s="81">
        <f ca="1">R494*(1+INDEX(R$310:R$312,MATCH(Work_Codes!$I$75,$D$310:$D$312,0)))</f>
        <v>0</v>
      </c>
      <c r="S512" s="81">
        <f ca="1">S494*(1+INDEX(S$310:S$312,MATCH(Work_Codes!$I$75,$D$310:$D$312,0)))</f>
        <v>0</v>
      </c>
      <c r="T512" s="81">
        <f ca="1">T494*(1+INDEX(T$310:T$312,MATCH(Work_Codes!$I$75,$D$310:$D$312,0)))</f>
        <v>0</v>
      </c>
    </row>
    <row r="513" spans="4:20" ht="12" customHeight="1" outlineLevel="2">
      <c r="E513" s="247" t="str">
        <f>GC!C71</f>
        <v>Gas Extensions - Other</v>
      </c>
      <c r="F513" s="247"/>
      <c r="G513" s="247"/>
      <c r="H513" s="247"/>
      <c r="I513" s="247"/>
      <c r="J513" s="81">
        <f ca="1">J495*(1+INDEX(J$310:J$312,MATCH(Work_Codes!$I$75,$D$310:$D$312,0)))</f>
        <v>0</v>
      </c>
      <c r="K513" s="81">
        <f ca="1">K495*(1+INDEX(K$310:K$312,MATCH(Work_Codes!$I$75,$D$310:$D$312,0)))</f>
        <v>0</v>
      </c>
      <c r="L513" s="81">
        <f ca="1">L495*(1+INDEX(L$310:L$312,MATCH(Work_Codes!$I$75,$D$310:$D$312,0)))</f>
        <v>0</v>
      </c>
      <c r="M513" s="81">
        <f ca="1">M495*(1+INDEX(M$310:M$312,MATCH(Work_Codes!$I$75,$D$310:$D$312,0)))</f>
        <v>0</v>
      </c>
      <c r="N513" s="81">
        <f ca="1">N495*(1+INDEX(N$310:N$312,MATCH(Work_Codes!$I$75,$D$310:$D$312,0)))</f>
        <v>0</v>
      </c>
      <c r="O513" s="81">
        <f ca="1">O495*(1+INDEX(O$310:O$312,MATCH(Work_Codes!$I$75,$D$310:$D$312,0)))</f>
        <v>0</v>
      </c>
      <c r="P513" s="81">
        <f ca="1">P495*(1+INDEX(P$310:P$312,MATCH(Work_Codes!$I$75,$D$310:$D$312,0)))</f>
        <v>0</v>
      </c>
      <c r="Q513" s="81">
        <f ca="1">Q495*(1+INDEX(Q$310:Q$312,MATCH(Work_Codes!$I$75,$D$310:$D$312,0)))</f>
        <v>0</v>
      </c>
      <c r="R513" s="81">
        <f ca="1">R495*(1+INDEX(R$310:R$312,MATCH(Work_Codes!$I$75,$D$310:$D$312,0)))</f>
        <v>0</v>
      </c>
      <c r="S513" s="81">
        <f ca="1">S495*(1+INDEX(S$310:S$312,MATCH(Work_Codes!$I$75,$D$310:$D$312,0)))</f>
        <v>0</v>
      </c>
      <c r="T513" s="81">
        <f ca="1">T495*(1+INDEX(T$310:T$312,MATCH(Work_Codes!$I$75,$D$310:$D$312,0)))</f>
        <v>0</v>
      </c>
    </row>
    <row r="514" spans="4:20" ht="12" customHeight="1" outlineLevel="2">
      <c r="E514" s="247" t="str">
        <f>GC!C72</f>
        <v>Customer contributions</v>
      </c>
      <c r="F514" s="247"/>
      <c r="G514" s="247"/>
      <c r="H514" s="247"/>
      <c r="I514" s="247"/>
      <c r="J514" s="81">
        <f ca="1">J496*(1+INDEX(J$310:J$312,MATCH(Work_Codes!$I$75,$D$310:$D$312,0)))</f>
        <v>0</v>
      </c>
      <c r="K514" s="81">
        <f ca="1">K496*(1+INDEX(K$310:K$312,MATCH(Work_Codes!$I$75,$D$310:$D$312,0)))</f>
        <v>0</v>
      </c>
      <c r="L514" s="81">
        <f ca="1">L496*(1+INDEX(L$310:L$312,MATCH(Work_Codes!$I$75,$D$310:$D$312,0)))</f>
        <v>0</v>
      </c>
      <c r="M514" s="81">
        <f ca="1">M496*(1+INDEX(M$310:M$312,MATCH(Work_Codes!$I$75,$D$310:$D$312,0)))</f>
        <v>0</v>
      </c>
      <c r="N514" s="81">
        <f ca="1">N496*(1+INDEX(N$310:N$312,MATCH(Work_Codes!$I$75,$D$310:$D$312,0)))</f>
        <v>0</v>
      </c>
      <c r="O514" s="81">
        <f ca="1">O496*(1+INDEX(O$310:O$312,MATCH(Work_Codes!$I$75,$D$310:$D$312,0)))</f>
        <v>0</v>
      </c>
      <c r="P514" s="81">
        <f ca="1">P496*(1+INDEX(P$310:P$312,MATCH(Work_Codes!$I$75,$D$310:$D$312,0)))</f>
        <v>0</v>
      </c>
      <c r="Q514" s="81">
        <f ca="1">Q496*(1+INDEX(Q$310:Q$312,MATCH(Work_Codes!$I$75,$D$310:$D$312,0)))</f>
        <v>0</v>
      </c>
      <c r="R514" s="81">
        <f ca="1">R496*(1+INDEX(R$310:R$312,MATCH(Work_Codes!$I$75,$D$310:$D$312,0)))</f>
        <v>0</v>
      </c>
      <c r="S514" s="81">
        <f ca="1">S496*(1+INDEX(S$310:S$312,MATCH(Work_Codes!$I$75,$D$310:$D$312,0)))</f>
        <v>0</v>
      </c>
      <c r="T514" s="81">
        <f ca="1">T496*(1+INDEX(T$310:T$312,MATCH(Work_Codes!$I$75,$D$310:$D$312,0)))</f>
        <v>0</v>
      </c>
    </row>
    <row r="515" spans="4:20" ht="12" customHeight="1" outlineLevel="2">
      <c r="E515" s="247" t="str">
        <f>GC!C73</f>
        <v>Government contributions</v>
      </c>
      <c r="F515" s="247"/>
      <c r="G515" s="247"/>
      <c r="H515" s="247"/>
      <c r="I515" s="247"/>
      <c r="J515" s="81">
        <f ca="1">J497*(1+INDEX(J$310:J$312,MATCH(Work_Codes!$I$75,$D$310:$D$312,0)))</f>
        <v>0</v>
      </c>
      <c r="K515" s="81">
        <f ca="1">K497*(1+INDEX(K$310:K$312,MATCH(Work_Codes!$I$75,$D$310:$D$312,0)))</f>
        <v>0</v>
      </c>
      <c r="L515" s="81">
        <f ca="1">L497*(1+INDEX(L$310:L$312,MATCH(Work_Codes!$I$75,$D$310:$D$312,0)))</f>
        <v>0</v>
      </c>
      <c r="M515" s="81">
        <f ca="1">M497*(1+INDEX(M$310:M$312,MATCH(Work_Codes!$I$75,$D$310:$D$312,0)))</f>
        <v>0</v>
      </c>
      <c r="N515" s="81">
        <f ca="1">N497*(1+INDEX(N$310:N$312,MATCH(Work_Codes!$I$75,$D$310:$D$312,0)))</f>
        <v>0</v>
      </c>
      <c r="O515" s="81">
        <f ca="1">O497*(1+INDEX(O$310:O$312,MATCH(Work_Codes!$I$75,$D$310:$D$312,0)))</f>
        <v>0</v>
      </c>
      <c r="P515" s="81">
        <f ca="1">P497*(1+INDEX(P$310:P$312,MATCH(Work_Codes!$I$75,$D$310:$D$312,0)))</f>
        <v>0</v>
      </c>
      <c r="Q515" s="81">
        <f ca="1">Q497*(1+INDEX(Q$310:Q$312,MATCH(Work_Codes!$I$75,$D$310:$D$312,0)))</f>
        <v>0</v>
      </c>
      <c r="R515" s="81">
        <f ca="1">R497*(1+INDEX(R$310:R$312,MATCH(Work_Codes!$I$75,$D$310:$D$312,0)))</f>
        <v>0</v>
      </c>
      <c r="S515" s="81">
        <f ca="1">S497*(1+INDEX(S$310:S$312,MATCH(Work_Codes!$I$75,$D$310:$D$312,0)))</f>
        <v>0</v>
      </c>
      <c r="T515" s="81">
        <f ca="1">T497*(1+INDEX(T$310:T$312,MATCH(Work_Codes!$I$75,$D$310:$D$312,0)))</f>
        <v>0</v>
      </c>
    </row>
    <row r="516" spans="4:20" ht="12" customHeight="1" outlineLevel="2">
      <c r="E516" s="249" t="str">
        <f>"Total "&amp;D500</f>
        <v>Total Direct Costs + Overheads</v>
      </c>
      <c r="F516" s="249"/>
      <c r="G516" s="249"/>
      <c r="H516" s="249"/>
      <c r="I516" s="249"/>
      <c r="J516" s="82">
        <f t="shared" ref="J516:T516" ca="1" si="51">SUM(J502:J515)</f>
        <v>0</v>
      </c>
      <c r="K516" s="82">
        <f t="shared" ca="1" si="51"/>
        <v>0</v>
      </c>
      <c r="L516" s="82">
        <f t="shared" ca="1" si="51"/>
        <v>0</v>
      </c>
      <c r="M516" s="82">
        <f t="shared" ca="1" si="51"/>
        <v>0</v>
      </c>
      <c r="N516" s="82">
        <f t="shared" ca="1" si="51"/>
        <v>292406.59665942792</v>
      </c>
      <c r="O516" s="82">
        <f t="shared" ca="1" si="51"/>
        <v>143809.99695561262</v>
      </c>
      <c r="P516" s="82">
        <f t="shared" ca="1" si="51"/>
        <v>368241.45412519469</v>
      </c>
      <c r="Q516" s="82">
        <f t="shared" ca="1" si="51"/>
        <v>368109.14591816487</v>
      </c>
      <c r="R516" s="82">
        <f t="shared" ca="1" si="51"/>
        <v>368565.64755385579</v>
      </c>
      <c r="S516" s="82">
        <f t="shared" ca="1" si="51"/>
        <v>369333.31071147678</v>
      </c>
      <c r="T516" s="82">
        <f t="shared" ca="1" si="51"/>
        <v>369995.95498262747</v>
      </c>
    </row>
    <row r="517" spans="4:20" outlineLevel="2"/>
    <row r="518" spans="4:20" outlineLevel="2">
      <c r="D518" s="37" t="s">
        <v>367</v>
      </c>
    </row>
    <row r="519" spans="4:20" ht="5.75" customHeight="1" outlineLevel="2"/>
    <row r="520" spans="4:20" outlineLevel="2">
      <c r="E520" s="247" t="str">
        <f>GC!C60</f>
        <v>Mains replacement</v>
      </c>
      <c r="F520" s="247"/>
      <c r="G520" s="247"/>
      <c r="H520" s="247"/>
      <c r="I520" s="247"/>
      <c r="J520" s="81">
        <f ca="1">SUMPRODUCT((Work_Codes!$AC$78:$AO$78=$E520)*(Work_Codes!$AC$89:$AO$89)*(J$349:J$349))</f>
        <v>0</v>
      </c>
      <c r="K520" s="81">
        <f ca="1">SUMPRODUCT((Work_Codes!$AC$78:$AO$78=$E520)*(Work_Codes!$AC$89:$AO$89)*(K$349:K$349))</f>
        <v>0</v>
      </c>
      <c r="L520" s="81">
        <f ca="1">SUMPRODUCT((Work_Codes!$AC$78:$AO$78=$E520)*(Work_Codes!$AC$89:$AO$89)*(L$349:L$349))</f>
        <v>0</v>
      </c>
      <c r="M520" s="81">
        <f ca="1">SUMPRODUCT((Work_Codes!$AC$78:$AO$78=$E520)*(Work_Codes!$AC$89:$AO$89)*(M$349:M$349))</f>
        <v>0</v>
      </c>
      <c r="N520" s="81">
        <f ca="1">SUMPRODUCT((Work_Codes!$AC$78:$AO$78=$E520)*(Work_Codes!$AC$89:$AO$89)*(N$349:N$349))</f>
        <v>0</v>
      </c>
      <c r="O520" s="81">
        <f ca="1">SUMPRODUCT((Work_Codes!$AC$78:$AO$78=$E520)*(Work_Codes!$AC$89:$AO$89)*(O$349:O$349))</f>
        <v>0</v>
      </c>
      <c r="P520" s="81">
        <f ca="1">SUMPRODUCT((Work_Codes!$AC$78:$AO$78=$E520)*(Work_Codes!$AC$89:$AO$89)*(P$349:P$349))</f>
        <v>0</v>
      </c>
      <c r="Q520" s="81">
        <f ca="1">SUMPRODUCT((Work_Codes!$AC$78:$AO$78=$E520)*(Work_Codes!$AC$89:$AO$89)*(Q$349:Q$349))</f>
        <v>0</v>
      </c>
      <c r="R520" s="81">
        <f ca="1">SUMPRODUCT((Work_Codes!$AC$78:$AO$78=$E520)*(Work_Codes!$AC$89:$AO$89)*(R$349:R$349))</f>
        <v>0</v>
      </c>
      <c r="S520" s="81">
        <f ca="1">SUMPRODUCT((Work_Codes!$AC$78:$AO$78=$E520)*(Work_Codes!$AC$89:$AO$89)*(S$349:S$349))</f>
        <v>0</v>
      </c>
      <c r="T520" s="81">
        <f ca="1">SUMPRODUCT((Work_Codes!$AC$78:$AO$78=$E520)*(Work_Codes!$AC$89:$AO$89)*(T$349:T$349))</f>
        <v>0</v>
      </c>
    </row>
    <row r="521" spans="4:20" outlineLevel="2">
      <c r="E521" s="247" t="str">
        <f>GC!C61</f>
        <v>Residential new customer connections</v>
      </c>
      <c r="F521" s="247"/>
      <c r="G521" s="247"/>
      <c r="H521" s="247"/>
      <c r="I521" s="247"/>
      <c r="J521" s="81">
        <f ca="1">SUMPRODUCT((Work_Codes!$AC$78:$AO$78=$E521)*(Work_Codes!$AC$89:$AO$89)*(J$349:J$349))</f>
        <v>0</v>
      </c>
      <c r="K521" s="81">
        <f ca="1">SUMPRODUCT((Work_Codes!$AC$78:$AO$78=$E521)*(Work_Codes!$AC$89:$AO$89)*(K$349:K$349))</f>
        <v>0</v>
      </c>
      <c r="L521" s="81">
        <f ca="1">SUMPRODUCT((Work_Codes!$AC$78:$AO$78=$E521)*(Work_Codes!$AC$89:$AO$89)*(L$349:L$349))</f>
        <v>0</v>
      </c>
      <c r="M521" s="81">
        <f ca="1">SUMPRODUCT((Work_Codes!$AC$78:$AO$78=$E521)*(Work_Codes!$AC$89:$AO$89)*(M$349:M$349))</f>
        <v>0</v>
      </c>
      <c r="N521" s="81">
        <f ca="1">SUMPRODUCT((Work_Codes!$AC$78:$AO$78=$E521)*(Work_Codes!$AC$89:$AO$89)*(N$349:N$349))</f>
        <v>0</v>
      </c>
      <c r="O521" s="81">
        <f ca="1">SUMPRODUCT((Work_Codes!$AC$78:$AO$78=$E521)*(Work_Codes!$AC$89:$AO$89)*(O$349:O$349))</f>
        <v>0</v>
      </c>
      <c r="P521" s="81">
        <f ca="1">SUMPRODUCT((Work_Codes!$AC$78:$AO$78=$E521)*(Work_Codes!$AC$89:$AO$89)*(P$349:P$349))</f>
        <v>0</v>
      </c>
      <c r="Q521" s="81">
        <f ca="1">SUMPRODUCT((Work_Codes!$AC$78:$AO$78=$E521)*(Work_Codes!$AC$89:$AO$89)*(Q$349:Q$349))</f>
        <v>0</v>
      </c>
      <c r="R521" s="81">
        <f ca="1">SUMPRODUCT((Work_Codes!$AC$78:$AO$78=$E521)*(Work_Codes!$AC$89:$AO$89)*(R$349:R$349))</f>
        <v>0</v>
      </c>
      <c r="S521" s="81">
        <f ca="1">SUMPRODUCT((Work_Codes!$AC$78:$AO$78=$E521)*(Work_Codes!$AC$89:$AO$89)*(S$349:S$349))</f>
        <v>0</v>
      </c>
      <c r="T521" s="81">
        <f ca="1">SUMPRODUCT((Work_Codes!$AC$78:$AO$78=$E521)*(Work_Codes!$AC$89:$AO$89)*(T$349:T$349))</f>
        <v>0</v>
      </c>
    </row>
    <row r="522" spans="4:20" outlineLevel="2">
      <c r="E522" s="247" t="str">
        <f>GC!C62</f>
        <v>Commercial and industrial new customer connections</v>
      </c>
      <c r="F522" s="247"/>
      <c r="G522" s="247"/>
      <c r="H522" s="247"/>
      <c r="I522" s="247"/>
      <c r="J522" s="81">
        <f ca="1">SUMPRODUCT((Work_Codes!$AC$78:$AO$78=$E522)*(Work_Codes!$AC$89:$AO$89)*(J$349:J$349))</f>
        <v>0</v>
      </c>
      <c r="K522" s="81">
        <f ca="1">SUMPRODUCT((Work_Codes!$AC$78:$AO$78=$E522)*(Work_Codes!$AC$89:$AO$89)*(K$349:K$349))</f>
        <v>0</v>
      </c>
      <c r="L522" s="81">
        <f ca="1">SUMPRODUCT((Work_Codes!$AC$78:$AO$78=$E522)*(Work_Codes!$AC$89:$AO$89)*(L$349:L$349))</f>
        <v>0</v>
      </c>
      <c r="M522" s="81">
        <f ca="1">SUMPRODUCT((Work_Codes!$AC$78:$AO$78=$E522)*(Work_Codes!$AC$89:$AO$89)*(M$349:M$349))</f>
        <v>0</v>
      </c>
      <c r="N522" s="81">
        <f ca="1">SUMPRODUCT((Work_Codes!$AC$78:$AO$78=$E522)*(Work_Codes!$AC$89:$AO$89)*(N$349:N$349))</f>
        <v>0</v>
      </c>
      <c r="O522" s="81">
        <f ca="1">SUMPRODUCT((Work_Codes!$AC$78:$AO$78=$E522)*(Work_Codes!$AC$89:$AO$89)*(O$349:O$349))</f>
        <v>0</v>
      </c>
      <c r="P522" s="81">
        <f ca="1">SUMPRODUCT((Work_Codes!$AC$78:$AO$78=$E522)*(Work_Codes!$AC$89:$AO$89)*(P$349:P$349))</f>
        <v>0</v>
      </c>
      <c r="Q522" s="81">
        <f ca="1">SUMPRODUCT((Work_Codes!$AC$78:$AO$78=$E522)*(Work_Codes!$AC$89:$AO$89)*(Q$349:Q$349))</f>
        <v>0</v>
      </c>
      <c r="R522" s="81">
        <f ca="1">SUMPRODUCT((Work_Codes!$AC$78:$AO$78=$E522)*(Work_Codes!$AC$89:$AO$89)*(R$349:R$349))</f>
        <v>0</v>
      </c>
      <c r="S522" s="81">
        <f ca="1">SUMPRODUCT((Work_Codes!$AC$78:$AO$78=$E522)*(Work_Codes!$AC$89:$AO$89)*(S$349:S$349))</f>
        <v>0</v>
      </c>
      <c r="T522" s="81">
        <f ca="1">SUMPRODUCT((Work_Codes!$AC$78:$AO$78=$E522)*(Work_Codes!$AC$89:$AO$89)*(T$349:T$349))</f>
        <v>0</v>
      </c>
    </row>
    <row r="523" spans="4:20" outlineLevel="2">
      <c r="E523" s="247" t="str">
        <f>GC!C63</f>
        <v>Residential meter replacement</v>
      </c>
      <c r="F523" s="247"/>
      <c r="G523" s="247"/>
      <c r="H523" s="247"/>
      <c r="I523" s="247"/>
      <c r="J523" s="81">
        <f ca="1">SUMPRODUCT((Work_Codes!$AC$78:$AO$78=$E523)*(Work_Codes!$AC$89:$AO$89)*(J$349:J$349))</f>
        <v>0</v>
      </c>
      <c r="K523" s="81">
        <f ca="1">SUMPRODUCT((Work_Codes!$AC$78:$AO$78=$E523)*(Work_Codes!$AC$89:$AO$89)*(K$349:K$349))</f>
        <v>0</v>
      </c>
      <c r="L523" s="81">
        <f ca="1">SUMPRODUCT((Work_Codes!$AC$78:$AO$78=$E523)*(Work_Codes!$AC$89:$AO$89)*(L$349:L$349))</f>
        <v>0</v>
      </c>
      <c r="M523" s="81">
        <f ca="1">SUMPRODUCT((Work_Codes!$AC$78:$AO$78=$E523)*(Work_Codes!$AC$89:$AO$89)*(M$349:M$349))</f>
        <v>0</v>
      </c>
      <c r="N523" s="81">
        <f ca="1">SUMPRODUCT((Work_Codes!$AC$78:$AO$78=$E523)*(Work_Codes!$AC$89:$AO$89)*(N$349:N$349))</f>
        <v>0</v>
      </c>
      <c r="O523" s="81">
        <f ca="1">SUMPRODUCT((Work_Codes!$AC$78:$AO$78=$E523)*(Work_Codes!$AC$89:$AO$89)*(O$349:O$349))</f>
        <v>0</v>
      </c>
      <c r="P523" s="81">
        <f ca="1">SUMPRODUCT((Work_Codes!$AC$78:$AO$78=$E523)*(Work_Codes!$AC$89:$AO$89)*(P$349:P$349))</f>
        <v>0</v>
      </c>
      <c r="Q523" s="81">
        <f ca="1">SUMPRODUCT((Work_Codes!$AC$78:$AO$78=$E523)*(Work_Codes!$AC$89:$AO$89)*(Q$349:Q$349))</f>
        <v>0</v>
      </c>
      <c r="R523" s="81">
        <f ca="1">SUMPRODUCT((Work_Codes!$AC$78:$AO$78=$E523)*(Work_Codes!$AC$89:$AO$89)*(R$349:R$349))</f>
        <v>0</v>
      </c>
      <c r="S523" s="81">
        <f ca="1">SUMPRODUCT((Work_Codes!$AC$78:$AO$78=$E523)*(Work_Codes!$AC$89:$AO$89)*(S$349:S$349))</f>
        <v>0</v>
      </c>
      <c r="T523" s="81">
        <f ca="1">SUMPRODUCT((Work_Codes!$AC$78:$AO$78=$E523)*(Work_Codes!$AC$89:$AO$89)*(T$349:T$349))</f>
        <v>0</v>
      </c>
    </row>
    <row r="524" spans="4:20" outlineLevel="2">
      <c r="E524" s="247" t="str">
        <f>GC!C64</f>
        <v>Commercial and industrial meter replacement</v>
      </c>
      <c r="F524" s="247"/>
      <c r="G524" s="247"/>
      <c r="H524" s="247"/>
      <c r="I524" s="247"/>
      <c r="J524" s="81">
        <f ca="1">SUMPRODUCT((Work_Codes!$AC$78:$AO$78=$E524)*(Work_Codes!$AC$89:$AO$89)*(J$349:J$349))</f>
        <v>0</v>
      </c>
      <c r="K524" s="81">
        <f ca="1">SUMPRODUCT((Work_Codes!$AC$78:$AO$78=$E524)*(Work_Codes!$AC$89:$AO$89)*(K$349:K$349))</f>
        <v>0</v>
      </c>
      <c r="L524" s="81">
        <f ca="1">SUMPRODUCT((Work_Codes!$AC$78:$AO$78=$E524)*(Work_Codes!$AC$89:$AO$89)*(L$349:L$349))</f>
        <v>0</v>
      </c>
      <c r="M524" s="81">
        <f ca="1">SUMPRODUCT((Work_Codes!$AC$78:$AO$78=$E524)*(Work_Codes!$AC$89:$AO$89)*(M$349:M$349))</f>
        <v>0</v>
      </c>
      <c r="N524" s="81">
        <f ca="1">SUMPRODUCT((Work_Codes!$AC$78:$AO$78=$E524)*(Work_Codes!$AC$89:$AO$89)*(N$349:N$349))</f>
        <v>0</v>
      </c>
      <c r="O524" s="81">
        <f ca="1">SUMPRODUCT((Work_Codes!$AC$78:$AO$78=$E524)*(Work_Codes!$AC$89:$AO$89)*(O$349:O$349))</f>
        <v>0</v>
      </c>
      <c r="P524" s="81">
        <f ca="1">SUMPRODUCT((Work_Codes!$AC$78:$AO$78=$E524)*(Work_Codes!$AC$89:$AO$89)*(P$349:P$349))</f>
        <v>0</v>
      </c>
      <c r="Q524" s="81">
        <f ca="1">SUMPRODUCT((Work_Codes!$AC$78:$AO$78=$E524)*(Work_Codes!$AC$89:$AO$89)*(Q$349:Q$349))</f>
        <v>0</v>
      </c>
      <c r="R524" s="81">
        <f ca="1">SUMPRODUCT((Work_Codes!$AC$78:$AO$78=$E524)*(Work_Codes!$AC$89:$AO$89)*(R$349:R$349))</f>
        <v>0</v>
      </c>
      <c r="S524" s="81">
        <f ca="1">SUMPRODUCT((Work_Codes!$AC$78:$AO$78=$E524)*(Work_Codes!$AC$89:$AO$89)*(S$349:S$349))</f>
        <v>0</v>
      </c>
      <c r="T524" s="81">
        <f ca="1">SUMPRODUCT((Work_Codes!$AC$78:$AO$78=$E524)*(Work_Codes!$AC$89:$AO$89)*(T$349:T$349))</f>
        <v>0</v>
      </c>
    </row>
    <row r="525" spans="4:20" outlineLevel="2">
      <c r="E525" s="247" t="str">
        <f>GC!C65</f>
        <v>Augmentation</v>
      </c>
      <c r="F525" s="247"/>
      <c r="G525" s="247"/>
      <c r="H525" s="247"/>
      <c r="I525" s="247"/>
      <c r="J525" s="81">
        <f ca="1">SUMPRODUCT((Work_Codes!$AC$78:$AO$78=$E525)*(Work_Codes!$AC$89:$AO$89)*(J$349:J$349))</f>
        <v>0</v>
      </c>
      <c r="K525" s="81">
        <f ca="1">SUMPRODUCT((Work_Codes!$AC$78:$AO$78=$E525)*(Work_Codes!$AC$89:$AO$89)*(K$349:K$349))</f>
        <v>0</v>
      </c>
      <c r="L525" s="81">
        <f ca="1">SUMPRODUCT((Work_Codes!$AC$78:$AO$78=$E525)*(Work_Codes!$AC$89:$AO$89)*(L$349:L$349))</f>
        <v>0</v>
      </c>
      <c r="M525" s="81">
        <f ca="1">SUMPRODUCT((Work_Codes!$AC$78:$AO$78=$E525)*(Work_Codes!$AC$89:$AO$89)*(M$349:M$349))</f>
        <v>0</v>
      </c>
      <c r="N525" s="81">
        <f ca="1">SUMPRODUCT((Work_Codes!$AC$78:$AO$78=$E525)*(Work_Codes!$AC$89:$AO$89)*(N$349:N$349))</f>
        <v>0</v>
      </c>
      <c r="O525" s="81">
        <f ca="1">SUMPRODUCT((Work_Codes!$AC$78:$AO$78=$E525)*(Work_Codes!$AC$89:$AO$89)*(O$349:O$349))</f>
        <v>0</v>
      </c>
      <c r="P525" s="81">
        <f ca="1">SUMPRODUCT((Work_Codes!$AC$78:$AO$78=$E525)*(Work_Codes!$AC$89:$AO$89)*(P$349:P$349))</f>
        <v>0</v>
      </c>
      <c r="Q525" s="81">
        <f ca="1">SUMPRODUCT((Work_Codes!$AC$78:$AO$78=$E525)*(Work_Codes!$AC$89:$AO$89)*(Q$349:Q$349))</f>
        <v>0</v>
      </c>
      <c r="R525" s="81">
        <f ca="1">SUMPRODUCT((Work_Codes!$AC$78:$AO$78=$E525)*(Work_Codes!$AC$89:$AO$89)*(R$349:R$349))</f>
        <v>0</v>
      </c>
      <c r="S525" s="81">
        <f ca="1">SUMPRODUCT((Work_Codes!$AC$78:$AO$78=$E525)*(Work_Codes!$AC$89:$AO$89)*(S$349:S$349))</f>
        <v>0</v>
      </c>
      <c r="T525" s="81">
        <f ca="1">SUMPRODUCT((Work_Codes!$AC$78:$AO$78=$E525)*(Work_Codes!$AC$89:$AO$89)*(T$349:T$349))</f>
        <v>0</v>
      </c>
    </row>
    <row r="526" spans="4:20" outlineLevel="2">
      <c r="E526" s="247" t="str">
        <f>GC!C66</f>
        <v>IT capex</v>
      </c>
      <c r="F526" s="247"/>
      <c r="G526" s="247"/>
      <c r="H526" s="247"/>
      <c r="I526" s="247"/>
      <c r="J526" s="81">
        <f ca="1">SUMPRODUCT((Work_Codes!$AC$78:$AO$78=$E526)*(Work_Codes!$AC$89:$AO$89)*(J$349:J$349))</f>
        <v>0</v>
      </c>
      <c r="K526" s="81">
        <f ca="1">SUMPRODUCT((Work_Codes!$AC$78:$AO$78=$E526)*(Work_Codes!$AC$89:$AO$89)*(K$349:K$349))</f>
        <v>0</v>
      </c>
      <c r="L526" s="81">
        <f ca="1">SUMPRODUCT((Work_Codes!$AC$78:$AO$78=$E526)*(Work_Codes!$AC$89:$AO$89)*(L$349:L$349))</f>
        <v>0</v>
      </c>
      <c r="M526" s="81">
        <f ca="1">SUMPRODUCT((Work_Codes!$AC$78:$AO$78=$E526)*(Work_Codes!$AC$89:$AO$89)*(M$349:M$349))</f>
        <v>0</v>
      </c>
      <c r="N526" s="81">
        <f ca="1">SUMPRODUCT((Work_Codes!$AC$78:$AO$78=$E526)*(Work_Codes!$AC$89:$AO$89)*(N$349:N$349))</f>
        <v>0</v>
      </c>
      <c r="O526" s="81">
        <f ca="1">SUMPRODUCT((Work_Codes!$AC$78:$AO$78=$E526)*(Work_Codes!$AC$89:$AO$89)*(O$349:O$349))</f>
        <v>0</v>
      </c>
      <c r="P526" s="81">
        <f ca="1">SUMPRODUCT((Work_Codes!$AC$78:$AO$78=$E526)*(Work_Codes!$AC$89:$AO$89)*(P$349:P$349))</f>
        <v>0</v>
      </c>
      <c r="Q526" s="81">
        <f ca="1">SUMPRODUCT((Work_Codes!$AC$78:$AO$78=$E526)*(Work_Codes!$AC$89:$AO$89)*(Q$349:Q$349))</f>
        <v>0</v>
      </c>
      <c r="R526" s="81">
        <f ca="1">SUMPRODUCT((Work_Codes!$AC$78:$AO$78=$E526)*(Work_Codes!$AC$89:$AO$89)*(R$349:R$349))</f>
        <v>0</v>
      </c>
      <c r="S526" s="81">
        <f ca="1">SUMPRODUCT((Work_Codes!$AC$78:$AO$78=$E526)*(Work_Codes!$AC$89:$AO$89)*(S$349:S$349))</f>
        <v>0</v>
      </c>
      <c r="T526" s="81">
        <f ca="1">SUMPRODUCT((Work_Codes!$AC$78:$AO$78=$E526)*(Work_Codes!$AC$89:$AO$89)*(T$349:T$349))</f>
        <v>0</v>
      </c>
    </row>
    <row r="527" spans="4:20" outlineLevel="2">
      <c r="E527" s="247" t="str">
        <f>GC!C67</f>
        <v>SCADA</v>
      </c>
      <c r="F527" s="247"/>
      <c r="G527" s="247"/>
      <c r="H527" s="247"/>
      <c r="I527" s="247"/>
      <c r="J527" s="81">
        <f ca="1">SUMPRODUCT((Work_Codes!$AC$78:$AO$78=$E527)*(Work_Codes!$AC$89:$AO$89)*(J$349:J$349))</f>
        <v>0</v>
      </c>
      <c r="K527" s="81">
        <f ca="1">SUMPRODUCT((Work_Codes!$AC$78:$AO$78=$E527)*(Work_Codes!$AC$89:$AO$89)*(K$349:K$349))</f>
        <v>0</v>
      </c>
      <c r="L527" s="81">
        <f ca="1">SUMPRODUCT((Work_Codes!$AC$78:$AO$78=$E527)*(Work_Codes!$AC$89:$AO$89)*(L$349:L$349))</f>
        <v>0</v>
      </c>
      <c r="M527" s="81">
        <f ca="1">SUMPRODUCT((Work_Codes!$AC$78:$AO$78=$E527)*(Work_Codes!$AC$89:$AO$89)*(M$349:M$349))</f>
        <v>0</v>
      </c>
      <c r="N527" s="81">
        <f ca="1">SUMPRODUCT((Work_Codes!$AC$78:$AO$78=$E527)*(Work_Codes!$AC$89:$AO$89)*(N$349:N$349))</f>
        <v>0</v>
      </c>
      <c r="O527" s="81">
        <f ca="1">SUMPRODUCT((Work_Codes!$AC$78:$AO$78=$E527)*(Work_Codes!$AC$89:$AO$89)*(O$349:O$349))</f>
        <v>0</v>
      </c>
      <c r="P527" s="81">
        <f ca="1">SUMPRODUCT((Work_Codes!$AC$78:$AO$78=$E527)*(Work_Codes!$AC$89:$AO$89)*(P$349:P$349))</f>
        <v>0</v>
      </c>
      <c r="Q527" s="81">
        <f ca="1">SUMPRODUCT((Work_Codes!$AC$78:$AO$78=$E527)*(Work_Codes!$AC$89:$AO$89)*(Q$349:Q$349))</f>
        <v>0</v>
      </c>
      <c r="R527" s="81">
        <f ca="1">SUMPRODUCT((Work_Codes!$AC$78:$AO$78=$E527)*(Work_Codes!$AC$89:$AO$89)*(R$349:R$349))</f>
        <v>0</v>
      </c>
      <c r="S527" s="81">
        <f ca="1">SUMPRODUCT((Work_Codes!$AC$78:$AO$78=$E527)*(Work_Codes!$AC$89:$AO$89)*(S$349:S$349))</f>
        <v>0</v>
      </c>
      <c r="T527" s="81">
        <f ca="1">SUMPRODUCT((Work_Codes!$AC$78:$AO$78=$E527)*(Work_Codes!$AC$89:$AO$89)*(T$349:T$349))</f>
        <v>0</v>
      </c>
    </row>
    <row r="528" spans="4:20" outlineLevel="2">
      <c r="E528" s="247" t="str">
        <f>GC!C68</f>
        <v>Other</v>
      </c>
      <c r="F528" s="247"/>
      <c r="G528" s="247"/>
      <c r="H528" s="247"/>
      <c r="I528" s="247"/>
      <c r="J528" s="81">
        <f ca="1">SUMPRODUCT((Work_Codes!$AC$78:$AO$78=$E528)*(Work_Codes!$AC$89:$AO$89)*(J$349:J$349))</f>
        <v>0</v>
      </c>
      <c r="K528" s="81">
        <f ca="1">SUMPRODUCT((Work_Codes!$AC$78:$AO$78=$E528)*(Work_Codes!$AC$89:$AO$89)*(K$349:K$349))</f>
        <v>0</v>
      </c>
      <c r="L528" s="81">
        <f ca="1">SUMPRODUCT((Work_Codes!$AC$78:$AO$78=$E528)*(Work_Codes!$AC$89:$AO$89)*(L$349:L$349))</f>
        <v>0</v>
      </c>
      <c r="M528" s="81">
        <f ca="1">SUMPRODUCT((Work_Codes!$AC$78:$AO$78=$E528)*(Work_Codes!$AC$89:$AO$89)*(M$349:M$349))</f>
        <v>0</v>
      </c>
      <c r="N528" s="81">
        <f ca="1">SUMPRODUCT((Work_Codes!$AC$78:$AO$78=$E528)*(Work_Codes!$AC$89:$AO$89)*(N$349:N$349))</f>
        <v>0</v>
      </c>
      <c r="O528" s="81">
        <f ca="1">SUMPRODUCT((Work_Codes!$AC$78:$AO$78=$E528)*(Work_Codes!$AC$89:$AO$89)*(O$349:O$349))</f>
        <v>0</v>
      </c>
      <c r="P528" s="81">
        <f ca="1">SUMPRODUCT((Work_Codes!$AC$78:$AO$78=$E528)*(Work_Codes!$AC$89:$AO$89)*(P$349:P$349))</f>
        <v>0</v>
      </c>
      <c r="Q528" s="81">
        <f ca="1">SUMPRODUCT((Work_Codes!$AC$78:$AO$78=$E528)*(Work_Codes!$AC$89:$AO$89)*(Q$349:Q$349))</f>
        <v>0</v>
      </c>
      <c r="R528" s="81">
        <f ca="1">SUMPRODUCT((Work_Codes!$AC$78:$AO$78=$E528)*(Work_Codes!$AC$89:$AO$89)*(R$349:R$349))</f>
        <v>0</v>
      </c>
      <c r="S528" s="81">
        <f ca="1">SUMPRODUCT((Work_Codes!$AC$78:$AO$78=$E528)*(Work_Codes!$AC$89:$AO$89)*(S$349:S$349))</f>
        <v>0</v>
      </c>
      <c r="T528" s="81">
        <f ca="1">SUMPRODUCT((Work_Codes!$AC$78:$AO$78=$E528)*(Work_Codes!$AC$89:$AO$89)*(T$349:T$349))</f>
        <v>0</v>
      </c>
    </row>
    <row r="529" spans="2:20" outlineLevel="2">
      <c r="E529" s="247" t="str">
        <f>GC!C69</f>
        <v>Capitalised Leases</v>
      </c>
      <c r="F529" s="247"/>
      <c r="G529" s="247"/>
      <c r="H529" s="247"/>
      <c r="I529" s="247"/>
      <c r="J529" s="81">
        <f ca="1">SUMPRODUCT((Work_Codes!$AC$78:$AO$78=$E529)*(Work_Codes!$AC$89:$AO$89)*(J$349:J$349))</f>
        <v>0</v>
      </c>
      <c r="K529" s="81">
        <f ca="1">SUMPRODUCT((Work_Codes!$AC$78:$AO$78=$E529)*(Work_Codes!$AC$89:$AO$89)*(K$349:K$349))</f>
        <v>0</v>
      </c>
      <c r="L529" s="81">
        <f ca="1">SUMPRODUCT((Work_Codes!$AC$78:$AO$78=$E529)*(Work_Codes!$AC$89:$AO$89)*(L$349:L$349))</f>
        <v>0</v>
      </c>
      <c r="M529" s="81">
        <f ca="1">SUMPRODUCT((Work_Codes!$AC$78:$AO$78=$E529)*(Work_Codes!$AC$89:$AO$89)*(M$349:M$349))</f>
        <v>0</v>
      </c>
      <c r="N529" s="81">
        <f ca="1">SUMPRODUCT((Work_Codes!$AC$78:$AO$78=$E529)*(Work_Codes!$AC$89:$AO$89)*(N$349:N$349))</f>
        <v>0</v>
      </c>
      <c r="O529" s="81">
        <f ca="1">SUMPRODUCT((Work_Codes!$AC$78:$AO$78=$E529)*(Work_Codes!$AC$89:$AO$89)*(O$349:O$349))</f>
        <v>0</v>
      </c>
      <c r="P529" s="81">
        <f ca="1">SUMPRODUCT((Work_Codes!$AC$78:$AO$78=$E529)*(Work_Codes!$AC$89:$AO$89)*(P$349:P$349))</f>
        <v>0</v>
      </c>
      <c r="Q529" s="81">
        <f ca="1">SUMPRODUCT((Work_Codes!$AC$78:$AO$78=$E529)*(Work_Codes!$AC$89:$AO$89)*(Q$349:Q$349))</f>
        <v>0</v>
      </c>
      <c r="R529" s="81">
        <f ca="1">SUMPRODUCT((Work_Codes!$AC$78:$AO$78=$E529)*(Work_Codes!$AC$89:$AO$89)*(R$349:R$349))</f>
        <v>0</v>
      </c>
      <c r="S529" s="81">
        <f ca="1">SUMPRODUCT((Work_Codes!$AC$78:$AO$78=$E529)*(Work_Codes!$AC$89:$AO$89)*(S$349:S$349))</f>
        <v>0</v>
      </c>
      <c r="T529" s="81">
        <f ca="1">SUMPRODUCT((Work_Codes!$AC$78:$AO$78=$E529)*(Work_Codes!$AC$89:$AO$89)*(T$349:T$349))</f>
        <v>0</v>
      </c>
    </row>
    <row r="530" spans="2:20" outlineLevel="2">
      <c r="E530" s="247" t="str">
        <f>GC!C70</f>
        <v>Gas Extensions - Energy for the Regions</v>
      </c>
      <c r="F530" s="247"/>
      <c r="G530" s="247"/>
      <c r="H530" s="247"/>
      <c r="I530" s="247"/>
      <c r="J530" s="81">
        <f ca="1">SUMPRODUCT((Work_Codes!$AC$78:$AO$78=$E530)*(Work_Codes!$AC$89:$AO$89)*(J$349:J$349))</f>
        <v>0</v>
      </c>
      <c r="K530" s="81">
        <f ca="1">SUMPRODUCT((Work_Codes!$AC$78:$AO$78=$E530)*(Work_Codes!$AC$89:$AO$89)*(K$349:K$349))</f>
        <v>0</v>
      </c>
      <c r="L530" s="81">
        <f ca="1">SUMPRODUCT((Work_Codes!$AC$78:$AO$78=$E530)*(Work_Codes!$AC$89:$AO$89)*(L$349:L$349))</f>
        <v>0</v>
      </c>
      <c r="M530" s="81">
        <f ca="1">SUMPRODUCT((Work_Codes!$AC$78:$AO$78=$E530)*(Work_Codes!$AC$89:$AO$89)*(M$349:M$349))</f>
        <v>0</v>
      </c>
      <c r="N530" s="81">
        <f ca="1">SUMPRODUCT((Work_Codes!$AC$78:$AO$78=$E530)*(Work_Codes!$AC$89:$AO$89)*(N$349:N$349))</f>
        <v>0</v>
      </c>
      <c r="O530" s="81">
        <f ca="1">SUMPRODUCT((Work_Codes!$AC$78:$AO$78=$E530)*(Work_Codes!$AC$89:$AO$89)*(O$349:O$349))</f>
        <v>0</v>
      </c>
      <c r="P530" s="81">
        <f ca="1">SUMPRODUCT((Work_Codes!$AC$78:$AO$78=$E530)*(Work_Codes!$AC$89:$AO$89)*(P$349:P$349))</f>
        <v>0</v>
      </c>
      <c r="Q530" s="81">
        <f ca="1">SUMPRODUCT((Work_Codes!$AC$78:$AO$78=$E530)*(Work_Codes!$AC$89:$AO$89)*(Q$349:Q$349))</f>
        <v>0</v>
      </c>
      <c r="R530" s="81">
        <f ca="1">SUMPRODUCT((Work_Codes!$AC$78:$AO$78=$E530)*(Work_Codes!$AC$89:$AO$89)*(R$349:R$349))</f>
        <v>0</v>
      </c>
      <c r="S530" s="81">
        <f ca="1">SUMPRODUCT((Work_Codes!$AC$78:$AO$78=$E530)*(Work_Codes!$AC$89:$AO$89)*(S$349:S$349))</f>
        <v>0</v>
      </c>
      <c r="T530" s="81">
        <f ca="1">SUMPRODUCT((Work_Codes!$AC$78:$AO$78=$E530)*(Work_Codes!$AC$89:$AO$89)*(T$349:T$349))</f>
        <v>0</v>
      </c>
    </row>
    <row r="531" spans="2:20" outlineLevel="2">
      <c r="E531" s="247" t="str">
        <f>GC!C71</f>
        <v>Gas Extensions - Other</v>
      </c>
      <c r="F531" s="247"/>
      <c r="G531" s="247"/>
      <c r="H531" s="247"/>
      <c r="I531" s="247"/>
      <c r="J531" s="81">
        <f ca="1">SUMPRODUCT((Work_Codes!$AC$78:$AO$78=$E531)*(Work_Codes!$AC$89:$AO$89)*(J$349:J$349))</f>
        <v>0</v>
      </c>
      <c r="K531" s="81">
        <f ca="1">SUMPRODUCT((Work_Codes!$AC$78:$AO$78=$E531)*(Work_Codes!$AC$89:$AO$89)*(K$349:K$349))</f>
        <v>0</v>
      </c>
      <c r="L531" s="81">
        <f ca="1">SUMPRODUCT((Work_Codes!$AC$78:$AO$78=$E531)*(Work_Codes!$AC$89:$AO$89)*(L$349:L$349))</f>
        <v>0</v>
      </c>
      <c r="M531" s="81">
        <f ca="1">SUMPRODUCT((Work_Codes!$AC$78:$AO$78=$E531)*(Work_Codes!$AC$89:$AO$89)*(M$349:M$349))</f>
        <v>0</v>
      </c>
      <c r="N531" s="81">
        <f ca="1">SUMPRODUCT((Work_Codes!$AC$78:$AO$78=$E531)*(Work_Codes!$AC$89:$AO$89)*(N$349:N$349))</f>
        <v>0</v>
      </c>
      <c r="O531" s="81">
        <f ca="1">SUMPRODUCT((Work_Codes!$AC$78:$AO$78=$E531)*(Work_Codes!$AC$89:$AO$89)*(O$349:O$349))</f>
        <v>0</v>
      </c>
      <c r="P531" s="81">
        <f ca="1">SUMPRODUCT((Work_Codes!$AC$78:$AO$78=$E531)*(Work_Codes!$AC$89:$AO$89)*(P$349:P$349))</f>
        <v>0</v>
      </c>
      <c r="Q531" s="81">
        <f ca="1">SUMPRODUCT((Work_Codes!$AC$78:$AO$78=$E531)*(Work_Codes!$AC$89:$AO$89)*(Q$349:Q$349))</f>
        <v>0</v>
      </c>
      <c r="R531" s="81">
        <f ca="1">SUMPRODUCT((Work_Codes!$AC$78:$AO$78=$E531)*(Work_Codes!$AC$89:$AO$89)*(R$349:R$349))</f>
        <v>0</v>
      </c>
      <c r="S531" s="81">
        <f ca="1">SUMPRODUCT((Work_Codes!$AC$78:$AO$78=$E531)*(Work_Codes!$AC$89:$AO$89)*(S$349:S$349))</f>
        <v>0</v>
      </c>
      <c r="T531" s="81">
        <f ca="1">SUMPRODUCT((Work_Codes!$AC$78:$AO$78=$E531)*(Work_Codes!$AC$89:$AO$89)*(T$349:T$349))</f>
        <v>0</v>
      </c>
    </row>
    <row r="532" spans="2:20" outlineLevel="2">
      <c r="E532" s="247" t="str">
        <f>GC!C72</f>
        <v>Customer contributions</v>
      </c>
      <c r="F532" s="247"/>
      <c r="G532" s="247"/>
      <c r="H532" s="247"/>
      <c r="I532" s="247"/>
      <c r="J532" s="81">
        <f ca="1">SUMPRODUCT((Work_Codes!$AC$78:$AO$78=$E532)*(Work_Codes!$AC$89:$AO$89)*(J$349:J$349))</f>
        <v>0</v>
      </c>
      <c r="K532" s="81">
        <f ca="1">SUMPRODUCT((Work_Codes!$AC$78:$AO$78=$E532)*(Work_Codes!$AC$89:$AO$89)*(K$349:K$349))</f>
        <v>0</v>
      </c>
      <c r="L532" s="81">
        <f ca="1">SUMPRODUCT((Work_Codes!$AC$78:$AO$78=$E532)*(Work_Codes!$AC$89:$AO$89)*(L$349:L$349))</f>
        <v>0</v>
      </c>
      <c r="M532" s="81">
        <f ca="1">SUMPRODUCT((Work_Codes!$AC$78:$AO$78=$E532)*(Work_Codes!$AC$89:$AO$89)*(M$349:M$349))</f>
        <v>0</v>
      </c>
      <c r="N532" s="81">
        <f ca="1">SUMPRODUCT((Work_Codes!$AC$78:$AO$78=$E532)*(Work_Codes!$AC$89:$AO$89)*(N$349:N$349))</f>
        <v>0</v>
      </c>
      <c r="O532" s="81">
        <f ca="1">SUMPRODUCT((Work_Codes!$AC$78:$AO$78=$E532)*(Work_Codes!$AC$89:$AO$89)*(O$349:O$349))</f>
        <v>0</v>
      </c>
      <c r="P532" s="81">
        <f ca="1">SUMPRODUCT((Work_Codes!$AC$78:$AO$78=$E532)*(Work_Codes!$AC$89:$AO$89)*(P$349:P$349))</f>
        <v>0</v>
      </c>
      <c r="Q532" s="81">
        <f ca="1">SUMPRODUCT((Work_Codes!$AC$78:$AO$78=$E532)*(Work_Codes!$AC$89:$AO$89)*(Q$349:Q$349))</f>
        <v>0</v>
      </c>
      <c r="R532" s="81">
        <f ca="1">SUMPRODUCT((Work_Codes!$AC$78:$AO$78=$E532)*(Work_Codes!$AC$89:$AO$89)*(R$349:R$349))</f>
        <v>0</v>
      </c>
      <c r="S532" s="81">
        <f ca="1">SUMPRODUCT((Work_Codes!$AC$78:$AO$78=$E532)*(Work_Codes!$AC$89:$AO$89)*(S$349:S$349))</f>
        <v>0</v>
      </c>
      <c r="T532" s="81">
        <f ca="1">SUMPRODUCT((Work_Codes!$AC$78:$AO$78=$E532)*(Work_Codes!$AC$89:$AO$89)*(T$349:T$349))</f>
        <v>0</v>
      </c>
    </row>
    <row r="533" spans="2:20" outlineLevel="2">
      <c r="E533" s="247" t="str">
        <f>GC!C73</f>
        <v>Government contributions</v>
      </c>
      <c r="F533" s="247"/>
      <c r="G533" s="247"/>
      <c r="H533" s="247"/>
      <c r="I533" s="247"/>
      <c r="J533" s="81">
        <f ca="1">SUMPRODUCT((Work_Codes!$AC$78:$AO$78=$E533)*(Work_Codes!$AC$89:$AO$89)*(J$349:J$349))</f>
        <v>0</v>
      </c>
      <c r="K533" s="81">
        <f ca="1">SUMPRODUCT((Work_Codes!$AC$78:$AO$78=$E533)*(Work_Codes!$AC$89:$AO$89)*(K$349:K$349))</f>
        <v>0</v>
      </c>
      <c r="L533" s="81">
        <f ca="1">SUMPRODUCT((Work_Codes!$AC$78:$AO$78=$E533)*(Work_Codes!$AC$89:$AO$89)*(L$349:L$349))</f>
        <v>0</v>
      </c>
      <c r="M533" s="81">
        <f ca="1">SUMPRODUCT((Work_Codes!$AC$78:$AO$78=$E533)*(Work_Codes!$AC$89:$AO$89)*(M$349:M$349))</f>
        <v>0</v>
      </c>
      <c r="N533" s="81">
        <f ca="1">SUMPRODUCT((Work_Codes!$AC$78:$AO$78=$E533)*(Work_Codes!$AC$89:$AO$89)*(N$349:N$349))</f>
        <v>0</v>
      </c>
      <c r="O533" s="81">
        <f ca="1">SUMPRODUCT((Work_Codes!$AC$78:$AO$78=$E533)*(Work_Codes!$AC$89:$AO$89)*(O$349:O$349))</f>
        <v>0</v>
      </c>
      <c r="P533" s="81">
        <f ca="1">SUMPRODUCT((Work_Codes!$AC$78:$AO$78=$E533)*(Work_Codes!$AC$89:$AO$89)*(P$349:P$349))</f>
        <v>0</v>
      </c>
      <c r="Q533" s="81">
        <f ca="1">SUMPRODUCT((Work_Codes!$AC$78:$AO$78=$E533)*(Work_Codes!$AC$89:$AO$89)*(Q$349:Q$349))</f>
        <v>0</v>
      </c>
      <c r="R533" s="81">
        <f ca="1">SUMPRODUCT((Work_Codes!$AC$78:$AO$78=$E533)*(Work_Codes!$AC$89:$AO$89)*(R$349:R$349))</f>
        <v>0</v>
      </c>
      <c r="S533" s="81">
        <f ca="1">SUMPRODUCT((Work_Codes!$AC$78:$AO$78=$E533)*(Work_Codes!$AC$89:$AO$89)*(S$349:S$349))</f>
        <v>0</v>
      </c>
      <c r="T533" s="81">
        <f ca="1">SUMPRODUCT((Work_Codes!$AC$78:$AO$78=$E533)*(Work_Codes!$AC$89:$AO$89)*(T$349:T$349))</f>
        <v>0</v>
      </c>
    </row>
    <row r="534" spans="2:20" outlineLevel="2">
      <c r="E534" s="249" t="str">
        <f t="shared" ref="E534" si="52">"Total "&amp;D518</f>
        <v>Total Customer Contributions</v>
      </c>
      <c r="F534" s="249"/>
      <c r="G534" s="249"/>
      <c r="H534" s="249"/>
      <c r="I534" s="249"/>
      <c r="J534" s="82">
        <f t="shared" ref="J534:T534" ca="1" si="53">SUM(J520:J533)</f>
        <v>0</v>
      </c>
      <c r="K534" s="82">
        <f t="shared" ca="1" si="53"/>
        <v>0</v>
      </c>
      <c r="L534" s="82">
        <f t="shared" ca="1" si="53"/>
        <v>0</v>
      </c>
      <c r="M534" s="82">
        <f t="shared" ca="1" si="53"/>
        <v>0</v>
      </c>
      <c r="N534" s="82">
        <f t="shared" ca="1" si="53"/>
        <v>0</v>
      </c>
      <c r="O534" s="82">
        <f t="shared" ca="1" si="53"/>
        <v>0</v>
      </c>
      <c r="P534" s="82">
        <f t="shared" ca="1" si="53"/>
        <v>0</v>
      </c>
      <c r="Q534" s="82">
        <f t="shared" ca="1" si="53"/>
        <v>0</v>
      </c>
      <c r="R534" s="82">
        <f t="shared" ca="1" si="53"/>
        <v>0</v>
      </c>
      <c r="S534" s="82">
        <f t="shared" ca="1" si="53"/>
        <v>0</v>
      </c>
      <c r="T534" s="82">
        <f t="shared" ca="1" si="53"/>
        <v>0</v>
      </c>
    </row>
    <row r="535" spans="2:20" outlineLevel="2">
      <c r="B535" s="12"/>
      <c r="C535" s="12"/>
      <c r="D535" s="12"/>
      <c r="E535" s="12"/>
      <c r="F535" s="12"/>
      <c r="G535" s="12"/>
      <c r="H535" s="12"/>
      <c r="I535" s="12"/>
      <c r="J535" s="12"/>
      <c r="K535" s="12"/>
      <c r="L535" s="12"/>
      <c r="M535" s="12"/>
      <c r="N535" s="12"/>
      <c r="O535" s="12"/>
      <c r="P535" s="12"/>
      <c r="Q535" s="12"/>
      <c r="R535" s="12"/>
      <c r="S535" s="12"/>
      <c r="T535" s="12"/>
    </row>
    <row r="536" spans="2:20" outlineLevel="2"/>
    <row r="537" spans="2:20" outlineLevel="2">
      <c r="C537" s="37" t="s">
        <v>311</v>
      </c>
    </row>
    <row r="538" spans="2:20" ht="5.9" customHeight="1" outlineLevel="2"/>
    <row r="539" spans="2:20" outlineLevel="2">
      <c r="D539" s="37" t="s">
        <v>215</v>
      </c>
    </row>
    <row r="540" spans="2:20" ht="5.9" customHeight="1" outlineLevel="2"/>
    <row r="541" spans="2:20" outlineLevel="2">
      <c r="E541" s="247" t="str">
        <f>GC!C78</f>
        <v>Mains &amp; Services</v>
      </c>
      <c r="F541" s="247"/>
      <c r="G541" s="247"/>
      <c r="H541" s="247"/>
      <c r="I541" s="247"/>
      <c r="J541" s="81">
        <f ca="1">SUMPRODUCT((Work_Codes!$AR$78:$AX$78=$E541)*(Work_Codes!$AR$81:$AX$85)*(J$388:J$392))</f>
        <v>0</v>
      </c>
      <c r="K541" s="81">
        <f ca="1">SUMPRODUCT((Work_Codes!$AR$78:$AX$78=$E541)*(Work_Codes!$AR$81:$AX$85)*(K$388:K$392))</f>
        <v>0</v>
      </c>
      <c r="L541" s="81">
        <f ca="1">SUMPRODUCT((Work_Codes!$AR$78:$AX$78=$E541)*(Work_Codes!$AR$81:$AX$85)*(L$388:L$392))</f>
        <v>0</v>
      </c>
      <c r="M541" s="81">
        <f ca="1">SUMPRODUCT((Work_Codes!$AR$78:$AX$78=$E541)*(Work_Codes!$AR$81:$AX$85)*(M$388:M$392))</f>
        <v>0</v>
      </c>
      <c r="N541" s="81">
        <f ca="1">SUMPRODUCT((Work_Codes!$AR$78:$AX$78=$E541)*(Work_Codes!$AR$81:$AX$85)*(N$388:N$392))</f>
        <v>281780.374862617</v>
      </c>
      <c r="O541" s="81">
        <f ca="1">SUMPRODUCT((Work_Codes!$AR$78:$AX$78=$E541)*(Work_Codes!$AR$81:$AX$85)*(O$388:O$392))</f>
        <v>139177.61357236217</v>
      </c>
      <c r="P541" s="81">
        <f ca="1">SUMPRODUCT((Work_Codes!$AR$78:$AX$78=$E541)*(Work_Codes!$AR$81:$AX$85)*(P$388:P$392))</f>
        <v>358646.70069717587</v>
      </c>
      <c r="Q541" s="81">
        <f ca="1">SUMPRODUCT((Work_Codes!$AR$78:$AX$78=$E541)*(Work_Codes!$AR$81:$AX$85)*(Q$388:Q$392))</f>
        <v>358759.65850051696</v>
      </c>
      <c r="R541" s="81">
        <f ca="1">SUMPRODUCT((Work_Codes!$AR$78:$AX$78=$E541)*(Work_Codes!$AR$81:$AX$85)*(R$388:R$392))</f>
        <v>358920.37808452331</v>
      </c>
      <c r="S541" s="81">
        <f ca="1">SUMPRODUCT((Work_Codes!$AR$78:$AX$78=$E541)*(Work_Codes!$AR$81:$AX$85)*(S$388:S$392))</f>
        <v>359082.86694174126</v>
      </c>
      <c r="T541" s="81">
        <f ca="1">SUMPRODUCT((Work_Codes!$AR$78:$AX$78=$E541)*(Work_Codes!$AR$81:$AX$85)*(T$388:T$392))</f>
        <v>359247.14454912324</v>
      </c>
    </row>
    <row r="542" spans="2:20" outlineLevel="2">
      <c r="E542" s="247" t="str">
        <f>GC!C79</f>
        <v>Meters Domestic</v>
      </c>
      <c r="F542" s="247"/>
      <c r="G542" s="247"/>
      <c r="H542" s="247"/>
      <c r="I542" s="247"/>
      <c r="J542" s="81">
        <f ca="1">SUMPRODUCT((Work_Codes!$AR$78:$AX$78=$E542)*(Work_Codes!$AR$81:$AX$85)*(J$388:J$392))</f>
        <v>0</v>
      </c>
      <c r="K542" s="81">
        <f ca="1">SUMPRODUCT((Work_Codes!$AR$78:$AX$78=$E542)*(Work_Codes!$AR$81:$AX$85)*(K$388:K$392))</f>
        <v>0</v>
      </c>
      <c r="L542" s="81">
        <f ca="1">SUMPRODUCT((Work_Codes!$AR$78:$AX$78=$E542)*(Work_Codes!$AR$81:$AX$85)*(L$388:L$392))</f>
        <v>0</v>
      </c>
      <c r="M542" s="81">
        <f ca="1">SUMPRODUCT((Work_Codes!$AR$78:$AX$78=$E542)*(Work_Codes!$AR$81:$AX$85)*(M$388:M$392))</f>
        <v>0</v>
      </c>
      <c r="N542" s="81">
        <f ca="1">SUMPRODUCT((Work_Codes!$AR$78:$AX$78=$E542)*(Work_Codes!$AR$81:$AX$85)*(N$388:N$392))</f>
        <v>0</v>
      </c>
      <c r="O542" s="81">
        <f ca="1">SUMPRODUCT((Work_Codes!$AR$78:$AX$78=$E542)*(Work_Codes!$AR$81:$AX$85)*(O$388:O$392))</f>
        <v>0</v>
      </c>
      <c r="P542" s="81">
        <f ca="1">SUMPRODUCT((Work_Codes!$AR$78:$AX$78=$E542)*(Work_Codes!$AR$81:$AX$85)*(P$388:P$392))</f>
        <v>0</v>
      </c>
      <c r="Q542" s="81">
        <f ca="1">SUMPRODUCT((Work_Codes!$AR$78:$AX$78=$E542)*(Work_Codes!$AR$81:$AX$85)*(Q$388:Q$392))</f>
        <v>0</v>
      </c>
      <c r="R542" s="81">
        <f ca="1">SUMPRODUCT((Work_Codes!$AR$78:$AX$78=$E542)*(Work_Codes!$AR$81:$AX$85)*(R$388:R$392))</f>
        <v>0</v>
      </c>
      <c r="S542" s="81">
        <f ca="1">SUMPRODUCT((Work_Codes!$AR$78:$AX$78=$E542)*(Work_Codes!$AR$81:$AX$85)*(S$388:S$392))</f>
        <v>0</v>
      </c>
      <c r="T542" s="81">
        <f ca="1">SUMPRODUCT((Work_Codes!$AR$78:$AX$78=$E542)*(Work_Codes!$AR$81:$AX$85)*(T$388:T$392))</f>
        <v>0</v>
      </c>
    </row>
    <row r="543" spans="2:20" outlineLevel="2">
      <c r="E543" s="247" t="str">
        <f>GC!C80</f>
        <v>Meters Industrial &amp; Commercial</v>
      </c>
      <c r="F543" s="247"/>
      <c r="G543" s="247"/>
      <c r="H543" s="247"/>
      <c r="I543" s="247"/>
      <c r="J543" s="81">
        <f ca="1">SUMPRODUCT((Work_Codes!$AR$78:$AX$78=$E543)*(Work_Codes!$AR$81:$AX$85)*(J$388:J$392))</f>
        <v>0</v>
      </c>
      <c r="K543" s="81">
        <f ca="1">SUMPRODUCT((Work_Codes!$AR$78:$AX$78=$E543)*(Work_Codes!$AR$81:$AX$85)*(K$388:K$392))</f>
        <v>0</v>
      </c>
      <c r="L543" s="81">
        <f ca="1">SUMPRODUCT((Work_Codes!$AR$78:$AX$78=$E543)*(Work_Codes!$AR$81:$AX$85)*(L$388:L$392))</f>
        <v>0</v>
      </c>
      <c r="M543" s="81">
        <f ca="1">SUMPRODUCT((Work_Codes!$AR$78:$AX$78=$E543)*(Work_Codes!$AR$81:$AX$85)*(M$388:M$392))</f>
        <v>0</v>
      </c>
      <c r="N543" s="81">
        <f ca="1">SUMPRODUCT((Work_Codes!$AR$78:$AX$78=$E543)*(Work_Codes!$AR$81:$AX$85)*(N$388:N$392))</f>
        <v>0</v>
      </c>
      <c r="O543" s="81">
        <f ca="1">SUMPRODUCT((Work_Codes!$AR$78:$AX$78=$E543)*(Work_Codes!$AR$81:$AX$85)*(O$388:O$392))</f>
        <v>0</v>
      </c>
      <c r="P543" s="81">
        <f ca="1">SUMPRODUCT((Work_Codes!$AR$78:$AX$78=$E543)*(Work_Codes!$AR$81:$AX$85)*(P$388:P$392))</f>
        <v>0</v>
      </c>
      <c r="Q543" s="81">
        <f ca="1">SUMPRODUCT((Work_Codes!$AR$78:$AX$78=$E543)*(Work_Codes!$AR$81:$AX$85)*(Q$388:Q$392))</f>
        <v>0</v>
      </c>
      <c r="R543" s="81">
        <f ca="1">SUMPRODUCT((Work_Codes!$AR$78:$AX$78=$E543)*(Work_Codes!$AR$81:$AX$85)*(R$388:R$392))</f>
        <v>0</v>
      </c>
      <c r="S543" s="81">
        <f ca="1">SUMPRODUCT((Work_Codes!$AR$78:$AX$78=$E543)*(Work_Codes!$AR$81:$AX$85)*(S$388:S$392))</f>
        <v>0</v>
      </c>
      <c r="T543" s="81">
        <f ca="1">SUMPRODUCT((Work_Codes!$AR$78:$AX$78=$E543)*(Work_Codes!$AR$81:$AX$85)*(T$388:T$392))</f>
        <v>0</v>
      </c>
    </row>
    <row r="544" spans="2:20" outlineLevel="2">
      <c r="E544" s="247" t="str">
        <f>GC!C81</f>
        <v>Buildings</v>
      </c>
      <c r="F544" s="247"/>
      <c r="G544" s="247"/>
      <c r="H544" s="247"/>
      <c r="I544" s="247"/>
      <c r="J544" s="81">
        <f ca="1">SUMPRODUCT((Work_Codes!$AR$78:$AX$78=$E544)*(Work_Codes!$AR$81:$AX$85)*(J$388:J$392))</f>
        <v>0</v>
      </c>
      <c r="K544" s="81">
        <f ca="1">SUMPRODUCT((Work_Codes!$AR$78:$AX$78=$E544)*(Work_Codes!$AR$81:$AX$85)*(K$388:K$392))</f>
        <v>0</v>
      </c>
      <c r="L544" s="81">
        <f ca="1">SUMPRODUCT((Work_Codes!$AR$78:$AX$78=$E544)*(Work_Codes!$AR$81:$AX$85)*(L$388:L$392))</f>
        <v>0</v>
      </c>
      <c r="M544" s="81">
        <f ca="1">SUMPRODUCT((Work_Codes!$AR$78:$AX$78=$E544)*(Work_Codes!$AR$81:$AX$85)*(M$388:M$392))</f>
        <v>0</v>
      </c>
      <c r="N544" s="81">
        <f ca="1">SUMPRODUCT((Work_Codes!$AR$78:$AX$78=$E544)*(Work_Codes!$AR$81:$AX$85)*(N$388:N$392))</f>
        <v>0</v>
      </c>
      <c r="O544" s="81">
        <f ca="1">SUMPRODUCT((Work_Codes!$AR$78:$AX$78=$E544)*(Work_Codes!$AR$81:$AX$85)*(O$388:O$392))</f>
        <v>0</v>
      </c>
      <c r="P544" s="81">
        <f ca="1">SUMPRODUCT((Work_Codes!$AR$78:$AX$78=$E544)*(Work_Codes!$AR$81:$AX$85)*(P$388:P$392))</f>
        <v>0</v>
      </c>
      <c r="Q544" s="81">
        <f ca="1">SUMPRODUCT((Work_Codes!$AR$78:$AX$78=$E544)*(Work_Codes!$AR$81:$AX$85)*(Q$388:Q$392))</f>
        <v>0</v>
      </c>
      <c r="R544" s="81">
        <f ca="1">SUMPRODUCT((Work_Codes!$AR$78:$AX$78=$E544)*(Work_Codes!$AR$81:$AX$85)*(R$388:R$392))</f>
        <v>0</v>
      </c>
      <c r="S544" s="81">
        <f ca="1">SUMPRODUCT((Work_Codes!$AR$78:$AX$78=$E544)*(Work_Codes!$AR$81:$AX$85)*(S$388:S$392))</f>
        <v>0</v>
      </c>
      <c r="T544" s="81">
        <f ca="1">SUMPRODUCT((Work_Codes!$AR$78:$AX$78=$E544)*(Work_Codes!$AR$81:$AX$85)*(T$388:T$392))</f>
        <v>0</v>
      </c>
    </row>
    <row r="545" spans="2:20" outlineLevel="2">
      <c r="E545" s="247" t="str">
        <f>GC!C82</f>
        <v>Other Assets</v>
      </c>
      <c r="F545" s="247"/>
      <c r="G545" s="247"/>
      <c r="H545" s="247"/>
      <c r="I545" s="247"/>
      <c r="J545" s="81">
        <f ca="1">SUMPRODUCT((Work_Codes!$AR$78:$AX$78=$E545)*(Work_Codes!$AR$81:$AX$85)*(J$388:J$392))</f>
        <v>0</v>
      </c>
      <c r="K545" s="81">
        <f ca="1">SUMPRODUCT((Work_Codes!$AR$78:$AX$78=$E545)*(Work_Codes!$AR$81:$AX$85)*(K$388:K$392))</f>
        <v>0</v>
      </c>
      <c r="L545" s="81">
        <f ca="1">SUMPRODUCT((Work_Codes!$AR$78:$AX$78=$E545)*(Work_Codes!$AR$81:$AX$85)*(L$388:L$392))</f>
        <v>0</v>
      </c>
      <c r="M545" s="81">
        <f ca="1">SUMPRODUCT((Work_Codes!$AR$78:$AX$78=$E545)*(Work_Codes!$AR$81:$AX$85)*(M$388:M$392))</f>
        <v>0</v>
      </c>
      <c r="N545" s="81">
        <f ca="1">SUMPRODUCT((Work_Codes!$AR$78:$AX$78=$E545)*(Work_Codes!$AR$81:$AX$85)*(N$388:N$392))</f>
        <v>0</v>
      </c>
      <c r="O545" s="81">
        <f ca="1">SUMPRODUCT((Work_Codes!$AR$78:$AX$78=$E545)*(Work_Codes!$AR$81:$AX$85)*(O$388:O$392))</f>
        <v>0</v>
      </c>
      <c r="P545" s="81">
        <f ca="1">SUMPRODUCT((Work_Codes!$AR$78:$AX$78=$E545)*(Work_Codes!$AR$81:$AX$85)*(P$388:P$392))</f>
        <v>0</v>
      </c>
      <c r="Q545" s="81">
        <f ca="1">SUMPRODUCT((Work_Codes!$AR$78:$AX$78=$E545)*(Work_Codes!$AR$81:$AX$85)*(Q$388:Q$392))</f>
        <v>0</v>
      </c>
      <c r="R545" s="81">
        <f ca="1">SUMPRODUCT((Work_Codes!$AR$78:$AX$78=$E545)*(Work_Codes!$AR$81:$AX$85)*(R$388:R$392))</f>
        <v>0</v>
      </c>
      <c r="S545" s="81">
        <f ca="1">SUMPRODUCT((Work_Codes!$AR$78:$AX$78=$E545)*(Work_Codes!$AR$81:$AX$85)*(S$388:S$392))</f>
        <v>0</v>
      </c>
      <c r="T545" s="81">
        <f ca="1">SUMPRODUCT((Work_Codes!$AR$78:$AX$78=$E545)*(Work_Codes!$AR$81:$AX$85)*(T$388:T$392))</f>
        <v>0</v>
      </c>
    </row>
    <row r="546" spans="2:20" outlineLevel="2">
      <c r="E546" s="247" t="str">
        <f>GC!C83</f>
        <v>Repairs</v>
      </c>
      <c r="F546" s="247"/>
      <c r="G546" s="247"/>
      <c r="H546" s="247"/>
      <c r="I546" s="247"/>
      <c r="J546" s="81">
        <f ca="1">SUMPRODUCT((Work_Codes!$AR$78:$AX$78=$E546)*(Work_Codes!$AR$81:$AX$85)*(J$388:J$392))</f>
        <v>0</v>
      </c>
      <c r="K546" s="81">
        <f ca="1">SUMPRODUCT((Work_Codes!$AR$78:$AX$78=$E546)*(Work_Codes!$AR$81:$AX$85)*(K$388:K$392))</f>
        <v>0</v>
      </c>
      <c r="L546" s="81">
        <f ca="1">SUMPRODUCT((Work_Codes!$AR$78:$AX$78=$E546)*(Work_Codes!$AR$81:$AX$85)*(L$388:L$392))</f>
        <v>0</v>
      </c>
      <c r="M546" s="81">
        <f ca="1">SUMPRODUCT((Work_Codes!$AR$78:$AX$78=$E546)*(Work_Codes!$AR$81:$AX$85)*(M$388:M$392))</f>
        <v>0</v>
      </c>
      <c r="N546" s="81">
        <f ca="1">SUMPRODUCT((Work_Codes!$AR$78:$AX$78=$E546)*(Work_Codes!$AR$81:$AX$85)*(N$388:N$392))</f>
        <v>0</v>
      </c>
      <c r="O546" s="81">
        <f ca="1">SUMPRODUCT((Work_Codes!$AR$78:$AX$78=$E546)*(Work_Codes!$AR$81:$AX$85)*(O$388:O$392))</f>
        <v>0</v>
      </c>
      <c r="P546" s="81">
        <f ca="1">SUMPRODUCT((Work_Codes!$AR$78:$AX$78=$E546)*(Work_Codes!$AR$81:$AX$85)*(P$388:P$392))</f>
        <v>0</v>
      </c>
      <c r="Q546" s="81">
        <f ca="1">SUMPRODUCT((Work_Codes!$AR$78:$AX$78=$E546)*(Work_Codes!$AR$81:$AX$85)*(Q$388:Q$392))</f>
        <v>0</v>
      </c>
      <c r="R546" s="81">
        <f ca="1">SUMPRODUCT((Work_Codes!$AR$78:$AX$78=$E546)*(Work_Codes!$AR$81:$AX$85)*(R$388:R$392))</f>
        <v>0</v>
      </c>
      <c r="S546" s="81">
        <f ca="1">SUMPRODUCT((Work_Codes!$AR$78:$AX$78=$E546)*(Work_Codes!$AR$81:$AX$85)*(S$388:S$392))</f>
        <v>0</v>
      </c>
      <c r="T546" s="81">
        <f ca="1">SUMPRODUCT((Work_Codes!$AR$78:$AX$78=$E546)*(Work_Codes!$AR$81:$AX$85)*(T$388:T$392))</f>
        <v>0</v>
      </c>
    </row>
    <row r="547" spans="2:20" outlineLevel="2">
      <c r="E547" s="247" t="str">
        <f>GC!C84</f>
        <v>Land</v>
      </c>
      <c r="F547" s="247"/>
      <c r="G547" s="247"/>
      <c r="H547" s="247"/>
      <c r="I547" s="247"/>
      <c r="J547" s="81">
        <f ca="1">SUMPRODUCT((Work_Codes!$AR$78:$AX$78=$E547)*(Work_Codes!$AR$81:$AX$85)*(J$388:J$392))</f>
        <v>0</v>
      </c>
      <c r="K547" s="81">
        <f ca="1">SUMPRODUCT((Work_Codes!$AR$78:$AX$78=$E547)*(Work_Codes!$AR$81:$AX$85)*(K$388:K$392))</f>
        <v>0</v>
      </c>
      <c r="L547" s="81">
        <f ca="1">SUMPRODUCT((Work_Codes!$AR$78:$AX$78=$E547)*(Work_Codes!$AR$81:$AX$85)*(L$388:L$392))</f>
        <v>0</v>
      </c>
      <c r="M547" s="81">
        <f ca="1">SUMPRODUCT((Work_Codes!$AR$78:$AX$78=$E547)*(Work_Codes!$AR$81:$AX$85)*(M$388:M$392))</f>
        <v>0</v>
      </c>
      <c r="N547" s="81">
        <f ca="1">SUMPRODUCT((Work_Codes!$AR$78:$AX$78=$E547)*(Work_Codes!$AR$81:$AX$85)*(N$388:N$392))</f>
        <v>0</v>
      </c>
      <c r="O547" s="81">
        <f ca="1">SUMPRODUCT((Work_Codes!$AR$78:$AX$78=$E547)*(Work_Codes!$AR$81:$AX$85)*(O$388:O$392))</f>
        <v>0</v>
      </c>
      <c r="P547" s="81">
        <f ca="1">SUMPRODUCT((Work_Codes!$AR$78:$AX$78=$E547)*(Work_Codes!$AR$81:$AX$85)*(P$388:P$392))</f>
        <v>0</v>
      </c>
      <c r="Q547" s="81">
        <f ca="1">SUMPRODUCT((Work_Codes!$AR$78:$AX$78=$E547)*(Work_Codes!$AR$81:$AX$85)*(Q$388:Q$392))</f>
        <v>0</v>
      </c>
      <c r="R547" s="81">
        <f ca="1">SUMPRODUCT((Work_Codes!$AR$78:$AX$78=$E547)*(Work_Codes!$AR$81:$AX$85)*(R$388:R$392))</f>
        <v>0</v>
      </c>
      <c r="S547" s="81">
        <f ca="1">SUMPRODUCT((Work_Codes!$AR$78:$AX$78=$E547)*(Work_Codes!$AR$81:$AX$85)*(S$388:S$392))</f>
        <v>0</v>
      </c>
      <c r="T547" s="81">
        <f ca="1">SUMPRODUCT((Work_Codes!$AR$78:$AX$78=$E547)*(Work_Codes!$AR$81:$AX$85)*(T$388:T$392))</f>
        <v>0</v>
      </c>
    </row>
    <row r="548" spans="2:20" outlineLevel="2">
      <c r="E548" s="249" t="str">
        <f>"Total "&amp;D539</f>
        <v>Total Direct Costs</v>
      </c>
      <c r="F548" s="249"/>
      <c r="G548" s="249"/>
      <c r="H548" s="249"/>
      <c r="I548" s="249"/>
      <c r="J548" s="82">
        <f t="shared" ref="J548:T548" ca="1" si="54">SUM(J541:J547)</f>
        <v>0</v>
      </c>
      <c r="K548" s="82">
        <f t="shared" ca="1" si="54"/>
        <v>0</v>
      </c>
      <c r="L548" s="82">
        <f t="shared" ca="1" si="54"/>
        <v>0</v>
      </c>
      <c r="M548" s="82">
        <f t="shared" ca="1" si="54"/>
        <v>0</v>
      </c>
      <c r="N548" s="82">
        <f t="shared" ca="1" si="54"/>
        <v>281780.374862617</v>
      </c>
      <c r="O548" s="82">
        <f t="shared" ca="1" si="54"/>
        <v>139177.61357236217</v>
      </c>
      <c r="P548" s="82">
        <f t="shared" ca="1" si="54"/>
        <v>358646.70069717587</v>
      </c>
      <c r="Q548" s="82">
        <f t="shared" ca="1" si="54"/>
        <v>358759.65850051696</v>
      </c>
      <c r="R548" s="82">
        <f t="shared" ca="1" si="54"/>
        <v>358920.37808452331</v>
      </c>
      <c r="S548" s="82">
        <f t="shared" ca="1" si="54"/>
        <v>359082.86694174126</v>
      </c>
      <c r="T548" s="82">
        <f t="shared" ca="1" si="54"/>
        <v>359247.14454912324</v>
      </c>
    </row>
    <row r="549" spans="2:20" outlineLevel="2"/>
    <row r="550" spans="2:20" outlineLevel="2">
      <c r="D550" s="37" t="s">
        <v>313</v>
      </c>
    </row>
    <row r="551" spans="2:20" ht="5.9" customHeight="1" outlineLevel="2"/>
    <row r="552" spans="2:20" outlineLevel="2">
      <c r="E552" s="247" t="str">
        <f>GC!C78</f>
        <v>Mains &amp; Services</v>
      </c>
      <c r="F552" s="247"/>
      <c r="G552" s="247"/>
      <c r="H552" s="247"/>
      <c r="I552" s="247"/>
      <c r="J552" s="81">
        <f ca="1">J541*(1+INDEX(J$310:J$312,MATCH(Work_Codes!$I$75,$D$310:$D$312,0)))</f>
        <v>0</v>
      </c>
      <c r="K552" s="81">
        <f ca="1">K541*(1+INDEX(K$310:K$312,MATCH(Work_Codes!$I$75,$D$310:$D$312,0)))</f>
        <v>0</v>
      </c>
      <c r="L552" s="81">
        <f ca="1">L541*(1+INDEX(L$310:L$312,MATCH(Work_Codes!$I$75,$D$310:$D$312,0)))</f>
        <v>0</v>
      </c>
      <c r="M552" s="81">
        <f ca="1">M541*(1+INDEX(M$310:M$312,MATCH(Work_Codes!$I$75,$D$310:$D$312,0)))</f>
        <v>0</v>
      </c>
      <c r="N552" s="81">
        <f ca="1">N541*(1+INDEX(N$310:N$312,MATCH(Work_Codes!$I$75,$D$310:$D$312,0)))</f>
        <v>292406.59665942792</v>
      </c>
      <c r="O552" s="81">
        <f ca="1">O541*(1+INDEX(O$310:O$312,MATCH(Work_Codes!$I$75,$D$310:$D$312,0)))</f>
        <v>143809.99695561262</v>
      </c>
      <c r="P552" s="81">
        <f ca="1">P541*(1+INDEX(P$310:P$312,MATCH(Work_Codes!$I$75,$D$310:$D$312,0)))</f>
        <v>368241.45412519469</v>
      </c>
      <c r="Q552" s="81">
        <f ca="1">Q541*(1+INDEX(Q$310:Q$312,MATCH(Work_Codes!$I$75,$D$310:$D$312,0)))</f>
        <v>368109.14591816487</v>
      </c>
      <c r="R552" s="81">
        <f ca="1">R541*(1+INDEX(R$310:R$312,MATCH(Work_Codes!$I$75,$D$310:$D$312,0)))</f>
        <v>368565.64755385579</v>
      </c>
      <c r="S552" s="81">
        <f ca="1">S541*(1+INDEX(S$310:S$312,MATCH(Work_Codes!$I$75,$D$310:$D$312,0)))</f>
        <v>369333.31071147678</v>
      </c>
      <c r="T552" s="81">
        <f ca="1">T541*(1+INDEX(T$310:T$312,MATCH(Work_Codes!$I$75,$D$310:$D$312,0)))</f>
        <v>369995.95498262747</v>
      </c>
    </row>
    <row r="553" spans="2:20" outlineLevel="2">
      <c r="E553" s="247" t="str">
        <f>GC!C79</f>
        <v>Meters Domestic</v>
      </c>
      <c r="F553" s="247"/>
      <c r="G553" s="247"/>
      <c r="H553" s="247"/>
      <c r="I553" s="247"/>
      <c r="J553" s="81">
        <f ca="1">J542*(1+INDEX(J$310:J$312,MATCH(Work_Codes!$I$75,$D$310:$D$312,0)))</f>
        <v>0</v>
      </c>
      <c r="K553" s="81">
        <f ca="1">K542*(1+INDEX(K$310:K$312,MATCH(Work_Codes!$I$75,$D$310:$D$312,0)))</f>
        <v>0</v>
      </c>
      <c r="L553" s="81">
        <f ca="1">L542*(1+INDEX(L$310:L$312,MATCH(Work_Codes!$I$75,$D$310:$D$312,0)))</f>
        <v>0</v>
      </c>
      <c r="M553" s="81">
        <f ca="1">M542*(1+INDEX(M$310:M$312,MATCH(Work_Codes!$I$75,$D$310:$D$312,0)))</f>
        <v>0</v>
      </c>
      <c r="N553" s="81">
        <f ca="1">N542*(1+INDEX(N$310:N$312,MATCH(Work_Codes!$I$75,$D$310:$D$312,0)))</f>
        <v>0</v>
      </c>
      <c r="O553" s="81">
        <f ca="1">O542*(1+INDEX(O$310:O$312,MATCH(Work_Codes!$I$75,$D$310:$D$312,0)))</f>
        <v>0</v>
      </c>
      <c r="P553" s="81">
        <f ca="1">P542*(1+INDEX(P$310:P$312,MATCH(Work_Codes!$I$75,$D$310:$D$312,0)))</f>
        <v>0</v>
      </c>
      <c r="Q553" s="81">
        <f ca="1">Q542*(1+INDEX(Q$310:Q$312,MATCH(Work_Codes!$I$75,$D$310:$D$312,0)))</f>
        <v>0</v>
      </c>
      <c r="R553" s="81">
        <f ca="1">R542*(1+INDEX(R$310:R$312,MATCH(Work_Codes!$I$75,$D$310:$D$312,0)))</f>
        <v>0</v>
      </c>
      <c r="S553" s="81">
        <f ca="1">S542*(1+INDEX(S$310:S$312,MATCH(Work_Codes!$I$75,$D$310:$D$312,0)))</f>
        <v>0</v>
      </c>
      <c r="T553" s="81">
        <f ca="1">T542*(1+INDEX(T$310:T$312,MATCH(Work_Codes!$I$75,$D$310:$D$312,0)))</f>
        <v>0</v>
      </c>
    </row>
    <row r="554" spans="2:20" outlineLevel="2">
      <c r="E554" s="247" t="str">
        <f>GC!C80</f>
        <v>Meters Industrial &amp; Commercial</v>
      </c>
      <c r="F554" s="247"/>
      <c r="G554" s="247"/>
      <c r="H554" s="247"/>
      <c r="I554" s="247"/>
      <c r="J554" s="81">
        <f ca="1">J543*(1+INDEX(J$310:J$312,MATCH(Work_Codes!$I$75,$D$310:$D$312,0)))</f>
        <v>0</v>
      </c>
      <c r="K554" s="81">
        <f ca="1">K543*(1+INDEX(K$310:K$312,MATCH(Work_Codes!$I$75,$D$310:$D$312,0)))</f>
        <v>0</v>
      </c>
      <c r="L554" s="81">
        <f ca="1">L543*(1+INDEX(L$310:L$312,MATCH(Work_Codes!$I$75,$D$310:$D$312,0)))</f>
        <v>0</v>
      </c>
      <c r="M554" s="81">
        <f ca="1">M543*(1+INDEX(M$310:M$312,MATCH(Work_Codes!$I$75,$D$310:$D$312,0)))</f>
        <v>0</v>
      </c>
      <c r="N554" s="81">
        <f ca="1">N543*(1+INDEX(N$310:N$312,MATCH(Work_Codes!$I$75,$D$310:$D$312,0)))</f>
        <v>0</v>
      </c>
      <c r="O554" s="81">
        <f ca="1">O543*(1+INDEX(O$310:O$312,MATCH(Work_Codes!$I$75,$D$310:$D$312,0)))</f>
        <v>0</v>
      </c>
      <c r="P554" s="81">
        <f ca="1">P543*(1+INDEX(P$310:P$312,MATCH(Work_Codes!$I$75,$D$310:$D$312,0)))</f>
        <v>0</v>
      </c>
      <c r="Q554" s="81">
        <f ca="1">Q543*(1+INDEX(Q$310:Q$312,MATCH(Work_Codes!$I$75,$D$310:$D$312,0)))</f>
        <v>0</v>
      </c>
      <c r="R554" s="81">
        <f ca="1">R543*(1+INDEX(R$310:R$312,MATCH(Work_Codes!$I$75,$D$310:$D$312,0)))</f>
        <v>0</v>
      </c>
      <c r="S554" s="81">
        <f ca="1">S543*(1+INDEX(S$310:S$312,MATCH(Work_Codes!$I$75,$D$310:$D$312,0)))</f>
        <v>0</v>
      </c>
      <c r="T554" s="81">
        <f ca="1">T543*(1+INDEX(T$310:T$312,MATCH(Work_Codes!$I$75,$D$310:$D$312,0)))</f>
        <v>0</v>
      </c>
    </row>
    <row r="555" spans="2:20" outlineLevel="2">
      <c r="E555" s="247" t="str">
        <f>GC!C81</f>
        <v>Buildings</v>
      </c>
      <c r="F555" s="247"/>
      <c r="G555" s="247"/>
      <c r="H555" s="247"/>
      <c r="I555" s="247"/>
      <c r="J555" s="81">
        <f ca="1">J544*(1+INDEX(J$310:J$312,MATCH(Work_Codes!$I$75,$D$310:$D$312,0)))</f>
        <v>0</v>
      </c>
      <c r="K555" s="81">
        <f ca="1">K544*(1+INDEX(K$310:K$312,MATCH(Work_Codes!$I$75,$D$310:$D$312,0)))</f>
        <v>0</v>
      </c>
      <c r="L555" s="81">
        <f ca="1">L544*(1+INDEX(L$310:L$312,MATCH(Work_Codes!$I$75,$D$310:$D$312,0)))</f>
        <v>0</v>
      </c>
      <c r="M555" s="81">
        <f ca="1">M544*(1+INDEX(M$310:M$312,MATCH(Work_Codes!$I$75,$D$310:$D$312,0)))</f>
        <v>0</v>
      </c>
      <c r="N555" s="81">
        <f ca="1">N544*(1+INDEX(N$310:N$312,MATCH(Work_Codes!$I$75,$D$310:$D$312,0)))</f>
        <v>0</v>
      </c>
      <c r="O555" s="81">
        <f ca="1">O544*(1+INDEX(O$310:O$312,MATCH(Work_Codes!$I$75,$D$310:$D$312,0)))</f>
        <v>0</v>
      </c>
      <c r="P555" s="81">
        <f ca="1">P544*(1+INDEX(P$310:P$312,MATCH(Work_Codes!$I$75,$D$310:$D$312,0)))</f>
        <v>0</v>
      </c>
      <c r="Q555" s="81">
        <f ca="1">Q544*(1+INDEX(Q$310:Q$312,MATCH(Work_Codes!$I$75,$D$310:$D$312,0)))</f>
        <v>0</v>
      </c>
      <c r="R555" s="81">
        <f ca="1">R544*(1+INDEX(R$310:R$312,MATCH(Work_Codes!$I$75,$D$310:$D$312,0)))</f>
        <v>0</v>
      </c>
      <c r="S555" s="81">
        <f ca="1">S544*(1+INDEX(S$310:S$312,MATCH(Work_Codes!$I$75,$D$310:$D$312,0)))</f>
        <v>0</v>
      </c>
      <c r="T555" s="81">
        <f ca="1">T544*(1+INDEX(T$310:T$312,MATCH(Work_Codes!$I$75,$D$310:$D$312,0)))</f>
        <v>0</v>
      </c>
    </row>
    <row r="556" spans="2:20" outlineLevel="2">
      <c r="E556" s="247" t="str">
        <f>GC!C82</f>
        <v>Other Assets</v>
      </c>
      <c r="F556" s="247"/>
      <c r="G556" s="247"/>
      <c r="H556" s="247"/>
      <c r="I556" s="247"/>
      <c r="J556" s="81">
        <f ca="1">J545*(1+INDEX(J$310:J$312,MATCH(Work_Codes!$I$75,$D$310:$D$312,0)))</f>
        <v>0</v>
      </c>
      <c r="K556" s="81">
        <f ca="1">K545*(1+INDEX(K$310:K$312,MATCH(Work_Codes!$I$75,$D$310:$D$312,0)))</f>
        <v>0</v>
      </c>
      <c r="L556" s="81">
        <f ca="1">L545*(1+INDEX(L$310:L$312,MATCH(Work_Codes!$I$75,$D$310:$D$312,0)))</f>
        <v>0</v>
      </c>
      <c r="M556" s="81">
        <f ca="1">M545*(1+INDEX(M$310:M$312,MATCH(Work_Codes!$I$75,$D$310:$D$312,0)))</f>
        <v>0</v>
      </c>
      <c r="N556" s="81">
        <f ca="1">N545*(1+INDEX(N$310:N$312,MATCH(Work_Codes!$I$75,$D$310:$D$312,0)))</f>
        <v>0</v>
      </c>
      <c r="O556" s="81">
        <f ca="1">O545*(1+INDEX(O$310:O$312,MATCH(Work_Codes!$I$75,$D$310:$D$312,0)))</f>
        <v>0</v>
      </c>
      <c r="P556" s="81">
        <f ca="1">P545*(1+INDEX(P$310:P$312,MATCH(Work_Codes!$I$75,$D$310:$D$312,0)))</f>
        <v>0</v>
      </c>
      <c r="Q556" s="81">
        <f ca="1">Q545*(1+INDEX(Q$310:Q$312,MATCH(Work_Codes!$I$75,$D$310:$D$312,0)))</f>
        <v>0</v>
      </c>
      <c r="R556" s="81">
        <f ca="1">R545*(1+INDEX(R$310:R$312,MATCH(Work_Codes!$I$75,$D$310:$D$312,0)))</f>
        <v>0</v>
      </c>
      <c r="S556" s="81">
        <f ca="1">S545*(1+INDEX(S$310:S$312,MATCH(Work_Codes!$I$75,$D$310:$D$312,0)))</f>
        <v>0</v>
      </c>
      <c r="T556" s="81">
        <f ca="1">T545*(1+INDEX(T$310:T$312,MATCH(Work_Codes!$I$75,$D$310:$D$312,0)))</f>
        <v>0</v>
      </c>
    </row>
    <row r="557" spans="2:20" outlineLevel="2">
      <c r="E557" s="247" t="str">
        <f>GC!C83</f>
        <v>Repairs</v>
      </c>
      <c r="F557" s="247"/>
      <c r="G557" s="247"/>
      <c r="H557" s="247"/>
      <c r="I557" s="247"/>
      <c r="J557" s="81">
        <f ca="1">J546*(1+INDEX(J$310:J$312,MATCH(Work_Codes!$I$75,$D$310:$D$312,0)))</f>
        <v>0</v>
      </c>
      <c r="K557" s="81">
        <f ca="1">K546*(1+INDEX(K$310:K$312,MATCH(Work_Codes!$I$75,$D$310:$D$312,0)))</f>
        <v>0</v>
      </c>
      <c r="L557" s="81">
        <f ca="1">L546*(1+INDEX(L$310:L$312,MATCH(Work_Codes!$I$75,$D$310:$D$312,0)))</f>
        <v>0</v>
      </c>
      <c r="M557" s="81">
        <f ca="1">M546*(1+INDEX(M$310:M$312,MATCH(Work_Codes!$I$75,$D$310:$D$312,0)))</f>
        <v>0</v>
      </c>
      <c r="N557" s="81">
        <f ca="1">N546*(1+INDEX(N$310:N$312,MATCH(Work_Codes!$I$75,$D$310:$D$312,0)))</f>
        <v>0</v>
      </c>
      <c r="O557" s="81">
        <f ca="1">O546*(1+INDEX(O$310:O$312,MATCH(Work_Codes!$I$75,$D$310:$D$312,0)))</f>
        <v>0</v>
      </c>
      <c r="P557" s="81">
        <f ca="1">P546*(1+INDEX(P$310:P$312,MATCH(Work_Codes!$I$75,$D$310:$D$312,0)))</f>
        <v>0</v>
      </c>
      <c r="Q557" s="81">
        <f ca="1">Q546*(1+INDEX(Q$310:Q$312,MATCH(Work_Codes!$I$75,$D$310:$D$312,0)))</f>
        <v>0</v>
      </c>
      <c r="R557" s="81">
        <f ca="1">R546*(1+INDEX(R$310:R$312,MATCH(Work_Codes!$I$75,$D$310:$D$312,0)))</f>
        <v>0</v>
      </c>
      <c r="S557" s="81">
        <f ca="1">S546*(1+INDEX(S$310:S$312,MATCH(Work_Codes!$I$75,$D$310:$D$312,0)))</f>
        <v>0</v>
      </c>
      <c r="T557" s="81">
        <f ca="1">T546*(1+INDEX(T$310:T$312,MATCH(Work_Codes!$I$75,$D$310:$D$312,0)))</f>
        <v>0</v>
      </c>
    </row>
    <row r="558" spans="2:20" outlineLevel="2">
      <c r="E558" s="247" t="str">
        <f>GC!C84</f>
        <v>Land</v>
      </c>
      <c r="F558" s="247"/>
      <c r="G558" s="247"/>
      <c r="H558" s="247"/>
      <c r="I558" s="247"/>
      <c r="J558" s="81">
        <f ca="1">J547*(1+INDEX(J$310:J$312,MATCH(Work_Codes!$I$75,$D$310:$D$312,0)))</f>
        <v>0</v>
      </c>
      <c r="K558" s="81">
        <f ca="1">K547*(1+INDEX(K$310:K$312,MATCH(Work_Codes!$I$75,$D$310:$D$312,0)))</f>
        <v>0</v>
      </c>
      <c r="L558" s="81">
        <f ca="1">L547*(1+INDEX(L$310:L$312,MATCH(Work_Codes!$I$75,$D$310:$D$312,0)))</f>
        <v>0</v>
      </c>
      <c r="M558" s="81">
        <f ca="1">M547*(1+INDEX(M$310:M$312,MATCH(Work_Codes!$I$75,$D$310:$D$312,0)))</f>
        <v>0</v>
      </c>
      <c r="N558" s="81">
        <f ca="1">N547*(1+INDEX(N$310:N$312,MATCH(Work_Codes!$I$75,$D$310:$D$312,0)))</f>
        <v>0</v>
      </c>
      <c r="O558" s="81">
        <f ca="1">O547*(1+INDEX(O$310:O$312,MATCH(Work_Codes!$I$75,$D$310:$D$312,0)))</f>
        <v>0</v>
      </c>
      <c r="P558" s="81">
        <f ca="1">P547*(1+INDEX(P$310:P$312,MATCH(Work_Codes!$I$75,$D$310:$D$312,0)))</f>
        <v>0</v>
      </c>
      <c r="Q558" s="81">
        <f ca="1">Q547*(1+INDEX(Q$310:Q$312,MATCH(Work_Codes!$I$75,$D$310:$D$312,0)))</f>
        <v>0</v>
      </c>
      <c r="R558" s="81">
        <f ca="1">R547*(1+INDEX(R$310:R$312,MATCH(Work_Codes!$I$75,$D$310:$D$312,0)))</f>
        <v>0</v>
      </c>
      <c r="S558" s="81">
        <f ca="1">S547*(1+INDEX(S$310:S$312,MATCH(Work_Codes!$I$75,$D$310:$D$312,0)))</f>
        <v>0</v>
      </c>
      <c r="T558" s="81">
        <f ca="1">T547*(1+INDEX(T$310:T$312,MATCH(Work_Codes!$I$75,$D$310:$D$312,0)))</f>
        <v>0</v>
      </c>
    </row>
    <row r="559" spans="2:20" outlineLevel="2">
      <c r="E559" s="249" t="str">
        <f>"Total "&amp;D550</f>
        <v>Total Direct Costs +  Overheads</v>
      </c>
      <c r="F559" s="249"/>
      <c r="G559" s="249"/>
      <c r="H559" s="249"/>
      <c r="I559" s="249"/>
      <c r="J559" s="82">
        <f t="shared" ref="J559:T559" ca="1" si="55">SUM(J552:J558)</f>
        <v>0</v>
      </c>
      <c r="K559" s="82">
        <f t="shared" ca="1" si="55"/>
        <v>0</v>
      </c>
      <c r="L559" s="82">
        <f t="shared" ca="1" si="55"/>
        <v>0</v>
      </c>
      <c r="M559" s="82">
        <f t="shared" ca="1" si="55"/>
        <v>0</v>
      </c>
      <c r="N559" s="82">
        <f t="shared" ca="1" si="55"/>
        <v>292406.59665942792</v>
      </c>
      <c r="O559" s="82">
        <f t="shared" ca="1" si="55"/>
        <v>143809.99695561262</v>
      </c>
      <c r="P559" s="82">
        <f t="shared" ca="1" si="55"/>
        <v>368241.45412519469</v>
      </c>
      <c r="Q559" s="82">
        <f t="shared" ca="1" si="55"/>
        <v>368109.14591816487</v>
      </c>
      <c r="R559" s="82">
        <f t="shared" ca="1" si="55"/>
        <v>368565.64755385579</v>
      </c>
      <c r="S559" s="82">
        <f t="shared" ca="1" si="55"/>
        <v>369333.31071147678</v>
      </c>
      <c r="T559" s="82">
        <f t="shared" ca="1" si="55"/>
        <v>369995.95498262747</v>
      </c>
    </row>
    <row r="560" spans="2:20" outlineLevel="1">
      <c r="B560" s="12"/>
      <c r="C560" s="12"/>
      <c r="D560" s="12"/>
      <c r="E560" s="12"/>
      <c r="F560" s="12"/>
      <c r="G560" s="12"/>
      <c r="H560" s="12"/>
      <c r="I560" s="12"/>
      <c r="J560" s="12"/>
      <c r="K560" s="12"/>
      <c r="L560" s="12"/>
      <c r="M560" s="12"/>
      <c r="N560" s="12"/>
      <c r="O560" s="12"/>
      <c r="P560" s="12"/>
      <c r="Q560" s="12"/>
      <c r="R560" s="12"/>
      <c r="S560" s="12"/>
      <c r="T560" s="12"/>
    </row>
    <row r="561" spans="2:20" outlineLevel="1"/>
    <row r="562" spans="2:20" outlineLevel="1">
      <c r="C562" s="37" t="s">
        <v>19</v>
      </c>
    </row>
    <row r="563" spans="2:20" ht="5.9" customHeight="1" outlineLevel="1"/>
    <row r="564" spans="2:20" outlineLevel="1">
      <c r="F564" s="51" t="str">
        <f>$B$298&amp;" Work Code v RAB Category Direct Check"</f>
        <v>3004 - Inputs Work Code v RAB Category Direct Check</v>
      </c>
      <c r="I564" s="130">
        <f ca="1">IF(ISERROR(SUM(J564:T564)),1,MIN(SUM(J564:T564),1))</f>
        <v>0</v>
      </c>
      <c r="J564" s="81">
        <f t="shared" ref="J564:T564" ca="1" si="56">J394-J417</f>
        <v>0</v>
      </c>
      <c r="K564" s="81">
        <f t="shared" ca="1" si="56"/>
        <v>0</v>
      </c>
      <c r="L564" s="81">
        <f t="shared" ca="1" si="56"/>
        <v>0</v>
      </c>
      <c r="M564" s="81">
        <f t="shared" ca="1" si="56"/>
        <v>0</v>
      </c>
      <c r="N564" s="81">
        <f t="shared" ca="1" si="56"/>
        <v>0</v>
      </c>
      <c r="O564" s="81">
        <f t="shared" ca="1" si="56"/>
        <v>0</v>
      </c>
      <c r="P564" s="81">
        <f t="shared" ca="1" si="56"/>
        <v>0</v>
      </c>
      <c r="Q564" s="81">
        <f t="shared" ca="1" si="56"/>
        <v>0</v>
      </c>
      <c r="R564" s="81">
        <f t="shared" ca="1" si="56"/>
        <v>0</v>
      </c>
      <c r="S564" s="81">
        <f t="shared" ca="1" si="56"/>
        <v>0</v>
      </c>
      <c r="T564" s="81">
        <f t="shared" ca="1" si="56"/>
        <v>0</v>
      </c>
    </row>
    <row r="565" spans="2:20" outlineLevel="1">
      <c r="F565" s="51" t="str">
        <f>$B$298&amp;" Work Code v RIN Category Direct Check"</f>
        <v>3004 - Inputs Work Code v RIN Category Direct Check</v>
      </c>
      <c r="I565" s="130">
        <f ca="1">IF(ISERROR(SUM(J565:T565)),1,MIN(SUM(J565:T565),1))</f>
        <v>0</v>
      </c>
      <c r="J565" s="81">
        <f t="shared" ref="J565:T565" ca="1" si="57">J394-J498</f>
        <v>0</v>
      </c>
      <c r="K565" s="81">
        <f t="shared" ca="1" si="57"/>
        <v>0</v>
      </c>
      <c r="L565" s="81">
        <f t="shared" ca="1" si="57"/>
        <v>0</v>
      </c>
      <c r="M565" s="81">
        <f t="shared" ca="1" si="57"/>
        <v>0</v>
      </c>
      <c r="N565" s="81">
        <f t="shared" ca="1" si="57"/>
        <v>0</v>
      </c>
      <c r="O565" s="81">
        <f t="shared" ca="1" si="57"/>
        <v>0</v>
      </c>
      <c r="P565" s="81">
        <f t="shared" ca="1" si="57"/>
        <v>0</v>
      </c>
      <c r="Q565" s="81">
        <f t="shared" ca="1" si="57"/>
        <v>0</v>
      </c>
      <c r="R565" s="81">
        <f t="shared" ca="1" si="57"/>
        <v>0</v>
      </c>
      <c r="S565" s="81">
        <f t="shared" ca="1" si="57"/>
        <v>0</v>
      </c>
      <c r="T565" s="81">
        <f t="shared" ca="1" si="57"/>
        <v>0</v>
      </c>
    </row>
    <row r="566" spans="2:20" outlineLevel="1">
      <c r="F566" s="51" t="str">
        <f>$B$298&amp;" Work Code v Tax Category Direct Check"</f>
        <v>3004 - Inputs Work Code v Tax Category Direct Check</v>
      </c>
      <c r="I566" s="130">
        <f ca="1">IF(ISERROR(SUM(J566:T566)),1,MIN(SUM(J566:T566),1))</f>
        <v>0</v>
      </c>
      <c r="J566" s="81">
        <f t="shared" ref="J566:T566" ca="1" si="58">J394-J548</f>
        <v>0</v>
      </c>
      <c r="K566" s="81">
        <f t="shared" ca="1" si="58"/>
        <v>0</v>
      </c>
      <c r="L566" s="81">
        <f t="shared" ca="1" si="58"/>
        <v>0</v>
      </c>
      <c r="M566" s="81">
        <f t="shared" ca="1" si="58"/>
        <v>0</v>
      </c>
      <c r="N566" s="81">
        <f t="shared" ca="1" si="58"/>
        <v>0</v>
      </c>
      <c r="O566" s="81">
        <f t="shared" ca="1" si="58"/>
        <v>0</v>
      </c>
      <c r="P566" s="81">
        <f t="shared" ca="1" si="58"/>
        <v>0</v>
      </c>
      <c r="Q566" s="81">
        <f t="shared" ca="1" si="58"/>
        <v>0</v>
      </c>
      <c r="R566" s="81">
        <f t="shared" ca="1" si="58"/>
        <v>0</v>
      </c>
      <c r="S566" s="81">
        <f t="shared" ca="1" si="58"/>
        <v>0</v>
      </c>
      <c r="T566" s="81">
        <f t="shared" ca="1" si="58"/>
        <v>0</v>
      </c>
    </row>
    <row r="567" spans="2:20" outlineLevel="1">
      <c r="F567" s="51" t="str">
        <f>$B$298&amp;" Customer Contributions v RAB Category Direct Check"</f>
        <v>3004 - Inputs Customer Contributions v RAB Category Direct Check</v>
      </c>
      <c r="I567" s="130">
        <f ca="1">IF(ISERROR(SUM(J567:T567)),1,MIN(SUM(J567:T567),1))</f>
        <v>0</v>
      </c>
      <c r="J567" s="81">
        <f t="shared" ref="J567:T567" ca="1" si="59">J351-J477</f>
        <v>0</v>
      </c>
      <c r="K567" s="81">
        <f t="shared" ca="1" si="59"/>
        <v>0</v>
      </c>
      <c r="L567" s="81">
        <f t="shared" ca="1" si="59"/>
        <v>0</v>
      </c>
      <c r="M567" s="81">
        <f t="shared" ca="1" si="59"/>
        <v>0</v>
      </c>
      <c r="N567" s="81">
        <f t="shared" ca="1" si="59"/>
        <v>0</v>
      </c>
      <c r="O567" s="81">
        <f t="shared" ca="1" si="59"/>
        <v>0</v>
      </c>
      <c r="P567" s="81">
        <f t="shared" ca="1" si="59"/>
        <v>0</v>
      </c>
      <c r="Q567" s="81">
        <f t="shared" ca="1" si="59"/>
        <v>0</v>
      </c>
      <c r="R567" s="81">
        <f t="shared" ca="1" si="59"/>
        <v>0</v>
      </c>
      <c r="S567" s="81">
        <f t="shared" ca="1" si="59"/>
        <v>0</v>
      </c>
      <c r="T567" s="81">
        <f t="shared" ca="1" si="59"/>
        <v>0</v>
      </c>
    </row>
    <row r="568" spans="2:20" ht="5.9" customHeight="1" outlineLevel="1"/>
    <row r="569" spans="2:20" outlineLevel="1">
      <c r="F569" s="51" t="str">
        <f>$B$298&amp;" RAB v RIN Direct + Overhead Check"</f>
        <v>3004 - Inputs RAB v RIN Direct + Overhead Check</v>
      </c>
      <c r="I569" s="130">
        <f ca="1">IF(ISERROR(SUM(J569:T569)),1,MIN(SUM(J569:T569),1))</f>
        <v>0</v>
      </c>
      <c r="J569" s="81">
        <f t="shared" ref="J569:T569" ca="1" si="60">J457-J516</f>
        <v>0</v>
      </c>
      <c r="K569" s="81">
        <f t="shared" ca="1" si="60"/>
        <v>0</v>
      </c>
      <c r="L569" s="81">
        <f t="shared" ca="1" si="60"/>
        <v>0</v>
      </c>
      <c r="M569" s="81">
        <f t="shared" ca="1" si="60"/>
        <v>0</v>
      </c>
      <c r="N569" s="81">
        <f t="shared" ca="1" si="60"/>
        <v>0</v>
      </c>
      <c r="O569" s="81">
        <f t="shared" ca="1" si="60"/>
        <v>0</v>
      </c>
      <c r="P569" s="81">
        <f t="shared" ca="1" si="60"/>
        <v>0</v>
      </c>
      <c r="Q569" s="81">
        <f t="shared" ca="1" si="60"/>
        <v>0</v>
      </c>
      <c r="R569" s="81">
        <f t="shared" ca="1" si="60"/>
        <v>0</v>
      </c>
      <c r="S569" s="81">
        <f t="shared" ca="1" si="60"/>
        <v>0</v>
      </c>
      <c r="T569" s="81">
        <f t="shared" ca="1" si="60"/>
        <v>0</v>
      </c>
    </row>
    <row r="570" spans="2:20" outlineLevel="1">
      <c r="F570" s="51" t="str">
        <f>$B$298&amp;" RAB v Tax Direct + Overhead Check"</f>
        <v>3004 - Inputs RAB v Tax Direct + Overhead Check</v>
      </c>
      <c r="I570" s="130">
        <f ca="1">IF(ISERROR(SUM(J570:T570)),1,MIN(SUM(J570:T570),1))</f>
        <v>0</v>
      </c>
      <c r="J570" s="81">
        <f t="shared" ref="J570:T570" ca="1" si="61">J457-J559</f>
        <v>0</v>
      </c>
      <c r="K570" s="81">
        <f t="shared" ca="1" si="61"/>
        <v>0</v>
      </c>
      <c r="L570" s="81">
        <f t="shared" ca="1" si="61"/>
        <v>0</v>
      </c>
      <c r="M570" s="81">
        <f t="shared" ca="1" si="61"/>
        <v>0</v>
      </c>
      <c r="N570" s="81">
        <f t="shared" ca="1" si="61"/>
        <v>0</v>
      </c>
      <c r="O570" s="81">
        <f t="shared" ca="1" si="61"/>
        <v>0</v>
      </c>
      <c r="P570" s="81">
        <f t="shared" ca="1" si="61"/>
        <v>0</v>
      </c>
      <c r="Q570" s="81">
        <f t="shared" ca="1" si="61"/>
        <v>0</v>
      </c>
      <c r="R570" s="81">
        <f t="shared" ca="1" si="61"/>
        <v>0</v>
      </c>
      <c r="S570" s="81">
        <f t="shared" ca="1" si="61"/>
        <v>0</v>
      </c>
      <c r="T570" s="81">
        <f t="shared" ca="1" si="61"/>
        <v>0</v>
      </c>
    </row>
    <row r="571" spans="2:20" ht="12" outlineLevel="1" thickBot="1">
      <c r="B571" s="94"/>
      <c r="C571" s="94"/>
      <c r="D571" s="94"/>
      <c r="E571" s="94"/>
      <c r="F571" s="94"/>
      <c r="G571" s="94"/>
      <c r="H571" s="94"/>
      <c r="I571" s="94"/>
      <c r="J571" s="94"/>
      <c r="K571" s="94"/>
      <c r="L571" s="94"/>
      <c r="M571" s="94"/>
      <c r="N571" s="94"/>
      <c r="O571" s="94"/>
      <c r="P571" s="94"/>
      <c r="Q571" s="94"/>
      <c r="R571" s="94"/>
      <c r="S571" s="94"/>
      <c r="T571" s="94"/>
    </row>
    <row r="573" spans="2:20" ht="14">
      <c r="B573" s="110" t="s">
        <v>236</v>
      </c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</row>
    <row r="574" spans="2:20" ht="5.9" customHeight="1"/>
    <row r="575" spans="2:20" ht="14">
      <c r="B575" s="56" t="str">
        <f>GC!F13</f>
        <v>High Pressure Replacement - Ad Hoc</v>
      </c>
    </row>
    <row r="576" spans="2:20" ht="5.9" customHeight="1" outlineLevel="1"/>
    <row r="577" spans="3:20" hidden="1" outlineLevel="2">
      <c r="C577" s="37" t="s">
        <v>204</v>
      </c>
    </row>
    <row r="578" spans="3:20" ht="5.9" hidden="1" customHeight="1" outlineLevel="2"/>
    <row r="579" spans="3:20" hidden="1" outlineLevel="2">
      <c r="D579" s="51" t="s">
        <v>103</v>
      </c>
      <c r="J579" s="92">
        <f>Rates!J42</f>
        <v>1</v>
      </c>
      <c r="K579" s="92">
        <f>Rates!K42</f>
        <v>1</v>
      </c>
      <c r="L579" s="92">
        <f>Rates!L42</f>
        <v>1</v>
      </c>
      <c r="M579" s="92">
        <f>Rates!M42</f>
        <v>1</v>
      </c>
      <c r="N579" s="92">
        <f>Rates!N42</f>
        <v>1</v>
      </c>
      <c r="O579" s="92">
        <f>Rates!O42</f>
        <v>1.0051959235721353</v>
      </c>
      <c r="P579" s="92">
        <f>Rates!P42</f>
        <v>1.0102301741405761</v>
      </c>
      <c r="Q579" s="92">
        <f>Rates!Q42</f>
        <v>1.0181072873442809</v>
      </c>
      <c r="R579" s="92">
        <f>Rates!R42</f>
        <v>1.0293150686557422</v>
      </c>
      <c r="S579" s="92">
        <f>Rates!S42</f>
        <v>1.040646230246951</v>
      </c>
      <c r="T579" s="92">
        <f>Rates!T42</f>
        <v>1.0521021303433229</v>
      </c>
    </row>
    <row r="580" spans="3:20" hidden="1" outlineLevel="2">
      <c r="D580" s="51" t="s">
        <v>104</v>
      </c>
      <c r="J580" s="92">
        <f>Rates!J43</f>
        <v>1</v>
      </c>
      <c r="K580" s="92">
        <f>Rates!K43</f>
        <v>1</v>
      </c>
      <c r="L580" s="92">
        <f>Rates!L43</f>
        <v>1</v>
      </c>
      <c r="M580" s="92">
        <f>Rates!M43</f>
        <v>1</v>
      </c>
      <c r="N580" s="92">
        <f>Rates!N43</f>
        <v>1</v>
      </c>
      <c r="O580" s="92">
        <f>Rates!O43</f>
        <v>1</v>
      </c>
      <c r="P580" s="92">
        <f>Rates!P43</f>
        <v>1</v>
      </c>
      <c r="Q580" s="92">
        <f>Rates!Q43</f>
        <v>1</v>
      </c>
      <c r="R580" s="92">
        <f>Rates!R43</f>
        <v>1</v>
      </c>
      <c r="S580" s="92">
        <f>Rates!S43</f>
        <v>1</v>
      </c>
      <c r="T580" s="92">
        <f>Rates!T43</f>
        <v>1</v>
      </c>
    </row>
    <row r="581" spans="3:20" hidden="1" outlineLevel="2">
      <c r="D581" s="51" t="s">
        <v>130</v>
      </c>
      <c r="J581" s="92">
        <f>Rates!J45</f>
        <v>1</v>
      </c>
      <c r="K581" s="92">
        <f>Rates!K45</f>
        <v>1</v>
      </c>
      <c r="L581" s="92">
        <f>Rates!L45</f>
        <v>1</v>
      </c>
      <c r="M581" s="92">
        <f>Rates!M45</f>
        <v>1</v>
      </c>
      <c r="N581" s="92">
        <f>Rates!N45</f>
        <v>1</v>
      </c>
      <c r="O581" s="92">
        <f>Rates!O45</f>
        <v>1</v>
      </c>
      <c r="P581" s="92">
        <f>Rates!P45</f>
        <v>1</v>
      </c>
      <c r="Q581" s="92">
        <f>Rates!Q45</f>
        <v>1</v>
      </c>
      <c r="R581" s="92">
        <f>Rates!R45</f>
        <v>1</v>
      </c>
      <c r="S581" s="92">
        <f>Rates!S45</f>
        <v>1</v>
      </c>
      <c r="T581" s="92">
        <f>Rates!T45</f>
        <v>1</v>
      </c>
    </row>
    <row r="582" spans="3:20" ht="5.9" hidden="1" customHeight="1" outlineLevel="2"/>
    <row r="583" spans="3:20" hidden="1" outlineLevel="2">
      <c r="C583" s="37" t="s">
        <v>105</v>
      </c>
    </row>
    <row r="584" spans="3:20" ht="5.9" hidden="1" customHeight="1" outlineLevel="2"/>
    <row r="585" spans="3:20" hidden="1" outlineLevel="2">
      <c r="D585" s="51" t="s">
        <v>106</v>
      </c>
      <c r="J585" s="100">
        <f>Rates!J50</f>
        <v>6.9591273870889495E-2</v>
      </c>
      <c r="K585" s="100">
        <f>Rates!K50</f>
        <v>7.3934468928182201E-2</v>
      </c>
      <c r="L585" s="100">
        <f>Rates!L50</f>
        <v>7.5085976469407303E-2</v>
      </c>
      <c r="M585" s="100">
        <f>Rates!M50</f>
        <v>8.0103391005934096E-2</v>
      </c>
      <c r="N585" s="100">
        <f>Rates!N50</f>
        <v>3.7711007382937055E-2</v>
      </c>
      <c r="O585" s="100">
        <f>Rates!O50</f>
        <v>3.3283969054706777E-2</v>
      </c>
      <c r="P585" s="100">
        <f>Rates!P50</f>
        <v>2.6752660513445464E-2</v>
      </c>
      <c r="Q585" s="100">
        <f>Rates!Q50</f>
        <v>2.6060587348993774E-2</v>
      </c>
      <c r="R585" s="100">
        <f>Rates!R50</f>
        <v>2.6873005987587139E-2</v>
      </c>
      <c r="S585" s="100">
        <f>Rates!S50</f>
        <v>2.8546178928104012E-2</v>
      </c>
      <c r="T585" s="100">
        <f>Rates!T50</f>
        <v>2.9920378203686534E-2</v>
      </c>
    </row>
    <row r="586" spans="3:20" hidden="1" outlineLevel="2">
      <c r="D586" s="51" t="s">
        <v>107</v>
      </c>
      <c r="J586" s="100">
        <f>Rates!J51</f>
        <v>5.5842732834613398E-2</v>
      </c>
      <c r="K586" s="100">
        <f>Rates!K51</f>
        <v>5.16564294790849E-2</v>
      </c>
      <c r="L586" s="100">
        <f>Rates!L51</f>
        <v>6.0535031919173997E-2</v>
      </c>
      <c r="M586" s="100">
        <f>Rates!M51</f>
        <v>7.1630695797579302E-2</v>
      </c>
      <c r="N586" s="100">
        <f>Rates!N51</f>
        <v>7.4343858126268231E-2</v>
      </c>
      <c r="O586" s="100">
        <f>Rates!O51</f>
        <v>7.4059082290758096E-2</v>
      </c>
      <c r="P586" s="100">
        <f>Rates!P51</f>
        <v>2.4388539961794877E-2</v>
      </c>
      <c r="Q586" s="100">
        <f>Rates!Q51</f>
        <v>2.1171310758207256E-2</v>
      </c>
      <c r="R586" s="100">
        <f>Rates!R51</f>
        <v>2.0024144075344485E-2</v>
      </c>
      <c r="S586" s="100">
        <f>Rates!S51</f>
        <v>3.9620009613577346E-2</v>
      </c>
      <c r="T586" s="100">
        <f>Rates!T51</f>
        <v>5.404914337922874E-2</v>
      </c>
    </row>
    <row r="587" spans="3:20" hidden="1" outlineLevel="2">
      <c r="D587" s="51" t="s">
        <v>108</v>
      </c>
      <c r="J587" s="100">
        <f>Rates!J52</f>
        <v>0</v>
      </c>
      <c r="K587" s="100">
        <f>Rates!K52</f>
        <v>0</v>
      </c>
      <c r="L587" s="100">
        <f>Rates!L52</f>
        <v>0</v>
      </c>
      <c r="M587" s="100">
        <f>Rates!M52</f>
        <v>0</v>
      </c>
      <c r="N587" s="100">
        <f>Rates!N52</f>
        <v>0</v>
      </c>
      <c r="O587" s="100">
        <f>Rates!O52</f>
        <v>0</v>
      </c>
      <c r="P587" s="100">
        <f>Rates!P52</f>
        <v>0</v>
      </c>
      <c r="Q587" s="100">
        <f>Rates!Q52</f>
        <v>0</v>
      </c>
      <c r="R587" s="100">
        <f>Rates!R52</f>
        <v>0</v>
      </c>
      <c r="S587" s="100">
        <f>Rates!S52</f>
        <v>0</v>
      </c>
      <c r="T587" s="100">
        <f>Rates!T52</f>
        <v>0</v>
      </c>
    </row>
    <row r="588" spans="3:20" outlineLevel="1" collapsed="1"/>
    <row r="589" spans="3:20" ht="5.9" customHeight="1" outlineLevel="1"/>
    <row r="590" spans="3:20" outlineLevel="1">
      <c r="C590" s="37" t="s">
        <v>118</v>
      </c>
    </row>
    <row r="591" spans="3:20" ht="5.9" customHeight="1" outlineLevel="1"/>
    <row r="592" spans="3:20" outlineLevel="1">
      <c r="D592" s="37" t="s">
        <v>160</v>
      </c>
      <c r="H592" s="107" t="s">
        <v>192</v>
      </c>
    </row>
    <row r="593" spans="3:20" ht="5.9" customHeight="1" outlineLevel="1"/>
    <row r="594" spans="3:20" outlineLevel="1">
      <c r="D594" s="102" t="str">
        <f>Work_Codes!D114</f>
        <v>Minor Replacement - Mains Renewal &lt;20m)</v>
      </c>
      <c r="H594" s="63"/>
      <c r="J594" s="125"/>
      <c r="K594" s="125"/>
      <c r="L594" s="178"/>
      <c r="M594" s="178"/>
      <c r="N594" s="211"/>
      <c r="O594" s="211"/>
      <c r="P594" s="216"/>
      <c r="Q594" s="216"/>
      <c r="R594" s="216"/>
      <c r="S594" s="216"/>
      <c r="T594" s="216"/>
    </row>
    <row r="595" spans="3:20" outlineLevel="1">
      <c r="D595" s="102" t="str">
        <f>Work_Codes!D115</f>
        <v>Minor Replacement - Alter / Lower Mains</v>
      </c>
      <c r="H595" s="63"/>
      <c r="J595" s="125"/>
      <c r="K595" s="125"/>
      <c r="L595" s="178"/>
      <c r="M595" s="178"/>
      <c r="N595" s="211"/>
      <c r="O595" s="211"/>
      <c r="P595" s="216"/>
      <c r="Q595" s="216"/>
      <c r="R595" s="216"/>
      <c r="S595" s="216"/>
      <c r="T595" s="216"/>
    </row>
    <row r="596" spans="3:20" outlineLevel="1">
      <c r="D596" s="102" t="str">
        <f>Work_Codes!D116</f>
        <v>Minor Replacement - Service Renewals</v>
      </c>
      <c r="H596" s="63"/>
      <c r="J596" s="125"/>
      <c r="K596" s="125"/>
      <c r="L596" s="178"/>
      <c r="M596" s="178"/>
      <c r="N596" s="211"/>
      <c r="O596" s="211"/>
      <c r="P596" s="216"/>
      <c r="Q596" s="216"/>
      <c r="R596" s="216"/>
      <c r="S596" s="216"/>
      <c r="T596" s="216"/>
    </row>
    <row r="597" spans="3:20" outlineLevel="1">
      <c r="D597" s="102" t="str">
        <f>Work_Codes!D117</f>
        <v>Minor Replacement - Alter / Lower Services</v>
      </c>
      <c r="H597" s="63"/>
      <c r="J597" s="125"/>
      <c r="K597" s="125"/>
      <c r="L597" s="125"/>
      <c r="M597" s="178"/>
      <c r="N597" s="211"/>
      <c r="O597" s="211"/>
      <c r="P597" s="216"/>
      <c r="Q597" s="216"/>
      <c r="R597" s="216"/>
      <c r="S597" s="216"/>
      <c r="T597" s="216"/>
    </row>
    <row r="598" spans="3:20" outlineLevel="1">
      <c r="D598" s="102" t="str">
        <f>Work_Codes!D118</f>
        <v>Capex Items Category 5</v>
      </c>
      <c r="H598" s="63"/>
      <c r="J598" s="125"/>
      <c r="K598" s="125"/>
      <c r="L598" s="125"/>
      <c r="M598" s="178"/>
      <c r="N598" s="211"/>
      <c r="O598" s="211"/>
      <c r="P598" s="211"/>
      <c r="Q598" s="211"/>
      <c r="R598" s="211"/>
      <c r="S598" s="211"/>
      <c r="T598" s="211"/>
    </row>
    <row r="599" spans="3:20" outlineLevel="1">
      <c r="D599" s="105"/>
      <c r="H599" s="58"/>
      <c r="J599" s="66"/>
      <c r="K599" s="66"/>
      <c r="L599" s="66"/>
      <c r="M599" s="66"/>
      <c r="N599" s="66"/>
      <c r="O599" s="66"/>
      <c r="P599" s="66"/>
      <c r="Q599" s="66"/>
      <c r="R599" s="66"/>
      <c r="S599" s="66"/>
      <c r="T599" s="66"/>
    </row>
    <row r="600" spans="3:20" outlineLevel="1">
      <c r="C600" s="37" t="s">
        <v>119</v>
      </c>
    </row>
    <row r="601" spans="3:20" ht="5.9" customHeight="1" outlineLevel="1"/>
    <row r="602" spans="3:20" outlineLevel="1">
      <c r="D602" s="37" t="str">
        <f>D592</f>
        <v>Capex Category</v>
      </c>
    </row>
    <row r="603" spans="3:20" ht="5.9" customHeight="1" outlineLevel="1"/>
    <row r="604" spans="3:20" outlineLevel="1">
      <c r="D604" s="102" t="str">
        <f>Work_Codes!D114</f>
        <v>Minor Replacement - Mains Renewal &lt;20m)</v>
      </c>
      <c r="J604" s="163"/>
      <c r="K604" s="163"/>
      <c r="L604" s="163"/>
      <c r="M604" s="163"/>
      <c r="N604" s="213"/>
      <c r="O604" s="213"/>
      <c r="P604" s="213"/>
      <c r="Q604" s="213"/>
      <c r="R604" s="213"/>
      <c r="S604" s="213"/>
      <c r="T604" s="213"/>
    </row>
    <row r="605" spans="3:20" outlineLevel="1">
      <c r="D605" s="102" t="str">
        <f>Work_Codes!D115</f>
        <v>Minor Replacement - Alter / Lower Mains</v>
      </c>
      <c r="J605" s="163"/>
      <c r="K605" s="163"/>
      <c r="L605" s="163"/>
      <c r="M605" s="163"/>
      <c r="N605" s="213"/>
      <c r="O605" s="213"/>
      <c r="P605" s="213"/>
      <c r="Q605" s="213"/>
      <c r="R605" s="213"/>
      <c r="S605" s="213"/>
      <c r="T605" s="213"/>
    </row>
    <row r="606" spans="3:20" outlineLevel="1">
      <c r="D606" s="102" t="str">
        <f>Work_Codes!D116</f>
        <v>Minor Replacement - Service Renewals</v>
      </c>
      <c r="J606" s="163"/>
      <c r="K606" s="163"/>
      <c r="L606" s="163"/>
      <c r="M606" s="163"/>
      <c r="N606" s="213"/>
      <c r="O606" s="213"/>
      <c r="P606" s="213"/>
      <c r="Q606" s="213"/>
      <c r="R606" s="213"/>
      <c r="S606" s="213"/>
      <c r="T606" s="213"/>
    </row>
    <row r="607" spans="3:20" outlineLevel="1">
      <c r="D607" s="102" t="str">
        <f>Work_Codes!D117</f>
        <v>Minor Replacement - Alter / Lower Services</v>
      </c>
      <c r="J607" s="163"/>
      <c r="K607" s="163"/>
      <c r="L607" s="163"/>
      <c r="M607" s="163"/>
      <c r="N607" s="213"/>
      <c r="O607" s="213"/>
      <c r="P607" s="213"/>
      <c r="Q607" s="213"/>
      <c r="R607" s="213"/>
      <c r="S607" s="213"/>
      <c r="T607" s="213"/>
    </row>
    <row r="608" spans="3:20" outlineLevel="1">
      <c r="D608" s="102" t="str">
        <f>Work_Codes!D118</f>
        <v>Capex Items Category 5</v>
      </c>
      <c r="J608" s="163"/>
      <c r="K608" s="163"/>
      <c r="L608" s="163"/>
      <c r="M608" s="163"/>
      <c r="N608" s="213"/>
      <c r="O608" s="213"/>
      <c r="P608" s="213"/>
      <c r="Q608" s="213"/>
      <c r="R608" s="213"/>
      <c r="S608" s="213"/>
      <c r="T608" s="213"/>
    </row>
    <row r="609" spans="3:20" outlineLevel="1"/>
    <row r="610" spans="3:20" outlineLevel="1">
      <c r="C610" s="37" t="s">
        <v>193</v>
      </c>
    </row>
    <row r="611" spans="3:20" ht="5.9" customHeight="1" outlineLevel="1"/>
    <row r="612" spans="3:20" outlineLevel="1">
      <c r="D612" s="37" t="str">
        <f>D592</f>
        <v>Capex Category</v>
      </c>
    </row>
    <row r="613" spans="3:20" ht="5.9" customHeight="1" outlineLevel="1"/>
    <row r="614" spans="3:20" outlineLevel="1">
      <c r="D614" s="102" t="str">
        <f>Work_Codes!D114</f>
        <v>Minor Replacement - Mains Renewal &lt;20m)</v>
      </c>
      <c r="J614" s="81">
        <v>0</v>
      </c>
      <c r="K614" s="81">
        <v>0</v>
      </c>
      <c r="L614" s="81">
        <v>0</v>
      </c>
      <c r="M614" s="81">
        <v>0</v>
      </c>
      <c r="N614" s="81">
        <v>0</v>
      </c>
      <c r="O614" s="81">
        <v>0</v>
      </c>
      <c r="P614" s="81">
        <v>16428.611340731019</v>
      </c>
      <c r="Q614" s="81">
        <v>16675.04051084198</v>
      </c>
      <c r="R614" s="81">
        <v>16925.166118504607</v>
      </c>
      <c r="S614" s="81">
        <v>17179.043610282173</v>
      </c>
      <c r="T614" s="81">
        <v>17436.729264436406</v>
      </c>
    </row>
    <row r="615" spans="3:20" outlineLevel="1">
      <c r="D615" s="102" t="str">
        <f>Work_Codes!D115</f>
        <v>Minor Replacement - Alter / Lower Mains</v>
      </c>
      <c r="J615" s="81">
        <v>0</v>
      </c>
      <c r="K615" s="81">
        <v>0</v>
      </c>
      <c r="L615" s="81">
        <v>0</v>
      </c>
      <c r="M615" s="81">
        <v>0</v>
      </c>
      <c r="N615" s="81">
        <v>0</v>
      </c>
      <c r="O615" s="81">
        <v>0</v>
      </c>
      <c r="P615" s="81">
        <v>26504.826296379368</v>
      </c>
      <c r="Q615" s="81">
        <v>26902.398690825059</v>
      </c>
      <c r="R615" s="81">
        <v>27305.934671187431</v>
      </c>
      <c r="S615" s="81">
        <v>27715.523691255243</v>
      </c>
      <c r="T615" s="81">
        <v>28131.25654662407</v>
      </c>
    </row>
    <row r="616" spans="3:20" outlineLevel="1">
      <c r="D616" s="102" t="str">
        <f>Work_Codes!D116</f>
        <v>Minor Replacement - Service Renewals</v>
      </c>
      <c r="J616" s="81">
        <v>0</v>
      </c>
      <c r="K616" s="81">
        <v>0</v>
      </c>
      <c r="L616" s="81">
        <v>0</v>
      </c>
      <c r="M616" s="81">
        <v>0</v>
      </c>
      <c r="N616" s="81">
        <v>0</v>
      </c>
      <c r="O616" s="81">
        <v>0</v>
      </c>
      <c r="P616" s="81">
        <v>33612.938803135658</v>
      </c>
      <c r="Q616" s="81">
        <v>34117.132885182691</v>
      </c>
      <c r="R616" s="81">
        <v>34628.889878460432</v>
      </c>
      <c r="S616" s="81">
        <v>35148.323226637331</v>
      </c>
      <c r="T616" s="81">
        <v>35675.548075036888</v>
      </c>
    </row>
    <row r="617" spans="3:20" outlineLevel="1">
      <c r="D617" s="102" t="str">
        <f>Work_Codes!D117</f>
        <v>Minor Replacement - Alter / Lower Services</v>
      </c>
      <c r="J617" s="81">
        <v>0</v>
      </c>
      <c r="K617" s="81">
        <v>0</v>
      </c>
      <c r="L617" s="81">
        <v>0</v>
      </c>
      <c r="M617" s="81">
        <v>0</v>
      </c>
      <c r="N617" s="81">
        <v>0</v>
      </c>
      <c r="O617" s="81">
        <v>0</v>
      </c>
      <c r="P617" s="81">
        <v>76803.758017917484</v>
      </c>
      <c r="Q617" s="81">
        <v>77955.814388186249</v>
      </c>
      <c r="R617" s="81">
        <v>79125.151604009036</v>
      </c>
      <c r="S617" s="81">
        <v>80312.028878069148</v>
      </c>
      <c r="T617" s="81">
        <v>81516.709311240193</v>
      </c>
    </row>
    <row r="618" spans="3:20" outlineLevel="1">
      <c r="D618" s="102" t="str">
        <f>Work_Codes!D118</f>
        <v>Capex Items Category 5</v>
      </c>
      <c r="J618" s="81">
        <v>0</v>
      </c>
      <c r="K618" s="81">
        <v>0</v>
      </c>
      <c r="L618" s="81">
        <v>0</v>
      </c>
      <c r="M618" s="81">
        <v>0</v>
      </c>
      <c r="N618" s="81">
        <v>2214168.0266666687</v>
      </c>
      <c r="O618" s="81">
        <v>1011795</v>
      </c>
      <c r="P618" s="81">
        <v>1870239.8655418365</v>
      </c>
      <c r="Q618" s="81">
        <v>1665579.6135249641</v>
      </c>
      <c r="R618" s="81">
        <v>1481124.8577278384</v>
      </c>
      <c r="S618" s="81">
        <v>1314845.0805937562</v>
      </c>
      <c r="T618" s="81">
        <v>1164919.7568026625</v>
      </c>
    </row>
    <row r="619" spans="3:20" ht="5.9" customHeight="1" outlineLevel="1">
      <c r="D619" s="37"/>
      <c r="J619" s="78"/>
      <c r="K619" s="78"/>
      <c r="L619" s="78"/>
      <c r="M619" s="78"/>
      <c r="N619" s="78"/>
      <c r="O619" s="78"/>
      <c r="P619" s="78"/>
      <c r="Q619" s="78"/>
      <c r="R619" s="78"/>
      <c r="S619" s="78"/>
      <c r="T619" s="78"/>
    </row>
    <row r="620" spans="3:20" outlineLevel="1">
      <c r="D620" s="249" t="str">
        <f>"Total "&amp;B575</f>
        <v>Total High Pressure Replacement - Ad Hoc</v>
      </c>
      <c r="E620" s="249"/>
      <c r="F620" s="249"/>
      <c r="G620" s="249"/>
      <c r="H620" s="249"/>
      <c r="I620" s="249"/>
      <c r="J620" s="82">
        <f t="shared" ref="J620:T620" si="62">SUM(J614:J619)</f>
        <v>0</v>
      </c>
      <c r="K620" s="82">
        <f t="shared" si="62"/>
        <v>0</v>
      </c>
      <c r="L620" s="82">
        <f t="shared" si="62"/>
        <v>0</v>
      </c>
      <c r="M620" s="82">
        <f t="shared" si="62"/>
        <v>0</v>
      </c>
      <c r="N620" s="82">
        <f t="shared" si="62"/>
        <v>2214168.0266666687</v>
      </c>
      <c r="O620" s="82">
        <f t="shared" si="62"/>
        <v>1011795</v>
      </c>
      <c r="P620" s="82">
        <f t="shared" si="62"/>
        <v>2023590</v>
      </c>
      <c r="Q620" s="82">
        <f t="shared" si="62"/>
        <v>1821230</v>
      </c>
      <c r="R620" s="82">
        <f t="shared" si="62"/>
        <v>1639110</v>
      </c>
      <c r="S620" s="82">
        <f t="shared" si="62"/>
        <v>1475200</v>
      </c>
      <c r="T620" s="82">
        <f t="shared" si="62"/>
        <v>1327680</v>
      </c>
    </row>
    <row r="621" spans="3:20" outlineLevel="1"/>
    <row r="622" spans="3:20" outlineLevel="1">
      <c r="C622" s="37" t="s">
        <v>286</v>
      </c>
    </row>
    <row r="623" spans="3:20" ht="5.9" customHeight="1" outlineLevel="1"/>
    <row r="624" spans="3:20" outlineLevel="1">
      <c r="D624" s="143" t="str">
        <f>Work_Codes!D122</f>
        <v>Customer Contributions Category 1</v>
      </c>
      <c r="J624" s="148">
        <v>0</v>
      </c>
      <c r="K624" s="148">
        <v>0</v>
      </c>
      <c r="L624" s="148">
        <v>0</v>
      </c>
      <c r="M624" s="148">
        <v>0</v>
      </c>
      <c r="N624" s="148">
        <v>0</v>
      </c>
      <c r="O624" s="148">
        <v>0</v>
      </c>
      <c r="P624" s="148">
        <v>0</v>
      </c>
      <c r="Q624" s="148">
        <v>0</v>
      </c>
      <c r="R624" s="148">
        <v>0</v>
      </c>
      <c r="S624" s="148">
        <v>0</v>
      </c>
      <c r="T624" s="148">
        <v>0</v>
      </c>
    </row>
    <row r="625" spans="3:20" ht="5.9" customHeight="1" outlineLevel="1"/>
    <row r="626" spans="3:20" outlineLevel="1">
      <c r="D626" s="249" t="str">
        <f>"Total "&amp;C622</f>
        <v>Total Customer Connections</v>
      </c>
      <c r="E626" s="249"/>
      <c r="F626" s="249"/>
      <c r="G626" s="249"/>
      <c r="H626" s="249"/>
      <c r="I626" s="249"/>
      <c r="J626" s="82">
        <f t="shared" ref="J626:T626" si="63">SUM(J624:J625)</f>
        <v>0</v>
      </c>
      <c r="K626" s="82">
        <f t="shared" si="63"/>
        <v>0</v>
      </c>
      <c r="L626" s="82">
        <f t="shared" si="63"/>
        <v>0</v>
      </c>
      <c r="M626" s="82">
        <f t="shared" si="63"/>
        <v>0</v>
      </c>
      <c r="N626" s="82">
        <f t="shared" si="63"/>
        <v>0</v>
      </c>
      <c r="O626" s="82">
        <f t="shared" si="63"/>
        <v>0</v>
      </c>
      <c r="P626" s="82">
        <f t="shared" si="63"/>
        <v>0</v>
      </c>
      <c r="Q626" s="82">
        <f t="shared" si="63"/>
        <v>0</v>
      </c>
      <c r="R626" s="82">
        <f t="shared" si="63"/>
        <v>0</v>
      </c>
      <c r="S626" s="82">
        <f t="shared" si="63"/>
        <v>0</v>
      </c>
      <c r="T626" s="82">
        <f t="shared" si="63"/>
        <v>0</v>
      </c>
    </row>
    <row r="627" spans="3:20" outlineLevel="1">
      <c r="C627" s="12"/>
      <c r="D627" s="12"/>
      <c r="E627" s="12"/>
      <c r="F627" s="12"/>
      <c r="G627" s="12"/>
      <c r="H627" s="12"/>
      <c r="I627" s="12"/>
      <c r="J627" s="12"/>
      <c r="K627" s="12"/>
      <c r="L627" s="12"/>
      <c r="M627" s="12"/>
      <c r="N627" s="12"/>
      <c r="O627" s="12"/>
      <c r="P627" s="12"/>
      <c r="Q627" s="12"/>
      <c r="R627" s="12"/>
      <c r="S627" s="12"/>
      <c r="T627" s="12"/>
    </row>
    <row r="628" spans="3:20" outlineLevel="1"/>
    <row r="629" spans="3:20" outlineLevel="1">
      <c r="C629" s="37" t="s">
        <v>213</v>
      </c>
    </row>
    <row r="630" spans="3:20" ht="5.9" hidden="1" customHeight="1" outlineLevel="2"/>
    <row r="631" spans="3:20" hidden="1" outlineLevel="2">
      <c r="C631" s="37" t="s">
        <v>128</v>
      </c>
    </row>
    <row r="632" spans="3:20" ht="5.9" hidden="1" customHeight="1" outlineLevel="2"/>
    <row r="633" spans="3:20" hidden="1" outlineLevel="2">
      <c r="D633" s="102" t="str">
        <f>Work_Codes!D114</f>
        <v>Minor Replacement - Mains Renewal &lt;20m)</v>
      </c>
      <c r="J633" s="81">
        <f>Work_Codes!$I114*J614*J$579</f>
        <v>0</v>
      </c>
      <c r="K633" s="81">
        <f>Work_Codes!$I114*K614*K$579</f>
        <v>0</v>
      </c>
      <c r="L633" s="81">
        <f>Work_Codes!$I114*L614*L$579</f>
        <v>0</v>
      </c>
      <c r="M633" s="81">
        <f>Work_Codes!$I114*M614*M$579</f>
        <v>0</v>
      </c>
      <c r="N633" s="81">
        <f>Work_Codes!$I114*N614*N$579</f>
        <v>0</v>
      </c>
      <c r="O633" s="81">
        <f>Work_Codes!$I114*O614*O$579</f>
        <v>0</v>
      </c>
      <c r="P633" s="81">
        <f>Work_Codes!$I114*P614*P$579</f>
        <v>663.86715582538159</v>
      </c>
      <c r="Q633" s="81">
        <f>Work_Codes!$I114*Q614*Q$579</f>
        <v>679.07921043397289</v>
      </c>
      <c r="R633" s="81">
        <f>Work_Codes!$I114*R614*R$579</f>
        <v>696.85314101113636</v>
      </c>
      <c r="S633" s="81">
        <f>Work_Codes!$I114*S614*S$579</f>
        <v>715.09227889152464</v>
      </c>
      <c r="T633" s="81">
        <f>Work_Codes!$I114*T614*T$579</f>
        <v>733.80880021333212</v>
      </c>
    </row>
    <row r="634" spans="3:20" hidden="1" outlineLevel="2">
      <c r="D634" s="102" t="str">
        <f>Work_Codes!D115</f>
        <v>Minor Replacement - Alter / Lower Mains</v>
      </c>
      <c r="J634" s="81">
        <f>Work_Codes!$I115*J615*J$579</f>
        <v>0</v>
      </c>
      <c r="K634" s="81">
        <f>Work_Codes!$I115*K615*K$579</f>
        <v>0</v>
      </c>
      <c r="L634" s="81">
        <f>Work_Codes!$I115*L615*L$579</f>
        <v>0</v>
      </c>
      <c r="M634" s="81">
        <f>Work_Codes!$I115*M615*M$579</f>
        <v>0</v>
      </c>
      <c r="N634" s="81">
        <f>Work_Codes!$I115*N615*N$579</f>
        <v>0</v>
      </c>
      <c r="O634" s="81">
        <f>Work_Codes!$I115*O615*O$579</f>
        <v>0</v>
      </c>
      <c r="P634" s="81">
        <f>Work_Codes!$I115*P615*P$579</f>
        <v>1071.0390113982819</v>
      </c>
      <c r="Q634" s="81">
        <f>Work_Codes!$I115*Q615*Q$579</f>
        <v>1095.5811261668096</v>
      </c>
      <c r="R634" s="81">
        <f>Work_Codes!$I115*R615*R$579</f>
        <v>1124.2564008313</v>
      </c>
      <c r="S634" s="81">
        <f>Work_Codes!$I115*S615*S$579</f>
        <v>1153.6822099449932</v>
      </c>
      <c r="T634" s="81">
        <f>Work_Codes!$I115*T615*T$579</f>
        <v>1183.8781976775092</v>
      </c>
    </row>
    <row r="635" spans="3:20" hidden="1" outlineLevel="2">
      <c r="D635" s="102" t="str">
        <f>Work_Codes!D116</f>
        <v>Minor Replacement - Service Renewals</v>
      </c>
      <c r="J635" s="81">
        <f>Work_Codes!$I116*J616*J$579</f>
        <v>0</v>
      </c>
      <c r="K635" s="81">
        <f>Work_Codes!$I116*K616*K$579</f>
        <v>0</v>
      </c>
      <c r="L635" s="81">
        <f>Work_Codes!$I116*L616*L$579</f>
        <v>0</v>
      </c>
      <c r="M635" s="81">
        <f>Work_Codes!$I116*M616*M$579</f>
        <v>0</v>
      </c>
      <c r="N635" s="81">
        <f>Work_Codes!$I116*N616*N$579</f>
        <v>0</v>
      </c>
      <c r="O635" s="81">
        <f>Work_Codes!$I116*O616*O$579</f>
        <v>0</v>
      </c>
      <c r="P635" s="81">
        <f>Work_Codes!$I116*P616*P$579</f>
        <v>1358.2722008187307</v>
      </c>
      <c r="Q635" s="81">
        <f>Work_Codes!$I116*Q616*Q$579</f>
        <v>1389.3960645479083</v>
      </c>
      <c r="R635" s="81">
        <f>Work_Codes!$I116*R616*R$579</f>
        <v>1425.7615265087854</v>
      </c>
      <c r="S635" s="81">
        <f>Work_Codes!$I116*S616*S$579</f>
        <v>1463.0788026120595</v>
      </c>
      <c r="T635" s="81">
        <f>Work_Codes!$I116*T616*T$579</f>
        <v>1501.3728052364777</v>
      </c>
    </row>
    <row r="636" spans="3:20" hidden="1" outlineLevel="2">
      <c r="D636" s="102" t="str">
        <f>Work_Codes!D117</f>
        <v>Minor Replacement - Alter / Lower Services</v>
      </c>
      <c r="J636" s="81">
        <f>Work_Codes!$I117*J617*J$579</f>
        <v>0</v>
      </c>
      <c r="K636" s="81">
        <f>Work_Codes!$I117*K617*K$579</f>
        <v>0</v>
      </c>
      <c r="L636" s="81">
        <f>Work_Codes!$I117*L617*L$579</f>
        <v>0</v>
      </c>
      <c r="M636" s="81">
        <f>Work_Codes!$I117*M617*M$579</f>
        <v>0</v>
      </c>
      <c r="N636" s="81">
        <f>Work_Codes!$I117*N617*N$579</f>
        <v>0</v>
      </c>
      <c r="O636" s="81">
        <f>Work_Codes!$I117*O617*O$579</f>
        <v>0</v>
      </c>
      <c r="P636" s="81">
        <f>Work_Codes!$I117*P617*P$579</f>
        <v>3103.5789534836581</v>
      </c>
      <c r="Q636" s="81">
        <f>Work_Codes!$I117*Q617*Q$579</f>
        <v>3174.6953087788229</v>
      </c>
      <c r="R636" s="81">
        <f>Work_Codes!$I117*R617*R$579</f>
        <v>3257.7884342270627</v>
      </c>
      <c r="S636" s="81">
        <f>Work_Codes!$I117*S617*S$579</f>
        <v>3343.0564038178768</v>
      </c>
      <c r="T636" s="81">
        <f>Work_Codes!$I117*T617*T$579</f>
        <v>3430.5561409973279</v>
      </c>
    </row>
    <row r="637" spans="3:20" hidden="1" outlineLevel="2">
      <c r="D637" s="102" t="str">
        <f>Work_Codes!D118</f>
        <v>Capex Items Category 5</v>
      </c>
      <c r="J637" s="81">
        <f>Work_Codes!$I118*J618*J$579</f>
        <v>0</v>
      </c>
      <c r="K637" s="81">
        <f>Work_Codes!$I118*K618*K$579</f>
        <v>0</v>
      </c>
      <c r="L637" s="81">
        <f>Work_Codes!$I118*L618*L$579</f>
        <v>0</v>
      </c>
      <c r="M637" s="81">
        <f>Work_Codes!$I118*M618*M$579</f>
        <v>0</v>
      </c>
      <c r="N637" s="81">
        <f>Work_Codes!$I118*N618*N$579</f>
        <v>0</v>
      </c>
      <c r="O637" s="81">
        <f>Work_Codes!$I118*O618*O$579</f>
        <v>0</v>
      </c>
      <c r="P637" s="81">
        <f>Work_Codes!$I118*P618*P$579</f>
        <v>0</v>
      </c>
      <c r="Q637" s="81">
        <f>Work_Codes!$I118*Q618*Q$579</f>
        <v>0</v>
      </c>
      <c r="R637" s="81">
        <f>Work_Codes!$I118*R618*R$579</f>
        <v>0</v>
      </c>
      <c r="S637" s="81">
        <f>Work_Codes!$I118*S618*S$579</f>
        <v>0</v>
      </c>
      <c r="T637" s="81">
        <f>Work_Codes!$I118*T618*T$579</f>
        <v>0</v>
      </c>
    </row>
    <row r="638" spans="3:20" ht="5.9" hidden="1" customHeight="1" outlineLevel="2"/>
    <row r="639" spans="3:20" hidden="1" outlineLevel="2">
      <c r="D639" s="249" t="str">
        <f>"Total "&amp;C631</f>
        <v>Total Internal Labour</v>
      </c>
      <c r="E639" s="249"/>
      <c r="F639" s="249"/>
      <c r="G639" s="249"/>
      <c r="H639" s="249"/>
      <c r="I639" s="249"/>
      <c r="J639" s="82">
        <f t="shared" ref="J639:T639" si="64">SUM(J633:J638)</f>
        <v>0</v>
      </c>
      <c r="K639" s="82">
        <f t="shared" si="64"/>
        <v>0</v>
      </c>
      <c r="L639" s="82">
        <f t="shared" si="64"/>
        <v>0</v>
      </c>
      <c r="M639" s="82">
        <f t="shared" si="64"/>
        <v>0</v>
      </c>
      <c r="N639" s="82">
        <f t="shared" si="64"/>
        <v>0</v>
      </c>
      <c r="O639" s="82">
        <f t="shared" si="64"/>
        <v>0</v>
      </c>
      <c r="P639" s="82">
        <f t="shared" si="64"/>
        <v>6196.7573215260527</v>
      </c>
      <c r="Q639" s="82">
        <f t="shared" si="64"/>
        <v>6338.7517099275137</v>
      </c>
      <c r="R639" s="82">
        <f t="shared" si="64"/>
        <v>6504.6595025782844</v>
      </c>
      <c r="S639" s="82">
        <f t="shared" si="64"/>
        <v>6674.909695266454</v>
      </c>
      <c r="T639" s="82">
        <f t="shared" si="64"/>
        <v>6849.6159441246473</v>
      </c>
    </row>
    <row r="640" spans="3:20" hidden="1" outlineLevel="2"/>
    <row r="641" spans="3:20" hidden="1" outlineLevel="2">
      <c r="C641" s="37" t="s">
        <v>129</v>
      </c>
    </row>
    <row r="642" spans="3:20" ht="5.9" hidden="1" customHeight="1" outlineLevel="2"/>
    <row r="643" spans="3:20" hidden="1" outlineLevel="2">
      <c r="D643" s="102" t="str">
        <f>Work_Codes!D114</f>
        <v>Minor Replacement - Mains Renewal &lt;20m)</v>
      </c>
      <c r="J643" s="81">
        <f>Work_Codes!$J114*J614*J$580</f>
        <v>0</v>
      </c>
      <c r="K643" s="81">
        <f>Work_Codes!$J114*K614*K$580</f>
        <v>0</v>
      </c>
      <c r="L643" s="81">
        <f>Work_Codes!$J114*L614*L$580</f>
        <v>0</v>
      </c>
      <c r="M643" s="81">
        <f>Work_Codes!$J114*M614*M$580</f>
        <v>0</v>
      </c>
      <c r="N643" s="81">
        <f>Work_Codes!$J114*N614*N$580</f>
        <v>0</v>
      </c>
      <c r="O643" s="81">
        <f>Work_Codes!$J114*O614*O$580</f>
        <v>0</v>
      </c>
      <c r="P643" s="81">
        <f>Work_Codes!$J114*P614*P$580</f>
        <v>12485.744618955574</v>
      </c>
      <c r="Q643" s="81">
        <f>Work_Codes!$J114*Q614*Q$580</f>
        <v>12673.030788239905</v>
      </c>
      <c r="R643" s="81">
        <f>Work_Codes!$J114*R614*R$580</f>
        <v>12863.126250063502</v>
      </c>
      <c r="S643" s="81">
        <f>Work_Codes!$J114*S614*S$580</f>
        <v>13056.073143814452</v>
      </c>
      <c r="T643" s="81">
        <f>Work_Codes!$J114*T614*T$580</f>
        <v>13251.91424097167</v>
      </c>
    </row>
    <row r="644" spans="3:20" hidden="1" outlineLevel="2">
      <c r="D644" s="102" t="str">
        <f>Work_Codes!D115</f>
        <v>Minor Replacement - Alter / Lower Mains</v>
      </c>
      <c r="J644" s="81">
        <f>Work_Codes!$J115*J615*J$580</f>
        <v>0</v>
      </c>
      <c r="K644" s="81">
        <f>Work_Codes!$J115*K615*K$580</f>
        <v>0</v>
      </c>
      <c r="L644" s="81">
        <f>Work_Codes!$J115*L615*L$580</f>
        <v>0</v>
      </c>
      <c r="M644" s="81">
        <f>Work_Codes!$J115*M615*M$580</f>
        <v>0</v>
      </c>
      <c r="N644" s="81">
        <f>Work_Codes!$J115*N615*N$580</f>
        <v>0</v>
      </c>
      <c r="O644" s="81">
        <f>Work_Codes!$J115*O615*O$580</f>
        <v>0</v>
      </c>
      <c r="P644" s="81">
        <f>Work_Codes!$J115*P615*P$580</f>
        <v>20143.667985248321</v>
      </c>
      <c r="Q644" s="81">
        <f>Work_Codes!$J115*Q615*Q$580</f>
        <v>20445.823005027047</v>
      </c>
      <c r="R644" s="81">
        <f>Work_Codes!$J115*R615*R$580</f>
        <v>20752.51035010245</v>
      </c>
      <c r="S644" s="81">
        <f>Work_Codes!$J115*S615*S$580</f>
        <v>21063.798005353983</v>
      </c>
      <c r="T644" s="81">
        <f>Work_Codes!$J115*T615*T$580</f>
        <v>21379.754975434294</v>
      </c>
    </row>
    <row r="645" spans="3:20" hidden="1" outlineLevel="2">
      <c r="D645" s="102" t="str">
        <f>Work_Codes!D116</f>
        <v>Minor Replacement - Service Renewals</v>
      </c>
      <c r="J645" s="81">
        <f>Work_Codes!$J116*J616*J$580</f>
        <v>0</v>
      </c>
      <c r="K645" s="81">
        <f>Work_Codes!$J116*K616*K$580</f>
        <v>0</v>
      </c>
      <c r="L645" s="81">
        <f>Work_Codes!$J116*L616*L$580</f>
        <v>0</v>
      </c>
      <c r="M645" s="81">
        <f>Work_Codes!$J116*M616*M$580</f>
        <v>0</v>
      </c>
      <c r="N645" s="81">
        <f>Work_Codes!$J116*N616*N$580</f>
        <v>0</v>
      </c>
      <c r="O645" s="81">
        <f>Work_Codes!$J116*O616*O$580</f>
        <v>0</v>
      </c>
      <c r="P645" s="81">
        <f>Work_Codes!$J116*P616*P$580</f>
        <v>25545.833490383098</v>
      </c>
      <c r="Q645" s="81">
        <f>Work_Codes!$J116*Q616*Q$580</f>
        <v>25929.020992738846</v>
      </c>
      <c r="R645" s="81">
        <f>Work_Codes!$J116*R616*R$580</f>
        <v>26317.956307629927</v>
      </c>
      <c r="S645" s="81">
        <f>Work_Codes!$J116*S616*S$580</f>
        <v>26712.725652244371</v>
      </c>
      <c r="T645" s="81">
        <f>Work_Codes!$J116*T616*T$580</f>
        <v>27113.416537028035</v>
      </c>
    </row>
    <row r="646" spans="3:20" hidden="1" outlineLevel="2">
      <c r="D646" s="102" t="str">
        <f>Work_Codes!D117</f>
        <v>Minor Replacement - Alter / Lower Services</v>
      </c>
      <c r="J646" s="81">
        <f>Work_Codes!$J117*J617*J$580</f>
        <v>0</v>
      </c>
      <c r="K646" s="81">
        <f>Work_Codes!$J117*K617*K$580</f>
        <v>0</v>
      </c>
      <c r="L646" s="81">
        <f>Work_Codes!$J117*L617*L$580</f>
        <v>0</v>
      </c>
      <c r="M646" s="81">
        <f>Work_Codes!$J117*M617*M$580</f>
        <v>0</v>
      </c>
      <c r="N646" s="81">
        <f>Work_Codes!$J117*N617*N$580</f>
        <v>0</v>
      </c>
      <c r="O646" s="81">
        <f>Work_Codes!$J117*O617*O$580</f>
        <v>0</v>
      </c>
      <c r="P646" s="81">
        <f>Work_Codes!$J117*P617*P$580</f>
        <v>58370.856093617287</v>
      </c>
      <c r="Q646" s="81">
        <f>Work_Codes!$J117*Q617*Q$580</f>
        <v>59246.418935021553</v>
      </c>
      <c r="R646" s="81">
        <f>Work_Codes!$J117*R617*R$580</f>
        <v>60135.115219046871</v>
      </c>
      <c r="S646" s="81">
        <f>Work_Codes!$J117*S617*S$580</f>
        <v>61037.141947332551</v>
      </c>
      <c r="T646" s="81">
        <f>Work_Codes!$J117*T617*T$580</f>
        <v>61952.699076542543</v>
      </c>
    </row>
    <row r="647" spans="3:20" hidden="1" outlineLevel="2">
      <c r="D647" s="102" t="str">
        <f>Work_Codes!D118</f>
        <v>Capex Items Category 5</v>
      </c>
      <c r="J647" s="81">
        <f>Work_Codes!$J118*J618*J$580</f>
        <v>0</v>
      </c>
      <c r="K647" s="81">
        <f>Work_Codes!$J118*K618*K$580</f>
        <v>0</v>
      </c>
      <c r="L647" s="81">
        <f>Work_Codes!$J118*L618*L$580</f>
        <v>0</v>
      </c>
      <c r="M647" s="81">
        <f>Work_Codes!$J118*M618*M$580</f>
        <v>0</v>
      </c>
      <c r="N647" s="81">
        <f>Work_Codes!$J118*N618*N$580</f>
        <v>0</v>
      </c>
      <c r="O647" s="81">
        <f>Work_Codes!$J118*O618*O$580</f>
        <v>0</v>
      </c>
      <c r="P647" s="81">
        <f>Work_Codes!$J118*P618*P$580</f>
        <v>0</v>
      </c>
      <c r="Q647" s="81">
        <f>Work_Codes!$J118*Q618*Q$580</f>
        <v>0</v>
      </c>
      <c r="R647" s="81">
        <f>Work_Codes!$J118*R618*R$580</f>
        <v>0</v>
      </c>
      <c r="S647" s="81">
        <f>Work_Codes!$J118*S618*S$580</f>
        <v>0</v>
      </c>
      <c r="T647" s="81">
        <f>Work_Codes!$J118*T618*T$580</f>
        <v>0</v>
      </c>
    </row>
    <row r="648" spans="3:20" ht="5.9" hidden="1" customHeight="1" outlineLevel="2"/>
    <row r="649" spans="3:20" hidden="1" outlineLevel="2">
      <c r="D649" s="249" t="str">
        <f>"Total "&amp;C641</f>
        <v>Total External Labour</v>
      </c>
      <c r="E649" s="249"/>
      <c r="F649" s="249"/>
      <c r="G649" s="249"/>
      <c r="H649" s="249"/>
      <c r="I649" s="249"/>
      <c r="J649" s="82">
        <f t="shared" ref="J649:T649" si="65">SUM(J643:J648)</f>
        <v>0</v>
      </c>
      <c r="K649" s="82">
        <f t="shared" si="65"/>
        <v>0</v>
      </c>
      <c r="L649" s="82">
        <f t="shared" si="65"/>
        <v>0</v>
      </c>
      <c r="M649" s="82">
        <f t="shared" si="65"/>
        <v>0</v>
      </c>
      <c r="N649" s="82">
        <f t="shared" si="65"/>
        <v>0</v>
      </c>
      <c r="O649" s="82">
        <f t="shared" si="65"/>
        <v>0</v>
      </c>
      <c r="P649" s="82">
        <f t="shared" si="65"/>
        <v>116546.10218820428</v>
      </c>
      <c r="Q649" s="82">
        <f t="shared" si="65"/>
        <v>118294.29372102735</v>
      </c>
      <c r="R649" s="82">
        <f t="shared" si="65"/>
        <v>120068.70812684274</v>
      </c>
      <c r="S649" s="82">
        <f t="shared" si="65"/>
        <v>121869.73874874535</v>
      </c>
      <c r="T649" s="82">
        <f t="shared" si="65"/>
        <v>123697.78482997655</v>
      </c>
    </row>
    <row r="650" spans="3:20" hidden="1" outlineLevel="2"/>
    <row r="651" spans="3:20" hidden="1" outlineLevel="2">
      <c r="C651" s="37" t="s">
        <v>130</v>
      </c>
    </row>
    <row r="652" spans="3:20" ht="5.9" hidden="1" customHeight="1" outlineLevel="2"/>
    <row r="653" spans="3:20" hidden="1" outlineLevel="2">
      <c r="D653" s="102" t="str">
        <f>Work_Codes!D114</f>
        <v>Minor Replacement - Mains Renewal &lt;20m)</v>
      </c>
      <c r="J653" s="81">
        <f>Work_Codes!$K114*J614*J$581</f>
        <v>0</v>
      </c>
      <c r="K653" s="81">
        <f>Work_Codes!$K114*K614*K$581</f>
        <v>0</v>
      </c>
      <c r="L653" s="81">
        <f>Work_Codes!$K114*L614*L$581</f>
        <v>0</v>
      </c>
      <c r="M653" s="81">
        <f>Work_Codes!$K114*M614*M$581</f>
        <v>0</v>
      </c>
      <c r="N653" s="81">
        <f>Work_Codes!$K114*N614*N$581</f>
        <v>0</v>
      </c>
      <c r="O653" s="81">
        <f>Work_Codes!$K114*O614*O$581</f>
        <v>0</v>
      </c>
      <c r="P653" s="81">
        <f>Work_Codes!$K114*P614*P$581</f>
        <v>3285.7222681462031</v>
      </c>
      <c r="Q653" s="81">
        <f>Work_Codes!$K114*Q614*Q$581</f>
        <v>3335.0081021683955</v>
      </c>
      <c r="R653" s="81">
        <f>Work_Codes!$K114*R614*R$581</f>
        <v>3385.0332237009206</v>
      </c>
      <c r="S653" s="81">
        <f>Work_Codes!$K114*S614*S$581</f>
        <v>3435.8087220564339</v>
      </c>
      <c r="T653" s="81">
        <f>Work_Codes!$K114*T614*T$581</f>
        <v>3487.3458528872802</v>
      </c>
    </row>
    <row r="654" spans="3:20" hidden="1" outlineLevel="2">
      <c r="D654" s="102" t="str">
        <f>Work_Codes!D115</f>
        <v>Minor Replacement - Alter / Lower Mains</v>
      </c>
      <c r="J654" s="81">
        <f>Work_Codes!$K115*J615*J$581</f>
        <v>0</v>
      </c>
      <c r="K654" s="81">
        <f>Work_Codes!$K115*K615*K$581</f>
        <v>0</v>
      </c>
      <c r="L654" s="81">
        <f>Work_Codes!$K115*L615*L$581</f>
        <v>0</v>
      </c>
      <c r="M654" s="81">
        <f>Work_Codes!$K115*M615*M$581</f>
        <v>0</v>
      </c>
      <c r="N654" s="81">
        <f>Work_Codes!$K115*N615*N$581</f>
        <v>0</v>
      </c>
      <c r="O654" s="81">
        <f>Work_Codes!$K115*O615*O$581</f>
        <v>0</v>
      </c>
      <c r="P654" s="81">
        <f>Work_Codes!$K115*P615*P$581</f>
        <v>5300.9652592758721</v>
      </c>
      <c r="Q654" s="81">
        <f>Work_Codes!$K115*Q615*Q$581</f>
        <v>5380.4797381650105</v>
      </c>
      <c r="R654" s="81">
        <f>Work_Codes!$K115*R615*R$581</f>
        <v>5461.1869342374848</v>
      </c>
      <c r="S654" s="81">
        <f>Work_Codes!$K115*S615*S$581</f>
        <v>5543.1047382510469</v>
      </c>
      <c r="T654" s="81">
        <f>Work_Codes!$K115*T615*T$581</f>
        <v>5626.2513093248126</v>
      </c>
    </row>
    <row r="655" spans="3:20" hidden="1" outlineLevel="2">
      <c r="D655" s="102" t="str">
        <f>Work_Codes!D116</f>
        <v>Minor Replacement - Service Renewals</v>
      </c>
      <c r="J655" s="81">
        <f>Work_Codes!$K116*J616*J$581</f>
        <v>0</v>
      </c>
      <c r="K655" s="81">
        <f>Work_Codes!$K116*K616*K$581</f>
        <v>0</v>
      </c>
      <c r="L655" s="81">
        <f>Work_Codes!$K116*L616*L$581</f>
        <v>0</v>
      </c>
      <c r="M655" s="81">
        <f>Work_Codes!$K116*M616*M$581</f>
        <v>0</v>
      </c>
      <c r="N655" s="81">
        <f>Work_Codes!$K116*N616*N$581</f>
        <v>0</v>
      </c>
      <c r="O655" s="81">
        <f>Work_Codes!$K116*O616*O$581</f>
        <v>0</v>
      </c>
      <c r="P655" s="81">
        <f>Work_Codes!$K116*P616*P$581</f>
        <v>6722.5877606271297</v>
      </c>
      <c r="Q655" s="81">
        <f>Work_Codes!$K116*Q616*Q$581</f>
        <v>6823.4265770365364</v>
      </c>
      <c r="R655" s="81">
        <f>Work_Codes!$K116*R616*R$581</f>
        <v>6925.7779756920845</v>
      </c>
      <c r="S655" s="81">
        <f>Work_Codes!$K116*S616*S$581</f>
        <v>7029.6646453274643</v>
      </c>
      <c r="T655" s="81">
        <f>Work_Codes!$K116*T616*T$581</f>
        <v>7135.1096150073763</v>
      </c>
    </row>
    <row r="656" spans="3:20" hidden="1" outlineLevel="2">
      <c r="D656" s="102" t="str">
        <f>Work_Codes!D117</f>
        <v>Minor Replacement - Alter / Lower Services</v>
      </c>
      <c r="J656" s="81">
        <f>Work_Codes!$K117*J617*J$581</f>
        <v>0</v>
      </c>
      <c r="K656" s="81">
        <f>Work_Codes!$K117*K617*K$581</f>
        <v>0</v>
      </c>
      <c r="L656" s="81">
        <f>Work_Codes!$K117*L617*L$581</f>
        <v>0</v>
      </c>
      <c r="M656" s="81">
        <f>Work_Codes!$K117*M617*M$581</f>
        <v>0</v>
      </c>
      <c r="N656" s="81">
        <f>Work_Codes!$K117*N617*N$581</f>
        <v>0</v>
      </c>
      <c r="O656" s="81">
        <f>Work_Codes!$K117*O617*O$581</f>
        <v>0</v>
      </c>
      <c r="P656" s="81">
        <f>Work_Codes!$K117*P617*P$581</f>
        <v>15360.751603583494</v>
      </c>
      <c r="Q656" s="81">
        <f>Work_Codes!$K117*Q617*Q$581</f>
        <v>15591.162877637245</v>
      </c>
      <c r="R656" s="81">
        <f>Work_Codes!$K117*R617*R$581</f>
        <v>15825.030320801803</v>
      </c>
      <c r="S656" s="81">
        <f>Work_Codes!$K117*S617*S$581</f>
        <v>16062.405775613826</v>
      </c>
      <c r="T656" s="81">
        <f>Work_Codes!$K117*T617*T$581</f>
        <v>16303.341862248035</v>
      </c>
    </row>
    <row r="657" spans="2:20" hidden="1" outlineLevel="2">
      <c r="D657" s="102" t="str">
        <f>Work_Codes!D118</f>
        <v>Capex Items Category 5</v>
      </c>
      <c r="J657" s="81">
        <f>Work_Codes!$K118*J618*J$581</f>
        <v>0</v>
      </c>
      <c r="K657" s="81">
        <f>Work_Codes!$K118*K618*K$581</f>
        <v>0</v>
      </c>
      <c r="L657" s="81">
        <f>Work_Codes!$K118*L618*L$581</f>
        <v>0</v>
      </c>
      <c r="M657" s="81">
        <f>Work_Codes!$K118*M618*M$581</f>
        <v>0</v>
      </c>
      <c r="N657" s="81">
        <f>Work_Codes!$K118*N618*N$581</f>
        <v>2214168.0266666687</v>
      </c>
      <c r="O657" s="81">
        <f>Work_Codes!$K118*O618*O$581</f>
        <v>1011795</v>
      </c>
      <c r="P657" s="81">
        <f>Work_Codes!$K118*P618*P$581</f>
        <v>1870239.8655418365</v>
      </c>
      <c r="Q657" s="81">
        <f>Work_Codes!$K118*Q618*Q$581</f>
        <v>1665579.6135249641</v>
      </c>
      <c r="R657" s="81">
        <f>Work_Codes!$K118*R618*R$581</f>
        <v>1481124.8577278384</v>
      </c>
      <c r="S657" s="81">
        <f>Work_Codes!$K118*S618*S$581</f>
        <v>1314845.0805937562</v>
      </c>
      <c r="T657" s="81">
        <f>Work_Codes!$K118*T618*T$581</f>
        <v>1164919.7568026625</v>
      </c>
    </row>
    <row r="658" spans="2:20" ht="5.9" hidden="1" customHeight="1" outlineLevel="2"/>
    <row r="659" spans="2:20" hidden="1" outlineLevel="2">
      <c r="D659" s="249" t="str">
        <f>"Total "&amp;C651</f>
        <v>Total Materials</v>
      </c>
      <c r="E659" s="249"/>
      <c r="F659" s="249"/>
      <c r="G659" s="249"/>
      <c r="H659" s="249"/>
      <c r="I659" s="249"/>
      <c r="J659" s="82">
        <f t="shared" ref="J659:T659" si="66">SUM(J653:J658)</f>
        <v>0</v>
      </c>
      <c r="K659" s="82">
        <f t="shared" si="66"/>
        <v>0</v>
      </c>
      <c r="L659" s="82">
        <f t="shared" si="66"/>
        <v>0</v>
      </c>
      <c r="M659" s="82">
        <f t="shared" si="66"/>
        <v>0</v>
      </c>
      <c r="N659" s="82">
        <f t="shared" si="66"/>
        <v>2214168.0266666687</v>
      </c>
      <c r="O659" s="82">
        <f t="shared" si="66"/>
        <v>1011795</v>
      </c>
      <c r="P659" s="82">
        <f t="shared" si="66"/>
        <v>1900909.8924334692</v>
      </c>
      <c r="Q659" s="82">
        <f t="shared" si="66"/>
        <v>1696709.6908199713</v>
      </c>
      <c r="R659" s="82">
        <f t="shared" si="66"/>
        <v>1512721.8861822707</v>
      </c>
      <c r="S659" s="82">
        <f t="shared" si="66"/>
        <v>1346916.064475005</v>
      </c>
      <c r="T659" s="82">
        <f t="shared" si="66"/>
        <v>1197471.80544213</v>
      </c>
    </row>
    <row r="660" spans="2:20" outlineLevel="1" collapsed="1"/>
    <row r="661" spans="2:20" outlineLevel="1">
      <c r="C661" s="37" t="s">
        <v>217</v>
      </c>
    </row>
    <row r="662" spans="2:20" ht="5.9" customHeight="1" outlineLevel="1"/>
    <row r="663" spans="2:20" outlineLevel="1">
      <c r="D663" s="102" t="str">
        <f>Work_Codes!D114</f>
        <v>Minor Replacement - Mains Renewal &lt;20m)</v>
      </c>
      <c r="J663" s="81">
        <f t="shared" ref="J663:T663" si="67">J633+J643+J653</f>
        <v>0</v>
      </c>
      <c r="K663" s="81">
        <f t="shared" si="67"/>
        <v>0</v>
      </c>
      <c r="L663" s="81">
        <f t="shared" si="67"/>
        <v>0</v>
      </c>
      <c r="M663" s="81">
        <f t="shared" si="67"/>
        <v>0</v>
      </c>
      <c r="N663" s="81">
        <f t="shared" si="67"/>
        <v>0</v>
      </c>
      <c r="O663" s="81">
        <f t="shared" si="67"/>
        <v>0</v>
      </c>
      <c r="P663" s="81">
        <f t="shared" si="67"/>
        <v>16435.334042927159</v>
      </c>
      <c r="Q663" s="81">
        <f t="shared" si="67"/>
        <v>16687.118100842272</v>
      </c>
      <c r="R663" s="81">
        <f t="shared" si="67"/>
        <v>16945.012614775558</v>
      </c>
      <c r="S663" s="81">
        <f t="shared" si="67"/>
        <v>17206.974144762411</v>
      </c>
      <c r="T663" s="81">
        <f t="shared" si="67"/>
        <v>17473.068894072283</v>
      </c>
    </row>
    <row r="664" spans="2:20" outlineLevel="1">
      <c r="D664" s="102" t="str">
        <f>Work_Codes!D115</f>
        <v>Minor Replacement - Alter / Lower Mains</v>
      </c>
      <c r="J664" s="81">
        <f t="shared" ref="J664:T664" si="68">J634+J644+J654</f>
        <v>0</v>
      </c>
      <c r="K664" s="81">
        <f t="shared" si="68"/>
        <v>0</v>
      </c>
      <c r="L664" s="81">
        <f t="shared" si="68"/>
        <v>0</v>
      </c>
      <c r="M664" s="81">
        <f t="shared" si="68"/>
        <v>0</v>
      </c>
      <c r="N664" s="81">
        <f t="shared" si="68"/>
        <v>0</v>
      </c>
      <c r="O664" s="81">
        <f t="shared" si="68"/>
        <v>0</v>
      </c>
      <c r="P664" s="81">
        <f t="shared" si="68"/>
        <v>26515.672255922476</v>
      </c>
      <c r="Q664" s="81">
        <f t="shared" si="68"/>
        <v>26921.883869358866</v>
      </c>
      <c r="R664" s="81">
        <f t="shared" si="68"/>
        <v>27337.953685171233</v>
      </c>
      <c r="S664" s="81">
        <f t="shared" si="68"/>
        <v>27760.584953550024</v>
      </c>
      <c r="T664" s="81">
        <f t="shared" si="68"/>
        <v>28189.884482436617</v>
      </c>
    </row>
    <row r="665" spans="2:20" outlineLevel="1">
      <c r="D665" s="102" t="str">
        <f>Work_Codes!D116</f>
        <v>Minor Replacement - Service Renewals</v>
      </c>
      <c r="J665" s="81">
        <f t="shared" ref="J665:T665" si="69">J635+J645+J655</f>
        <v>0</v>
      </c>
      <c r="K665" s="81">
        <f t="shared" si="69"/>
        <v>0</v>
      </c>
      <c r="L665" s="81">
        <f t="shared" si="69"/>
        <v>0</v>
      </c>
      <c r="M665" s="81">
        <f t="shared" si="69"/>
        <v>0</v>
      </c>
      <c r="N665" s="81">
        <f t="shared" si="69"/>
        <v>0</v>
      </c>
      <c r="O665" s="81">
        <f t="shared" si="69"/>
        <v>0</v>
      </c>
      <c r="P665" s="81">
        <f t="shared" si="69"/>
        <v>33626.693451828956</v>
      </c>
      <c r="Q665" s="81">
        <f t="shared" si="69"/>
        <v>34141.84363432329</v>
      </c>
      <c r="R665" s="81">
        <f t="shared" si="69"/>
        <v>34669.495809830798</v>
      </c>
      <c r="S665" s="81">
        <f t="shared" si="69"/>
        <v>35205.469100183895</v>
      </c>
      <c r="T665" s="81">
        <f t="shared" si="69"/>
        <v>35749.898957271893</v>
      </c>
    </row>
    <row r="666" spans="2:20" outlineLevel="1">
      <c r="D666" s="102" t="str">
        <f>Work_Codes!D117</f>
        <v>Minor Replacement - Alter / Lower Services</v>
      </c>
      <c r="J666" s="81">
        <f t="shared" ref="J666:T666" si="70">J636+J646+J656</f>
        <v>0</v>
      </c>
      <c r="K666" s="81">
        <f t="shared" si="70"/>
        <v>0</v>
      </c>
      <c r="L666" s="81">
        <f t="shared" si="70"/>
        <v>0</v>
      </c>
      <c r="M666" s="81">
        <f t="shared" si="70"/>
        <v>0</v>
      </c>
      <c r="N666" s="81">
        <f t="shared" si="70"/>
        <v>0</v>
      </c>
      <c r="O666" s="81">
        <f t="shared" si="70"/>
        <v>0</v>
      </c>
      <c r="P666" s="81">
        <f t="shared" si="70"/>
        <v>76835.186650684438</v>
      </c>
      <c r="Q666" s="81">
        <f t="shared" si="70"/>
        <v>78012.277121437626</v>
      </c>
      <c r="R666" s="81">
        <f t="shared" si="70"/>
        <v>79217.933974075742</v>
      </c>
      <c r="S666" s="81">
        <f t="shared" si="70"/>
        <v>80442.604126764258</v>
      </c>
      <c r="T666" s="81">
        <f t="shared" si="70"/>
        <v>81686.597079787913</v>
      </c>
    </row>
    <row r="667" spans="2:20" outlineLevel="1">
      <c r="D667" s="102" t="str">
        <f>Work_Codes!D118</f>
        <v>Capex Items Category 5</v>
      </c>
      <c r="J667" s="81">
        <f t="shared" ref="J667:T667" si="71">J637+J647+J657</f>
        <v>0</v>
      </c>
      <c r="K667" s="81">
        <f t="shared" si="71"/>
        <v>0</v>
      </c>
      <c r="L667" s="81">
        <f t="shared" si="71"/>
        <v>0</v>
      </c>
      <c r="M667" s="81">
        <f t="shared" si="71"/>
        <v>0</v>
      </c>
      <c r="N667" s="81">
        <f t="shared" si="71"/>
        <v>2214168.0266666687</v>
      </c>
      <c r="O667" s="81">
        <f t="shared" si="71"/>
        <v>1011795</v>
      </c>
      <c r="P667" s="81">
        <f t="shared" si="71"/>
        <v>1870239.8655418365</v>
      </c>
      <c r="Q667" s="81">
        <f t="shared" si="71"/>
        <v>1665579.6135249641</v>
      </c>
      <c r="R667" s="81">
        <f t="shared" si="71"/>
        <v>1481124.8577278384</v>
      </c>
      <c r="S667" s="81">
        <f t="shared" si="71"/>
        <v>1314845.0805937562</v>
      </c>
      <c r="T667" s="81">
        <f t="shared" si="71"/>
        <v>1164919.7568026625</v>
      </c>
    </row>
    <row r="668" spans="2:20" ht="5.9" customHeight="1" outlineLevel="1"/>
    <row r="669" spans="2:20" outlineLevel="1">
      <c r="D669" s="249" t="str">
        <f>C661</f>
        <v>Total Direct Capex including Escalation (Non CPI)</v>
      </c>
      <c r="E669" s="249"/>
      <c r="F669" s="249"/>
      <c r="G669" s="249"/>
      <c r="H669" s="249"/>
      <c r="I669" s="249"/>
      <c r="J669" s="82">
        <f t="shared" ref="J669:T669" si="72">SUM(J663:J668)</f>
        <v>0</v>
      </c>
      <c r="K669" s="82">
        <f t="shared" si="72"/>
        <v>0</v>
      </c>
      <c r="L669" s="82">
        <f t="shared" si="72"/>
        <v>0</v>
      </c>
      <c r="M669" s="82">
        <f t="shared" si="72"/>
        <v>0</v>
      </c>
      <c r="N669" s="82">
        <f t="shared" si="72"/>
        <v>2214168.0266666687</v>
      </c>
      <c r="O669" s="82">
        <f t="shared" si="72"/>
        <v>1011795</v>
      </c>
      <c r="P669" s="82">
        <f t="shared" si="72"/>
        <v>2023652.7519431994</v>
      </c>
      <c r="Q669" s="82">
        <f t="shared" si="72"/>
        <v>1821342.736250926</v>
      </c>
      <c r="R669" s="82">
        <f t="shared" si="72"/>
        <v>1639295.2538116919</v>
      </c>
      <c r="S669" s="82">
        <f t="shared" si="72"/>
        <v>1475460.7129190168</v>
      </c>
      <c r="T669" s="82">
        <f t="shared" si="72"/>
        <v>1328019.2062162312</v>
      </c>
    </row>
    <row r="670" spans="2:20" outlineLevel="1">
      <c r="B670" s="12"/>
      <c r="C670" s="12"/>
      <c r="D670" s="12"/>
      <c r="E670" s="12"/>
      <c r="F670" s="12"/>
      <c r="G670" s="12"/>
      <c r="H670" s="12"/>
      <c r="I670" s="12"/>
      <c r="J670" s="12"/>
      <c r="K670" s="12"/>
      <c r="L670" s="12"/>
      <c r="M670" s="12"/>
      <c r="N670" s="12"/>
      <c r="O670" s="12"/>
      <c r="P670" s="12"/>
      <c r="Q670" s="12"/>
      <c r="R670" s="12"/>
      <c r="S670" s="12"/>
      <c r="T670" s="12"/>
    </row>
    <row r="671" spans="2:20" outlineLevel="1"/>
    <row r="672" spans="2:20" outlineLevel="1">
      <c r="C672" s="37" t="s">
        <v>195</v>
      </c>
    </row>
    <row r="673" spans="4:20" ht="5.9" customHeight="1" outlineLevel="2"/>
    <row r="674" spans="4:20" outlineLevel="2">
      <c r="D674" s="37" t="s">
        <v>215</v>
      </c>
    </row>
    <row r="675" spans="4:20" ht="5.9" customHeight="1" outlineLevel="2"/>
    <row r="676" spans="4:20" ht="11.5" customHeight="1" outlineLevel="2">
      <c r="E676" s="247" t="str">
        <f>GC!C40</f>
        <v>Transmission pipelines</v>
      </c>
      <c r="F676" s="247"/>
      <c r="G676" s="247"/>
      <c r="H676" s="247"/>
      <c r="I676" s="247"/>
      <c r="J676" s="81">
        <f ca="1">SUMPRODUCT((Work_Codes!$N$111:$Y$111=$E676)*(Work_Codes!$N$114:$Y$118)*(J$663:J$667))</f>
        <v>0</v>
      </c>
      <c r="K676" s="81">
        <f ca="1">SUMPRODUCT((Work_Codes!$N$111:$Y$111=$E676)*(Work_Codes!$N$114:$Y$118)*(K$663:K$667))</f>
        <v>0</v>
      </c>
      <c r="L676" s="81">
        <f ca="1">SUMPRODUCT((Work_Codes!$N$111:$Y$111=$E676)*(Work_Codes!$N$114:$Y$118)*(L$663:L$667))</f>
        <v>0</v>
      </c>
      <c r="M676" s="81">
        <f ca="1">SUMPRODUCT((Work_Codes!$N$111:$Y$111=$E676)*(Work_Codes!$N$114:$Y$118)*(M$663:M$667))</f>
        <v>0</v>
      </c>
      <c r="N676" s="81">
        <f ca="1">SUMPRODUCT((Work_Codes!$N$111:$Y$111=$E676)*(Work_Codes!$N$114:$Y$118)*(N$663:N$667))</f>
        <v>0</v>
      </c>
      <c r="O676" s="81">
        <f ca="1">SUMPRODUCT((Work_Codes!$N$111:$Y$111=$E676)*(Work_Codes!$N$114:$Y$118)*(O$663:O$667))</f>
        <v>0</v>
      </c>
      <c r="P676" s="81">
        <f ca="1">SUMPRODUCT((Work_Codes!$N$111:$Y$111=$E676)*(Work_Codes!$N$114:$Y$118)*(P$663:P$667))</f>
        <v>0</v>
      </c>
      <c r="Q676" s="81">
        <f ca="1">SUMPRODUCT((Work_Codes!$N$111:$Y$111=$E676)*(Work_Codes!$N$114:$Y$118)*(Q$663:Q$667))</f>
        <v>0</v>
      </c>
      <c r="R676" s="81">
        <f ca="1">SUMPRODUCT((Work_Codes!$N$111:$Y$111=$E676)*(Work_Codes!$N$114:$Y$118)*(R$663:R$667))</f>
        <v>0</v>
      </c>
      <c r="S676" s="81">
        <f ca="1">SUMPRODUCT((Work_Codes!$N$111:$Y$111=$E676)*(Work_Codes!$N$114:$Y$118)*(S$663:S$667))</f>
        <v>0</v>
      </c>
      <c r="T676" s="81">
        <f ca="1">SUMPRODUCT((Work_Codes!$N$111:$Y$111=$E676)*(Work_Codes!$N$114:$Y$118)*(T$663:T$667))</f>
        <v>0</v>
      </c>
    </row>
    <row r="677" spans="4:20" ht="11.5" customHeight="1" outlineLevel="2">
      <c r="E677" s="247" t="str">
        <f>GC!C41</f>
        <v>Distribution pipelines</v>
      </c>
      <c r="F677" s="247"/>
      <c r="G677" s="247"/>
      <c r="H677" s="247"/>
      <c r="I677" s="247"/>
      <c r="J677" s="81">
        <f ca="1">SUMPRODUCT((Work_Codes!$N$111:$Y$111=$E677)*(Work_Codes!$N$114:$Y$118)*(J$663:J$667))</f>
        <v>0</v>
      </c>
      <c r="K677" s="81">
        <f ca="1">SUMPRODUCT((Work_Codes!$N$111:$Y$111=$E677)*(Work_Codes!$N$114:$Y$118)*(K$663:K$667))</f>
        <v>0</v>
      </c>
      <c r="L677" s="81">
        <f ca="1">SUMPRODUCT((Work_Codes!$N$111:$Y$111=$E677)*(Work_Codes!$N$114:$Y$118)*(L$663:L$667))</f>
        <v>0</v>
      </c>
      <c r="M677" s="81">
        <f ca="1">SUMPRODUCT((Work_Codes!$N$111:$Y$111=$E677)*(Work_Codes!$N$114:$Y$118)*(M$663:M$667))</f>
        <v>0</v>
      </c>
      <c r="N677" s="81">
        <f ca="1">SUMPRODUCT((Work_Codes!$N$111:$Y$111=$E677)*(Work_Codes!$N$114:$Y$118)*(N$663:N$667))</f>
        <v>0</v>
      </c>
      <c r="O677" s="81">
        <f ca="1">SUMPRODUCT((Work_Codes!$N$111:$Y$111=$E677)*(Work_Codes!$N$114:$Y$118)*(O$663:O$667))</f>
        <v>0</v>
      </c>
      <c r="P677" s="81">
        <f ca="1">SUMPRODUCT((Work_Codes!$N$111:$Y$111=$E677)*(Work_Codes!$N$114:$Y$118)*(P$663:P$667))</f>
        <v>0</v>
      </c>
      <c r="Q677" s="81">
        <f ca="1">SUMPRODUCT((Work_Codes!$N$111:$Y$111=$E677)*(Work_Codes!$N$114:$Y$118)*(Q$663:Q$667))</f>
        <v>0</v>
      </c>
      <c r="R677" s="81">
        <f ca="1">SUMPRODUCT((Work_Codes!$N$111:$Y$111=$E677)*(Work_Codes!$N$114:$Y$118)*(R$663:R$667))</f>
        <v>0</v>
      </c>
      <c r="S677" s="81">
        <f ca="1">SUMPRODUCT((Work_Codes!$N$111:$Y$111=$E677)*(Work_Codes!$N$114:$Y$118)*(S$663:S$667))</f>
        <v>0</v>
      </c>
      <c r="T677" s="81">
        <f ca="1">SUMPRODUCT((Work_Codes!$N$111:$Y$111=$E677)*(Work_Codes!$N$114:$Y$118)*(T$663:T$667))</f>
        <v>0</v>
      </c>
    </row>
    <row r="678" spans="4:20" ht="11.5" customHeight="1" outlineLevel="2">
      <c r="E678" s="247" t="str">
        <f>GC!C42</f>
        <v>Service pipes</v>
      </c>
      <c r="F678" s="247"/>
      <c r="G678" s="247"/>
      <c r="H678" s="247"/>
      <c r="I678" s="247"/>
      <c r="J678" s="81">
        <f ca="1">SUMPRODUCT((Work_Codes!$N$111:$Y$111=$E678)*(Work_Codes!$N$114:$Y$118)*(J$663:J$667))</f>
        <v>0</v>
      </c>
      <c r="K678" s="81">
        <f ca="1">SUMPRODUCT((Work_Codes!$N$111:$Y$111=$E678)*(Work_Codes!$N$114:$Y$118)*(K$663:K$667))</f>
        <v>0</v>
      </c>
      <c r="L678" s="81">
        <f ca="1">SUMPRODUCT((Work_Codes!$N$111:$Y$111=$E678)*(Work_Codes!$N$114:$Y$118)*(L$663:L$667))</f>
        <v>0</v>
      </c>
      <c r="M678" s="81">
        <f ca="1">SUMPRODUCT((Work_Codes!$N$111:$Y$111=$E678)*(Work_Codes!$N$114:$Y$118)*(M$663:M$667))</f>
        <v>0</v>
      </c>
      <c r="N678" s="81">
        <f ca="1">SUMPRODUCT((Work_Codes!$N$111:$Y$111=$E678)*(Work_Codes!$N$114:$Y$118)*(N$663:N$667))</f>
        <v>0</v>
      </c>
      <c r="O678" s="81">
        <f ca="1">SUMPRODUCT((Work_Codes!$N$111:$Y$111=$E678)*(Work_Codes!$N$114:$Y$118)*(O$663:O$667))</f>
        <v>0</v>
      </c>
      <c r="P678" s="81">
        <f ca="1">SUMPRODUCT((Work_Codes!$N$111:$Y$111=$E678)*(Work_Codes!$N$114:$Y$118)*(P$663:P$667))</f>
        <v>0</v>
      </c>
      <c r="Q678" s="81">
        <f ca="1">SUMPRODUCT((Work_Codes!$N$111:$Y$111=$E678)*(Work_Codes!$N$114:$Y$118)*(Q$663:Q$667))</f>
        <v>0</v>
      </c>
      <c r="R678" s="81">
        <f ca="1">SUMPRODUCT((Work_Codes!$N$111:$Y$111=$E678)*(Work_Codes!$N$114:$Y$118)*(R$663:R$667))</f>
        <v>0</v>
      </c>
      <c r="S678" s="81">
        <f ca="1">SUMPRODUCT((Work_Codes!$N$111:$Y$111=$E678)*(Work_Codes!$N$114:$Y$118)*(S$663:S$667))</f>
        <v>0</v>
      </c>
      <c r="T678" s="81">
        <f ca="1">SUMPRODUCT((Work_Codes!$N$111:$Y$111=$E678)*(Work_Codes!$N$114:$Y$118)*(T$663:T$667))</f>
        <v>0</v>
      </c>
    </row>
    <row r="679" spans="4:20" ht="11.5" customHeight="1" outlineLevel="2">
      <c r="E679" s="247" t="str">
        <f>GC!C43</f>
        <v>Cathodic protection</v>
      </c>
      <c r="F679" s="247"/>
      <c r="G679" s="247"/>
      <c r="H679" s="247"/>
      <c r="I679" s="247"/>
      <c r="J679" s="81">
        <f ca="1">SUMPRODUCT((Work_Codes!$N$111:$Y$111=$E679)*(Work_Codes!$N$114:$Y$118)*(J$663:J$667))</f>
        <v>0</v>
      </c>
      <c r="K679" s="81">
        <f ca="1">SUMPRODUCT((Work_Codes!$N$111:$Y$111=$E679)*(Work_Codes!$N$114:$Y$118)*(K$663:K$667))</f>
        <v>0</v>
      </c>
      <c r="L679" s="81">
        <f ca="1">SUMPRODUCT((Work_Codes!$N$111:$Y$111=$E679)*(Work_Codes!$N$114:$Y$118)*(L$663:L$667))</f>
        <v>0</v>
      </c>
      <c r="M679" s="81">
        <f ca="1">SUMPRODUCT((Work_Codes!$N$111:$Y$111=$E679)*(Work_Codes!$N$114:$Y$118)*(M$663:M$667))</f>
        <v>0</v>
      </c>
      <c r="N679" s="81">
        <f ca="1">SUMPRODUCT((Work_Codes!$N$111:$Y$111=$E679)*(Work_Codes!$N$114:$Y$118)*(N$663:N$667))</f>
        <v>0</v>
      </c>
      <c r="O679" s="81">
        <f ca="1">SUMPRODUCT((Work_Codes!$N$111:$Y$111=$E679)*(Work_Codes!$N$114:$Y$118)*(O$663:O$667))</f>
        <v>0</v>
      </c>
      <c r="P679" s="81">
        <f ca="1">SUMPRODUCT((Work_Codes!$N$111:$Y$111=$E679)*(Work_Codes!$N$114:$Y$118)*(P$663:P$667))</f>
        <v>0</v>
      </c>
      <c r="Q679" s="81">
        <f ca="1">SUMPRODUCT((Work_Codes!$N$111:$Y$111=$E679)*(Work_Codes!$N$114:$Y$118)*(Q$663:Q$667))</f>
        <v>0</v>
      </c>
      <c r="R679" s="81">
        <f ca="1">SUMPRODUCT((Work_Codes!$N$111:$Y$111=$E679)*(Work_Codes!$N$114:$Y$118)*(R$663:R$667))</f>
        <v>0</v>
      </c>
      <c r="S679" s="81">
        <f ca="1">SUMPRODUCT((Work_Codes!$N$111:$Y$111=$E679)*(Work_Codes!$N$114:$Y$118)*(S$663:S$667))</f>
        <v>0</v>
      </c>
      <c r="T679" s="81">
        <f ca="1">SUMPRODUCT((Work_Codes!$N$111:$Y$111=$E679)*(Work_Codes!$N$114:$Y$118)*(T$663:T$667))</f>
        <v>0</v>
      </c>
    </row>
    <row r="680" spans="4:20" ht="11.5" customHeight="1" outlineLevel="2">
      <c r="E680" s="247" t="str">
        <f>GC!C44</f>
        <v>Supply Regulators / Valve Stations</v>
      </c>
      <c r="F680" s="247"/>
      <c r="G680" s="247"/>
      <c r="H680" s="247"/>
      <c r="I680" s="247"/>
      <c r="J680" s="81">
        <f ca="1">SUMPRODUCT((Work_Codes!$N$111:$Y$111=$E680)*(Work_Codes!$N$114:$Y$118)*(J$663:J$667))</f>
        <v>0</v>
      </c>
      <c r="K680" s="81">
        <f ca="1">SUMPRODUCT((Work_Codes!$N$111:$Y$111=$E680)*(Work_Codes!$N$114:$Y$118)*(K$663:K$667))</f>
        <v>0</v>
      </c>
      <c r="L680" s="81">
        <f ca="1">SUMPRODUCT((Work_Codes!$N$111:$Y$111=$E680)*(Work_Codes!$N$114:$Y$118)*(L$663:L$667))</f>
        <v>0</v>
      </c>
      <c r="M680" s="81">
        <f ca="1">SUMPRODUCT((Work_Codes!$N$111:$Y$111=$E680)*(Work_Codes!$N$114:$Y$118)*(M$663:M$667))</f>
        <v>0</v>
      </c>
      <c r="N680" s="81">
        <f ca="1">SUMPRODUCT((Work_Codes!$N$111:$Y$111=$E680)*(Work_Codes!$N$114:$Y$118)*(N$663:N$667))</f>
        <v>0</v>
      </c>
      <c r="O680" s="81">
        <f ca="1">SUMPRODUCT((Work_Codes!$N$111:$Y$111=$E680)*(Work_Codes!$N$114:$Y$118)*(O$663:O$667))</f>
        <v>0</v>
      </c>
      <c r="P680" s="81">
        <f ca="1">SUMPRODUCT((Work_Codes!$N$111:$Y$111=$E680)*(Work_Codes!$N$114:$Y$118)*(P$663:P$667))</f>
        <v>0</v>
      </c>
      <c r="Q680" s="81">
        <f ca="1">SUMPRODUCT((Work_Codes!$N$111:$Y$111=$E680)*(Work_Codes!$N$114:$Y$118)*(Q$663:Q$667))</f>
        <v>0</v>
      </c>
      <c r="R680" s="81">
        <f ca="1">SUMPRODUCT((Work_Codes!$N$111:$Y$111=$E680)*(Work_Codes!$N$114:$Y$118)*(R$663:R$667))</f>
        <v>0</v>
      </c>
      <c r="S680" s="81">
        <f ca="1">SUMPRODUCT((Work_Codes!$N$111:$Y$111=$E680)*(Work_Codes!$N$114:$Y$118)*(S$663:S$667))</f>
        <v>0</v>
      </c>
      <c r="T680" s="81">
        <f ca="1">SUMPRODUCT((Work_Codes!$N$111:$Y$111=$E680)*(Work_Codes!$N$114:$Y$118)*(T$663:T$667))</f>
        <v>0</v>
      </c>
    </row>
    <row r="681" spans="4:20" ht="11.5" customHeight="1" outlineLevel="2">
      <c r="E681" s="247" t="str">
        <f>GC!C45</f>
        <v>Meters</v>
      </c>
      <c r="F681" s="247"/>
      <c r="G681" s="247"/>
      <c r="H681" s="247"/>
      <c r="I681" s="247"/>
      <c r="J681" s="81">
        <f ca="1">SUMPRODUCT((Work_Codes!$N$111:$Y$111=$E681)*(Work_Codes!$N$114:$Y$118)*(J$663:J$667))</f>
        <v>0</v>
      </c>
      <c r="K681" s="81">
        <f ca="1">SUMPRODUCT((Work_Codes!$N$111:$Y$111=$E681)*(Work_Codes!$N$114:$Y$118)*(K$663:K$667))</f>
        <v>0</v>
      </c>
      <c r="L681" s="81">
        <f ca="1">SUMPRODUCT((Work_Codes!$N$111:$Y$111=$E681)*(Work_Codes!$N$114:$Y$118)*(L$663:L$667))</f>
        <v>0</v>
      </c>
      <c r="M681" s="81">
        <f ca="1">SUMPRODUCT((Work_Codes!$N$111:$Y$111=$E681)*(Work_Codes!$N$114:$Y$118)*(M$663:M$667))</f>
        <v>0</v>
      </c>
      <c r="N681" s="81">
        <f ca="1">SUMPRODUCT((Work_Codes!$N$111:$Y$111=$E681)*(Work_Codes!$N$114:$Y$118)*(N$663:N$667))</f>
        <v>0</v>
      </c>
      <c r="O681" s="81">
        <f ca="1">SUMPRODUCT((Work_Codes!$N$111:$Y$111=$E681)*(Work_Codes!$N$114:$Y$118)*(O$663:O$667))</f>
        <v>0</v>
      </c>
      <c r="P681" s="81">
        <f ca="1">SUMPRODUCT((Work_Codes!$N$111:$Y$111=$E681)*(Work_Codes!$N$114:$Y$118)*(P$663:P$667))</f>
        <v>0</v>
      </c>
      <c r="Q681" s="81">
        <f ca="1">SUMPRODUCT((Work_Codes!$N$111:$Y$111=$E681)*(Work_Codes!$N$114:$Y$118)*(Q$663:Q$667))</f>
        <v>0</v>
      </c>
      <c r="R681" s="81">
        <f ca="1">SUMPRODUCT((Work_Codes!$N$111:$Y$111=$E681)*(Work_Codes!$N$114:$Y$118)*(R$663:R$667))</f>
        <v>0</v>
      </c>
      <c r="S681" s="81">
        <f ca="1">SUMPRODUCT((Work_Codes!$N$111:$Y$111=$E681)*(Work_Codes!$N$114:$Y$118)*(S$663:S$667))</f>
        <v>0</v>
      </c>
      <c r="T681" s="81">
        <f ca="1">SUMPRODUCT((Work_Codes!$N$111:$Y$111=$E681)*(Work_Codes!$N$114:$Y$118)*(T$663:T$667))</f>
        <v>0</v>
      </c>
    </row>
    <row r="682" spans="4:20" ht="11.5" customHeight="1" outlineLevel="2">
      <c r="E682" s="247" t="str">
        <f>GC!C46</f>
        <v>SCADA and remote control</v>
      </c>
      <c r="F682" s="247"/>
      <c r="G682" s="247"/>
      <c r="H682" s="247"/>
      <c r="I682" s="247"/>
      <c r="J682" s="81">
        <f ca="1">SUMPRODUCT((Work_Codes!$N$111:$Y$111=$E682)*(Work_Codes!$N$114:$Y$118)*(J$663:J$667))</f>
        <v>0</v>
      </c>
      <c r="K682" s="81">
        <f ca="1">SUMPRODUCT((Work_Codes!$N$111:$Y$111=$E682)*(Work_Codes!$N$114:$Y$118)*(K$663:K$667))</f>
        <v>0</v>
      </c>
      <c r="L682" s="81">
        <f ca="1">SUMPRODUCT((Work_Codes!$N$111:$Y$111=$E682)*(Work_Codes!$N$114:$Y$118)*(L$663:L$667))</f>
        <v>0</v>
      </c>
      <c r="M682" s="81">
        <f ca="1">SUMPRODUCT((Work_Codes!$N$111:$Y$111=$E682)*(Work_Codes!$N$114:$Y$118)*(M$663:M$667))</f>
        <v>0</v>
      </c>
      <c r="N682" s="81">
        <f ca="1">SUMPRODUCT((Work_Codes!$N$111:$Y$111=$E682)*(Work_Codes!$N$114:$Y$118)*(N$663:N$667))</f>
        <v>0</v>
      </c>
      <c r="O682" s="81">
        <f ca="1">SUMPRODUCT((Work_Codes!$N$111:$Y$111=$E682)*(Work_Codes!$N$114:$Y$118)*(O$663:O$667))</f>
        <v>0</v>
      </c>
      <c r="P682" s="81">
        <f ca="1">SUMPRODUCT((Work_Codes!$N$111:$Y$111=$E682)*(Work_Codes!$N$114:$Y$118)*(P$663:P$667))</f>
        <v>0</v>
      </c>
      <c r="Q682" s="81">
        <f ca="1">SUMPRODUCT((Work_Codes!$N$111:$Y$111=$E682)*(Work_Codes!$N$114:$Y$118)*(Q$663:Q$667))</f>
        <v>0</v>
      </c>
      <c r="R682" s="81">
        <f ca="1">SUMPRODUCT((Work_Codes!$N$111:$Y$111=$E682)*(Work_Codes!$N$114:$Y$118)*(R$663:R$667))</f>
        <v>0</v>
      </c>
      <c r="S682" s="81">
        <f ca="1">SUMPRODUCT((Work_Codes!$N$111:$Y$111=$E682)*(Work_Codes!$N$114:$Y$118)*(S$663:S$667))</f>
        <v>0</v>
      </c>
      <c r="T682" s="81">
        <f ca="1">SUMPRODUCT((Work_Codes!$N$111:$Y$111=$E682)*(Work_Codes!$N$114:$Y$118)*(T$663:T$667))</f>
        <v>0</v>
      </c>
    </row>
    <row r="683" spans="4:20" ht="11.5" customHeight="1" outlineLevel="2">
      <c r="E683" s="247" t="str">
        <f>GC!C47</f>
        <v>Buildings</v>
      </c>
      <c r="F683" s="247"/>
      <c r="G683" s="247"/>
      <c r="H683" s="247"/>
      <c r="I683" s="247"/>
      <c r="J683" s="81">
        <f ca="1">SUMPRODUCT((Work_Codes!$N$111:$Y$111=$E683)*(Work_Codes!$N$114:$Y$118)*(J$663:J$667))</f>
        <v>0</v>
      </c>
      <c r="K683" s="81">
        <f ca="1">SUMPRODUCT((Work_Codes!$N$111:$Y$111=$E683)*(Work_Codes!$N$114:$Y$118)*(K$663:K$667))</f>
        <v>0</v>
      </c>
      <c r="L683" s="81">
        <f ca="1">SUMPRODUCT((Work_Codes!$N$111:$Y$111=$E683)*(Work_Codes!$N$114:$Y$118)*(L$663:L$667))</f>
        <v>0</v>
      </c>
      <c r="M683" s="81">
        <f ca="1">SUMPRODUCT((Work_Codes!$N$111:$Y$111=$E683)*(Work_Codes!$N$114:$Y$118)*(M$663:M$667))</f>
        <v>0</v>
      </c>
      <c r="N683" s="81">
        <f ca="1">SUMPRODUCT((Work_Codes!$N$111:$Y$111=$E683)*(Work_Codes!$N$114:$Y$118)*(N$663:N$667))</f>
        <v>0</v>
      </c>
      <c r="O683" s="81">
        <f ca="1">SUMPRODUCT((Work_Codes!$N$111:$Y$111=$E683)*(Work_Codes!$N$114:$Y$118)*(O$663:O$667))</f>
        <v>0</v>
      </c>
      <c r="P683" s="81">
        <f ca="1">SUMPRODUCT((Work_Codes!$N$111:$Y$111=$E683)*(Work_Codes!$N$114:$Y$118)*(P$663:P$667))</f>
        <v>0</v>
      </c>
      <c r="Q683" s="81">
        <f ca="1">SUMPRODUCT((Work_Codes!$N$111:$Y$111=$E683)*(Work_Codes!$N$114:$Y$118)*(Q$663:Q$667))</f>
        <v>0</v>
      </c>
      <c r="R683" s="81">
        <f ca="1">SUMPRODUCT((Work_Codes!$N$111:$Y$111=$E683)*(Work_Codes!$N$114:$Y$118)*(R$663:R$667))</f>
        <v>0</v>
      </c>
      <c r="S683" s="81">
        <f ca="1">SUMPRODUCT((Work_Codes!$N$111:$Y$111=$E683)*(Work_Codes!$N$114:$Y$118)*(S$663:S$667))</f>
        <v>0</v>
      </c>
      <c r="T683" s="81">
        <f ca="1">SUMPRODUCT((Work_Codes!$N$111:$Y$111=$E683)*(Work_Codes!$N$114:$Y$118)*(T$663:T$667))</f>
        <v>0</v>
      </c>
    </row>
    <row r="684" spans="4:20" ht="11.5" customHeight="1" outlineLevel="2">
      <c r="E684" s="247" t="str">
        <f>GC!C48</f>
        <v>Other - IT</v>
      </c>
      <c r="F684" s="247"/>
      <c r="G684" s="247"/>
      <c r="H684" s="247"/>
      <c r="I684" s="247"/>
      <c r="J684" s="81">
        <f ca="1">SUMPRODUCT((Work_Codes!$N$111:$Y$111=$E684)*(Work_Codes!$N$114:$Y$118)*(J$663:J$667))</f>
        <v>0</v>
      </c>
      <c r="K684" s="81">
        <f ca="1">SUMPRODUCT((Work_Codes!$N$111:$Y$111=$E684)*(Work_Codes!$N$114:$Y$118)*(K$663:K$667))</f>
        <v>0</v>
      </c>
      <c r="L684" s="81">
        <f ca="1">SUMPRODUCT((Work_Codes!$N$111:$Y$111=$E684)*(Work_Codes!$N$114:$Y$118)*(L$663:L$667))</f>
        <v>0</v>
      </c>
      <c r="M684" s="81">
        <f ca="1">SUMPRODUCT((Work_Codes!$N$111:$Y$111=$E684)*(Work_Codes!$N$114:$Y$118)*(M$663:M$667))</f>
        <v>0</v>
      </c>
      <c r="N684" s="81">
        <f ca="1">SUMPRODUCT((Work_Codes!$N$111:$Y$111=$E684)*(Work_Codes!$N$114:$Y$118)*(N$663:N$667))</f>
        <v>0</v>
      </c>
      <c r="O684" s="81">
        <f ca="1">SUMPRODUCT((Work_Codes!$N$111:$Y$111=$E684)*(Work_Codes!$N$114:$Y$118)*(O$663:O$667))</f>
        <v>0</v>
      </c>
      <c r="P684" s="81">
        <f ca="1">SUMPRODUCT((Work_Codes!$N$111:$Y$111=$E684)*(Work_Codes!$N$114:$Y$118)*(P$663:P$667))</f>
        <v>0</v>
      </c>
      <c r="Q684" s="81">
        <f ca="1">SUMPRODUCT((Work_Codes!$N$111:$Y$111=$E684)*(Work_Codes!$N$114:$Y$118)*(Q$663:Q$667))</f>
        <v>0</v>
      </c>
      <c r="R684" s="81">
        <f ca="1">SUMPRODUCT((Work_Codes!$N$111:$Y$111=$E684)*(Work_Codes!$N$114:$Y$118)*(R$663:R$667))</f>
        <v>0</v>
      </c>
      <c r="S684" s="81">
        <f ca="1">SUMPRODUCT((Work_Codes!$N$111:$Y$111=$E684)*(Work_Codes!$N$114:$Y$118)*(S$663:S$667))</f>
        <v>0</v>
      </c>
      <c r="T684" s="81">
        <f ca="1">SUMPRODUCT((Work_Codes!$N$111:$Y$111=$E684)*(Work_Codes!$N$114:$Y$118)*(T$663:T$667))</f>
        <v>0</v>
      </c>
    </row>
    <row r="685" spans="4:20" ht="11.5" customHeight="1" outlineLevel="2">
      <c r="E685" s="247" t="str">
        <f>GC!C49</f>
        <v>Other - non IT</v>
      </c>
      <c r="F685" s="247"/>
      <c r="G685" s="247"/>
      <c r="H685" s="247"/>
      <c r="I685" s="247"/>
      <c r="J685" s="81">
        <f ca="1">SUMPRODUCT((Work_Codes!$N$111:$Y$111=$E685)*(Work_Codes!$N$114:$Y$118)*(J$663:J$667))</f>
        <v>0</v>
      </c>
      <c r="K685" s="81">
        <f ca="1">SUMPRODUCT((Work_Codes!$N$111:$Y$111=$E685)*(Work_Codes!$N$114:$Y$118)*(K$663:K$667))</f>
        <v>0</v>
      </c>
      <c r="L685" s="81">
        <f ca="1">SUMPRODUCT((Work_Codes!$N$111:$Y$111=$E685)*(Work_Codes!$N$114:$Y$118)*(L$663:L$667))</f>
        <v>0</v>
      </c>
      <c r="M685" s="81">
        <f ca="1">SUMPRODUCT((Work_Codes!$N$111:$Y$111=$E685)*(Work_Codes!$N$114:$Y$118)*(M$663:M$667))</f>
        <v>0</v>
      </c>
      <c r="N685" s="81">
        <f ca="1">SUMPRODUCT((Work_Codes!$N$111:$Y$111=$E685)*(Work_Codes!$N$114:$Y$118)*(N$663:N$667))</f>
        <v>0</v>
      </c>
      <c r="O685" s="81">
        <f ca="1">SUMPRODUCT((Work_Codes!$N$111:$Y$111=$E685)*(Work_Codes!$N$114:$Y$118)*(O$663:O$667))</f>
        <v>0</v>
      </c>
      <c r="P685" s="81">
        <f ca="1">SUMPRODUCT((Work_Codes!$N$111:$Y$111=$E685)*(Work_Codes!$N$114:$Y$118)*(P$663:P$667))</f>
        <v>0</v>
      </c>
      <c r="Q685" s="81">
        <f ca="1">SUMPRODUCT((Work_Codes!$N$111:$Y$111=$E685)*(Work_Codes!$N$114:$Y$118)*(Q$663:Q$667))</f>
        <v>0</v>
      </c>
      <c r="R685" s="81">
        <f ca="1">SUMPRODUCT((Work_Codes!$N$111:$Y$111=$E685)*(Work_Codes!$N$114:$Y$118)*(R$663:R$667))</f>
        <v>0</v>
      </c>
      <c r="S685" s="81">
        <f ca="1">SUMPRODUCT((Work_Codes!$N$111:$Y$111=$E685)*(Work_Codes!$N$114:$Y$118)*(S$663:S$667))</f>
        <v>0</v>
      </c>
      <c r="T685" s="81">
        <f ca="1">SUMPRODUCT((Work_Codes!$N$111:$Y$111=$E685)*(Work_Codes!$N$114:$Y$118)*(T$663:T$667))</f>
        <v>0</v>
      </c>
    </row>
    <row r="686" spans="4:20" ht="11.5" customHeight="1" outlineLevel="2">
      <c r="E686" s="247" t="str">
        <f>GC!C50</f>
        <v>Land</v>
      </c>
      <c r="F686" s="247"/>
      <c r="G686" s="247"/>
      <c r="H686" s="247"/>
      <c r="I686" s="247"/>
      <c r="J686" s="81">
        <f ca="1">SUMPRODUCT((Work_Codes!$N$111:$Y$111=$E686)*(Work_Codes!$N$114:$Y$118)*(J$663:J$667))</f>
        <v>0</v>
      </c>
      <c r="K686" s="81">
        <f ca="1">SUMPRODUCT((Work_Codes!$N$111:$Y$111=$E686)*(Work_Codes!$N$114:$Y$118)*(K$663:K$667))</f>
        <v>0</v>
      </c>
      <c r="L686" s="81">
        <f ca="1">SUMPRODUCT((Work_Codes!$N$111:$Y$111=$E686)*(Work_Codes!$N$114:$Y$118)*(L$663:L$667))</f>
        <v>0</v>
      </c>
      <c r="M686" s="81">
        <f ca="1">SUMPRODUCT((Work_Codes!$N$111:$Y$111=$E686)*(Work_Codes!$N$114:$Y$118)*(M$663:M$667))</f>
        <v>0</v>
      </c>
      <c r="N686" s="81">
        <f ca="1">SUMPRODUCT((Work_Codes!$N$111:$Y$111=$E686)*(Work_Codes!$N$114:$Y$118)*(N$663:N$667))</f>
        <v>0</v>
      </c>
      <c r="O686" s="81">
        <f ca="1">SUMPRODUCT((Work_Codes!$N$111:$Y$111=$E686)*(Work_Codes!$N$114:$Y$118)*(O$663:O$667))</f>
        <v>0</v>
      </c>
      <c r="P686" s="81">
        <f ca="1">SUMPRODUCT((Work_Codes!$N$111:$Y$111=$E686)*(Work_Codes!$N$114:$Y$118)*(P$663:P$667))</f>
        <v>0</v>
      </c>
      <c r="Q686" s="81">
        <f ca="1">SUMPRODUCT((Work_Codes!$N$111:$Y$111=$E686)*(Work_Codes!$N$114:$Y$118)*(Q$663:Q$667))</f>
        <v>0</v>
      </c>
      <c r="R686" s="81">
        <f ca="1">SUMPRODUCT((Work_Codes!$N$111:$Y$111=$E686)*(Work_Codes!$N$114:$Y$118)*(R$663:R$667))</f>
        <v>0</v>
      </c>
      <c r="S686" s="81">
        <f ca="1">SUMPRODUCT((Work_Codes!$N$111:$Y$111=$E686)*(Work_Codes!$N$114:$Y$118)*(S$663:S$667))</f>
        <v>0</v>
      </c>
      <c r="T686" s="81">
        <f ca="1">SUMPRODUCT((Work_Codes!$N$111:$Y$111=$E686)*(Work_Codes!$N$114:$Y$118)*(T$663:T$667))</f>
        <v>0</v>
      </c>
    </row>
    <row r="687" spans="4:20" outlineLevel="2">
      <c r="E687" s="247" t="str">
        <f>GC!C51</f>
        <v>Capitalised Leases</v>
      </c>
      <c r="F687" s="247"/>
      <c r="G687" s="247"/>
      <c r="H687" s="247"/>
      <c r="I687" s="247"/>
      <c r="J687" s="81">
        <f ca="1">SUMPRODUCT((Work_Codes!$N$111:$Y$111=$E687)*(Work_Codes!$N$114:$Y$118)*(J$663:J$667))</f>
        <v>0</v>
      </c>
      <c r="K687" s="81">
        <f ca="1">SUMPRODUCT((Work_Codes!$N$111:$Y$111=$E687)*(Work_Codes!$N$114:$Y$118)*(K$663:K$667))</f>
        <v>0</v>
      </c>
      <c r="L687" s="81">
        <f ca="1">SUMPRODUCT((Work_Codes!$N$111:$Y$111=$E687)*(Work_Codes!$N$114:$Y$118)*(L$663:L$667))</f>
        <v>0</v>
      </c>
      <c r="M687" s="81">
        <f ca="1">SUMPRODUCT((Work_Codes!$N$111:$Y$111=$E687)*(Work_Codes!$N$114:$Y$118)*(M$663:M$667))</f>
        <v>0</v>
      </c>
      <c r="N687" s="81">
        <f ca="1">SUMPRODUCT((Work_Codes!$N$111:$Y$111=$E687)*(Work_Codes!$N$114:$Y$118)*(N$663:N$667))</f>
        <v>0</v>
      </c>
      <c r="O687" s="81">
        <f ca="1">SUMPRODUCT((Work_Codes!$N$111:$Y$111=$E687)*(Work_Codes!$N$114:$Y$118)*(O$663:O$667))</f>
        <v>0</v>
      </c>
      <c r="P687" s="81">
        <f ca="1">SUMPRODUCT((Work_Codes!$N$111:$Y$111=$E687)*(Work_Codes!$N$114:$Y$118)*(P$663:P$667))</f>
        <v>0</v>
      </c>
      <c r="Q687" s="81">
        <f ca="1">SUMPRODUCT((Work_Codes!$N$111:$Y$111=$E687)*(Work_Codes!$N$114:$Y$118)*(Q$663:Q$667))</f>
        <v>0</v>
      </c>
      <c r="R687" s="81">
        <f ca="1">SUMPRODUCT((Work_Codes!$N$111:$Y$111=$E687)*(Work_Codes!$N$114:$Y$118)*(R$663:R$667))</f>
        <v>0</v>
      </c>
      <c r="S687" s="81">
        <f ca="1">SUMPRODUCT((Work_Codes!$N$111:$Y$111=$E687)*(Work_Codes!$N$114:$Y$118)*(S$663:S$667))</f>
        <v>0</v>
      </c>
      <c r="T687" s="81">
        <f ca="1">SUMPRODUCT((Work_Codes!$N$111:$Y$111=$E687)*(Work_Codes!$N$114:$Y$118)*(T$663:T$667))</f>
        <v>0</v>
      </c>
    </row>
    <row r="688" spans="4:20" outlineLevel="2">
      <c r="E688" s="247" t="str">
        <f>GC!C52</f>
        <v>Transmission pipelines - post 1998</v>
      </c>
      <c r="F688" s="247"/>
      <c r="G688" s="247"/>
      <c r="H688" s="247"/>
      <c r="I688" s="247"/>
      <c r="J688" s="81">
        <f ca="1">SUMPRODUCT((Work_Codes!$N$111:$Y$111=$E688)*(Work_Codes!$N$114:$Y$118)*(J$663:J$667))</f>
        <v>0</v>
      </c>
      <c r="K688" s="81">
        <f ca="1">SUMPRODUCT((Work_Codes!$N$111:$Y$111=$E688)*(Work_Codes!$N$114:$Y$118)*(K$663:K$667))</f>
        <v>0</v>
      </c>
      <c r="L688" s="81">
        <f ca="1">SUMPRODUCT((Work_Codes!$N$111:$Y$111=$E688)*(Work_Codes!$N$114:$Y$118)*(L$663:L$667))</f>
        <v>0</v>
      </c>
      <c r="M688" s="81">
        <f ca="1">SUMPRODUCT((Work_Codes!$N$111:$Y$111=$E688)*(Work_Codes!$N$114:$Y$118)*(M$663:M$667))</f>
        <v>0</v>
      </c>
      <c r="N688" s="81">
        <f ca="1">SUMPRODUCT((Work_Codes!$N$111:$Y$111=$E688)*(Work_Codes!$N$114:$Y$118)*(N$663:N$667))</f>
        <v>0</v>
      </c>
      <c r="O688" s="81">
        <f ca="1">SUMPRODUCT((Work_Codes!$N$111:$Y$111=$E688)*(Work_Codes!$N$114:$Y$118)*(O$663:O$667))</f>
        <v>0</v>
      </c>
      <c r="P688" s="81">
        <f ca="1">SUMPRODUCT((Work_Codes!$N$111:$Y$111=$E688)*(Work_Codes!$N$114:$Y$118)*(P$663:P$667))</f>
        <v>0</v>
      </c>
      <c r="Q688" s="81">
        <f ca="1">SUMPRODUCT((Work_Codes!$N$111:$Y$111=$E688)*(Work_Codes!$N$114:$Y$118)*(Q$663:Q$667))</f>
        <v>0</v>
      </c>
      <c r="R688" s="81">
        <f ca="1">SUMPRODUCT((Work_Codes!$N$111:$Y$111=$E688)*(Work_Codes!$N$114:$Y$118)*(R$663:R$667))</f>
        <v>0</v>
      </c>
      <c r="S688" s="81">
        <f ca="1">SUMPRODUCT((Work_Codes!$N$111:$Y$111=$E688)*(Work_Codes!$N$114:$Y$118)*(S$663:S$667))</f>
        <v>0</v>
      </c>
      <c r="T688" s="81">
        <f ca="1">SUMPRODUCT((Work_Codes!$N$111:$Y$111=$E688)*(Work_Codes!$N$114:$Y$118)*(T$663:T$667))</f>
        <v>0</v>
      </c>
    </row>
    <row r="689" spans="4:20" outlineLevel="2">
      <c r="E689" s="247" t="str">
        <f>GC!C53</f>
        <v>Distribution pipelines - post 1998</v>
      </c>
      <c r="F689" s="247"/>
      <c r="G689" s="247"/>
      <c r="H689" s="247"/>
      <c r="I689" s="247"/>
      <c r="J689" s="81">
        <f ca="1">SUMPRODUCT((Work_Codes!$N$111:$Y$111=$E689)*(Work_Codes!$N$114:$Y$118)*(J$663:J$667))</f>
        <v>0</v>
      </c>
      <c r="K689" s="81">
        <f ca="1">SUMPRODUCT((Work_Codes!$N$111:$Y$111=$E689)*(Work_Codes!$N$114:$Y$118)*(K$663:K$667))</f>
        <v>0</v>
      </c>
      <c r="L689" s="81">
        <f ca="1">SUMPRODUCT((Work_Codes!$N$111:$Y$111=$E689)*(Work_Codes!$N$114:$Y$118)*(L$663:L$667))</f>
        <v>0</v>
      </c>
      <c r="M689" s="81">
        <f ca="1">SUMPRODUCT((Work_Codes!$N$111:$Y$111=$E689)*(Work_Codes!$N$114:$Y$118)*(M$663:M$667))</f>
        <v>0</v>
      </c>
      <c r="N689" s="81">
        <f ca="1">SUMPRODUCT((Work_Codes!$N$111:$Y$111=$E689)*(Work_Codes!$N$114:$Y$118)*(N$663:N$667))</f>
        <v>1107084.0133333344</v>
      </c>
      <c r="O689" s="81">
        <f ca="1">SUMPRODUCT((Work_Codes!$N$111:$Y$111=$E689)*(Work_Codes!$N$114:$Y$118)*(O$663:O$667))</f>
        <v>505897.5</v>
      </c>
      <c r="P689" s="81">
        <f ca="1">SUMPRODUCT((Work_Codes!$N$111:$Y$111=$E689)*(Work_Codes!$N$114:$Y$118)*(P$663:P$667))</f>
        <v>978070.93906976783</v>
      </c>
      <c r="Q689" s="81">
        <f ca="1">SUMPRODUCT((Work_Codes!$N$111:$Y$111=$E689)*(Work_Codes!$N$114:$Y$118)*(Q$663:Q$667))</f>
        <v>876398.80873268319</v>
      </c>
      <c r="R689" s="81">
        <f ca="1">SUMPRODUCT((Work_Codes!$N$111:$Y$111=$E689)*(Work_Codes!$N$114:$Y$118)*(R$663:R$667))</f>
        <v>784845.39516386599</v>
      </c>
      <c r="S689" s="81">
        <f ca="1">SUMPRODUCT((Work_Codes!$N$111:$Y$111=$E689)*(Work_Codes!$N$114:$Y$118)*(S$663:S$667))</f>
        <v>702390.09939519048</v>
      </c>
      <c r="T689" s="81">
        <f ca="1">SUMPRODUCT((Work_Codes!$N$111:$Y$111=$E689)*(Work_Codes!$N$114:$Y$118)*(T$663:T$667))</f>
        <v>628122.83177784015</v>
      </c>
    </row>
    <row r="690" spans="4:20" outlineLevel="2">
      <c r="E690" s="247" t="str">
        <f>GC!C54</f>
        <v>Service pipes - post 1998</v>
      </c>
      <c r="F690" s="247"/>
      <c r="G690" s="247"/>
      <c r="H690" s="247"/>
      <c r="I690" s="247"/>
      <c r="J690" s="81">
        <f ca="1">SUMPRODUCT((Work_Codes!$N$111:$Y$111=$E690)*(Work_Codes!$N$114:$Y$118)*(J$663:J$667))</f>
        <v>0</v>
      </c>
      <c r="K690" s="81">
        <f ca="1">SUMPRODUCT((Work_Codes!$N$111:$Y$111=$E690)*(Work_Codes!$N$114:$Y$118)*(K$663:K$667))</f>
        <v>0</v>
      </c>
      <c r="L690" s="81">
        <f ca="1">SUMPRODUCT((Work_Codes!$N$111:$Y$111=$E690)*(Work_Codes!$N$114:$Y$118)*(L$663:L$667))</f>
        <v>0</v>
      </c>
      <c r="M690" s="81">
        <f ca="1">SUMPRODUCT((Work_Codes!$N$111:$Y$111=$E690)*(Work_Codes!$N$114:$Y$118)*(M$663:M$667))</f>
        <v>0</v>
      </c>
      <c r="N690" s="81">
        <f ca="1">SUMPRODUCT((Work_Codes!$N$111:$Y$111=$E690)*(Work_Codes!$N$114:$Y$118)*(N$663:N$667))</f>
        <v>1107084.0133333344</v>
      </c>
      <c r="O690" s="81">
        <f ca="1">SUMPRODUCT((Work_Codes!$N$111:$Y$111=$E690)*(Work_Codes!$N$114:$Y$118)*(O$663:O$667))</f>
        <v>505897.5</v>
      </c>
      <c r="P690" s="81">
        <f ca="1">SUMPRODUCT((Work_Codes!$N$111:$Y$111=$E690)*(Work_Codes!$N$114:$Y$118)*(P$663:P$667))</f>
        <v>1045581.8128734316</v>
      </c>
      <c r="Q690" s="81">
        <f ca="1">SUMPRODUCT((Work_Codes!$N$111:$Y$111=$E690)*(Work_Codes!$N$114:$Y$118)*(Q$663:Q$667))</f>
        <v>944943.92751824297</v>
      </c>
      <c r="R690" s="81">
        <f ca="1">SUMPRODUCT((Work_Codes!$N$111:$Y$111=$E690)*(Work_Codes!$N$114:$Y$118)*(R$663:R$667))</f>
        <v>854449.85864782578</v>
      </c>
      <c r="S690" s="81">
        <f ca="1">SUMPRODUCT((Work_Codes!$N$111:$Y$111=$E690)*(Work_Codes!$N$114:$Y$118)*(S$663:S$667))</f>
        <v>773070.61352382624</v>
      </c>
      <c r="T690" s="81">
        <f ca="1">SUMPRODUCT((Work_Codes!$N$111:$Y$111=$E690)*(Work_Codes!$N$114:$Y$118)*(T$663:T$667))</f>
        <v>699896.37443839107</v>
      </c>
    </row>
    <row r="691" spans="4:20" outlineLevel="2">
      <c r="E691" s="247" t="str">
        <f>GC!C55</f>
        <v>Cathodic protection - post 1998</v>
      </c>
      <c r="F691" s="247"/>
      <c r="G691" s="247"/>
      <c r="H691" s="247"/>
      <c r="I691" s="247"/>
      <c r="J691" s="81">
        <f ca="1">SUMPRODUCT((Work_Codes!$N$111:$Y$111=$E691)*(Work_Codes!$N$114:$Y$118)*(J$663:J$667))</f>
        <v>0</v>
      </c>
      <c r="K691" s="81">
        <f ca="1">SUMPRODUCT((Work_Codes!$N$111:$Y$111=$E691)*(Work_Codes!$N$114:$Y$118)*(K$663:K$667))</f>
        <v>0</v>
      </c>
      <c r="L691" s="81">
        <f ca="1">SUMPRODUCT((Work_Codes!$N$111:$Y$111=$E691)*(Work_Codes!$N$114:$Y$118)*(L$663:L$667))</f>
        <v>0</v>
      </c>
      <c r="M691" s="81">
        <f ca="1">SUMPRODUCT((Work_Codes!$N$111:$Y$111=$E691)*(Work_Codes!$N$114:$Y$118)*(M$663:M$667))</f>
        <v>0</v>
      </c>
      <c r="N691" s="81">
        <f ca="1">SUMPRODUCT((Work_Codes!$N$111:$Y$111=$E691)*(Work_Codes!$N$114:$Y$118)*(N$663:N$667))</f>
        <v>0</v>
      </c>
      <c r="O691" s="81">
        <f ca="1">SUMPRODUCT((Work_Codes!$N$111:$Y$111=$E691)*(Work_Codes!$N$114:$Y$118)*(O$663:O$667))</f>
        <v>0</v>
      </c>
      <c r="P691" s="81">
        <f ca="1">SUMPRODUCT((Work_Codes!$N$111:$Y$111=$E691)*(Work_Codes!$N$114:$Y$118)*(P$663:P$667))</f>
        <v>0</v>
      </c>
      <c r="Q691" s="81">
        <f ca="1">SUMPRODUCT((Work_Codes!$N$111:$Y$111=$E691)*(Work_Codes!$N$114:$Y$118)*(Q$663:Q$667))</f>
        <v>0</v>
      </c>
      <c r="R691" s="81">
        <f ca="1">SUMPRODUCT((Work_Codes!$N$111:$Y$111=$E691)*(Work_Codes!$N$114:$Y$118)*(R$663:R$667))</f>
        <v>0</v>
      </c>
      <c r="S691" s="81">
        <f ca="1">SUMPRODUCT((Work_Codes!$N$111:$Y$111=$E691)*(Work_Codes!$N$114:$Y$118)*(S$663:S$667))</f>
        <v>0</v>
      </c>
      <c r="T691" s="81">
        <f ca="1">SUMPRODUCT((Work_Codes!$N$111:$Y$111=$E691)*(Work_Codes!$N$114:$Y$118)*(T$663:T$667))</f>
        <v>0</v>
      </c>
    </row>
    <row r="692" spans="4:20" ht="12" customHeight="1" outlineLevel="2">
      <c r="E692" s="249" t="str">
        <f>"Total "&amp;D674</f>
        <v>Total Direct Costs</v>
      </c>
      <c r="F692" s="249"/>
      <c r="G692" s="249"/>
      <c r="H692" s="249"/>
      <c r="I692" s="249"/>
      <c r="J692" s="82">
        <f t="shared" ref="J692:T692" ca="1" si="73">SUM(J676:J691)</f>
        <v>0</v>
      </c>
      <c r="K692" s="82">
        <f t="shared" ca="1" si="73"/>
        <v>0</v>
      </c>
      <c r="L692" s="82">
        <f t="shared" ca="1" si="73"/>
        <v>0</v>
      </c>
      <c r="M692" s="82">
        <f t="shared" ca="1" si="73"/>
        <v>0</v>
      </c>
      <c r="N692" s="82">
        <f t="shared" ca="1" si="73"/>
        <v>2214168.0266666687</v>
      </c>
      <c r="O692" s="82">
        <f t="shared" ca="1" si="73"/>
        <v>1011795</v>
      </c>
      <c r="P692" s="82">
        <f t="shared" ca="1" si="73"/>
        <v>2023652.7519431994</v>
      </c>
      <c r="Q692" s="82">
        <f t="shared" ca="1" si="73"/>
        <v>1821342.7362509263</v>
      </c>
      <c r="R692" s="82">
        <f t="shared" ca="1" si="73"/>
        <v>1639295.2538116919</v>
      </c>
      <c r="S692" s="82">
        <f t="shared" ca="1" si="73"/>
        <v>1475460.7129190168</v>
      </c>
      <c r="T692" s="82">
        <f t="shared" ca="1" si="73"/>
        <v>1328019.2062162312</v>
      </c>
    </row>
    <row r="693" spans="4:20" outlineLevel="2"/>
    <row r="694" spans="4:20" outlineLevel="2">
      <c r="D694" s="37" t="s">
        <v>364</v>
      </c>
    </row>
    <row r="695" spans="4:20" ht="5.9" customHeight="1" outlineLevel="2"/>
    <row r="696" spans="4:20" outlineLevel="2">
      <c r="E696" s="247" t="str">
        <f>GC!C40</f>
        <v>Transmission pipelines</v>
      </c>
      <c r="F696" s="247"/>
      <c r="G696" s="247"/>
      <c r="H696" s="247"/>
      <c r="I696" s="247"/>
      <c r="J696" s="81">
        <f ca="1">J676*(INDEX(J$585:J$587,MATCH(Work_Codes!$I$108,$D$585:$D$587,0)))</f>
        <v>0</v>
      </c>
      <c r="K696" s="81">
        <f ca="1">K676*(INDEX(K$585:K$587,MATCH(Work_Codes!$I$108,$D$585:$D$587,0)))</f>
        <v>0</v>
      </c>
      <c r="L696" s="81">
        <f ca="1">L676*(INDEX(L$585:L$587,MATCH(Work_Codes!$I$108,$D$585:$D$587,0)))</f>
        <v>0</v>
      </c>
      <c r="M696" s="81">
        <f ca="1">M676*(INDEX(M$585:M$587,MATCH(Work_Codes!$I$108,$D$585:$D$587,0)))</f>
        <v>0</v>
      </c>
      <c r="N696" s="81">
        <f ca="1">N676*(INDEX(N$585:N$587,MATCH(Work_Codes!$I$108,$D$585:$D$587,0)))</f>
        <v>0</v>
      </c>
      <c r="O696" s="81">
        <f ca="1">O676*(INDEX(O$585:O$587,MATCH(Work_Codes!$I$108,$D$585:$D$587,0)))</f>
        <v>0</v>
      </c>
      <c r="P696" s="81">
        <f ca="1">P676*(INDEX(P$585:P$587,MATCH(Work_Codes!$I$108,$D$585:$D$587,0)))</f>
        <v>0</v>
      </c>
      <c r="Q696" s="81">
        <f ca="1">Q676*(INDEX(Q$585:Q$587,MATCH(Work_Codes!$I$108,$D$585:$D$587,0)))</f>
        <v>0</v>
      </c>
      <c r="R696" s="81">
        <f ca="1">R676*(INDEX(R$585:R$587,MATCH(Work_Codes!$I$108,$D$585:$D$587,0)))</f>
        <v>0</v>
      </c>
      <c r="S696" s="81">
        <f ca="1">S676*(INDEX(S$585:S$587,MATCH(Work_Codes!$I$108,$D$585:$D$587,0)))</f>
        <v>0</v>
      </c>
      <c r="T696" s="81">
        <f ca="1">T676*(INDEX(T$585:T$587,MATCH(Work_Codes!$I$108,$D$585:$D$587,0)))</f>
        <v>0</v>
      </c>
    </row>
    <row r="697" spans="4:20" outlineLevel="2">
      <c r="E697" s="247" t="str">
        <f>GC!C41</f>
        <v>Distribution pipelines</v>
      </c>
      <c r="F697" s="247"/>
      <c r="G697" s="247"/>
      <c r="H697" s="247"/>
      <c r="I697" s="247"/>
      <c r="J697" s="81">
        <f ca="1">J677*(INDEX(J$585:J$587,MATCH(Work_Codes!$I$108,$D$585:$D$587,0)))</f>
        <v>0</v>
      </c>
      <c r="K697" s="81">
        <f ca="1">K677*(INDEX(K$585:K$587,MATCH(Work_Codes!$I$108,$D$585:$D$587,0)))</f>
        <v>0</v>
      </c>
      <c r="L697" s="81">
        <f ca="1">L677*(INDEX(L$585:L$587,MATCH(Work_Codes!$I$108,$D$585:$D$587,0)))</f>
        <v>0</v>
      </c>
      <c r="M697" s="81">
        <f ca="1">M677*(INDEX(M$585:M$587,MATCH(Work_Codes!$I$108,$D$585:$D$587,0)))</f>
        <v>0</v>
      </c>
      <c r="N697" s="81">
        <f ca="1">N677*(INDEX(N$585:N$587,MATCH(Work_Codes!$I$108,$D$585:$D$587,0)))</f>
        <v>0</v>
      </c>
      <c r="O697" s="81">
        <f ca="1">O677*(INDEX(O$585:O$587,MATCH(Work_Codes!$I$108,$D$585:$D$587,0)))</f>
        <v>0</v>
      </c>
      <c r="P697" s="81">
        <f ca="1">P677*(INDEX(P$585:P$587,MATCH(Work_Codes!$I$108,$D$585:$D$587,0)))</f>
        <v>0</v>
      </c>
      <c r="Q697" s="81">
        <f ca="1">Q677*(INDEX(Q$585:Q$587,MATCH(Work_Codes!$I$108,$D$585:$D$587,0)))</f>
        <v>0</v>
      </c>
      <c r="R697" s="81">
        <f ca="1">R677*(INDEX(R$585:R$587,MATCH(Work_Codes!$I$108,$D$585:$D$587,0)))</f>
        <v>0</v>
      </c>
      <c r="S697" s="81">
        <f ca="1">S677*(INDEX(S$585:S$587,MATCH(Work_Codes!$I$108,$D$585:$D$587,0)))</f>
        <v>0</v>
      </c>
      <c r="T697" s="81">
        <f ca="1">T677*(INDEX(T$585:T$587,MATCH(Work_Codes!$I$108,$D$585:$D$587,0)))</f>
        <v>0</v>
      </c>
    </row>
    <row r="698" spans="4:20" outlineLevel="2">
      <c r="E698" s="247" t="str">
        <f>GC!C42</f>
        <v>Service pipes</v>
      </c>
      <c r="F698" s="247"/>
      <c r="G698" s="247"/>
      <c r="H698" s="247"/>
      <c r="I698" s="247"/>
      <c r="J698" s="81">
        <f ca="1">J678*(INDEX(J$585:J$587,MATCH(Work_Codes!$I$108,$D$585:$D$587,0)))</f>
        <v>0</v>
      </c>
      <c r="K698" s="81">
        <f ca="1">K678*(INDEX(K$585:K$587,MATCH(Work_Codes!$I$108,$D$585:$D$587,0)))</f>
        <v>0</v>
      </c>
      <c r="L698" s="81">
        <f ca="1">L678*(INDEX(L$585:L$587,MATCH(Work_Codes!$I$108,$D$585:$D$587,0)))</f>
        <v>0</v>
      </c>
      <c r="M698" s="81">
        <f ca="1">M678*(INDEX(M$585:M$587,MATCH(Work_Codes!$I$108,$D$585:$D$587,0)))</f>
        <v>0</v>
      </c>
      <c r="N698" s="81">
        <f ca="1">N678*(INDEX(N$585:N$587,MATCH(Work_Codes!$I$108,$D$585:$D$587,0)))</f>
        <v>0</v>
      </c>
      <c r="O698" s="81">
        <f ca="1">O678*(INDEX(O$585:O$587,MATCH(Work_Codes!$I$108,$D$585:$D$587,0)))</f>
        <v>0</v>
      </c>
      <c r="P698" s="81">
        <f ca="1">P678*(INDEX(P$585:P$587,MATCH(Work_Codes!$I$108,$D$585:$D$587,0)))</f>
        <v>0</v>
      </c>
      <c r="Q698" s="81">
        <f ca="1">Q678*(INDEX(Q$585:Q$587,MATCH(Work_Codes!$I$108,$D$585:$D$587,0)))</f>
        <v>0</v>
      </c>
      <c r="R698" s="81">
        <f ca="1">R678*(INDEX(R$585:R$587,MATCH(Work_Codes!$I$108,$D$585:$D$587,0)))</f>
        <v>0</v>
      </c>
      <c r="S698" s="81">
        <f ca="1">S678*(INDEX(S$585:S$587,MATCH(Work_Codes!$I$108,$D$585:$D$587,0)))</f>
        <v>0</v>
      </c>
      <c r="T698" s="81">
        <f ca="1">T678*(INDEX(T$585:T$587,MATCH(Work_Codes!$I$108,$D$585:$D$587,0)))</f>
        <v>0</v>
      </c>
    </row>
    <row r="699" spans="4:20" outlineLevel="2">
      <c r="E699" s="247" t="str">
        <f>GC!C43</f>
        <v>Cathodic protection</v>
      </c>
      <c r="F699" s="247"/>
      <c r="G699" s="247"/>
      <c r="H699" s="247"/>
      <c r="I699" s="247"/>
      <c r="J699" s="81">
        <f ca="1">J679*(INDEX(J$585:J$587,MATCH(Work_Codes!$I$108,$D$585:$D$587,0)))</f>
        <v>0</v>
      </c>
      <c r="K699" s="81">
        <f ca="1">K679*(INDEX(K$585:K$587,MATCH(Work_Codes!$I$108,$D$585:$D$587,0)))</f>
        <v>0</v>
      </c>
      <c r="L699" s="81">
        <f ca="1">L679*(INDEX(L$585:L$587,MATCH(Work_Codes!$I$108,$D$585:$D$587,0)))</f>
        <v>0</v>
      </c>
      <c r="M699" s="81">
        <f ca="1">M679*(INDEX(M$585:M$587,MATCH(Work_Codes!$I$108,$D$585:$D$587,0)))</f>
        <v>0</v>
      </c>
      <c r="N699" s="81">
        <f ca="1">N679*(INDEX(N$585:N$587,MATCH(Work_Codes!$I$108,$D$585:$D$587,0)))</f>
        <v>0</v>
      </c>
      <c r="O699" s="81">
        <f ca="1">O679*(INDEX(O$585:O$587,MATCH(Work_Codes!$I$108,$D$585:$D$587,0)))</f>
        <v>0</v>
      </c>
      <c r="P699" s="81">
        <f ca="1">P679*(INDEX(P$585:P$587,MATCH(Work_Codes!$I$108,$D$585:$D$587,0)))</f>
        <v>0</v>
      </c>
      <c r="Q699" s="81">
        <f ca="1">Q679*(INDEX(Q$585:Q$587,MATCH(Work_Codes!$I$108,$D$585:$D$587,0)))</f>
        <v>0</v>
      </c>
      <c r="R699" s="81">
        <f ca="1">R679*(INDEX(R$585:R$587,MATCH(Work_Codes!$I$108,$D$585:$D$587,0)))</f>
        <v>0</v>
      </c>
      <c r="S699" s="81">
        <f ca="1">S679*(INDEX(S$585:S$587,MATCH(Work_Codes!$I$108,$D$585:$D$587,0)))</f>
        <v>0</v>
      </c>
      <c r="T699" s="81">
        <f ca="1">T679*(INDEX(T$585:T$587,MATCH(Work_Codes!$I$108,$D$585:$D$587,0)))</f>
        <v>0</v>
      </c>
    </row>
    <row r="700" spans="4:20" outlineLevel="2">
      <c r="E700" s="247" t="str">
        <f>GC!C44</f>
        <v>Supply Regulators / Valve Stations</v>
      </c>
      <c r="F700" s="247"/>
      <c r="G700" s="247"/>
      <c r="H700" s="247"/>
      <c r="I700" s="247"/>
      <c r="J700" s="81">
        <f ca="1">J680*(INDEX(J$585:J$587,MATCH(Work_Codes!$I$108,$D$585:$D$587,0)))</f>
        <v>0</v>
      </c>
      <c r="K700" s="81">
        <f ca="1">K680*(INDEX(K$585:K$587,MATCH(Work_Codes!$I$108,$D$585:$D$587,0)))</f>
        <v>0</v>
      </c>
      <c r="L700" s="81">
        <f ca="1">L680*(INDEX(L$585:L$587,MATCH(Work_Codes!$I$108,$D$585:$D$587,0)))</f>
        <v>0</v>
      </c>
      <c r="M700" s="81">
        <f ca="1">M680*(INDEX(M$585:M$587,MATCH(Work_Codes!$I$108,$D$585:$D$587,0)))</f>
        <v>0</v>
      </c>
      <c r="N700" s="81">
        <f ca="1">N680*(INDEX(N$585:N$587,MATCH(Work_Codes!$I$108,$D$585:$D$587,0)))</f>
        <v>0</v>
      </c>
      <c r="O700" s="81">
        <f ca="1">O680*(INDEX(O$585:O$587,MATCH(Work_Codes!$I$108,$D$585:$D$587,0)))</f>
        <v>0</v>
      </c>
      <c r="P700" s="81">
        <f ca="1">P680*(INDEX(P$585:P$587,MATCH(Work_Codes!$I$108,$D$585:$D$587,0)))</f>
        <v>0</v>
      </c>
      <c r="Q700" s="81">
        <f ca="1">Q680*(INDEX(Q$585:Q$587,MATCH(Work_Codes!$I$108,$D$585:$D$587,0)))</f>
        <v>0</v>
      </c>
      <c r="R700" s="81">
        <f ca="1">R680*(INDEX(R$585:R$587,MATCH(Work_Codes!$I$108,$D$585:$D$587,0)))</f>
        <v>0</v>
      </c>
      <c r="S700" s="81">
        <f ca="1">S680*(INDEX(S$585:S$587,MATCH(Work_Codes!$I$108,$D$585:$D$587,0)))</f>
        <v>0</v>
      </c>
      <c r="T700" s="81">
        <f ca="1">T680*(INDEX(T$585:T$587,MATCH(Work_Codes!$I$108,$D$585:$D$587,0)))</f>
        <v>0</v>
      </c>
    </row>
    <row r="701" spans="4:20" outlineLevel="2">
      <c r="E701" s="247" t="str">
        <f>GC!C45</f>
        <v>Meters</v>
      </c>
      <c r="F701" s="247"/>
      <c r="G701" s="247"/>
      <c r="H701" s="247"/>
      <c r="I701" s="247"/>
      <c r="J701" s="81">
        <f ca="1">J681*(INDEX(J$585:J$587,MATCH(Work_Codes!$I$108,$D$585:$D$587,0)))</f>
        <v>0</v>
      </c>
      <c r="K701" s="81">
        <f ca="1">K681*(INDEX(K$585:K$587,MATCH(Work_Codes!$I$108,$D$585:$D$587,0)))</f>
        <v>0</v>
      </c>
      <c r="L701" s="81">
        <f ca="1">L681*(INDEX(L$585:L$587,MATCH(Work_Codes!$I$108,$D$585:$D$587,0)))</f>
        <v>0</v>
      </c>
      <c r="M701" s="81">
        <f ca="1">M681*(INDEX(M$585:M$587,MATCH(Work_Codes!$I$108,$D$585:$D$587,0)))</f>
        <v>0</v>
      </c>
      <c r="N701" s="81">
        <f ca="1">N681*(INDEX(N$585:N$587,MATCH(Work_Codes!$I$108,$D$585:$D$587,0)))</f>
        <v>0</v>
      </c>
      <c r="O701" s="81">
        <f ca="1">O681*(INDEX(O$585:O$587,MATCH(Work_Codes!$I$108,$D$585:$D$587,0)))</f>
        <v>0</v>
      </c>
      <c r="P701" s="81">
        <f ca="1">P681*(INDEX(P$585:P$587,MATCH(Work_Codes!$I$108,$D$585:$D$587,0)))</f>
        <v>0</v>
      </c>
      <c r="Q701" s="81">
        <f ca="1">Q681*(INDEX(Q$585:Q$587,MATCH(Work_Codes!$I$108,$D$585:$D$587,0)))</f>
        <v>0</v>
      </c>
      <c r="R701" s="81">
        <f ca="1">R681*(INDEX(R$585:R$587,MATCH(Work_Codes!$I$108,$D$585:$D$587,0)))</f>
        <v>0</v>
      </c>
      <c r="S701" s="81">
        <f ca="1">S681*(INDEX(S$585:S$587,MATCH(Work_Codes!$I$108,$D$585:$D$587,0)))</f>
        <v>0</v>
      </c>
      <c r="T701" s="81">
        <f ca="1">T681*(INDEX(T$585:T$587,MATCH(Work_Codes!$I$108,$D$585:$D$587,0)))</f>
        <v>0</v>
      </c>
    </row>
    <row r="702" spans="4:20" outlineLevel="2">
      <c r="E702" s="247" t="str">
        <f>GC!C46</f>
        <v>SCADA and remote control</v>
      </c>
      <c r="F702" s="247"/>
      <c r="G702" s="247"/>
      <c r="H702" s="247"/>
      <c r="I702" s="247"/>
      <c r="J702" s="81">
        <f ca="1">J682*(INDEX(J$585:J$587,MATCH(Work_Codes!$I$108,$D$585:$D$587,0)))</f>
        <v>0</v>
      </c>
      <c r="K702" s="81">
        <f ca="1">K682*(INDEX(K$585:K$587,MATCH(Work_Codes!$I$108,$D$585:$D$587,0)))</f>
        <v>0</v>
      </c>
      <c r="L702" s="81">
        <f ca="1">L682*(INDEX(L$585:L$587,MATCH(Work_Codes!$I$108,$D$585:$D$587,0)))</f>
        <v>0</v>
      </c>
      <c r="M702" s="81">
        <f ca="1">M682*(INDEX(M$585:M$587,MATCH(Work_Codes!$I$108,$D$585:$D$587,0)))</f>
        <v>0</v>
      </c>
      <c r="N702" s="81">
        <f ca="1">N682*(INDEX(N$585:N$587,MATCH(Work_Codes!$I$108,$D$585:$D$587,0)))</f>
        <v>0</v>
      </c>
      <c r="O702" s="81">
        <f ca="1">O682*(INDEX(O$585:O$587,MATCH(Work_Codes!$I$108,$D$585:$D$587,0)))</f>
        <v>0</v>
      </c>
      <c r="P702" s="81">
        <f ca="1">P682*(INDEX(P$585:P$587,MATCH(Work_Codes!$I$108,$D$585:$D$587,0)))</f>
        <v>0</v>
      </c>
      <c r="Q702" s="81">
        <f ca="1">Q682*(INDEX(Q$585:Q$587,MATCH(Work_Codes!$I$108,$D$585:$D$587,0)))</f>
        <v>0</v>
      </c>
      <c r="R702" s="81">
        <f ca="1">R682*(INDEX(R$585:R$587,MATCH(Work_Codes!$I$108,$D$585:$D$587,0)))</f>
        <v>0</v>
      </c>
      <c r="S702" s="81">
        <f ca="1">S682*(INDEX(S$585:S$587,MATCH(Work_Codes!$I$108,$D$585:$D$587,0)))</f>
        <v>0</v>
      </c>
      <c r="T702" s="81">
        <f ca="1">T682*(INDEX(T$585:T$587,MATCH(Work_Codes!$I$108,$D$585:$D$587,0)))</f>
        <v>0</v>
      </c>
    </row>
    <row r="703" spans="4:20" outlineLevel="2">
      <c r="E703" s="247" t="str">
        <f>GC!C47</f>
        <v>Buildings</v>
      </c>
      <c r="F703" s="247"/>
      <c r="G703" s="247"/>
      <c r="H703" s="247"/>
      <c r="I703" s="247"/>
      <c r="J703" s="81">
        <f ca="1">J683*(INDEX(J$585:J$587,MATCH(Work_Codes!$I$108,$D$585:$D$587,0)))</f>
        <v>0</v>
      </c>
      <c r="K703" s="81">
        <f ca="1">K683*(INDEX(K$585:K$587,MATCH(Work_Codes!$I$108,$D$585:$D$587,0)))</f>
        <v>0</v>
      </c>
      <c r="L703" s="81">
        <f ca="1">L683*(INDEX(L$585:L$587,MATCH(Work_Codes!$I$108,$D$585:$D$587,0)))</f>
        <v>0</v>
      </c>
      <c r="M703" s="81">
        <f ca="1">M683*(INDEX(M$585:M$587,MATCH(Work_Codes!$I$108,$D$585:$D$587,0)))</f>
        <v>0</v>
      </c>
      <c r="N703" s="81">
        <f ca="1">N683*(INDEX(N$585:N$587,MATCH(Work_Codes!$I$108,$D$585:$D$587,0)))</f>
        <v>0</v>
      </c>
      <c r="O703" s="81">
        <f ca="1">O683*(INDEX(O$585:O$587,MATCH(Work_Codes!$I$108,$D$585:$D$587,0)))</f>
        <v>0</v>
      </c>
      <c r="P703" s="81">
        <f ca="1">P683*(INDEX(P$585:P$587,MATCH(Work_Codes!$I$108,$D$585:$D$587,0)))</f>
        <v>0</v>
      </c>
      <c r="Q703" s="81">
        <f ca="1">Q683*(INDEX(Q$585:Q$587,MATCH(Work_Codes!$I$108,$D$585:$D$587,0)))</f>
        <v>0</v>
      </c>
      <c r="R703" s="81">
        <f ca="1">R683*(INDEX(R$585:R$587,MATCH(Work_Codes!$I$108,$D$585:$D$587,0)))</f>
        <v>0</v>
      </c>
      <c r="S703" s="81">
        <f ca="1">S683*(INDEX(S$585:S$587,MATCH(Work_Codes!$I$108,$D$585:$D$587,0)))</f>
        <v>0</v>
      </c>
      <c r="T703" s="81">
        <f ca="1">T683*(INDEX(T$585:T$587,MATCH(Work_Codes!$I$108,$D$585:$D$587,0)))</f>
        <v>0</v>
      </c>
    </row>
    <row r="704" spans="4:20" outlineLevel="2">
      <c r="E704" s="247" t="str">
        <f>GC!C48</f>
        <v>Other - IT</v>
      </c>
      <c r="F704" s="247"/>
      <c r="G704" s="247"/>
      <c r="H704" s="247"/>
      <c r="I704" s="247"/>
      <c r="J704" s="81">
        <f ca="1">J684*(INDEX(J$585:J$587,MATCH(Work_Codes!$I$108,$D$585:$D$587,0)))</f>
        <v>0</v>
      </c>
      <c r="K704" s="81">
        <f ca="1">K684*(INDEX(K$585:K$587,MATCH(Work_Codes!$I$108,$D$585:$D$587,0)))</f>
        <v>0</v>
      </c>
      <c r="L704" s="81">
        <f ca="1">L684*(INDEX(L$585:L$587,MATCH(Work_Codes!$I$108,$D$585:$D$587,0)))</f>
        <v>0</v>
      </c>
      <c r="M704" s="81">
        <f ca="1">M684*(INDEX(M$585:M$587,MATCH(Work_Codes!$I$108,$D$585:$D$587,0)))</f>
        <v>0</v>
      </c>
      <c r="N704" s="81">
        <f ca="1">N684*(INDEX(N$585:N$587,MATCH(Work_Codes!$I$108,$D$585:$D$587,0)))</f>
        <v>0</v>
      </c>
      <c r="O704" s="81">
        <f ca="1">O684*(INDEX(O$585:O$587,MATCH(Work_Codes!$I$108,$D$585:$D$587,0)))</f>
        <v>0</v>
      </c>
      <c r="P704" s="81">
        <f ca="1">P684*(INDEX(P$585:P$587,MATCH(Work_Codes!$I$108,$D$585:$D$587,0)))</f>
        <v>0</v>
      </c>
      <c r="Q704" s="81">
        <f ca="1">Q684*(INDEX(Q$585:Q$587,MATCH(Work_Codes!$I$108,$D$585:$D$587,0)))</f>
        <v>0</v>
      </c>
      <c r="R704" s="81">
        <f ca="1">R684*(INDEX(R$585:R$587,MATCH(Work_Codes!$I$108,$D$585:$D$587,0)))</f>
        <v>0</v>
      </c>
      <c r="S704" s="81">
        <f ca="1">S684*(INDEX(S$585:S$587,MATCH(Work_Codes!$I$108,$D$585:$D$587,0)))</f>
        <v>0</v>
      </c>
      <c r="T704" s="81">
        <f ca="1">T684*(INDEX(T$585:T$587,MATCH(Work_Codes!$I$108,$D$585:$D$587,0)))</f>
        <v>0</v>
      </c>
    </row>
    <row r="705" spans="4:20" outlineLevel="2">
      <c r="E705" s="247" t="str">
        <f>GC!C49</f>
        <v>Other - non IT</v>
      </c>
      <c r="F705" s="247"/>
      <c r="G705" s="247"/>
      <c r="H705" s="247"/>
      <c r="I705" s="247"/>
      <c r="J705" s="81">
        <f ca="1">J685*(INDEX(J$585:J$587,MATCH(Work_Codes!$I$108,$D$585:$D$587,0)))</f>
        <v>0</v>
      </c>
      <c r="K705" s="81">
        <f ca="1">K685*(INDEX(K$585:K$587,MATCH(Work_Codes!$I$108,$D$585:$D$587,0)))</f>
        <v>0</v>
      </c>
      <c r="L705" s="81">
        <f ca="1">L685*(INDEX(L$585:L$587,MATCH(Work_Codes!$I$108,$D$585:$D$587,0)))</f>
        <v>0</v>
      </c>
      <c r="M705" s="81">
        <f ca="1">M685*(INDEX(M$585:M$587,MATCH(Work_Codes!$I$108,$D$585:$D$587,0)))</f>
        <v>0</v>
      </c>
      <c r="N705" s="81">
        <f ca="1">N685*(INDEX(N$585:N$587,MATCH(Work_Codes!$I$108,$D$585:$D$587,0)))</f>
        <v>0</v>
      </c>
      <c r="O705" s="81">
        <f ca="1">O685*(INDEX(O$585:O$587,MATCH(Work_Codes!$I$108,$D$585:$D$587,0)))</f>
        <v>0</v>
      </c>
      <c r="P705" s="81">
        <f ca="1">P685*(INDEX(P$585:P$587,MATCH(Work_Codes!$I$108,$D$585:$D$587,0)))</f>
        <v>0</v>
      </c>
      <c r="Q705" s="81">
        <f ca="1">Q685*(INDEX(Q$585:Q$587,MATCH(Work_Codes!$I$108,$D$585:$D$587,0)))</f>
        <v>0</v>
      </c>
      <c r="R705" s="81">
        <f ca="1">R685*(INDEX(R$585:R$587,MATCH(Work_Codes!$I$108,$D$585:$D$587,0)))</f>
        <v>0</v>
      </c>
      <c r="S705" s="81">
        <f ca="1">S685*(INDEX(S$585:S$587,MATCH(Work_Codes!$I$108,$D$585:$D$587,0)))</f>
        <v>0</v>
      </c>
      <c r="T705" s="81">
        <f ca="1">T685*(INDEX(T$585:T$587,MATCH(Work_Codes!$I$108,$D$585:$D$587,0)))</f>
        <v>0</v>
      </c>
    </row>
    <row r="706" spans="4:20" outlineLevel="2">
      <c r="E706" s="247" t="str">
        <f>GC!C50</f>
        <v>Land</v>
      </c>
      <c r="F706" s="247"/>
      <c r="G706" s="247"/>
      <c r="H706" s="247"/>
      <c r="I706" s="247"/>
      <c r="J706" s="81">
        <f ca="1">J686*(INDEX(J$585:J$587,MATCH(Work_Codes!$I$108,$D$585:$D$587,0)))</f>
        <v>0</v>
      </c>
      <c r="K706" s="81">
        <f ca="1">K686*(INDEX(K$585:K$587,MATCH(Work_Codes!$I$108,$D$585:$D$587,0)))</f>
        <v>0</v>
      </c>
      <c r="L706" s="81">
        <f ca="1">L686*(INDEX(L$585:L$587,MATCH(Work_Codes!$I$108,$D$585:$D$587,0)))</f>
        <v>0</v>
      </c>
      <c r="M706" s="81">
        <f ca="1">M686*(INDEX(M$585:M$587,MATCH(Work_Codes!$I$108,$D$585:$D$587,0)))</f>
        <v>0</v>
      </c>
      <c r="N706" s="81">
        <f ca="1">N686*(INDEX(N$585:N$587,MATCH(Work_Codes!$I$108,$D$585:$D$587,0)))</f>
        <v>0</v>
      </c>
      <c r="O706" s="81">
        <f ca="1">O686*(INDEX(O$585:O$587,MATCH(Work_Codes!$I$108,$D$585:$D$587,0)))</f>
        <v>0</v>
      </c>
      <c r="P706" s="81">
        <f ca="1">P686*(INDEX(P$585:P$587,MATCH(Work_Codes!$I$108,$D$585:$D$587,0)))</f>
        <v>0</v>
      </c>
      <c r="Q706" s="81">
        <f ca="1">Q686*(INDEX(Q$585:Q$587,MATCH(Work_Codes!$I$108,$D$585:$D$587,0)))</f>
        <v>0</v>
      </c>
      <c r="R706" s="81">
        <f ca="1">R686*(INDEX(R$585:R$587,MATCH(Work_Codes!$I$108,$D$585:$D$587,0)))</f>
        <v>0</v>
      </c>
      <c r="S706" s="81">
        <f ca="1">S686*(INDEX(S$585:S$587,MATCH(Work_Codes!$I$108,$D$585:$D$587,0)))</f>
        <v>0</v>
      </c>
      <c r="T706" s="81">
        <f ca="1">T686*(INDEX(T$585:T$587,MATCH(Work_Codes!$I$108,$D$585:$D$587,0)))</f>
        <v>0</v>
      </c>
    </row>
    <row r="707" spans="4:20" outlineLevel="2">
      <c r="E707" s="247" t="str">
        <f>GC!C51</f>
        <v>Capitalised Leases</v>
      </c>
      <c r="F707" s="247"/>
      <c r="G707" s="247"/>
      <c r="H707" s="247"/>
      <c r="I707" s="247"/>
      <c r="J707" s="81">
        <f ca="1">J687*(INDEX(J$585:J$587,MATCH(Work_Codes!$I$108,$D$585:$D$587,0)))</f>
        <v>0</v>
      </c>
      <c r="K707" s="81">
        <f ca="1">K687*(INDEX(K$585:K$587,MATCH(Work_Codes!$I$108,$D$585:$D$587,0)))</f>
        <v>0</v>
      </c>
      <c r="L707" s="81">
        <f ca="1">L687*(INDEX(L$585:L$587,MATCH(Work_Codes!$I$108,$D$585:$D$587,0)))</f>
        <v>0</v>
      </c>
      <c r="M707" s="81">
        <f ca="1">M687*(INDEX(M$585:M$587,MATCH(Work_Codes!$I$108,$D$585:$D$587,0)))</f>
        <v>0</v>
      </c>
      <c r="N707" s="81">
        <f ca="1">N687*(INDEX(N$585:N$587,MATCH(Work_Codes!$I$108,$D$585:$D$587,0)))</f>
        <v>0</v>
      </c>
      <c r="O707" s="81">
        <f ca="1">O687*(INDEX(O$585:O$587,MATCH(Work_Codes!$I$108,$D$585:$D$587,0)))</f>
        <v>0</v>
      </c>
      <c r="P707" s="81">
        <f ca="1">P687*(INDEX(P$585:P$587,MATCH(Work_Codes!$I$108,$D$585:$D$587,0)))</f>
        <v>0</v>
      </c>
      <c r="Q707" s="81">
        <f ca="1">Q687*(INDEX(Q$585:Q$587,MATCH(Work_Codes!$I$108,$D$585:$D$587,0)))</f>
        <v>0</v>
      </c>
      <c r="R707" s="81">
        <f ca="1">R687*(INDEX(R$585:R$587,MATCH(Work_Codes!$I$108,$D$585:$D$587,0)))</f>
        <v>0</v>
      </c>
      <c r="S707" s="81">
        <f ca="1">S687*(INDEX(S$585:S$587,MATCH(Work_Codes!$I$108,$D$585:$D$587,0)))</f>
        <v>0</v>
      </c>
      <c r="T707" s="81">
        <f ca="1">T687*(INDEX(T$585:T$587,MATCH(Work_Codes!$I$108,$D$585:$D$587,0)))</f>
        <v>0</v>
      </c>
    </row>
    <row r="708" spans="4:20" outlineLevel="2">
      <c r="E708" s="247" t="str">
        <f>GC!C52</f>
        <v>Transmission pipelines - post 1998</v>
      </c>
      <c r="F708" s="247"/>
      <c r="G708" s="247"/>
      <c r="H708" s="247"/>
      <c r="I708" s="247"/>
      <c r="J708" s="81">
        <f ca="1">J688*(INDEX(J$585:J$587,MATCH(Work_Codes!$I$108,$D$585:$D$587,0)))</f>
        <v>0</v>
      </c>
      <c r="K708" s="81">
        <f ca="1">K688*(INDEX(K$585:K$587,MATCH(Work_Codes!$I$108,$D$585:$D$587,0)))</f>
        <v>0</v>
      </c>
      <c r="L708" s="81">
        <f ca="1">L688*(INDEX(L$585:L$587,MATCH(Work_Codes!$I$108,$D$585:$D$587,0)))</f>
        <v>0</v>
      </c>
      <c r="M708" s="81">
        <f ca="1">M688*(INDEX(M$585:M$587,MATCH(Work_Codes!$I$108,$D$585:$D$587,0)))</f>
        <v>0</v>
      </c>
      <c r="N708" s="81">
        <f ca="1">N688*(INDEX(N$585:N$587,MATCH(Work_Codes!$I$108,$D$585:$D$587,0)))</f>
        <v>0</v>
      </c>
      <c r="O708" s="81">
        <f ca="1">O688*(INDEX(O$585:O$587,MATCH(Work_Codes!$I$108,$D$585:$D$587,0)))</f>
        <v>0</v>
      </c>
      <c r="P708" s="81">
        <f ca="1">P688*(INDEX(P$585:P$587,MATCH(Work_Codes!$I$108,$D$585:$D$587,0)))</f>
        <v>0</v>
      </c>
      <c r="Q708" s="81">
        <f ca="1">Q688*(INDEX(Q$585:Q$587,MATCH(Work_Codes!$I$108,$D$585:$D$587,0)))</f>
        <v>0</v>
      </c>
      <c r="R708" s="81">
        <f ca="1">R688*(INDEX(R$585:R$587,MATCH(Work_Codes!$I$108,$D$585:$D$587,0)))</f>
        <v>0</v>
      </c>
      <c r="S708" s="81">
        <f ca="1">S688*(INDEX(S$585:S$587,MATCH(Work_Codes!$I$108,$D$585:$D$587,0)))</f>
        <v>0</v>
      </c>
      <c r="T708" s="81">
        <f ca="1">T688*(INDEX(T$585:T$587,MATCH(Work_Codes!$I$108,$D$585:$D$587,0)))</f>
        <v>0</v>
      </c>
    </row>
    <row r="709" spans="4:20" outlineLevel="2">
      <c r="E709" s="247" t="str">
        <f>GC!C53</f>
        <v>Distribution pipelines - post 1998</v>
      </c>
      <c r="F709" s="247"/>
      <c r="G709" s="247"/>
      <c r="H709" s="247"/>
      <c r="I709" s="247"/>
      <c r="J709" s="81">
        <f ca="1">J689*(INDEX(J$585:J$587,MATCH(Work_Codes!$I$108,$D$585:$D$587,0)))</f>
        <v>0</v>
      </c>
      <c r="K709" s="81">
        <f ca="1">K689*(INDEX(K$585:K$587,MATCH(Work_Codes!$I$108,$D$585:$D$587,0)))</f>
        <v>0</v>
      </c>
      <c r="L709" s="81">
        <f ca="1">L689*(INDEX(L$585:L$587,MATCH(Work_Codes!$I$108,$D$585:$D$587,0)))</f>
        <v>0</v>
      </c>
      <c r="M709" s="81">
        <f ca="1">M689*(INDEX(M$585:M$587,MATCH(Work_Codes!$I$108,$D$585:$D$587,0)))</f>
        <v>0</v>
      </c>
      <c r="N709" s="81">
        <f ca="1">N689*(INDEX(N$585:N$587,MATCH(Work_Codes!$I$108,$D$585:$D$587,0)))</f>
        <v>41749.253400344955</v>
      </c>
      <c r="O709" s="81">
        <f ca="1">O689*(INDEX(O$585:O$587,MATCH(Work_Codes!$I$108,$D$585:$D$587,0)))</f>
        <v>16838.276734853524</v>
      </c>
      <c r="P709" s="81">
        <f ca="1">P689*(INDEX(P$585:P$587,MATCH(Work_Codes!$I$108,$D$585:$D$587,0)))</f>
        <v>26165.999791000304</v>
      </c>
      <c r="Q709" s="81">
        <f ca="1">Q689*(INDEX(Q$585:Q$587,MATCH(Work_Codes!$I$108,$D$585:$D$587,0)))</f>
        <v>22839.467707532178</v>
      </c>
      <c r="R709" s="81">
        <f ca="1">R689*(INDEX(R$585:R$587,MATCH(Work_Codes!$I$108,$D$585:$D$587,0)))</f>
        <v>21091.155003568765</v>
      </c>
      <c r="S709" s="81">
        <f ca="1">S689*(INDEX(S$585:S$587,MATCH(Work_Codes!$I$108,$D$585:$D$587,0)))</f>
        <v>20050.55345466387</v>
      </c>
      <c r="T709" s="81">
        <f ca="1">T689*(INDEX(T$585:T$587,MATCH(Work_Codes!$I$108,$D$585:$D$587,0)))</f>
        <v>18793.67268516355</v>
      </c>
    </row>
    <row r="710" spans="4:20" outlineLevel="2">
      <c r="E710" s="247" t="str">
        <f>GC!C54</f>
        <v>Service pipes - post 1998</v>
      </c>
      <c r="F710" s="247"/>
      <c r="G710" s="247"/>
      <c r="H710" s="247"/>
      <c r="I710" s="247"/>
      <c r="J710" s="81">
        <f ca="1">J690*(INDEX(J$585:J$587,MATCH(Work_Codes!$I$108,$D$585:$D$587,0)))</f>
        <v>0</v>
      </c>
      <c r="K710" s="81">
        <f ca="1">K690*(INDEX(K$585:K$587,MATCH(Work_Codes!$I$108,$D$585:$D$587,0)))</f>
        <v>0</v>
      </c>
      <c r="L710" s="81">
        <f ca="1">L690*(INDEX(L$585:L$587,MATCH(Work_Codes!$I$108,$D$585:$D$587,0)))</f>
        <v>0</v>
      </c>
      <c r="M710" s="81">
        <f ca="1">M690*(INDEX(M$585:M$587,MATCH(Work_Codes!$I$108,$D$585:$D$587,0)))</f>
        <v>0</v>
      </c>
      <c r="N710" s="81">
        <f ca="1">N690*(INDEX(N$585:N$587,MATCH(Work_Codes!$I$108,$D$585:$D$587,0)))</f>
        <v>41749.253400344955</v>
      </c>
      <c r="O710" s="81">
        <f ca="1">O690*(INDEX(O$585:O$587,MATCH(Work_Codes!$I$108,$D$585:$D$587,0)))</f>
        <v>16838.276734853524</v>
      </c>
      <c r="P710" s="81">
        <f ca="1">P690*(INDEX(P$585:P$587,MATCH(Work_Codes!$I$108,$D$585:$D$587,0)))</f>
        <v>27972.095278835779</v>
      </c>
      <c r="Q710" s="81">
        <f ca="1">Q690*(INDEX(Q$585:Q$587,MATCH(Work_Codes!$I$108,$D$585:$D$587,0)))</f>
        <v>24625.793762990412</v>
      </c>
      <c r="R710" s="81">
        <f ca="1">R690*(INDEX(R$585:R$587,MATCH(Work_Codes!$I$108,$D$585:$D$587,0)))</f>
        <v>22961.636167536006</v>
      </c>
      <c r="S710" s="81">
        <f ca="1">S690*(INDEX(S$585:S$587,MATCH(Work_Codes!$I$108,$D$585:$D$587,0)))</f>
        <v>22068.212057710291</v>
      </c>
      <c r="T710" s="81">
        <f ca="1">T690*(INDEX(T$585:T$587,MATCH(Work_Codes!$I$108,$D$585:$D$587,0)))</f>
        <v>20941.164226585664</v>
      </c>
    </row>
    <row r="711" spans="4:20" outlineLevel="2">
      <c r="E711" s="247" t="str">
        <f>GC!C55</f>
        <v>Cathodic protection - post 1998</v>
      </c>
      <c r="F711" s="247"/>
      <c r="G711" s="247"/>
      <c r="H711" s="247"/>
      <c r="I711" s="247"/>
      <c r="J711" s="81">
        <f ca="1">J691*(INDEX(J$585:J$587,MATCH(Work_Codes!$I$108,$D$585:$D$587,0)))</f>
        <v>0</v>
      </c>
      <c r="K711" s="81">
        <f ca="1">K691*(INDEX(K$585:K$587,MATCH(Work_Codes!$I$108,$D$585:$D$587,0)))</f>
        <v>0</v>
      </c>
      <c r="L711" s="81">
        <f ca="1">L691*(INDEX(L$585:L$587,MATCH(Work_Codes!$I$108,$D$585:$D$587,0)))</f>
        <v>0</v>
      </c>
      <c r="M711" s="81">
        <f ca="1">M691*(INDEX(M$585:M$587,MATCH(Work_Codes!$I$108,$D$585:$D$587,0)))</f>
        <v>0</v>
      </c>
      <c r="N711" s="81">
        <f ca="1">N691*(INDEX(N$585:N$587,MATCH(Work_Codes!$I$108,$D$585:$D$587,0)))</f>
        <v>0</v>
      </c>
      <c r="O711" s="81">
        <f ca="1">O691*(INDEX(O$585:O$587,MATCH(Work_Codes!$I$108,$D$585:$D$587,0)))</f>
        <v>0</v>
      </c>
      <c r="P711" s="81">
        <f ca="1">P691*(INDEX(P$585:P$587,MATCH(Work_Codes!$I$108,$D$585:$D$587,0)))</f>
        <v>0</v>
      </c>
      <c r="Q711" s="81">
        <f ca="1">Q691*(INDEX(Q$585:Q$587,MATCH(Work_Codes!$I$108,$D$585:$D$587,0)))</f>
        <v>0</v>
      </c>
      <c r="R711" s="81">
        <f ca="1">R691*(INDEX(R$585:R$587,MATCH(Work_Codes!$I$108,$D$585:$D$587,0)))</f>
        <v>0</v>
      </c>
      <c r="S711" s="81">
        <f ca="1">S691*(INDEX(S$585:S$587,MATCH(Work_Codes!$I$108,$D$585:$D$587,0)))</f>
        <v>0</v>
      </c>
      <c r="T711" s="81">
        <f ca="1">T691*(INDEX(T$585:T$587,MATCH(Work_Codes!$I$108,$D$585:$D$587,0)))</f>
        <v>0</v>
      </c>
    </row>
    <row r="712" spans="4:20" outlineLevel="2">
      <c r="E712" s="249" t="str">
        <f>"Total "&amp;D694</f>
        <v>Total Overheads</v>
      </c>
      <c r="F712" s="249"/>
      <c r="G712" s="249"/>
      <c r="H712" s="249"/>
      <c r="I712" s="249"/>
      <c r="J712" s="82">
        <f t="shared" ref="J712:T712" ca="1" si="74">SUM(J696:J711)</f>
        <v>0</v>
      </c>
      <c r="K712" s="82">
        <f t="shared" ca="1" si="74"/>
        <v>0</v>
      </c>
      <c r="L712" s="82">
        <f t="shared" ca="1" si="74"/>
        <v>0</v>
      </c>
      <c r="M712" s="82">
        <f t="shared" ca="1" si="74"/>
        <v>0</v>
      </c>
      <c r="N712" s="82">
        <f t="shared" ca="1" si="74"/>
        <v>83498.506800689909</v>
      </c>
      <c r="O712" s="82">
        <f t="shared" ca="1" si="74"/>
        <v>33676.553469707047</v>
      </c>
      <c r="P712" s="82">
        <f t="shared" ca="1" si="74"/>
        <v>54138.095069836083</v>
      </c>
      <c r="Q712" s="82">
        <f t="shared" ca="1" si="74"/>
        <v>47465.261470522586</v>
      </c>
      <c r="R712" s="82">
        <f t="shared" ca="1" si="74"/>
        <v>44052.791171104771</v>
      </c>
      <c r="S712" s="82">
        <f t="shared" ca="1" si="74"/>
        <v>42118.765512374157</v>
      </c>
      <c r="T712" s="82">
        <f t="shared" ca="1" si="74"/>
        <v>39734.836911749211</v>
      </c>
    </row>
    <row r="713" spans="4:20" outlineLevel="2"/>
    <row r="714" spans="4:20" outlineLevel="2">
      <c r="D714" s="37" t="s">
        <v>216</v>
      </c>
    </row>
    <row r="715" spans="4:20" ht="5.9" customHeight="1" outlineLevel="2"/>
    <row r="716" spans="4:20" ht="11.5" customHeight="1" outlineLevel="2">
      <c r="E716" s="247" t="str">
        <f>GC!C40</f>
        <v>Transmission pipelines</v>
      </c>
      <c r="F716" s="247"/>
      <c r="G716" s="247"/>
      <c r="H716" s="247"/>
      <c r="I716" s="247"/>
      <c r="J716" s="81">
        <f ca="1">J676*(1+INDEX(J$585:J$587,MATCH(Work_Codes!$I$108,$D$585:$D$587,0)))</f>
        <v>0</v>
      </c>
      <c r="K716" s="81">
        <f ca="1">K676*(1+INDEX(K$585:K$587,MATCH(Work_Codes!$I$108,$D$585:$D$587,0)))</f>
        <v>0</v>
      </c>
      <c r="L716" s="81">
        <f ca="1">L676*(1+INDEX(L$585:L$587,MATCH(Work_Codes!$I$108,$D$585:$D$587,0)))</f>
        <v>0</v>
      </c>
      <c r="M716" s="81">
        <f ca="1">M676*(1+INDEX(M$585:M$587,MATCH(Work_Codes!$I$108,$D$585:$D$587,0)))</f>
        <v>0</v>
      </c>
      <c r="N716" s="81">
        <f ca="1">N676*(1+INDEX(N$585:N$587,MATCH(Work_Codes!$I$108,$D$585:$D$587,0)))</f>
        <v>0</v>
      </c>
      <c r="O716" s="81">
        <f ca="1">O676*(1+INDEX(O$585:O$587,MATCH(Work_Codes!$I$108,$D$585:$D$587,0)))</f>
        <v>0</v>
      </c>
      <c r="P716" s="81">
        <f ca="1">P676*(1+INDEX(P$585:P$587,MATCH(Work_Codes!$I$108,$D$585:$D$587,0)))</f>
        <v>0</v>
      </c>
      <c r="Q716" s="81">
        <f ca="1">Q676*(1+INDEX(Q$585:Q$587,MATCH(Work_Codes!$I$108,$D$585:$D$587,0)))</f>
        <v>0</v>
      </c>
      <c r="R716" s="81">
        <f ca="1">R676*(1+INDEX(R$585:R$587,MATCH(Work_Codes!$I$108,$D$585:$D$587,0)))</f>
        <v>0</v>
      </c>
      <c r="S716" s="81">
        <f ca="1">S676*(1+INDEX(S$585:S$587,MATCH(Work_Codes!$I$108,$D$585:$D$587,0)))</f>
        <v>0</v>
      </c>
      <c r="T716" s="81">
        <f ca="1">T676*(1+INDEX(T$585:T$587,MATCH(Work_Codes!$I$108,$D$585:$D$587,0)))</f>
        <v>0</v>
      </c>
    </row>
    <row r="717" spans="4:20" ht="11.5" customHeight="1" outlineLevel="2">
      <c r="E717" s="247" t="str">
        <f>GC!C41</f>
        <v>Distribution pipelines</v>
      </c>
      <c r="F717" s="247"/>
      <c r="G717" s="247"/>
      <c r="H717" s="247"/>
      <c r="I717" s="247"/>
      <c r="J717" s="81">
        <f ca="1">J677*(1+INDEX(J$585:J$587,MATCH(Work_Codes!$I$108,$D$585:$D$587,0)))</f>
        <v>0</v>
      </c>
      <c r="K717" s="81">
        <f ca="1">K677*(1+INDEX(K$585:K$587,MATCH(Work_Codes!$I$108,$D$585:$D$587,0)))</f>
        <v>0</v>
      </c>
      <c r="L717" s="81">
        <f ca="1">L677*(1+INDEX(L$585:L$587,MATCH(Work_Codes!$I$108,$D$585:$D$587,0)))</f>
        <v>0</v>
      </c>
      <c r="M717" s="81">
        <f ca="1">M677*(1+INDEX(M$585:M$587,MATCH(Work_Codes!$I$108,$D$585:$D$587,0)))</f>
        <v>0</v>
      </c>
      <c r="N717" s="81">
        <f ca="1">N677*(1+INDEX(N$585:N$587,MATCH(Work_Codes!$I$108,$D$585:$D$587,0)))</f>
        <v>0</v>
      </c>
      <c r="O717" s="81">
        <f ca="1">O677*(1+INDEX(O$585:O$587,MATCH(Work_Codes!$I$108,$D$585:$D$587,0)))</f>
        <v>0</v>
      </c>
      <c r="P717" s="81">
        <f ca="1">P677*(1+INDEX(P$585:P$587,MATCH(Work_Codes!$I$108,$D$585:$D$587,0)))</f>
        <v>0</v>
      </c>
      <c r="Q717" s="81">
        <f ca="1">Q677*(1+INDEX(Q$585:Q$587,MATCH(Work_Codes!$I$108,$D$585:$D$587,0)))</f>
        <v>0</v>
      </c>
      <c r="R717" s="81">
        <f ca="1">R677*(1+INDEX(R$585:R$587,MATCH(Work_Codes!$I$108,$D$585:$D$587,0)))</f>
        <v>0</v>
      </c>
      <c r="S717" s="81">
        <f ca="1">S677*(1+INDEX(S$585:S$587,MATCH(Work_Codes!$I$108,$D$585:$D$587,0)))</f>
        <v>0</v>
      </c>
      <c r="T717" s="81">
        <f ca="1">T677*(1+INDEX(T$585:T$587,MATCH(Work_Codes!$I$108,$D$585:$D$587,0)))</f>
        <v>0</v>
      </c>
    </row>
    <row r="718" spans="4:20" ht="11.5" customHeight="1" outlineLevel="2">
      <c r="E718" s="247" t="str">
        <f>GC!C42</f>
        <v>Service pipes</v>
      </c>
      <c r="F718" s="247"/>
      <c r="G718" s="247"/>
      <c r="H718" s="247"/>
      <c r="I718" s="247"/>
      <c r="J718" s="81">
        <f ca="1">J678*(1+INDEX(J$585:J$587,MATCH(Work_Codes!$I$108,$D$585:$D$587,0)))</f>
        <v>0</v>
      </c>
      <c r="K718" s="81">
        <f ca="1">K678*(1+INDEX(K$585:K$587,MATCH(Work_Codes!$I$108,$D$585:$D$587,0)))</f>
        <v>0</v>
      </c>
      <c r="L718" s="81">
        <f ca="1">L678*(1+INDEX(L$585:L$587,MATCH(Work_Codes!$I$108,$D$585:$D$587,0)))</f>
        <v>0</v>
      </c>
      <c r="M718" s="81">
        <f ca="1">M678*(1+INDEX(M$585:M$587,MATCH(Work_Codes!$I$108,$D$585:$D$587,0)))</f>
        <v>0</v>
      </c>
      <c r="N718" s="81">
        <f ca="1">N678*(1+INDEX(N$585:N$587,MATCH(Work_Codes!$I$108,$D$585:$D$587,0)))</f>
        <v>0</v>
      </c>
      <c r="O718" s="81">
        <f ca="1">O678*(1+INDEX(O$585:O$587,MATCH(Work_Codes!$I$108,$D$585:$D$587,0)))</f>
        <v>0</v>
      </c>
      <c r="P718" s="81">
        <f ca="1">P678*(1+INDEX(P$585:P$587,MATCH(Work_Codes!$I$108,$D$585:$D$587,0)))</f>
        <v>0</v>
      </c>
      <c r="Q718" s="81">
        <f ca="1">Q678*(1+INDEX(Q$585:Q$587,MATCH(Work_Codes!$I$108,$D$585:$D$587,0)))</f>
        <v>0</v>
      </c>
      <c r="R718" s="81">
        <f ca="1">R678*(1+INDEX(R$585:R$587,MATCH(Work_Codes!$I$108,$D$585:$D$587,0)))</f>
        <v>0</v>
      </c>
      <c r="S718" s="81">
        <f ca="1">S678*(1+INDEX(S$585:S$587,MATCH(Work_Codes!$I$108,$D$585:$D$587,0)))</f>
        <v>0</v>
      </c>
      <c r="T718" s="81">
        <f ca="1">T678*(1+INDEX(T$585:T$587,MATCH(Work_Codes!$I$108,$D$585:$D$587,0)))</f>
        <v>0</v>
      </c>
    </row>
    <row r="719" spans="4:20" ht="11.5" customHeight="1" outlineLevel="2">
      <c r="E719" s="247" t="str">
        <f>GC!C43</f>
        <v>Cathodic protection</v>
      </c>
      <c r="F719" s="247"/>
      <c r="G719" s="247"/>
      <c r="H719" s="247"/>
      <c r="I719" s="247"/>
      <c r="J719" s="81">
        <f ca="1">J679*(1+INDEX(J$585:J$587,MATCH(Work_Codes!$I$108,$D$585:$D$587,0)))</f>
        <v>0</v>
      </c>
      <c r="K719" s="81">
        <f ca="1">K679*(1+INDEX(K$585:K$587,MATCH(Work_Codes!$I$108,$D$585:$D$587,0)))</f>
        <v>0</v>
      </c>
      <c r="L719" s="81">
        <f ca="1">L679*(1+INDEX(L$585:L$587,MATCH(Work_Codes!$I$108,$D$585:$D$587,0)))</f>
        <v>0</v>
      </c>
      <c r="M719" s="81">
        <f ca="1">M679*(1+INDEX(M$585:M$587,MATCH(Work_Codes!$I$108,$D$585:$D$587,0)))</f>
        <v>0</v>
      </c>
      <c r="N719" s="81">
        <f ca="1">N679*(1+INDEX(N$585:N$587,MATCH(Work_Codes!$I$108,$D$585:$D$587,0)))</f>
        <v>0</v>
      </c>
      <c r="O719" s="81">
        <f ca="1">O679*(1+INDEX(O$585:O$587,MATCH(Work_Codes!$I$108,$D$585:$D$587,0)))</f>
        <v>0</v>
      </c>
      <c r="P719" s="81">
        <f ca="1">P679*(1+INDEX(P$585:P$587,MATCH(Work_Codes!$I$108,$D$585:$D$587,0)))</f>
        <v>0</v>
      </c>
      <c r="Q719" s="81">
        <f ca="1">Q679*(1+INDEX(Q$585:Q$587,MATCH(Work_Codes!$I$108,$D$585:$D$587,0)))</f>
        <v>0</v>
      </c>
      <c r="R719" s="81">
        <f ca="1">R679*(1+INDEX(R$585:R$587,MATCH(Work_Codes!$I$108,$D$585:$D$587,0)))</f>
        <v>0</v>
      </c>
      <c r="S719" s="81">
        <f ca="1">S679*(1+INDEX(S$585:S$587,MATCH(Work_Codes!$I$108,$D$585:$D$587,0)))</f>
        <v>0</v>
      </c>
      <c r="T719" s="81">
        <f ca="1">T679*(1+INDEX(T$585:T$587,MATCH(Work_Codes!$I$108,$D$585:$D$587,0)))</f>
        <v>0</v>
      </c>
    </row>
    <row r="720" spans="4:20" ht="11.5" customHeight="1" outlineLevel="2">
      <c r="E720" s="247" t="str">
        <f>GC!C44</f>
        <v>Supply Regulators / Valve Stations</v>
      </c>
      <c r="F720" s="247"/>
      <c r="G720" s="247"/>
      <c r="H720" s="247"/>
      <c r="I720" s="247"/>
      <c r="J720" s="81">
        <f ca="1">J680*(1+INDEX(J$585:J$587,MATCH(Work_Codes!$I$108,$D$585:$D$587,0)))</f>
        <v>0</v>
      </c>
      <c r="K720" s="81">
        <f ca="1">K680*(1+INDEX(K$585:K$587,MATCH(Work_Codes!$I$108,$D$585:$D$587,0)))</f>
        <v>0</v>
      </c>
      <c r="L720" s="81">
        <f ca="1">L680*(1+INDEX(L$585:L$587,MATCH(Work_Codes!$I$108,$D$585:$D$587,0)))</f>
        <v>0</v>
      </c>
      <c r="M720" s="81">
        <f ca="1">M680*(1+INDEX(M$585:M$587,MATCH(Work_Codes!$I$108,$D$585:$D$587,0)))</f>
        <v>0</v>
      </c>
      <c r="N720" s="81">
        <f ca="1">N680*(1+INDEX(N$585:N$587,MATCH(Work_Codes!$I$108,$D$585:$D$587,0)))</f>
        <v>0</v>
      </c>
      <c r="O720" s="81">
        <f ca="1">O680*(1+INDEX(O$585:O$587,MATCH(Work_Codes!$I$108,$D$585:$D$587,0)))</f>
        <v>0</v>
      </c>
      <c r="P720" s="81">
        <f ca="1">P680*(1+INDEX(P$585:P$587,MATCH(Work_Codes!$I$108,$D$585:$D$587,0)))</f>
        <v>0</v>
      </c>
      <c r="Q720" s="81">
        <f ca="1">Q680*(1+INDEX(Q$585:Q$587,MATCH(Work_Codes!$I$108,$D$585:$D$587,0)))</f>
        <v>0</v>
      </c>
      <c r="R720" s="81">
        <f ca="1">R680*(1+INDEX(R$585:R$587,MATCH(Work_Codes!$I$108,$D$585:$D$587,0)))</f>
        <v>0</v>
      </c>
      <c r="S720" s="81">
        <f ca="1">S680*(1+INDEX(S$585:S$587,MATCH(Work_Codes!$I$108,$D$585:$D$587,0)))</f>
        <v>0</v>
      </c>
      <c r="T720" s="81">
        <f ca="1">T680*(1+INDEX(T$585:T$587,MATCH(Work_Codes!$I$108,$D$585:$D$587,0)))</f>
        <v>0</v>
      </c>
    </row>
    <row r="721" spans="4:20" ht="11.5" customHeight="1" outlineLevel="2">
      <c r="E721" s="247" t="str">
        <f>GC!C45</f>
        <v>Meters</v>
      </c>
      <c r="F721" s="247"/>
      <c r="G721" s="247"/>
      <c r="H721" s="247"/>
      <c r="I721" s="247"/>
      <c r="J721" s="81">
        <f ca="1">J681*(1+INDEX(J$585:J$587,MATCH(Work_Codes!$I$108,$D$585:$D$587,0)))</f>
        <v>0</v>
      </c>
      <c r="K721" s="81">
        <f ca="1">K681*(1+INDEX(K$585:K$587,MATCH(Work_Codes!$I$108,$D$585:$D$587,0)))</f>
        <v>0</v>
      </c>
      <c r="L721" s="81">
        <f ca="1">L681*(1+INDEX(L$585:L$587,MATCH(Work_Codes!$I$108,$D$585:$D$587,0)))</f>
        <v>0</v>
      </c>
      <c r="M721" s="81">
        <f ca="1">M681*(1+INDEX(M$585:M$587,MATCH(Work_Codes!$I$108,$D$585:$D$587,0)))</f>
        <v>0</v>
      </c>
      <c r="N721" s="81">
        <f ca="1">N681*(1+INDEX(N$585:N$587,MATCH(Work_Codes!$I$108,$D$585:$D$587,0)))</f>
        <v>0</v>
      </c>
      <c r="O721" s="81">
        <f ca="1">O681*(1+INDEX(O$585:O$587,MATCH(Work_Codes!$I$108,$D$585:$D$587,0)))</f>
        <v>0</v>
      </c>
      <c r="P721" s="81">
        <f ca="1">P681*(1+INDEX(P$585:P$587,MATCH(Work_Codes!$I$108,$D$585:$D$587,0)))</f>
        <v>0</v>
      </c>
      <c r="Q721" s="81">
        <f ca="1">Q681*(1+INDEX(Q$585:Q$587,MATCH(Work_Codes!$I$108,$D$585:$D$587,0)))</f>
        <v>0</v>
      </c>
      <c r="R721" s="81">
        <f ca="1">R681*(1+INDEX(R$585:R$587,MATCH(Work_Codes!$I$108,$D$585:$D$587,0)))</f>
        <v>0</v>
      </c>
      <c r="S721" s="81">
        <f ca="1">S681*(1+INDEX(S$585:S$587,MATCH(Work_Codes!$I$108,$D$585:$D$587,0)))</f>
        <v>0</v>
      </c>
      <c r="T721" s="81">
        <f ca="1">T681*(1+INDEX(T$585:T$587,MATCH(Work_Codes!$I$108,$D$585:$D$587,0)))</f>
        <v>0</v>
      </c>
    </row>
    <row r="722" spans="4:20" ht="11.5" customHeight="1" outlineLevel="2">
      <c r="E722" s="247" t="str">
        <f>GC!C46</f>
        <v>SCADA and remote control</v>
      </c>
      <c r="F722" s="247"/>
      <c r="G722" s="247"/>
      <c r="H722" s="247"/>
      <c r="I722" s="247"/>
      <c r="J722" s="81">
        <f ca="1">J682*(1+INDEX(J$585:J$587,MATCH(Work_Codes!$I$108,$D$585:$D$587,0)))</f>
        <v>0</v>
      </c>
      <c r="K722" s="81">
        <f ca="1">K682*(1+INDEX(K$585:K$587,MATCH(Work_Codes!$I$108,$D$585:$D$587,0)))</f>
        <v>0</v>
      </c>
      <c r="L722" s="81">
        <f ca="1">L682*(1+INDEX(L$585:L$587,MATCH(Work_Codes!$I$108,$D$585:$D$587,0)))</f>
        <v>0</v>
      </c>
      <c r="M722" s="81">
        <f ca="1">M682*(1+INDEX(M$585:M$587,MATCH(Work_Codes!$I$108,$D$585:$D$587,0)))</f>
        <v>0</v>
      </c>
      <c r="N722" s="81">
        <f ca="1">N682*(1+INDEX(N$585:N$587,MATCH(Work_Codes!$I$108,$D$585:$D$587,0)))</f>
        <v>0</v>
      </c>
      <c r="O722" s="81">
        <f ca="1">O682*(1+INDEX(O$585:O$587,MATCH(Work_Codes!$I$108,$D$585:$D$587,0)))</f>
        <v>0</v>
      </c>
      <c r="P722" s="81">
        <f ca="1">P682*(1+INDEX(P$585:P$587,MATCH(Work_Codes!$I$108,$D$585:$D$587,0)))</f>
        <v>0</v>
      </c>
      <c r="Q722" s="81">
        <f ca="1">Q682*(1+INDEX(Q$585:Q$587,MATCH(Work_Codes!$I$108,$D$585:$D$587,0)))</f>
        <v>0</v>
      </c>
      <c r="R722" s="81">
        <f ca="1">R682*(1+INDEX(R$585:R$587,MATCH(Work_Codes!$I$108,$D$585:$D$587,0)))</f>
        <v>0</v>
      </c>
      <c r="S722" s="81">
        <f ca="1">S682*(1+INDEX(S$585:S$587,MATCH(Work_Codes!$I$108,$D$585:$D$587,0)))</f>
        <v>0</v>
      </c>
      <c r="T722" s="81">
        <f ca="1">T682*(1+INDEX(T$585:T$587,MATCH(Work_Codes!$I$108,$D$585:$D$587,0)))</f>
        <v>0</v>
      </c>
    </row>
    <row r="723" spans="4:20" ht="11.5" customHeight="1" outlineLevel="2">
      <c r="E723" s="247" t="str">
        <f>GC!C47</f>
        <v>Buildings</v>
      </c>
      <c r="F723" s="247"/>
      <c r="G723" s="247"/>
      <c r="H723" s="247"/>
      <c r="I723" s="247"/>
      <c r="J723" s="81">
        <f ca="1">J683*(1+INDEX(J$585:J$587,MATCH(Work_Codes!$I$108,$D$585:$D$587,0)))</f>
        <v>0</v>
      </c>
      <c r="K723" s="81">
        <f ca="1">K683*(1+INDEX(K$585:K$587,MATCH(Work_Codes!$I$108,$D$585:$D$587,0)))</f>
        <v>0</v>
      </c>
      <c r="L723" s="81">
        <f ca="1">L683*(1+INDEX(L$585:L$587,MATCH(Work_Codes!$I$108,$D$585:$D$587,0)))</f>
        <v>0</v>
      </c>
      <c r="M723" s="81">
        <f ca="1">M683*(1+INDEX(M$585:M$587,MATCH(Work_Codes!$I$108,$D$585:$D$587,0)))</f>
        <v>0</v>
      </c>
      <c r="N723" s="81">
        <f ca="1">N683*(1+INDEX(N$585:N$587,MATCH(Work_Codes!$I$108,$D$585:$D$587,0)))</f>
        <v>0</v>
      </c>
      <c r="O723" s="81">
        <f ca="1">O683*(1+INDEX(O$585:O$587,MATCH(Work_Codes!$I$108,$D$585:$D$587,0)))</f>
        <v>0</v>
      </c>
      <c r="P723" s="81">
        <f ca="1">P683*(1+INDEX(P$585:P$587,MATCH(Work_Codes!$I$108,$D$585:$D$587,0)))</f>
        <v>0</v>
      </c>
      <c r="Q723" s="81">
        <f ca="1">Q683*(1+INDEX(Q$585:Q$587,MATCH(Work_Codes!$I$108,$D$585:$D$587,0)))</f>
        <v>0</v>
      </c>
      <c r="R723" s="81">
        <f ca="1">R683*(1+INDEX(R$585:R$587,MATCH(Work_Codes!$I$108,$D$585:$D$587,0)))</f>
        <v>0</v>
      </c>
      <c r="S723" s="81">
        <f ca="1">S683*(1+INDEX(S$585:S$587,MATCH(Work_Codes!$I$108,$D$585:$D$587,0)))</f>
        <v>0</v>
      </c>
      <c r="T723" s="81">
        <f ca="1">T683*(1+INDEX(T$585:T$587,MATCH(Work_Codes!$I$108,$D$585:$D$587,0)))</f>
        <v>0</v>
      </c>
    </row>
    <row r="724" spans="4:20" ht="11.5" customHeight="1" outlineLevel="2">
      <c r="E724" s="247" t="str">
        <f>GC!C48</f>
        <v>Other - IT</v>
      </c>
      <c r="F724" s="247"/>
      <c r="G724" s="247"/>
      <c r="H724" s="247"/>
      <c r="I724" s="247"/>
      <c r="J724" s="81">
        <f ca="1">J684*(1+INDEX(J$585:J$587,MATCH(Work_Codes!$I$108,$D$585:$D$587,0)))</f>
        <v>0</v>
      </c>
      <c r="K724" s="81">
        <f ca="1">K684*(1+INDEX(K$585:K$587,MATCH(Work_Codes!$I$108,$D$585:$D$587,0)))</f>
        <v>0</v>
      </c>
      <c r="L724" s="81">
        <f ca="1">L684*(1+INDEX(L$585:L$587,MATCH(Work_Codes!$I$108,$D$585:$D$587,0)))</f>
        <v>0</v>
      </c>
      <c r="M724" s="81">
        <f ca="1">M684*(1+INDEX(M$585:M$587,MATCH(Work_Codes!$I$108,$D$585:$D$587,0)))</f>
        <v>0</v>
      </c>
      <c r="N724" s="81">
        <f ca="1">N684*(1+INDEX(N$585:N$587,MATCH(Work_Codes!$I$108,$D$585:$D$587,0)))</f>
        <v>0</v>
      </c>
      <c r="O724" s="81">
        <f ca="1">O684*(1+INDEX(O$585:O$587,MATCH(Work_Codes!$I$108,$D$585:$D$587,0)))</f>
        <v>0</v>
      </c>
      <c r="P724" s="81">
        <f ca="1">P684*(1+INDEX(P$585:P$587,MATCH(Work_Codes!$I$108,$D$585:$D$587,0)))</f>
        <v>0</v>
      </c>
      <c r="Q724" s="81">
        <f ca="1">Q684*(1+INDEX(Q$585:Q$587,MATCH(Work_Codes!$I$108,$D$585:$D$587,0)))</f>
        <v>0</v>
      </c>
      <c r="R724" s="81">
        <f ca="1">R684*(1+INDEX(R$585:R$587,MATCH(Work_Codes!$I$108,$D$585:$D$587,0)))</f>
        <v>0</v>
      </c>
      <c r="S724" s="81">
        <f ca="1">S684*(1+INDEX(S$585:S$587,MATCH(Work_Codes!$I$108,$D$585:$D$587,0)))</f>
        <v>0</v>
      </c>
      <c r="T724" s="81">
        <f ca="1">T684*(1+INDEX(T$585:T$587,MATCH(Work_Codes!$I$108,$D$585:$D$587,0)))</f>
        <v>0</v>
      </c>
    </row>
    <row r="725" spans="4:20" ht="11.5" customHeight="1" outlineLevel="2">
      <c r="E725" s="247" t="str">
        <f>GC!C49</f>
        <v>Other - non IT</v>
      </c>
      <c r="F725" s="247"/>
      <c r="G725" s="247"/>
      <c r="H725" s="247"/>
      <c r="I725" s="247"/>
      <c r="J725" s="81">
        <f ca="1">J685*(1+INDEX(J$585:J$587,MATCH(Work_Codes!$I$108,$D$585:$D$587,0)))</f>
        <v>0</v>
      </c>
      <c r="K725" s="81">
        <f ca="1">K685*(1+INDEX(K$585:K$587,MATCH(Work_Codes!$I$108,$D$585:$D$587,0)))</f>
        <v>0</v>
      </c>
      <c r="L725" s="81">
        <f ca="1">L685*(1+INDEX(L$585:L$587,MATCH(Work_Codes!$I$108,$D$585:$D$587,0)))</f>
        <v>0</v>
      </c>
      <c r="M725" s="81">
        <f ca="1">M685*(1+INDEX(M$585:M$587,MATCH(Work_Codes!$I$108,$D$585:$D$587,0)))</f>
        <v>0</v>
      </c>
      <c r="N725" s="81">
        <f ca="1">N685*(1+INDEX(N$585:N$587,MATCH(Work_Codes!$I$108,$D$585:$D$587,0)))</f>
        <v>0</v>
      </c>
      <c r="O725" s="81">
        <f ca="1">O685*(1+INDEX(O$585:O$587,MATCH(Work_Codes!$I$108,$D$585:$D$587,0)))</f>
        <v>0</v>
      </c>
      <c r="P725" s="81">
        <f ca="1">P685*(1+INDEX(P$585:P$587,MATCH(Work_Codes!$I$108,$D$585:$D$587,0)))</f>
        <v>0</v>
      </c>
      <c r="Q725" s="81">
        <f ca="1">Q685*(1+INDEX(Q$585:Q$587,MATCH(Work_Codes!$I$108,$D$585:$D$587,0)))</f>
        <v>0</v>
      </c>
      <c r="R725" s="81">
        <f ca="1">R685*(1+INDEX(R$585:R$587,MATCH(Work_Codes!$I$108,$D$585:$D$587,0)))</f>
        <v>0</v>
      </c>
      <c r="S725" s="81">
        <f ca="1">S685*(1+INDEX(S$585:S$587,MATCH(Work_Codes!$I$108,$D$585:$D$587,0)))</f>
        <v>0</v>
      </c>
      <c r="T725" s="81">
        <f ca="1">T685*(1+INDEX(T$585:T$587,MATCH(Work_Codes!$I$108,$D$585:$D$587,0)))</f>
        <v>0</v>
      </c>
    </row>
    <row r="726" spans="4:20" ht="11.5" customHeight="1" outlineLevel="2">
      <c r="E726" s="247" t="str">
        <f>GC!C50</f>
        <v>Land</v>
      </c>
      <c r="F726" s="247"/>
      <c r="G726" s="247"/>
      <c r="H726" s="247"/>
      <c r="I726" s="247"/>
      <c r="J726" s="81">
        <f ca="1">J686*(1+INDEX(J$585:J$587,MATCH(Work_Codes!$I$108,$D$585:$D$587,0)))</f>
        <v>0</v>
      </c>
      <c r="K726" s="81">
        <f ca="1">K686*(1+INDEX(K$585:K$587,MATCH(Work_Codes!$I$108,$D$585:$D$587,0)))</f>
        <v>0</v>
      </c>
      <c r="L726" s="81">
        <f ca="1">L686*(1+INDEX(L$585:L$587,MATCH(Work_Codes!$I$108,$D$585:$D$587,0)))</f>
        <v>0</v>
      </c>
      <c r="M726" s="81">
        <f ca="1">M686*(1+INDEX(M$585:M$587,MATCH(Work_Codes!$I$108,$D$585:$D$587,0)))</f>
        <v>0</v>
      </c>
      <c r="N726" s="81">
        <f ca="1">N686*(1+INDEX(N$585:N$587,MATCH(Work_Codes!$I$108,$D$585:$D$587,0)))</f>
        <v>0</v>
      </c>
      <c r="O726" s="81">
        <f ca="1">O686*(1+INDEX(O$585:O$587,MATCH(Work_Codes!$I$108,$D$585:$D$587,0)))</f>
        <v>0</v>
      </c>
      <c r="P726" s="81">
        <f ca="1">P686*(1+INDEX(P$585:P$587,MATCH(Work_Codes!$I$108,$D$585:$D$587,0)))</f>
        <v>0</v>
      </c>
      <c r="Q726" s="81">
        <f ca="1">Q686*(1+INDEX(Q$585:Q$587,MATCH(Work_Codes!$I$108,$D$585:$D$587,0)))</f>
        <v>0</v>
      </c>
      <c r="R726" s="81">
        <f ca="1">R686*(1+INDEX(R$585:R$587,MATCH(Work_Codes!$I$108,$D$585:$D$587,0)))</f>
        <v>0</v>
      </c>
      <c r="S726" s="81">
        <f ca="1">S686*(1+INDEX(S$585:S$587,MATCH(Work_Codes!$I$108,$D$585:$D$587,0)))</f>
        <v>0</v>
      </c>
      <c r="T726" s="81">
        <f ca="1">T686*(1+INDEX(T$585:T$587,MATCH(Work_Codes!$I$108,$D$585:$D$587,0)))</f>
        <v>0</v>
      </c>
    </row>
    <row r="727" spans="4:20" outlineLevel="2">
      <c r="E727" s="247" t="str">
        <f>GC!C51</f>
        <v>Capitalised Leases</v>
      </c>
      <c r="F727" s="247"/>
      <c r="G727" s="247"/>
      <c r="H727" s="247"/>
      <c r="I727" s="247"/>
      <c r="J727" s="81">
        <f ca="1">J687*(1+INDEX(J$585:J$587,MATCH(Work_Codes!$I$108,$D$585:$D$587,0)))</f>
        <v>0</v>
      </c>
      <c r="K727" s="81">
        <f ca="1">K687*(1+INDEX(K$585:K$587,MATCH(Work_Codes!$I$108,$D$585:$D$587,0)))</f>
        <v>0</v>
      </c>
      <c r="L727" s="81">
        <f ca="1">L687*(1+INDEX(L$585:L$587,MATCH(Work_Codes!$I$108,$D$585:$D$587,0)))</f>
        <v>0</v>
      </c>
      <c r="M727" s="81">
        <f ca="1">M687*(1+INDEX(M$585:M$587,MATCH(Work_Codes!$I$108,$D$585:$D$587,0)))</f>
        <v>0</v>
      </c>
      <c r="N727" s="81">
        <f ca="1">N687*(1+INDEX(N$585:N$587,MATCH(Work_Codes!$I$108,$D$585:$D$587,0)))</f>
        <v>0</v>
      </c>
      <c r="O727" s="81">
        <f ca="1">O687*(1+INDEX(O$585:O$587,MATCH(Work_Codes!$I$108,$D$585:$D$587,0)))</f>
        <v>0</v>
      </c>
      <c r="P727" s="81">
        <f ca="1">P687*(1+INDEX(P$585:P$587,MATCH(Work_Codes!$I$108,$D$585:$D$587,0)))</f>
        <v>0</v>
      </c>
      <c r="Q727" s="81">
        <f ca="1">Q687*(1+INDEX(Q$585:Q$587,MATCH(Work_Codes!$I$108,$D$585:$D$587,0)))</f>
        <v>0</v>
      </c>
      <c r="R727" s="81">
        <f ca="1">R687*(1+INDEX(R$585:R$587,MATCH(Work_Codes!$I$108,$D$585:$D$587,0)))</f>
        <v>0</v>
      </c>
      <c r="S727" s="81">
        <f ca="1">S687*(1+INDEX(S$585:S$587,MATCH(Work_Codes!$I$108,$D$585:$D$587,0)))</f>
        <v>0</v>
      </c>
      <c r="T727" s="81">
        <f ca="1">T687*(1+INDEX(T$585:T$587,MATCH(Work_Codes!$I$108,$D$585:$D$587,0)))</f>
        <v>0</v>
      </c>
    </row>
    <row r="728" spans="4:20" outlineLevel="2">
      <c r="E728" s="247" t="str">
        <f>GC!C52</f>
        <v>Transmission pipelines - post 1998</v>
      </c>
      <c r="F728" s="247"/>
      <c r="G728" s="247"/>
      <c r="H728" s="247"/>
      <c r="I728" s="247"/>
      <c r="J728" s="81">
        <f ca="1">J688*(1+INDEX(J$585:J$587,MATCH(Work_Codes!$I$108,$D$585:$D$587,0)))</f>
        <v>0</v>
      </c>
      <c r="K728" s="81">
        <f ca="1">K688*(1+INDEX(K$585:K$587,MATCH(Work_Codes!$I$108,$D$585:$D$587,0)))</f>
        <v>0</v>
      </c>
      <c r="L728" s="81">
        <f ca="1">L688*(1+INDEX(L$585:L$587,MATCH(Work_Codes!$I$108,$D$585:$D$587,0)))</f>
        <v>0</v>
      </c>
      <c r="M728" s="81">
        <f ca="1">M688*(1+INDEX(M$585:M$587,MATCH(Work_Codes!$I$108,$D$585:$D$587,0)))</f>
        <v>0</v>
      </c>
      <c r="N728" s="81">
        <f ca="1">N688*(1+INDEX(N$585:N$587,MATCH(Work_Codes!$I$108,$D$585:$D$587,0)))</f>
        <v>0</v>
      </c>
      <c r="O728" s="81">
        <f ca="1">O688*(1+INDEX(O$585:O$587,MATCH(Work_Codes!$I$108,$D$585:$D$587,0)))</f>
        <v>0</v>
      </c>
      <c r="P728" s="81">
        <f ca="1">P688*(1+INDEX(P$585:P$587,MATCH(Work_Codes!$I$108,$D$585:$D$587,0)))</f>
        <v>0</v>
      </c>
      <c r="Q728" s="81">
        <f ca="1">Q688*(1+INDEX(Q$585:Q$587,MATCH(Work_Codes!$I$108,$D$585:$D$587,0)))</f>
        <v>0</v>
      </c>
      <c r="R728" s="81">
        <f ca="1">R688*(1+INDEX(R$585:R$587,MATCH(Work_Codes!$I$108,$D$585:$D$587,0)))</f>
        <v>0</v>
      </c>
      <c r="S728" s="81">
        <f ca="1">S688*(1+INDEX(S$585:S$587,MATCH(Work_Codes!$I$108,$D$585:$D$587,0)))</f>
        <v>0</v>
      </c>
      <c r="T728" s="81">
        <f ca="1">T688*(1+INDEX(T$585:T$587,MATCH(Work_Codes!$I$108,$D$585:$D$587,0)))</f>
        <v>0</v>
      </c>
    </row>
    <row r="729" spans="4:20" outlineLevel="2">
      <c r="E729" s="247" t="str">
        <f>GC!C53</f>
        <v>Distribution pipelines - post 1998</v>
      </c>
      <c r="F729" s="247"/>
      <c r="G729" s="247"/>
      <c r="H729" s="247"/>
      <c r="I729" s="247"/>
      <c r="J729" s="81">
        <f ca="1">J689*(1+INDEX(J$585:J$587,MATCH(Work_Codes!$I$108,$D$585:$D$587,0)))</f>
        <v>0</v>
      </c>
      <c r="K729" s="81">
        <f ca="1">K689*(1+INDEX(K$585:K$587,MATCH(Work_Codes!$I$108,$D$585:$D$587,0)))</f>
        <v>0</v>
      </c>
      <c r="L729" s="81">
        <f ca="1">L689*(1+INDEX(L$585:L$587,MATCH(Work_Codes!$I$108,$D$585:$D$587,0)))</f>
        <v>0</v>
      </c>
      <c r="M729" s="81">
        <f ca="1">M689*(1+INDEX(M$585:M$587,MATCH(Work_Codes!$I$108,$D$585:$D$587,0)))</f>
        <v>0</v>
      </c>
      <c r="N729" s="81">
        <f ca="1">N689*(1+INDEX(N$585:N$587,MATCH(Work_Codes!$I$108,$D$585:$D$587,0)))</f>
        <v>1148833.2667336792</v>
      </c>
      <c r="O729" s="81">
        <f ca="1">O689*(1+INDEX(O$585:O$587,MATCH(Work_Codes!$I$108,$D$585:$D$587,0)))</f>
        <v>522735.77673485357</v>
      </c>
      <c r="P729" s="81">
        <f ca="1">P689*(1+INDEX(P$585:P$587,MATCH(Work_Codes!$I$108,$D$585:$D$587,0)))</f>
        <v>1004236.9388607681</v>
      </c>
      <c r="Q729" s="81">
        <f ca="1">Q689*(1+INDEX(Q$585:Q$587,MATCH(Work_Codes!$I$108,$D$585:$D$587,0)))</f>
        <v>899238.27644021541</v>
      </c>
      <c r="R729" s="81">
        <f ca="1">R689*(1+INDEX(R$585:R$587,MATCH(Work_Codes!$I$108,$D$585:$D$587,0)))</f>
        <v>805936.55016743485</v>
      </c>
      <c r="S729" s="81">
        <f ca="1">S689*(1+INDEX(S$585:S$587,MATCH(Work_Codes!$I$108,$D$585:$D$587,0)))</f>
        <v>722440.65284985444</v>
      </c>
      <c r="T729" s="81">
        <f ca="1">T689*(1+INDEX(T$585:T$587,MATCH(Work_Codes!$I$108,$D$585:$D$587,0)))</f>
        <v>646916.50446300372</v>
      </c>
    </row>
    <row r="730" spans="4:20" outlineLevel="2">
      <c r="E730" s="247" t="str">
        <f>GC!C54</f>
        <v>Service pipes - post 1998</v>
      </c>
      <c r="F730" s="247"/>
      <c r="G730" s="247"/>
      <c r="H730" s="247"/>
      <c r="I730" s="247"/>
      <c r="J730" s="81">
        <f ca="1">J690*(1+INDEX(J$585:J$587,MATCH(Work_Codes!$I$108,$D$585:$D$587,0)))</f>
        <v>0</v>
      </c>
      <c r="K730" s="81">
        <f ca="1">K690*(1+INDEX(K$585:K$587,MATCH(Work_Codes!$I$108,$D$585:$D$587,0)))</f>
        <v>0</v>
      </c>
      <c r="L730" s="81">
        <f ca="1">L690*(1+INDEX(L$585:L$587,MATCH(Work_Codes!$I$108,$D$585:$D$587,0)))</f>
        <v>0</v>
      </c>
      <c r="M730" s="81">
        <f ca="1">M690*(1+INDEX(M$585:M$587,MATCH(Work_Codes!$I$108,$D$585:$D$587,0)))</f>
        <v>0</v>
      </c>
      <c r="N730" s="81">
        <f ca="1">N690*(1+INDEX(N$585:N$587,MATCH(Work_Codes!$I$108,$D$585:$D$587,0)))</f>
        <v>1148833.2667336792</v>
      </c>
      <c r="O730" s="81">
        <f ca="1">O690*(1+INDEX(O$585:O$587,MATCH(Work_Codes!$I$108,$D$585:$D$587,0)))</f>
        <v>522735.77673485357</v>
      </c>
      <c r="P730" s="81">
        <f ca="1">P690*(1+INDEX(P$585:P$587,MATCH(Work_Codes!$I$108,$D$585:$D$587,0)))</f>
        <v>1073553.9081522673</v>
      </c>
      <c r="Q730" s="81">
        <f ca="1">Q690*(1+INDEX(Q$585:Q$587,MATCH(Work_Codes!$I$108,$D$585:$D$587,0)))</f>
        <v>969569.72128123348</v>
      </c>
      <c r="R730" s="81">
        <f ca="1">R690*(1+INDEX(R$585:R$587,MATCH(Work_Codes!$I$108,$D$585:$D$587,0)))</f>
        <v>877411.49481536192</v>
      </c>
      <c r="S730" s="81">
        <f ca="1">S690*(1+INDEX(S$585:S$587,MATCH(Work_Codes!$I$108,$D$585:$D$587,0)))</f>
        <v>795138.82558153663</v>
      </c>
      <c r="T730" s="81">
        <f ca="1">T690*(1+INDEX(T$585:T$587,MATCH(Work_Codes!$I$108,$D$585:$D$587,0)))</f>
        <v>720837.53866497672</v>
      </c>
    </row>
    <row r="731" spans="4:20" outlineLevel="2">
      <c r="E731" s="247" t="str">
        <f>GC!C55</f>
        <v>Cathodic protection - post 1998</v>
      </c>
      <c r="F731" s="247"/>
      <c r="G731" s="247"/>
      <c r="H731" s="247"/>
      <c r="I731" s="247"/>
      <c r="J731" s="81">
        <f ca="1">J691*(1+INDEX(J$585:J$587,MATCH(Work_Codes!$I$108,$D$585:$D$587,0)))</f>
        <v>0</v>
      </c>
      <c r="K731" s="81">
        <f ca="1">K691*(1+INDEX(K$585:K$587,MATCH(Work_Codes!$I$108,$D$585:$D$587,0)))</f>
        <v>0</v>
      </c>
      <c r="L731" s="81">
        <f ca="1">L691*(1+INDEX(L$585:L$587,MATCH(Work_Codes!$I$108,$D$585:$D$587,0)))</f>
        <v>0</v>
      </c>
      <c r="M731" s="81">
        <f ca="1">M691*(1+INDEX(M$585:M$587,MATCH(Work_Codes!$I$108,$D$585:$D$587,0)))</f>
        <v>0</v>
      </c>
      <c r="N731" s="81">
        <f ca="1">N691*(1+INDEX(N$585:N$587,MATCH(Work_Codes!$I$108,$D$585:$D$587,0)))</f>
        <v>0</v>
      </c>
      <c r="O731" s="81">
        <f ca="1">O691*(1+INDEX(O$585:O$587,MATCH(Work_Codes!$I$108,$D$585:$D$587,0)))</f>
        <v>0</v>
      </c>
      <c r="P731" s="81">
        <f ca="1">P691*(1+INDEX(P$585:P$587,MATCH(Work_Codes!$I$108,$D$585:$D$587,0)))</f>
        <v>0</v>
      </c>
      <c r="Q731" s="81">
        <f ca="1">Q691*(1+INDEX(Q$585:Q$587,MATCH(Work_Codes!$I$108,$D$585:$D$587,0)))</f>
        <v>0</v>
      </c>
      <c r="R731" s="81">
        <f ca="1">R691*(1+INDEX(R$585:R$587,MATCH(Work_Codes!$I$108,$D$585:$D$587,0)))</f>
        <v>0</v>
      </c>
      <c r="S731" s="81">
        <f ca="1">S691*(1+INDEX(S$585:S$587,MATCH(Work_Codes!$I$108,$D$585:$D$587,0)))</f>
        <v>0</v>
      </c>
      <c r="T731" s="81">
        <f ca="1">T691*(1+INDEX(T$585:T$587,MATCH(Work_Codes!$I$108,$D$585:$D$587,0)))</f>
        <v>0</v>
      </c>
    </row>
    <row r="732" spans="4:20" ht="12" customHeight="1" outlineLevel="2">
      <c r="E732" s="249" t="str">
        <f>"Total "&amp;D714</f>
        <v>Total Direct Costs + Overheads</v>
      </c>
      <c r="F732" s="249"/>
      <c r="G732" s="249"/>
      <c r="H732" s="249"/>
      <c r="I732" s="249"/>
      <c r="J732" s="82">
        <f t="shared" ref="J732:T732" ca="1" si="75">SUM(J716:J731)</f>
        <v>0</v>
      </c>
      <c r="K732" s="82">
        <f t="shared" ca="1" si="75"/>
        <v>0</v>
      </c>
      <c r="L732" s="82">
        <f t="shared" ca="1" si="75"/>
        <v>0</v>
      </c>
      <c r="M732" s="82">
        <f t="shared" ca="1" si="75"/>
        <v>0</v>
      </c>
      <c r="N732" s="82">
        <f t="shared" ca="1" si="75"/>
        <v>2297666.5334673584</v>
      </c>
      <c r="O732" s="82">
        <f t="shared" ca="1" si="75"/>
        <v>1045471.5534697071</v>
      </c>
      <c r="P732" s="82">
        <f t="shared" ca="1" si="75"/>
        <v>2077790.8470130353</v>
      </c>
      <c r="Q732" s="82">
        <f t="shared" ca="1" si="75"/>
        <v>1868807.997721449</v>
      </c>
      <c r="R732" s="82">
        <f t="shared" ca="1" si="75"/>
        <v>1683348.0449827968</v>
      </c>
      <c r="S732" s="82">
        <f t="shared" ca="1" si="75"/>
        <v>1517579.4784313911</v>
      </c>
      <c r="T732" s="82">
        <f t="shared" ca="1" si="75"/>
        <v>1367754.0431279805</v>
      </c>
    </row>
    <row r="733" spans="4:20" outlineLevel="2"/>
    <row r="734" spans="4:20" outlineLevel="2">
      <c r="D734" s="37" t="s">
        <v>367</v>
      </c>
    </row>
    <row r="735" spans="4:20" ht="5.9" customHeight="1" outlineLevel="2"/>
    <row r="736" spans="4:20" outlineLevel="2">
      <c r="E736" s="247" t="str">
        <f>GC!C40</f>
        <v>Transmission pipelines</v>
      </c>
      <c r="F736" s="247"/>
      <c r="G736" s="247"/>
      <c r="H736" s="247"/>
      <c r="I736" s="247"/>
      <c r="J736" s="81">
        <f ca="1">SUMPRODUCT((Work_Codes!$N$111:$Y$111=$E736)*(Work_Codes!$N$122:$Y$122)*(J$624:J$624))</f>
        <v>0</v>
      </c>
      <c r="K736" s="81">
        <f ca="1">SUMPRODUCT((Work_Codes!$N$111:$Y$111=$E736)*(Work_Codes!$N$122:$Y$122)*(K$624:K$624))</f>
        <v>0</v>
      </c>
      <c r="L736" s="81">
        <f ca="1">SUMPRODUCT((Work_Codes!$N$111:$Y$111=$E736)*(Work_Codes!$N$122:$Y$122)*(L$624:L$624))</f>
        <v>0</v>
      </c>
      <c r="M736" s="81">
        <f ca="1">SUMPRODUCT((Work_Codes!$N$111:$Y$111=$E736)*(Work_Codes!$N$122:$Y$122)*(M$624:M$624))</f>
        <v>0</v>
      </c>
      <c r="N736" s="81">
        <f ca="1">SUMPRODUCT((Work_Codes!$N$111:$Y$111=$E736)*(Work_Codes!$N$122:$Y$122)*(N$624:N$624))</f>
        <v>0</v>
      </c>
      <c r="O736" s="81">
        <f ca="1">SUMPRODUCT((Work_Codes!$N$111:$Y$111=$E736)*(Work_Codes!$N$122:$Y$122)*(O$624:O$624))</f>
        <v>0</v>
      </c>
      <c r="P736" s="81">
        <f ca="1">SUMPRODUCT((Work_Codes!$N$111:$Y$111=$E736)*(Work_Codes!$N$122:$Y$122)*(P$624:P$624))</f>
        <v>0</v>
      </c>
      <c r="Q736" s="81">
        <f ca="1">SUMPRODUCT((Work_Codes!$N$111:$Y$111=$E736)*(Work_Codes!$N$122:$Y$122)*(Q$624:Q$624))</f>
        <v>0</v>
      </c>
      <c r="R736" s="81">
        <f ca="1">SUMPRODUCT((Work_Codes!$N$111:$Y$111=$E736)*(Work_Codes!$N$122:$Y$122)*(R$624:R$624))</f>
        <v>0</v>
      </c>
      <c r="S736" s="81">
        <f ca="1">SUMPRODUCT((Work_Codes!$N$111:$Y$111=$E736)*(Work_Codes!$N$122:$Y$122)*(S$624:S$624))</f>
        <v>0</v>
      </c>
      <c r="T736" s="81">
        <f ca="1">SUMPRODUCT((Work_Codes!$N$111:$Y$111=$E736)*(Work_Codes!$N$122:$Y$122)*(T$624:T$624))</f>
        <v>0</v>
      </c>
    </row>
    <row r="737" spans="5:20" outlineLevel="2">
      <c r="E737" s="247" t="str">
        <f>GC!C41</f>
        <v>Distribution pipelines</v>
      </c>
      <c r="F737" s="247"/>
      <c r="G737" s="247"/>
      <c r="H737" s="247"/>
      <c r="I737" s="247"/>
      <c r="J737" s="81">
        <f ca="1">SUMPRODUCT((Work_Codes!$N$111:$Y$111=$E737)*(Work_Codes!$N$122:$Y$122)*(J$624:J$624))</f>
        <v>0</v>
      </c>
      <c r="K737" s="81">
        <f ca="1">SUMPRODUCT((Work_Codes!$N$111:$Y$111=$E737)*(Work_Codes!$N$122:$Y$122)*(K$624:K$624))</f>
        <v>0</v>
      </c>
      <c r="L737" s="81">
        <f ca="1">SUMPRODUCT((Work_Codes!$N$111:$Y$111=$E737)*(Work_Codes!$N$122:$Y$122)*(L$624:L$624))</f>
        <v>0</v>
      </c>
      <c r="M737" s="81">
        <f ca="1">SUMPRODUCT((Work_Codes!$N$111:$Y$111=$E737)*(Work_Codes!$N$122:$Y$122)*(M$624:M$624))</f>
        <v>0</v>
      </c>
      <c r="N737" s="81">
        <f ca="1">SUMPRODUCT((Work_Codes!$N$111:$Y$111=$E737)*(Work_Codes!$N$122:$Y$122)*(N$624:N$624))</f>
        <v>0</v>
      </c>
      <c r="O737" s="81">
        <f ca="1">SUMPRODUCT((Work_Codes!$N$111:$Y$111=$E737)*(Work_Codes!$N$122:$Y$122)*(O$624:O$624))</f>
        <v>0</v>
      </c>
      <c r="P737" s="81">
        <f ca="1">SUMPRODUCT((Work_Codes!$N$111:$Y$111=$E737)*(Work_Codes!$N$122:$Y$122)*(P$624:P$624))</f>
        <v>0</v>
      </c>
      <c r="Q737" s="81">
        <f ca="1">SUMPRODUCT((Work_Codes!$N$111:$Y$111=$E737)*(Work_Codes!$N$122:$Y$122)*(Q$624:Q$624))</f>
        <v>0</v>
      </c>
      <c r="R737" s="81">
        <f ca="1">SUMPRODUCT((Work_Codes!$N$111:$Y$111=$E737)*(Work_Codes!$N$122:$Y$122)*(R$624:R$624))</f>
        <v>0</v>
      </c>
      <c r="S737" s="81">
        <f ca="1">SUMPRODUCT((Work_Codes!$N$111:$Y$111=$E737)*(Work_Codes!$N$122:$Y$122)*(S$624:S$624))</f>
        <v>0</v>
      </c>
      <c r="T737" s="81">
        <f ca="1">SUMPRODUCT((Work_Codes!$N$111:$Y$111=$E737)*(Work_Codes!$N$122:$Y$122)*(T$624:T$624))</f>
        <v>0</v>
      </c>
    </row>
    <row r="738" spans="5:20" outlineLevel="2">
      <c r="E738" s="247" t="str">
        <f>GC!C42</f>
        <v>Service pipes</v>
      </c>
      <c r="F738" s="247"/>
      <c r="G738" s="247"/>
      <c r="H738" s="247"/>
      <c r="I738" s="247"/>
      <c r="J738" s="81">
        <f ca="1">SUMPRODUCT((Work_Codes!$N$111:$Y$111=$E738)*(Work_Codes!$N$122:$Y$122)*(J$624:J$624))</f>
        <v>0</v>
      </c>
      <c r="K738" s="81">
        <f ca="1">SUMPRODUCT((Work_Codes!$N$111:$Y$111=$E738)*(Work_Codes!$N$122:$Y$122)*(K$624:K$624))</f>
        <v>0</v>
      </c>
      <c r="L738" s="81">
        <f ca="1">SUMPRODUCT((Work_Codes!$N$111:$Y$111=$E738)*(Work_Codes!$N$122:$Y$122)*(L$624:L$624))</f>
        <v>0</v>
      </c>
      <c r="M738" s="81">
        <f ca="1">SUMPRODUCT((Work_Codes!$N$111:$Y$111=$E738)*(Work_Codes!$N$122:$Y$122)*(M$624:M$624))</f>
        <v>0</v>
      </c>
      <c r="N738" s="81">
        <f ca="1">SUMPRODUCT((Work_Codes!$N$111:$Y$111=$E738)*(Work_Codes!$N$122:$Y$122)*(N$624:N$624))</f>
        <v>0</v>
      </c>
      <c r="O738" s="81">
        <f ca="1">SUMPRODUCT((Work_Codes!$N$111:$Y$111=$E738)*(Work_Codes!$N$122:$Y$122)*(O$624:O$624))</f>
        <v>0</v>
      </c>
      <c r="P738" s="81">
        <f ca="1">SUMPRODUCT((Work_Codes!$N$111:$Y$111=$E738)*(Work_Codes!$N$122:$Y$122)*(P$624:P$624))</f>
        <v>0</v>
      </c>
      <c r="Q738" s="81">
        <f ca="1">SUMPRODUCT((Work_Codes!$N$111:$Y$111=$E738)*(Work_Codes!$N$122:$Y$122)*(Q$624:Q$624))</f>
        <v>0</v>
      </c>
      <c r="R738" s="81">
        <f ca="1">SUMPRODUCT((Work_Codes!$N$111:$Y$111=$E738)*(Work_Codes!$N$122:$Y$122)*(R$624:R$624))</f>
        <v>0</v>
      </c>
      <c r="S738" s="81">
        <f ca="1">SUMPRODUCT((Work_Codes!$N$111:$Y$111=$E738)*(Work_Codes!$N$122:$Y$122)*(S$624:S$624))</f>
        <v>0</v>
      </c>
      <c r="T738" s="81">
        <f ca="1">SUMPRODUCT((Work_Codes!$N$111:$Y$111=$E738)*(Work_Codes!$N$122:$Y$122)*(T$624:T$624))</f>
        <v>0</v>
      </c>
    </row>
    <row r="739" spans="5:20" outlineLevel="2">
      <c r="E739" s="247" t="str">
        <f>GC!C43</f>
        <v>Cathodic protection</v>
      </c>
      <c r="F739" s="247"/>
      <c r="G739" s="247"/>
      <c r="H739" s="247"/>
      <c r="I739" s="247"/>
      <c r="J739" s="81">
        <f ca="1">SUMPRODUCT((Work_Codes!$N$111:$Y$111=$E739)*(Work_Codes!$N$122:$Y$122)*(J$624:J$624))</f>
        <v>0</v>
      </c>
      <c r="K739" s="81">
        <f ca="1">SUMPRODUCT((Work_Codes!$N$111:$Y$111=$E739)*(Work_Codes!$N$122:$Y$122)*(K$624:K$624))</f>
        <v>0</v>
      </c>
      <c r="L739" s="81">
        <f ca="1">SUMPRODUCT((Work_Codes!$N$111:$Y$111=$E739)*(Work_Codes!$N$122:$Y$122)*(L$624:L$624))</f>
        <v>0</v>
      </c>
      <c r="M739" s="81">
        <f ca="1">SUMPRODUCT((Work_Codes!$N$111:$Y$111=$E739)*(Work_Codes!$N$122:$Y$122)*(M$624:M$624))</f>
        <v>0</v>
      </c>
      <c r="N739" s="81">
        <f ca="1">SUMPRODUCT((Work_Codes!$N$111:$Y$111=$E739)*(Work_Codes!$N$122:$Y$122)*(N$624:N$624))</f>
        <v>0</v>
      </c>
      <c r="O739" s="81">
        <f ca="1">SUMPRODUCT((Work_Codes!$N$111:$Y$111=$E739)*(Work_Codes!$N$122:$Y$122)*(O$624:O$624))</f>
        <v>0</v>
      </c>
      <c r="P739" s="81">
        <f ca="1">SUMPRODUCT((Work_Codes!$N$111:$Y$111=$E739)*(Work_Codes!$N$122:$Y$122)*(P$624:P$624))</f>
        <v>0</v>
      </c>
      <c r="Q739" s="81">
        <f ca="1">SUMPRODUCT((Work_Codes!$N$111:$Y$111=$E739)*(Work_Codes!$N$122:$Y$122)*(Q$624:Q$624))</f>
        <v>0</v>
      </c>
      <c r="R739" s="81">
        <f ca="1">SUMPRODUCT((Work_Codes!$N$111:$Y$111=$E739)*(Work_Codes!$N$122:$Y$122)*(R$624:R$624))</f>
        <v>0</v>
      </c>
      <c r="S739" s="81">
        <f ca="1">SUMPRODUCT((Work_Codes!$N$111:$Y$111=$E739)*(Work_Codes!$N$122:$Y$122)*(S$624:S$624))</f>
        <v>0</v>
      </c>
      <c r="T739" s="81">
        <f ca="1">SUMPRODUCT((Work_Codes!$N$111:$Y$111=$E739)*(Work_Codes!$N$122:$Y$122)*(T$624:T$624))</f>
        <v>0</v>
      </c>
    </row>
    <row r="740" spans="5:20" outlineLevel="2">
      <c r="E740" s="247" t="str">
        <f>GC!C44</f>
        <v>Supply Regulators / Valve Stations</v>
      </c>
      <c r="F740" s="247"/>
      <c r="G740" s="247"/>
      <c r="H740" s="247"/>
      <c r="I740" s="247"/>
      <c r="J740" s="81">
        <f ca="1">SUMPRODUCT((Work_Codes!$N$111:$Y$111=$E740)*(Work_Codes!$N$122:$Y$122)*(J$624:J$624))</f>
        <v>0</v>
      </c>
      <c r="K740" s="81">
        <f ca="1">SUMPRODUCT((Work_Codes!$N$111:$Y$111=$E740)*(Work_Codes!$N$122:$Y$122)*(K$624:K$624))</f>
        <v>0</v>
      </c>
      <c r="L740" s="81">
        <f ca="1">SUMPRODUCT((Work_Codes!$N$111:$Y$111=$E740)*(Work_Codes!$N$122:$Y$122)*(L$624:L$624))</f>
        <v>0</v>
      </c>
      <c r="M740" s="81">
        <f ca="1">SUMPRODUCT((Work_Codes!$N$111:$Y$111=$E740)*(Work_Codes!$N$122:$Y$122)*(M$624:M$624))</f>
        <v>0</v>
      </c>
      <c r="N740" s="81">
        <f ca="1">SUMPRODUCT((Work_Codes!$N$111:$Y$111=$E740)*(Work_Codes!$N$122:$Y$122)*(N$624:N$624))</f>
        <v>0</v>
      </c>
      <c r="O740" s="81">
        <f ca="1">SUMPRODUCT((Work_Codes!$N$111:$Y$111=$E740)*(Work_Codes!$N$122:$Y$122)*(O$624:O$624))</f>
        <v>0</v>
      </c>
      <c r="P740" s="81">
        <f ca="1">SUMPRODUCT((Work_Codes!$N$111:$Y$111=$E740)*(Work_Codes!$N$122:$Y$122)*(P$624:P$624))</f>
        <v>0</v>
      </c>
      <c r="Q740" s="81">
        <f ca="1">SUMPRODUCT((Work_Codes!$N$111:$Y$111=$E740)*(Work_Codes!$N$122:$Y$122)*(Q$624:Q$624))</f>
        <v>0</v>
      </c>
      <c r="R740" s="81">
        <f ca="1">SUMPRODUCT((Work_Codes!$N$111:$Y$111=$E740)*(Work_Codes!$N$122:$Y$122)*(R$624:R$624))</f>
        <v>0</v>
      </c>
      <c r="S740" s="81">
        <f ca="1">SUMPRODUCT((Work_Codes!$N$111:$Y$111=$E740)*(Work_Codes!$N$122:$Y$122)*(S$624:S$624))</f>
        <v>0</v>
      </c>
      <c r="T740" s="81">
        <f ca="1">SUMPRODUCT((Work_Codes!$N$111:$Y$111=$E740)*(Work_Codes!$N$122:$Y$122)*(T$624:T$624))</f>
        <v>0</v>
      </c>
    </row>
    <row r="741" spans="5:20" outlineLevel="2">
      <c r="E741" s="247" t="str">
        <f>GC!C45</f>
        <v>Meters</v>
      </c>
      <c r="F741" s="247"/>
      <c r="G741" s="247"/>
      <c r="H741" s="247"/>
      <c r="I741" s="247"/>
      <c r="J741" s="81">
        <f ca="1">SUMPRODUCT((Work_Codes!$N$111:$Y$111=$E741)*(Work_Codes!$N$122:$Y$122)*(J$624:J$624))</f>
        <v>0</v>
      </c>
      <c r="K741" s="81">
        <f ca="1">SUMPRODUCT((Work_Codes!$N$111:$Y$111=$E741)*(Work_Codes!$N$122:$Y$122)*(K$624:K$624))</f>
        <v>0</v>
      </c>
      <c r="L741" s="81">
        <f ca="1">SUMPRODUCT((Work_Codes!$N$111:$Y$111=$E741)*(Work_Codes!$N$122:$Y$122)*(L$624:L$624))</f>
        <v>0</v>
      </c>
      <c r="M741" s="81">
        <f ca="1">SUMPRODUCT((Work_Codes!$N$111:$Y$111=$E741)*(Work_Codes!$N$122:$Y$122)*(M$624:M$624))</f>
        <v>0</v>
      </c>
      <c r="N741" s="81">
        <f ca="1">SUMPRODUCT((Work_Codes!$N$111:$Y$111=$E741)*(Work_Codes!$N$122:$Y$122)*(N$624:N$624))</f>
        <v>0</v>
      </c>
      <c r="O741" s="81">
        <f ca="1">SUMPRODUCT((Work_Codes!$N$111:$Y$111=$E741)*(Work_Codes!$N$122:$Y$122)*(O$624:O$624))</f>
        <v>0</v>
      </c>
      <c r="P741" s="81">
        <f ca="1">SUMPRODUCT((Work_Codes!$N$111:$Y$111=$E741)*(Work_Codes!$N$122:$Y$122)*(P$624:P$624))</f>
        <v>0</v>
      </c>
      <c r="Q741" s="81">
        <f ca="1">SUMPRODUCT((Work_Codes!$N$111:$Y$111=$E741)*(Work_Codes!$N$122:$Y$122)*(Q$624:Q$624))</f>
        <v>0</v>
      </c>
      <c r="R741" s="81">
        <f ca="1">SUMPRODUCT((Work_Codes!$N$111:$Y$111=$E741)*(Work_Codes!$N$122:$Y$122)*(R$624:R$624))</f>
        <v>0</v>
      </c>
      <c r="S741" s="81">
        <f ca="1">SUMPRODUCT((Work_Codes!$N$111:$Y$111=$E741)*(Work_Codes!$N$122:$Y$122)*(S$624:S$624))</f>
        <v>0</v>
      </c>
      <c r="T741" s="81">
        <f ca="1">SUMPRODUCT((Work_Codes!$N$111:$Y$111=$E741)*(Work_Codes!$N$122:$Y$122)*(T$624:T$624))</f>
        <v>0</v>
      </c>
    </row>
    <row r="742" spans="5:20" outlineLevel="2">
      <c r="E742" s="247" t="str">
        <f>GC!C46</f>
        <v>SCADA and remote control</v>
      </c>
      <c r="F742" s="247"/>
      <c r="G742" s="247"/>
      <c r="H742" s="247"/>
      <c r="I742" s="247"/>
      <c r="J742" s="81">
        <f ca="1">SUMPRODUCT((Work_Codes!$N$111:$Y$111=$E742)*(Work_Codes!$N$122:$Y$122)*(J$624:J$624))</f>
        <v>0</v>
      </c>
      <c r="K742" s="81">
        <f ca="1">SUMPRODUCT((Work_Codes!$N$111:$Y$111=$E742)*(Work_Codes!$N$122:$Y$122)*(K$624:K$624))</f>
        <v>0</v>
      </c>
      <c r="L742" s="81">
        <f ca="1">SUMPRODUCT((Work_Codes!$N$111:$Y$111=$E742)*(Work_Codes!$N$122:$Y$122)*(L$624:L$624))</f>
        <v>0</v>
      </c>
      <c r="M742" s="81">
        <f ca="1">SUMPRODUCT((Work_Codes!$N$111:$Y$111=$E742)*(Work_Codes!$N$122:$Y$122)*(M$624:M$624))</f>
        <v>0</v>
      </c>
      <c r="N742" s="81">
        <f ca="1">SUMPRODUCT((Work_Codes!$N$111:$Y$111=$E742)*(Work_Codes!$N$122:$Y$122)*(N$624:N$624))</f>
        <v>0</v>
      </c>
      <c r="O742" s="81">
        <f ca="1">SUMPRODUCT((Work_Codes!$N$111:$Y$111=$E742)*(Work_Codes!$N$122:$Y$122)*(O$624:O$624))</f>
        <v>0</v>
      </c>
      <c r="P742" s="81">
        <f ca="1">SUMPRODUCT((Work_Codes!$N$111:$Y$111=$E742)*(Work_Codes!$N$122:$Y$122)*(P$624:P$624))</f>
        <v>0</v>
      </c>
      <c r="Q742" s="81">
        <f ca="1">SUMPRODUCT((Work_Codes!$N$111:$Y$111=$E742)*(Work_Codes!$N$122:$Y$122)*(Q$624:Q$624))</f>
        <v>0</v>
      </c>
      <c r="R742" s="81">
        <f ca="1">SUMPRODUCT((Work_Codes!$N$111:$Y$111=$E742)*(Work_Codes!$N$122:$Y$122)*(R$624:R$624))</f>
        <v>0</v>
      </c>
      <c r="S742" s="81">
        <f ca="1">SUMPRODUCT((Work_Codes!$N$111:$Y$111=$E742)*(Work_Codes!$N$122:$Y$122)*(S$624:S$624))</f>
        <v>0</v>
      </c>
      <c r="T742" s="81">
        <f ca="1">SUMPRODUCT((Work_Codes!$N$111:$Y$111=$E742)*(Work_Codes!$N$122:$Y$122)*(T$624:T$624))</f>
        <v>0</v>
      </c>
    </row>
    <row r="743" spans="5:20" outlineLevel="2">
      <c r="E743" s="247" t="str">
        <f>GC!C47</f>
        <v>Buildings</v>
      </c>
      <c r="F743" s="247"/>
      <c r="G743" s="247"/>
      <c r="H743" s="247"/>
      <c r="I743" s="247"/>
      <c r="J743" s="81">
        <f ca="1">SUMPRODUCT((Work_Codes!$N$111:$Y$111=$E743)*(Work_Codes!$N$122:$Y$122)*(J$624:J$624))</f>
        <v>0</v>
      </c>
      <c r="K743" s="81">
        <f ca="1">SUMPRODUCT((Work_Codes!$N$111:$Y$111=$E743)*(Work_Codes!$N$122:$Y$122)*(K$624:K$624))</f>
        <v>0</v>
      </c>
      <c r="L743" s="81">
        <f ca="1">SUMPRODUCT((Work_Codes!$N$111:$Y$111=$E743)*(Work_Codes!$N$122:$Y$122)*(L$624:L$624))</f>
        <v>0</v>
      </c>
      <c r="M743" s="81">
        <f ca="1">SUMPRODUCT((Work_Codes!$N$111:$Y$111=$E743)*(Work_Codes!$N$122:$Y$122)*(M$624:M$624))</f>
        <v>0</v>
      </c>
      <c r="N743" s="81">
        <f ca="1">SUMPRODUCT((Work_Codes!$N$111:$Y$111=$E743)*(Work_Codes!$N$122:$Y$122)*(N$624:N$624))</f>
        <v>0</v>
      </c>
      <c r="O743" s="81">
        <f ca="1">SUMPRODUCT((Work_Codes!$N$111:$Y$111=$E743)*(Work_Codes!$N$122:$Y$122)*(O$624:O$624))</f>
        <v>0</v>
      </c>
      <c r="P743" s="81">
        <f ca="1">SUMPRODUCT((Work_Codes!$N$111:$Y$111=$E743)*(Work_Codes!$N$122:$Y$122)*(P$624:P$624))</f>
        <v>0</v>
      </c>
      <c r="Q743" s="81">
        <f ca="1">SUMPRODUCT((Work_Codes!$N$111:$Y$111=$E743)*(Work_Codes!$N$122:$Y$122)*(Q$624:Q$624))</f>
        <v>0</v>
      </c>
      <c r="R743" s="81">
        <f ca="1">SUMPRODUCT((Work_Codes!$N$111:$Y$111=$E743)*(Work_Codes!$N$122:$Y$122)*(R$624:R$624))</f>
        <v>0</v>
      </c>
      <c r="S743" s="81">
        <f ca="1">SUMPRODUCT((Work_Codes!$N$111:$Y$111=$E743)*(Work_Codes!$N$122:$Y$122)*(S$624:S$624))</f>
        <v>0</v>
      </c>
      <c r="T743" s="81">
        <f ca="1">SUMPRODUCT((Work_Codes!$N$111:$Y$111=$E743)*(Work_Codes!$N$122:$Y$122)*(T$624:T$624))</f>
        <v>0</v>
      </c>
    </row>
    <row r="744" spans="5:20" outlineLevel="2">
      <c r="E744" s="247" t="str">
        <f>GC!C48</f>
        <v>Other - IT</v>
      </c>
      <c r="F744" s="247"/>
      <c r="G744" s="247"/>
      <c r="H744" s="247"/>
      <c r="I744" s="247"/>
      <c r="J744" s="81">
        <f ca="1">SUMPRODUCT((Work_Codes!$N$111:$Y$111=$E744)*(Work_Codes!$N$122:$Y$122)*(J$624:J$624))</f>
        <v>0</v>
      </c>
      <c r="K744" s="81">
        <f ca="1">SUMPRODUCT((Work_Codes!$N$111:$Y$111=$E744)*(Work_Codes!$N$122:$Y$122)*(K$624:K$624))</f>
        <v>0</v>
      </c>
      <c r="L744" s="81">
        <f ca="1">SUMPRODUCT((Work_Codes!$N$111:$Y$111=$E744)*(Work_Codes!$N$122:$Y$122)*(L$624:L$624))</f>
        <v>0</v>
      </c>
      <c r="M744" s="81">
        <f ca="1">SUMPRODUCT((Work_Codes!$N$111:$Y$111=$E744)*(Work_Codes!$N$122:$Y$122)*(M$624:M$624))</f>
        <v>0</v>
      </c>
      <c r="N744" s="81">
        <f ca="1">SUMPRODUCT((Work_Codes!$N$111:$Y$111=$E744)*(Work_Codes!$N$122:$Y$122)*(N$624:N$624))</f>
        <v>0</v>
      </c>
      <c r="O744" s="81">
        <f ca="1">SUMPRODUCT((Work_Codes!$N$111:$Y$111=$E744)*(Work_Codes!$N$122:$Y$122)*(O$624:O$624))</f>
        <v>0</v>
      </c>
      <c r="P744" s="81">
        <f ca="1">SUMPRODUCT((Work_Codes!$N$111:$Y$111=$E744)*(Work_Codes!$N$122:$Y$122)*(P$624:P$624))</f>
        <v>0</v>
      </c>
      <c r="Q744" s="81">
        <f ca="1">SUMPRODUCT((Work_Codes!$N$111:$Y$111=$E744)*(Work_Codes!$N$122:$Y$122)*(Q$624:Q$624))</f>
        <v>0</v>
      </c>
      <c r="R744" s="81">
        <f ca="1">SUMPRODUCT((Work_Codes!$N$111:$Y$111=$E744)*(Work_Codes!$N$122:$Y$122)*(R$624:R$624))</f>
        <v>0</v>
      </c>
      <c r="S744" s="81">
        <f ca="1">SUMPRODUCT((Work_Codes!$N$111:$Y$111=$E744)*(Work_Codes!$N$122:$Y$122)*(S$624:S$624))</f>
        <v>0</v>
      </c>
      <c r="T744" s="81">
        <f ca="1">SUMPRODUCT((Work_Codes!$N$111:$Y$111=$E744)*(Work_Codes!$N$122:$Y$122)*(T$624:T$624))</f>
        <v>0</v>
      </c>
    </row>
    <row r="745" spans="5:20" outlineLevel="2">
      <c r="E745" s="247" t="str">
        <f>GC!C49</f>
        <v>Other - non IT</v>
      </c>
      <c r="F745" s="247"/>
      <c r="G745" s="247"/>
      <c r="H745" s="247"/>
      <c r="I745" s="247"/>
      <c r="J745" s="81">
        <f ca="1">SUMPRODUCT((Work_Codes!$N$111:$Y$111=$E745)*(Work_Codes!$N$122:$Y$122)*(J$624:J$624))</f>
        <v>0</v>
      </c>
      <c r="K745" s="81">
        <f ca="1">SUMPRODUCT((Work_Codes!$N$111:$Y$111=$E745)*(Work_Codes!$N$122:$Y$122)*(K$624:K$624))</f>
        <v>0</v>
      </c>
      <c r="L745" s="81">
        <f ca="1">SUMPRODUCT((Work_Codes!$N$111:$Y$111=$E745)*(Work_Codes!$N$122:$Y$122)*(L$624:L$624))</f>
        <v>0</v>
      </c>
      <c r="M745" s="81">
        <f ca="1">SUMPRODUCT((Work_Codes!$N$111:$Y$111=$E745)*(Work_Codes!$N$122:$Y$122)*(M$624:M$624))</f>
        <v>0</v>
      </c>
      <c r="N745" s="81">
        <f ca="1">SUMPRODUCT((Work_Codes!$N$111:$Y$111=$E745)*(Work_Codes!$N$122:$Y$122)*(N$624:N$624))</f>
        <v>0</v>
      </c>
      <c r="O745" s="81">
        <f ca="1">SUMPRODUCT((Work_Codes!$N$111:$Y$111=$E745)*(Work_Codes!$N$122:$Y$122)*(O$624:O$624))</f>
        <v>0</v>
      </c>
      <c r="P745" s="81">
        <f ca="1">SUMPRODUCT((Work_Codes!$N$111:$Y$111=$E745)*(Work_Codes!$N$122:$Y$122)*(P$624:P$624))</f>
        <v>0</v>
      </c>
      <c r="Q745" s="81">
        <f ca="1">SUMPRODUCT((Work_Codes!$N$111:$Y$111=$E745)*(Work_Codes!$N$122:$Y$122)*(Q$624:Q$624))</f>
        <v>0</v>
      </c>
      <c r="R745" s="81">
        <f ca="1">SUMPRODUCT((Work_Codes!$N$111:$Y$111=$E745)*(Work_Codes!$N$122:$Y$122)*(R$624:R$624))</f>
        <v>0</v>
      </c>
      <c r="S745" s="81">
        <f ca="1">SUMPRODUCT((Work_Codes!$N$111:$Y$111=$E745)*(Work_Codes!$N$122:$Y$122)*(S$624:S$624))</f>
        <v>0</v>
      </c>
      <c r="T745" s="81">
        <f ca="1">SUMPRODUCT((Work_Codes!$N$111:$Y$111=$E745)*(Work_Codes!$N$122:$Y$122)*(T$624:T$624))</f>
        <v>0</v>
      </c>
    </row>
    <row r="746" spans="5:20" outlineLevel="2">
      <c r="E746" s="247" t="str">
        <f>GC!C50</f>
        <v>Land</v>
      </c>
      <c r="F746" s="247"/>
      <c r="G746" s="247"/>
      <c r="H746" s="247"/>
      <c r="I746" s="247"/>
      <c r="J746" s="81">
        <f ca="1">SUMPRODUCT((Work_Codes!$N$111:$Y$111=$E746)*(Work_Codes!$N$122:$Y$122)*(J$624:J$624))</f>
        <v>0</v>
      </c>
      <c r="K746" s="81">
        <f ca="1">SUMPRODUCT((Work_Codes!$N$111:$Y$111=$E746)*(Work_Codes!$N$122:$Y$122)*(K$624:K$624))</f>
        <v>0</v>
      </c>
      <c r="L746" s="81">
        <f ca="1">SUMPRODUCT((Work_Codes!$N$111:$Y$111=$E746)*(Work_Codes!$N$122:$Y$122)*(L$624:L$624))</f>
        <v>0</v>
      </c>
      <c r="M746" s="81">
        <f ca="1">SUMPRODUCT((Work_Codes!$N$111:$Y$111=$E746)*(Work_Codes!$N$122:$Y$122)*(M$624:M$624))</f>
        <v>0</v>
      </c>
      <c r="N746" s="81">
        <f ca="1">SUMPRODUCT((Work_Codes!$N$111:$Y$111=$E746)*(Work_Codes!$N$122:$Y$122)*(N$624:N$624))</f>
        <v>0</v>
      </c>
      <c r="O746" s="81">
        <f ca="1">SUMPRODUCT((Work_Codes!$N$111:$Y$111=$E746)*(Work_Codes!$N$122:$Y$122)*(O$624:O$624))</f>
        <v>0</v>
      </c>
      <c r="P746" s="81">
        <f ca="1">SUMPRODUCT((Work_Codes!$N$111:$Y$111=$E746)*(Work_Codes!$N$122:$Y$122)*(P$624:P$624))</f>
        <v>0</v>
      </c>
      <c r="Q746" s="81">
        <f ca="1">SUMPRODUCT((Work_Codes!$N$111:$Y$111=$E746)*(Work_Codes!$N$122:$Y$122)*(Q$624:Q$624))</f>
        <v>0</v>
      </c>
      <c r="R746" s="81">
        <f ca="1">SUMPRODUCT((Work_Codes!$N$111:$Y$111=$E746)*(Work_Codes!$N$122:$Y$122)*(R$624:R$624))</f>
        <v>0</v>
      </c>
      <c r="S746" s="81">
        <f ca="1">SUMPRODUCT((Work_Codes!$N$111:$Y$111=$E746)*(Work_Codes!$N$122:$Y$122)*(S$624:S$624))</f>
        <v>0</v>
      </c>
      <c r="T746" s="81">
        <f ca="1">SUMPRODUCT((Work_Codes!$N$111:$Y$111=$E746)*(Work_Codes!$N$122:$Y$122)*(T$624:T$624))</f>
        <v>0</v>
      </c>
    </row>
    <row r="747" spans="5:20" outlineLevel="2">
      <c r="E747" s="247" t="str">
        <f>GC!C51</f>
        <v>Capitalised Leases</v>
      </c>
      <c r="F747" s="247"/>
      <c r="G747" s="247"/>
      <c r="H747" s="247"/>
      <c r="I747" s="247"/>
      <c r="J747" s="81">
        <f ca="1">SUMPRODUCT((Work_Codes!$N$111:$Y$111=$E747)*(Work_Codes!$N$122:$Y$122)*(J$624:J$624))</f>
        <v>0</v>
      </c>
      <c r="K747" s="81">
        <f ca="1">SUMPRODUCT((Work_Codes!$N$111:$Y$111=$E747)*(Work_Codes!$N$122:$Y$122)*(K$624:K$624))</f>
        <v>0</v>
      </c>
      <c r="L747" s="81">
        <f ca="1">SUMPRODUCT((Work_Codes!$N$111:$Y$111=$E747)*(Work_Codes!$N$122:$Y$122)*(L$624:L$624))</f>
        <v>0</v>
      </c>
      <c r="M747" s="81">
        <f ca="1">SUMPRODUCT((Work_Codes!$N$111:$Y$111=$E747)*(Work_Codes!$N$122:$Y$122)*(M$624:M$624))</f>
        <v>0</v>
      </c>
      <c r="N747" s="81">
        <f ca="1">SUMPRODUCT((Work_Codes!$N$111:$Y$111=$E747)*(Work_Codes!$N$122:$Y$122)*(N$624:N$624))</f>
        <v>0</v>
      </c>
      <c r="O747" s="81">
        <f ca="1">SUMPRODUCT((Work_Codes!$N$111:$Y$111=$E747)*(Work_Codes!$N$122:$Y$122)*(O$624:O$624))</f>
        <v>0</v>
      </c>
      <c r="P747" s="81">
        <f ca="1">SUMPRODUCT((Work_Codes!$N$111:$Y$111=$E747)*(Work_Codes!$N$122:$Y$122)*(P$624:P$624))</f>
        <v>0</v>
      </c>
      <c r="Q747" s="81">
        <f ca="1">SUMPRODUCT((Work_Codes!$N$111:$Y$111=$E747)*(Work_Codes!$N$122:$Y$122)*(Q$624:Q$624))</f>
        <v>0</v>
      </c>
      <c r="R747" s="81">
        <f ca="1">SUMPRODUCT((Work_Codes!$N$111:$Y$111=$E747)*(Work_Codes!$N$122:$Y$122)*(R$624:R$624))</f>
        <v>0</v>
      </c>
      <c r="S747" s="81">
        <f ca="1">SUMPRODUCT((Work_Codes!$N$111:$Y$111=$E747)*(Work_Codes!$N$122:$Y$122)*(S$624:S$624))</f>
        <v>0</v>
      </c>
      <c r="T747" s="81">
        <f ca="1">SUMPRODUCT((Work_Codes!$N$111:$Y$111=$E747)*(Work_Codes!$N$122:$Y$122)*(T$624:T$624))</f>
        <v>0</v>
      </c>
    </row>
    <row r="748" spans="5:20" outlineLevel="2">
      <c r="E748" s="247" t="str">
        <f>GC!C52</f>
        <v>Transmission pipelines - post 1998</v>
      </c>
      <c r="F748" s="247"/>
      <c r="G748" s="247"/>
      <c r="H748" s="247"/>
      <c r="I748" s="247"/>
      <c r="J748" s="81">
        <f ca="1">SUMPRODUCT((Work_Codes!$N$111:$Y$111=$E748)*(Work_Codes!$N$122:$Y$122)*(J$624:J$624))</f>
        <v>0</v>
      </c>
      <c r="K748" s="81">
        <f ca="1">SUMPRODUCT((Work_Codes!$N$111:$Y$111=$E748)*(Work_Codes!$N$122:$Y$122)*(K$624:K$624))</f>
        <v>0</v>
      </c>
      <c r="L748" s="81">
        <f ca="1">SUMPRODUCT((Work_Codes!$N$111:$Y$111=$E748)*(Work_Codes!$N$122:$Y$122)*(L$624:L$624))</f>
        <v>0</v>
      </c>
      <c r="M748" s="81">
        <f ca="1">SUMPRODUCT((Work_Codes!$N$111:$Y$111=$E748)*(Work_Codes!$N$122:$Y$122)*(M$624:M$624))</f>
        <v>0</v>
      </c>
      <c r="N748" s="81">
        <f ca="1">SUMPRODUCT((Work_Codes!$N$111:$Y$111=$E748)*(Work_Codes!$N$122:$Y$122)*(N$624:N$624))</f>
        <v>0</v>
      </c>
      <c r="O748" s="81">
        <f ca="1">SUMPRODUCT((Work_Codes!$N$111:$Y$111=$E748)*(Work_Codes!$N$122:$Y$122)*(O$624:O$624))</f>
        <v>0</v>
      </c>
      <c r="P748" s="81">
        <f ca="1">SUMPRODUCT((Work_Codes!$N$111:$Y$111=$E748)*(Work_Codes!$N$122:$Y$122)*(P$624:P$624))</f>
        <v>0</v>
      </c>
      <c r="Q748" s="81">
        <f ca="1">SUMPRODUCT((Work_Codes!$N$111:$Y$111=$E748)*(Work_Codes!$N$122:$Y$122)*(Q$624:Q$624))</f>
        <v>0</v>
      </c>
      <c r="R748" s="81">
        <f ca="1">SUMPRODUCT((Work_Codes!$N$111:$Y$111=$E748)*(Work_Codes!$N$122:$Y$122)*(R$624:R$624))</f>
        <v>0</v>
      </c>
      <c r="S748" s="81">
        <f ca="1">SUMPRODUCT((Work_Codes!$N$111:$Y$111=$E748)*(Work_Codes!$N$122:$Y$122)*(S$624:S$624))</f>
        <v>0</v>
      </c>
      <c r="T748" s="81">
        <f ca="1">SUMPRODUCT((Work_Codes!$N$111:$Y$111=$E748)*(Work_Codes!$N$122:$Y$122)*(T$624:T$624))</f>
        <v>0</v>
      </c>
    </row>
    <row r="749" spans="5:20" outlineLevel="2">
      <c r="E749" s="247" t="str">
        <f>GC!C53</f>
        <v>Distribution pipelines - post 1998</v>
      </c>
      <c r="F749" s="247"/>
      <c r="G749" s="247"/>
      <c r="H749" s="247"/>
      <c r="I749" s="247"/>
      <c r="J749" s="81">
        <f ca="1">SUMPRODUCT((Work_Codes!$N$111:$Y$111=$E749)*(Work_Codes!$N$122:$Y$122)*(J$624:J$624))</f>
        <v>0</v>
      </c>
      <c r="K749" s="81">
        <f ca="1">SUMPRODUCT((Work_Codes!$N$111:$Y$111=$E749)*(Work_Codes!$N$122:$Y$122)*(K$624:K$624))</f>
        <v>0</v>
      </c>
      <c r="L749" s="81">
        <f ca="1">SUMPRODUCT((Work_Codes!$N$111:$Y$111=$E749)*(Work_Codes!$N$122:$Y$122)*(L$624:L$624))</f>
        <v>0</v>
      </c>
      <c r="M749" s="81">
        <f ca="1">SUMPRODUCT((Work_Codes!$N$111:$Y$111=$E749)*(Work_Codes!$N$122:$Y$122)*(M$624:M$624))</f>
        <v>0</v>
      </c>
      <c r="N749" s="81">
        <f ca="1">SUMPRODUCT((Work_Codes!$N$111:$Y$111=$E749)*(Work_Codes!$N$122:$Y$122)*(N$624:N$624))</f>
        <v>0</v>
      </c>
      <c r="O749" s="81">
        <f ca="1">SUMPRODUCT((Work_Codes!$N$111:$Y$111=$E749)*(Work_Codes!$N$122:$Y$122)*(O$624:O$624))</f>
        <v>0</v>
      </c>
      <c r="P749" s="81">
        <f ca="1">SUMPRODUCT((Work_Codes!$N$111:$Y$111=$E749)*(Work_Codes!$N$122:$Y$122)*(P$624:P$624))</f>
        <v>0</v>
      </c>
      <c r="Q749" s="81">
        <f ca="1">SUMPRODUCT((Work_Codes!$N$111:$Y$111=$E749)*(Work_Codes!$N$122:$Y$122)*(Q$624:Q$624))</f>
        <v>0</v>
      </c>
      <c r="R749" s="81">
        <f ca="1">SUMPRODUCT((Work_Codes!$N$111:$Y$111=$E749)*(Work_Codes!$N$122:$Y$122)*(R$624:R$624))</f>
        <v>0</v>
      </c>
      <c r="S749" s="81">
        <f ca="1">SUMPRODUCT((Work_Codes!$N$111:$Y$111=$E749)*(Work_Codes!$N$122:$Y$122)*(S$624:S$624))</f>
        <v>0</v>
      </c>
      <c r="T749" s="81">
        <f ca="1">SUMPRODUCT((Work_Codes!$N$111:$Y$111=$E749)*(Work_Codes!$N$122:$Y$122)*(T$624:T$624))</f>
        <v>0</v>
      </c>
    </row>
    <row r="750" spans="5:20" outlineLevel="2">
      <c r="E750" s="247" t="str">
        <f>GC!C54</f>
        <v>Service pipes - post 1998</v>
      </c>
      <c r="F750" s="247"/>
      <c r="G750" s="247"/>
      <c r="H750" s="247"/>
      <c r="I750" s="247"/>
      <c r="J750" s="81">
        <f ca="1">SUMPRODUCT((Work_Codes!$N$111:$Y$111=$E750)*(Work_Codes!$N$122:$Y$122)*(J$624:J$624))</f>
        <v>0</v>
      </c>
      <c r="K750" s="81">
        <f ca="1">SUMPRODUCT((Work_Codes!$N$111:$Y$111=$E750)*(Work_Codes!$N$122:$Y$122)*(K$624:K$624))</f>
        <v>0</v>
      </c>
      <c r="L750" s="81">
        <f ca="1">SUMPRODUCT((Work_Codes!$N$111:$Y$111=$E750)*(Work_Codes!$N$122:$Y$122)*(L$624:L$624))</f>
        <v>0</v>
      </c>
      <c r="M750" s="81">
        <f ca="1">SUMPRODUCT((Work_Codes!$N$111:$Y$111=$E750)*(Work_Codes!$N$122:$Y$122)*(M$624:M$624))</f>
        <v>0</v>
      </c>
      <c r="N750" s="81">
        <f ca="1">SUMPRODUCT((Work_Codes!$N$111:$Y$111=$E750)*(Work_Codes!$N$122:$Y$122)*(N$624:N$624))</f>
        <v>0</v>
      </c>
      <c r="O750" s="81">
        <f ca="1">SUMPRODUCT((Work_Codes!$N$111:$Y$111=$E750)*(Work_Codes!$N$122:$Y$122)*(O$624:O$624))</f>
        <v>0</v>
      </c>
      <c r="P750" s="81">
        <f ca="1">SUMPRODUCT((Work_Codes!$N$111:$Y$111=$E750)*(Work_Codes!$N$122:$Y$122)*(P$624:P$624))</f>
        <v>0</v>
      </c>
      <c r="Q750" s="81">
        <f ca="1">SUMPRODUCT((Work_Codes!$N$111:$Y$111=$E750)*(Work_Codes!$N$122:$Y$122)*(Q$624:Q$624))</f>
        <v>0</v>
      </c>
      <c r="R750" s="81">
        <f ca="1">SUMPRODUCT((Work_Codes!$N$111:$Y$111=$E750)*(Work_Codes!$N$122:$Y$122)*(R$624:R$624))</f>
        <v>0</v>
      </c>
      <c r="S750" s="81">
        <f ca="1">SUMPRODUCT((Work_Codes!$N$111:$Y$111=$E750)*(Work_Codes!$N$122:$Y$122)*(S$624:S$624))</f>
        <v>0</v>
      </c>
      <c r="T750" s="81">
        <f ca="1">SUMPRODUCT((Work_Codes!$N$111:$Y$111=$E750)*(Work_Codes!$N$122:$Y$122)*(T$624:T$624))</f>
        <v>0</v>
      </c>
    </row>
    <row r="751" spans="5:20" outlineLevel="2">
      <c r="E751" s="247" t="str">
        <f>GC!C55</f>
        <v>Cathodic protection - post 1998</v>
      </c>
      <c r="F751" s="247"/>
      <c r="G751" s="247"/>
      <c r="H751" s="247"/>
      <c r="I751" s="247"/>
      <c r="J751" s="81">
        <f ca="1">SUMPRODUCT((Work_Codes!$N$111:$Y$111=$E751)*(Work_Codes!$N$122:$Y$122)*(J$624:J$624))</f>
        <v>0</v>
      </c>
      <c r="K751" s="81">
        <f ca="1">SUMPRODUCT((Work_Codes!$N$111:$Y$111=$E751)*(Work_Codes!$N$122:$Y$122)*(K$624:K$624))</f>
        <v>0</v>
      </c>
      <c r="L751" s="81">
        <f ca="1">SUMPRODUCT((Work_Codes!$N$111:$Y$111=$E751)*(Work_Codes!$N$122:$Y$122)*(L$624:L$624))</f>
        <v>0</v>
      </c>
      <c r="M751" s="81">
        <f ca="1">SUMPRODUCT((Work_Codes!$N$111:$Y$111=$E751)*(Work_Codes!$N$122:$Y$122)*(M$624:M$624))</f>
        <v>0</v>
      </c>
      <c r="N751" s="81">
        <f ca="1">SUMPRODUCT((Work_Codes!$N$111:$Y$111=$E751)*(Work_Codes!$N$122:$Y$122)*(N$624:N$624))</f>
        <v>0</v>
      </c>
      <c r="O751" s="81">
        <f ca="1">SUMPRODUCT((Work_Codes!$N$111:$Y$111=$E751)*(Work_Codes!$N$122:$Y$122)*(O$624:O$624))</f>
        <v>0</v>
      </c>
      <c r="P751" s="81">
        <f ca="1">SUMPRODUCT((Work_Codes!$N$111:$Y$111=$E751)*(Work_Codes!$N$122:$Y$122)*(P$624:P$624))</f>
        <v>0</v>
      </c>
      <c r="Q751" s="81">
        <f ca="1">SUMPRODUCT((Work_Codes!$N$111:$Y$111=$E751)*(Work_Codes!$N$122:$Y$122)*(Q$624:Q$624))</f>
        <v>0</v>
      </c>
      <c r="R751" s="81">
        <f ca="1">SUMPRODUCT((Work_Codes!$N$111:$Y$111=$E751)*(Work_Codes!$N$122:$Y$122)*(R$624:R$624))</f>
        <v>0</v>
      </c>
      <c r="S751" s="81">
        <f ca="1">SUMPRODUCT((Work_Codes!$N$111:$Y$111=$E751)*(Work_Codes!$N$122:$Y$122)*(S$624:S$624))</f>
        <v>0</v>
      </c>
      <c r="T751" s="81">
        <f ca="1">SUMPRODUCT((Work_Codes!$N$111:$Y$111=$E751)*(Work_Codes!$N$122:$Y$122)*(T$624:T$624))</f>
        <v>0</v>
      </c>
    </row>
    <row r="752" spans="5:20" outlineLevel="2">
      <c r="E752" s="249" t="str">
        <f>"Total "&amp;D734</f>
        <v>Total Customer Contributions</v>
      </c>
      <c r="F752" s="249"/>
      <c r="G752" s="249"/>
      <c r="H752" s="249"/>
      <c r="I752" s="249"/>
      <c r="J752" s="82">
        <f t="shared" ref="J752:T752" ca="1" si="76">SUM(J736:J751)</f>
        <v>0</v>
      </c>
      <c r="K752" s="82">
        <f t="shared" ca="1" si="76"/>
        <v>0</v>
      </c>
      <c r="L752" s="82">
        <f t="shared" ca="1" si="76"/>
        <v>0</v>
      </c>
      <c r="M752" s="82">
        <f t="shared" ca="1" si="76"/>
        <v>0</v>
      </c>
      <c r="N752" s="82">
        <f t="shared" ca="1" si="76"/>
        <v>0</v>
      </c>
      <c r="O752" s="82">
        <f t="shared" ca="1" si="76"/>
        <v>0</v>
      </c>
      <c r="P752" s="82">
        <f t="shared" ca="1" si="76"/>
        <v>0</v>
      </c>
      <c r="Q752" s="82">
        <f t="shared" ca="1" si="76"/>
        <v>0</v>
      </c>
      <c r="R752" s="82">
        <f t="shared" ca="1" si="76"/>
        <v>0</v>
      </c>
      <c r="S752" s="82">
        <f t="shared" ca="1" si="76"/>
        <v>0</v>
      </c>
      <c r="T752" s="82">
        <f t="shared" ca="1" si="76"/>
        <v>0</v>
      </c>
    </row>
    <row r="753" spans="2:20" outlineLevel="1">
      <c r="B753" s="12"/>
      <c r="C753" s="12"/>
      <c r="D753" s="12"/>
      <c r="E753" s="12"/>
      <c r="F753" s="12"/>
      <c r="G753" s="12"/>
      <c r="H753" s="12"/>
      <c r="I753" s="12"/>
      <c r="J753" s="12"/>
      <c r="K753" s="12"/>
      <c r="L753" s="12"/>
      <c r="M753" s="12"/>
      <c r="N753" s="12"/>
      <c r="O753" s="12"/>
      <c r="P753" s="12"/>
      <c r="Q753" s="12"/>
      <c r="R753" s="12"/>
      <c r="S753" s="12"/>
      <c r="T753" s="12"/>
    </row>
    <row r="754" spans="2:20" outlineLevel="1"/>
    <row r="755" spans="2:20" outlineLevel="1">
      <c r="C755" s="37" t="s">
        <v>196</v>
      </c>
    </row>
    <row r="756" spans="2:20" ht="5.9" customHeight="1" outlineLevel="2"/>
    <row r="757" spans="2:20" outlineLevel="2">
      <c r="D757" s="37" t="s">
        <v>215</v>
      </c>
    </row>
    <row r="758" spans="2:20" ht="5.9" customHeight="1" outlineLevel="2"/>
    <row r="759" spans="2:20" ht="12" customHeight="1" outlineLevel="2">
      <c r="E759" s="247" t="str">
        <f>GC!C60</f>
        <v>Mains replacement</v>
      </c>
      <c r="F759" s="247"/>
      <c r="G759" s="247"/>
      <c r="H759" s="247"/>
      <c r="I759" s="247"/>
      <c r="J759" s="81">
        <f ca="1">SUMPRODUCT((Work_Codes!$AC$111:$AO$111=$E759)*(Work_Codes!$AC$114:$AO$118)*(J$663:J$667))</f>
        <v>0</v>
      </c>
      <c r="K759" s="81">
        <f ca="1">SUMPRODUCT((Work_Codes!$AC$111:$AO$111=$E759)*(Work_Codes!$AC$114:$AO$118)*(K$663:K$667))</f>
        <v>0</v>
      </c>
      <c r="L759" s="81">
        <f ca="1">SUMPRODUCT((Work_Codes!$AC$111:$AO$111=$E759)*(Work_Codes!$AC$114:$AO$118)*(L$663:L$667))</f>
        <v>0</v>
      </c>
      <c r="M759" s="81">
        <f ca="1">SUMPRODUCT((Work_Codes!$AC$111:$AO$111=$E759)*(Work_Codes!$AC$114:$AO$118)*(M$663:M$667))</f>
        <v>0</v>
      </c>
      <c r="N759" s="81">
        <f ca="1">SUMPRODUCT((Work_Codes!$AC$111:$AO$111=$E759)*(Work_Codes!$AC$114:$AO$118)*(N$663:N$667))</f>
        <v>2214168.0266666687</v>
      </c>
      <c r="O759" s="81">
        <f ca="1">SUMPRODUCT((Work_Codes!$AC$111:$AO$111=$E759)*(Work_Codes!$AC$114:$AO$118)*(O$663:O$667))</f>
        <v>1011795</v>
      </c>
      <c r="P759" s="81">
        <f ca="1">SUMPRODUCT((Work_Codes!$AC$111:$AO$111=$E759)*(Work_Codes!$AC$114:$AO$118)*(P$663:P$667))</f>
        <v>2023652.7519431994</v>
      </c>
      <c r="Q759" s="81">
        <f ca="1">SUMPRODUCT((Work_Codes!$AC$111:$AO$111=$E759)*(Work_Codes!$AC$114:$AO$118)*(Q$663:Q$667))</f>
        <v>1821342.736250926</v>
      </c>
      <c r="R759" s="81">
        <f ca="1">SUMPRODUCT((Work_Codes!$AC$111:$AO$111=$E759)*(Work_Codes!$AC$114:$AO$118)*(R$663:R$667))</f>
        <v>1639295.2538116919</v>
      </c>
      <c r="S759" s="81">
        <f ca="1">SUMPRODUCT((Work_Codes!$AC$111:$AO$111=$E759)*(Work_Codes!$AC$114:$AO$118)*(S$663:S$667))</f>
        <v>1475460.7129190168</v>
      </c>
      <c r="T759" s="81">
        <f ca="1">SUMPRODUCT((Work_Codes!$AC$111:$AO$111=$E759)*(Work_Codes!$AC$114:$AO$118)*(T$663:T$667))</f>
        <v>1328019.2062162312</v>
      </c>
    </row>
    <row r="760" spans="2:20" ht="12" customHeight="1" outlineLevel="2">
      <c r="E760" s="247" t="str">
        <f>GC!C61</f>
        <v>Residential new customer connections</v>
      </c>
      <c r="F760" s="247"/>
      <c r="G760" s="247"/>
      <c r="H760" s="247"/>
      <c r="I760" s="247"/>
      <c r="J760" s="81">
        <f ca="1">SUMPRODUCT((Work_Codes!$AC$111:$AO$111=$E760)*(Work_Codes!$AC$114:$AO$118)*(J$663:J$667))</f>
        <v>0</v>
      </c>
      <c r="K760" s="81">
        <f ca="1">SUMPRODUCT((Work_Codes!$AC$111:$AO$111=$E760)*(Work_Codes!$AC$114:$AO$118)*(K$663:K$667))</f>
        <v>0</v>
      </c>
      <c r="L760" s="81">
        <f ca="1">SUMPRODUCT((Work_Codes!$AC$111:$AO$111=$E760)*(Work_Codes!$AC$114:$AO$118)*(L$663:L$667))</f>
        <v>0</v>
      </c>
      <c r="M760" s="81">
        <f ca="1">SUMPRODUCT((Work_Codes!$AC$111:$AO$111=$E760)*(Work_Codes!$AC$114:$AO$118)*(M$663:M$667))</f>
        <v>0</v>
      </c>
      <c r="N760" s="81">
        <f ca="1">SUMPRODUCT((Work_Codes!$AC$111:$AO$111=$E760)*(Work_Codes!$AC$114:$AO$118)*(N$663:N$667))</f>
        <v>0</v>
      </c>
      <c r="O760" s="81">
        <f ca="1">SUMPRODUCT((Work_Codes!$AC$111:$AO$111=$E760)*(Work_Codes!$AC$114:$AO$118)*(O$663:O$667))</f>
        <v>0</v>
      </c>
      <c r="P760" s="81">
        <f ca="1">SUMPRODUCT((Work_Codes!$AC$111:$AO$111=$E760)*(Work_Codes!$AC$114:$AO$118)*(P$663:P$667))</f>
        <v>0</v>
      </c>
      <c r="Q760" s="81">
        <f ca="1">SUMPRODUCT((Work_Codes!$AC$111:$AO$111=$E760)*(Work_Codes!$AC$114:$AO$118)*(Q$663:Q$667))</f>
        <v>0</v>
      </c>
      <c r="R760" s="81">
        <f ca="1">SUMPRODUCT((Work_Codes!$AC$111:$AO$111=$E760)*(Work_Codes!$AC$114:$AO$118)*(R$663:R$667))</f>
        <v>0</v>
      </c>
      <c r="S760" s="81">
        <f ca="1">SUMPRODUCT((Work_Codes!$AC$111:$AO$111=$E760)*(Work_Codes!$AC$114:$AO$118)*(S$663:S$667))</f>
        <v>0</v>
      </c>
      <c r="T760" s="81">
        <f ca="1">SUMPRODUCT((Work_Codes!$AC$111:$AO$111=$E760)*(Work_Codes!$AC$114:$AO$118)*(T$663:T$667))</f>
        <v>0</v>
      </c>
    </row>
    <row r="761" spans="2:20" ht="12" customHeight="1" outlineLevel="2">
      <c r="E761" s="247" t="str">
        <f>GC!C62</f>
        <v>Commercial and industrial new customer connections</v>
      </c>
      <c r="F761" s="247"/>
      <c r="G761" s="247"/>
      <c r="H761" s="247"/>
      <c r="I761" s="247"/>
      <c r="J761" s="81">
        <f ca="1">SUMPRODUCT((Work_Codes!$AC$111:$AO$111=$E761)*(Work_Codes!$AC$114:$AO$118)*(J$663:J$667))</f>
        <v>0</v>
      </c>
      <c r="K761" s="81">
        <f ca="1">SUMPRODUCT((Work_Codes!$AC$111:$AO$111=$E761)*(Work_Codes!$AC$114:$AO$118)*(K$663:K$667))</f>
        <v>0</v>
      </c>
      <c r="L761" s="81">
        <f ca="1">SUMPRODUCT((Work_Codes!$AC$111:$AO$111=$E761)*(Work_Codes!$AC$114:$AO$118)*(L$663:L$667))</f>
        <v>0</v>
      </c>
      <c r="M761" s="81">
        <f ca="1">SUMPRODUCT((Work_Codes!$AC$111:$AO$111=$E761)*(Work_Codes!$AC$114:$AO$118)*(M$663:M$667))</f>
        <v>0</v>
      </c>
      <c r="N761" s="81">
        <f ca="1">SUMPRODUCT((Work_Codes!$AC$111:$AO$111=$E761)*(Work_Codes!$AC$114:$AO$118)*(N$663:N$667))</f>
        <v>0</v>
      </c>
      <c r="O761" s="81">
        <f ca="1">SUMPRODUCT((Work_Codes!$AC$111:$AO$111=$E761)*(Work_Codes!$AC$114:$AO$118)*(O$663:O$667))</f>
        <v>0</v>
      </c>
      <c r="P761" s="81">
        <f ca="1">SUMPRODUCT((Work_Codes!$AC$111:$AO$111=$E761)*(Work_Codes!$AC$114:$AO$118)*(P$663:P$667))</f>
        <v>0</v>
      </c>
      <c r="Q761" s="81">
        <f ca="1">SUMPRODUCT((Work_Codes!$AC$111:$AO$111=$E761)*(Work_Codes!$AC$114:$AO$118)*(Q$663:Q$667))</f>
        <v>0</v>
      </c>
      <c r="R761" s="81">
        <f ca="1">SUMPRODUCT((Work_Codes!$AC$111:$AO$111=$E761)*(Work_Codes!$AC$114:$AO$118)*(R$663:R$667))</f>
        <v>0</v>
      </c>
      <c r="S761" s="81">
        <f ca="1">SUMPRODUCT((Work_Codes!$AC$111:$AO$111=$E761)*(Work_Codes!$AC$114:$AO$118)*(S$663:S$667))</f>
        <v>0</v>
      </c>
      <c r="T761" s="81">
        <f ca="1">SUMPRODUCT((Work_Codes!$AC$111:$AO$111=$E761)*(Work_Codes!$AC$114:$AO$118)*(T$663:T$667))</f>
        <v>0</v>
      </c>
    </row>
    <row r="762" spans="2:20" ht="12" customHeight="1" outlineLevel="2">
      <c r="E762" s="247" t="str">
        <f>GC!C63</f>
        <v>Residential meter replacement</v>
      </c>
      <c r="F762" s="247"/>
      <c r="G762" s="247"/>
      <c r="H762" s="247"/>
      <c r="I762" s="247"/>
      <c r="J762" s="81">
        <f ca="1">SUMPRODUCT((Work_Codes!$AC$111:$AO$111=$E762)*(Work_Codes!$AC$114:$AO$118)*(J$663:J$667))</f>
        <v>0</v>
      </c>
      <c r="K762" s="81">
        <f ca="1">SUMPRODUCT((Work_Codes!$AC$111:$AO$111=$E762)*(Work_Codes!$AC$114:$AO$118)*(K$663:K$667))</f>
        <v>0</v>
      </c>
      <c r="L762" s="81">
        <f ca="1">SUMPRODUCT((Work_Codes!$AC$111:$AO$111=$E762)*(Work_Codes!$AC$114:$AO$118)*(L$663:L$667))</f>
        <v>0</v>
      </c>
      <c r="M762" s="81">
        <f ca="1">SUMPRODUCT((Work_Codes!$AC$111:$AO$111=$E762)*(Work_Codes!$AC$114:$AO$118)*(M$663:M$667))</f>
        <v>0</v>
      </c>
      <c r="N762" s="81">
        <f ca="1">SUMPRODUCT((Work_Codes!$AC$111:$AO$111=$E762)*(Work_Codes!$AC$114:$AO$118)*(N$663:N$667))</f>
        <v>0</v>
      </c>
      <c r="O762" s="81">
        <f ca="1">SUMPRODUCT((Work_Codes!$AC$111:$AO$111=$E762)*(Work_Codes!$AC$114:$AO$118)*(O$663:O$667))</f>
        <v>0</v>
      </c>
      <c r="P762" s="81">
        <f ca="1">SUMPRODUCT((Work_Codes!$AC$111:$AO$111=$E762)*(Work_Codes!$AC$114:$AO$118)*(P$663:P$667))</f>
        <v>0</v>
      </c>
      <c r="Q762" s="81">
        <f ca="1">SUMPRODUCT((Work_Codes!$AC$111:$AO$111=$E762)*(Work_Codes!$AC$114:$AO$118)*(Q$663:Q$667))</f>
        <v>0</v>
      </c>
      <c r="R762" s="81">
        <f ca="1">SUMPRODUCT((Work_Codes!$AC$111:$AO$111=$E762)*(Work_Codes!$AC$114:$AO$118)*(R$663:R$667))</f>
        <v>0</v>
      </c>
      <c r="S762" s="81">
        <f ca="1">SUMPRODUCT((Work_Codes!$AC$111:$AO$111=$E762)*(Work_Codes!$AC$114:$AO$118)*(S$663:S$667))</f>
        <v>0</v>
      </c>
      <c r="T762" s="81">
        <f ca="1">SUMPRODUCT((Work_Codes!$AC$111:$AO$111=$E762)*(Work_Codes!$AC$114:$AO$118)*(T$663:T$667))</f>
        <v>0</v>
      </c>
    </row>
    <row r="763" spans="2:20" ht="12" customHeight="1" outlineLevel="2">
      <c r="E763" s="247" t="str">
        <f>GC!C64</f>
        <v>Commercial and industrial meter replacement</v>
      </c>
      <c r="F763" s="247"/>
      <c r="G763" s="247"/>
      <c r="H763" s="247"/>
      <c r="I763" s="247"/>
      <c r="J763" s="81">
        <f ca="1">SUMPRODUCT((Work_Codes!$AC$111:$AO$111=$E763)*(Work_Codes!$AC$114:$AO$118)*(J$663:J$667))</f>
        <v>0</v>
      </c>
      <c r="K763" s="81">
        <f ca="1">SUMPRODUCT((Work_Codes!$AC$111:$AO$111=$E763)*(Work_Codes!$AC$114:$AO$118)*(K$663:K$667))</f>
        <v>0</v>
      </c>
      <c r="L763" s="81">
        <f ca="1">SUMPRODUCT((Work_Codes!$AC$111:$AO$111=$E763)*(Work_Codes!$AC$114:$AO$118)*(L$663:L$667))</f>
        <v>0</v>
      </c>
      <c r="M763" s="81">
        <f ca="1">SUMPRODUCT((Work_Codes!$AC$111:$AO$111=$E763)*(Work_Codes!$AC$114:$AO$118)*(M$663:M$667))</f>
        <v>0</v>
      </c>
      <c r="N763" s="81">
        <f ca="1">SUMPRODUCT((Work_Codes!$AC$111:$AO$111=$E763)*(Work_Codes!$AC$114:$AO$118)*(N$663:N$667))</f>
        <v>0</v>
      </c>
      <c r="O763" s="81">
        <f ca="1">SUMPRODUCT((Work_Codes!$AC$111:$AO$111=$E763)*(Work_Codes!$AC$114:$AO$118)*(O$663:O$667))</f>
        <v>0</v>
      </c>
      <c r="P763" s="81">
        <f ca="1">SUMPRODUCT((Work_Codes!$AC$111:$AO$111=$E763)*(Work_Codes!$AC$114:$AO$118)*(P$663:P$667))</f>
        <v>0</v>
      </c>
      <c r="Q763" s="81">
        <f ca="1">SUMPRODUCT((Work_Codes!$AC$111:$AO$111=$E763)*(Work_Codes!$AC$114:$AO$118)*(Q$663:Q$667))</f>
        <v>0</v>
      </c>
      <c r="R763" s="81">
        <f ca="1">SUMPRODUCT((Work_Codes!$AC$111:$AO$111=$E763)*(Work_Codes!$AC$114:$AO$118)*(R$663:R$667))</f>
        <v>0</v>
      </c>
      <c r="S763" s="81">
        <f ca="1">SUMPRODUCT((Work_Codes!$AC$111:$AO$111=$E763)*(Work_Codes!$AC$114:$AO$118)*(S$663:S$667))</f>
        <v>0</v>
      </c>
      <c r="T763" s="81">
        <f ca="1">SUMPRODUCT((Work_Codes!$AC$111:$AO$111=$E763)*(Work_Codes!$AC$114:$AO$118)*(T$663:T$667))</f>
        <v>0</v>
      </c>
    </row>
    <row r="764" spans="2:20" ht="12" customHeight="1" outlineLevel="2">
      <c r="E764" s="247" t="str">
        <f>GC!C65</f>
        <v>Augmentation</v>
      </c>
      <c r="F764" s="247"/>
      <c r="G764" s="247"/>
      <c r="H764" s="247"/>
      <c r="I764" s="247"/>
      <c r="J764" s="81">
        <f ca="1">SUMPRODUCT((Work_Codes!$AC$111:$AO$111=$E764)*(Work_Codes!$AC$114:$AO$118)*(J$663:J$667))</f>
        <v>0</v>
      </c>
      <c r="K764" s="81">
        <f ca="1">SUMPRODUCT((Work_Codes!$AC$111:$AO$111=$E764)*(Work_Codes!$AC$114:$AO$118)*(K$663:K$667))</f>
        <v>0</v>
      </c>
      <c r="L764" s="81">
        <f ca="1">SUMPRODUCT((Work_Codes!$AC$111:$AO$111=$E764)*(Work_Codes!$AC$114:$AO$118)*(L$663:L$667))</f>
        <v>0</v>
      </c>
      <c r="M764" s="81">
        <f ca="1">SUMPRODUCT((Work_Codes!$AC$111:$AO$111=$E764)*(Work_Codes!$AC$114:$AO$118)*(M$663:M$667))</f>
        <v>0</v>
      </c>
      <c r="N764" s="81">
        <f ca="1">SUMPRODUCT((Work_Codes!$AC$111:$AO$111=$E764)*(Work_Codes!$AC$114:$AO$118)*(N$663:N$667))</f>
        <v>0</v>
      </c>
      <c r="O764" s="81">
        <f ca="1">SUMPRODUCT((Work_Codes!$AC$111:$AO$111=$E764)*(Work_Codes!$AC$114:$AO$118)*(O$663:O$667))</f>
        <v>0</v>
      </c>
      <c r="P764" s="81">
        <f ca="1">SUMPRODUCT((Work_Codes!$AC$111:$AO$111=$E764)*(Work_Codes!$AC$114:$AO$118)*(P$663:P$667))</f>
        <v>0</v>
      </c>
      <c r="Q764" s="81">
        <f ca="1">SUMPRODUCT((Work_Codes!$AC$111:$AO$111=$E764)*(Work_Codes!$AC$114:$AO$118)*(Q$663:Q$667))</f>
        <v>0</v>
      </c>
      <c r="R764" s="81">
        <f ca="1">SUMPRODUCT((Work_Codes!$AC$111:$AO$111=$E764)*(Work_Codes!$AC$114:$AO$118)*(R$663:R$667))</f>
        <v>0</v>
      </c>
      <c r="S764" s="81">
        <f ca="1">SUMPRODUCT((Work_Codes!$AC$111:$AO$111=$E764)*(Work_Codes!$AC$114:$AO$118)*(S$663:S$667))</f>
        <v>0</v>
      </c>
      <c r="T764" s="81">
        <f ca="1">SUMPRODUCT((Work_Codes!$AC$111:$AO$111=$E764)*(Work_Codes!$AC$114:$AO$118)*(T$663:T$667))</f>
        <v>0</v>
      </c>
    </row>
    <row r="765" spans="2:20" ht="12" customHeight="1" outlineLevel="2">
      <c r="E765" s="247" t="str">
        <f>GC!C66</f>
        <v>IT capex</v>
      </c>
      <c r="F765" s="247"/>
      <c r="G765" s="247"/>
      <c r="H765" s="247"/>
      <c r="I765" s="247"/>
      <c r="J765" s="81">
        <f ca="1">SUMPRODUCT((Work_Codes!$AC$111:$AO$111=$E765)*(Work_Codes!$AC$114:$AO$118)*(J$663:J$667))</f>
        <v>0</v>
      </c>
      <c r="K765" s="81">
        <f ca="1">SUMPRODUCT((Work_Codes!$AC$111:$AO$111=$E765)*(Work_Codes!$AC$114:$AO$118)*(K$663:K$667))</f>
        <v>0</v>
      </c>
      <c r="L765" s="81">
        <f ca="1">SUMPRODUCT((Work_Codes!$AC$111:$AO$111=$E765)*(Work_Codes!$AC$114:$AO$118)*(L$663:L$667))</f>
        <v>0</v>
      </c>
      <c r="M765" s="81">
        <f ca="1">SUMPRODUCT((Work_Codes!$AC$111:$AO$111=$E765)*(Work_Codes!$AC$114:$AO$118)*(M$663:M$667))</f>
        <v>0</v>
      </c>
      <c r="N765" s="81">
        <f ca="1">SUMPRODUCT((Work_Codes!$AC$111:$AO$111=$E765)*(Work_Codes!$AC$114:$AO$118)*(N$663:N$667))</f>
        <v>0</v>
      </c>
      <c r="O765" s="81">
        <f ca="1">SUMPRODUCT((Work_Codes!$AC$111:$AO$111=$E765)*(Work_Codes!$AC$114:$AO$118)*(O$663:O$667))</f>
        <v>0</v>
      </c>
      <c r="P765" s="81">
        <f ca="1">SUMPRODUCT((Work_Codes!$AC$111:$AO$111=$E765)*(Work_Codes!$AC$114:$AO$118)*(P$663:P$667))</f>
        <v>0</v>
      </c>
      <c r="Q765" s="81">
        <f ca="1">SUMPRODUCT((Work_Codes!$AC$111:$AO$111=$E765)*(Work_Codes!$AC$114:$AO$118)*(Q$663:Q$667))</f>
        <v>0</v>
      </c>
      <c r="R765" s="81">
        <f ca="1">SUMPRODUCT((Work_Codes!$AC$111:$AO$111=$E765)*(Work_Codes!$AC$114:$AO$118)*(R$663:R$667))</f>
        <v>0</v>
      </c>
      <c r="S765" s="81">
        <f ca="1">SUMPRODUCT((Work_Codes!$AC$111:$AO$111=$E765)*(Work_Codes!$AC$114:$AO$118)*(S$663:S$667))</f>
        <v>0</v>
      </c>
      <c r="T765" s="81">
        <f ca="1">SUMPRODUCT((Work_Codes!$AC$111:$AO$111=$E765)*(Work_Codes!$AC$114:$AO$118)*(T$663:T$667))</f>
        <v>0</v>
      </c>
    </row>
    <row r="766" spans="2:20" ht="12" customHeight="1" outlineLevel="2">
      <c r="E766" s="247" t="str">
        <f>GC!C67</f>
        <v>SCADA</v>
      </c>
      <c r="F766" s="247"/>
      <c r="G766" s="247"/>
      <c r="H766" s="247"/>
      <c r="I766" s="247"/>
      <c r="J766" s="81">
        <f ca="1">SUMPRODUCT((Work_Codes!$AC$111:$AO$111=$E766)*(Work_Codes!$AC$114:$AO$118)*(J$663:J$667))</f>
        <v>0</v>
      </c>
      <c r="K766" s="81">
        <f ca="1">SUMPRODUCT((Work_Codes!$AC$111:$AO$111=$E766)*(Work_Codes!$AC$114:$AO$118)*(K$663:K$667))</f>
        <v>0</v>
      </c>
      <c r="L766" s="81">
        <f ca="1">SUMPRODUCT((Work_Codes!$AC$111:$AO$111=$E766)*(Work_Codes!$AC$114:$AO$118)*(L$663:L$667))</f>
        <v>0</v>
      </c>
      <c r="M766" s="81">
        <f ca="1">SUMPRODUCT((Work_Codes!$AC$111:$AO$111=$E766)*(Work_Codes!$AC$114:$AO$118)*(M$663:M$667))</f>
        <v>0</v>
      </c>
      <c r="N766" s="81">
        <f ca="1">SUMPRODUCT((Work_Codes!$AC$111:$AO$111=$E766)*(Work_Codes!$AC$114:$AO$118)*(N$663:N$667))</f>
        <v>0</v>
      </c>
      <c r="O766" s="81">
        <f ca="1">SUMPRODUCT((Work_Codes!$AC$111:$AO$111=$E766)*(Work_Codes!$AC$114:$AO$118)*(O$663:O$667))</f>
        <v>0</v>
      </c>
      <c r="P766" s="81">
        <f ca="1">SUMPRODUCT((Work_Codes!$AC$111:$AO$111=$E766)*(Work_Codes!$AC$114:$AO$118)*(P$663:P$667))</f>
        <v>0</v>
      </c>
      <c r="Q766" s="81">
        <f ca="1">SUMPRODUCT((Work_Codes!$AC$111:$AO$111=$E766)*(Work_Codes!$AC$114:$AO$118)*(Q$663:Q$667))</f>
        <v>0</v>
      </c>
      <c r="R766" s="81">
        <f ca="1">SUMPRODUCT((Work_Codes!$AC$111:$AO$111=$E766)*(Work_Codes!$AC$114:$AO$118)*(R$663:R$667))</f>
        <v>0</v>
      </c>
      <c r="S766" s="81">
        <f ca="1">SUMPRODUCT((Work_Codes!$AC$111:$AO$111=$E766)*(Work_Codes!$AC$114:$AO$118)*(S$663:S$667))</f>
        <v>0</v>
      </c>
      <c r="T766" s="81">
        <f ca="1">SUMPRODUCT((Work_Codes!$AC$111:$AO$111=$E766)*(Work_Codes!$AC$114:$AO$118)*(T$663:T$667))</f>
        <v>0</v>
      </c>
    </row>
    <row r="767" spans="2:20" ht="12" customHeight="1" outlineLevel="2">
      <c r="E767" s="247" t="str">
        <f>GC!C68</f>
        <v>Other</v>
      </c>
      <c r="F767" s="247"/>
      <c r="G767" s="247"/>
      <c r="H767" s="247"/>
      <c r="I767" s="247"/>
      <c r="J767" s="81">
        <f ca="1">SUMPRODUCT((Work_Codes!$AC$111:$AO$111=$E767)*(Work_Codes!$AC$114:$AO$118)*(J$663:J$667))</f>
        <v>0</v>
      </c>
      <c r="K767" s="81">
        <f ca="1">SUMPRODUCT((Work_Codes!$AC$111:$AO$111=$E767)*(Work_Codes!$AC$114:$AO$118)*(K$663:K$667))</f>
        <v>0</v>
      </c>
      <c r="L767" s="81">
        <f ca="1">SUMPRODUCT((Work_Codes!$AC$111:$AO$111=$E767)*(Work_Codes!$AC$114:$AO$118)*(L$663:L$667))</f>
        <v>0</v>
      </c>
      <c r="M767" s="81">
        <f ca="1">SUMPRODUCT((Work_Codes!$AC$111:$AO$111=$E767)*(Work_Codes!$AC$114:$AO$118)*(M$663:M$667))</f>
        <v>0</v>
      </c>
      <c r="N767" s="81">
        <f ca="1">SUMPRODUCT((Work_Codes!$AC$111:$AO$111=$E767)*(Work_Codes!$AC$114:$AO$118)*(N$663:N$667))</f>
        <v>0</v>
      </c>
      <c r="O767" s="81">
        <f ca="1">SUMPRODUCT((Work_Codes!$AC$111:$AO$111=$E767)*(Work_Codes!$AC$114:$AO$118)*(O$663:O$667))</f>
        <v>0</v>
      </c>
      <c r="P767" s="81">
        <f ca="1">SUMPRODUCT((Work_Codes!$AC$111:$AO$111=$E767)*(Work_Codes!$AC$114:$AO$118)*(P$663:P$667))</f>
        <v>0</v>
      </c>
      <c r="Q767" s="81">
        <f ca="1">SUMPRODUCT((Work_Codes!$AC$111:$AO$111=$E767)*(Work_Codes!$AC$114:$AO$118)*(Q$663:Q$667))</f>
        <v>0</v>
      </c>
      <c r="R767" s="81">
        <f ca="1">SUMPRODUCT((Work_Codes!$AC$111:$AO$111=$E767)*(Work_Codes!$AC$114:$AO$118)*(R$663:R$667))</f>
        <v>0</v>
      </c>
      <c r="S767" s="81">
        <f ca="1">SUMPRODUCT((Work_Codes!$AC$111:$AO$111=$E767)*(Work_Codes!$AC$114:$AO$118)*(S$663:S$667))</f>
        <v>0</v>
      </c>
      <c r="T767" s="81">
        <f ca="1">SUMPRODUCT((Work_Codes!$AC$111:$AO$111=$E767)*(Work_Codes!$AC$114:$AO$118)*(T$663:T$667))</f>
        <v>0</v>
      </c>
    </row>
    <row r="768" spans="2:20" outlineLevel="2">
      <c r="E768" s="247" t="str">
        <f>GC!C69</f>
        <v>Capitalised Leases</v>
      </c>
      <c r="F768" s="247"/>
      <c r="G768" s="247"/>
      <c r="H768" s="247"/>
      <c r="I768" s="247"/>
      <c r="J768" s="81">
        <f ca="1">SUMPRODUCT((Work_Codes!$AC$111:$AO$111=$E768)*(Work_Codes!$AC$114:$AO$118)*(J$663:J$667))</f>
        <v>0</v>
      </c>
      <c r="K768" s="81">
        <f ca="1">SUMPRODUCT((Work_Codes!$AC$111:$AO$111=$E768)*(Work_Codes!$AC$114:$AO$118)*(K$663:K$667))</f>
        <v>0</v>
      </c>
      <c r="L768" s="81">
        <f ca="1">SUMPRODUCT((Work_Codes!$AC$111:$AO$111=$E768)*(Work_Codes!$AC$114:$AO$118)*(L$663:L$667))</f>
        <v>0</v>
      </c>
      <c r="M768" s="81">
        <f ca="1">SUMPRODUCT((Work_Codes!$AC$111:$AO$111=$E768)*(Work_Codes!$AC$114:$AO$118)*(M$663:M$667))</f>
        <v>0</v>
      </c>
      <c r="N768" s="81">
        <f ca="1">SUMPRODUCT((Work_Codes!$AC$111:$AO$111=$E768)*(Work_Codes!$AC$114:$AO$118)*(N$663:N$667))</f>
        <v>0</v>
      </c>
      <c r="O768" s="81">
        <f ca="1">SUMPRODUCT((Work_Codes!$AC$111:$AO$111=$E768)*(Work_Codes!$AC$114:$AO$118)*(O$663:O$667))</f>
        <v>0</v>
      </c>
      <c r="P768" s="81">
        <f ca="1">SUMPRODUCT((Work_Codes!$AC$111:$AO$111=$E768)*(Work_Codes!$AC$114:$AO$118)*(P$663:P$667))</f>
        <v>0</v>
      </c>
      <c r="Q768" s="81">
        <f ca="1">SUMPRODUCT((Work_Codes!$AC$111:$AO$111=$E768)*(Work_Codes!$AC$114:$AO$118)*(Q$663:Q$667))</f>
        <v>0</v>
      </c>
      <c r="R768" s="81">
        <f ca="1">SUMPRODUCT((Work_Codes!$AC$111:$AO$111=$E768)*(Work_Codes!$AC$114:$AO$118)*(R$663:R$667))</f>
        <v>0</v>
      </c>
      <c r="S768" s="81">
        <f ca="1">SUMPRODUCT((Work_Codes!$AC$111:$AO$111=$E768)*(Work_Codes!$AC$114:$AO$118)*(S$663:S$667))</f>
        <v>0</v>
      </c>
      <c r="T768" s="81">
        <f ca="1">SUMPRODUCT((Work_Codes!$AC$111:$AO$111=$E768)*(Work_Codes!$AC$114:$AO$118)*(T$663:T$667))</f>
        <v>0</v>
      </c>
    </row>
    <row r="769" spans="4:20" ht="12" customHeight="1" outlineLevel="2">
      <c r="E769" s="247" t="str">
        <f>GC!C70</f>
        <v>Gas Extensions - Energy for the Regions</v>
      </c>
      <c r="F769" s="247"/>
      <c r="G769" s="247"/>
      <c r="H769" s="247"/>
      <c r="I769" s="247"/>
      <c r="J769" s="81">
        <f ca="1">SUMPRODUCT((Work_Codes!$AC$111:$AO$111=$E769)*(Work_Codes!$AC$114:$AO$118)*(J$663:J$667))</f>
        <v>0</v>
      </c>
      <c r="K769" s="81">
        <f ca="1">SUMPRODUCT((Work_Codes!$AC$111:$AO$111=$E769)*(Work_Codes!$AC$114:$AO$118)*(K$663:K$667))</f>
        <v>0</v>
      </c>
      <c r="L769" s="81">
        <f ca="1">SUMPRODUCT((Work_Codes!$AC$111:$AO$111=$E769)*(Work_Codes!$AC$114:$AO$118)*(L$663:L$667))</f>
        <v>0</v>
      </c>
      <c r="M769" s="81">
        <f ca="1">SUMPRODUCT((Work_Codes!$AC$111:$AO$111=$E769)*(Work_Codes!$AC$114:$AO$118)*(M$663:M$667))</f>
        <v>0</v>
      </c>
      <c r="N769" s="81">
        <f ca="1">SUMPRODUCT((Work_Codes!$AC$111:$AO$111=$E769)*(Work_Codes!$AC$114:$AO$118)*(N$663:N$667))</f>
        <v>0</v>
      </c>
      <c r="O769" s="81">
        <f ca="1">SUMPRODUCT((Work_Codes!$AC$111:$AO$111=$E769)*(Work_Codes!$AC$114:$AO$118)*(O$663:O$667))</f>
        <v>0</v>
      </c>
      <c r="P769" s="81">
        <f ca="1">SUMPRODUCT((Work_Codes!$AC$111:$AO$111=$E769)*(Work_Codes!$AC$114:$AO$118)*(P$663:P$667))</f>
        <v>0</v>
      </c>
      <c r="Q769" s="81">
        <f ca="1">SUMPRODUCT((Work_Codes!$AC$111:$AO$111=$E769)*(Work_Codes!$AC$114:$AO$118)*(Q$663:Q$667))</f>
        <v>0</v>
      </c>
      <c r="R769" s="81">
        <f ca="1">SUMPRODUCT((Work_Codes!$AC$111:$AO$111=$E769)*(Work_Codes!$AC$114:$AO$118)*(R$663:R$667))</f>
        <v>0</v>
      </c>
      <c r="S769" s="81">
        <f ca="1">SUMPRODUCT((Work_Codes!$AC$111:$AO$111=$E769)*(Work_Codes!$AC$114:$AO$118)*(S$663:S$667))</f>
        <v>0</v>
      </c>
      <c r="T769" s="81">
        <f ca="1">SUMPRODUCT((Work_Codes!$AC$111:$AO$111=$E769)*(Work_Codes!$AC$114:$AO$118)*(T$663:T$667))</f>
        <v>0</v>
      </c>
    </row>
    <row r="770" spans="4:20" ht="12" customHeight="1" outlineLevel="2">
      <c r="E770" s="247" t="str">
        <f>GC!C71</f>
        <v>Gas Extensions - Other</v>
      </c>
      <c r="F770" s="247"/>
      <c r="G770" s="247"/>
      <c r="H770" s="247"/>
      <c r="I770" s="247"/>
      <c r="J770" s="81">
        <f ca="1">SUMPRODUCT((Work_Codes!$AC$111:$AO$111=$E770)*(Work_Codes!$AC$114:$AO$118)*(J$663:J$667))</f>
        <v>0</v>
      </c>
      <c r="K770" s="81">
        <f ca="1">SUMPRODUCT((Work_Codes!$AC$111:$AO$111=$E770)*(Work_Codes!$AC$114:$AO$118)*(K$663:K$667))</f>
        <v>0</v>
      </c>
      <c r="L770" s="81">
        <f ca="1">SUMPRODUCT((Work_Codes!$AC$111:$AO$111=$E770)*(Work_Codes!$AC$114:$AO$118)*(L$663:L$667))</f>
        <v>0</v>
      </c>
      <c r="M770" s="81">
        <f ca="1">SUMPRODUCT((Work_Codes!$AC$111:$AO$111=$E770)*(Work_Codes!$AC$114:$AO$118)*(M$663:M$667))</f>
        <v>0</v>
      </c>
      <c r="N770" s="81">
        <f ca="1">SUMPRODUCT((Work_Codes!$AC$111:$AO$111=$E770)*(Work_Codes!$AC$114:$AO$118)*(N$663:N$667))</f>
        <v>0</v>
      </c>
      <c r="O770" s="81">
        <f ca="1">SUMPRODUCT((Work_Codes!$AC$111:$AO$111=$E770)*(Work_Codes!$AC$114:$AO$118)*(O$663:O$667))</f>
        <v>0</v>
      </c>
      <c r="P770" s="81">
        <f ca="1">SUMPRODUCT((Work_Codes!$AC$111:$AO$111=$E770)*(Work_Codes!$AC$114:$AO$118)*(P$663:P$667))</f>
        <v>0</v>
      </c>
      <c r="Q770" s="81">
        <f ca="1">SUMPRODUCT((Work_Codes!$AC$111:$AO$111=$E770)*(Work_Codes!$AC$114:$AO$118)*(Q$663:Q$667))</f>
        <v>0</v>
      </c>
      <c r="R770" s="81">
        <f ca="1">SUMPRODUCT((Work_Codes!$AC$111:$AO$111=$E770)*(Work_Codes!$AC$114:$AO$118)*(R$663:R$667))</f>
        <v>0</v>
      </c>
      <c r="S770" s="81">
        <f ca="1">SUMPRODUCT((Work_Codes!$AC$111:$AO$111=$E770)*(Work_Codes!$AC$114:$AO$118)*(S$663:S$667))</f>
        <v>0</v>
      </c>
      <c r="T770" s="81">
        <f ca="1">SUMPRODUCT((Work_Codes!$AC$111:$AO$111=$E770)*(Work_Codes!$AC$114:$AO$118)*(T$663:T$667))</f>
        <v>0</v>
      </c>
    </row>
    <row r="771" spans="4:20" ht="12" customHeight="1" outlineLevel="2">
      <c r="E771" s="247" t="str">
        <f>GC!C72</f>
        <v>Customer contributions</v>
      </c>
      <c r="F771" s="247"/>
      <c r="G771" s="247"/>
      <c r="H771" s="247"/>
      <c r="I771" s="247"/>
      <c r="J771" s="81">
        <f ca="1">SUMPRODUCT((Work_Codes!$AC$111:$AO$111=$E771)*(Work_Codes!$AC$114:$AO$118)*(J$663:J$667))</f>
        <v>0</v>
      </c>
      <c r="K771" s="81">
        <f ca="1">SUMPRODUCT((Work_Codes!$AC$111:$AO$111=$E771)*(Work_Codes!$AC$114:$AO$118)*(K$663:K$667))</f>
        <v>0</v>
      </c>
      <c r="L771" s="81">
        <f ca="1">SUMPRODUCT((Work_Codes!$AC$111:$AO$111=$E771)*(Work_Codes!$AC$114:$AO$118)*(L$663:L$667))</f>
        <v>0</v>
      </c>
      <c r="M771" s="81">
        <f ca="1">SUMPRODUCT((Work_Codes!$AC$111:$AO$111=$E771)*(Work_Codes!$AC$114:$AO$118)*(M$663:M$667))</f>
        <v>0</v>
      </c>
      <c r="N771" s="81">
        <f ca="1">SUMPRODUCT((Work_Codes!$AC$111:$AO$111=$E771)*(Work_Codes!$AC$114:$AO$118)*(N$663:N$667))</f>
        <v>0</v>
      </c>
      <c r="O771" s="81">
        <f ca="1">SUMPRODUCT((Work_Codes!$AC$111:$AO$111=$E771)*(Work_Codes!$AC$114:$AO$118)*(O$663:O$667))</f>
        <v>0</v>
      </c>
      <c r="P771" s="81">
        <f ca="1">SUMPRODUCT((Work_Codes!$AC$111:$AO$111=$E771)*(Work_Codes!$AC$114:$AO$118)*(P$663:P$667))</f>
        <v>0</v>
      </c>
      <c r="Q771" s="81">
        <f ca="1">SUMPRODUCT((Work_Codes!$AC$111:$AO$111=$E771)*(Work_Codes!$AC$114:$AO$118)*(Q$663:Q$667))</f>
        <v>0</v>
      </c>
      <c r="R771" s="81">
        <f ca="1">SUMPRODUCT((Work_Codes!$AC$111:$AO$111=$E771)*(Work_Codes!$AC$114:$AO$118)*(R$663:R$667))</f>
        <v>0</v>
      </c>
      <c r="S771" s="81">
        <f ca="1">SUMPRODUCT((Work_Codes!$AC$111:$AO$111=$E771)*(Work_Codes!$AC$114:$AO$118)*(S$663:S$667))</f>
        <v>0</v>
      </c>
      <c r="T771" s="81">
        <f ca="1">SUMPRODUCT((Work_Codes!$AC$111:$AO$111=$E771)*(Work_Codes!$AC$114:$AO$118)*(T$663:T$667))</f>
        <v>0</v>
      </c>
    </row>
    <row r="772" spans="4:20" ht="12" customHeight="1" outlineLevel="2">
      <c r="E772" s="247" t="str">
        <f>GC!C73</f>
        <v>Government contributions</v>
      </c>
      <c r="F772" s="247"/>
      <c r="G772" s="247"/>
      <c r="H772" s="247"/>
      <c r="I772" s="247"/>
      <c r="J772" s="81">
        <f ca="1">SUMPRODUCT((Work_Codes!$AC$111:$AO$111=$E772)*(Work_Codes!$AC$114:$AO$118)*(J$663:J$667))</f>
        <v>0</v>
      </c>
      <c r="K772" s="81">
        <f ca="1">SUMPRODUCT((Work_Codes!$AC$111:$AO$111=$E772)*(Work_Codes!$AC$114:$AO$118)*(K$663:K$667))</f>
        <v>0</v>
      </c>
      <c r="L772" s="81">
        <f ca="1">SUMPRODUCT((Work_Codes!$AC$111:$AO$111=$E772)*(Work_Codes!$AC$114:$AO$118)*(L$663:L$667))</f>
        <v>0</v>
      </c>
      <c r="M772" s="81">
        <f ca="1">SUMPRODUCT((Work_Codes!$AC$111:$AO$111=$E772)*(Work_Codes!$AC$114:$AO$118)*(M$663:M$667))</f>
        <v>0</v>
      </c>
      <c r="N772" s="81">
        <f ca="1">SUMPRODUCT((Work_Codes!$AC$111:$AO$111=$E772)*(Work_Codes!$AC$114:$AO$118)*(N$663:N$667))</f>
        <v>0</v>
      </c>
      <c r="O772" s="81">
        <f ca="1">SUMPRODUCT((Work_Codes!$AC$111:$AO$111=$E772)*(Work_Codes!$AC$114:$AO$118)*(O$663:O$667))</f>
        <v>0</v>
      </c>
      <c r="P772" s="81">
        <f ca="1">SUMPRODUCT((Work_Codes!$AC$111:$AO$111=$E772)*(Work_Codes!$AC$114:$AO$118)*(P$663:P$667))</f>
        <v>0</v>
      </c>
      <c r="Q772" s="81">
        <f ca="1">SUMPRODUCT((Work_Codes!$AC$111:$AO$111=$E772)*(Work_Codes!$AC$114:$AO$118)*(Q$663:Q$667))</f>
        <v>0</v>
      </c>
      <c r="R772" s="81">
        <f ca="1">SUMPRODUCT((Work_Codes!$AC$111:$AO$111=$E772)*(Work_Codes!$AC$114:$AO$118)*(R$663:R$667))</f>
        <v>0</v>
      </c>
      <c r="S772" s="81">
        <f ca="1">SUMPRODUCT((Work_Codes!$AC$111:$AO$111=$E772)*(Work_Codes!$AC$114:$AO$118)*(S$663:S$667))</f>
        <v>0</v>
      </c>
      <c r="T772" s="81">
        <f ca="1">SUMPRODUCT((Work_Codes!$AC$111:$AO$111=$E772)*(Work_Codes!$AC$114:$AO$118)*(T$663:T$667))</f>
        <v>0</v>
      </c>
    </row>
    <row r="773" spans="4:20" ht="12" customHeight="1" outlineLevel="2">
      <c r="E773" s="249" t="str">
        <f>"Total "&amp;D757</f>
        <v>Total Direct Costs</v>
      </c>
      <c r="F773" s="249"/>
      <c r="G773" s="249"/>
      <c r="H773" s="249"/>
      <c r="I773" s="249"/>
      <c r="J773" s="82">
        <f t="shared" ref="J773:T773" ca="1" si="77">SUM(J759:J772)</f>
        <v>0</v>
      </c>
      <c r="K773" s="82">
        <f t="shared" ca="1" si="77"/>
        <v>0</v>
      </c>
      <c r="L773" s="82">
        <f t="shared" ca="1" si="77"/>
        <v>0</v>
      </c>
      <c r="M773" s="82">
        <f t="shared" ca="1" si="77"/>
        <v>0</v>
      </c>
      <c r="N773" s="82">
        <f t="shared" ca="1" si="77"/>
        <v>2214168.0266666687</v>
      </c>
      <c r="O773" s="82">
        <f t="shared" ca="1" si="77"/>
        <v>1011795</v>
      </c>
      <c r="P773" s="82">
        <f t="shared" ca="1" si="77"/>
        <v>2023652.7519431994</v>
      </c>
      <c r="Q773" s="82">
        <f t="shared" ca="1" si="77"/>
        <v>1821342.736250926</v>
      </c>
      <c r="R773" s="82">
        <f t="shared" ca="1" si="77"/>
        <v>1639295.2538116919</v>
      </c>
      <c r="S773" s="82">
        <f t="shared" ca="1" si="77"/>
        <v>1475460.7129190168</v>
      </c>
      <c r="T773" s="82">
        <f t="shared" ca="1" si="77"/>
        <v>1328019.2062162312</v>
      </c>
    </row>
    <row r="774" spans="4:20" outlineLevel="2"/>
    <row r="775" spans="4:20" outlineLevel="2">
      <c r="D775" s="37" t="s">
        <v>216</v>
      </c>
    </row>
    <row r="776" spans="4:20" ht="5.9" customHeight="1" outlineLevel="2"/>
    <row r="777" spans="4:20" ht="12" customHeight="1" outlineLevel="2">
      <c r="E777" s="247" t="str">
        <f>GC!C60</f>
        <v>Mains replacement</v>
      </c>
      <c r="F777" s="247"/>
      <c r="G777" s="247"/>
      <c r="H777" s="247"/>
      <c r="I777" s="247"/>
      <c r="J777" s="81">
        <f ca="1">J759*(1+INDEX(J$585:J$587,MATCH(Work_Codes!$I$108,$D$585:$D$587,0)))</f>
        <v>0</v>
      </c>
      <c r="K777" s="81">
        <f ca="1">K759*(1+INDEX(K$585:K$587,MATCH(Work_Codes!$I$108,$D$585:$D$587,0)))</f>
        <v>0</v>
      </c>
      <c r="L777" s="81">
        <f ca="1">L759*(1+INDEX(L$585:L$587,MATCH(Work_Codes!$I$108,$D$585:$D$587,0)))</f>
        <v>0</v>
      </c>
      <c r="M777" s="81">
        <f ca="1">M759*(1+INDEX(M$585:M$587,MATCH(Work_Codes!$I$108,$D$585:$D$587,0)))</f>
        <v>0</v>
      </c>
      <c r="N777" s="81">
        <f ca="1">N759*(1+INDEX(N$585:N$587,MATCH(Work_Codes!$I$108,$D$585:$D$587,0)))</f>
        <v>2297666.5334673584</v>
      </c>
      <c r="O777" s="81">
        <f ca="1">O759*(1+INDEX(O$585:O$587,MATCH(Work_Codes!$I$108,$D$585:$D$587,0)))</f>
        <v>1045471.5534697071</v>
      </c>
      <c r="P777" s="81">
        <f ca="1">P759*(1+INDEX(P$585:P$587,MATCH(Work_Codes!$I$108,$D$585:$D$587,0)))</f>
        <v>2077790.8470130353</v>
      </c>
      <c r="Q777" s="81">
        <f ca="1">Q759*(1+INDEX(Q$585:Q$587,MATCH(Work_Codes!$I$108,$D$585:$D$587,0)))</f>
        <v>1868807.9977214488</v>
      </c>
      <c r="R777" s="81">
        <f ca="1">R759*(1+INDEX(R$585:R$587,MATCH(Work_Codes!$I$108,$D$585:$D$587,0)))</f>
        <v>1683348.0449827968</v>
      </c>
      <c r="S777" s="81">
        <f ca="1">S759*(1+INDEX(S$585:S$587,MATCH(Work_Codes!$I$108,$D$585:$D$587,0)))</f>
        <v>1517579.4784313911</v>
      </c>
      <c r="T777" s="81">
        <f ca="1">T759*(1+INDEX(T$585:T$587,MATCH(Work_Codes!$I$108,$D$585:$D$587,0)))</f>
        <v>1367754.0431279805</v>
      </c>
    </row>
    <row r="778" spans="4:20" ht="12" customHeight="1" outlineLevel="2">
      <c r="E778" s="247" t="str">
        <f>GC!C61</f>
        <v>Residential new customer connections</v>
      </c>
      <c r="F778" s="247"/>
      <c r="G778" s="247"/>
      <c r="H778" s="247"/>
      <c r="I778" s="247"/>
      <c r="J778" s="81">
        <f ca="1">J760*(1+INDEX(J$585:J$587,MATCH(Work_Codes!$I$108,$D$585:$D$587,0)))</f>
        <v>0</v>
      </c>
      <c r="K778" s="81">
        <f ca="1">K760*(1+INDEX(K$585:K$587,MATCH(Work_Codes!$I$108,$D$585:$D$587,0)))</f>
        <v>0</v>
      </c>
      <c r="L778" s="81">
        <f ca="1">L760*(1+INDEX(L$585:L$587,MATCH(Work_Codes!$I$108,$D$585:$D$587,0)))</f>
        <v>0</v>
      </c>
      <c r="M778" s="81">
        <f ca="1">M760*(1+INDEX(M$585:M$587,MATCH(Work_Codes!$I$108,$D$585:$D$587,0)))</f>
        <v>0</v>
      </c>
      <c r="N778" s="81">
        <f ca="1">N760*(1+INDEX(N$585:N$587,MATCH(Work_Codes!$I$108,$D$585:$D$587,0)))</f>
        <v>0</v>
      </c>
      <c r="O778" s="81">
        <f ca="1">O760*(1+INDEX(O$585:O$587,MATCH(Work_Codes!$I$108,$D$585:$D$587,0)))</f>
        <v>0</v>
      </c>
      <c r="P778" s="81">
        <f ca="1">P760*(1+INDEX(P$585:P$587,MATCH(Work_Codes!$I$108,$D$585:$D$587,0)))</f>
        <v>0</v>
      </c>
      <c r="Q778" s="81">
        <f ca="1">Q760*(1+INDEX(Q$585:Q$587,MATCH(Work_Codes!$I$108,$D$585:$D$587,0)))</f>
        <v>0</v>
      </c>
      <c r="R778" s="81">
        <f ca="1">R760*(1+INDEX(R$585:R$587,MATCH(Work_Codes!$I$108,$D$585:$D$587,0)))</f>
        <v>0</v>
      </c>
      <c r="S778" s="81">
        <f ca="1">S760*(1+INDEX(S$585:S$587,MATCH(Work_Codes!$I$108,$D$585:$D$587,0)))</f>
        <v>0</v>
      </c>
      <c r="T778" s="81">
        <f ca="1">T760*(1+INDEX(T$585:T$587,MATCH(Work_Codes!$I$108,$D$585:$D$587,0)))</f>
        <v>0</v>
      </c>
    </row>
    <row r="779" spans="4:20" ht="12" customHeight="1" outlineLevel="2">
      <c r="E779" s="247" t="str">
        <f>GC!C62</f>
        <v>Commercial and industrial new customer connections</v>
      </c>
      <c r="F779" s="247"/>
      <c r="G779" s="247"/>
      <c r="H779" s="247"/>
      <c r="I779" s="247"/>
      <c r="J779" s="81">
        <f ca="1">J761*(1+INDEX(J$585:J$587,MATCH(Work_Codes!$I$108,$D$585:$D$587,0)))</f>
        <v>0</v>
      </c>
      <c r="K779" s="81">
        <f ca="1">K761*(1+INDEX(K$585:K$587,MATCH(Work_Codes!$I$108,$D$585:$D$587,0)))</f>
        <v>0</v>
      </c>
      <c r="L779" s="81">
        <f ca="1">L761*(1+INDEX(L$585:L$587,MATCH(Work_Codes!$I$108,$D$585:$D$587,0)))</f>
        <v>0</v>
      </c>
      <c r="M779" s="81">
        <f ca="1">M761*(1+INDEX(M$585:M$587,MATCH(Work_Codes!$I$108,$D$585:$D$587,0)))</f>
        <v>0</v>
      </c>
      <c r="N779" s="81">
        <f ca="1">N761*(1+INDEX(N$585:N$587,MATCH(Work_Codes!$I$108,$D$585:$D$587,0)))</f>
        <v>0</v>
      </c>
      <c r="O779" s="81">
        <f ca="1">O761*(1+INDEX(O$585:O$587,MATCH(Work_Codes!$I$108,$D$585:$D$587,0)))</f>
        <v>0</v>
      </c>
      <c r="P779" s="81">
        <f ca="1">P761*(1+INDEX(P$585:P$587,MATCH(Work_Codes!$I$108,$D$585:$D$587,0)))</f>
        <v>0</v>
      </c>
      <c r="Q779" s="81">
        <f ca="1">Q761*(1+INDEX(Q$585:Q$587,MATCH(Work_Codes!$I$108,$D$585:$D$587,0)))</f>
        <v>0</v>
      </c>
      <c r="R779" s="81">
        <f ca="1">R761*(1+INDEX(R$585:R$587,MATCH(Work_Codes!$I$108,$D$585:$D$587,0)))</f>
        <v>0</v>
      </c>
      <c r="S779" s="81">
        <f ca="1">S761*(1+INDEX(S$585:S$587,MATCH(Work_Codes!$I$108,$D$585:$D$587,0)))</f>
        <v>0</v>
      </c>
      <c r="T779" s="81">
        <f ca="1">T761*(1+INDEX(T$585:T$587,MATCH(Work_Codes!$I$108,$D$585:$D$587,0)))</f>
        <v>0</v>
      </c>
    </row>
    <row r="780" spans="4:20" ht="12" customHeight="1" outlineLevel="2">
      <c r="E780" s="247" t="str">
        <f>GC!C63</f>
        <v>Residential meter replacement</v>
      </c>
      <c r="F780" s="247"/>
      <c r="G780" s="247"/>
      <c r="H780" s="247"/>
      <c r="I780" s="247"/>
      <c r="J780" s="81">
        <f ca="1">J762*(1+INDEX(J$585:J$587,MATCH(Work_Codes!$I$108,$D$585:$D$587,0)))</f>
        <v>0</v>
      </c>
      <c r="K780" s="81">
        <f ca="1">K762*(1+INDEX(K$585:K$587,MATCH(Work_Codes!$I$108,$D$585:$D$587,0)))</f>
        <v>0</v>
      </c>
      <c r="L780" s="81">
        <f ca="1">L762*(1+INDEX(L$585:L$587,MATCH(Work_Codes!$I$108,$D$585:$D$587,0)))</f>
        <v>0</v>
      </c>
      <c r="M780" s="81">
        <f ca="1">M762*(1+INDEX(M$585:M$587,MATCH(Work_Codes!$I$108,$D$585:$D$587,0)))</f>
        <v>0</v>
      </c>
      <c r="N780" s="81">
        <f ca="1">N762*(1+INDEX(N$585:N$587,MATCH(Work_Codes!$I$108,$D$585:$D$587,0)))</f>
        <v>0</v>
      </c>
      <c r="O780" s="81">
        <f ca="1">O762*(1+INDEX(O$585:O$587,MATCH(Work_Codes!$I$108,$D$585:$D$587,0)))</f>
        <v>0</v>
      </c>
      <c r="P780" s="81">
        <f ca="1">P762*(1+INDEX(P$585:P$587,MATCH(Work_Codes!$I$108,$D$585:$D$587,0)))</f>
        <v>0</v>
      </c>
      <c r="Q780" s="81">
        <f ca="1">Q762*(1+INDEX(Q$585:Q$587,MATCH(Work_Codes!$I$108,$D$585:$D$587,0)))</f>
        <v>0</v>
      </c>
      <c r="R780" s="81">
        <f ca="1">R762*(1+INDEX(R$585:R$587,MATCH(Work_Codes!$I$108,$D$585:$D$587,0)))</f>
        <v>0</v>
      </c>
      <c r="S780" s="81">
        <f ca="1">S762*(1+INDEX(S$585:S$587,MATCH(Work_Codes!$I$108,$D$585:$D$587,0)))</f>
        <v>0</v>
      </c>
      <c r="T780" s="81">
        <f ca="1">T762*(1+INDEX(T$585:T$587,MATCH(Work_Codes!$I$108,$D$585:$D$587,0)))</f>
        <v>0</v>
      </c>
    </row>
    <row r="781" spans="4:20" ht="12" customHeight="1" outlineLevel="2">
      <c r="E781" s="247" t="str">
        <f>GC!C64</f>
        <v>Commercial and industrial meter replacement</v>
      </c>
      <c r="F781" s="247"/>
      <c r="G781" s="247"/>
      <c r="H781" s="247"/>
      <c r="I781" s="247"/>
      <c r="J781" s="81">
        <f ca="1">J763*(1+INDEX(J$585:J$587,MATCH(Work_Codes!$I$108,$D$585:$D$587,0)))</f>
        <v>0</v>
      </c>
      <c r="K781" s="81">
        <f ca="1">K763*(1+INDEX(K$585:K$587,MATCH(Work_Codes!$I$108,$D$585:$D$587,0)))</f>
        <v>0</v>
      </c>
      <c r="L781" s="81">
        <f ca="1">L763*(1+INDEX(L$585:L$587,MATCH(Work_Codes!$I$108,$D$585:$D$587,0)))</f>
        <v>0</v>
      </c>
      <c r="M781" s="81">
        <f ca="1">M763*(1+INDEX(M$585:M$587,MATCH(Work_Codes!$I$108,$D$585:$D$587,0)))</f>
        <v>0</v>
      </c>
      <c r="N781" s="81">
        <f ca="1">N763*(1+INDEX(N$585:N$587,MATCH(Work_Codes!$I$108,$D$585:$D$587,0)))</f>
        <v>0</v>
      </c>
      <c r="O781" s="81">
        <f ca="1">O763*(1+INDEX(O$585:O$587,MATCH(Work_Codes!$I$108,$D$585:$D$587,0)))</f>
        <v>0</v>
      </c>
      <c r="P781" s="81">
        <f ca="1">P763*(1+INDEX(P$585:P$587,MATCH(Work_Codes!$I$108,$D$585:$D$587,0)))</f>
        <v>0</v>
      </c>
      <c r="Q781" s="81">
        <f ca="1">Q763*(1+INDEX(Q$585:Q$587,MATCH(Work_Codes!$I$108,$D$585:$D$587,0)))</f>
        <v>0</v>
      </c>
      <c r="R781" s="81">
        <f ca="1">R763*(1+INDEX(R$585:R$587,MATCH(Work_Codes!$I$108,$D$585:$D$587,0)))</f>
        <v>0</v>
      </c>
      <c r="S781" s="81">
        <f ca="1">S763*(1+INDEX(S$585:S$587,MATCH(Work_Codes!$I$108,$D$585:$D$587,0)))</f>
        <v>0</v>
      </c>
      <c r="T781" s="81">
        <f ca="1">T763*(1+INDEX(T$585:T$587,MATCH(Work_Codes!$I$108,$D$585:$D$587,0)))</f>
        <v>0</v>
      </c>
    </row>
    <row r="782" spans="4:20" ht="12" customHeight="1" outlineLevel="2">
      <c r="E782" s="247" t="str">
        <f>GC!C65</f>
        <v>Augmentation</v>
      </c>
      <c r="F782" s="247"/>
      <c r="G782" s="247"/>
      <c r="H782" s="247"/>
      <c r="I782" s="247"/>
      <c r="J782" s="81">
        <f ca="1">J764*(1+INDEX(J$585:J$587,MATCH(Work_Codes!$I$108,$D$585:$D$587,0)))</f>
        <v>0</v>
      </c>
      <c r="K782" s="81">
        <f ca="1">K764*(1+INDEX(K$585:K$587,MATCH(Work_Codes!$I$108,$D$585:$D$587,0)))</f>
        <v>0</v>
      </c>
      <c r="L782" s="81">
        <f ca="1">L764*(1+INDEX(L$585:L$587,MATCH(Work_Codes!$I$108,$D$585:$D$587,0)))</f>
        <v>0</v>
      </c>
      <c r="M782" s="81">
        <f ca="1">M764*(1+INDEX(M$585:M$587,MATCH(Work_Codes!$I$108,$D$585:$D$587,0)))</f>
        <v>0</v>
      </c>
      <c r="N782" s="81">
        <f ca="1">N764*(1+INDEX(N$585:N$587,MATCH(Work_Codes!$I$108,$D$585:$D$587,0)))</f>
        <v>0</v>
      </c>
      <c r="O782" s="81">
        <f ca="1">O764*(1+INDEX(O$585:O$587,MATCH(Work_Codes!$I$108,$D$585:$D$587,0)))</f>
        <v>0</v>
      </c>
      <c r="P782" s="81">
        <f ca="1">P764*(1+INDEX(P$585:P$587,MATCH(Work_Codes!$I$108,$D$585:$D$587,0)))</f>
        <v>0</v>
      </c>
      <c r="Q782" s="81">
        <f ca="1">Q764*(1+INDEX(Q$585:Q$587,MATCH(Work_Codes!$I$108,$D$585:$D$587,0)))</f>
        <v>0</v>
      </c>
      <c r="R782" s="81">
        <f ca="1">R764*(1+INDEX(R$585:R$587,MATCH(Work_Codes!$I$108,$D$585:$D$587,0)))</f>
        <v>0</v>
      </c>
      <c r="S782" s="81">
        <f ca="1">S764*(1+INDEX(S$585:S$587,MATCH(Work_Codes!$I$108,$D$585:$D$587,0)))</f>
        <v>0</v>
      </c>
      <c r="T782" s="81">
        <f ca="1">T764*(1+INDEX(T$585:T$587,MATCH(Work_Codes!$I$108,$D$585:$D$587,0)))</f>
        <v>0</v>
      </c>
    </row>
    <row r="783" spans="4:20" ht="12" customHeight="1" outlineLevel="2">
      <c r="E783" s="247" t="str">
        <f>GC!C66</f>
        <v>IT capex</v>
      </c>
      <c r="F783" s="247"/>
      <c r="G783" s="247"/>
      <c r="H783" s="247"/>
      <c r="I783" s="247"/>
      <c r="J783" s="81">
        <f ca="1">J765*(1+INDEX(J$585:J$587,MATCH(Work_Codes!$I$108,$D$585:$D$587,0)))</f>
        <v>0</v>
      </c>
      <c r="K783" s="81">
        <f ca="1">K765*(1+INDEX(K$585:K$587,MATCH(Work_Codes!$I$108,$D$585:$D$587,0)))</f>
        <v>0</v>
      </c>
      <c r="L783" s="81">
        <f ca="1">L765*(1+INDEX(L$585:L$587,MATCH(Work_Codes!$I$108,$D$585:$D$587,0)))</f>
        <v>0</v>
      </c>
      <c r="M783" s="81">
        <f ca="1">M765*(1+INDEX(M$585:M$587,MATCH(Work_Codes!$I$108,$D$585:$D$587,0)))</f>
        <v>0</v>
      </c>
      <c r="N783" s="81">
        <f ca="1">N765*(1+INDEX(N$585:N$587,MATCH(Work_Codes!$I$108,$D$585:$D$587,0)))</f>
        <v>0</v>
      </c>
      <c r="O783" s="81">
        <f ca="1">O765*(1+INDEX(O$585:O$587,MATCH(Work_Codes!$I$108,$D$585:$D$587,0)))</f>
        <v>0</v>
      </c>
      <c r="P783" s="81">
        <f ca="1">P765*(1+INDEX(P$585:P$587,MATCH(Work_Codes!$I$108,$D$585:$D$587,0)))</f>
        <v>0</v>
      </c>
      <c r="Q783" s="81">
        <f ca="1">Q765*(1+INDEX(Q$585:Q$587,MATCH(Work_Codes!$I$108,$D$585:$D$587,0)))</f>
        <v>0</v>
      </c>
      <c r="R783" s="81">
        <f ca="1">R765*(1+INDEX(R$585:R$587,MATCH(Work_Codes!$I$108,$D$585:$D$587,0)))</f>
        <v>0</v>
      </c>
      <c r="S783" s="81">
        <f ca="1">S765*(1+INDEX(S$585:S$587,MATCH(Work_Codes!$I$108,$D$585:$D$587,0)))</f>
        <v>0</v>
      </c>
      <c r="T783" s="81">
        <f ca="1">T765*(1+INDEX(T$585:T$587,MATCH(Work_Codes!$I$108,$D$585:$D$587,0)))</f>
        <v>0</v>
      </c>
    </row>
    <row r="784" spans="4:20" ht="12" customHeight="1" outlineLevel="2">
      <c r="E784" s="247" t="str">
        <f>GC!C67</f>
        <v>SCADA</v>
      </c>
      <c r="F784" s="247"/>
      <c r="G784" s="247"/>
      <c r="H784" s="247"/>
      <c r="I784" s="247"/>
      <c r="J784" s="81">
        <f ca="1">J766*(1+INDEX(J$585:J$587,MATCH(Work_Codes!$I$108,$D$585:$D$587,0)))</f>
        <v>0</v>
      </c>
      <c r="K784" s="81">
        <f ca="1">K766*(1+INDEX(K$585:K$587,MATCH(Work_Codes!$I$108,$D$585:$D$587,0)))</f>
        <v>0</v>
      </c>
      <c r="L784" s="81">
        <f ca="1">L766*(1+INDEX(L$585:L$587,MATCH(Work_Codes!$I$108,$D$585:$D$587,0)))</f>
        <v>0</v>
      </c>
      <c r="M784" s="81">
        <f ca="1">M766*(1+INDEX(M$585:M$587,MATCH(Work_Codes!$I$108,$D$585:$D$587,0)))</f>
        <v>0</v>
      </c>
      <c r="N784" s="81">
        <f ca="1">N766*(1+INDEX(N$585:N$587,MATCH(Work_Codes!$I$108,$D$585:$D$587,0)))</f>
        <v>0</v>
      </c>
      <c r="O784" s="81">
        <f ca="1">O766*(1+INDEX(O$585:O$587,MATCH(Work_Codes!$I$108,$D$585:$D$587,0)))</f>
        <v>0</v>
      </c>
      <c r="P784" s="81">
        <f ca="1">P766*(1+INDEX(P$585:P$587,MATCH(Work_Codes!$I$108,$D$585:$D$587,0)))</f>
        <v>0</v>
      </c>
      <c r="Q784" s="81">
        <f ca="1">Q766*(1+INDEX(Q$585:Q$587,MATCH(Work_Codes!$I$108,$D$585:$D$587,0)))</f>
        <v>0</v>
      </c>
      <c r="R784" s="81">
        <f ca="1">R766*(1+INDEX(R$585:R$587,MATCH(Work_Codes!$I$108,$D$585:$D$587,0)))</f>
        <v>0</v>
      </c>
      <c r="S784" s="81">
        <f ca="1">S766*(1+INDEX(S$585:S$587,MATCH(Work_Codes!$I$108,$D$585:$D$587,0)))</f>
        <v>0</v>
      </c>
      <c r="T784" s="81">
        <f ca="1">T766*(1+INDEX(T$585:T$587,MATCH(Work_Codes!$I$108,$D$585:$D$587,0)))</f>
        <v>0</v>
      </c>
    </row>
    <row r="785" spans="4:20" ht="12" customHeight="1" outlineLevel="2">
      <c r="E785" s="247" t="str">
        <f>GC!C68</f>
        <v>Other</v>
      </c>
      <c r="F785" s="247"/>
      <c r="G785" s="247"/>
      <c r="H785" s="247"/>
      <c r="I785" s="247"/>
      <c r="J785" s="81">
        <f ca="1">J767*(1+INDEX(J$585:J$587,MATCH(Work_Codes!$I$108,$D$585:$D$587,0)))</f>
        <v>0</v>
      </c>
      <c r="K785" s="81">
        <f ca="1">K767*(1+INDEX(K$585:K$587,MATCH(Work_Codes!$I$108,$D$585:$D$587,0)))</f>
        <v>0</v>
      </c>
      <c r="L785" s="81">
        <f ca="1">L767*(1+INDEX(L$585:L$587,MATCH(Work_Codes!$I$108,$D$585:$D$587,0)))</f>
        <v>0</v>
      </c>
      <c r="M785" s="81">
        <f ca="1">M767*(1+INDEX(M$585:M$587,MATCH(Work_Codes!$I$108,$D$585:$D$587,0)))</f>
        <v>0</v>
      </c>
      <c r="N785" s="81">
        <f ca="1">N767*(1+INDEX(N$585:N$587,MATCH(Work_Codes!$I$108,$D$585:$D$587,0)))</f>
        <v>0</v>
      </c>
      <c r="O785" s="81">
        <f ca="1">O767*(1+INDEX(O$585:O$587,MATCH(Work_Codes!$I$108,$D$585:$D$587,0)))</f>
        <v>0</v>
      </c>
      <c r="P785" s="81">
        <f ca="1">P767*(1+INDEX(P$585:P$587,MATCH(Work_Codes!$I$108,$D$585:$D$587,0)))</f>
        <v>0</v>
      </c>
      <c r="Q785" s="81">
        <f ca="1">Q767*(1+INDEX(Q$585:Q$587,MATCH(Work_Codes!$I$108,$D$585:$D$587,0)))</f>
        <v>0</v>
      </c>
      <c r="R785" s="81">
        <f ca="1">R767*(1+INDEX(R$585:R$587,MATCH(Work_Codes!$I$108,$D$585:$D$587,0)))</f>
        <v>0</v>
      </c>
      <c r="S785" s="81">
        <f ca="1">S767*(1+INDEX(S$585:S$587,MATCH(Work_Codes!$I$108,$D$585:$D$587,0)))</f>
        <v>0</v>
      </c>
      <c r="T785" s="81">
        <f ca="1">T767*(1+INDEX(T$585:T$587,MATCH(Work_Codes!$I$108,$D$585:$D$587,0)))</f>
        <v>0</v>
      </c>
    </row>
    <row r="786" spans="4:20" outlineLevel="2">
      <c r="E786" s="247" t="str">
        <f>GC!C69</f>
        <v>Capitalised Leases</v>
      </c>
      <c r="F786" s="247"/>
      <c r="G786" s="247"/>
      <c r="H786" s="247"/>
      <c r="I786" s="247"/>
      <c r="J786" s="81">
        <f ca="1">J768*(1+INDEX(J$585:J$587,MATCH(Work_Codes!$I$108,$D$585:$D$587,0)))</f>
        <v>0</v>
      </c>
      <c r="K786" s="81">
        <f ca="1">K768*(1+INDEX(K$585:K$587,MATCH(Work_Codes!$I$108,$D$585:$D$587,0)))</f>
        <v>0</v>
      </c>
      <c r="L786" s="81">
        <f ca="1">L768*(1+INDEX(L$585:L$587,MATCH(Work_Codes!$I$108,$D$585:$D$587,0)))</f>
        <v>0</v>
      </c>
      <c r="M786" s="81">
        <f ca="1">M768*(1+INDEX(M$585:M$587,MATCH(Work_Codes!$I$108,$D$585:$D$587,0)))</f>
        <v>0</v>
      </c>
      <c r="N786" s="81">
        <f ca="1">N768*(1+INDEX(N$585:N$587,MATCH(Work_Codes!$I$108,$D$585:$D$587,0)))</f>
        <v>0</v>
      </c>
      <c r="O786" s="81">
        <f ca="1">O768*(1+INDEX(O$585:O$587,MATCH(Work_Codes!$I$108,$D$585:$D$587,0)))</f>
        <v>0</v>
      </c>
      <c r="P786" s="81">
        <f ca="1">P768*(1+INDEX(P$585:P$587,MATCH(Work_Codes!$I$108,$D$585:$D$587,0)))</f>
        <v>0</v>
      </c>
      <c r="Q786" s="81">
        <f ca="1">Q768*(1+INDEX(Q$585:Q$587,MATCH(Work_Codes!$I$108,$D$585:$D$587,0)))</f>
        <v>0</v>
      </c>
      <c r="R786" s="81">
        <f ca="1">R768*(1+INDEX(R$585:R$587,MATCH(Work_Codes!$I$108,$D$585:$D$587,0)))</f>
        <v>0</v>
      </c>
      <c r="S786" s="81">
        <f ca="1">S768*(1+INDEX(S$585:S$587,MATCH(Work_Codes!$I$108,$D$585:$D$587,0)))</f>
        <v>0</v>
      </c>
      <c r="T786" s="81">
        <f ca="1">T768*(1+INDEX(T$585:T$587,MATCH(Work_Codes!$I$108,$D$585:$D$587,0)))</f>
        <v>0</v>
      </c>
    </row>
    <row r="787" spans="4:20" ht="12" customHeight="1" outlineLevel="2">
      <c r="E787" s="247" t="str">
        <f>GC!C70</f>
        <v>Gas Extensions - Energy for the Regions</v>
      </c>
      <c r="F787" s="247"/>
      <c r="G787" s="247"/>
      <c r="H787" s="247"/>
      <c r="I787" s="247"/>
      <c r="J787" s="81">
        <f ca="1">J769*(1+INDEX(J$585:J$587,MATCH(Work_Codes!$I$108,$D$585:$D$587,0)))</f>
        <v>0</v>
      </c>
      <c r="K787" s="81">
        <f ca="1">K769*(1+INDEX(K$585:K$587,MATCH(Work_Codes!$I$108,$D$585:$D$587,0)))</f>
        <v>0</v>
      </c>
      <c r="L787" s="81">
        <f ca="1">L769*(1+INDEX(L$585:L$587,MATCH(Work_Codes!$I$108,$D$585:$D$587,0)))</f>
        <v>0</v>
      </c>
      <c r="M787" s="81">
        <f ca="1">M769*(1+INDEX(M$585:M$587,MATCH(Work_Codes!$I$108,$D$585:$D$587,0)))</f>
        <v>0</v>
      </c>
      <c r="N787" s="81">
        <f ca="1">N769*(1+INDEX(N$585:N$587,MATCH(Work_Codes!$I$108,$D$585:$D$587,0)))</f>
        <v>0</v>
      </c>
      <c r="O787" s="81">
        <f ca="1">O769*(1+INDEX(O$585:O$587,MATCH(Work_Codes!$I$108,$D$585:$D$587,0)))</f>
        <v>0</v>
      </c>
      <c r="P787" s="81">
        <f ca="1">P769*(1+INDEX(P$585:P$587,MATCH(Work_Codes!$I$108,$D$585:$D$587,0)))</f>
        <v>0</v>
      </c>
      <c r="Q787" s="81">
        <f ca="1">Q769*(1+INDEX(Q$585:Q$587,MATCH(Work_Codes!$I$108,$D$585:$D$587,0)))</f>
        <v>0</v>
      </c>
      <c r="R787" s="81">
        <f ca="1">R769*(1+INDEX(R$585:R$587,MATCH(Work_Codes!$I$108,$D$585:$D$587,0)))</f>
        <v>0</v>
      </c>
      <c r="S787" s="81">
        <f ca="1">S769*(1+INDEX(S$585:S$587,MATCH(Work_Codes!$I$108,$D$585:$D$587,0)))</f>
        <v>0</v>
      </c>
      <c r="T787" s="81">
        <f ca="1">T769*(1+INDEX(T$585:T$587,MATCH(Work_Codes!$I$108,$D$585:$D$587,0)))</f>
        <v>0</v>
      </c>
    </row>
    <row r="788" spans="4:20" ht="12" customHeight="1" outlineLevel="2">
      <c r="E788" s="247" t="str">
        <f>GC!C71</f>
        <v>Gas Extensions - Other</v>
      </c>
      <c r="F788" s="247"/>
      <c r="G788" s="247"/>
      <c r="H788" s="247"/>
      <c r="I788" s="247"/>
      <c r="J788" s="81">
        <f ca="1">J770*(1+INDEX(J$585:J$587,MATCH(Work_Codes!$I$108,$D$585:$D$587,0)))</f>
        <v>0</v>
      </c>
      <c r="K788" s="81">
        <f ca="1">K770*(1+INDEX(K$585:K$587,MATCH(Work_Codes!$I$108,$D$585:$D$587,0)))</f>
        <v>0</v>
      </c>
      <c r="L788" s="81">
        <f ca="1">L770*(1+INDEX(L$585:L$587,MATCH(Work_Codes!$I$108,$D$585:$D$587,0)))</f>
        <v>0</v>
      </c>
      <c r="M788" s="81">
        <f ca="1">M770*(1+INDEX(M$585:M$587,MATCH(Work_Codes!$I$108,$D$585:$D$587,0)))</f>
        <v>0</v>
      </c>
      <c r="N788" s="81">
        <f ca="1">N770*(1+INDEX(N$585:N$587,MATCH(Work_Codes!$I$108,$D$585:$D$587,0)))</f>
        <v>0</v>
      </c>
      <c r="O788" s="81">
        <f ca="1">O770*(1+INDEX(O$585:O$587,MATCH(Work_Codes!$I$108,$D$585:$D$587,0)))</f>
        <v>0</v>
      </c>
      <c r="P788" s="81">
        <f ca="1">P770*(1+INDEX(P$585:P$587,MATCH(Work_Codes!$I$108,$D$585:$D$587,0)))</f>
        <v>0</v>
      </c>
      <c r="Q788" s="81">
        <f ca="1">Q770*(1+INDEX(Q$585:Q$587,MATCH(Work_Codes!$I$108,$D$585:$D$587,0)))</f>
        <v>0</v>
      </c>
      <c r="R788" s="81">
        <f ca="1">R770*(1+INDEX(R$585:R$587,MATCH(Work_Codes!$I$108,$D$585:$D$587,0)))</f>
        <v>0</v>
      </c>
      <c r="S788" s="81">
        <f ca="1">S770*(1+INDEX(S$585:S$587,MATCH(Work_Codes!$I$108,$D$585:$D$587,0)))</f>
        <v>0</v>
      </c>
      <c r="T788" s="81">
        <f ca="1">T770*(1+INDEX(T$585:T$587,MATCH(Work_Codes!$I$108,$D$585:$D$587,0)))</f>
        <v>0</v>
      </c>
    </row>
    <row r="789" spans="4:20" ht="12" customHeight="1" outlineLevel="2">
      <c r="E789" s="247" t="str">
        <f>GC!C72</f>
        <v>Customer contributions</v>
      </c>
      <c r="F789" s="247"/>
      <c r="G789" s="247"/>
      <c r="H789" s="247"/>
      <c r="I789" s="247"/>
      <c r="J789" s="81">
        <f ca="1">J771*(1+INDEX(J$585:J$587,MATCH(Work_Codes!$I$108,$D$585:$D$587,0)))</f>
        <v>0</v>
      </c>
      <c r="K789" s="81">
        <f ca="1">K771*(1+INDEX(K$585:K$587,MATCH(Work_Codes!$I$108,$D$585:$D$587,0)))</f>
        <v>0</v>
      </c>
      <c r="L789" s="81">
        <f ca="1">L771*(1+INDEX(L$585:L$587,MATCH(Work_Codes!$I$108,$D$585:$D$587,0)))</f>
        <v>0</v>
      </c>
      <c r="M789" s="81">
        <f ca="1">M771*(1+INDEX(M$585:M$587,MATCH(Work_Codes!$I$108,$D$585:$D$587,0)))</f>
        <v>0</v>
      </c>
      <c r="N789" s="81">
        <f ca="1">N771*(1+INDEX(N$585:N$587,MATCH(Work_Codes!$I$108,$D$585:$D$587,0)))</f>
        <v>0</v>
      </c>
      <c r="O789" s="81">
        <f ca="1">O771*(1+INDEX(O$585:O$587,MATCH(Work_Codes!$I$108,$D$585:$D$587,0)))</f>
        <v>0</v>
      </c>
      <c r="P789" s="81">
        <f ca="1">P771*(1+INDEX(P$585:P$587,MATCH(Work_Codes!$I$108,$D$585:$D$587,0)))</f>
        <v>0</v>
      </c>
      <c r="Q789" s="81">
        <f ca="1">Q771*(1+INDEX(Q$585:Q$587,MATCH(Work_Codes!$I$108,$D$585:$D$587,0)))</f>
        <v>0</v>
      </c>
      <c r="R789" s="81">
        <f ca="1">R771*(1+INDEX(R$585:R$587,MATCH(Work_Codes!$I$108,$D$585:$D$587,0)))</f>
        <v>0</v>
      </c>
      <c r="S789" s="81">
        <f ca="1">S771*(1+INDEX(S$585:S$587,MATCH(Work_Codes!$I$108,$D$585:$D$587,0)))</f>
        <v>0</v>
      </c>
      <c r="T789" s="81">
        <f ca="1">T771*(1+INDEX(T$585:T$587,MATCH(Work_Codes!$I$108,$D$585:$D$587,0)))</f>
        <v>0</v>
      </c>
    </row>
    <row r="790" spans="4:20" ht="12" customHeight="1" outlineLevel="2">
      <c r="E790" s="247" t="str">
        <f>GC!C73</f>
        <v>Government contributions</v>
      </c>
      <c r="F790" s="247"/>
      <c r="G790" s="247"/>
      <c r="H790" s="247"/>
      <c r="I790" s="247"/>
      <c r="J790" s="81">
        <f ca="1">J772*(1+INDEX(J$585:J$587,MATCH(Work_Codes!$I$108,$D$585:$D$587,0)))</f>
        <v>0</v>
      </c>
      <c r="K790" s="81">
        <f ca="1">K772*(1+INDEX(K$585:K$587,MATCH(Work_Codes!$I$108,$D$585:$D$587,0)))</f>
        <v>0</v>
      </c>
      <c r="L790" s="81">
        <f ca="1">L772*(1+INDEX(L$585:L$587,MATCH(Work_Codes!$I$108,$D$585:$D$587,0)))</f>
        <v>0</v>
      </c>
      <c r="M790" s="81">
        <f ca="1">M772*(1+INDEX(M$585:M$587,MATCH(Work_Codes!$I$108,$D$585:$D$587,0)))</f>
        <v>0</v>
      </c>
      <c r="N790" s="81">
        <f ca="1">N772*(1+INDEX(N$585:N$587,MATCH(Work_Codes!$I$108,$D$585:$D$587,0)))</f>
        <v>0</v>
      </c>
      <c r="O790" s="81">
        <f ca="1">O772*(1+INDEX(O$585:O$587,MATCH(Work_Codes!$I$108,$D$585:$D$587,0)))</f>
        <v>0</v>
      </c>
      <c r="P790" s="81">
        <f ca="1">P772*(1+INDEX(P$585:P$587,MATCH(Work_Codes!$I$108,$D$585:$D$587,0)))</f>
        <v>0</v>
      </c>
      <c r="Q790" s="81">
        <f ca="1">Q772*(1+INDEX(Q$585:Q$587,MATCH(Work_Codes!$I$108,$D$585:$D$587,0)))</f>
        <v>0</v>
      </c>
      <c r="R790" s="81">
        <f ca="1">R772*(1+INDEX(R$585:R$587,MATCH(Work_Codes!$I$108,$D$585:$D$587,0)))</f>
        <v>0</v>
      </c>
      <c r="S790" s="81">
        <f ca="1">S772*(1+INDEX(S$585:S$587,MATCH(Work_Codes!$I$108,$D$585:$D$587,0)))</f>
        <v>0</v>
      </c>
      <c r="T790" s="81">
        <f ca="1">T772*(1+INDEX(T$585:T$587,MATCH(Work_Codes!$I$108,$D$585:$D$587,0)))</f>
        <v>0</v>
      </c>
    </row>
    <row r="791" spans="4:20" ht="12" customHeight="1" outlineLevel="2">
      <c r="E791" s="249" t="str">
        <f>"Total "&amp;D775</f>
        <v>Total Direct Costs + Overheads</v>
      </c>
      <c r="F791" s="249"/>
      <c r="G791" s="249"/>
      <c r="H791" s="249"/>
      <c r="I791" s="249"/>
      <c r="J791" s="82">
        <f t="shared" ref="J791:T791" ca="1" si="78">SUM(J777:J790)</f>
        <v>0</v>
      </c>
      <c r="K791" s="82">
        <f t="shared" ca="1" si="78"/>
        <v>0</v>
      </c>
      <c r="L791" s="82">
        <f t="shared" ca="1" si="78"/>
        <v>0</v>
      </c>
      <c r="M791" s="82">
        <f t="shared" ca="1" si="78"/>
        <v>0</v>
      </c>
      <c r="N791" s="82">
        <f t="shared" ca="1" si="78"/>
        <v>2297666.5334673584</v>
      </c>
      <c r="O791" s="82">
        <f t="shared" ca="1" si="78"/>
        <v>1045471.5534697071</v>
      </c>
      <c r="P791" s="82">
        <f t="shared" ca="1" si="78"/>
        <v>2077790.8470130353</v>
      </c>
      <c r="Q791" s="82">
        <f t="shared" ca="1" si="78"/>
        <v>1868807.9977214488</v>
      </c>
      <c r="R791" s="82">
        <f t="shared" ca="1" si="78"/>
        <v>1683348.0449827968</v>
      </c>
      <c r="S791" s="82">
        <f t="shared" ca="1" si="78"/>
        <v>1517579.4784313911</v>
      </c>
      <c r="T791" s="82">
        <f t="shared" ca="1" si="78"/>
        <v>1367754.0431279805</v>
      </c>
    </row>
    <row r="792" spans="4:20" outlineLevel="2"/>
    <row r="793" spans="4:20" outlineLevel="2">
      <c r="D793" s="37" t="s">
        <v>367</v>
      </c>
    </row>
    <row r="794" spans="4:20" ht="5.75" customHeight="1" outlineLevel="2"/>
    <row r="795" spans="4:20" outlineLevel="2">
      <c r="E795" s="247" t="str">
        <f>GC!C60</f>
        <v>Mains replacement</v>
      </c>
      <c r="F795" s="247"/>
      <c r="G795" s="247"/>
      <c r="H795" s="247"/>
      <c r="I795" s="247"/>
      <c r="J795" s="81">
        <f ca="1">SUMPRODUCT((Work_Codes!$AC$111:$AO$111=$E795)*(Work_Codes!$AC$122:$AO$122)*(J$624:J$624))</f>
        <v>0</v>
      </c>
      <c r="K795" s="81">
        <f ca="1">SUMPRODUCT((Work_Codes!$AC$111:$AO$111=$E795)*(Work_Codes!$AC$122:$AO$122)*(K$624:K$624))</f>
        <v>0</v>
      </c>
      <c r="L795" s="81">
        <f ca="1">SUMPRODUCT((Work_Codes!$AC$111:$AO$111=$E795)*(Work_Codes!$AC$122:$AO$122)*(L$624:L$624))</f>
        <v>0</v>
      </c>
      <c r="M795" s="81">
        <f ca="1">SUMPRODUCT((Work_Codes!$AC$111:$AO$111=$E795)*(Work_Codes!$AC$122:$AO$122)*(M$624:M$624))</f>
        <v>0</v>
      </c>
      <c r="N795" s="81">
        <f ca="1">SUMPRODUCT((Work_Codes!$AC$111:$AO$111=$E795)*(Work_Codes!$AC$122:$AO$122)*(N$624:N$624))</f>
        <v>0</v>
      </c>
      <c r="O795" s="81">
        <f ca="1">SUMPRODUCT((Work_Codes!$AC$111:$AO$111=$E795)*(Work_Codes!$AC$122:$AO$122)*(O$624:O$624))</f>
        <v>0</v>
      </c>
      <c r="P795" s="81">
        <f ca="1">SUMPRODUCT((Work_Codes!$AC$111:$AO$111=$E795)*(Work_Codes!$AC$122:$AO$122)*(P$624:P$624))</f>
        <v>0</v>
      </c>
      <c r="Q795" s="81">
        <f ca="1">SUMPRODUCT((Work_Codes!$AC$111:$AO$111=$E795)*(Work_Codes!$AC$122:$AO$122)*(Q$624:Q$624))</f>
        <v>0</v>
      </c>
      <c r="R795" s="81">
        <f ca="1">SUMPRODUCT((Work_Codes!$AC$111:$AO$111=$E795)*(Work_Codes!$AC$122:$AO$122)*(R$624:R$624))</f>
        <v>0</v>
      </c>
      <c r="S795" s="81">
        <f ca="1">SUMPRODUCT((Work_Codes!$AC$111:$AO$111=$E795)*(Work_Codes!$AC$122:$AO$122)*(S$624:S$624))</f>
        <v>0</v>
      </c>
      <c r="T795" s="81">
        <f ca="1">SUMPRODUCT((Work_Codes!$AC$111:$AO$111=$E795)*(Work_Codes!$AC$122:$AO$122)*(T$624:T$624))</f>
        <v>0</v>
      </c>
    </row>
    <row r="796" spans="4:20" outlineLevel="2">
      <c r="E796" s="247" t="str">
        <f>GC!C61</f>
        <v>Residential new customer connections</v>
      </c>
      <c r="F796" s="247"/>
      <c r="G796" s="247"/>
      <c r="H796" s="247"/>
      <c r="I796" s="247"/>
      <c r="J796" s="81">
        <f ca="1">SUMPRODUCT((Work_Codes!$AC$111:$AO$111=$E796)*(Work_Codes!$AC$122:$AO$122)*(J$624:J$624))</f>
        <v>0</v>
      </c>
      <c r="K796" s="81">
        <f ca="1">SUMPRODUCT((Work_Codes!$AC$111:$AO$111=$E796)*(Work_Codes!$AC$122:$AO$122)*(K$624:K$624))</f>
        <v>0</v>
      </c>
      <c r="L796" s="81">
        <f ca="1">SUMPRODUCT((Work_Codes!$AC$111:$AO$111=$E796)*(Work_Codes!$AC$122:$AO$122)*(L$624:L$624))</f>
        <v>0</v>
      </c>
      <c r="M796" s="81">
        <f ca="1">SUMPRODUCT((Work_Codes!$AC$111:$AO$111=$E796)*(Work_Codes!$AC$122:$AO$122)*(M$624:M$624))</f>
        <v>0</v>
      </c>
      <c r="N796" s="81">
        <f ca="1">SUMPRODUCT((Work_Codes!$AC$111:$AO$111=$E796)*(Work_Codes!$AC$122:$AO$122)*(N$624:N$624))</f>
        <v>0</v>
      </c>
      <c r="O796" s="81">
        <f ca="1">SUMPRODUCT((Work_Codes!$AC$111:$AO$111=$E796)*(Work_Codes!$AC$122:$AO$122)*(O$624:O$624))</f>
        <v>0</v>
      </c>
      <c r="P796" s="81">
        <f ca="1">SUMPRODUCT((Work_Codes!$AC$111:$AO$111=$E796)*(Work_Codes!$AC$122:$AO$122)*(P$624:P$624))</f>
        <v>0</v>
      </c>
      <c r="Q796" s="81">
        <f ca="1">SUMPRODUCT((Work_Codes!$AC$111:$AO$111=$E796)*(Work_Codes!$AC$122:$AO$122)*(Q$624:Q$624))</f>
        <v>0</v>
      </c>
      <c r="R796" s="81">
        <f ca="1">SUMPRODUCT((Work_Codes!$AC$111:$AO$111=$E796)*(Work_Codes!$AC$122:$AO$122)*(R$624:R$624))</f>
        <v>0</v>
      </c>
      <c r="S796" s="81">
        <f ca="1">SUMPRODUCT((Work_Codes!$AC$111:$AO$111=$E796)*(Work_Codes!$AC$122:$AO$122)*(S$624:S$624))</f>
        <v>0</v>
      </c>
      <c r="T796" s="81">
        <f ca="1">SUMPRODUCT((Work_Codes!$AC$111:$AO$111=$E796)*(Work_Codes!$AC$122:$AO$122)*(T$624:T$624))</f>
        <v>0</v>
      </c>
    </row>
    <row r="797" spans="4:20" outlineLevel="2">
      <c r="E797" s="247" t="str">
        <f>GC!C62</f>
        <v>Commercial and industrial new customer connections</v>
      </c>
      <c r="F797" s="247"/>
      <c r="G797" s="247"/>
      <c r="H797" s="247"/>
      <c r="I797" s="247"/>
      <c r="J797" s="81">
        <f ca="1">SUMPRODUCT((Work_Codes!$AC$111:$AO$111=$E797)*(Work_Codes!$AC$122:$AO$122)*(J$624:J$624))</f>
        <v>0</v>
      </c>
      <c r="K797" s="81">
        <f ca="1">SUMPRODUCT((Work_Codes!$AC$111:$AO$111=$E797)*(Work_Codes!$AC$122:$AO$122)*(K$624:K$624))</f>
        <v>0</v>
      </c>
      <c r="L797" s="81">
        <f ca="1">SUMPRODUCT((Work_Codes!$AC$111:$AO$111=$E797)*(Work_Codes!$AC$122:$AO$122)*(L$624:L$624))</f>
        <v>0</v>
      </c>
      <c r="M797" s="81">
        <f ca="1">SUMPRODUCT((Work_Codes!$AC$111:$AO$111=$E797)*(Work_Codes!$AC$122:$AO$122)*(M$624:M$624))</f>
        <v>0</v>
      </c>
      <c r="N797" s="81">
        <f ca="1">SUMPRODUCT((Work_Codes!$AC$111:$AO$111=$E797)*(Work_Codes!$AC$122:$AO$122)*(N$624:N$624))</f>
        <v>0</v>
      </c>
      <c r="O797" s="81">
        <f ca="1">SUMPRODUCT((Work_Codes!$AC$111:$AO$111=$E797)*(Work_Codes!$AC$122:$AO$122)*(O$624:O$624))</f>
        <v>0</v>
      </c>
      <c r="P797" s="81">
        <f ca="1">SUMPRODUCT((Work_Codes!$AC$111:$AO$111=$E797)*(Work_Codes!$AC$122:$AO$122)*(P$624:P$624))</f>
        <v>0</v>
      </c>
      <c r="Q797" s="81">
        <f ca="1">SUMPRODUCT((Work_Codes!$AC$111:$AO$111=$E797)*(Work_Codes!$AC$122:$AO$122)*(Q$624:Q$624))</f>
        <v>0</v>
      </c>
      <c r="R797" s="81">
        <f ca="1">SUMPRODUCT((Work_Codes!$AC$111:$AO$111=$E797)*(Work_Codes!$AC$122:$AO$122)*(R$624:R$624))</f>
        <v>0</v>
      </c>
      <c r="S797" s="81">
        <f ca="1">SUMPRODUCT((Work_Codes!$AC$111:$AO$111=$E797)*(Work_Codes!$AC$122:$AO$122)*(S$624:S$624))</f>
        <v>0</v>
      </c>
      <c r="T797" s="81">
        <f ca="1">SUMPRODUCT((Work_Codes!$AC$111:$AO$111=$E797)*(Work_Codes!$AC$122:$AO$122)*(T$624:T$624))</f>
        <v>0</v>
      </c>
    </row>
    <row r="798" spans="4:20" outlineLevel="2">
      <c r="E798" s="247" t="str">
        <f>GC!C63</f>
        <v>Residential meter replacement</v>
      </c>
      <c r="F798" s="247"/>
      <c r="G798" s="247"/>
      <c r="H798" s="247"/>
      <c r="I798" s="247"/>
      <c r="J798" s="81">
        <f ca="1">SUMPRODUCT((Work_Codes!$AC$111:$AO$111=$E798)*(Work_Codes!$AC$122:$AO$122)*(J$624:J$624))</f>
        <v>0</v>
      </c>
      <c r="K798" s="81">
        <f ca="1">SUMPRODUCT((Work_Codes!$AC$111:$AO$111=$E798)*(Work_Codes!$AC$122:$AO$122)*(K$624:K$624))</f>
        <v>0</v>
      </c>
      <c r="L798" s="81">
        <f ca="1">SUMPRODUCT((Work_Codes!$AC$111:$AO$111=$E798)*(Work_Codes!$AC$122:$AO$122)*(L$624:L$624))</f>
        <v>0</v>
      </c>
      <c r="M798" s="81">
        <f ca="1">SUMPRODUCT((Work_Codes!$AC$111:$AO$111=$E798)*(Work_Codes!$AC$122:$AO$122)*(M$624:M$624))</f>
        <v>0</v>
      </c>
      <c r="N798" s="81">
        <f ca="1">SUMPRODUCT((Work_Codes!$AC$111:$AO$111=$E798)*(Work_Codes!$AC$122:$AO$122)*(N$624:N$624))</f>
        <v>0</v>
      </c>
      <c r="O798" s="81">
        <f ca="1">SUMPRODUCT((Work_Codes!$AC$111:$AO$111=$E798)*(Work_Codes!$AC$122:$AO$122)*(O$624:O$624))</f>
        <v>0</v>
      </c>
      <c r="P798" s="81">
        <f ca="1">SUMPRODUCT((Work_Codes!$AC$111:$AO$111=$E798)*(Work_Codes!$AC$122:$AO$122)*(P$624:P$624))</f>
        <v>0</v>
      </c>
      <c r="Q798" s="81">
        <f ca="1">SUMPRODUCT((Work_Codes!$AC$111:$AO$111=$E798)*(Work_Codes!$AC$122:$AO$122)*(Q$624:Q$624))</f>
        <v>0</v>
      </c>
      <c r="R798" s="81">
        <f ca="1">SUMPRODUCT((Work_Codes!$AC$111:$AO$111=$E798)*(Work_Codes!$AC$122:$AO$122)*(R$624:R$624))</f>
        <v>0</v>
      </c>
      <c r="S798" s="81">
        <f ca="1">SUMPRODUCT((Work_Codes!$AC$111:$AO$111=$E798)*(Work_Codes!$AC$122:$AO$122)*(S$624:S$624))</f>
        <v>0</v>
      </c>
      <c r="T798" s="81">
        <f ca="1">SUMPRODUCT((Work_Codes!$AC$111:$AO$111=$E798)*(Work_Codes!$AC$122:$AO$122)*(T$624:T$624))</f>
        <v>0</v>
      </c>
    </row>
    <row r="799" spans="4:20" outlineLevel="2">
      <c r="E799" s="247" t="str">
        <f>GC!C64</f>
        <v>Commercial and industrial meter replacement</v>
      </c>
      <c r="F799" s="247"/>
      <c r="G799" s="247"/>
      <c r="H799" s="247"/>
      <c r="I799" s="247"/>
      <c r="J799" s="81">
        <f ca="1">SUMPRODUCT((Work_Codes!$AC$111:$AO$111=$E799)*(Work_Codes!$AC$122:$AO$122)*(J$624:J$624))</f>
        <v>0</v>
      </c>
      <c r="K799" s="81">
        <f ca="1">SUMPRODUCT((Work_Codes!$AC$111:$AO$111=$E799)*(Work_Codes!$AC$122:$AO$122)*(K$624:K$624))</f>
        <v>0</v>
      </c>
      <c r="L799" s="81">
        <f ca="1">SUMPRODUCT((Work_Codes!$AC$111:$AO$111=$E799)*(Work_Codes!$AC$122:$AO$122)*(L$624:L$624))</f>
        <v>0</v>
      </c>
      <c r="M799" s="81">
        <f ca="1">SUMPRODUCT((Work_Codes!$AC$111:$AO$111=$E799)*(Work_Codes!$AC$122:$AO$122)*(M$624:M$624))</f>
        <v>0</v>
      </c>
      <c r="N799" s="81">
        <f ca="1">SUMPRODUCT((Work_Codes!$AC$111:$AO$111=$E799)*(Work_Codes!$AC$122:$AO$122)*(N$624:N$624))</f>
        <v>0</v>
      </c>
      <c r="O799" s="81">
        <f ca="1">SUMPRODUCT((Work_Codes!$AC$111:$AO$111=$E799)*(Work_Codes!$AC$122:$AO$122)*(O$624:O$624))</f>
        <v>0</v>
      </c>
      <c r="P799" s="81">
        <f ca="1">SUMPRODUCT((Work_Codes!$AC$111:$AO$111=$E799)*(Work_Codes!$AC$122:$AO$122)*(P$624:P$624))</f>
        <v>0</v>
      </c>
      <c r="Q799" s="81">
        <f ca="1">SUMPRODUCT((Work_Codes!$AC$111:$AO$111=$E799)*(Work_Codes!$AC$122:$AO$122)*(Q$624:Q$624))</f>
        <v>0</v>
      </c>
      <c r="R799" s="81">
        <f ca="1">SUMPRODUCT((Work_Codes!$AC$111:$AO$111=$E799)*(Work_Codes!$AC$122:$AO$122)*(R$624:R$624))</f>
        <v>0</v>
      </c>
      <c r="S799" s="81">
        <f ca="1">SUMPRODUCT((Work_Codes!$AC$111:$AO$111=$E799)*(Work_Codes!$AC$122:$AO$122)*(S$624:S$624))</f>
        <v>0</v>
      </c>
      <c r="T799" s="81">
        <f ca="1">SUMPRODUCT((Work_Codes!$AC$111:$AO$111=$E799)*(Work_Codes!$AC$122:$AO$122)*(T$624:T$624))</f>
        <v>0</v>
      </c>
    </row>
    <row r="800" spans="4:20" outlineLevel="2">
      <c r="E800" s="247" t="str">
        <f>GC!C65</f>
        <v>Augmentation</v>
      </c>
      <c r="F800" s="247"/>
      <c r="G800" s="247"/>
      <c r="H800" s="247"/>
      <c r="I800" s="247"/>
      <c r="J800" s="81">
        <f ca="1">SUMPRODUCT((Work_Codes!$AC$111:$AO$111=$E800)*(Work_Codes!$AC$122:$AO$122)*(J$624:J$624))</f>
        <v>0</v>
      </c>
      <c r="K800" s="81">
        <f ca="1">SUMPRODUCT((Work_Codes!$AC$111:$AO$111=$E800)*(Work_Codes!$AC$122:$AO$122)*(K$624:K$624))</f>
        <v>0</v>
      </c>
      <c r="L800" s="81">
        <f ca="1">SUMPRODUCT((Work_Codes!$AC$111:$AO$111=$E800)*(Work_Codes!$AC$122:$AO$122)*(L$624:L$624))</f>
        <v>0</v>
      </c>
      <c r="M800" s="81">
        <f ca="1">SUMPRODUCT((Work_Codes!$AC$111:$AO$111=$E800)*(Work_Codes!$AC$122:$AO$122)*(M$624:M$624))</f>
        <v>0</v>
      </c>
      <c r="N800" s="81">
        <f ca="1">SUMPRODUCT((Work_Codes!$AC$111:$AO$111=$E800)*(Work_Codes!$AC$122:$AO$122)*(N$624:N$624))</f>
        <v>0</v>
      </c>
      <c r="O800" s="81">
        <f ca="1">SUMPRODUCT((Work_Codes!$AC$111:$AO$111=$E800)*(Work_Codes!$AC$122:$AO$122)*(O$624:O$624))</f>
        <v>0</v>
      </c>
      <c r="P800" s="81">
        <f ca="1">SUMPRODUCT((Work_Codes!$AC$111:$AO$111=$E800)*(Work_Codes!$AC$122:$AO$122)*(P$624:P$624))</f>
        <v>0</v>
      </c>
      <c r="Q800" s="81">
        <f ca="1">SUMPRODUCT((Work_Codes!$AC$111:$AO$111=$E800)*(Work_Codes!$AC$122:$AO$122)*(Q$624:Q$624))</f>
        <v>0</v>
      </c>
      <c r="R800" s="81">
        <f ca="1">SUMPRODUCT((Work_Codes!$AC$111:$AO$111=$E800)*(Work_Codes!$AC$122:$AO$122)*(R$624:R$624))</f>
        <v>0</v>
      </c>
      <c r="S800" s="81">
        <f ca="1">SUMPRODUCT((Work_Codes!$AC$111:$AO$111=$E800)*(Work_Codes!$AC$122:$AO$122)*(S$624:S$624))</f>
        <v>0</v>
      </c>
      <c r="T800" s="81">
        <f ca="1">SUMPRODUCT((Work_Codes!$AC$111:$AO$111=$E800)*(Work_Codes!$AC$122:$AO$122)*(T$624:T$624))</f>
        <v>0</v>
      </c>
    </row>
    <row r="801" spans="2:20" outlineLevel="2">
      <c r="E801" s="247" t="str">
        <f>GC!C66</f>
        <v>IT capex</v>
      </c>
      <c r="F801" s="247"/>
      <c r="G801" s="247"/>
      <c r="H801" s="247"/>
      <c r="I801" s="247"/>
      <c r="J801" s="81">
        <f ca="1">SUMPRODUCT((Work_Codes!$AC$111:$AO$111=$E801)*(Work_Codes!$AC$122:$AO$122)*(J$624:J$624))</f>
        <v>0</v>
      </c>
      <c r="K801" s="81">
        <f ca="1">SUMPRODUCT((Work_Codes!$AC$111:$AO$111=$E801)*(Work_Codes!$AC$122:$AO$122)*(K$624:K$624))</f>
        <v>0</v>
      </c>
      <c r="L801" s="81">
        <f ca="1">SUMPRODUCT((Work_Codes!$AC$111:$AO$111=$E801)*(Work_Codes!$AC$122:$AO$122)*(L$624:L$624))</f>
        <v>0</v>
      </c>
      <c r="M801" s="81">
        <f ca="1">SUMPRODUCT((Work_Codes!$AC$111:$AO$111=$E801)*(Work_Codes!$AC$122:$AO$122)*(M$624:M$624))</f>
        <v>0</v>
      </c>
      <c r="N801" s="81">
        <f ca="1">SUMPRODUCT((Work_Codes!$AC$111:$AO$111=$E801)*(Work_Codes!$AC$122:$AO$122)*(N$624:N$624))</f>
        <v>0</v>
      </c>
      <c r="O801" s="81">
        <f ca="1">SUMPRODUCT((Work_Codes!$AC$111:$AO$111=$E801)*(Work_Codes!$AC$122:$AO$122)*(O$624:O$624))</f>
        <v>0</v>
      </c>
      <c r="P801" s="81">
        <f ca="1">SUMPRODUCT((Work_Codes!$AC$111:$AO$111=$E801)*(Work_Codes!$AC$122:$AO$122)*(P$624:P$624))</f>
        <v>0</v>
      </c>
      <c r="Q801" s="81">
        <f ca="1">SUMPRODUCT((Work_Codes!$AC$111:$AO$111=$E801)*(Work_Codes!$AC$122:$AO$122)*(Q$624:Q$624))</f>
        <v>0</v>
      </c>
      <c r="R801" s="81">
        <f ca="1">SUMPRODUCT((Work_Codes!$AC$111:$AO$111=$E801)*(Work_Codes!$AC$122:$AO$122)*(R$624:R$624))</f>
        <v>0</v>
      </c>
      <c r="S801" s="81">
        <f ca="1">SUMPRODUCT((Work_Codes!$AC$111:$AO$111=$E801)*(Work_Codes!$AC$122:$AO$122)*(S$624:S$624))</f>
        <v>0</v>
      </c>
      <c r="T801" s="81">
        <f ca="1">SUMPRODUCT((Work_Codes!$AC$111:$AO$111=$E801)*(Work_Codes!$AC$122:$AO$122)*(T$624:T$624))</f>
        <v>0</v>
      </c>
    </row>
    <row r="802" spans="2:20" outlineLevel="2">
      <c r="E802" s="247" t="str">
        <f>GC!C67</f>
        <v>SCADA</v>
      </c>
      <c r="F802" s="247"/>
      <c r="G802" s="247"/>
      <c r="H802" s="247"/>
      <c r="I802" s="247"/>
      <c r="J802" s="81">
        <f ca="1">SUMPRODUCT((Work_Codes!$AC$111:$AO$111=$E802)*(Work_Codes!$AC$122:$AO$122)*(J$624:J$624))</f>
        <v>0</v>
      </c>
      <c r="K802" s="81">
        <f ca="1">SUMPRODUCT((Work_Codes!$AC$111:$AO$111=$E802)*(Work_Codes!$AC$122:$AO$122)*(K$624:K$624))</f>
        <v>0</v>
      </c>
      <c r="L802" s="81">
        <f ca="1">SUMPRODUCT((Work_Codes!$AC$111:$AO$111=$E802)*(Work_Codes!$AC$122:$AO$122)*(L$624:L$624))</f>
        <v>0</v>
      </c>
      <c r="M802" s="81">
        <f ca="1">SUMPRODUCT((Work_Codes!$AC$111:$AO$111=$E802)*(Work_Codes!$AC$122:$AO$122)*(M$624:M$624))</f>
        <v>0</v>
      </c>
      <c r="N802" s="81">
        <f ca="1">SUMPRODUCT((Work_Codes!$AC$111:$AO$111=$E802)*(Work_Codes!$AC$122:$AO$122)*(N$624:N$624))</f>
        <v>0</v>
      </c>
      <c r="O802" s="81">
        <f ca="1">SUMPRODUCT((Work_Codes!$AC$111:$AO$111=$E802)*(Work_Codes!$AC$122:$AO$122)*(O$624:O$624))</f>
        <v>0</v>
      </c>
      <c r="P802" s="81">
        <f ca="1">SUMPRODUCT((Work_Codes!$AC$111:$AO$111=$E802)*(Work_Codes!$AC$122:$AO$122)*(P$624:P$624))</f>
        <v>0</v>
      </c>
      <c r="Q802" s="81">
        <f ca="1">SUMPRODUCT((Work_Codes!$AC$111:$AO$111=$E802)*(Work_Codes!$AC$122:$AO$122)*(Q$624:Q$624))</f>
        <v>0</v>
      </c>
      <c r="R802" s="81">
        <f ca="1">SUMPRODUCT((Work_Codes!$AC$111:$AO$111=$E802)*(Work_Codes!$AC$122:$AO$122)*(R$624:R$624))</f>
        <v>0</v>
      </c>
      <c r="S802" s="81">
        <f ca="1">SUMPRODUCT((Work_Codes!$AC$111:$AO$111=$E802)*(Work_Codes!$AC$122:$AO$122)*(S$624:S$624))</f>
        <v>0</v>
      </c>
      <c r="T802" s="81">
        <f ca="1">SUMPRODUCT((Work_Codes!$AC$111:$AO$111=$E802)*(Work_Codes!$AC$122:$AO$122)*(T$624:T$624))</f>
        <v>0</v>
      </c>
    </row>
    <row r="803" spans="2:20" outlineLevel="2">
      <c r="E803" s="247" t="str">
        <f>GC!C68</f>
        <v>Other</v>
      </c>
      <c r="F803" s="247"/>
      <c r="G803" s="247"/>
      <c r="H803" s="247"/>
      <c r="I803" s="247"/>
      <c r="J803" s="81">
        <f ca="1">SUMPRODUCT((Work_Codes!$AC$111:$AO$111=$E803)*(Work_Codes!$AC$122:$AO$122)*(J$624:J$624))</f>
        <v>0</v>
      </c>
      <c r="K803" s="81">
        <f ca="1">SUMPRODUCT((Work_Codes!$AC$111:$AO$111=$E803)*(Work_Codes!$AC$122:$AO$122)*(K$624:K$624))</f>
        <v>0</v>
      </c>
      <c r="L803" s="81">
        <f ca="1">SUMPRODUCT((Work_Codes!$AC$111:$AO$111=$E803)*(Work_Codes!$AC$122:$AO$122)*(L$624:L$624))</f>
        <v>0</v>
      </c>
      <c r="M803" s="81">
        <f ca="1">SUMPRODUCT((Work_Codes!$AC$111:$AO$111=$E803)*(Work_Codes!$AC$122:$AO$122)*(M$624:M$624))</f>
        <v>0</v>
      </c>
      <c r="N803" s="81">
        <f ca="1">SUMPRODUCT((Work_Codes!$AC$111:$AO$111=$E803)*(Work_Codes!$AC$122:$AO$122)*(N$624:N$624))</f>
        <v>0</v>
      </c>
      <c r="O803" s="81">
        <f ca="1">SUMPRODUCT((Work_Codes!$AC$111:$AO$111=$E803)*(Work_Codes!$AC$122:$AO$122)*(O$624:O$624))</f>
        <v>0</v>
      </c>
      <c r="P803" s="81">
        <f ca="1">SUMPRODUCT((Work_Codes!$AC$111:$AO$111=$E803)*(Work_Codes!$AC$122:$AO$122)*(P$624:P$624))</f>
        <v>0</v>
      </c>
      <c r="Q803" s="81">
        <f ca="1">SUMPRODUCT((Work_Codes!$AC$111:$AO$111=$E803)*(Work_Codes!$AC$122:$AO$122)*(Q$624:Q$624))</f>
        <v>0</v>
      </c>
      <c r="R803" s="81">
        <f ca="1">SUMPRODUCT((Work_Codes!$AC$111:$AO$111=$E803)*(Work_Codes!$AC$122:$AO$122)*(R$624:R$624))</f>
        <v>0</v>
      </c>
      <c r="S803" s="81">
        <f ca="1">SUMPRODUCT((Work_Codes!$AC$111:$AO$111=$E803)*(Work_Codes!$AC$122:$AO$122)*(S$624:S$624))</f>
        <v>0</v>
      </c>
      <c r="T803" s="81">
        <f ca="1">SUMPRODUCT((Work_Codes!$AC$111:$AO$111=$E803)*(Work_Codes!$AC$122:$AO$122)*(T$624:T$624))</f>
        <v>0</v>
      </c>
    </row>
    <row r="804" spans="2:20" outlineLevel="2">
      <c r="E804" s="247" t="str">
        <f>GC!C69</f>
        <v>Capitalised Leases</v>
      </c>
      <c r="F804" s="247"/>
      <c r="G804" s="247"/>
      <c r="H804" s="247"/>
      <c r="I804" s="247"/>
      <c r="J804" s="81">
        <f ca="1">SUMPRODUCT((Work_Codes!$AC$111:$AO$111=$E804)*(Work_Codes!$AC$122:$AO$122)*(J$624:J$624))</f>
        <v>0</v>
      </c>
      <c r="K804" s="81">
        <f ca="1">SUMPRODUCT((Work_Codes!$AC$111:$AO$111=$E804)*(Work_Codes!$AC$122:$AO$122)*(K$624:K$624))</f>
        <v>0</v>
      </c>
      <c r="L804" s="81">
        <f ca="1">SUMPRODUCT((Work_Codes!$AC$111:$AO$111=$E804)*(Work_Codes!$AC$122:$AO$122)*(L$624:L$624))</f>
        <v>0</v>
      </c>
      <c r="M804" s="81">
        <f ca="1">SUMPRODUCT((Work_Codes!$AC$111:$AO$111=$E804)*(Work_Codes!$AC$122:$AO$122)*(M$624:M$624))</f>
        <v>0</v>
      </c>
      <c r="N804" s="81">
        <f ca="1">SUMPRODUCT((Work_Codes!$AC$111:$AO$111=$E804)*(Work_Codes!$AC$122:$AO$122)*(N$624:N$624))</f>
        <v>0</v>
      </c>
      <c r="O804" s="81">
        <f ca="1">SUMPRODUCT((Work_Codes!$AC$111:$AO$111=$E804)*(Work_Codes!$AC$122:$AO$122)*(O$624:O$624))</f>
        <v>0</v>
      </c>
      <c r="P804" s="81">
        <f ca="1">SUMPRODUCT((Work_Codes!$AC$111:$AO$111=$E804)*(Work_Codes!$AC$122:$AO$122)*(P$624:P$624))</f>
        <v>0</v>
      </c>
      <c r="Q804" s="81">
        <f ca="1">SUMPRODUCT((Work_Codes!$AC$111:$AO$111=$E804)*(Work_Codes!$AC$122:$AO$122)*(Q$624:Q$624))</f>
        <v>0</v>
      </c>
      <c r="R804" s="81">
        <f ca="1">SUMPRODUCT((Work_Codes!$AC$111:$AO$111=$E804)*(Work_Codes!$AC$122:$AO$122)*(R$624:R$624))</f>
        <v>0</v>
      </c>
      <c r="S804" s="81">
        <f ca="1">SUMPRODUCT((Work_Codes!$AC$111:$AO$111=$E804)*(Work_Codes!$AC$122:$AO$122)*(S$624:S$624))</f>
        <v>0</v>
      </c>
      <c r="T804" s="81">
        <f ca="1">SUMPRODUCT((Work_Codes!$AC$111:$AO$111=$E804)*(Work_Codes!$AC$122:$AO$122)*(T$624:T$624))</f>
        <v>0</v>
      </c>
    </row>
    <row r="805" spans="2:20" outlineLevel="2">
      <c r="E805" s="247" t="str">
        <f>GC!C70</f>
        <v>Gas Extensions - Energy for the Regions</v>
      </c>
      <c r="F805" s="247"/>
      <c r="G805" s="247"/>
      <c r="H805" s="247"/>
      <c r="I805" s="247"/>
      <c r="J805" s="81">
        <f ca="1">SUMPRODUCT((Work_Codes!$AC$111:$AO$111=$E805)*(Work_Codes!$AC$122:$AO$122)*(J$624:J$624))</f>
        <v>0</v>
      </c>
      <c r="K805" s="81">
        <f ca="1">SUMPRODUCT((Work_Codes!$AC$111:$AO$111=$E805)*(Work_Codes!$AC$122:$AO$122)*(K$624:K$624))</f>
        <v>0</v>
      </c>
      <c r="L805" s="81">
        <f ca="1">SUMPRODUCT((Work_Codes!$AC$111:$AO$111=$E805)*(Work_Codes!$AC$122:$AO$122)*(L$624:L$624))</f>
        <v>0</v>
      </c>
      <c r="M805" s="81">
        <f ca="1">SUMPRODUCT((Work_Codes!$AC$111:$AO$111=$E805)*(Work_Codes!$AC$122:$AO$122)*(M$624:M$624))</f>
        <v>0</v>
      </c>
      <c r="N805" s="81">
        <f ca="1">SUMPRODUCT((Work_Codes!$AC$111:$AO$111=$E805)*(Work_Codes!$AC$122:$AO$122)*(N$624:N$624))</f>
        <v>0</v>
      </c>
      <c r="O805" s="81">
        <f ca="1">SUMPRODUCT((Work_Codes!$AC$111:$AO$111=$E805)*(Work_Codes!$AC$122:$AO$122)*(O$624:O$624))</f>
        <v>0</v>
      </c>
      <c r="P805" s="81">
        <f ca="1">SUMPRODUCT((Work_Codes!$AC$111:$AO$111=$E805)*(Work_Codes!$AC$122:$AO$122)*(P$624:P$624))</f>
        <v>0</v>
      </c>
      <c r="Q805" s="81">
        <f ca="1">SUMPRODUCT((Work_Codes!$AC$111:$AO$111=$E805)*(Work_Codes!$AC$122:$AO$122)*(Q$624:Q$624))</f>
        <v>0</v>
      </c>
      <c r="R805" s="81">
        <f ca="1">SUMPRODUCT((Work_Codes!$AC$111:$AO$111=$E805)*(Work_Codes!$AC$122:$AO$122)*(R$624:R$624))</f>
        <v>0</v>
      </c>
      <c r="S805" s="81">
        <f ca="1">SUMPRODUCT((Work_Codes!$AC$111:$AO$111=$E805)*(Work_Codes!$AC$122:$AO$122)*(S$624:S$624))</f>
        <v>0</v>
      </c>
      <c r="T805" s="81">
        <f ca="1">SUMPRODUCT((Work_Codes!$AC$111:$AO$111=$E805)*(Work_Codes!$AC$122:$AO$122)*(T$624:T$624))</f>
        <v>0</v>
      </c>
    </row>
    <row r="806" spans="2:20" outlineLevel="2">
      <c r="E806" s="247" t="str">
        <f>GC!C71</f>
        <v>Gas Extensions - Other</v>
      </c>
      <c r="F806" s="247"/>
      <c r="G806" s="247"/>
      <c r="H806" s="247"/>
      <c r="I806" s="247"/>
      <c r="J806" s="81">
        <f ca="1">SUMPRODUCT((Work_Codes!$AC$111:$AO$111=$E806)*(Work_Codes!$AC$122:$AO$122)*(J$624:J$624))</f>
        <v>0</v>
      </c>
      <c r="K806" s="81">
        <f ca="1">SUMPRODUCT((Work_Codes!$AC$111:$AO$111=$E806)*(Work_Codes!$AC$122:$AO$122)*(K$624:K$624))</f>
        <v>0</v>
      </c>
      <c r="L806" s="81">
        <f ca="1">SUMPRODUCT((Work_Codes!$AC$111:$AO$111=$E806)*(Work_Codes!$AC$122:$AO$122)*(L$624:L$624))</f>
        <v>0</v>
      </c>
      <c r="M806" s="81">
        <f ca="1">SUMPRODUCT((Work_Codes!$AC$111:$AO$111=$E806)*(Work_Codes!$AC$122:$AO$122)*(M$624:M$624))</f>
        <v>0</v>
      </c>
      <c r="N806" s="81">
        <f ca="1">SUMPRODUCT((Work_Codes!$AC$111:$AO$111=$E806)*(Work_Codes!$AC$122:$AO$122)*(N$624:N$624))</f>
        <v>0</v>
      </c>
      <c r="O806" s="81">
        <f ca="1">SUMPRODUCT((Work_Codes!$AC$111:$AO$111=$E806)*(Work_Codes!$AC$122:$AO$122)*(O$624:O$624))</f>
        <v>0</v>
      </c>
      <c r="P806" s="81">
        <f ca="1">SUMPRODUCT((Work_Codes!$AC$111:$AO$111=$E806)*(Work_Codes!$AC$122:$AO$122)*(P$624:P$624))</f>
        <v>0</v>
      </c>
      <c r="Q806" s="81">
        <f ca="1">SUMPRODUCT((Work_Codes!$AC$111:$AO$111=$E806)*(Work_Codes!$AC$122:$AO$122)*(Q$624:Q$624))</f>
        <v>0</v>
      </c>
      <c r="R806" s="81">
        <f ca="1">SUMPRODUCT((Work_Codes!$AC$111:$AO$111=$E806)*(Work_Codes!$AC$122:$AO$122)*(R$624:R$624))</f>
        <v>0</v>
      </c>
      <c r="S806" s="81">
        <f ca="1">SUMPRODUCT((Work_Codes!$AC$111:$AO$111=$E806)*(Work_Codes!$AC$122:$AO$122)*(S$624:S$624))</f>
        <v>0</v>
      </c>
      <c r="T806" s="81">
        <f ca="1">SUMPRODUCT((Work_Codes!$AC$111:$AO$111=$E806)*(Work_Codes!$AC$122:$AO$122)*(T$624:T$624))</f>
        <v>0</v>
      </c>
    </row>
    <row r="807" spans="2:20" outlineLevel="2">
      <c r="E807" s="247" t="str">
        <f>GC!C72</f>
        <v>Customer contributions</v>
      </c>
      <c r="F807" s="247"/>
      <c r="G807" s="247"/>
      <c r="H807" s="247"/>
      <c r="I807" s="247"/>
      <c r="J807" s="81">
        <f ca="1">SUMPRODUCT((Work_Codes!$AC$111:$AO$111=$E807)*(Work_Codes!$AC$122:$AO$122)*(J$624:J$624))</f>
        <v>0</v>
      </c>
      <c r="K807" s="81">
        <f ca="1">SUMPRODUCT((Work_Codes!$AC$111:$AO$111=$E807)*(Work_Codes!$AC$122:$AO$122)*(K$624:K$624))</f>
        <v>0</v>
      </c>
      <c r="L807" s="81">
        <f ca="1">SUMPRODUCT((Work_Codes!$AC$111:$AO$111=$E807)*(Work_Codes!$AC$122:$AO$122)*(L$624:L$624))</f>
        <v>0</v>
      </c>
      <c r="M807" s="81">
        <f ca="1">SUMPRODUCT((Work_Codes!$AC$111:$AO$111=$E807)*(Work_Codes!$AC$122:$AO$122)*(M$624:M$624))</f>
        <v>0</v>
      </c>
      <c r="N807" s="81">
        <f ca="1">SUMPRODUCT((Work_Codes!$AC$111:$AO$111=$E807)*(Work_Codes!$AC$122:$AO$122)*(N$624:N$624))</f>
        <v>0</v>
      </c>
      <c r="O807" s="81">
        <f ca="1">SUMPRODUCT((Work_Codes!$AC$111:$AO$111=$E807)*(Work_Codes!$AC$122:$AO$122)*(O$624:O$624))</f>
        <v>0</v>
      </c>
      <c r="P807" s="81">
        <f ca="1">SUMPRODUCT((Work_Codes!$AC$111:$AO$111=$E807)*(Work_Codes!$AC$122:$AO$122)*(P$624:P$624))</f>
        <v>0</v>
      </c>
      <c r="Q807" s="81">
        <f ca="1">SUMPRODUCT((Work_Codes!$AC$111:$AO$111=$E807)*(Work_Codes!$AC$122:$AO$122)*(Q$624:Q$624))</f>
        <v>0</v>
      </c>
      <c r="R807" s="81">
        <f ca="1">SUMPRODUCT((Work_Codes!$AC$111:$AO$111=$E807)*(Work_Codes!$AC$122:$AO$122)*(R$624:R$624))</f>
        <v>0</v>
      </c>
      <c r="S807" s="81">
        <f ca="1">SUMPRODUCT((Work_Codes!$AC$111:$AO$111=$E807)*(Work_Codes!$AC$122:$AO$122)*(S$624:S$624))</f>
        <v>0</v>
      </c>
      <c r="T807" s="81">
        <f ca="1">SUMPRODUCT((Work_Codes!$AC$111:$AO$111=$E807)*(Work_Codes!$AC$122:$AO$122)*(T$624:T$624))</f>
        <v>0</v>
      </c>
    </row>
    <row r="808" spans="2:20" outlineLevel="2">
      <c r="E808" s="247" t="str">
        <f>GC!C73</f>
        <v>Government contributions</v>
      </c>
      <c r="F808" s="247"/>
      <c r="G808" s="247"/>
      <c r="H808" s="247"/>
      <c r="I808" s="247"/>
      <c r="J808" s="81">
        <f ca="1">SUMPRODUCT((Work_Codes!$AC$111:$AO$111=$E808)*(Work_Codes!$AC$122:$AO$122)*(J$624:J$624))</f>
        <v>0</v>
      </c>
      <c r="K808" s="81">
        <f ca="1">SUMPRODUCT((Work_Codes!$AC$111:$AO$111=$E808)*(Work_Codes!$AC$122:$AO$122)*(K$624:K$624))</f>
        <v>0</v>
      </c>
      <c r="L808" s="81">
        <f ca="1">SUMPRODUCT((Work_Codes!$AC$111:$AO$111=$E808)*(Work_Codes!$AC$122:$AO$122)*(L$624:L$624))</f>
        <v>0</v>
      </c>
      <c r="M808" s="81">
        <f ca="1">SUMPRODUCT((Work_Codes!$AC$111:$AO$111=$E808)*(Work_Codes!$AC$122:$AO$122)*(M$624:M$624))</f>
        <v>0</v>
      </c>
      <c r="N808" s="81">
        <f ca="1">SUMPRODUCT((Work_Codes!$AC$111:$AO$111=$E808)*(Work_Codes!$AC$122:$AO$122)*(N$624:N$624))</f>
        <v>0</v>
      </c>
      <c r="O808" s="81">
        <f ca="1">SUMPRODUCT((Work_Codes!$AC$111:$AO$111=$E808)*(Work_Codes!$AC$122:$AO$122)*(O$624:O$624))</f>
        <v>0</v>
      </c>
      <c r="P808" s="81">
        <f ca="1">SUMPRODUCT((Work_Codes!$AC$111:$AO$111=$E808)*(Work_Codes!$AC$122:$AO$122)*(P$624:P$624))</f>
        <v>0</v>
      </c>
      <c r="Q808" s="81">
        <f ca="1">SUMPRODUCT((Work_Codes!$AC$111:$AO$111=$E808)*(Work_Codes!$AC$122:$AO$122)*(Q$624:Q$624))</f>
        <v>0</v>
      </c>
      <c r="R808" s="81">
        <f ca="1">SUMPRODUCT((Work_Codes!$AC$111:$AO$111=$E808)*(Work_Codes!$AC$122:$AO$122)*(R$624:R$624))</f>
        <v>0</v>
      </c>
      <c r="S808" s="81">
        <f ca="1">SUMPRODUCT((Work_Codes!$AC$111:$AO$111=$E808)*(Work_Codes!$AC$122:$AO$122)*(S$624:S$624))</f>
        <v>0</v>
      </c>
      <c r="T808" s="81">
        <f ca="1">SUMPRODUCT((Work_Codes!$AC$111:$AO$111=$E808)*(Work_Codes!$AC$122:$AO$122)*(T$624:T$624))</f>
        <v>0</v>
      </c>
    </row>
    <row r="809" spans="2:20" outlineLevel="2">
      <c r="E809" s="249" t="str">
        <f t="shared" ref="E809" si="79">"Total "&amp;D793</f>
        <v>Total Customer Contributions</v>
      </c>
      <c r="F809" s="249"/>
      <c r="G809" s="249"/>
      <c r="H809" s="249"/>
      <c r="I809" s="249"/>
      <c r="J809" s="82">
        <f t="shared" ref="J809:T809" ca="1" si="80">SUM(J795:J808)</f>
        <v>0</v>
      </c>
      <c r="K809" s="82">
        <f t="shared" ca="1" si="80"/>
        <v>0</v>
      </c>
      <c r="L809" s="82">
        <f t="shared" ca="1" si="80"/>
        <v>0</v>
      </c>
      <c r="M809" s="82">
        <f t="shared" ca="1" si="80"/>
        <v>0</v>
      </c>
      <c r="N809" s="82">
        <f t="shared" ca="1" si="80"/>
        <v>0</v>
      </c>
      <c r="O809" s="82">
        <f t="shared" ca="1" si="80"/>
        <v>0</v>
      </c>
      <c r="P809" s="82">
        <f t="shared" ca="1" si="80"/>
        <v>0</v>
      </c>
      <c r="Q809" s="82">
        <f t="shared" ca="1" si="80"/>
        <v>0</v>
      </c>
      <c r="R809" s="82">
        <f t="shared" ca="1" si="80"/>
        <v>0</v>
      </c>
      <c r="S809" s="82">
        <f t="shared" ca="1" si="80"/>
        <v>0</v>
      </c>
      <c r="T809" s="82">
        <f t="shared" ca="1" si="80"/>
        <v>0</v>
      </c>
    </row>
    <row r="810" spans="2:20" outlineLevel="2">
      <c r="B810" s="12"/>
      <c r="C810" s="12"/>
      <c r="D810" s="12"/>
      <c r="E810" s="12"/>
      <c r="F810" s="12"/>
      <c r="G810" s="12"/>
      <c r="H810" s="12"/>
      <c r="I810" s="12"/>
      <c r="J810" s="12"/>
      <c r="K810" s="12"/>
      <c r="L810" s="12"/>
      <c r="M810" s="12"/>
      <c r="N810" s="12"/>
      <c r="O810" s="12"/>
      <c r="P810" s="12"/>
      <c r="Q810" s="12"/>
      <c r="R810" s="12"/>
      <c r="S810" s="12"/>
      <c r="T810" s="12"/>
    </row>
    <row r="811" spans="2:20" outlineLevel="2"/>
    <row r="812" spans="2:20" outlineLevel="2">
      <c r="C812" s="37" t="s">
        <v>311</v>
      </c>
    </row>
    <row r="813" spans="2:20" ht="5.9" customHeight="1" outlineLevel="2"/>
    <row r="814" spans="2:20" outlineLevel="2">
      <c r="D814" s="37" t="s">
        <v>215</v>
      </c>
    </row>
    <row r="815" spans="2:20" ht="5.9" customHeight="1" outlineLevel="2"/>
    <row r="816" spans="2:20" outlineLevel="2">
      <c r="E816" s="247" t="str">
        <f>GC!C78</f>
        <v>Mains &amp; Services</v>
      </c>
      <c r="F816" s="247"/>
      <c r="G816" s="247"/>
      <c r="H816" s="247"/>
      <c r="I816" s="247"/>
      <c r="J816" s="81">
        <f ca="1">SUMPRODUCT((Work_Codes!$AR$111:$AX$111=$E816)*(Work_Codes!$AR$114:$AX$118)*(J$663:J$667))</f>
        <v>0</v>
      </c>
      <c r="K816" s="81">
        <f ca="1">SUMPRODUCT((Work_Codes!$AR$111:$AX$111=$E816)*(Work_Codes!$AR$114:$AX$118)*(K$663:K$667))</f>
        <v>0</v>
      </c>
      <c r="L816" s="81">
        <f ca="1">SUMPRODUCT((Work_Codes!$AR$111:$AX$111=$E816)*(Work_Codes!$AR$114:$AX$118)*(L$663:L$667))</f>
        <v>0</v>
      </c>
      <c r="M816" s="81">
        <f ca="1">SUMPRODUCT((Work_Codes!$AR$111:$AX$111=$E816)*(Work_Codes!$AR$114:$AX$118)*(M$663:M$667))</f>
        <v>0</v>
      </c>
      <c r="N816" s="81">
        <f ca="1">SUMPRODUCT((Work_Codes!$AR$111:$AX$111=$E816)*(Work_Codes!$AR$114:$AX$118)*(N$663:N$667))</f>
        <v>2214168.0266666687</v>
      </c>
      <c r="O816" s="81">
        <f ca="1">SUMPRODUCT((Work_Codes!$AR$111:$AX$111=$E816)*(Work_Codes!$AR$114:$AX$118)*(O$663:O$667))</f>
        <v>1011795</v>
      </c>
      <c r="P816" s="81">
        <f ca="1">SUMPRODUCT((Work_Codes!$AR$111:$AX$111=$E816)*(Work_Codes!$AR$114:$AX$118)*(P$663:P$667))</f>
        <v>2023652.7519431994</v>
      </c>
      <c r="Q816" s="81">
        <f ca="1">SUMPRODUCT((Work_Codes!$AR$111:$AX$111=$E816)*(Work_Codes!$AR$114:$AX$118)*(Q$663:Q$667))</f>
        <v>1821342.736250926</v>
      </c>
      <c r="R816" s="81">
        <f ca="1">SUMPRODUCT((Work_Codes!$AR$111:$AX$111=$E816)*(Work_Codes!$AR$114:$AX$118)*(R$663:R$667))</f>
        <v>1639295.2538116919</v>
      </c>
      <c r="S816" s="81">
        <f ca="1">SUMPRODUCT((Work_Codes!$AR$111:$AX$111=$E816)*(Work_Codes!$AR$114:$AX$118)*(S$663:S$667))</f>
        <v>1475460.7129190168</v>
      </c>
      <c r="T816" s="81">
        <f ca="1">SUMPRODUCT((Work_Codes!$AR$111:$AX$111=$E816)*(Work_Codes!$AR$114:$AX$118)*(T$663:T$667))</f>
        <v>1328019.2062162312</v>
      </c>
    </row>
    <row r="817" spans="4:20" outlineLevel="2">
      <c r="E817" s="247" t="str">
        <f>GC!C79</f>
        <v>Meters Domestic</v>
      </c>
      <c r="F817" s="247"/>
      <c r="G817" s="247"/>
      <c r="H817" s="247"/>
      <c r="I817" s="247"/>
      <c r="J817" s="81">
        <f ca="1">SUMPRODUCT((Work_Codes!$AR$111:$AX$111=$E817)*(Work_Codes!$AR$114:$AX$118)*(J$663:J$667))</f>
        <v>0</v>
      </c>
      <c r="K817" s="81">
        <f ca="1">SUMPRODUCT((Work_Codes!$AR$111:$AX$111=$E817)*(Work_Codes!$AR$114:$AX$118)*(K$663:K$667))</f>
        <v>0</v>
      </c>
      <c r="L817" s="81">
        <f ca="1">SUMPRODUCT((Work_Codes!$AR$111:$AX$111=$E817)*(Work_Codes!$AR$114:$AX$118)*(L$663:L$667))</f>
        <v>0</v>
      </c>
      <c r="M817" s="81">
        <f ca="1">SUMPRODUCT((Work_Codes!$AR$111:$AX$111=$E817)*(Work_Codes!$AR$114:$AX$118)*(M$663:M$667))</f>
        <v>0</v>
      </c>
      <c r="N817" s="81">
        <f ca="1">SUMPRODUCT((Work_Codes!$AR$111:$AX$111=$E817)*(Work_Codes!$AR$114:$AX$118)*(N$663:N$667))</f>
        <v>0</v>
      </c>
      <c r="O817" s="81">
        <f ca="1">SUMPRODUCT((Work_Codes!$AR$111:$AX$111=$E817)*(Work_Codes!$AR$114:$AX$118)*(O$663:O$667))</f>
        <v>0</v>
      </c>
      <c r="P817" s="81">
        <f ca="1">SUMPRODUCT((Work_Codes!$AR$111:$AX$111=$E817)*(Work_Codes!$AR$114:$AX$118)*(P$663:P$667))</f>
        <v>0</v>
      </c>
      <c r="Q817" s="81">
        <f ca="1">SUMPRODUCT((Work_Codes!$AR$111:$AX$111=$E817)*(Work_Codes!$AR$114:$AX$118)*(Q$663:Q$667))</f>
        <v>0</v>
      </c>
      <c r="R817" s="81">
        <f ca="1">SUMPRODUCT((Work_Codes!$AR$111:$AX$111=$E817)*(Work_Codes!$AR$114:$AX$118)*(R$663:R$667))</f>
        <v>0</v>
      </c>
      <c r="S817" s="81">
        <f ca="1">SUMPRODUCT((Work_Codes!$AR$111:$AX$111=$E817)*(Work_Codes!$AR$114:$AX$118)*(S$663:S$667))</f>
        <v>0</v>
      </c>
      <c r="T817" s="81">
        <f ca="1">SUMPRODUCT((Work_Codes!$AR$111:$AX$111=$E817)*(Work_Codes!$AR$114:$AX$118)*(T$663:T$667))</f>
        <v>0</v>
      </c>
    </row>
    <row r="818" spans="4:20" outlineLevel="2">
      <c r="E818" s="247" t="str">
        <f>GC!C80</f>
        <v>Meters Industrial &amp; Commercial</v>
      </c>
      <c r="F818" s="247"/>
      <c r="G818" s="247"/>
      <c r="H818" s="247"/>
      <c r="I818" s="247"/>
      <c r="J818" s="81">
        <f ca="1">SUMPRODUCT((Work_Codes!$AR$111:$AX$111=$E818)*(Work_Codes!$AR$114:$AX$118)*(J$663:J$667))</f>
        <v>0</v>
      </c>
      <c r="K818" s="81">
        <f ca="1">SUMPRODUCT((Work_Codes!$AR$111:$AX$111=$E818)*(Work_Codes!$AR$114:$AX$118)*(K$663:K$667))</f>
        <v>0</v>
      </c>
      <c r="L818" s="81">
        <f ca="1">SUMPRODUCT((Work_Codes!$AR$111:$AX$111=$E818)*(Work_Codes!$AR$114:$AX$118)*(L$663:L$667))</f>
        <v>0</v>
      </c>
      <c r="M818" s="81">
        <f ca="1">SUMPRODUCT((Work_Codes!$AR$111:$AX$111=$E818)*(Work_Codes!$AR$114:$AX$118)*(M$663:M$667))</f>
        <v>0</v>
      </c>
      <c r="N818" s="81">
        <f ca="1">SUMPRODUCT((Work_Codes!$AR$111:$AX$111=$E818)*(Work_Codes!$AR$114:$AX$118)*(N$663:N$667))</f>
        <v>0</v>
      </c>
      <c r="O818" s="81">
        <f ca="1">SUMPRODUCT((Work_Codes!$AR$111:$AX$111=$E818)*(Work_Codes!$AR$114:$AX$118)*(O$663:O$667))</f>
        <v>0</v>
      </c>
      <c r="P818" s="81">
        <f ca="1">SUMPRODUCT((Work_Codes!$AR$111:$AX$111=$E818)*(Work_Codes!$AR$114:$AX$118)*(P$663:P$667))</f>
        <v>0</v>
      </c>
      <c r="Q818" s="81">
        <f ca="1">SUMPRODUCT((Work_Codes!$AR$111:$AX$111=$E818)*(Work_Codes!$AR$114:$AX$118)*(Q$663:Q$667))</f>
        <v>0</v>
      </c>
      <c r="R818" s="81">
        <f ca="1">SUMPRODUCT((Work_Codes!$AR$111:$AX$111=$E818)*(Work_Codes!$AR$114:$AX$118)*(R$663:R$667))</f>
        <v>0</v>
      </c>
      <c r="S818" s="81">
        <f ca="1">SUMPRODUCT((Work_Codes!$AR$111:$AX$111=$E818)*(Work_Codes!$AR$114:$AX$118)*(S$663:S$667))</f>
        <v>0</v>
      </c>
      <c r="T818" s="81">
        <f ca="1">SUMPRODUCT((Work_Codes!$AR$111:$AX$111=$E818)*(Work_Codes!$AR$114:$AX$118)*(T$663:T$667))</f>
        <v>0</v>
      </c>
    </row>
    <row r="819" spans="4:20" outlineLevel="2">
      <c r="E819" s="247" t="str">
        <f>GC!C81</f>
        <v>Buildings</v>
      </c>
      <c r="F819" s="247"/>
      <c r="G819" s="247"/>
      <c r="H819" s="247"/>
      <c r="I819" s="247"/>
      <c r="J819" s="81">
        <f ca="1">SUMPRODUCT((Work_Codes!$AR$111:$AX$111=$E819)*(Work_Codes!$AR$114:$AX$118)*(J$663:J$667))</f>
        <v>0</v>
      </c>
      <c r="K819" s="81">
        <f ca="1">SUMPRODUCT((Work_Codes!$AR$111:$AX$111=$E819)*(Work_Codes!$AR$114:$AX$118)*(K$663:K$667))</f>
        <v>0</v>
      </c>
      <c r="L819" s="81">
        <f ca="1">SUMPRODUCT((Work_Codes!$AR$111:$AX$111=$E819)*(Work_Codes!$AR$114:$AX$118)*(L$663:L$667))</f>
        <v>0</v>
      </c>
      <c r="M819" s="81">
        <f ca="1">SUMPRODUCT((Work_Codes!$AR$111:$AX$111=$E819)*(Work_Codes!$AR$114:$AX$118)*(M$663:M$667))</f>
        <v>0</v>
      </c>
      <c r="N819" s="81">
        <f ca="1">SUMPRODUCT((Work_Codes!$AR$111:$AX$111=$E819)*(Work_Codes!$AR$114:$AX$118)*(N$663:N$667))</f>
        <v>0</v>
      </c>
      <c r="O819" s="81">
        <f ca="1">SUMPRODUCT((Work_Codes!$AR$111:$AX$111=$E819)*(Work_Codes!$AR$114:$AX$118)*(O$663:O$667))</f>
        <v>0</v>
      </c>
      <c r="P819" s="81">
        <f ca="1">SUMPRODUCT((Work_Codes!$AR$111:$AX$111=$E819)*(Work_Codes!$AR$114:$AX$118)*(P$663:P$667))</f>
        <v>0</v>
      </c>
      <c r="Q819" s="81">
        <f ca="1">SUMPRODUCT((Work_Codes!$AR$111:$AX$111=$E819)*(Work_Codes!$AR$114:$AX$118)*(Q$663:Q$667))</f>
        <v>0</v>
      </c>
      <c r="R819" s="81">
        <f ca="1">SUMPRODUCT((Work_Codes!$AR$111:$AX$111=$E819)*(Work_Codes!$AR$114:$AX$118)*(R$663:R$667))</f>
        <v>0</v>
      </c>
      <c r="S819" s="81">
        <f ca="1">SUMPRODUCT((Work_Codes!$AR$111:$AX$111=$E819)*(Work_Codes!$AR$114:$AX$118)*(S$663:S$667))</f>
        <v>0</v>
      </c>
      <c r="T819" s="81">
        <f ca="1">SUMPRODUCT((Work_Codes!$AR$111:$AX$111=$E819)*(Work_Codes!$AR$114:$AX$118)*(T$663:T$667))</f>
        <v>0</v>
      </c>
    </row>
    <row r="820" spans="4:20" outlineLevel="2">
      <c r="E820" s="247" t="str">
        <f>GC!C82</f>
        <v>Other Assets</v>
      </c>
      <c r="F820" s="247"/>
      <c r="G820" s="247"/>
      <c r="H820" s="247"/>
      <c r="I820" s="247"/>
      <c r="J820" s="81">
        <f ca="1">SUMPRODUCT((Work_Codes!$AR$111:$AX$111=$E820)*(Work_Codes!$AR$114:$AX$118)*(J$663:J$667))</f>
        <v>0</v>
      </c>
      <c r="K820" s="81">
        <f ca="1">SUMPRODUCT((Work_Codes!$AR$111:$AX$111=$E820)*(Work_Codes!$AR$114:$AX$118)*(K$663:K$667))</f>
        <v>0</v>
      </c>
      <c r="L820" s="81">
        <f ca="1">SUMPRODUCT((Work_Codes!$AR$111:$AX$111=$E820)*(Work_Codes!$AR$114:$AX$118)*(L$663:L$667))</f>
        <v>0</v>
      </c>
      <c r="M820" s="81">
        <f ca="1">SUMPRODUCT((Work_Codes!$AR$111:$AX$111=$E820)*(Work_Codes!$AR$114:$AX$118)*(M$663:M$667))</f>
        <v>0</v>
      </c>
      <c r="N820" s="81">
        <f ca="1">SUMPRODUCT((Work_Codes!$AR$111:$AX$111=$E820)*(Work_Codes!$AR$114:$AX$118)*(N$663:N$667))</f>
        <v>0</v>
      </c>
      <c r="O820" s="81">
        <f ca="1">SUMPRODUCT((Work_Codes!$AR$111:$AX$111=$E820)*(Work_Codes!$AR$114:$AX$118)*(O$663:O$667))</f>
        <v>0</v>
      </c>
      <c r="P820" s="81">
        <f ca="1">SUMPRODUCT((Work_Codes!$AR$111:$AX$111=$E820)*(Work_Codes!$AR$114:$AX$118)*(P$663:P$667))</f>
        <v>0</v>
      </c>
      <c r="Q820" s="81">
        <f ca="1">SUMPRODUCT((Work_Codes!$AR$111:$AX$111=$E820)*(Work_Codes!$AR$114:$AX$118)*(Q$663:Q$667))</f>
        <v>0</v>
      </c>
      <c r="R820" s="81">
        <f ca="1">SUMPRODUCT((Work_Codes!$AR$111:$AX$111=$E820)*(Work_Codes!$AR$114:$AX$118)*(R$663:R$667))</f>
        <v>0</v>
      </c>
      <c r="S820" s="81">
        <f ca="1">SUMPRODUCT((Work_Codes!$AR$111:$AX$111=$E820)*(Work_Codes!$AR$114:$AX$118)*(S$663:S$667))</f>
        <v>0</v>
      </c>
      <c r="T820" s="81">
        <f ca="1">SUMPRODUCT((Work_Codes!$AR$111:$AX$111=$E820)*(Work_Codes!$AR$114:$AX$118)*(T$663:T$667))</f>
        <v>0</v>
      </c>
    </row>
    <row r="821" spans="4:20" outlineLevel="2">
      <c r="E821" s="247" t="str">
        <f>GC!C83</f>
        <v>Repairs</v>
      </c>
      <c r="F821" s="247"/>
      <c r="G821" s="247"/>
      <c r="H821" s="247"/>
      <c r="I821" s="247"/>
      <c r="J821" s="81">
        <f ca="1">SUMPRODUCT((Work_Codes!$AR$111:$AX$111=$E821)*(Work_Codes!$AR$114:$AX$118)*(J$663:J$667))</f>
        <v>0</v>
      </c>
      <c r="K821" s="81">
        <f ca="1">SUMPRODUCT((Work_Codes!$AR$111:$AX$111=$E821)*(Work_Codes!$AR$114:$AX$118)*(K$663:K$667))</f>
        <v>0</v>
      </c>
      <c r="L821" s="81">
        <f ca="1">SUMPRODUCT((Work_Codes!$AR$111:$AX$111=$E821)*(Work_Codes!$AR$114:$AX$118)*(L$663:L$667))</f>
        <v>0</v>
      </c>
      <c r="M821" s="81">
        <f ca="1">SUMPRODUCT((Work_Codes!$AR$111:$AX$111=$E821)*(Work_Codes!$AR$114:$AX$118)*(M$663:M$667))</f>
        <v>0</v>
      </c>
      <c r="N821" s="81">
        <f ca="1">SUMPRODUCT((Work_Codes!$AR$111:$AX$111=$E821)*(Work_Codes!$AR$114:$AX$118)*(N$663:N$667))</f>
        <v>0</v>
      </c>
      <c r="O821" s="81">
        <f ca="1">SUMPRODUCT((Work_Codes!$AR$111:$AX$111=$E821)*(Work_Codes!$AR$114:$AX$118)*(O$663:O$667))</f>
        <v>0</v>
      </c>
      <c r="P821" s="81">
        <f ca="1">SUMPRODUCT((Work_Codes!$AR$111:$AX$111=$E821)*(Work_Codes!$AR$114:$AX$118)*(P$663:P$667))</f>
        <v>0</v>
      </c>
      <c r="Q821" s="81">
        <f ca="1">SUMPRODUCT((Work_Codes!$AR$111:$AX$111=$E821)*(Work_Codes!$AR$114:$AX$118)*(Q$663:Q$667))</f>
        <v>0</v>
      </c>
      <c r="R821" s="81">
        <f ca="1">SUMPRODUCT((Work_Codes!$AR$111:$AX$111=$E821)*(Work_Codes!$AR$114:$AX$118)*(R$663:R$667))</f>
        <v>0</v>
      </c>
      <c r="S821" s="81">
        <f ca="1">SUMPRODUCT((Work_Codes!$AR$111:$AX$111=$E821)*(Work_Codes!$AR$114:$AX$118)*(S$663:S$667))</f>
        <v>0</v>
      </c>
      <c r="T821" s="81">
        <f ca="1">SUMPRODUCT((Work_Codes!$AR$111:$AX$111=$E821)*(Work_Codes!$AR$114:$AX$118)*(T$663:T$667))</f>
        <v>0</v>
      </c>
    </row>
    <row r="822" spans="4:20" outlineLevel="2">
      <c r="E822" s="247" t="str">
        <f>GC!C84</f>
        <v>Land</v>
      </c>
      <c r="F822" s="247"/>
      <c r="G822" s="247"/>
      <c r="H822" s="247"/>
      <c r="I822" s="247"/>
      <c r="J822" s="81">
        <f ca="1">SUMPRODUCT((Work_Codes!$AR$111:$AX$111=$E822)*(Work_Codes!$AR$114:$AX$118)*(J$663:J$667))</f>
        <v>0</v>
      </c>
      <c r="K822" s="81">
        <f ca="1">SUMPRODUCT((Work_Codes!$AR$111:$AX$111=$E822)*(Work_Codes!$AR$114:$AX$118)*(K$663:K$667))</f>
        <v>0</v>
      </c>
      <c r="L822" s="81">
        <f ca="1">SUMPRODUCT((Work_Codes!$AR$111:$AX$111=$E822)*(Work_Codes!$AR$114:$AX$118)*(L$663:L$667))</f>
        <v>0</v>
      </c>
      <c r="M822" s="81">
        <f ca="1">SUMPRODUCT((Work_Codes!$AR$111:$AX$111=$E822)*(Work_Codes!$AR$114:$AX$118)*(M$663:M$667))</f>
        <v>0</v>
      </c>
      <c r="N822" s="81">
        <f ca="1">SUMPRODUCT((Work_Codes!$AR$111:$AX$111=$E822)*(Work_Codes!$AR$114:$AX$118)*(N$663:N$667))</f>
        <v>0</v>
      </c>
      <c r="O822" s="81">
        <f ca="1">SUMPRODUCT((Work_Codes!$AR$111:$AX$111=$E822)*(Work_Codes!$AR$114:$AX$118)*(O$663:O$667))</f>
        <v>0</v>
      </c>
      <c r="P822" s="81">
        <f ca="1">SUMPRODUCT((Work_Codes!$AR$111:$AX$111=$E822)*(Work_Codes!$AR$114:$AX$118)*(P$663:P$667))</f>
        <v>0</v>
      </c>
      <c r="Q822" s="81">
        <f ca="1">SUMPRODUCT((Work_Codes!$AR$111:$AX$111=$E822)*(Work_Codes!$AR$114:$AX$118)*(Q$663:Q$667))</f>
        <v>0</v>
      </c>
      <c r="R822" s="81">
        <f ca="1">SUMPRODUCT((Work_Codes!$AR$111:$AX$111=$E822)*(Work_Codes!$AR$114:$AX$118)*(R$663:R$667))</f>
        <v>0</v>
      </c>
      <c r="S822" s="81">
        <f ca="1">SUMPRODUCT((Work_Codes!$AR$111:$AX$111=$E822)*(Work_Codes!$AR$114:$AX$118)*(S$663:S$667))</f>
        <v>0</v>
      </c>
      <c r="T822" s="81">
        <f ca="1">SUMPRODUCT((Work_Codes!$AR$111:$AX$111=$E822)*(Work_Codes!$AR$114:$AX$118)*(T$663:T$667))</f>
        <v>0</v>
      </c>
    </row>
    <row r="823" spans="4:20" outlineLevel="2">
      <c r="E823" s="249" t="str">
        <f>"Total "&amp;D814</f>
        <v>Total Direct Costs</v>
      </c>
      <c r="F823" s="249"/>
      <c r="G823" s="249"/>
      <c r="H823" s="249"/>
      <c r="I823" s="249"/>
      <c r="J823" s="82">
        <f t="shared" ref="J823:T823" ca="1" si="81">SUM(J816:J822)</f>
        <v>0</v>
      </c>
      <c r="K823" s="82">
        <f t="shared" ca="1" si="81"/>
        <v>0</v>
      </c>
      <c r="L823" s="82">
        <f t="shared" ca="1" si="81"/>
        <v>0</v>
      </c>
      <c r="M823" s="82">
        <f t="shared" ca="1" si="81"/>
        <v>0</v>
      </c>
      <c r="N823" s="82">
        <f t="shared" ca="1" si="81"/>
        <v>2214168.0266666687</v>
      </c>
      <c r="O823" s="82">
        <f t="shared" ca="1" si="81"/>
        <v>1011795</v>
      </c>
      <c r="P823" s="82">
        <f t="shared" ca="1" si="81"/>
        <v>2023652.7519431994</v>
      </c>
      <c r="Q823" s="82">
        <f t="shared" ca="1" si="81"/>
        <v>1821342.736250926</v>
      </c>
      <c r="R823" s="82">
        <f t="shared" ca="1" si="81"/>
        <v>1639295.2538116919</v>
      </c>
      <c r="S823" s="82">
        <f t="shared" ca="1" si="81"/>
        <v>1475460.7129190168</v>
      </c>
      <c r="T823" s="82">
        <f t="shared" ca="1" si="81"/>
        <v>1328019.2062162312</v>
      </c>
    </row>
    <row r="824" spans="4:20" outlineLevel="2"/>
    <row r="825" spans="4:20" outlineLevel="2">
      <c r="D825" s="37" t="s">
        <v>313</v>
      </c>
    </row>
    <row r="826" spans="4:20" ht="5.9" customHeight="1" outlineLevel="2"/>
    <row r="827" spans="4:20" outlineLevel="2">
      <c r="E827" s="247" t="str">
        <f>GC!C78</f>
        <v>Mains &amp; Services</v>
      </c>
      <c r="F827" s="247"/>
      <c r="G827" s="247"/>
      <c r="H827" s="247"/>
      <c r="I827" s="247"/>
      <c r="J827" s="81">
        <f ca="1">J816*(1+INDEX(J$585:J$587,MATCH(Work_Codes!$I$108,$D$585:$D$587,0)))</f>
        <v>0</v>
      </c>
      <c r="K827" s="81">
        <f ca="1">K816*(1+INDEX(K$585:K$587,MATCH(Work_Codes!$I$108,$D$585:$D$587,0)))</f>
        <v>0</v>
      </c>
      <c r="L827" s="81">
        <f ca="1">L816*(1+INDEX(L$585:L$587,MATCH(Work_Codes!$I$108,$D$585:$D$587,0)))</f>
        <v>0</v>
      </c>
      <c r="M827" s="81">
        <f ca="1">M816*(1+INDEX(M$585:M$587,MATCH(Work_Codes!$I$108,$D$585:$D$587,0)))</f>
        <v>0</v>
      </c>
      <c r="N827" s="81">
        <f ca="1">N816*(1+INDEX(N$585:N$587,MATCH(Work_Codes!$I$108,$D$585:$D$587,0)))</f>
        <v>2297666.5334673584</v>
      </c>
      <c r="O827" s="81">
        <f ca="1">O816*(1+INDEX(O$585:O$587,MATCH(Work_Codes!$I$108,$D$585:$D$587,0)))</f>
        <v>1045471.5534697071</v>
      </c>
      <c r="P827" s="81">
        <f ca="1">P816*(1+INDEX(P$585:P$587,MATCH(Work_Codes!$I$108,$D$585:$D$587,0)))</f>
        <v>2077790.8470130353</v>
      </c>
      <c r="Q827" s="81">
        <f ca="1">Q816*(1+INDEX(Q$585:Q$587,MATCH(Work_Codes!$I$108,$D$585:$D$587,0)))</f>
        <v>1868807.9977214488</v>
      </c>
      <c r="R827" s="81">
        <f ca="1">R816*(1+INDEX(R$585:R$587,MATCH(Work_Codes!$I$108,$D$585:$D$587,0)))</f>
        <v>1683348.0449827968</v>
      </c>
      <c r="S827" s="81">
        <f ca="1">S816*(1+INDEX(S$585:S$587,MATCH(Work_Codes!$I$108,$D$585:$D$587,0)))</f>
        <v>1517579.4784313911</v>
      </c>
      <c r="T827" s="81">
        <f ca="1">T816*(1+INDEX(T$585:T$587,MATCH(Work_Codes!$I$108,$D$585:$D$587,0)))</f>
        <v>1367754.0431279805</v>
      </c>
    </row>
    <row r="828" spans="4:20" outlineLevel="2">
      <c r="E828" s="247" t="str">
        <f>GC!C79</f>
        <v>Meters Domestic</v>
      </c>
      <c r="F828" s="247"/>
      <c r="G828" s="247"/>
      <c r="H828" s="247"/>
      <c r="I828" s="247"/>
      <c r="J828" s="81">
        <f ca="1">J817*(1+INDEX(J$585:J$587,MATCH(Work_Codes!$I$108,$D$585:$D$587,0)))</f>
        <v>0</v>
      </c>
      <c r="K828" s="81">
        <f ca="1">K817*(1+INDEX(K$585:K$587,MATCH(Work_Codes!$I$108,$D$585:$D$587,0)))</f>
        <v>0</v>
      </c>
      <c r="L828" s="81">
        <f ca="1">L817*(1+INDEX(L$585:L$587,MATCH(Work_Codes!$I$108,$D$585:$D$587,0)))</f>
        <v>0</v>
      </c>
      <c r="M828" s="81">
        <f ca="1">M817*(1+INDEX(M$585:M$587,MATCH(Work_Codes!$I$108,$D$585:$D$587,0)))</f>
        <v>0</v>
      </c>
      <c r="N828" s="81">
        <f ca="1">N817*(1+INDEX(N$585:N$587,MATCH(Work_Codes!$I$108,$D$585:$D$587,0)))</f>
        <v>0</v>
      </c>
      <c r="O828" s="81">
        <f ca="1">O817*(1+INDEX(O$585:O$587,MATCH(Work_Codes!$I$108,$D$585:$D$587,0)))</f>
        <v>0</v>
      </c>
      <c r="P828" s="81">
        <f ca="1">P817*(1+INDEX(P$585:P$587,MATCH(Work_Codes!$I$108,$D$585:$D$587,0)))</f>
        <v>0</v>
      </c>
      <c r="Q828" s="81">
        <f ca="1">Q817*(1+INDEX(Q$585:Q$587,MATCH(Work_Codes!$I$108,$D$585:$D$587,0)))</f>
        <v>0</v>
      </c>
      <c r="R828" s="81">
        <f ca="1">R817*(1+INDEX(R$585:R$587,MATCH(Work_Codes!$I$108,$D$585:$D$587,0)))</f>
        <v>0</v>
      </c>
      <c r="S828" s="81">
        <f ca="1">S817*(1+INDEX(S$585:S$587,MATCH(Work_Codes!$I$108,$D$585:$D$587,0)))</f>
        <v>0</v>
      </c>
      <c r="T828" s="81">
        <f ca="1">T817*(1+INDEX(T$585:T$587,MATCH(Work_Codes!$I$108,$D$585:$D$587,0)))</f>
        <v>0</v>
      </c>
    </row>
    <row r="829" spans="4:20" outlineLevel="2">
      <c r="E829" s="247" t="str">
        <f>GC!C80</f>
        <v>Meters Industrial &amp; Commercial</v>
      </c>
      <c r="F829" s="247"/>
      <c r="G829" s="247"/>
      <c r="H829" s="247"/>
      <c r="I829" s="247"/>
      <c r="J829" s="81">
        <f ca="1">J818*(1+INDEX(J$585:J$587,MATCH(Work_Codes!$I$108,$D$585:$D$587,0)))</f>
        <v>0</v>
      </c>
      <c r="K829" s="81">
        <f ca="1">K818*(1+INDEX(K$585:K$587,MATCH(Work_Codes!$I$108,$D$585:$D$587,0)))</f>
        <v>0</v>
      </c>
      <c r="L829" s="81">
        <f ca="1">L818*(1+INDEX(L$585:L$587,MATCH(Work_Codes!$I$108,$D$585:$D$587,0)))</f>
        <v>0</v>
      </c>
      <c r="M829" s="81">
        <f ca="1">M818*(1+INDEX(M$585:M$587,MATCH(Work_Codes!$I$108,$D$585:$D$587,0)))</f>
        <v>0</v>
      </c>
      <c r="N829" s="81">
        <f ca="1">N818*(1+INDEX(N$585:N$587,MATCH(Work_Codes!$I$108,$D$585:$D$587,0)))</f>
        <v>0</v>
      </c>
      <c r="O829" s="81">
        <f ca="1">O818*(1+INDEX(O$585:O$587,MATCH(Work_Codes!$I$108,$D$585:$D$587,0)))</f>
        <v>0</v>
      </c>
      <c r="P829" s="81">
        <f ca="1">P818*(1+INDEX(P$585:P$587,MATCH(Work_Codes!$I$108,$D$585:$D$587,0)))</f>
        <v>0</v>
      </c>
      <c r="Q829" s="81">
        <f ca="1">Q818*(1+INDEX(Q$585:Q$587,MATCH(Work_Codes!$I$108,$D$585:$D$587,0)))</f>
        <v>0</v>
      </c>
      <c r="R829" s="81">
        <f ca="1">R818*(1+INDEX(R$585:R$587,MATCH(Work_Codes!$I$108,$D$585:$D$587,0)))</f>
        <v>0</v>
      </c>
      <c r="S829" s="81">
        <f ca="1">S818*(1+INDEX(S$585:S$587,MATCH(Work_Codes!$I$108,$D$585:$D$587,0)))</f>
        <v>0</v>
      </c>
      <c r="T829" s="81">
        <f ca="1">T818*(1+INDEX(T$585:T$587,MATCH(Work_Codes!$I$108,$D$585:$D$587,0)))</f>
        <v>0</v>
      </c>
    </row>
    <row r="830" spans="4:20" outlineLevel="2">
      <c r="E830" s="247" t="str">
        <f>GC!C81</f>
        <v>Buildings</v>
      </c>
      <c r="F830" s="247"/>
      <c r="G830" s="247"/>
      <c r="H830" s="247"/>
      <c r="I830" s="247"/>
      <c r="J830" s="81">
        <f ca="1">J819*(1+INDEX(J$585:J$587,MATCH(Work_Codes!$I$108,$D$585:$D$587,0)))</f>
        <v>0</v>
      </c>
      <c r="K830" s="81">
        <f ca="1">K819*(1+INDEX(K$585:K$587,MATCH(Work_Codes!$I$108,$D$585:$D$587,0)))</f>
        <v>0</v>
      </c>
      <c r="L830" s="81">
        <f ca="1">L819*(1+INDEX(L$585:L$587,MATCH(Work_Codes!$I$108,$D$585:$D$587,0)))</f>
        <v>0</v>
      </c>
      <c r="M830" s="81">
        <f ca="1">M819*(1+INDEX(M$585:M$587,MATCH(Work_Codes!$I$108,$D$585:$D$587,0)))</f>
        <v>0</v>
      </c>
      <c r="N830" s="81">
        <f ca="1">N819*(1+INDEX(N$585:N$587,MATCH(Work_Codes!$I$108,$D$585:$D$587,0)))</f>
        <v>0</v>
      </c>
      <c r="O830" s="81">
        <f ca="1">O819*(1+INDEX(O$585:O$587,MATCH(Work_Codes!$I$108,$D$585:$D$587,0)))</f>
        <v>0</v>
      </c>
      <c r="P830" s="81">
        <f ca="1">P819*(1+INDEX(P$585:P$587,MATCH(Work_Codes!$I$108,$D$585:$D$587,0)))</f>
        <v>0</v>
      </c>
      <c r="Q830" s="81">
        <f ca="1">Q819*(1+INDEX(Q$585:Q$587,MATCH(Work_Codes!$I$108,$D$585:$D$587,0)))</f>
        <v>0</v>
      </c>
      <c r="R830" s="81">
        <f ca="1">R819*(1+INDEX(R$585:R$587,MATCH(Work_Codes!$I$108,$D$585:$D$587,0)))</f>
        <v>0</v>
      </c>
      <c r="S830" s="81">
        <f ca="1">S819*(1+INDEX(S$585:S$587,MATCH(Work_Codes!$I$108,$D$585:$D$587,0)))</f>
        <v>0</v>
      </c>
      <c r="T830" s="81">
        <f ca="1">T819*(1+INDEX(T$585:T$587,MATCH(Work_Codes!$I$108,$D$585:$D$587,0)))</f>
        <v>0</v>
      </c>
    </row>
    <row r="831" spans="4:20" outlineLevel="2">
      <c r="E831" s="247" t="str">
        <f>GC!C82</f>
        <v>Other Assets</v>
      </c>
      <c r="F831" s="247"/>
      <c r="G831" s="247"/>
      <c r="H831" s="247"/>
      <c r="I831" s="247"/>
      <c r="J831" s="81">
        <f ca="1">J820*(1+INDEX(J$585:J$587,MATCH(Work_Codes!$I$108,$D$585:$D$587,0)))</f>
        <v>0</v>
      </c>
      <c r="K831" s="81">
        <f ca="1">K820*(1+INDEX(K$585:K$587,MATCH(Work_Codes!$I$108,$D$585:$D$587,0)))</f>
        <v>0</v>
      </c>
      <c r="L831" s="81">
        <f ca="1">L820*(1+INDEX(L$585:L$587,MATCH(Work_Codes!$I$108,$D$585:$D$587,0)))</f>
        <v>0</v>
      </c>
      <c r="M831" s="81">
        <f ca="1">M820*(1+INDEX(M$585:M$587,MATCH(Work_Codes!$I$108,$D$585:$D$587,0)))</f>
        <v>0</v>
      </c>
      <c r="N831" s="81">
        <f ca="1">N820*(1+INDEX(N$585:N$587,MATCH(Work_Codes!$I$108,$D$585:$D$587,0)))</f>
        <v>0</v>
      </c>
      <c r="O831" s="81">
        <f ca="1">O820*(1+INDEX(O$585:O$587,MATCH(Work_Codes!$I$108,$D$585:$D$587,0)))</f>
        <v>0</v>
      </c>
      <c r="P831" s="81">
        <f ca="1">P820*(1+INDEX(P$585:P$587,MATCH(Work_Codes!$I$108,$D$585:$D$587,0)))</f>
        <v>0</v>
      </c>
      <c r="Q831" s="81">
        <f ca="1">Q820*(1+INDEX(Q$585:Q$587,MATCH(Work_Codes!$I$108,$D$585:$D$587,0)))</f>
        <v>0</v>
      </c>
      <c r="R831" s="81">
        <f ca="1">R820*(1+INDEX(R$585:R$587,MATCH(Work_Codes!$I$108,$D$585:$D$587,0)))</f>
        <v>0</v>
      </c>
      <c r="S831" s="81">
        <f ca="1">S820*(1+INDEX(S$585:S$587,MATCH(Work_Codes!$I$108,$D$585:$D$587,0)))</f>
        <v>0</v>
      </c>
      <c r="T831" s="81">
        <f ca="1">T820*(1+INDEX(T$585:T$587,MATCH(Work_Codes!$I$108,$D$585:$D$587,0)))</f>
        <v>0</v>
      </c>
    </row>
    <row r="832" spans="4:20" outlineLevel="2">
      <c r="E832" s="247" t="str">
        <f>GC!C83</f>
        <v>Repairs</v>
      </c>
      <c r="F832" s="247"/>
      <c r="G832" s="247"/>
      <c r="H832" s="247"/>
      <c r="I832" s="247"/>
      <c r="J832" s="81">
        <f ca="1">J821*(1+INDEX(J$585:J$587,MATCH(Work_Codes!$I$108,$D$585:$D$587,0)))</f>
        <v>0</v>
      </c>
      <c r="K832" s="81">
        <f ca="1">K821*(1+INDEX(K$585:K$587,MATCH(Work_Codes!$I$108,$D$585:$D$587,0)))</f>
        <v>0</v>
      </c>
      <c r="L832" s="81">
        <f ca="1">L821*(1+INDEX(L$585:L$587,MATCH(Work_Codes!$I$108,$D$585:$D$587,0)))</f>
        <v>0</v>
      </c>
      <c r="M832" s="81">
        <f ca="1">M821*(1+INDEX(M$585:M$587,MATCH(Work_Codes!$I$108,$D$585:$D$587,0)))</f>
        <v>0</v>
      </c>
      <c r="N832" s="81">
        <f ca="1">N821*(1+INDEX(N$585:N$587,MATCH(Work_Codes!$I$108,$D$585:$D$587,0)))</f>
        <v>0</v>
      </c>
      <c r="O832" s="81">
        <f ca="1">O821*(1+INDEX(O$585:O$587,MATCH(Work_Codes!$I$108,$D$585:$D$587,0)))</f>
        <v>0</v>
      </c>
      <c r="P832" s="81">
        <f ca="1">P821*(1+INDEX(P$585:P$587,MATCH(Work_Codes!$I$108,$D$585:$D$587,0)))</f>
        <v>0</v>
      </c>
      <c r="Q832" s="81">
        <f ca="1">Q821*(1+INDEX(Q$585:Q$587,MATCH(Work_Codes!$I$108,$D$585:$D$587,0)))</f>
        <v>0</v>
      </c>
      <c r="R832" s="81">
        <f ca="1">R821*(1+INDEX(R$585:R$587,MATCH(Work_Codes!$I$108,$D$585:$D$587,0)))</f>
        <v>0</v>
      </c>
      <c r="S832" s="81">
        <f ca="1">S821*(1+INDEX(S$585:S$587,MATCH(Work_Codes!$I$108,$D$585:$D$587,0)))</f>
        <v>0</v>
      </c>
      <c r="T832" s="81">
        <f ca="1">T821*(1+INDEX(T$585:T$587,MATCH(Work_Codes!$I$108,$D$585:$D$587,0)))</f>
        <v>0</v>
      </c>
    </row>
    <row r="833" spans="2:20" outlineLevel="2">
      <c r="E833" s="247" t="str">
        <f>GC!C84</f>
        <v>Land</v>
      </c>
      <c r="F833" s="247"/>
      <c r="G833" s="247"/>
      <c r="H833" s="247"/>
      <c r="I833" s="247"/>
      <c r="J833" s="81">
        <f ca="1">J822*(1+INDEX(J$585:J$587,MATCH(Work_Codes!$I$108,$D$585:$D$587,0)))</f>
        <v>0</v>
      </c>
      <c r="K833" s="81">
        <f ca="1">K822*(1+INDEX(K$585:K$587,MATCH(Work_Codes!$I$108,$D$585:$D$587,0)))</f>
        <v>0</v>
      </c>
      <c r="L833" s="81">
        <f ca="1">L822*(1+INDEX(L$585:L$587,MATCH(Work_Codes!$I$108,$D$585:$D$587,0)))</f>
        <v>0</v>
      </c>
      <c r="M833" s="81">
        <f ca="1">M822*(1+INDEX(M$585:M$587,MATCH(Work_Codes!$I$108,$D$585:$D$587,0)))</f>
        <v>0</v>
      </c>
      <c r="N833" s="81">
        <f ca="1">N822*(1+INDEX(N$585:N$587,MATCH(Work_Codes!$I$108,$D$585:$D$587,0)))</f>
        <v>0</v>
      </c>
      <c r="O833" s="81">
        <f ca="1">O822*(1+INDEX(O$585:O$587,MATCH(Work_Codes!$I$108,$D$585:$D$587,0)))</f>
        <v>0</v>
      </c>
      <c r="P833" s="81">
        <f ca="1">P822*(1+INDEX(P$585:P$587,MATCH(Work_Codes!$I$108,$D$585:$D$587,0)))</f>
        <v>0</v>
      </c>
      <c r="Q833" s="81">
        <f ca="1">Q822*(1+INDEX(Q$585:Q$587,MATCH(Work_Codes!$I$108,$D$585:$D$587,0)))</f>
        <v>0</v>
      </c>
      <c r="R833" s="81">
        <f ca="1">R822*(1+INDEX(R$585:R$587,MATCH(Work_Codes!$I$108,$D$585:$D$587,0)))</f>
        <v>0</v>
      </c>
      <c r="S833" s="81">
        <f ca="1">S822*(1+INDEX(S$585:S$587,MATCH(Work_Codes!$I$108,$D$585:$D$587,0)))</f>
        <v>0</v>
      </c>
      <c r="T833" s="81">
        <f ca="1">T822*(1+INDEX(T$585:T$587,MATCH(Work_Codes!$I$108,$D$585:$D$587,0)))</f>
        <v>0</v>
      </c>
    </row>
    <row r="834" spans="2:20" outlineLevel="2">
      <c r="E834" s="249" t="str">
        <f>"Total "&amp;D825</f>
        <v>Total Direct Costs +  Overheads</v>
      </c>
      <c r="F834" s="249"/>
      <c r="G834" s="249"/>
      <c r="H834" s="249"/>
      <c r="I834" s="249"/>
      <c r="J834" s="82">
        <f t="shared" ref="J834:T834" ca="1" si="82">SUM(J827:J833)</f>
        <v>0</v>
      </c>
      <c r="K834" s="82">
        <f t="shared" ca="1" si="82"/>
        <v>0</v>
      </c>
      <c r="L834" s="82">
        <f t="shared" ca="1" si="82"/>
        <v>0</v>
      </c>
      <c r="M834" s="82">
        <f t="shared" ca="1" si="82"/>
        <v>0</v>
      </c>
      <c r="N834" s="82">
        <f t="shared" ca="1" si="82"/>
        <v>2297666.5334673584</v>
      </c>
      <c r="O834" s="82">
        <f t="shared" ca="1" si="82"/>
        <v>1045471.5534697071</v>
      </c>
      <c r="P834" s="82">
        <f t="shared" ca="1" si="82"/>
        <v>2077790.8470130353</v>
      </c>
      <c r="Q834" s="82">
        <f t="shared" ca="1" si="82"/>
        <v>1868807.9977214488</v>
      </c>
      <c r="R834" s="82">
        <f t="shared" ca="1" si="82"/>
        <v>1683348.0449827968</v>
      </c>
      <c r="S834" s="82">
        <f t="shared" ca="1" si="82"/>
        <v>1517579.4784313911</v>
      </c>
      <c r="T834" s="82">
        <f t="shared" ca="1" si="82"/>
        <v>1367754.0431279805</v>
      </c>
    </row>
    <row r="835" spans="2:20" outlineLevel="1">
      <c r="B835" s="12"/>
      <c r="C835" s="12"/>
      <c r="D835" s="12"/>
      <c r="E835" s="12"/>
      <c r="F835" s="12"/>
      <c r="G835" s="12"/>
      <c r="H835" s="12"/>
      <c r="I835" s="12"/>
      <c r="J835" s="12"/>
      <c r="K835" s="12"/>
      <c r="L835" s="12"/>
      <c r="M835" s="12"/>
      <c r="N835" s="12"/>
      <c r="O835" s="12"/>
      <c r="P835" s="12"/>
      <c r="Q835" s="12"/>
      <c r="R835" s="12"/>
      <c r="S835" s="12"/>
      <c r="T835" s="12"/>
    </row>
    <row r="836" spans="2:20" outlineLevel="1"/>
    <row r="837" spans="2:20" outlineLevel="1">
      <c r="C837" s="37" t="s">
        <v>19</v>
      </c>
    </row>
    <row r="838" spans="2:20" ht="5.9" customHeight="1" outlineLevel="1"/>
    <row r="839" spans="2:20" outlineLevel="1">
      <c r="F839" s="51" t="str">
        <f>$B$573&amp;" Work Code v RAB Category Direct Check"</f>
        <v>3006 - Inputs Work Code v RAB Category Direct Check</v>
      </c>
      <c r="I839" s="130">
        <f ca="1">IF(ISERROR(SUM(J839:T839)),1,MIN(SUM(J839:T839),1))</f>
        <v>0</v>
      </c>
      <c r="J839" s="81">
        <f t="shared" ref="J839:T839" ca="1" si="83">J669-J692</f>
        <v>0</v>
      </c>
      <c r="K839" s="81">
        <f t="shared" ca="1" si="83"/>
        <v>0</v>
      </c>
      <c r="L839" s="81">
        <f t="shared" ca="1" si="83"/>
        <v>0</v>
      </c>
      <c r="M839" s="81">
        <f t="shared" ca="1" si="83"/>
        <v>0</v>
      </c>
      <c r="N839" s="81">
        <f t="shared" ca="1" si="83"/>
        <v>0</v>
      </c>
      <c r="O839" s="81">
        <f t="shared" ca="1" si="83"/>
        <v>0</v>
      </c>
      <c r="P839" s="81">
        <f t="shared" ca="1" si="83"/>
        <v>0</v>
      </c>
      <c r="Q839" s="81">
        <f t="shared" ca="1" si="83"/>
        <v>0</v>
      </c>
      <c r="R839" s="81">
        <f t="shared" ca="1" si="83"/>
        <v>0</v>
      </c>
      <c r="S839" s="81">
        <f t="shared" ca="1" si="83"/>
        <v>0</v>
      </c>
      <c r="T839" s="81">
        <f t="shared" ca="1" si="83"/>
        <v>0</v>
      </c>
    </row>
    <row r="840" spans="2:20" outlineLevel="1">
      <c r="F840" s="51" t="str">
        <f>$B$573&amp;" Work Code v RIN Category Direct Check"</f>
        <v>3006 - Inputs Work Code v RIN Category Direct Check</v>
      </c>
      <c r="I840" s="130">
        <f ca="1">IF(ISERROR(SUM(J840:T840)),1,MIN(SUM(J840:T840),1))</f>
        <v>0</v>
      </c>
      <c r="J840" s="81">
        <f t="shared" ref="J840:T840" ca="1" si="84">J669-J773</f>
        <v>0</v>
      </c>
      <c r="K840" s="81">
        <f t="shared" ca="1" si="84"/>
        <v>0</v>
      </c>
      <c r="L840" s="81">
        <f t="shared" ca="1" si="84"/>
        <v>0</v>
      </c>
      <c r="M840" s="81">
        <f t="shared" ca="1" si="84"/>
        <v>0</v>
      </c>
      <c r="N840" s="81">
        <f t="shared" ca="1" si="84"/>
        <v>0</v>
      </c>
      <c r="O840" s="81">
        <f t="shared" ca="1" si="84"/>
        <v>0</v>
      </c>
      <c r="P840" s="81">
        <f t="shared" ca="1" si="84"/>
        <v>0</v>
      </c>
      <c r="Q840" s="81">
        <f t="shared" ca="1" si="84"/>
        <v>0</v>
      </c>
      <c r="R840" s="81">
        <f t="shared" ca="1" si="84"/>
        <v>0</v>
      </c>
      <c r="S840" s="81">
        <f t="shared" ca="1" si="84"/>
        <v>0</v>
      </c>
      <c r="T840" s="81">
        <f t="shared" ca="1" si="84"/>
        <v>0</v>
      </c>
    </row>
    <row r="841" spans="2:20" outlineLevel="1">
      <c r="F841" s="51" t="str">
        <f>$B$573&amp;" Work Code v Tax Category Direct Check"</f>
        <v>3006 - Inputs Work Code v Tax Category Direct Check</v>
      </c>
      <c r="I841" s="130">
        <f ca="1">IF(ISERROR(SUM(J841:T841)),1,MIN(SUM(J841:T841),1))</f>
        <v>0</v>
      </c>
      <c r="J841" s="81">
        <f t="shared" ref="J841:T841" ca="1" si="85">J669-J823</f>
        <v>0</v>
      </c>
      <c r="K841" s="81">
        <f t="shared" ca="1" si="85"/>
        <v>0</v>
      </c>
      <c r="L841" s="81">
        <f t="shared" ca="1" si="85"/>
        <v>0</v>
      </c>
      <c r="M841" s="81">
        <f t="shared" ca="1" si="85"/>
        <v>0</v>
      </c>
      <c r="N841" s="81">
        <f t="shared" ca="1" si="85"/>
        <v>0</v>
      </c>
      <c r="O841" s="81">
        <f t="shared" ca="1" si="85"/>
        <v>0</v>
      </c>
      <c r="P841" s="81">
        <f t="shared" ca="1" si="85"/>
        <v>0</v>
      </c>
      <c r="Q841" s="81">
        <f t="shared" ca="1" si="85"/>
        <v>0</v>
      </c>
      <c r="R841" s="81">
        <f t="shared" ca="1" si="85"/>
        <v>0</v>
      </c>
      <c r="S841" s="81">
        <f t="shared" ca="1" si="85"/>
        <v>0</v>
      </c>
      <c r="T841" s="81">
        <f t="shared" ca="1" si="85"/>
        <v>0</v>
      </c>
    </row>
    <row r="842" spans="2:20" outlineLevel="1">
      <c r="F842" s="51" t="str">
        <f>$B$573&amp;" Customer Contributions v RAB Category Direct Check"</f>
        <v>3006 - Inputs Customer Contributions v RAB Category Direct Check</v>
      </c>
      <c r="I842" s="130">
        <f ca="1">IF(ISERROR(SUM(J842:T842)),1,MIN(SUM(J842:T842),1))</f>
        <v>0</v>
      </c>
      <c r="J842" s="81">
        <f t="shared" ref="J842:T842" ca="1" si="86">J626-J752</f>
        <v>0</v>
      </c>
      <c r="K842" s="81">
        <f t="shared" ca="1" si="86"/>
        <v>0</v>
      </c>
      <c r="L842" s="81">
        <f t="shared" ca="1" si="86"/>
        <v>0</v>
      </c>
      <c r="M842" s="81">
        <f t="shared" ca="1" si="86"/>
        <v>0</v>
      </c>
      <c r="N842" s="81">
        <f t="shared" ca="1" si="86"/>
        <v>0</v>
      </c>
      <c r="O842" s="81">
        <f t="shared" ca="1" si="86"/>
        <v>0</v>
      </c>
      <c r="P842" s="81">
        <f t="shared" ca="1" si="86"/>
        <v>0</v>
      </c>
      <c r="Q842" s="81">
        <f t="shared" ca="1" si="86"/>
        <v>0</v>
      </c>
      <c r="R842" s="81">
        <f t="shared" ca="1" si="86"/>
        <v>0</v>
      </c>
      <c r="S842" s="81">
        <f t="shared" ca="1" si="86"/>
        <v>0</v>
      </c>
      <c r="T842" s="81">
        <f t="shared" ca="1" si="86"/>
        <v>0</v>
      </c>
    </row>
    <row r="843" spans="2:20" ht="5.9" customHeight="1" outlineLevel="1"/>
    <row r="844" spans="2:20" outlineLevel="1">
      <c r="F844" s="51" t="str">
        <f>$B$573&amp;" RAB v RIN Direct + Overhead Check"</f>
        <v>3006 - Inputs RAB v RIN Direct + Overhead Check</v>
      </c>
      <c r="I844" s="130">
        <f ca="1">IF(ISERROR(SUM(J844:T844)),1,MIN(SUM(J844:T844),1))</f>
        <v>0</v>
      </c>
      <c r="J844" s="81">
        <f t="shared" ref="J844:T844" ca="1" si="87">J732-J791</f>
        <v>0</v>
      </c>
      <c r="K844" s="81">
        <f t="shared" ca="1" si="87"/>
        <v>0</v>
      </c>
      <c r="L844" s="81">
        <f t="shared" ca="1" si="87"/>
        <v>0</v>
      </c>
      <c r="M844" s="81">
        <f t="shared" ca="1" si="87"/>
        <v>0</v>
      </c>
      <c r="N844" s="81">
        <f t="shared" ca="1" si="87"/>
        <v>0</v>
      </c>
      <c r="O844" s="81">
        <f t="shared" ca="1" si="87"/>
        <v>0</v>
      </c>
      <c r="P844" s="81">
        <f t="shared" ca="1" si="87"/>
        <v>0</v>
      </c>
      <c r="Q844" s="81">
        <f t="shared" ca="1" si="87"/>
        <v>0</v>
      </c>
      <c r="R844" s="81">
        <f t="shared" ca="1" si="87"/>
        <v>0</v>
      </c>
      <c r="S844" s="81">
        <f t="shared" ca="1" si="87"/>
        <v>0</v>
      </c>
      <c r="T844" s="81">
        <f t="shared" ca="1" si="87"/>
        <v>0</v>
      </c>
    </row>
    <row r="845" spans="2:20" outlineLevel="1">
      <c r="F845" s="51" t="str">
        <f>$B$573&amp;" RAB v Tax Direct + Overhead Check"</f>
        <v>3006 - Inputs RAB v Tax Direct + Overhead Check</v>
      </c>
      <c r="I845" s="130">
        <f ca="1">IF(ISERROR(SUM(J845:T845)),1,MIN(SUM(J845:T845),1))</f>
        <v>0</v>
      </c>
      <c r="J845" s="81">
        <f t="shared" ref="J845:T845" ca="1" si="88">J732-J834</f>
        <v>0</v>
      </c>
      <c r="K845" s="81">
        <f t="shared" ca="1" si="88"/>
        <v>0</v>
      </c>
      <c r="L845" s="81">
        <f t="shared" ca="1" si="88"/>
        <v>0</v>
      </c>
      <c r="M845" s="81">
        <f t="shared" ca="1" si="88"/>
        <v>0</v>
      </c>
      <c r="N845" s="81">
        <f t="shared" ca="1" si="88"/>
        <v>0</v>
      </c>
      <c r="O845" s="81">
        <f t="shared" ca="1" si="88"/>
        <v>0</v>
      </c>
      <c r="P845" s="81">
        <f t="shared" ca="1" si="88"/>
        <v>0</v>
      </c>
      <c r="Q845" s="81">
        <f t="shared" ca="1" si="88"/>
        <v>0</v>
      </c>
      <c r="R845" s="81">
        <f t="shared" ca="1" si="88"/>
        <v>0</v>
      </c>
      <c r="S845" s="81">
        <f t="shared" ca="1" si="88"/>
        <v>0</v>
      </c>
      <c r="T845" s="81">
        <f t="shared" ca="1" si="88"/>
        <v>0</v>
      </c>
    </row>
    <row r="846" spans="2:20" ht="12" outlineLevel="1" thickBot="1">
      <c r="B846" s="94"/>
      <c r="C846" s="94"/>
      <c r="D846" s="94"/>
      <c r="E846" s="94"/>
      <c r="F846" s="94"/>
      <c r="G846" s="94"/>
      <c r="H846" s="94"/>
      <c r="I846" s="94"/>
      <c r="J846" s="94"/>
      <c r="K846" s="94"/>
      <c r="L846" s="94"/>
      <c r="M846" s="94"/>
      <c r="N846" s="94"/>
      <c r="O846" s="94"/>
      <c r="P846" s="94"/>
      <c r="Q846" s="94"/>
      <c r="R846" s="94"/>
      <c r="S846" s="94"/>
      <c r="T846" s="94"/>
    </row>
  </sheetData>
  <sheetProtection formatColumns="0" formatRows="0"/>
  <mergeCells count="406">
    <mergeCell ref="E531:I531"/>
    <mergeCell ref="E532:I532"/>
    <mergeCell ref="E533:I533"/>
    <mergeCell ref="E809:I809"/>
    <mergeCell ref="E795:I795"/>
    <mergeCell ref="E796:I796"/>
    <mergeCell ref="E797:I797"/>
    <mergeCell ref="E798:I798"/>
    <mergeCell ref="E799:I799"/>
    <mergeCell ref="E800:I800"/>
    <mergeCell ref="E801:I801"/>
    <mergeCell ref="E802:I802"/>
    <mergeCell ref="E803:I803"/>
    <mergeCell ref="E804:I804"/>
    <mergeCell ref="E805:I805"/>
    <mergeCell ref="E806:I806"/>
    <mergeCell ref="E807:I807"/>
    <mergeCell ref="E808:I808"/>
    <mergeCell ref="E548:I548"/>
    <mergeCell ref="E541:I541"/>
    <mergeCell ref="E676:I676"/>
    <mergeCell ref="E677:I677"/>
    <mergeCell ref="E752:I752"/>
    <mergeCell ref="E736:I736"/>
    <mergeCell ref="E259:I259"/>
    <mergeCell ref="E245:I245"/>
    <mergeCell ref="E246:I246"/>
    <mergeCell ref="E247:I247"/>
    <mergeCell ref="E248:I248"/>
    <mergeCell ref="E249:I249"/>
    <mergeCell ref="E250:I250"/>
    <mergeCell ref="E251:I251"/>
    <mergeCell ref="E252:I252"/>
    <mergeCell ref="E253:I253"/>
    <mergeCell ref="E254:I254"/>
    <mergeCell ref="E255:I255"/>
    <mergeCell ref="E256:I256"/>
    <mergeCell ref="E257:I257"/>
    <mergeCell ref="E258:I258"/>
    <mergeCell ref="E505:I505"/>
    <mergeCell ref="E506:I506"/>
    <mergeCell ref="E686:I686"/>
    <mergeCell ref="E708:I708"/>
    <mergeCell ref="E709:I709"/>
    <mergeCell ref="E701:I701"/>
    <mergeCell ref="E702:I702"/>
    <mergeCell ref="E703:I703"/>
    <mergeCell ref="E704:I704"/>
    <mergeCell ref="E705:I705"/>
    <mergeCell ref="E707:I707"/>
    <mergeCell ref="E692:I692"/>
    <mergeCell ref="E534:I534"/>
    <mergeCell ref="E520:I520"/>
    <mergeCell ref="E521:I521"/>
    <mergeCell ref="E522:I522"/>
    <mergeCell ref="E523:I523"/>
    <mergeCell ref="E524:I524"/>
    <mergeCell ref="E525:I525"/>
    <mergeCell ref="E526:I526"/>
    <mergeCell ref="E527:I527"/>
    <mergeCell ref="E528:I528"/>
    <mergeCell ref="E529:I529"/>
    <mergeCell ref="E530:I530"/>
    <mergeCell ref="E441:I441"/>
    <mergeCell ref="E442:I442"/>
    <mergeCell ref="E443:I443"/>
    <mergeCell ref="D351:I351"/>
    <mergeCell ref="E429:I429"/>
    <mergeCell ref="E430:I430"/>
    <mergeCell ref="E431:I431"/>
    <mergeCell ref="E700:I700"/>
    <mergeCell ref="E487:I487"/>
    <mergeCell ref="E492:I492"/>
    <mergeCell ref="E496:I496"/>
    <mergeCell ref="E678:I678"/>
    <mergeCell ref="E679:I679"/>
    <mergeCell ref="E680:I680"/>
    <mergeCell ref="E682:I682"/>
    <mergeCell ref="E683:I683"/>
    <mergeCell ref="E687:I687"/>
    <mergeCell ref="E696:I696"/>
    <mergeCell ref="E697:I697"/>
    <mergeCell ref="E698:I698"/>
    <mergeCell ref="E699:I699"/>
    <mergeCell ref="E489:I489"/>
    <mergeCell ref="E490:I490"/>
    <mergeCell ref="E494:I494"/>
    <mergeCell ref="E412:I412"/>
    <mergeCell ref="E421:I421"/>
    <mergeCell ref="E432:I432"/>
    <mergeCell ref="E166:I166"/>
    <mergeCell ref="E167:I167"/>
    <mergeCell ref="E162:I162"/>
    <mergeCell ref="E408:I408"/>
    <mergeCell ref="E409:I409"/>
    <mergeCell ref="E410:I410"/>
    <mergeCell ref="E186:I186"/>
    <mergeCell ref="E187:I187"/>
    <mergeCell ref="E188:I188"/>
    <mergeCell ref="E189:I189"/>
    <mergeCell ref="E268:I268"/>
    <mergeCell ref="E269:I269"/>
    <mergeCell ref="E222:I222"/>
    <mergeCell ref="E202:I202"/>
    <mergeCell ref="E273:I273"/>
    <mergeCell ref="E266:I266"/>
    <mergeCell ref="E267:I267"/>
    <mergeCell ref="E237:I237"/>
    <mergeCell ref="E191:I191"/>
    <mergeCell ref="E176:I176"/>
    <mergeCell ref="E179:I179"/>
    <mergeCell ref="E180:I180"/>
    <mergeCell ref="E181:I181"/>
    <mergeCell ref="E488:I488"/>
    <mergeCell ref="E192:I192"/>
    <mergeCell ref="E193:I193"/>
    <mergeCell ref="E194:I194"/>
    <mergeCell ref="E195:I195"/>
    <mergeCell ref="E196:I196"/>
    <mergeCell ref="E197:I197"/>
    <mergeCell ref="E477:I477"/>
    <mergeCell ref="E461:I461"/>
    <mergeCell ref="E462:I462"/>
    <mergeCell ref="E463:I463"/>
    <mergeCell ref="E464:I464"/>
    <mergeCell ref="E465:I465"/>
    <mergeCell ref="E466:I466"/>
    <mergeCell ref="E467:I467"/>
    <mergeCell ref="E468:I468"/>
    <mergeCell ref="E469:I469"/>
    <mergeCell ref="E470:I470"/>
    <mergeCell ref="E471:I471"/>
    <mergeCell ref="E472:I472"/>
    <mergeCell ref="E238:I238"/>
    <mergeCell ref="E240:I240"/>
    <mergeCell ref="D119:I119"/>
    <mergeCell ref="D70:I70"/>
    <mergeCell ref="E133:I133"/>
    <mergeCell ref="E134:I134"/>
    <mergeCell ref="E135:I135"/>
    <mergeCell ref="E136:I136"/>
    <mergeCell ref="D89:I89"/>
    <mergeCell ref="D99:I99"/>
    <mergeCell ref="D109:I109"/>
    <mergeCell ref="E126:I126"/>
    <mergeCell ref="E127:I127"/>
    <mergeCell ref="E128:I128"/>
    <mergeCell ref="E129:I129"/>
    <mergeCell ref="E130:I130"/>
    <mergeCell ref="E131:I131"/>
    <mergeCell ref="E132:I132"/>
    <mergeCell ref="D76:I76"/>
    <mergeCell ref="E137:I137"/>
    <mergeCell ref="E142:I142"/>
    <mergeCell ref="E157:I157"/>
    <mergeCell ref="E177:I177"/>
    <mergeCell ref="E190:I190"/>
    <mergeCell ref="E684:I684"/>
    <mergeCell ref="E685:I685"/>
    <mergeCell ref="E172:I172"/>
    <mergeCell ref="E173:I173"/>
    <mergeCell ref="E174:I174"/>
    <mergeCell ref="E495:I495"/>
    <mergeCell ref="E223:I223"/>
    <mergeCell ref="E209:I209"/>
    <mergeCell ref="E210:I210"/>
    <mergeCell ref="E211:I211"/>
    <mergeCell ref="E212:I212"/>
    <mergeCell ref="E213:I213"/>
    <mergeCell ref="E214:I214"/>
    <mergeCell ref="E215:I215"/>
    <mergeCell ref="E216:I216"/>
    <mergeCell ref="E217:I217"/>
    <mergeCell ref="E219:I219"/>
    <mergeCell ref="E220:I220"/>
    <mergeCell ref="E221:I221"/>
    <mergeCell ref="E712:I712"/>
    <mergeCell ref="E737:I737"/>
    <mergeCell ref="E738:I738"/>
    <mergeCell ref="E739:I739"/>
    <mergeCell ref="E740:I740"/>
    <mergeCell ref="E741:I741"/>
    <mergeCell ref="E720:I720"/>
    <mergeCell ref="E763:I763"/>
    <mergeCell ref="E744:I744"/>
    <mergeCell ref="E745:I745"/>
    <mergeCell ref="E746:I746"/>
    <mergeCell ref="E747:I747"/>
    <mergeCell ref="E749:I749"/>
    <mergeCell ref="E750:I750"/>
    <mergeCell ref="E751:I751"/>
    <mergeCell ref="E726:I726"/>
    <mergeCell ref="E732:I732"/>
    <mergeCell ref="E722:I722"/>
    <mergeCell ref="E743:I743"/>
    <mergeCell ref="E449:I449"/>
    <mergeCell ref="E716:I716"/>
    <mergeCell ref="E717:I717"/>
    <mergeCell ref="E718:I718"/>
    <mergeCell ref="E723:I723"/>
    <mergeCell ref="E724:I724"/>
    <mergeCell ref="E725:I725"/>
    <mergeCell ref="E721:I721"/>
    <mergeCell ref="E727:I727"/>
    <mergeCell ref="E542:I542"/>
    <mergeCell ref="E543:I543"/>
    <mergeCell ref="E544:I544"/>
    <mergeCell ref="E545:I545"/>
    <mergeCell ref="E546:I546"/>
    <mergeCell ref="E547:I547"/>
    <mergeCell ref="E719:I719"/>
    <mergeCell ref="E681:I681"/>
    <mergeCell ref="D620:I620"/>
    <mergeCell ref="D639:I639"/>
    <mergeCell ref="D649:I649"/>
    <mergeCell ref="D659:I659"/>
    <mergeCell ref="D669:I669"/>
    <mergeCell ref="D626:I626"/>
    <mergeCell ref="E559:I559"/>
    <mergeCell ref="E457:I457"/>
    <mergeCell ref="E710:I710"/>
    <mergeCell ref="E711:I711"/>
    <mergeCell ref="E270:I270"/>
    <mergeCell ref="E271:I271"/>
    <mergeCell ref="E272:I272"/>
    <mergeCell ref="E498:I498"/>
    <mergeCell ref="D345:I345"/>
    <mergeCell ref="D364:I364"/>
    <mergeCell ref="D374:I374"/>
    <mergeCell ref="D384:I384"/>
    <mergeCell ref="D394:I394"/>
    <mergeCell ref="E451:I451"/>
    <mergeCell ref="E417:I417"/>
    <mergeCell ref="E406:I406"/>
    <mergeCell ref="E411:I411"/>
    <mergeCell ref="E401:I401"/>
    <mergeCell ref="E402:I402"/>
    <mergeCell ref="E403:I403"/>
    <mergeCell ref="E404:I404"/>
    <mergeCell ref="E405:I405"/>
    <mergeCell ref="E407:I407"/>
    <mergeCell ref="E491:I491"/>
    <mergeCell ref="E447:I447"/>
    <mergeCell ref="E484:I484"/>
    <mergeCell ref="E485:I485"/>
    <mergeCell ref="E486:I486"/>
    <mergeCell ref="E452:I452"/>
    <mergeCell ref="E415:I415"/>
    <mergeCell ref="E416:I416"/>
    <mergeCell ref="E433:I433"/>
    <mergeCell ref="E434:I434"/>
    <mergeCell ref="E435:I435"/>
    <mergeCell ref="E436:I436"/>
    <mergeCell ref="E453:I453"/>
    <mergeCell ref="E454:I454"/>
    <mergeCell ref="E455:I455"/>
    <mergeCell ref="E448:I448"/>
    <mergeCell ref="E444:I444"/>
    <mergeCell ref="E445:I445"/>
    <mergeCell ref="E446:I446"/>
    <mergeCell ref="E437:I437"/>
    <mergeCell ref="E422:I422"/>
    <mergeCell ref="E423:I423"/>
    <mergeCell ref="E424:I424"/>
    <mergeCell ref="E425:I425"/>
    <mergeCell ref="E426:I426"/>
    <mergeCell ref="E428:I428"/>
    <mergeCell ref="E787:I787"/>
    <mergeCell ref="E788:I788"/>
    <mergeCell ref="E789:I789"/>
    <mergeCell ref="E790:I790"/>
    <mergeCell ref="E770:I770"/>
    <mergeCell ref="E771:I771"/>
    <mergeCell ref="E772:I772"/>
    <mergeCell ref="E764:I764"/>
    <mergeCell ref="E765:I765"/>
    <mergeCell ref="E766:I766"/>
    <mergeCell ref="E777:I777"/>
    <mergeCell ref="E778:I778"/>
    <mergeCell ref="E779:I779"/>
    <mergeCell ref="E780:I780"/>
    <mergeCell ref="E781:I781"/>
    <mergeCell ref="E782:I782"/>
    <mergeCell ref="E783:I783"/>
    <mergeCell ref="E784:I784"/>
    <mergeCell ref="E785:I785"/>
    <mergeCell ref="E450:I450"/>
    <mergeCell ref="E834:I834"/>
    <mergeCell ref="E827:I827"/>
    <mergeCell ref="E828:I828"/>
    <mergeCell ref="E829:I829"/>
    <mergeCell ref="E830:I830"/>
    <mergeCell ref="E831:I831"/>
    <mergeCell ref="E832:I832"/>
    <mergeCell ref="E833:I833"/>
    <mergeCell ref="E823:I823"/>
    <mergeCell ref="E816:I816"/>
    <mergeCell ref="E817:I817"/>
    <mergeCell ref="E818:I818"/>
    <mergeCell ref="E819:I819"/>
    <mergeCell ref="E820:I820"/>
    <mergeCell ref="E821:I821"/>
    <mergeCell ref="E822:I822"/>
    <mergeCell ref="E760:I760"/>
    <mergeCell ref="E767:I767"/>
    <mergeCell ref="E769:I769"/>
    <mergeCell ref="E456:I456"/>
    <mergeCell ref="E761:I761"/>
    <mergeCell ref="E762:I762"/>
    <mergeCell ref="E791:I791"/>
    <mergeCell ref="E504:I504"/>
    <mergeCell ref="E427:I427"/>
    <mergeCell ref="E786:I786"/>
    <mergeCell ref="E239:I239"/>
    <mergeCell ref="E497:I497"/>
    <mergeCell ref="E516:I516"/>
    <mergeCell ref="E476:I476"/>
    <mergeCell ref="E688:I688"/>
    <mergeCell ref="E689:I689"/>
    <mergeCell ref="E690:I690"/>
    <mergeCell ref="E691:I691"/>
    <mergeCell ref="E507:I507"/>
    <mergeCell ref="E508:I508"/>
    <mergeCell ref="E509:I509"/>
    <mergeCell ref="E510:I510"/>
    <mergeCell ref="E512:I512"/>
    <mergeCell ref="E513:I513"/>
    <mergeCell ref="E514:I514"/>
    <mergeCell ref="E515:I515"/>
    <mergeCell ref="E768:I768"/>
    <mergeCell ref="E773:I773"/>
    <mergeCell ref="E759:I759"/>
    <mergeCell ref="E731:I731"/>
    <mergeCell ref="E742:I742"/>
    <mergeCell ref="E149:I149"/>
    <mergeCell ref="E169:I169"/>
    <mergeCell ref="E170:I170"/>
    <mergeCell ref="E728:I728"/>
    <mergeCell ref="E729:I729"/>
    <mergeCell ref="E730:I730"/>
    <mergeCell ref="E182:I182"/>
    <mergeCell ref="E168:I168"/>
    <mergeCell ref="E236:I236"/>
    <mergeCell ref="E493:I493"/>
    <mergeCell ref="E511:I511"/>
    <mergeCell ref="E706:I706"/>
    <mergeCell ref="E552:I552"/>
    <mergeCell ref="E553:I553"/>
    <mergeCell ref="E554:I554"/>
    <mergeCell ref="E555:I555"/>
    <mergeCell ref="E556:I556"/>
    <mergeCell ref="E557:I557"/>
    <mergeCell ref="E558:I558"/>
    <mergeCell ref="E281:I281"/>
    <mergeCell ref="E282:I282"/>
    <mergeCell ref="E283:I283"/>
    <mergeCell ref="E502:I502"/>
    <mergeCell ref="E503:I503"/>
    <mergeCell ref="E233:I233"/>
    <mergeCell ref="E234:I234"/>
    <mergeCell ref="E235:I235"/>
    <mergeCell ref="E473:I473"/>
    <mergeCell ref="E474:I474"/>
    <mergeCell ref="E138:I138"/>
    <mergeCell ref="E139:I139"/>
    <mergeCell ref="E140:I140"/>
    <mergeCell ref="E141:I141"/>
    <mergeCell ref="E158:I158"/>
    <mergeCell ref="E159:I159"/>
    <mergeCell ref="E160:I160"/>
    <mergeCell ref="E161:I161"/>
    <mergeCell ref="E178:I178"/>
    <mergeCell ref="E150:I150"/>
    <mergeCell ref="E151:I151"/>
    <mergeCell ref="E152:I152"/>
    <mergeCell ref="E153:I153"/>
    <mergeCell ref="E154:I154"/>
    <mergeCell ref="E155:I155"/>
    <mergeCell ref="E156:I156"/>
    <mergeCell ref="E146:I146"/>
    <mergeCell ref="E147:I147"/>
    <mergeCell ref="E148:I148"/>
    <mergeCell ref="N2:O2"/>
    <mergeCell ref="E218:I218"/>
    <mergeCell ref="E475:I475"/>
    <mergeCell ref="E171:I171"/>
    <mergeCell ref="E175:I175"/>
    <mergeCell ref="E748:I748"/>
    <mergeCell ref="E198:I198"/>
    <mergeCell ref="E199:I199"/>
    <mergeCell ref="E200:I200"/>
    <mergeCell ref="E201:I201"/>
    <mergeCell ref="E413:I413"/>
    <mergeCell ref="E414:I414"/>
    <mergeCell ref="E284:I284"/>
    <mergeCell ref="E277:I277"/>
    <mergeCell ref="E278:I278"/>
    <mergeCell ref="E279:I279"/>
    <mergeCell ref="E280:I280"/>
    <mergeCell ref="E227:I227"/>
    <mergeCell ref="E241:I241"/>
    <mergeCell ref="E228:I228"/>
    <mergeCell ref="E229:I229"/>
    <mergeCell ref="E230:I230"/>
    <mergeCell ref="E231:I231"/>
    <mergeCell ref="E232:I232"/>
  </mergeCells>
  <conditionalFormatting sqref="I289">
    <cfRule type="cellIs" dxfId="947" priority="1" operator="notEqual">
      <formula>0</formula>
    </cfRule>
  </conditionalFormatting>
  <conditionalFormatting sqref="I564">
    <cfRule type="cellIs" dxfId="946" priority="2" operator="notEqual">
      <formula>0</formula>
    </cfRule>
  </conditionalFormatting>
  <conditionalFormatting sqref="I839">
    <cfRule type="cellIs" dxfId="945" priority="3" operator="notEqual">
      <formula>0</formula>
    </cfRule>
  </conditionalFormatting>
  <conditionalFormatting sqref="J289:T289">
    <cfRule type="cellIs" dxfId="944" priority="4" operator="notEqual">
      <formula>0</formula>
    </cfRule>
  </conditionalFormatting>
  <conditionalFormatting sqref="J564:T564">
    <cfRule type="cellIs" dxfId="943" priority="5" operator="notEqual">
      <formula>0</formula>
    </cfRule>
  </conditionalFormatting>
  <conditionalFormatting sqref="J839:T839">
    <cfRule type="cellIs" dxfId="942" priority="6" operator="notEqual">
      <formula>0</formula>
    </cfRule>
  </conditionalFormatting>
  <conditionalFormatting sqref="I290">
    <cfRule type="cellIs" dxfId="941" priority="7" operator="notEqual">
      <formula>0</formula>
    </cfRule>
  </conditionalFormatting>
  <conditionalFormatting sqref="I565">
    <cfRule type="cellIs" dxfId="940" priority="8" operator="notEqual">
      <formula>0</formula>
    </cfRule>
  </conditionalFormatting>
  <conditionalFormatting sqref="I840">
    <cfRule type="cellIs" dxfId="939" priority="9" operator="notEqual">
      <formula>0</formula>
    </cfRule>
  </conditionalFormatting>
  <conditionalFormatting sqref="J290:T290">
    <cfRule type="cellIs" dxfId="938" priority="10" operator="notEqual">
      <formula>0</formula>
    </cfRule>
  </conditionalFormatting>
  <conditionalFormatting sqref="J565:T565">
    <cfRule type="cellIs" dxfId="937" priority="11" operator="notEqual">
      <formula>0</formula>
    </cfRule>
  </conditionalFormatting>
  <conditionalFormatting sqref="J840:T840">
    <cfRule type="cellIs" dxfId="936" priority="12" operator="notEqual">
      <formula>0</formula>
    </cfRule>
  </conditionalFormatting>
  <conditionalFormatting sqref="I291">
    <cfRule type="cellIs" dxfId="935" priority="13" operator="notEqual">
      <formula>0</formula>
    </cfRule>
  </conditionalFormatting>
  <conditionalFormatting sqref="I566">
    <cfRule type="cellIs" dxfId="934" priority="14" operator="notEqual">
      <formula>0</formula>
    </cfRule>
  </conditionalFormatting>
  <conditionalFormatting sqref="I841">
    <cfRule type="cellIs" dxfId="933" priority="15" operator="notEqual">
      <formula>0</formula>
    </cfRule>
  </conditionalFormatting>
  <conditionalFormatting sqref="J291:T291">
    <cfRule type="cellIs" dxfId="932" priority="16" operator="notEqual">
      <formula>0</formula>
    </cfRule>
  </conditionalFormatting>
  <conditionalFormatting sqref="J566:T566">
    <cfRule type="cellIs" dxfId="931" priority="17" operator="notEqual">
      <formula>0</formula>
    </cfRule>
  </conditionalFormatting>
  <conditionalFormatting sqref="J841:T841">
    <cfRule type="cellIs" dxfId="930" priority="18" operator="notEqual">
      <formula>0</formula>
    </cfRule>
  </conditionalFormatting>
  <conditionalFormatting sqref="I294">
    <cfRule type="cellIs" dxfId="929" priority="19" operator="notEqual">
      <formula>0</formula>
    </cfRule>
  </conditionalFormatting>
  <conditionalFormatting sqref="I569">
    <cfRule type="cellIs" dxfId="928" priority="20" operator="notEqual">
      <formula>0</formula>
    </cfRule>
  </conditionalFormatting>
  <conditionalFormatting sqref="I844">
    <cfRule type="cellIs" dxfId="927" priority="21" operator="notEqual">
      <formula>0</formula>
    </cfRule>
  </conditionalFormatting>
  <conditionalFormatting sqref="J294:T294">
    <cfRule type="cellIs" dxfId="926" priority="22" operator="notEqual">
      <formula>0</formula>
    </cfRule>
  </conditionalFormatting>
  <conditionalFormatting sqref="J569:T569">
    <cfRule type="cellIs" dxfId="925" priority="23" operator="notEqual">
      <formula>0</formula>
    </cfRule>
  </conditionalFormatting>
  <conditionalFormatting sqref="J844:T844">
    <cfRule type="cellIs" dxfId="924" priority="24" operator="notEqual">
      <formula>0</formula>
    </cfRule>
  </conditionalFormatting>
  <conditionalFormatting sqref="I295">
    <cfRule type="cellIs" dxfId="923" priority="25" operator="notEqual">
      <formula>0</formula>
    </cfRule>
  </conditionalFormatting>
  <conditionalFormatting sqref="I570">
    <cfRule type="cellIs" dxfId="922" priority="26" operator="notEqual">
      <formula>0</formula>
    </cfRule>
  </conditionalFormatting>
  <conditionalFormatting sqref="I845">
    <cfRule type="cellIs" dxfId="921" priority="27" operator="notEqual">
      <formula>0</formula>
    </cfRule>
  </conditionalFormatting>
  <conditionalFormatting sqref="J295:T295">
    <cfRule type="cellIs" dxfId="920" priority="28" operator="notEqual">
      <formula>0</formula>
    </cfRule>
  </conditionalFormatting>
  <conditionalFormatting sqref="J570:T570">
    <cfRule type="cellIs" dxfId="919" priority="29" operator="notEqual">
      <formula>0</formula>
    </cfRule>
  </conditionalFormatting>
  <conditionalFormatting sqref="J845:T845">
    <cfRule type="cellIs" dxfId="918" priority="30" operator="notEqual">
      <formula>0</formula>
    </cfRule>
  </conditionalFormatting>
  <conditionalFormatting sqref="I292">
    <cfRule type="cellIs" dxfId="917" priority="31" operator="notEqual">
      <formula>0</formula>
    </cfRule>
  </conditionalFormatting>
  <conditionalFormatting sqref="I567">
    <cfRule type="cellIs" dxfId="916" priority="32" operator="notEqual">
      <formula>0</formula>
    </cfRule>
  </conditionalFormatting>
  <conditionalFormatting sqref="I842">
    <cfRule type="cellIs" dxfId="915" priority="33" operator="notEqual">
      <formula>0</formula>
    </cfRule>
  </conditionalFormatting>
  <conditionalFormatting sqref="J292:T292">
    <cfRule type="cellIs" dxfId="914" priority="34" operator="notEqual">
      <formula>0</formula>
    </cfRule>
  </conditionalFormatting>
  <conditionalFormatting sqref="J567:T567">
    <cfRule type="cellIs" dxfId="913" priority="35" operator="notEqual">
      <formula>0</formula>
    </cfRule>
  </conditionalFormatting>
  <conditionalFormatting sqref="J842:T842">
    <cfRule type="cellIs" dxfId="912" priority="36" operator="notEqual">
      <formula>0</formula>
    </cfRule>
  </conditionalFormatting>
  <dataValidations count="1">
    <dataValidation type="custom" showErrorMessage="1" errorTitle="Invalid Assumption" error="Assumption must be a number." sqref="J44:T48 J54:T58 J329:T333 J319:T323 J604:T608 J594:T598 J624:T624 J349:T349 J74:T74" xr:uid="{CA73F70F-18CD-4C47-B097-2BA166A769A4}">
      <formula1>NOT(ISERROR(J44/1))</formula1>
    </dataValidation>
  </dataValidations>
  <hyperlinks>
    <hyperlink ref="A1" location="HL_Home" tooltip="Go to Table of Contents" display="HL_Home" xr:uid="{8A172D67-A39A-4816-93D4-B2C6C6D80B6B}"/>
    <hyperlink ref="A2" location="HL_Err_Chk" tooltip="Go to Error Checks" display="HL_Err_Chk" xr:uid="{A8DFD188-93CE-4E59-AA90-8FD9A5E41827}"/>
  </hyperlinks>
  <pageMargins left="0.39370078740157499" right="0.39370078740157499" top="0.59055118110236204" bottom="0.98425196850393704" header="0" footer="0.31496062992126"/>
  <pageSetup paperSize="9" orientation="landscape" r:id="rId1"/>
  <headerFooter>
    <oddFooter>&amp;L&amp;F
&amp;A
Printed: &amp;T on &amp;D&amp;CPage &amp;P of &amp;N</oddFooter>
  </headerFooter>
  <customProperties>
    <customPr name="EpmWorksheetKeyString_GUID" r:id="rId2"/>
  </customProperties>
  <legacyDrawing r:id="rId3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68462F-8173-433B-A3D6-912A51F0681D}">
  <sheetPr>
    <pageSetUpPr autoPageBreaks="0"/>
  </sheetPr>
  <dimension ref="A1:T550"/>
  <sheetViews>
    <sheetView showGridLines="0" zoomScaleNormal="100" workbookViewId="0">
      <pane xSplit="9" ySplit="21" topLeftCell="J269" activePane="bottomRight" state="frozen"/>
      <selection activeCell="N2" sqref="N2:O2"/>
      <selection pane="topRight" activeCell="N2" sqref="N2:O2"/>
      <selection pane="bottomLeft" activeCell="N2" sqref="N2:O2"/>
      <selection pane="bottomRight" activeCell="N2" sqref="N2:O2"/>
    </sheetView>
  </sheetViews>
  <sheetFormatPr defaultColWidth="11.59765625" defaultRowHeight="11.5" outlineLevelRow="3"/>
  <cols>
    <col min="1" max="5" width="3.59765625" customWidth="1"/>
    <col min="6" max="7" width="15.59765625" customWidth="1"/>
  </cols>
  <sheetData>
    <row r="1" spans="1:20" ht="14">
      <c r="A1" s="10" t="s">
        <v>11</v>
      </c>
      <c r="B1" s="6" t="s">
        <v>285</v>
      </c>
    </row>
    <row r="2" spans="1:20" ht="13">
      <c r="A2" s="23" t="s">
        <v>26</v>
      </c>
      <c r="B2" s="7" t="str">
        <f ca="1">Model_Name</f>
        <v>GAAR Capex Forecast</v>
      </c>
      <c r="N2" s="253" t="s">
        <v>493</v>
      </c>
      <c r="O2" s="253"/>
    </row>
    <row r="3" spans="1:20">
      <c r="B3" s="30"/>
      <c r="C3" s="30"/>
      <c r="D3" s="30"/>
      <c r="E3" s="30"/>
      <c r="F3" s="30"/>
      <c r="G3" s="30"/>
      <c r="H3" s="30"/>
      <c r="I3" s="30"/>
      <c r="J3" s="30"/>
      <c r="K3" s="30"/>
      <c r="L3" s="30"/>
      <c r="M3" s="30"/>
      <c r="N3" s="30"/>
      <c r="O3" s="30"/>
      <c r="P3" s="30"/>
      <c r="Q3" s="30"/>
      <c r="R3" s="30"/>
      <c r="S3" s="30"/>
      <c r="T3" s="30"/>
    </row>
    <row r="4" spans="1:20">
      <c r="B4" s="116" t="s">
        <v>74</v>
      </c>
      <c r="C4" s="118"/>
      <c r="D4" s="118"/>
      <c r="E4" s="118"/>
      <c r="F4" s="118"/>
      <c r="G4" s="118"/>
      <c r="H4" s="118"/>
      <c r="I4" s="118"/>
      <c r="J4" s="119">
        <f t="shared" ref="J4:T4" si="0">J8</f>
        <v>43465</v>
      </c>
      <c r="K4" s="119">
        <f t="shared" si="0"/>
        <v>43830</v>
      </c>
      <c r="L4" s="119">
        <f t="shared" si="0"/>
        <v>44196</v>
      </c>
      <c r="M4" s="119">
        <f t="shared" si="0"/>
        <v>44561</v>
      </c>
      <c r="N4" s="119">
        <f t="shared" si="0"/>
        <v>44926</v>
      </c>
      <c r="O4" s="121">
        <f t="shared" si="0"/>
        <v>45107</v>
      </c>
      <c r="P4" s="121">
        <f t="shared" si="0"/>
        <v>45473</v>
      </c>
      <c r="Q4" s="121">
        <f t="shared" si="0"/>
        <v>45838</v>
      </c>
      <c r="R4" s="121">
        <f t="shared" si="0"/>
        <v>46203</v>
      </c>
      <c r="S4" s="121">
        <f t="shared" si="0"/>
        <v>46568</v>
      </c>
      <c r="T4" s="121">
        <f t="shared" si="0"/>
        <v>46934</v>
      </c>
    </row>
    <row r="5" spans="1:20">
      <c r="B5" s="117" t="s">
        <v>100</v>
      </c>
      <c r="C5" s="117"/>
      <c r="D5" s="117"/>
      <c r="E5" s="117"/>
      <c r="F5" s="117"/>
      <c r="G5" s="117"/>
      <c r="H5" s="117"/>
      <c r="I5" s="117"/>
      <c r="J5" s="120">
        <f t="shared" ref="J5:T5" si="1">YEAR(J8)</f>
        <v>2018</v>
      </c>
      <c r="K5" s="120">
        <f t="shared" si="1"/>
        <v>2019</v>
      </c>
      <c r="L5" s="120">
        <f t="shared" si="1"/>
        <v>2020</v>
      </c>
      <c r="M5" s="120">
        <f t="shared" si="1"/>
        <v>2021</v>
      </c>
      <c r="N5" s="120">
        <f t="shared" si="1"/>
        <v>2022</v>
      </c>
      <c r="O5" s="120">
        <f t="shared" si="1"/>
        <v>2023</v>
      </c>
      <c r="P5" s="120">
        <f t="shared" si="1"/>
        <v>2024</v>
      </c>
      <c r="Q5" s="120">
        <f t="shared" si="1"/>
        <v>2025</v>
      </c>
      <c r="R5" s="120">
        <f t="shared" si="1"/>
        <v>2026</v>
      </c>
      <c r="S5" s="120">
        <f t="shared" si="1"/>
        <v>2027</v>
      </c>
      <c r="T5" s="120">
        <f t="shared" si="1"/>
        <v>2028</v>
      </c>
    </row>
    <row r="6" spans="1:20">
      <c r="B6" s="113" t="s">
        <v>91</v>
      </c>
      <c r="C6" s="113"/>
      <c r="D6" s="113"/>
      <c r="E6" s="113"/>
      <c r="F6" s="113"/>
      <c r="G6" s="113"/>
      <c r="H6" s="113"/>
      <c r="I6" s="113"/>
      <c r="J6" s="115" t="str">
        <f t="shared" ref="J6:T6" si="2">IF(J$17,"Actual","Forecast")</f>
        <v>Actual</v>
      </c>
      <c r="K6" s="115" t="str">
        <f t="shared" si="2"/>
        <v>Actual</v>
      </c>
      <c r="L6" s="115" t="str">
        <f t="shared" si="2"/>
        <v>Actual</v>
      </c>
      <c r="M6" s="115" t="str">
        <f t="shared" si="2"/>
        <v>Actual</v>
      </c>
      <c r="N6" s="115" t="str">
        <f t="shared" si="2"/>
        <v>Forecast</v>
      </c>
      <c r="O6" s="114" t="str">
        <f t="shared" si="2"/>
        <v>Forecast</v>
      </c>
      <c r="P6" s="114" t="str">
        <f t="shared" si="2"/>
        <v>Forecast</v>
      </c>
      <c r="Q6" s="114" t="str">
        <f t="shared" si="2"/>
        <v>Forecast</v>
      </c>
      <c r="R6" s="114" t="str">
        <f t="shared" si="2"/>
        <v>Forecast</v>
      </c>
      <c r="S6" s="114" t="str">
        <f t="shared" si="2"/>
        <v>Forecast</v>
      </c>
      <c r="T6" s="114" t="str">
        <f t="shared" si="2"/>
        <v>Forecast</v>
      </c>
    </row>
    <row r="7" spans="1:20" hidden="1" outlineLevel="3">
      <c r="B7" s="30" t="s">
        <v>101</v>
      </c>
      <c r="C7" s="30"/>
      <c r="D7" s="30"/>
      <c r="E7" s="30"/>
      <c r="F7" s="30"/>
      <c r="G7" s="30"/>
      <c r="H7" s="30"/>
      <c r="I7" s="30"/>
      <c r="J7" s="36">
        <f>EDATE(Ts_Start_Date,(J10-1)*Ts_Mths_In_Yr)</f>
        <v>43101</v>
      </c>
      <c r="K7" s="36">
        <f>EDATE(Ts_Start_Date,(K10-1)*Ts_Mths_In_Yr)</f>
        <v>43466</v>
      </c>
      <c r="L7" s="36">
        <f>EDATE(Ts_Start_Date,(L10-1)*Ts_Mths_In_Yr)</f>
        <v>43831</v>
      </c>
      <c r="M7" s="36">
        <f>EDATE(Ts_Start_Date,(M10-1)*Ts_Mths_In_Yr)</f>
        <v>44197</v>
      </c>
      <c r="N7" s="36">
        <f>EDATE(Ts_Start_Date,(N10-1)*Ts_Mths_In_Yr)</f>
        <v>44562</v>
      </c>
      <c r="O7" s="36">
        <f>Ts_Stub_Start_Date</f>
        <v>44927</v>
      </c>
      <c r="P7" s="36">
        <f>EDATE(Ts_Forecast_Reg_Start_Date,(P16-1)*Ts_Mths_In_Yr)</f>
        <v>45108</v>
      </c>
      <c r="Q7" s="36">
        <f>EDATE(Ts_Forecast_Reg_Start_Date,(Q16-1)*Ts_Mths_In_Yr)</f>
        <v>45474</v>
      </c>
      <c r="R7" s="36">
        <f>EDATE(Ts_Forecast_Reg_Start_Date,(R16-1)*Ts_Mths_In_Yr)</f>
        <v>45839</v>
      </c>
      <c r="S7" s="36">
        <f>EDATE(Ts_Forecast_Reg_Start_Date,(S16-1)*Ts_Mths_In_Yr)</f>
        <v>46204</v>
      </c>
      <c r="T7" s="36">
        <f>EDATE(Ts_Forecast_Reg_Start_Date,(T16-1)*Ts_Mths_In_Yr)</f>
        <v>46569</v>
      </c>
    </row>
    <row r="8" spans="1:20" hidden="1" outlineLevel="3">
      <c r="B8" s="30" t="s">
        <v>102</v>
      </c>
      <c r="C8" s="30"/>
      <c r="D8" s="30"/>
      <c r="E8" s="30"/>
      <c r="F8" s="30"/>
      <c r="G8" s="30"/>
      <c r="H8" s="30"/>
      <c r="I8" s="30"/>
      <c r="J8" s="36">
        <f>EOMONTH(J7,Ts_Mths_In_Yr-1)</f>
        <v>43465</v>
      </c>
      <c r="K8" s="36">
        <f>EOMONTH(K7,Ts_Mths_In_Yr-1)</f>
        <v>43830</v>
      </c>
      <c r="L8" s="36">
        <f>EOMONTH(L7,Ts_Mths_In_Yr-1)</f>
        <v>44196</v>
      </c>
      <c r="M8" s="36">
        <f>EOMONTH(M7,Ts_Mths_In_Yr-1)</f>
        <v>44561</v>
      </c>
      <c r="N8" s="36">
        <f>EOMONTH(N7,Ts_Mths_In_Yr-1)</f>
        <v>44926</v>
      </c>
      <c r="O8" s="36">
        <f>EOMONTH(O7,Ts_Stub_Length-1)</f>
        <v>45107</v>
      </c>
      <c r="P8" s="36">
        <f>EOMONTH(P7,Ts_Mths_In_Yr-1)</f>
        <v>45473</v>
      </c>
      <c r="Q8" s="36">
        <f>EOMONTH(Q7,Ts_Mths_In_Yr-1)</f>
        <v>45838</v>
      </c>
      <c r="R8" s="36">
        <f>EOMONTH(R7,Ts_Mths_In_Yr-1)</f>
        <v>46203</v>
      </c>
      <c r="S8" s="36">
        <f>EOMONTH(S7,Ts_Mths_In_Yr-1)</f>
        <v>46568</v>
      </c>
      <c r="T8" s="36">
        <f>EOMONTH(T7,Ts_Mths_In_Yr-1)</f>
        <v>46934</v>
      </c>
    </row>
    <row r="9" spans="1:20" hidden="1" outlineLevel="3">
      <c r="B9" s="30" t="s">
        <v>87</v>
      </c>
      <c r="C9" s="30"/>
      <c r="D9" s="30"/>
      <c r="E9" s="30"/>
      <c r="F9" s="30"/>
      <c r="G9" s="30"/>
      <c r="H9" s="30"/>
      <c r="I9" s="30"/>
      <c r="J9" s="14">
        <f t="shared" ref="J9:T9" si="3">DATEDIF(J7,J8,"m")+1</f>
        <v>12</v>
      </c>
      <c r="K9" s="14">
        <f t="shared" si="3"/>
        <v>12</v>
      </c>
      <c r="L9" s="14">
        <f t="shared" si="3"/>
        <v>12</v>
      </c>
      <c r="M9" s="14">
        <f t="shared" si="3"/>
        <v>12</v>
      </c>
      <c r="N9" s="14">
        <f t="shared" si="3"/>
        <v>12</v>
      </c>
      <c r="O9" s="14">
        <f t="shared" si="3"/>
        <v>6</v>
      </c>
      <c r="P9" s="38">
        <f t="shared" si="3"/>
        <v>12</v>
      </c>
      <c r="Q9" s="38">
        <f t="shared" si="3"/>
        <v>12</v>
      </c>
      <c r="R9" s="38">
        <f t="shared" si="3"/>
        <v>12</v>
      </c>
      <c r="S9" s="38">
        <f t="shared" si="3"/>
        <v>12</v>
      </c>
      <c r="T9" s="38">
        <f t="shared" si="3"/>
        <v>12</v>
      </c>
    </row>
    <row r="10" spans="1:20" hidden="1" outlineLevel="3">
      <c r="B10" s="30" t="s">
        <v>72</v>
      </c>
      <c r="C10" s="30"/>
      <c r="D10" s="30"/>
      <c r="E10" s="30"/>
      <c r="F10" s="30"/>
      <c r="G10" s="30"/>
      <c r="H10" s="30"/>
      <c r="I10" s="30"/>
      <c r="J10" s="40">
        <f>COLUMNS($J$10:J10)</f>
        <v>1</v>
      </c>
      <c r="K10" s="40">
        <f>COLUMNS($J$10:K10)</f>
        <v>2</v>
      </c>
      <c r="L10" s="40">
        <f>COLUMNS($J$10:L10)</f>
        <v>3</v>
      </c>
      <c r="M10" s="40">
        <f>COLUMNS($J$10:M10)</f>
        <v>4</v>
      </c>
      <c r="N10" s="40">
        <f>COLUMNS($J$10:N10)</f>
        <v>5</v>
      </c>
      <c r="O10" s="40">
        <f>COLUMNS($J$10:O10)</f>
        <v>6</v>
      </c>
      <c r="P10" s="40">
        <f>COLUMNS($J$10:P10)</f>
        <v>7</v>
      </c>
      <c r="Q10" s="40">
        <f>COLUMNS($J$10:Q10)</f>
        <v>8</v>
      </c>
      <c r="R10" s="40">
        <f>COLUMNS($J$10:R10)</f>
        <v>9</v>
      </c>
      <c r="S10" s="40">
        <f>COLUMNS($J$10:S10)</f>
        <v>10</v>
      </c>
      <c r="T10" s="40">
        <f>COLUMNS($J$10:T10)</f>
        <v>11</v>
      </c>
    </row>
    <row r="11" spans="1:20" hidden="1" outlineLevel="3">
      <c r="B11" s="30" t="s">
        <v>76</v>
      </c>
      <c r="C11" s="30"/>
      <c r="D11" s="30"/>
      <c r="E11" s="30"/>
      <c r="F11" s="30"/>
      <c r="G11" s="30"/>
      <c r="H11" s="30"/>
      <c r="I11" s="30"/>
      <c r="J11" s="40">
        <f>(J12&lt;&gt;0)*1</f>
        <v>1</v>
      </c>
      <c r="K11" s="40">
        <f>(K12&lt;&gt;0)*1</f>
        <v>1</v>
      </c>
      <c r="L11" s="40">
        <f>(L12&lt;&gt;0)*1</f>
        <v>1</v>
      </c>
      <c r="M11" s="40">
        <f>(M12&lt;&gt;0)*1</f>
        <v>1</v>
      </c>
      <c r="N11" s="40">
        <f>(N12&lt;&gt;0)*1</f>
        <v>1</v>
      </c>
      <c r="O11" s="45">
        <v>0</v>
      </c>
      <c r="P11" s="45">
        <v>0</v>
      </c>
      <c r="Q11" s="45">
        <v>0</v>
      </c>
      <c r="R11" s="45">
        <v>0</v>
      </c>
      <c r="S11" s="45">
        <v>0</v>
      </c>
      <c r="T11" s="45">
        <v>0</v>
      </c>
    </row>
    <row r="12" spans="1:20" hidden="1" outlineLevel="3">
      <c r="B12" s="30" t="s">
        <v>96</v>
      </c>
      <c r="C12" s="30"/>
      <c r="D12" s="30"/>
      <c r="E12" s="30"/>
      <c r="F12" s="30"/>
      <c r="G12" s="30"/>
      <c r="H12" s="30"/>
      <c r="I12" s="30"/>
      <c r="J12" s="40">
        <f>COLUMNS($J$10:J10)</f>
        <v>1</v>
      </c>
      <c r="K12" s="40">
        <f>COLUMNS($J$10:K10)</f>
        <v>2</v>
      </c>
      <c r="L12" s="40">
        <f>COLUMNS($J$10:L10)</f>
        <v>3</v>
      </c>
      <c r="M12" s="40">
        <f>COLUMNS($J$10:M10)</f>
        <v>4</v>
      </c>
      <c r="N12" s="40">
        <f>COLUMNS($J$10:N10)</f>
        <v>5</v>
      </c>
      <c r="O12" s="45">
        <v>0</v>
      </c>
      <c r="P12" s="45">
        <v>0</v>
      </c>
      <c r="Q12" s="45">
        <v>0</v>
      </c>
      <c r="R12" s="45">
        <v>0</v>
      </c>
      <c r="S12" s="45">
        <v>0</v>
      </c>
      <c r="T12" s="45">
        <v>0</v>
      </c>
    </row>
    <row r="13" spans="1:20" hidden="1" outlineLevel="3">
      <c r="B13" s="30" t="s">
        <v>79</v>
      </c>
      <c r="C13" s="30"/>
      <c r="D13" s="30"/>
      <c r="E13" s="30"/>
      <c r="F13" s="30"/>
      <c r="G13" s="30"/>
      <c r="H13" s="30"/>
      <c r="I13" s="30"/>
      <c r="J13" s="45">
        <v>0</v>
      </c>
      <c r="K13" s="45">
        <v>0</v>
      </c>
      <c r="L13" s="45">
        <v>0</v>
      </c>
      <c r="M13" s="45">
        <v>0</v>
      </c>
      <c r="N13" s="45">
        <v>0</v>
      </c>
      <c r="O13" s="40">
        <f>(O14&lt;&gt;0)*1</f>
        <v>1</v>
      </c>
      <c r="P13" s="45">
        <v>0</v>
      </c>
      <c r="Q13" s="45">
        <v>0</v>
      </c>
      <c r="R13" s="45">
        <v>0</v>
      </c>
      <c r="S13" s="45">
        <v>0</v>
      </c>
      <c r="T13" s="45">
        <v>0</v>
      </c>
    </row>
    <row r="14" spans="1:20" hidden="1" outlineLevel="3">
      <c r="B14" s="30" t="s">
        <v>97</v>
      </c>
      <c r="C14" s="30"/>
      <c r="D14" s="30"/>
      <c r="E14" s="30"/>
      <c r="F14" s="30"/>
      <c r="G14" s="30"/>
      <c r="H14" s="30"/>
      <c r="I14" s="30"/>
      <c r="J14" s="45">
        <v>0</v>
      </c>
      <c r="K14" s="45">
        <v>0</v>
      </c>
      <c r="L14" s="45">
        <v>0</v>
      </c>
      <c r="M14" s="45">
        <v>0</v>
      </c>
      <c r="N14" s="45">
        <v>0</v>
      </c>
      <c r="O14" s="40">
        <f>COLUMNS($O$14:O14)</f>
        <v>1</v>
      </c>
      <c r="P14" s="45">
        <v>0</v>
      </c>
      <c r="Q14" s="45">
        <v>0</v>
      </c>
      <c r="R14" s="45">
        <v>0</v>
      </c>
      <c r="S14" s="45">
        <v>0</v>
      </c>
      <c r="T14" s="45">
        <v>0</v>
      </c>
    </row>
    <row r="15" spans="1:20" hidden="1" outlineLevel="3">
      <c r="B15" s="30" t="s">
        <v>82</v>
      </c>
      <c r="C15" s="30"/>
      <c r="D15" s="30"/>
      <c r="E15" s="30"/>
      <c r="F15" s="30"/>
      <c r="G15" s="30"/>
      <c r="H15" s="30"/>
      <c r="I15" s="30"/>
      <c r="J15" s="45">
        <v>0</v>
      </c>
      <c r="K15" s="45">
        <v>0</v>
      </c>
      <c r="L15" s="45">
        <v>0</v>
      </c>
      <c r="M15" s="45">
        <v>0</v>
      </c>
      <c r="N15" s="45">
        <v>0</v>
      </c>
      <c r="O15" s="45">
        <v>0</v>
      </c>
      <c r="P15" s="39">
        <f>(P16&lt;&gt;0)*1</f>
        <v>1</v>
      </c>
      <c r="Q15" s="39">
        <f>(Q16&lt;&gt;0)*1</f>
        <v>1</v>
      </c>
      <c r="R15" s="39">
        <f>(R16&lt;&gt;0)*1</f>
        <v>1</v>
      </c>
      <c r="S15" s="39">
        <f>(S16&lt;&gt;0)*1</f>
        <v>1</v>
      </c>
      <c r="T15" s="39">
        <f>(T16&lt;&gt;0)*1</f>
        <v>1</v>
      </c>
    </row>
    <row r="16" spans="1:20" hidden="1" outlineLevel="3">
      <c r="B16" s="30" t="s">
        <v>98</v>
      </c>
      <c r="C16" s="30"/>
      <c r="D16" s="30"/>
      <c r="E16" s="30"/>
      <c r="F16" s="30"/>
      <c r="G16" s="30"/>
      <c r="H16" s="30"/>
      <c r="I16" s="30"/>
      <c r="J16" s="45">
        <v>0</v>
      </c>
      <c r="K16" s="45">
        <v>0</v>
      </c>
      <c r="L16" s="45">
        <v>0</v>
      </c>
      <c r="M16" s="45">
        <v>0</v>
      </c>
      <c r="N16" s="45">
        <v>0</v>
      </c>
      <c r="O16" s="45">
        <v>0</v>
      </c>
      <c r="P16" s="39">
        <f>COLUMNS($P$16:P16)</f>
        <v>1</v>
      </c>
      <c r="Q16" s="39">
        <f>COLUMNS($P$16:Q16)</f>
        <v>2</v>
      </c>
      <c r="R16" s="39">
        <f>COLUMNS($P$16:R16)</f>
        <v>3</v>
      </c>
      <c r="S16" s="39">
        <f>COLUMNS($P$16:S16)</f>
        <v>4</v>
      </c>
      <c r="T16" s="39">
        <f>COLUMNS($P$16:T16)</f>
        <v>5</v>
      </c>
    </row>
    <row r="17" spans="2:20" hidden="1" outlineLevel="3">
      <c r="B17" s="30" t="s">
        <v>206</v>
      </c>
      <c r="C17" s="30"/>
      <c r="D17" s="30"/>
      <c r="E17" s="30"/>
      <c r="F17" s="30"/>
      <c r="G17" s="30"/>
      <c r="H17" s="30"/>
      <c r="I17" s="30"/>
      <c r="J17" s="39">
        <f t="shared" ref="J17:T17" si="4">IF(J$5&lt;=Ts_Last_Actual_Year,1,0)</f>
        <v>1</v>
      </c>
      <c r="K17" s="39">
        <f t="shared" si="4"/>
        <v>1</v>
      </c>
      <c r="L17" s="39">
        <f t="shared" si="4"/>
        <v>1</v>
      </c>
      <c r="M17" s="39">
        <f t="shared" si="4"/>
        <v>1</v>
      </c>
      <c r="N17" s="39">
        <f t="shared" si="4"/>
        <v>0</v>
      </c>
      <c r="O17" s="39">
        <f t="shared" si="4"/>
        <v>0</v>
      </c>
      <c r="P17" s="39">
        <f t="shared" si="4"/>
        <v>0</v>
      </c>
      <c r="Q17" s="39">
        <f t="shared" si="4"/>
        <v>0</v>
      </c>
      <c r="R17" s="39">
        <f t="shared" si="4"/>
        <v>0</v>
      </c>
      <c r="S17" s="39">
        <f t="shared" si="4"/>
        <v>0</v>
      </c>
      <c r="T17" s="39">
        <f t="shared" si="4"/>
        <v>0</v>
      </c>
    </row>
    <row r="18" spans="2:20" hidden="1" outlineLevel="3">
      <c r="B18" s="30" t="s">
        <v>207</v>
      </c>
      <c r="C18" s="30"/>
      <c r="D18" s="30"/>
      <c r="E18" s="30"/>
      <c r="F18" s="30"/>
      <c r="G18" s="30"/>
      <c r="H18" s="30"/>
      <c r="I18" s="30"/>
      <c r="J18" s="39">
        <f t="shared" ref="J18:T18" si="5">IF(J$5&gt;Ts_Last_Actual_Year,1,0)</f>
        <v>0</v>
      </c>
      <c r="K18" s="39">
        <f t="shared" si="5"/>
        <v>0</v>
      </c>
      <c r="L18" s="39">
        <f t="shared" si="5"/>
        <v>0</v>
      </c>
      <c r="M18" s="39">
        <f t="shared" si="5"/>
        <v>0</v>
      </c>
      <c r="N18" s="39">
        <f t="shared" si="5"/>
        <v>1</v>
      </c>
      <c r="O18" s="40">
        <f t="shared" si="5"/>
        <v>1</v>
      </c>
      <c r="P18" s="40">
        <f t="shared" si="5"/>
        <v>1</v>
      </c>
      <c r="Q18" s="40">
        <f t="shared" si="5"/>
        <v>1</v>
      </c>
      <c r="R18" s="40">
        <f t="shared" si="5"/>
        <v>1</v>
      </c>
      <c r="S18" s="40">
        <f t="shared" si="5"/>
        <v>1</v>
      </c>
      <c r="T18" s="40">
        <f t="shared" si="5"/>
        <v>1</v>
      </c>
    </row>
    <row r="19" spans="2:20" hidden="1" outlineLevel="3">
      <c r="B19" s="30" t="s">
        <v>208</v>
      </c>
      <c r="C19" s="30"/>
      <c r="D19" s="30"/>
      <c r="E19" s="30"/>
      <c r="F19" s="30"/>
      <c r="G19" s="30"/>
      <c r="H19" s="30"/>
      <c r="I19" s="30"/>
      <c r="J19" s="39">
        <f>SUM($J18:J18)</f>
        <v>0</v>
      </c>
      <c r="K19" s="39">
        <f>SUM($J18:K18)</f>
        <v>0</v>
      </c>
      <c r="L19" s="39">
        <f>SUM($J18:L18)</f>
        <v>0</v>
      </c>
      <c r="M19" s="39">
        <f>SUM($J18:M18)</f>
        <v>0</v>
      </c>
      <c r="N19" s="39">
        <f>SUM($J18:N18)</f>
        <v>1</v>
      </c>
      <c r="O19" s="40">
        <f>SUM($J18:O18)</f>
        <v>2</v>
      </c>
      <c r="P19" s="40">
        <f>SUM($J18:P18)</f>
        <v>3</v>
      </c>
      <c r="Q19" s="40">
        <f>SUM($J18:Q18)</f>
        <v>4</v>
      </c>
      <c r="R19" s="40">
        <f>SUM($J18:R18)</f>
        <v>5</v>
      </c>
      <c r="S19" s="40">
        <f>SUM($J18:S18)</f>
        <v>6</v>
      </c>
      <c r="T19" s="40">
        <f>SUM($J18:T18)</f>
        <v>7</v>
      </c>
    </row>
    <row r="20" spans="2:20" hidden="1" outlineLevel="3">
      <c r="B20" s="30" t="s">
        <v>481</v>
      </c>
      <c r="C20" s="30"/>
      <c r="D20" s="30"/>
      <c r="E20" s="30"/>
      <c r="F20" s="30"/>
      <c r="G20" s="30"/>
      <c r="H20" s="30"/>
      <c r="I20" s="30"/>
      <c r="J20" s="38">
        <f t="shared" ref="J20:N20" si="6">J9/12</f>
        <v>1</v>
      </c>
      <c r="K20" s="38">
        <f t="shared" si="6"/>
        <v>1</v>
      </c>
      <c r="L20" s="38">
        <f t="shared" si="6"/>
        <v>1</v>
      </c>
      <c r="M20" s="38">
        <f t="shared" si="6"/>
        <v>1</v>
      </c>
      <c r="N20" s="38">
        <f t="shared" si="6"/>
        <v>1</v>
      </c>
      <c r="O20" s="38">
        <f>O9/12</f>
        <v>0.5</v>
      </c>
      <c r="P20" s="38">
        <f t="shared" ref="P20:T20" si="7">P9/12</f>
        <v>1</v>
      </c>
      <c r="Q20" s="38">
        <f t="shared" si="7"/>
        <v>1</v>
      </c>
      <c r="R20" s="38">
        <f t="shared" si="7"/>
        <v>1</v>
      </c>
      <c r="S20" s="38">
        <f t="shared" si="7"/>
        <v>1</v>
      </c>
      <c r="T20" s="38">
        <f t="shared" si="7"/>
        <v>1</v>
      </c>
    </row>
    <row r="21" spans="2:20" hidden="1" outlineLevel="3">
      <c r="B21" s="30"/>
      <c r="C21" s="30"/>
      <c r="D21" s="30"/>
      <c r="E21" s="30"/>
      <c r="F21" s="30"/>
      <c r="G21" s="30"/>
      <c r="H21" s="30"/>
      <c r="I21" s="30"/>
      <c r="J21" s="30"/>
      <c r="K21" s="30"/>
      <c r="L21" s="30"/>
      <c r="M21" s="30"/>
      <c r="N21" s="30"/>
      <c r="O21" s="30"/>
      <c r="P21" s="30"/>
      <c r="Q21" s="30"/>
      <c r="R21" s="30"/>
      <c r="S21" s="30"/>
      <c r="T21" s="30"/>
    </row>
    <row r="22" spans="2:20" collapsed="1"/>
    <row r="23" spans="2:20" ht="14">
      <c r="B23" s="110" t="s">
        <v>238</v>
      </c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</row>
    <row r="24" spans="2:20" ht="5.9" customHeight="1"/>
    <row r="25" spans="2:20" ht="14">
      <c r="B25" s="56" t="str">
        <f>GC!F14</f>
        <v>Domestic Meters - Planned</v>
      </c>
    </row>
    <row r="26" spans="2:20" ht="5.9" customHeight="1" outlineLevel="1"/>
    <row r="27" spans="2:20" hidden="1" outlineLevel="2">
      <c r="C27" s="37" t="s">
        <v>204</v>
      </c>
    </row>
    <row r="28" spans="2:20" ht="5.9" hidden="1" customHeight="1" outlineLevel="2"/>
    <row r="29" spans="2:20" hidden="1" outlineLevel="2">
      <c r="D29" s="51" t="s">
        <v>103</v>
      </c>
      <c r="J29" s="92">
        <f>Rates!J42</f>
        <v>1</v>
      </c>
      <c r="K29" s="92">
        <f>Rates!K42</f>
        <v>1</v>
      </c>
      <c r="L29" s="92">
        <f>Rates!L42</f>
        <v>1</v>
      </c>
      <c r="M29" s="92">
        <f>Rates!M42</f>
        <v>1</v>
      </c>
      <c r="N29" s="92">
        <f>Rates!N42</f>
        <v>1</v>
      </c>
      <c r="O29" s="92">
        <f>Rates!O42</f>
        <v>1.0051959235721353</v>
      </c>
      <c r="P29" s="92">
        <f>Rates!P42</f>
        <v>1.0102301741405761</v>
      </c>
      <c r="Q29" s="92">
        <f>Rates!Q42</f>
        <v>1.0181072873442809</v>
      </c>
      <c r="R29" s="92">
        <f>Rates!R42</f>
        <v>1.0293150686557422</v>
      </c>
      <c r="S29" s="92">
        <f>Rates!S42</f>
        <v>1.040646230246951</v>
      </c>
      <c r="T29" s="92">
        <f>Rates!T42</f>
        <v>1.0521021303433229</v>
      </c>
    </row>
    <row r="30" spans="2:20" hidden="1" outlineLevel="2">
      <c r="D30" s="51" t="s">
        <v>104</v>
      </c>
      <c r="J30" s="92">
        <f>Rates!J43</f>
        <v>1</v>
      </c>
      <c r="K30" s="92">
        <f>Rates!K43</f>
        <v>1</v>
      </c>
      <c r="L30" s="92">
        <f>Rates!L43</f>
        <v>1</v>
      </c>
      <c r="M30" s="92">
        <f>Rates!M43</f>
        <v>1</v>
      </c>
      <c r="N30" s="92">
        <f>Rates!N43</f>
        <v>1</v>
      </c>
      <c r="O30" s="92">
        <f>Rates!O43</f>
        <v>1</v>
      </c>
      <c r="P30" s="92">
        <f>Rates!P43</f>
        <v>1</v>
      </c>
      <c r="Q30" s="92">
        <f>Rates!Q43</f>
        <v>1</v>
      </c>
      <c r="R30" s="92">
        <f>Rates!R43</f>
        <v>1</v>
      </c>
      <c r="S30" s="92">
        <f>Rates!S43</f>
        <v>1</v>
      </c>
      <c r="T30" s="92">
        <f>Rates!T43</f>
        <v>1</v>
      </c>
    </row>
    <row r="31" spans="2:20" hidden="1" outlineLevel="2">
      <c r="D31" s="51" t="s">
        <v>130</v>
      </c>
      <c r="J31" s="92">
        <f>Rates!J45</f>
        <v>1</v>
      </c>
      <c r="K31" s="92">
        <f>Rates!K45</f>
        <v>1</v>
      </c>
      <c r="L31" s="92">
        <f>Rates!L45</f>
        <v>1</v>
      </c>
      <c r="M31" s="92">
        <f>Rates!M45</f>
        <v>1</v>
      </c>
      <c r="N31" s="92">
        <f>Rates!N45</f>
        <v>1</v>
      </c>
      <c r="O31" s="92">
        <f>Rates!O45</f>
        <v>1</v>
      </c>
      <c r="P31" s="92">
        <f>Rates!P45</f>
        <v>1</v>
      </c>
      <c r="Q31" s="92">
        <f>Rates!Q45</f>
        <v>1</v>
      </c>
      <c r="R31" s="92">
        <f>Rates!R45</f>
        <v>1</v>
      </c>
      <c r="S31" s="92">
        <f>Rates!S45</f>
        <v>1</v>
      </c>
      <c r="T31" s="92">
        <f>Rates!T45</f>
        <v>1</v>
      </c>
    </row>
    <row r="32" spans="2:20" ht="5.9" hidden="1" customHeight="1" outlineLevel="2"/>
    <row r="33" spans="3:20" hidden="1" outlineLevel="2">
      <c r="C33" s="37" t="s">
        <v>105</v>
      </c>
    </row>
    <row r="34" spans="3:20" ht="5.9" hidden="1" customHeight="1" outlineLevel="2"/>
    <row r="35" spans="3:20" hidden="1" outlineLevel="2">
      <c r="D35" s="51" t="s">
        <v>106</v>
      </c>
      <c r="J35" s="100">
        <f>Rates!J50</f>
        <v>6.9591273870889495E-2</v>
      </c>
      <c r="K35" s="100">
        <f>Rates!K50</f>
        <v>7.3934468928182201E-2</v>
      </c>
      <c r="L35" s="100">
        <f>Rates!L50</f>
        <v>7.5085976469407303E-2</v>
      </c>
      <c r="M35" s="100">
        <f>Rates!M50</f>
        <v>8.0103391005934096E-2</v>
      </c>
      <c r="N35" s="100">
        <f>Rates!N50</f>
        <v>3.7711007382937055E-2</v>
      </c>
      <c r="O35" s="100">
        <f>Rates!O50</f>
        <v>3.3283969054706777E-2</v>
      </c>
      <c r="P35" s="100">
        <f>Rates!P50</f>
        <v>2.6752660513445464E-2</v>
      </c>
      <c r="Q35" s="100">
        <f>Rates!Q50</f>
        <v>2.6060587348993774E-2</v>
      </c>
      <c r="R35" s="100">
        <f>Rates!R50</f>
        <v>2.6873005987587139E-2</v>
      </c>
      <c r="S35" s="100">
        <f>Rates!S50</f>
        <v>2.8546178928104012E-2</v>
      </c>
      <c r="T35" s="100">
        <f>Rates!T50</f>
        <v>2.9920378203686534E-2</v>
      </c>
    </row>
    <row r="36" spans="3:20" hidden="1" outlineLevel="2">
      <c r="D36" s="51" t="s">
        <v>107</v>
      </c>
      <c r="J36" s="100">
        <f>Rates!J51</f>
        <v>5.5842732834613398E-2</v>
      </c>
      <c r="K36" s="100">
        <f>Rates!K51</f>
        <v>5.16564294790849E-2</v>
      </c>
      <c r="L36" s="100">
        <f>Rates!L51</f>
        <v>6.0535031919173997E-2</v>
      </c>
      <c r="M36" s="100">
        <f>Rates!M51</f>
        <v>7.1630695797579302E-2</v>
      </c>
      <c r="N36" s="100">
        <f>Rates!N51</f>
        <v>7.4343858126268231E-2</v>
      </c>
      <c r="O36" s="100">
        <f>Rates!O51</f>
        <v>7.4059082290758096E-2</v>
      </c>
      <c r="P36" s="100">
        <f>Rates!P51</f>
        <v>2.4388539961794877E-2</v>
      </c>
      <c r="Q36" s="100">
        <f>Rates!Q51</f>
        <v>2.1171310758207256E-2</v>
      </c>
      <c r="R36" s="100">
        <f>Rates!R51</f>
        <v>2.0024144075344485E-2</v>
      </c>
      <c r="S36" s="100">
        <f>Rates!S51</f>
        <v>3.9620009613577346E-2</v>
      </c>
      <c r="T36" s="100">
        <f>Rates!T51</f>
        <v>5.404914337922874E-2</v>
      </c>
    </row>
    <row r="37" spans="3:20" hidden="1" outlineLevel="2">
      <c r="D37" s="51" t="s">
        <v>108</v>
      </c>
      <c r="J37" s="100">
        <f>Rates!J52</f>
        <v>0</v>
      </c>
      <c r="K37" s="100">
        <f>Rates!K52</f>
        <v>0</v>
      </c>
      <c r="L37" s="100">
        <f>Rates!L52</f>
        <v>0</v>
      </c>
      <c r="M37" s="100">
        <f>Rates!M52</f>
        <v>0</v>
      </c>
      <c r="N37" s="100">
        <f>Rates!N52</f>
        <v>0</v>
      </c>
      <c r="O37" s="100">
        <f>Rates!O52</f>
        <v>0</v>
      </c>
      <c r="P37" s="100">
        <f>Rates!P52</f>
        <v>0</v>
      </c>
      <c r="Q37" s="100">
        <f>Rates!Q52</f>
        <v>0</v>
      </c>
      <c r="R37" s="100">
        <f>Rates!R52</f>
        <v>0</v>
      </c>
      <c r="S37" s="100">
        <f>Rates!S52</f>
        <v>0</v>
      </c>
      <c r="T37" s="100">
        <f>Rates!T52</f>
        <v>0</v>
      </c>
    </row>
    <row r="38" spans="3:20" outlineLevel="1" collapsed="1"/>
    <row r="39" spans="3:20" ht="5.9" customHeight="1" outlineLevel="1"/>
    <row r="40" spans="3:20" outlineLevel="1">
      <c r="C40" s="37" t="s">
        <v>118</v>
      </c>
    </row>
    <row r="41" spans="3:20" ht="5.9" customHeight="1" outlineLevel="1"/>
    <row r="42" spans="3:20" outlineLevel="1">
      <c r="D42" s="37" t="s">
        <v>160</v>
      </c>
      <c r="H42" s="107" t="s">
        <v>192</v>
      </c>
    </row>
    <row r="43" spans="3:20" ht="5.9" customHeight="1" outlineLevel="1"/>
    <row r="44" spans="3:20" outlineLevel="1">
      <c r="D44" s="102" t="str">
        <f>Work_Codes!D132</f>
        <v>In-Service Compliance Testing</v>
      </c>
      <c r="H44" s="62" t="s">
        <v>198</v>
      </c>
      <c r="J44" s="125"/>
      <c r="K44" s="125"/>
      <c r="L44" s="125"/>
      <c r="M44" s="193"/>
      <c r="N44" s="217"/>
      <c r="O44" s="212"/>
      <c r="P44" s="212"/>
      <c r="Q44" s="212"/>
      <c r="R44" s="212"/>
      <c r="S44" s="212"/>
      <c r="T44" s="212"/>
    </row>
    <row r="45" spans="3:20" outlineLevel="1">
      <c r="D45" s="102" t="str">
        <f>Work_Codes!D133</f>
        <v>Time Expired</v>
      </c>
      <c r="H45" s="62" t="s">
        <v>198</v>
      </c>
      <c r="J45" s="125"/>
      <c r="K45" s="125"/>
      <c r="L45" s="125"/>
      <c r="M45" s="178"/>
      <c r="N45" s="211"/>
      <c r="O45" s="211"/>
      <c r="P45" s="211"/>
      <c r="Q45" s="211"/>
      <c r="R45" s="211"/>
      <c r="S45" s="211"/>
      <c r="T45" s="211"/>
    </row>
    <row r="46" spans="3:20" outlineLevel="1">
      <c r="D46" s="102" t="str">
        <f>Work_Codes!D134</f>
        <v>"No Access" Non-Compliant</v>
      </c>
      <c r="H46" s="62" t="s">
        <v>198</v>
      </c>
      <c r="J46" s="125"/>
      <c r="K46" s="125"/>
      <c r="L46" s="125"/>
      <c r="M46" s="193"/>
      <c r="N46" s="217"/>
      <c r="O46" s="212"/>
      <c r="P46" s="212"/>
      <c r="Q46" s="212"/>
      <c r="R46" s="212"/>
      <c r="S46" s="212"/>
      <c r="T46" s="212"/>
    </row>
    <row r="47" spans="3:20" outlineLevel="1">
      <c r="D47" s="102" t="str">
        <f>Work_Codes!D135</f>
        <v>"No Access" - backlog from prior years</v>
      </c>
      <c r="H47" s="63"/>
      <c r="J47" s="125"/>
      <c r="K47" s="125"/>
      <c r="L47" s="125"/>
      <c r="M47" s="193"/>
      <c r="N47" s="217"/>
      <c r="O47" s="212"/>
      <c r="P47" s="212"/>
      <c r="Q47" s="212"/>
      <c r="R47" s="212"/>
      <c r="S47" s="212"/>
      <c r="T47" s="212"/>
    </row>
    <row r="48" spans="3:20" outlineLevel="1">
      <c r="D48" s="102" t="str">
        <f>Work_Codes!D136</f>
        <v>Digital Meters trial</v>
      </c>
      <c r="H48" s="63"/>
      <c r="J48" s="125"/>
      <c r="K48" s="125"/>
      <c r="L48" s="125"/>
      <c r="M48" s="125"/>
      <c r="N48" s="212"/>
      <c r="O48" s="212"/>
      <c r="P48" s="212"/>
      <c r="Q48" s="211"/>
      <c r="R48" s="211"/>
      <c r="S48" s="211"/>
      <c r="T48" s="211"/>
    </row>
    <row r="49" spans="3:20" outlineLevel="1">
      <c r="D49" s="105"/>
      <c r="H49" s="58"/>
      <c r="J49" s="66"/>
      <c r="K49" s="66"/>
      <c r="L49" s="66"/>
      <c r="M49" s="66"/>
      <c r="N49" s="66"/>
      <c r="O49" s="66"/>
      <c r="P49" s="66"/>
      <c r="Q49" s="66"/>
      <c r="R49" s="66"/>
      <c r="S49" s="66"/>
      <c r="T49" s="66"/>
    </row>
    <row r="50" spans="3:20" outlineLevel="1">
      <c r="C50" s="37" t="s">
        <v>119</v>
      </c>
    </row>
    <row r="51" spans="3:20" ht="5.9" customHeight="1" outlineLevel="1"/>
    <row r="52" spans="3:20" outlineLevel="1">
      <c r="D52" s="37" t="str">
        <f>D42</f>
        <v>Capex Category</v>
      </c>
    </row>
    <row r="53" spans="3:20" ht="5.9" customHeight="1" outlineLevel="1"/>
    <row r="54" spans="3:20" outlineLevel="1">
      <c r="D54" s="102" t="str">
        <f>Work_Codes!D132</f>
        <v>In-Service Compliance Testing</v>
      </c>
      <c r="J54" s="163"/>
      <c r="K54" s="163"/>
      <c r="L54" s="163"/>
      <c r="M54" s="163"/>
      <c r="N54" s="213"/>
      <c r="O54" s="215"/>
      <c r="P54" s="213"/>
      <c r="Q54" s="213"/>
      <c r="R54" s="213"/>
      <c r="S54" s="213"/>
      <c r="T54" s="213"/>
    </row>
    <row r="55" spans="3:20" outlineLevel="1">
      <c r="D55" s="102" t="str">
        <f>Work_Codes!D133</f>
        <v>Time Expired</v>
      </c>
      <c r="J55" s="163"/>
      <c r="K55" s="163"/>
      <c r="L55" s="163"/>
      <c r="M55" s="163"/>
      <c r="N55" s="213"/>
      <c r="O55" s="215"/>
      <c r="P55" s="213"/>
      <c r="Q55" s="213"/>
      <c r="R55" s="213"/>
      <c r="S55" s="213"/>
      <c r="T55" s="213"/>
    </row>
    <row r="56" spans="3:20" outlineLevel="1">
      <c r="D56" s="102" t="str">
        <f>Work_Codes!D134</f>
        <v>"No Access" Non-Compliant</v>
      </c>
      <c r="J56" s="163"/>
      <c r="K56" s="163"/>
      <c r="L56" s="163"/>
      <c r="M56" s="163"/>
      <c r="N56" s="213"/>
      <c r="O56" s="215"/>
      <c r="P56" s="213"/>
      <c r="Q56" s="213"/>
      <c r="R56" s="213"/>
      <c r="S56" s="213"/>
      <c r="T56" s="213"/>
    </row>
    <row r="57" spans="3:20" outlineLevel="1">
      <c r="D57" s="102" t="str">
        <f>Work_Codes!D135</f>
        <v>"No Access" - backlog from prior years</v>
      </c>
      <c r="J57" s="163"/>
      <c r="K57" s="163"/>
      <c r="L57" s="209"/>
      <c r="M57" s="163"/>
      <c r="N57" s="213"/>
      <c r="O57" s="213"/>
      <c r="P57" s="213"/>
      <c r="Q57" s="213"/>
      <c r="R57" s="213"/>
      <c r="S57" s="213"/>
      <c r="T57" s="213"/>
    </row>
    <row r="58" spans="3:20" outlineLevel="1">
      <c r="D58" s="102" t="str">
        <f>Work_Codes!D136</f>
        <v>Digital Meters trial</v>
      </c>
      <c r="J58" s="163"/>
      <c r="K58" s="163"/>
      <c r="L58" s="209"/>
      <c r="M58" s="163"/>
      <c r="N58" s="213"/>
      <c r="O58" s="213"/>
      <c r="P58" s="214"/>
      <c r="Q58" s="213"/>
      <c r="R58" s="213"/>
      <c r="S58" s="214"/>
      <c r="T58" s="214"/>
    </row>
    <row r="59" spans="3:20" outlineLevel="1"/>
    <row r="60" spans="3:20" outlineLevel="1">
      <c r="C60" s="37" t="s">
        <v>193</v>
      </c>
    </row>
    <row r="61" spans="3:20" ht="5.9" customHeight="1" outlineLevel="1"/>
    <row r="62" spans="3:20" outlineLevel="1">
      <c r="D62" s="37" t="str">
        <f>D42</f>
        <v>Capex Category</v>
      </c>
    </row>
    <row r="63" spans="3:20" ht="5.9" customHeight="1" outlineLevel="1"/>
    <row r="64" spans="3:20" outlineLevel="1">
      <c r="D64" s="102" t="str">
        <f>Work_Codes!D132</f>
        <v>In-Service Compliance Testing</v>
      </c>
      <c r="J64" s="81">
        <v>0</v>
      </c>
      <c r="K64" s="81">
        <v>0</v>
      </c>
      <c r="L64" s="81">
        <v>0</v>
      </c>
      <c r="M64" s="81">
        <v>0</v>
      </c>
      <c r="N64" s="81">
        <v>153153.30154783381</v>
      </c>
      <c r="O64" s="81">
        <v>107340.42</v>
      </c>
      <c r="P64" s="81">
        <v>214680.84</v>
      </c>
      <c r="Q64" s="81">
        <v>384549.66</v>
      </c>
      <c r="R64" s="81">
        <v>298468.89600000001</v>
      </c>
      <c r="S64" s="81">
        <v>91708.319999999992</v>
      </c>
      <c r="T64" s="81">
        <v>149026.01999999999</v>
      </c>
    </row>
    <row r="65" spans="3:20" outlineLevel="1">
      <c r="D65" s="102" t="str">
        <f>Work_Codes!D133</f>
        <v>Time Expired</v>
      </c>
      <c r="J65" s="81">
        <v>0</v>
      </c>
      <c r="K65" s="81">
        <v>0</v>
      </c>
      <c r="L65" s="81">
        <v>0</v>
      </c>
      <c r="M65" s="81">
        <v>0</v>
      </c>
      <c r="N65" s="81">
        <v>3051196.969145813</v>
      </c>
      <c r="O65" s="81">
        <v>1740061.7752</v>
      </c>
      <c r="P65" s="81">
        <v>3480123.5504000001</v>
      </c>
      <c r="Q65" s="81">
        <v>3906440.0340000005</v>
      </c>
      <c r="R65" s="81">
        <v>4257837.5658</v>
      </c>
      <c r="S65" s="81">
        <v>3414443.0292000002</v>
      </c>
      <c r="T65" s="81">
        <v>3026833.5468000001</v>
      </c>
    </row>
    <row r="66" spans="3:20" outlineLevel="1">
      <c r="D66" s="102" t="str">
        <f>Work_Codes!D134</f>
        <v>"No Access" Non-Compliant</v>
      </c>
      <c r="J66" s="81">
        <v>0</v>
      </c>
      <c r="K66" s="81">
        <v>0</v>
      </c>
      <c r="L66" s="81">
        <v>0</v>
      </c>
      <c r="M66" s="81">
        <v>0</v>
      </c>
      <c r="N66" s="81">
        <v>0</v>
      </c>
      <c r="O66" s="81">
        <v>40935.465600000032</v>
      </c>
      <c r="P66" s="81">
        <v>81870.931200000065</v>
      </c>
      <c r="Q66" s="81">
        <v>91900.152000000075</v>
      </c>
      <c r="R66" s="81">
        <v>100166.88240000007</v>
      </c>
      <c r="S66" s="81">
        <v>80325.777600000059</v>
      </c>
      <c r="T66" s="81">
        <v>71207.150400000057</v>
      </c>
    </row>
    <row r="67" spans="3:20" outlineLevel="1">
      <c r="D67" s="102" t="str">
        <f>Work_Codes!D135</f>
        <v>"No Access" - backlog from prior years</v>
      </c>
      <c r="J67" s="81">
        <v>0</v>
      </c>
      <c r="K67" s="81">
        <v>0</v>
      </c>
      <c r="L67" s="81">
        <v>0</v>
      </c>
      <c r="M67" s="81">
        <v>0</v>
      </c>
      <c r="N67" s="81">
        <v>0</v>
      </c>
      <c r="O67" s="81">
        <v>0</v>
      </c>
      <c r="P67" s="81">
        <v>0</v>
      </c>
      <c r="Q67" s="81">
        <v>0</v>
      </c>
      <c r="R67" s="81">
        <v>0</v>
      </c>
      <c r="S67" s="81">
        <v>0</v>
      </c>
      <c r="T67" s="81">
        <v>0</v>
      </c>
    </row>
    <row r="68" spans="3:20" outlineLevel="1">
      <c r="D68" s="102" t="str">
        <f>Work_Codes!D136</f>
        <v>Digital Meters trial</v>
      </c>
      <c r="J68" s="81">
        <v>0</v>
      </c>
      <c r="K68" s="81">
        <v>0</v>
      </c>
      <c r="L68" s="81">
        <v>0</v>
      </c>
      <c r="M68" s="81">
        <v>0</v>
      </c>
      <c r="N68" s="81">
        <v>0</v>
      </c>
      <c r="O68" s="81">
        <v>0</v>
      </c>
      <c r="P68" s="81">
        <v>0</v>
      </c>
      <c r="Q68" s="81">
        <v>250000</v>
      </c>
      <c r="R68" s="81">
        <v>250000</v>
      </c>
      <c r="S68" s="81">
        <v>0</v>
      </c>
      <c r="T68" s="81">
        <v>0</v>
      </c>
    </row>
    <row r="69" spans="3:20" ht="5.9" customHeight="1" outlineLevel="1">
      <c r="D69" s="37"/>
      <c r="J69" s="78"/>
      <c r="K69" s="78"/>
      <c r="L69" s="78"/>
      <c r="M69" s="78"/>
      <c r="N69" s="78"/>
      <c r="O69" s="78"/>
      <c r="P69" s="78"/>
      <c r="Q69" s="78"/>
      <c r="R69" s="78"/>
      <c r="S69" s="78"/>
      <c r="T69" s="78"/>
    </row>
    <row r="70" spans="3:20" outlineLevel="1">
      <c r="D70" s="249" t="str">
        <f>"Total "&amp;B25</f>
        <v>Total Domestic Meters - Planned</v>
      </c>
      <c r="E70" s="249"/>
      <c r="F70" s="249"/>
      <c r="G70" s="249"/>
      <c r="H70" s="249"/>
      <c r="I70" s="249"/>
      <c r="J70" s="82">
        <f t="shared" ref="J70:T70" si="8">SUM(J64:J69)</f>
        <v>0</v>
      </c>
      <c r="K70" s="82">
        <f t="shared" si="8"/>
        <v>0</v>
      </c>
      <c r="L70" s="82">
        <f t="shared" si="8"/>
        <v>0</v>
      </c>
      <c r="M70" s="82">
        <f t="shared" si="8"/>
        <v>0</v>
      </c>
      <c r="N70" s="82">
        <f t="shared" si="8"/>
        <v>3204350.2706936467</v>
      </c>
      <c r="O70" s="82">
        <f t="shared" si="8"/>
        <v>1888337.6608</v>
      </c>
      <c r="P70" s="82">
        <f t="shared" si="8"/>
        <v>3776675.3215999999</v>
      </c>
      <c r="Q70" s="82">
        <f t="shared" si="8"/>
        <v>4632889.8459999999</v>
      </c>
      <c r="R70" s="82">
        <f t="shared" si="8"/>
        <v>4906473.3442000002</v>
      </c>
      <c r="S70" s="82">
        <f t="shared" si="8"/>
        <v>3586477.1268000002</v>
      </c>
      <c r="T70" s="82">
        <f t="shared" si="8"/>
        <v>3247066.7172000003</v>
      </c>
    </row>
    <row r="71" spans="3:20" outlineLevel="1"/>
    <row r="72" spans="3:20" outlineLevel="1">
      <c r="C72" s="37" t="s">
        <v>286</v>
      </c>
    </row>
    <row r="73" spans="3:20" ht="5.9" customHeight="1" outlineLevel="1"/>
    <row r="74" spans="3:20" outlineLevel="1">
      <c r="D74" s="143" t="str">
        <f>Work_Codes!D140</f>
        <v>Customer Contributions Category 1</v>
      </c>
      <c r="J74" s="148">
        <v>0</v>
      </c>
      <c r="K74" s="148">
        <v>0</v>
      </c>
      <c r="L74" s="148">
        <v>0</v>
      </c>
      <c r="M74" s="148">
        <v>0</v>
      </c>
      <c r="N74" s="148">
        <v>0</v>
      </c>
      <c r="O74" s="148">
        <v>0</v>
      </c>
      <c r="P74" s="148">
        <v>0</v>
      </c>
      <c r="Q74" s="148">
        <v>0</v>
      </c>
      <c r="R74" s="148">
        <v>0</v>
      </c>
      <c r="S74" s="148">
        <v>0</v>
      </c>
      <c r="T74" s="148">
        <v>0</v>
      </c>
    </row>
    <row r="75" spans="3:20" ht="5.9" customHeight="1" outlineLevel="1"/>
    <row r="76" spans="3:20" outlineLevel="1">
      <c r="D76" s="249" t="str">
        <f>"Total "&amp;C72</f>
        <v>Total Customer Connections</v>
      </c>
      <c r="E76" s="249"/>
      <c r="F76" s="249"/>
      <c r="G76" s="249"/>
      <c r="H76" s="249"/>
      <c r="I76" s="249"/>
      <c r="J76" s="82">
        <f t="shared" ref="J76:T76" si="9">SUM(J74:J75)</f>
        <v>0</v>
      </c>
      <c r="K76" s="82">
        <f t="shared" si="9"/>
        <v>0</v>
      </c>
      <c r="L76" s="82">
        <f t="shared" si="9"/>
        <v>0</v>
      </c>
      <c r="M76" s="82">
        <f t="shared" si="9"/>
        <v>0</v>
      </c>
      <c r="N76" s="82">
        <f t="shared" si="9"/>
        <v>0</v>
      </c>
      <c r="O76" s="82">
        <f t="shared" si="9"/>
        <v>0</v>
      </c>
      <c r="P76" s="82">
        <f t="shared" si="9"/>
        <v>0</v>
      </c>
      <c r="Q76" s="82">
        <f t="shared" si="9"/>
        <v>0</v>
      </c>
      <c r="R76" s="82">
        <f t="shared" si="9"/>
        <v>0</v>
      </c>
      <c r="S76" s="82">
        <f t="shared" si="9"/>
        <v>0</v>
      </c>
      <c r="T76" s="82">
        <f t="shared" si="9"/>
        <v>0</v>
      </c>
    </row>
    <row r="77" spans="3:20" outlineLevel="1">
      <c r="C77" s="12"/>
      <c r="D77" s="12"/>
      <c r="E77" s="12"/>
      <c r="F77" s="12"/>
      <c r="G77" s="12"/>
      <c r="H77" s="12"/>
      <c r="I77" s="12"/>
      <c r="J77" s="12"/>
      <c r="K77" s="12"/>
      <c r="L77" s="12"/>
      <c r="M77" s="12"/>
      <c r="N77" s="12"/>
      <c r="O77" s="12"/>
      <c r="P77" s="12"/>
      <c r="Q77" s="12"/>
      <c r="R77" s="12"/>
      <c r="S77" s="12"/>
      <c r="T77" s="12"/>
    </row>
    <row r="78" spans="3:20" outlineLevel="1"/>
    <row r="79" spans="3:20" outlineLevel="1">
      <c r="C79" s="37" t="s">
        <v>213</v>
      </c>
    </row>
    <row r="80" spans="3:20" ht="5.9" hidden="1" customHeight="1" outlineLevel="2"/>
    <row r="81" spans="3:20" hidden="1" outlineLevel="2">
      <c r="C81" s="37" t="s">
        <v>128</v>
      </c>
    </row>
    <row r="82" spans="3:20" ht="5.9" hidden="1" customHeight="1" outlineLevel="2"/>
    <row r="83" spans="3:20" hidden="1" outlineLevel="2">
      <c r="D83" s="102" t="str">
        <f>Work_Codes!D132</f>
        <v>In-Service Compliance Testing</v>
      </c>
      <c r="J83" s="81">
        <f>Work_Codes!$I132*J64*J$29</f>
        <v>0</v>
      </c>
      <c r="K83" s="81">
        <f>Work_Codes!$I132*K64*K$29</f>
        <v>0</v>
      </c>
      <c r="L83" s="81">
        <f>Work_Codes!$I132*L64*L$29</f>
        <v>0</v>
      </c>
      <c r="M83" s="81">
        <f>Work_Codes!$I132*M64*M$29</f>
        <v>0</v>
      </c>
      <c r="N83" s="81">
        <f>Work_Codes!$I132*N64*N$29</f>
        <v>19909.929201218394</v>
      </c>
      <c r="O83" s="81">
        <f>Work_Codes!$I132*O64*O$29</f>
        <v>14026.759840407718</v>
      </c>
      <c r="P83" s="81">
        <f>Work_Codes!$I132*P64*P$29</f>
        <v>28194.018109119872</v>
      </c>
      <c r="Q83" s="81">
        <f>Work_Codes!$I132*Q64*Q$29</f>
        <v>50896.665454929513</v>
      </c>
      <c r="R83" s="81">
        <f>Work_Codes!$I132*R64*R$29</f>
        <v>39938.409183119664</v>
      </c>
      <c r="S83" s="81">
        <f>Work_Codes!$I132*S64*S$29</f>
        <v>12406.669273736537</v>
      </c>
      <c r="T83" s="81">
        <f>Work_Codes!$I132*T64*T$29</f>
        <v>20382.777105416266</v>
      </c>
    </row>
    <row r="84" spans="3:20" hidden="1" outlineLevel="2">
      <c r="D84" s="102" t="str">
        <f>Work_Codes!D133</f>
        <v>Time Expired</v>
      </c>
      <c r="J84" s="81">
        <f>Work_Codes!$I133*J65*J$29</f>
        <v>0</v>
      </c>
      <c r="K84" s="81">
        <f>Work_Codes!$I133*K65*K$29</f>
        <v>0</v>
      </c>
      <c r="L84" s="81">
        <f>Work_Codes!$I133*L65*L$29</f>
        <v>0</v>
      </c>
      <c r="M84" s="81">
        <f>Work_Codes!$I133*M65*M$29</f>
        <v>0</v>
      </c>
      <c r="N84" s="81">
        <f>Work_Codes!$I133*N65*N$29</f>
        <v>61023.939382916258</v>
      </c>
      <c r="O84" s="81">
        <f>Work_Codes!$I133*O65*O$29</f>
        <v>34982.060063894671</v>
      </c>
      <c r="P84" s="81">
        <f>Work_Codes!$I133*P65*P$29</f>
        <v>70314.516407026254</v>
      </c>
      <c r="Q84" s="81">
        <f>Work_Codes!$I133*Q65*Q$29</f>
        <v>79543.501323776829</v>
      </c>
      <c r="R84" s="81">
        <f>Work_Codes!$I133*R65*R$29</f>
        <v>87653.127327328504</v>
      </c>
      <c r="S84" s="81">
        <f>Work_Codes!$I133*S65*S$29</f>
        <v>71064.545334599214</v>
      </c>
      <c r="T84" s="81">
        <f>Work_Codes!$I133*T65*T$29</f>
        <v>63690.760455658325</v>
      </c>
    </row>
    <row r="85" spans="3:20" hidden="1" outlineLevel="2">
      <c r="D85" s="102" t="str">
        <f>Work_Codes!D134</f>
        <v>"No Access" Non-Compliant</v>
      </c>
      <c r="J85" s="81">
        <f>Work_Codes!$I134*J66*J$29</f>
        <v>0</v>
      </c>
      <c r="K85" s="81">
        <f>Work_Codes!$I134*K66*K$29</f>
        <v>0</v>
      </c>
      <c r="L85" s="81">
        <f>Work_Codes!$I134*L66*L$29</f>
        <v>0</v>
      </c>
      <c r="M85" s="81">
        <f>Work_Codes!$I134*M66*M$29</f>
        <v>0</v>
      </c>
      <c r="N85" s="81">
        <f>Work_Codes!$I134*N66*N$29</f>
        <v>0</v>
      </c>
      <c r="O85" s="81">
        <f>Work_Codes!$I134*O66*O$29</f>
        <v>10287.040787661852</v>
      </c>
      <c r="P85" s="81">
        <f>Work_Codes!$I134*P66*P$29</f>
        <v>20677.121270806798</v>
      </c>
      <c r="Q85" s="81">
        <f>Work_Codes!$I134*Q66*Q$29</f>
        <v>23391.053614811794</v>
      </c>
      <c r="R85" s="81">
        <f>Work_Codes!$I134*R66*R$29</f>
        <v>25775.820358646932</v>
      </c>
      <c r="S85" s="81">
        <f>Work_Codes!$I134*S66*S$29</f>
        <v>20897.679412773759</v>
      </c>
      <c r="T85" s="81">
        <f>Work_Codes!$I134*T66*T$29</f>
        <v>18729.298657879364</v>
      </c>
    </row>
    <row r="86" spans="3:20" hidden="1" outlineLevel="2">
      <c r="D86" s="102" t="str">
        <f>Work_Codes!D135</f>
        <v>"No Access" - backlog from prior years</v>
      </c>
      <c r="J86" s="81">
        <f>Work_Codes!$I135*J67*J$29</f>
        <v>0</v>
      </c>
      <c r="K86" s="81">
        <f>Work_Codes!$I135*K67*K$29</f>
        <v>0</v>
      </c>
      <c r="L86" s="81">
        <f>Work_Codes!$I135*L67*L$29</f>
        <v>0</v>
      </c>
      <c r="M86" s="81">
        <f>Work_Codes!$I135*M67*M$29</f>
        <v>0</v>
      </c>
      <c r="N86" s="81">
        <f>Work_Codes!$I135*N67*N$29</f>
        <v>0</v>
      </c>
      <c r="O86" s="81">
        <f>Work_Codes!$I135*O67*O$29</f>
        <v>0</v>
      </c>
      <c r="P86" s="81">
        <f>Work_Codes!$I135*P67*P$29</f>
        <v>0</v>
      </c>
      <c r="Q86" s="81">
        <f>Work_Codes!$I135*Q67*Q$29</f>
        <v>0</v>
      </c>
      <c r="R86" s="81">
        <f>Work_Codes!$I135*R67*R$29</f>
        <v>0</v>
      </c>
      <c r="S86" s="81">
        <f>Work_Codes!$I135*S67*S$29</f>
        <v>0</v>
      </c>
      <c r="T86" s="81">
        <f>Work_Codes!$I135*T67*T$29</f>
        <v>0</v>
      </c>
    </row>
    <row r="87" spans="3:20" hidden="1" outlineLevel="2">
      <c r="D87" s="102" t="str">
        <f>Work_Codes!D136</f>
        <v>Digital Meters trial</v>
      </c>
      <c r="J87" s="81">
        <f>Work_Codes!$I136*J68*J$29</f>
        <v>0</v>
      </c>
      <c r="K87" s="81">
        <f>Work_Codes!$I136*K68*K$29</f>
        <v>0</v>
      </c>
      <c r="L87" s="81">
        <f>Work_Codes!$I136*L68*L$29</f>
        <v>0</v>
      </c>
      <c r="M87" s="81">
        <f>Work_Codes!$I136*M68*M$29</f>
        <v>0</v>
      </c>
      <c r="N87" s="81">
        <f>Work_Codes!$I136*N68*N$29</f>
        <v>0</v>
      </c>
      <c r="O87" s="81">
        <f>Work_Codes!$I136*O68*O$29</f>
        <v>0</v>
      </c>
      <c r="P87" s="81">
        <f>Work_Codes!$I136*P68*P$29</f>
        <v>0</v>
      </c>
      <c r="Q87" s="81">
        <f>Work_Codes!$I136*Q68*Q$29</f>
        <v>63631.705459017554</v>
      </c>
      <c r="R87" s="81">
        <f>Work_Codes!$I136*R68*R$29</f>
        <v>64332.191790983888</v>
      </c>
      <c r="S87" s="81">
        <f>Work_Codes!$I136*S68*S$29</f>
        <v>0</v>
      </c>
      <c r="T87" s="81">
        <f>Work_Codes!$I136*T68*T$29</f>
        <v>0</v>
      </c>
    </row>
    <row r="88" spans="3:20" ht="5.9" hidden="1" customHeight="1" outlineLevel="2"/>
    <row r="89" spans="3:20" hidden="1" outlineLevel="2">
      <c r="D89" s="249" t="str">
        <f>"Total "&amp;C81</f>
        <v>Total Internal Labour</v>
      </c>
      <c r="E89" s="249"/>
      <c r="F89" s="249"/>
      <c r="G89" s="249"/>
      <c r="H89" s="249"/>
      <c r="I89" s="249"/>
      <c r="J89" s="82">
        <f t="shared" ref="J89:T89" si="10">SUM(J83:J88)</f>
        <v>0</v>
      </c>
      <c r="K89" s="82">
        <f t="shared" si="10"/>
        <v>0</v>
      </c>
      <c r="L89" s="82">
        <f t="shared" si="10"/>
        <v>0</v>
      </c>
      <c r="M89" s="82">
        <f t="shared" si="10"/>
        <v>0</v>
      </c>
      <c r="N89" s="82">
        <f t="shared" si="10"/>
        <v>80933.868584134645</v>
      </c>
      <c r="O89" s="82">
        <f t="shared" si="10"/>
        <v>59295.860691964248</v>
      </c>
      <c r="P89" s="82">
        <f t="shared" si="10"/>
        <v>119185.65578695294</v>
      </c>
      <c r="Q89" s="82">
        <f t="shared" si="10"/>
        <v>217462.9258525357</v>
      </c>
      <c r="R89" s="82">
        <f t="shared" si="10"/>
        <v>217699.54866007902</v>
      </c>
      <c r="S89" s="82">
        <f t="shared" si="10"/>
        <v>104368.8940211095</v>
      </c>
      <c r="T89" s="82">
        <f t="shared" si="10"/>
        <v>102802.83621895396</v>
      </c>
    </row>
    <row r="90" spans="3:20" hidden="1" outlineLevel="2"/>
    <row r="91" spans="3:20" hidden="1" outlineLevel="2">
      <c r="C91" s="37" t="s">
        <v>129</v>
      </c>
    </row>
    <row r="92" spans="3:20" ht="5.9" hidden="1" customHeight="1" outlineLevel="2"/>
    <row r="93" spans="3:20" hidden="1" outlineLevel="2">
      <c r="D93" s="102" t="str">
        <f>Work_Codes!D132</f>
        <v>In-Service Compliance Testing</v>
      </c>
      <c r="J93" s="81">
        <f>Work_Codes!$J132*J64*J$30</f>
        <v>0</v>
      </c>
      <c r="K93" s="81">
        <f>Work_Codes!$J132*K64*K$30</f>
        <v>0</v>
      </c>
      <c r="L93" s="81">
        <f>Work_Codes!$J132*L64*L$30</f>
        <v>0</v>
      </c>
      <c r="M93" s="81">
        <f>Work_Codes!$J132*M64*M$30</f>
        <v>0</v>
      </c>
      <c r="N93" s="81">
        <f>Work_Codes!$J132*N64*N$30</f>
        <v>61261.320619133527</v>
      </c>
      <c r="O93" s="81">
        <f>Work_Codes!$J132*O64*O$30</f>
        <v>42936.168000000005</v>
      </c>
      <c r="P93" s="81">
        <f>Work_Codes!$J132*P64*P$30</f>
        <v>85872.33600000001</v>
      </c>
      <c r="Q93" s="81">
        <f>Work_Codes!$J132*Q64*Q$30</f>
        <v>153819.864</v>
      </c>
      <c r="R93" s="81">
        <f>Work_Codes!$J132*R64*R$30</f>
        <v>119387.55840000001</v>
      </c>
      <c r="S93" s="81">
        <f>Work_Codes!$J132*S64*S$30</f>
        <v>36683.328000000001</v>
      </c>
      <c r="T93" s="81">
        <f>Work_Codes!$J132*T64*T$30</f>
        <v>59610.407999999996</v>
      </c>
    </row>
    <row r="94" spans="3:20" hidden="1" outlineLevel="2">
      <c r="D94" s="102" t="str">
        <f>Work_Codes!D133</f>
        <v>Time Expired</v>
      </c>
      <c r="J94" s="81">
        <f>Work_Codes!$J133*J65*J$30</f>
        <v>0</v>
      </c>
      <c r="K94" s="81">
        <f>Work_Codes!$J133*K65*K$30</f>
        <v>0</v>
      </c>
      <c r="L94" s="81">
        <f>Work_Codes!$J133*L65*L$30</f>
        <v>0</v>
      </c>
      <c r="M94" s="81">
        <f>Work_Codes!$J133*M65*M$30</f>
        <v>0</v>
      </c>
      <c r="N94" s="81">
        <f>Work_Codes!$J133*N65*N$30</f>
        <v>1373038.636115616</v>
      </c>
      <c r="O94" s="81">
        <f>Work_Codes!$J133*O65*O$30</f>
        <v>783027.79884000006</v>
      </c>
      <c r="P94" s="81">
        <f>Work_Codes!$J133*P65*P$30</f>
        <v>1566055.5976800001</v>
      </c>
      <c r="Q94" s="81">
        <f>Work_Codes!$J133*Q65*Q$30</f>
        <v>1757898.0153000003</v>
      </c>
      <c r="R94" s="81">
        <f>Work_Codes!$J133*R65*R$30</f>
        <v>1916026.9046100001</v>
      </c>
      <c r="S94" s="81">
        <f>Work_Codes!$J133*S65*S$30</f>
        <v>1536499.36314</v>
      </c>
      <c r="T94" s="81">
        <f>Work_Codes!$J133*T65*T$30</f>
        <v>1362075.0960600001</v>
      </c>
    </row>
    <row r="95" spans="3:20" hidden="1" outlineLevel="2">
      <c r="D95" s="102" t="str">
        <f>Work_Codes!D134</f>
        <v>"No Access" Non-Compliant</v>
      </c>
      <c r="J95" s="81">
        <f>Work_Codes!$J134*J66*J$30</f>
        <v>0</v>
      </c>
      <c r="K95" s="81">
        <f>Work_Codes!$J134*K66*K$30</f>
        <v>0</v>
      </c>
      <c r="L95" s="81">
        <f>Work_Codes!$J134*L66*L$30</f>
        <v>0</v>
      </c>
      <c r="M95" s="81">
        <f>Work_Codes!$J134*M66*M$30</f>
        <v>0</v>
      </c>
      <c r="N95" s="81">
        <f>Work_Codes!$J134*N66*N$30</f>
        <v>0</v>
      </c>
      <c r="O95" s="81">
        <f>Work_Codes!$J134*O66*O$30</f>
        <v>20467.732800000016</v>
      </c>
      <c r="P95" s="81">
        <f>Work_Codes!$J134*P66*P$30</f>
        <v>40935.465600000032</v>
      </c>
      <c r="Q95" s="81">
        <f>Work_Codes!$J134*Q66*Q$30</f>
        <v>45950.076000000037</v>
      </c>
      <c r="R95" s="81">
        <f>Work_Codes!$J134*R66*R$30</f>
        <v>50083.441200000037</v>
      </c>
      <c r="S95" s="81">
        <f>Work_Codes!$J134*S66*S$30</f>
        <v>40162.88880000003</v>
      </c>
      <c r="T95" s="81">
        <f>Work_Codes!$J134*T66*T$30</f>
        <v>35603.575200000028</v>
      </c>
    </row>
    <row r="96" spans="3:20" hidden="1" outlineLevel="2">
      <c r="D96" s="102" t="str">
        <f>Work_Codes!D135</f>
        <v>"No Access" - backlog from prior years</v>
      </c>
      <c r="J96" s="81">
        <f>Work_Codes!$J135*J67*J$30</f>
        <v>0</v>
      </c>
      <c r="K96" s="81">
        <f>Work_Codes!$J135*K67*K$30</f>
        <v>0</v>
      </c>
      <c r="L96" s="81">
        <f>Work_Codes!$J135*L67*L$30</f>
        <v>0</v>
      </c>
      <c r="M96" s="81">
        <f>Work_Codes!$J135*M67*M$30</f>
        <v>0</v>
      </c>
      <c r="N96" s="81">
        <f>Work_Codes!$J135*N67*N$30</f>
        <v>0</v>
      </c>
      <c r="O96" s="81">
        <f>Work_Codes!$J135*O67*O$30</f>
        <v>0</v>
      </c>
      <c r="P96" s="81">
        <f>Work_Codes!$J135*P67*P$30</f>
        <v>0</v>
      </c>
      <c r="Q96" s="81">
        <f>Work_Codes!$J135*Q67*Q$30</f>
        <v>0</v>
      </c>
      <c r="R96" s="81">
        <f>Work_Codes!$J135*R67*R$30</f>
        <v>0</v>
      </c>
      <c r="S96" s="81">
        <f>Work_Codes!$J135*S67*S$30</f>
        <v>0</v>
      </c>
      <c r="T96" s="81">
        <f>Work_Codes!$J135*T67*T$30</f>
        <v>0</v>
      </c>
    </row>
    <row r="97" spans="3:20" hidden="1" outlineLevel="2">
      <c r="D97" s="102" t="str">
        <f>Work_Codes!D136</f>
        <v>Digital Meters trial</v>
      </c>
      <c r="J97" s="81">
        <f>Work_Codes!$J136*J68*J$30</f>
        <v>0</v>
      </c>
      <c r="K97" s="81">
        <f>Work_Codes!$J136*K68*K$30</f>
        <v>0</v>
      </c>
      <c r="L97" s="81">
        <f>Work_Codes!$J136*L68*L$30</f>
        <v>0</v>
      </c>
      <c r="M97" s="81">
        <f>Work_Codes!$J136*M68*M$30</f>
        <v>0</v>
      </c>
      <c r="N97" s="81">
        <f>Work_Codes!$J136*N68*N$30</f>
        <v>0</v>
      </c>
      <c r="O97" s="81">
        <f>Work_Codes!$J136*O68*O$30</f>
        <v>0</v>
      </c>
      <c r="P97" s="81">
        <f>Work_Codes!$J136*P68*P$30</f>
        <v>0</v>
      </c>
      <c r="Q97" s="81">
        <f>Work_Codes!$J136*Q68*Q$30</f>
        <v>125000</v>
      </c>
      <c r="R97" s="81">
        <f>Work_Codes!$J136*R68*R$30</f>
        <v>125000</v>
      </c>
      <c r="S97" s="81">
        <f>Work_Codes!$J136*S68*S$30</f>
        <v>0</v>
      </c>
      <c r="T97" s="81">
        <f>Work_Codes!$J136*T68*T$30</f>
        <v>0</v>
      </c>
    </row>
    <row r="98" spans="3:20" ht="5.9" hidden="1" customHeight="1" outlineLevel="2"/>
    <row r="99" spans="3:20" hidden="1" outlineLevel="2">
      <c r="D99" s="249" t="str">
        <f>"Total "&amp;C91</f>
        <v>Total External Labour</v>
      </c>
      <c r="E99" s="249"/>
      <c r="F99" s="249"/>
      <c r="G99" s="249"/>
      <c r="H99" s="249"/>
      <c r="I99" s="249"/>
      <c r="J99" s="82">
        <f t="shared" ref="J99:T99" si="11">SUM(J93:J98)</f>
        <v>0</v>
      </c>
      <c r="K99" s="82">
        <f t="shared" si="11"/>
        <v>0</v>
      </c>
      <c r="L99" s="82">
        <f t="shared" si="11"/>
        <v>0</v>
      </c>
      <c r="M99" s="82">
        <f t="shared" si="11"/>
        <v>0</v>
      </c>
      <c r="N99" s="82">
        <f t="shared" si="11"/>
        <v>1434299.9567347495</v>
      </c>
      <c r="O99" s="82">
        <f t="shared" si="11"/>
        <v>846431.69964000012</v>
      </c>
      <c r="P99" s="82">
        <f t="shared" si="11"/>
        <v>1692863.3992800002</v>
      </c>
      <c r="Q99" s="82">
        <f t="shared" si="11"/>
        <v>2082667.9553000005</v>
      </c>
      <c r="R99" s="82">
        <f t="shared" si="11"/>
        <v>2210497.9042100003</v>
      </c>
      <c r="S99" s="82">
        <f t="shared" si="11"/>
        <v>1613345.5799400001</v>
      </c>
      <c r="T99" s="82">
        <f t="shared" si="11"/>
        <v>1457289.0792600003</v>
      </c>
    </row>
    <row r="100" spans="3:20" hidden="1" outlineLevel="2"/>
    <row r="101" spans="3:20" hidden="1" outlineLevel="2">
      <c r="C101" s="37" t="s">
        <v>130</v>
      </c>
    </row>
    <row r="102" spans="3:20" ht="5.9" hidden="1" customHeight="1" outlineLevel="2"/>
    <row r="103" spans="3:20" hidden="1" outlineLevel="2">
      <c r="D103" s="102" t="str">
        <f>Work_Codes!D132</f>
        <v>In-Service Compliance Testing</v>
      </c>
      <c r="J103" s="81">
        <f>Work_Codes!$K132*J64*J$31</f>
        <v>0</v>
      </c>
      <c r="K103" s="81">
        <f>Work_Codes!$K132*K64*K$31</f>
        <v>0</v>
      </c>
      <c r="L103" s="81">
        <f>Work_Codes!$K132*L64*L$31</f>
        <v>0</v>
      </c>
      <c r="M103" s="81">
        <f>Work_Codes!$K132*M64*M$31</f>
        <v>0</v>
      </c>
      <c r="N103" s="81">
        <f>Work_Codes!$K132*N64*N$31</f>
        <v>71982.051727481885</v>
      </c>
      <c r="O103" s="81">
        <f>Work_Codes!$K132*O64*O$31</f>
        <v>50449.997399999993</v>
      </c>
      <c r="P103" s="81">
        <f>Work_Codes!$K132*P64*P$31</f>
        <v>100899.99479999999</v>
      </c>
      <c r="Q103" s="81">
        <f>Work_Codes!$K132*Q64*Q$31</f>
        <v>180738.34019999998</v>
      </c>
      <c r="R103" s="81">
        <f>Work_Codes!$K132*R64*R$31</f>
        <v>140280.38112000001</v>
      </c>
      <c r="S103" s="81">
        <f>Work_Codes!$K132*S64*S$31</f>
        <v>43102.910399999993</v>
      </c>
      <c r="T103" s="81">
        <f>Work_Codes!$K132*T64*T$31</f>
        <v>70042.229399999997</v>
      </c>
    </row>
    <row r="104" spans="3:20" hidden="1" outlineLevel="2">
      <c r="D104" s="102" t="str">
        <f>Work_Codes!D133</f>
        <v>Time Expired</v>
      </c>
      <c r="J104" s="81">
        <f>Work_Codes!$K133*J65*J$31</f>
        <v>0</v>
      </c>
      <c r="K104" s="81">
        <f>Work_Codes!$K133*K65*K$31</f>
        <v>0</v>
      </c>
      <c r="L104" s="81">
        <f>Work_Codes!$K133*L65*L$31</f>
        <v>0</v>
      </c>
      <c r="M104" s="81">
        <f>Work_Codes!$K133*M65*M$31</f>
        <v>0</v>
      </c>
      <c r="N104" s="81">
        <f>Work_Codes!$K133*N65*N$31</f>
        <v>1617134.393647281</v>
      </c>
      <c r="O104" s="81">
        <f>Work_Codes!$K133*O65*O$31</f>
        <v>922232.74085600011</v>
      </c>
      <c r="P104" s="81">
        <f>Work_Codes!$K133*P65*P$31</f>
        <v>1844465.4817120002</v>
      </c>
      <c r="Q104" s="81">
        <f>Work_Codes!$K133*Q65*Q$31</f>
        <v>2070413.2180200003</v>
      </c>
      <c r="R104" s="81">
        <f>Work_Codes!$K133*R65*R$31</f>
        <v>2256653.9098740001</v>
      </c>
      <c r="S104" s="81">
        <f>Work_Codes!$K133*S65*S$31</f>
        <v>1809654.8054760003</v>
      </c>
      <c r="T104" s="81">
        <f>Work_Codes!$K133*T65*T$31</f>
        <v>1604221.7798040002</v>
      </c>
    </row>
    <row r="105" spans="3:20" hidden="1" outlineLevel="2">
      <c r="D105" s="102" t="str">
        <f>Work_Codes!D134</f>
        <v>"No Access" Non-Compliant</v>
      </c>
      <c r="J105" s="81">
        <f>Work_Codes!$K134*J66*J$31</f>
        <v>0</v>
      </c>
      <c r="K105" s="81">
        <f>Work_Codes!$K134*K66*K$31</f>
        <v>0</v>
      </c>
      <c r="L105" s="81">
        <f>Work_Codes!$K134*L66*L$31</f>
        <v>0</v>
      </c>
      <c r="M105" s="81">
        <f>Work_Codes!$K134*M66*M$31</f>
        <v>0</v>
      </c>
      <c r="N105" s="81">
        <f>Work_Codes!$K134*N66*N$31</f>
        <v>0</v>
      </c>
      <c r="O105" s="81">
        <f>Work_Codes!$K134*O66*O$31</f>
        <v>10233.866400000008</v>
      </c>
      <c r="P105" s="81">
        <f>Work_Codes!$K134*P66*P$31</f>
        <v>20467.732800000016</v>
      </c>
      <c r="Q105" s="81">
        <f>Work_Codes!$K134*Q66*Q$31</f>
        <v>22975.038000000019</v>
      </c>
      <c r="R105" s="81">
        <f>Work_Codes!$K134*R66*R$31</f>
        <v>25041.720600000019</v>
      </c>
      <c r="S105" s="81">
        <f>Work_Codes!$K134*S66*S$31</f>
        <v>20081.444400000015</v>
      </c>
      <c r="T105" s="81">
        <f>Work_Codes!$K134*T66*T$31</f>
        <v>17801.787600000014</v>
      </c>
    </row>
    <row r="106" spans="3:20" hidden="1" outlineLevel="2">
      <c r="D106" s="102" t="str">
        <f>Work_Codes!D135</f>
        <v>"No Access" - backlog from prior years</v>
      </c>
      <c r="J106" s="81">
        <f>Work_Codes!$K135*J67*J$31</f>
        <v>0</v>
      </c>
      <c r="K106" s="81">
        <f>Work_Codes!$K135*K67*K$31</f>
        <v>0</v>
      </c>
      <c r="L106" s="81">
        <f>Work_Codes!$K135*L67*L$31</f>
        <v>0</v>
      </c>
      <c r="M106" s="81">
        <f>Work_Codes!$K135*M67*M$31</f>
        <v>0</v>
      </c>
      <c r="N106" s="81">
        <f>Work_Codes!$K135*N67*N$31</f>
        <v>0</v>
      </c>
      <c r="O106" s="81">
        <f>Work_Codes!$K135*O67*O$31</f>
        <v>0</v>
      </c>
      <c r="P106" s="81">
        <f>Work_Codes!$K135*P67*P$31</f>
        <v>0</v>
      </c>
      <c r="Q106" s="81">
        <f>Work_Codes!$K135*Q67*Q$31</f>
        <v>0</v>
      </c>
      <c r="R106" s="81">
        <f>Work_Codes!$K135*R67*R$31</f>
        <v>0</v>
      </c>
      <c r="S106" s="81">
        <f>Work_Codes!$K135*S67*S$31</f>
        <v>0</v>
      </c>
      <c r="T106" s="81">
        <f>Work_Codes!$K135*T67*T$31</f>
        <v>0</v>
      </c>
    </row>
    <row r="107" spans="3:20" hidden="1" outlineLevel="2">
      <c r="D107" s="102" t="str">
        <f>Work_Codes!D136</f>
        <v>Digital Meters trial</v>
      </c>
      <c r="J107" s="81">
        <f>Work_Codes!$K136*J68*J$31</f>
        <v>0</v>
      </c>
      <c r="K107" s="81">
        <f>Work_Codes!$K136*K68*K$31</f>
        <v>0</v>
      </c>
      <c r="L107" s="81">
        <f>Work_Codes!$K136*L68*L$31</f>
        <v>0</v>
      </c>
      <c r="M107" s="81">
        <f>Work_Codes!$K136*M68*M$31</f>
        <v>0</v>
      </c>
      <c r="N107" s="81">
        <f>Work_Codes!$K136*N68*N$31</f>
        <v>0</v>
      </c>
      <c r="O107" s="81">
        <f>Work_Codes!$K136*O68*O$31</f>
        <v>0</v>
      </c>
      <c r="P107" s="81">
        <f>Work_Codes!$K136*P68*P$31</f>
        <v>0</v>
      </c>
      <c r="Q107" s="81">
        <f>Work_Codes!$K136*Q68*Q$31</f>
        <v>62500</v>
      </c>
      <c r="R107" s="81">
        <f>Work_Codes!$K136*R68*R$31</f>
        <v>62500</v>
      </c>
      <c r="S107" s="81">
        <f>Work_Codes!$K136*S68*S$31</f>
        <v>0</v>
      </c>
      <c r="T107" s="81">
        <f>Work_Codes!$K136*T68*T$31</f>
        <v>0</v>
      </c>
    </row>
    <row r="108" spans="3:20" ht="5.9" hidden="1" customHeight="1" outlineLevel="2"/>
    <row r="109" spans="3:20" hidden="1" outlineLevel="2">
      <c r="D109" s="249" t="str">
        <f>"Total "&amp;C101</f>
        <v>Total Materials</v>
      </c>
      <c r="E109" s="249"/>
      <c r="F109" s="249"/>
      <c r="G109" s="249"/>
      <c r="H109" s="249"/>
      <c r="I109" s="249"/>
      <c r="J109" s="82">
        <f t="shared" ref="J109:T109" si="12">SUM(J103:J108)</f>
        <v>0</v>
      </c>
      <c r="K109" s="82">
        <f t="shared" si="12"/>
        <v>0</v>
      </c>
      <c r="L109" s="82">
        <f t="shared" si="12"/>
        <v>0</v>
      </c>
      <c r="M109" s="82">
        <f t="shared" si="12"/>
        <v>0</v>
      </c>
      <c r="N109" s="82">
        <f t="shared" si="12"/>
        <v>1689116.4453747629</v>
      </c>
      <c r="O109" s="82">
        <f t="shared" si="12"/>
        <v>982916.60465600016</v>
      </c>
      <c r="P109" s="82">
        <f t="shared" si="12"/>
        <v>1965833.2093120003</v>
      </c>
      <c r="Q109" s="82">
        <f t="shared" si="12"/>
        <v>2336626.5962200002</v>
      </c>
      <c r="R109" s="82">
        <f t="shared" si="12"/>
        <v>2484476.0115940003</v>
      </c>
      <c r="S109" s="82">
        <f t="shared" si="12"/>
        <v>1872839.1602760002</v>
      </c>
      <c r="T109" s="82">
        <f t="shared" si="12"/>
        <v>1692065.7968040002</v>
      </c>
    </row>
    <row r="110" spans="3:20" outlineLevel="1" collapsed="1"/>
    <row r="111" spans="3:20" outlineLevel="1">
      <c r="C111" s="37" t="s">
        <v>217</v>
      </c>
    </row>
    <row r="112" spans="3:20" ht="5.9" customHeight="1" outlineLevel="1"/>
    <row r="113" spans="2:20" outlineLevel="1">
      <c r="D113" s="102" t="str">
        <f>Work_Codes!D132</f>
        <v>In-Service Compliance Testing</v>
      </c>
      <c r="J113" s="81">
        <f t="shared" ref="J113:T113" si="13">J83+J93+J103</f>
        <v>0</v>
      </c>
      <c r="K113" s="81">
        <f t="shared" si="13"/>
        <v>0</v>
      </c>
      <c r="L113" s="81">
        <f t="shared" si="13"/>
        <v>0</v>
      </c>
      <c r="M113" s="81">
        <f t="shared" si="13"/>
        <v>0</v>
      </c>
      <c r="N113" s="81">
        <f t="shared" si="13"/>
        <v>153153.30154783381</v>
      </c>
      <c r="O113" s="81">
        <f t="shared" si="13"/>
        <v>107412.92524040771</v>
      </c>
      <c r="P113" s="81">
        <f t="shared" si="13"/>
        <v>214966.34890911987</v>
      </c>
      <c r="Q113" s="81">
        <f t="shared" si="13"/>
        <v>385454.8696549295</v>
      </c>
      <c r="R113" s="81">
        <f t="shared" si="13"/>
        <v>299606.34870311967</v>
      </c>
      <c r="S113" s="81">
        <f t="shared" si="13"/>
        <v>92192.907673736539</v>
      </c>
      <c r="T113" s="81">
        <f t="shared" si="13"/>
        <v>150035.41450541624</v>
      </c>
    </row>
    <row r="114" spans="2:20" outlineLevel="1">
      <c r="D114" s="102" t="str">
        <f>Work_Codes!D133</f>
        <v>Time Expired</v>
      </c>
      <c r="J114" s="81">
        <f t="shared" ref="J114:T114" si="14">J84+J94+J104</f>
        <v>0</v>
      </c>
      <c r="K114" s="81">
        <f t="shared" si="14"/>
        <v>0</v>
      </c>
      <c r="L114" s="81">
        <f t="shared" si="14"/>
        <v>0</v>
      </c>
      <c r="M114" s="81">
        <f t="shared" si="14"/>
        <v>0</v>
      </c>
      <c r="N114" s="81">
        <f t="shared" si="14"/>
        <v>3051196.969145813</v>
      </c>
      <c r="O114" s="81">
        <f t="shared" si="14"/>
        <v>1740242.5997598949</v>
      </c>
      <c r="P114" s="81">
        <f t="shared" si="14"/>
        <v>3480835.5957990265</v>
      </c>
      <c r="Q114" s="81">
        <f t="shared" si="14"/>
        <v>3907854.7346437774</v>
      </c>
      <c r="R114" s="81">
        <f t="shared" si="14"/>
        <v>4260333.9418113288</v>
      </c>
      <c r="S114" s="81">
        <f t="shared" si="14"/>
        <v>3417218.7139505995</v>
      </c>
      <c r="T114" s="81">
        <f t="shared" si="14"/>
        <v>3029987.6363196587</v>
      </c>
    </row>
    <row r="115" spans="2:20" outlineLevel="1">
      <c r="D115" s="102" t="str">
        <f>Work_Codes!D134</f>
        <v>"No Access" Non-Compliant</v>
      </c>
      <c r="J115" s="81">
        <f t="shared" ref="J115:T115" si="15">J85+J95+J105</f>
        <v>0</v>
      </c>
      <c r="K115" s="81">
        <f t="shared" si="15"/>
        <v>0</v>
      </c>
      <c r="L115" s="81">
        <f t="shared" si="15"/>
        <v>0</v>
      </c>
      <c r="M115" s="81">
        <f t="shared" si="15"/>
        <v>0</v>
      </c>
      <c r="N115" s="81">
        <f t="shared" si="15"/>
        <v>0</v>
      </c>
      <c r="O115" s="81">
        <f t="shared" si="15"/>
        <v>40988.639987661874</v>
      </c>
      <c r="P115" s="81">
        <f t="shared" si="15"/>
        <v>82080.319670806843</v>
      </c>
      <c r="Q115" s="81">
        <f t="shared" si="15"/>
        <v>92316.167614811842</v>
      </c>
      <c r="R115" s="81">
        <f t="shared" si="15"/>
        <v>100900.98215864699</v>
      </c>
      <c r="S115" s="81">
        <f t="shared" si="15"/>
        <v>81142.012612773804</v>
      </c>
      <c r="T115" s="81">
        <f t="shared" si="15"/>
        <v>72134.661457879411</v>
      </c>
    </row>
    <row r="116" spans="2:20" outlineLevel="1">
      <c r="D116" s="102" t="str">
        <f>Work_Codes!D135</f>
        <v>"No Access" - backlog from prior years</v>
      </c>
      <c r="J116" s="81">
        <f t="shared" ref="J116:T116" si="16">J86+J96+J106</f>
        <v>0</v>
      </c>
      <c r="K116" s="81">
        <f t="shared" si="16"/>
        <v>0</v>
      </c>
      <c r="L116" s="81">
        <f t="shared" si="16"/>
        <v>0</v>
      </c>
      <c r="M116" s="81">
        <f t="shared" si="16"/>
        <v>0</v>
      </c>
      <c r="N116" s="81">
        <f t="shared" si="16"/>
        <v>0</v>
      </c>
      <c r="O116" s="81">
        <f t="shared" si="16"/>
        <v>0</v>
      </c>
      <c r="P116" s="81">
        <f t="shared" si="16"/>
        <v>0</v>
      </c>
      <c r="Q116" s="81">
        <f t="shared" si="16"/>
        <v>0</v>
      </c>
      <c r="R116" s="81">
        <f t="shared" si="16"/>
        <v>0</v>
      </c>
      <c r="S116" s="81">
        <f t="shared" si="16"/>
        <v>0</v>
      </c>
      <c r="T116" s="81">
        <f t="shared" si="16"/>
        <v>0</v>
      </c>
    </row>
    <row r="117" spans="2:20" outlineLevel="1">
      <c r="D117" s="102" t="str">
        <f>Work_Codes!D136</f>
        <v>Digital Meters trial</v>
      </c>
      <c r="J117" s="81">
        <f t="shared" ref="J117:T117" si="17">J87+J97+J107</f>
        <v>0</v>
      </c>
      <c r="K117" s="81">
        <f t="shared" si="17"/>
        <v>0</v>
      </c>
      <c r="L117" s="81">
        <f t="shared" si="17"/>
        <v>0</v>
      </c>
      <c r="M117" s="81">
        <f t="shared" si="17"/>
        <v>0</v>
      </c>
      <c r="N117" s="81">
        <f t="shared" si="17"/>
        <v>0</v>
      </c>
      <c r="O117" s="81">
        <f t="shared" si="17"/>
        <v>0</v>
      </c>
      <c r="P117" s="81">
        <f t="shared" si="17"/>
        <v>0</v>
      </c>
      <c r="Q117" s="81">
        <f t="shared" si="17"/>
        <v>251131.70545901754</v>
      </c>
      <c r="R117" s="81">
        <f t="shared" si="17"/>
        <v>251832.1917909839</v>
      </c>
      <c r="S117" s="81">
        <f t="shared" si="17"/>
        <v>0</v>
      </c>
      <c r="T117" s="81">
        <f t="shared" si="17"/>
        <v>0</v>
      </c>
    </row>
    <row r="118" spans="2:20" ht="5.9" customHeight="1" outlineLevel="1"/>
    <row r="119" spans="2:20" outlineLevel="1">
      <c r="D119" s="249" t="str">
        <f>C111</f>
        <v>Total Direct Capex including Escalation (Non CPI)</v>
      </c>
      <c r="E119" s="249"/>
      <c r="F119" s="249"/>
      <c r="G119" s="249"/>
      <c r="H119" s="249"/>
      <c r="I119" s="249"/>
      <c r="J119" s="82">
        <f t="shared" ref="J119:T119" si="18">SUM(J113:J118)</f>
        <v>0</v>
      </c>
      <c r="K119" s="82">
        <f t="shared" si="18"/>
        <v>0</v>
      </c>
      <c r="L119" s="82">
        <f t="shared" si="18"/>
        <v>0</v>
      </c>
      <c r="M119" s="82">
        <f t="shared" si="18"/>
        <v>0</v>
      </c>
      <c r="N119" s="82">
        <f t="shared" si="18"/>
        <v>3204350.2706936467</v>
      </c>
      <c r="O119" s="82">
        <f t="shared" si="18"/>
        <v>1888644.1649879646</v>
      </c>
      <c r="P119" s="82">
        <f t="shared" si="18"/>
        <v>3777882.2643789533</v>
      </c>
      <c r="Q119" s="82">
        <f t="shared" si="18"/>
        <v>4636757.4773725364</v>
      </c>
      <c r="R119" s="82">
        <f t="shared" si="18"/>
        <v>4912673.4644640796</v>
      </c>
      <c r="S119" s="82">
        <f t="shared" si="18"/>
        <v>3590553.6342371097</v>
      </c>
      <c r="T119" s="82">
        <f t="shared" si="18"/>
        <v>3252157.7122829542</v>
      </c>
    </row>
    <row r="120" spans="2:20" outlineLevel="1">
      <c r="B120" s="12"/>
      <c r="C120" s="12"/>
      <c r="D120" s="12"/>
      <c r="E120" s="12"/>
      <c r="F120" s="12"/>
      <c r="G120" s="12"/>
      <c r="H120" s="12"/>
      <c r="I120" s="12"/>
      <c r="J120" s="12"/>
      <c r="K120" s="12"/>
      <c r="L120" s="12"/>
      <c r="M120" s="12"/>
      <c r="N120" s="12"/>
      <c r="O120" s="12"/>
      <c r="P120" s="12"/>
      <c r="Q120" s="12"/>
      <c r="R120" s="12"/>
      <c r="S120" s="12"/>
      <c r="T120" s="12"/>
    </row>
    <row r="121" spans="2:20" outlineLevel="1"/>
    <row r="122" spans="2:20" outlineLevel="1">
      <c r="C122" s="37" t="s">
        <v>195</v>
      </c>
    </row>
    <row r="123" spans="2:20" ht="5.9" customHeight="1" outlineLevel="2"/>
    <row r="124" spans="2:20" outlineLevel="2">
      <c r="D124" s="37" t="s">
        <v>215</v>
      </c>
    </row>
    <row r="125" spans="2:20" ht="5.9" customHeight="1" outlineLevel="2"/>
    <row r="126" spans="2:20" ht="11.5" customHeight="1" outlineLevel="2">
      <c r="E126" s="247" t="str">
        <f>GC!C40</f>
        <v>Transmission pipelines</v>
      </c>
      <c r="F126" s="247"/>
      <c r="G126" s="247"/>
      <c r="H126" s="247"/>
      <c r="I126" s="247"/>
      <c r="J126" s="81">
        <f ca="1">SUMPRODUCT((Work_Codes!$N$129:$Y$129=$E126)*(Work_Codes!$N$132:$Y$136)*(J$113:J$117))</f>
        <v>0</v>
      </c>
      <c r="K126" s="81">
        <f ca="1">SUMPRODUCT((Work_Codes!$N$129:$Y$129=$E126)*(Work_Codes!$N$132:$Y$136)*(K$113:K$117))</f>
        <v>0</v>
      </c>
      <c r="L126" s="81">
        <f ca="1">SUMPRODUCT((Work_Codes!$N$129:$Y$129=$E126)*(Work_Codes!$N$132:$Y$136)*(L$113:L$117))</f>
        <v>0</v>
      </c>
      <c r="M126" s="81">
        <f ca="1">SUMPRODUCT((Work_Codes!$N$129:$Y$129=$E126)*(Work_Codes!$N$132:$Y$136)*(M$113:M$117))</f>
        <v>0</v>
      </c>
      <c r="N126" s="81">
        <f ca="1">SUMPRODUCT((Work_Codes!$N$129:$Y$129=$E126)*(Work_Codes!$N$132:$Y$136)*(N$113:N$117))</f>
        <v>0</v>
      </c>
      <c r="O126" s="81">
        <f ca="1">SUMPRODUCT((Work_Codes!$N$129:$Y$129=$E126)*(Work_Codes!$N$132:$Y$136)*(O$113:O$117))</f>
        <v>0</v>
      </c>
      <c r="P126" s="81">
        <f ca="1">SUMPRODUCT((Work_Codes!$N$129:$Y$129=$E126)*(Work_Codes!$N$132:$Y$136)*(P$113:P$117))</f>
        <v>0</v>
      </c>
      <c r="Q126" s="81">
        <f ca="1">SUMPRODUCT((Work_Codes!$N$129:$Y$129=$E126)*(Work_Codes!$N$132:$Y$136)*(Q$113:Q$117))</f>
        <v>0</v>
      </c>
      <c r="R126" s="81">
        <f ca="1">SUMPRODUCT((Work_Codes!$N$129:$Y$129=$E126)*(Work_Codes!$N$132:$Y$136)*(R$113:R$117))</f>
        <v>0</v>
      </c>
      <c r="S126" s="81">
        <f ca="1">SUMPRODUCT((Work_Codes!$N$129:$Y$129=$E126)*(Work_Codes!$N$132:$Y$136)*(S$113:S$117))</f>
        <v>0</v>
      </c>
      <c r="T126" s="81">
        <f ca="1">SUMPRODUCT((Work_Codes!$N$129:$Y$129=$E126)*(Work_Codes!$N$132:$Y$136)*(T$113:T$117))</f>
        <v>0</v>
      </c>
    </row>
    <row r="127" spans="2:20" ht="11.5" customHeight="1" outlineLevel="2">
      <c r="E127" s="247" t="str">
        <f>GC!C41</f>
        <v>Distribution pipelines</v>
      </c>
      <c r="F127" s="247"/>
      <c r="G127" s="247"/>
      <c r="H127" s="247"/>
      <c r="I127" s="247"/>
      <c r="J127" s="81">
        <f ca="1">SUMPRODUCT((Work_Codes!$N$129:$Y$129=$E127)*(Work_Codes!$N$132:$Y$136)*(J$113:J$117))</f>
        <v>0</v>
      </c>
      <c r="K127" s="81">
        <f ca="1">SUMPRODUCT((Work_Codes!$N$129:$Y$129=$E127)*(Work_Codes!$N$132:$Y$136)*(K$113:K$117))</f>
        <v>0</v>
      </c>
      <c r="L127" s="81">
        <f ca="1">SUMPRODUCT((Work_Codes!$N$129:$Y$129=$E127)*(Work_Codes!$N$132:$Y$136)*(L$113:L$117))</f>
        <v>0</v>
      </c>
      <c r="M127" s="81">
        <f ca="1">SUMPRODUCT((Work_Codes!$N$129:$Y$129=$E127)*(Work_Codes!$N$132:$Y$136)*(M$113:M$117))</f>
        <v>0</v>
      </c>
      <c r="N127" s="81">
        <f ca="1">SUMPRODUCT((Work_Codes!$N$129:$Y$129=$E127)*(Work_Codes!$N$132:$Y$136)*(N$113:N$117))</f>
        <v>0</v>
      </c>
      <c r="O127" s="81">
        <f ca="1">SUMPRODUCT((Work_Codes!$N$129:$Y$129=$E127)*(Work_Codes!$N$132:$Y$136)*(O$113:O$117))</f>
        <v>0</v>
      </c>
      <c r="P127" s="81">
        <f ca="1">SUMPRODUCT((Work_Codes!$N$129:$Y$129=$E127)*(Work_Codes!$N$132:$Y$136)*(P$113:P$117))</f>
        <v>0</v>
      </c>
      <c r="Q127" s="81">
        <f ca="1">SUMPRODUCT((Work_Codes!$N$129:$Y$129=$E127)*(Work_Codes!$N$132:$Y$136)*(Q$113:Q$117))</f>
        <v>0</v>
      </c>
      <c r="R127" s="81">
        <f ca="1">SUMPRODUCT((Work_Codes!$N$129:$Y$129=$E127)*(Work_Codes!$N$132:$Y$136)*(R$113:R$117))</f>
        <v>0</v>
      </c>
      <c r="S127" s="81">
        <f ca="1">SUMPRODUCT((Work_Codes!$N$129:$Y$129=$E127)*(Work_Codes!$N$132:$Y$136)*(S$113:S$117))</f>
        <v>0</v>
      </c>
      <c r="T127" s="81">
        <f ca="1">SUMPRODUCT((Work_Codes!$N$129:$Y$129=$E127)*(Work_Codes!$N$132:$Y$136)*(T$113:T$117))</f>
        <v>0</v>
      </c>
    </row>
    <row r="128" spans="2:20" ht="11.5" customHeight="1" outlineLevel="2">
      <c r="E128" s="247" t="str">
        <f>GC!C42</f>
        <v>Service pipes</v>
      </c>
      <c r="F128" s="247"/>
      <c r="G128" s="247"/>
      <c r="H128" s="247"/>
      <c r="I128" s="247"/>
      <c r="J128" s="81">
        <f ca="1">SUMPRODUCT((Work_Codes!$N$129:$Y$129=$E128)*(Work_Codes!$N$132:$Y$136)*(J$113:J$117))</f>
        <v>0</v>
      </c>
      <c r="K128" s="81">
        <f ca="1">SUMPRODUCT((Work_Codes!$N$129:$Y$129=$E128)*(Work_Codes!$N$132:$Y$136)*(K$113:K$117))</f>
        <v>0</v>
      </c>
      <c r="L128" s="81">
        <f ca="1">SUMPRODUCT((Work_Codes!$N$129:$Y$129=$E128)*(Work_Codes!$N$132:$Y$136)*(L$113:L$117))</f>
        <v>0</v>
      </c>
      <c r="M128" s="81">
        <f ca="1">SUMPRODUCT((Work_Codes!$N$129:$Y$129=$E128)*(Work_Codes!$N$132:$Y$136)*(M$113:M$117))</f>
        <v>0</v>
      </c>
      <c r="N128" s="81">
        <f ca="1">SUMPRODUCT((Work_Codes!$N$129:$Y$129=$E128)*(Work_Codes!$N$132:$Y$136)*(N$113:N$117))</f>
        <v>0</v>
      </c>
      <c r="O128" s="81">
        <f ca="1">SUMPRODUCT((Work_Codes!$N$129:$Y$129=$E128)*(Work_Codes!$N$132:$Y$136)*(O$113:O$117))</f>
        <v>0</v>
      </c>
      <c r="P128" s="81">
        <f ca="1">SUMPRODUCT((Work_Codes!$N$129:$Y$129=$E128)*(Work_Codes!$N$132:$Y$136)*(P$113:P$117))</f>
        <v>0</v>
      </c>
      <c r="Q128" s="81">
        <f ca="1">SUMPRODUCT((Work_Codes!$N$129:$Y$129=$E128)*(Work_Codes!$N$132:$Y$136)*(Q$113:Q$117))</f>
        <v>0</v>
      </c>
      <c r="R128" s="81">
        <f ca="1">SUMPRODUCT((Work_Codes!$N$129:$Y$129=$E128)*(Work_Codes!$N$132:$Y$136)*(R$113:R$117))</f>
        <v>0</v>
      </c>
      <c r="S128" s="81">
        <f ca="1">SUMPRODUCT((Work_Codes!$N$129:$Y$129=$E128)*(Work_Codes!$N$132:$Y$136)*(S$113:S$117))</f>
        <v>0</v>
      </c>
      <c r="T128" s="81">
        <f ca="1">SUMPRODUCT((Work_Codes!$N$129:$Y$129=$E128)*(Work_Codes!$N$132:$Y$136)*(T$113:T$117))</f>
        <v>0</v>
      </c>
    </row>
    <row r="129" spans="4:20" ht="11.5" customHeight="1" outlineLevel="2">
      <c r="E129" s="247" t="str">
        <f>GC!C43</f>
        <v>Cathodic protection</v>
      </c>
      <c r="F129" s="247"/>
      <c r="G129" s="247"/>
      <c r="H129" s="247"/>
      <c r="I129" s="247"/>
      <c r="J129" s="81">
        <f ca="1">SUMPRODUCT((Work_Codes!$N$129:$Y$129=$E129)*(Work_Codes!$N$132:$Y$136)*(J$113:J$117))</f>
        <v>0</v>
      </c>
      <c r="K129" s="81">
        <f ca="1">SUMPRODUCT((Work_Codes!$N$129:$Y$129=$E129)*(Work_Codes!$N$132:$Y$136)*(K$113:K$117))</f>
        <v>0</v>
      </c>
      <c r="L129" s="81">
        <f ca="1">SUMPRODUCT((Work_Codes!$N$129:$Y$129=$E129)*(Work_Codes!$N$132:$Y$136)*(L$113:L$117))</f>
        <v>0</v>
      </c>
      <c r="M129" s="81">
        <f ca="1">SUMPRODUCT((Work_Codes!$N$129:$Y$129=$E129)*(Work_Codes!$N$132:$Y$136)*(M$113:M$117))</f>
        <v>0</v>
      </c>
      <c r="N129" s="81">
        <f ca="1">SUMPRODUCT((Work_Codes!$N$129:$Y$129=$E129)*(Work_Codes!$N$132:$Y$136)*(N$113:N$117))</f>
        <v>0</v>
      </c>
      <c r="O129" s="81">
        <f ca="1">SUMPRODUCT((Work_Codes!$N$129:$Y$129=$E129)*(Work_Codes!$N$132:$Y$136)*(O$113:O$117))</f>
        <v>0</v>
      </c>
      <c r="P129" s="81">
        <f ca="1">SUMPRODUCT((Work_Codes!$N$129:$Y$129=$E129)*(Work_Codes!$N$132:$Y$136)*(P$113:P$117))</f>
        <v>0</v>
      </c>
      <c r="Q129" s="81">
        <f ca="1">SUMPRODUCT((Work_Codes!$N$129:$Y$129=$E129)*(Work_Codes!$N$132:$Y$136)*(Q$113:Q$117))</f>
        <v>0</v>
      </c>
      <c r="R129" s="81">
        <f ca="1">SUMPRODUCT((Work_Codes!$N$129:$Y$129=$E129)*(Work_Codes!$N$132:$Y$136)*(R$113:R$117))</f>
        <v>0</v>
      </c>
      <c r="S129" s="81">
        <f ca="1">SUMPRODUCT((Work_Codes!$N$129:$Y$129=$E129)*(Work_Codes!$N$132:$Y$136)*(S$113:S$117))</f>
        <v>0</v>
      </c>
      <c r="T129" s="81">
        <f ca="1">SUMPRODUCT((Work_Codes!$N$129:$Y$129=$E129)*(Work_Codes!$N$132:$Y$136)*(T$113:T$117))</f>
        <v>0</v>
      </c>
    </row>
    <row r="130" spans="4:20" ht="11.5" customHeight="1" outlineLevel="2">
      <c r="E130" s="247" t="str">
        <f>GC!C44</f>
        <v>Supply Regulators / Valve Stations</v>
      </c>
      <c r="F130" s="247"/>
      <c r="G130" s="247"/>
      <c r="H130" s="247"/>
      <c r="I130" s="247"/>
      <c r="J130" s="81">
        <f ca="1">SUMPRODUCT((Work_Codes!$N$129:$Y$129=$E130)*(Work_Codes!$N$132:$Y$136)*(J$113:J$117))</f>
        <v>0</v>
      </c>
      <c r="K130" s="81">
        <f ca="1">SUMPRODUCT((Work_Codes!$N$129:$Y$129=$E130)*(Work_Codes!$N$132:$Y$136)*(K$113:K$117))</f>
        <v>0</v>
      </c>
      <c r="L130" s="81">
        <f ca="1">SUMPRODUCT((Work_Codes!$N$129:$Y$129=$E130)*(Work_Codes!$N$132:$Y$136)*(L$113:L$117))</f>
        <v>0</v>
      </c>
      <c r="M130" s="81">
        <f ca="1">SUMPRODUCT((Work_Codes!$N$129:$Y$129=$E130)*(Work_Codes!$N$132:$Y$136)*(M$113:M$117))</f>
        <v>0</v>
      </c>
      <c r="N130" s="81">
        <f ca="1">SUMPRODUCT((Work_Codes!$N$129:$Y$129=$E130)*(Work_Codes!$N$132:$Y$136)*(N$113:N$117))</f>
        <v>0</v>
      </c>
      <c r="O130" s="81">
        <f ca="1">SUMPRODUCT((Work_Codes!$N$129:$Y$129=$E130)*(Work_Codes!$N$132:$Y$136)*(O$113:O$117))</f>
        <v>0</v>
      </c>
      <c r="P130" s="81">
        <f ca="1">SUMPRODUCT((Work_Codes!$N$129:$Y$129=$E130)*(Work_Codes!$N$132:$Y$136)*(P$113:P$117))</f>
        <v>0</v>
      </c>
      <c r="Q130" s="81">
        <f ca="1">SUMPRODUCT((Work_Codes!$N$129:$Y$129=$E130)*(Work_Codes!$N$132:$Y$136)*(Q$113:Q$117))</f>
        <v>0</v>
      </c>
      <c r="R130" s="81">
        <f ca="1">SUMPRODUCT((Work_Codes!$N$129:$Y$129=$E130)*(Work_Codes!$N$132:$Y$136)*(R$113:R$117))</f>
        <v>0</v>
      </c>
      <c r="S130" s="81">
        <f ca="1">SUMPRODUCT((Work_Codes!$N$129:$Y$129=$E130)*(Work_Codes!$N$132:$Y$136)*(S$113:S$117))</f>
        <v>0</v>
      </c>
      <c r="T130" s="81">
        <f ca="1">SUMPRODUCT((Work_Codes!$N$129:$Y$129=$E130)*(Work_Codes!$N$132:$Y$136)*(T$113:T$117))</f>
        <v>0</v>
      </c>
    </row>
    <row r="131" spans="4:20" ht="11.5" customHeight="1" outlineLevel="2">
      <c r="E131" s="247" t="str">
        <f>GC!C45</f>
        <v>Meters</v>
      </c>
      <c r="F131" s="247"/>
      <c r="G131" s="247"/>
      <c r="H131" s="247"/>
      <c r="I131" s="247"/>
      <c r="J131" s="81">
        <f ca="1">SUMPRODUCT((Work_Codes!$N$129:$Y$129=$E131)*(Work_Codes!$N$132:$Y$136)*(J$113:J$117))</f>
        <v>0</v>
      </c>
      <c r="K131" s="81">
        <f ca="1">SUMPRODUCT((Work_Codes!$N$129:$Y$129=$E131)*(Work_Codes!$N$132:$Y$136)*(K$113:K$117))</f>
        <v>0</v>
      </c>
      <c r="L131" s="81">
        <f ca="1">SUMPRODUCT((Work_Codes!$N$129:$Y$129=$E131)*(Work_Codes!$N$132:$Y$136)*(L$113:L$117))</f>
        <v>0</v>
      </c>
      <c r="M131" s="81">
        <f ca="1">SUMPRODUCT((Work_Codes!$N$129:$Y$129=$E131)*(Work_Codes!$N$132:$Y$136)*(M$113:M$117))</f>
        <v>0</v>
      </c>
      <c r="N131" s="81">
        <f ca="1">SUMPRODUCT((Work_Codes!$N$129:$Y$129=$E131)*(Work_Codes!$N$132:$Y$136)*(N$113:N$117))</f>
        <v>3204350.2706936467</v>
      </c>
      <c r="O131" s="81">
        <f ca="1">SUMPRODUCT((Work_Codes!$N$129:$Y$129=$E131)*(Work_Codes!$N$132:$Y$136)*(O$113:O$117))</f>
        <v>1888644.1649879646</v>
      </c>
      <c r="P131" s="81">
        <f ca="1">SUMPRODUCT((Work_Codes!$N$129:$Y$129=$E131)*(Work_Codes!$N$132:$Y$136)*(P$113:P$117))</f>
        <v>3777882.2643789533</v>
      </c>
      <c r="Q131" s="81">
        <f ca="1">SUMPRODUCT((Work_Codes!$N$129:$Y$129=$E131)*(Work_Codes!$N$132:$Y$136)*(Q$113:Q$117))</f>
        <v>4636757.4773725364</v>
      </c>
      <c r="R131" s="81">
        <f ca="1">SUMPRODUCT((Work_Codes!$N$129:$Y$129=$E131)*(Work_Codes!$N$132:$Y$136)*(R$113:R$117))</f>
        <v>4912673.4644640796</v>
      </c>
      <c r="S131" s="81">
        <f ca="1">SUMPRODUCT((Work_Codes!$N$129:$Y$129=$E131)*(Work_Codes!$N$132:$Y$136)*(S$113:S$117))</f>
        <v>3590553.6342371097</v>
      </c>
      <c r="T131" s="81">
        <f ca="1">SUMPRODUCT((Work_Codes!$N$129:$Y$129=$E131)*(Work_Codes!$N$132:$Y$136)*(T$113:T$117))</f>
        <v>3252157.7122829542</v>
      </c>
    </row>
    <row r="132" spans="4:20" ht="11.5" customHeight="1" outlineLevel="2">
      <c r="E132" s="247" t="str">
        <f>GC!C46</f>
        <v>SCADA and remote control</v>
      </c>
      <c r="F132" s="247"/>
      <c r="G132" s="247"/>
      <c r="H132" s="247"/>
      <c r="I132" s="247"/>
      <c r="J132" s="81">
        <f ca="1">SUMPRODUCT((Work_Codes!$N$129:$Y$129=$E132)*(Work_Codes!$N$132:$Y$136)*(J$113:J$117))</f>
        <v>0</v>
      </c>
      <c r="K132" s="81">
        <f ca="1">SUMPRODUCT((Work_Codes!$N$129:$Y$129=$E132)*(Work_Codes!$N$132:$Y$136)*(K$113:K$117))</f>
        <v>0</v>
      </c>
      <c r="L132" s="81">
        <f ca="1">SUMPRODUCT((Work_Codes!$N$129:$Y$129=$E132)*(Work_Codes!$N$132:$Y$136)*(L$113:L$117))</f>
        <v>0</v>
      </c>
      <c r="M132" s="81">
        <f ca="1">SUMPRODUCT((Work_Codes!$N$129:$Y$129=$E132)*(Work_Codes!$N$132:$Y$136)*(M$113:M$117))</f>
        <v>0</v>
      </c>
      <c r="N132" s="81">
        <f ca="1">SUMPRODUCT((Work_Codes!$N$129:$Y$129=$E132)*(Work_Codes!$N$132:$Y$136)*(N$113:N$117))</f>
        <v>0</v>
      </c>
      <c r="O132" s="81">
        <f ca="1">SUMPRODUCT((Work_Codes!$N$129:$Y$129=$E132)*(Work_Codes!$N$132:$Y$136)*(O$113:O$117))</f>
        <v>0</v>
      </c>
      <c r="P132" s="81">
        <f ca="1">SUMPRODUCT((Work_Codes!$N$129:$Y$129=$E132)*(Work_Codes!$N$132:$Y$136)*(P$113:P$117))</f>
        <v>0</v>
      </c>
      <c r="Q132" s="81">
        <f ca="1">SUMPRODUCT((Work_Codes!$N$129:$Y$129=$E132)*(Work_Codes!$N$132:$Y$136)*(Q$113:Q$117))</f>
        <v>0</v>
      </c>
      <c r="R132" s="81">
        <f ca="1">SUMPRODUCT((Work_Codes!$N$129:$Y$129=$E132)*(Work_Codes!$N$132:$Y$136)*(R$113:R$117))</f>
        <v>0</v>
      </c>
      <c r="S132" s="81">
        <f ca="1">SUMPRODUCT((Work_Codes!$N$129:$Y$129=$E132)*(Work_Codes!$N$132:$Y$136)*(S$113:S$117))</f>
        <v>0</v>
      </c>
      <c r="T132" s="81">
        <f ca="1">SUMPRODUCT((Work_Codes!$N$129:$Y$129=$E132)*(Work_Codes!$N$132:$Y$136)*(T$113:T$117))</f>
        <v>0</v>
      </c>
    </row>
    <row r="133" spans="4:20" ht="11.5" customHeight="1" outlineLevel="2">
      <c r="E133" s="247" t="str">
        <f>GC!C47</f>
        <v>Buildings</v>
      </c>
      <c r="F133" s="247"/>
      <c r="G133" s="247"/>
      <c r="H133" s="247"/>
      <c r="I133" s="247"/>
      <c r="J133" s="81">
        <f ca="1">SUMPRODUCT((Work_Codes!$N$129:$Y$129=$E133)*(Work_Codes!$N$132:$Y$136)*(J$113:J$117))</f>
        <v>0</v>
      </c>
      <c r="K133" s="81">
        <f ca="1">SUMPRODUCT((Work_Codes!$N$129:$Y$129=$E133)*(Work_Codes!$N$132:$Y$136)*(K$113:K$117))</f>
        <v>0</v>
      </c>
      <c r="L133" s="81">
        <f ca="1">SUMPRODUCT((Work_Codes!$N$129:$Y$129=$E133)*(Work_Codes!$N$132:$Y$136)*(L$113:L$117))</f>
        <v>0</v>
      </c>
      <c r="M133" s="81">
        <f ca="1">SUMPRODUCT((Work_Codes!$N$129:$Y$129=$E133)*(Work_Codes!$N$132:$Y$136)*(M$113:M$117))</f>
        <v>0</v>
      </c>
      <c r="N133" s="81">
        <f ca="1">SUMPRODUCT((Work_Codes!$N$129:$Y$129=$E133)*(Work_Codes!$N$132:$Y$136)*(N$113:N$117))</f>
        <v>0</v>
      </c>
      <c r="O133" s="81">
        <f ca="1">SUMPRODUCT((Work_Codes!$N$129:$Y$129=$E133)*(Work_Codes!$N$132:$Y$136)*(O$113:O$117))</f>
        <v>0</v>
      </c>
      <c r="P133" s="81">
        <f ca="1">SUMPRODUCT((Work_Codes!$N$129:$Y$129=$E133)*(Work_Codes!$N$132:$Y$136)*(P$113:P$117))</f>
        <v>0</v>
      </c>
      <c r="Q133" s="81">
        <f ca="1">SUMPRODUCT((Work_Codes!$N$129:$Y$129=$E133)*(Work_Codes!$N$132:$Y$136)*(Q$113:Q$117))</f>
        <v>0</v>
      </c>
      <c r="R133" s="81">
        <f ca="1">SUMPRODUCT((Work_Codes!$N$129:$Y$129=$E133)*(Work_Codes!$N$132:$Y$136)*(R$113:R$117))</f>
        <v>0</v>
      </c>
      <c r="S133" s="81">
        <f ca="1">SUMPRODUCT((Work_Codes!$N$129:$Y$129=$E133)*(Work_Codes!$N$132:$Y$136)*(S$113:S$117))</f>
        <v>0</v>
      </c>
      <c r="T133" s="81">
        <f ca="1">SUMPRODUCT((Work_Codes!$N$129:$Y$129=$E133)*(Work_Codes!$N$132:$Y$136)*(T$113:T$117))</f>
        <v>0</v>
      </c>
    </row>
    <row r="134" spans="4:20" ht="11.5" customHeight="1" outlineLevel="2">
      <c r="E134" s="247" t="str">
        <f>GC!C48</f>
        <v>Other - IT</v>
      </c>
      <c r="F134" s="247"/>
      <c r="G134" s="247"/>
      <c r="H134" s="247"/>
      <c r="I134" s="247"/>
      <c r="J134" s="81">
        <f ca="1">SUMPRODUCT((Work_Codes!$N$129:$Y$129=$E134)*(Work_Codes!$N$132:$Y$136)*(J$113:J$117))</f>
        <v>0</v>
      </c>
      <c r="K134" s="81">
        <f ca="1">SUMPRODUCT((Work_Codes!$N$129:$Y$129=$E134)*(Work_Codes!$N$132:$Y$136)*(K$113:K$117))</f>
        <v>0</v>
      </c>
      <c r="L134" s="81">
        <f ca="1">SUMPRODUCT((Work_Codes!$N$129:$Y$129=$E134)*(Work_Codes!$N$132:$Y$136)*(L$113:L$117))</f>
        <v>0</v>
      </c>
      <c r="M134" s="81">
        <f ca="1">SUMPRODUCT((Work_Codes!$N$129:$Y$129=$E134)*(Work_Codes!$N$132:$Y$136)*(M$113:M$117))</f>
        <v>0</v>
      </c>
      <c r="N134" s="81">
        <f ca="1">SUMPRODUCT((Work_Codes!$N$129:$Y$129=$E134)*(Work_Codes!$N$132:$Y$136)*(N$113:N$117))</f>
        <v>0</v>
      </c>
      <c r="O134" s="81">
        <f ca="1">SUMPRODUCT((Work_Codes!$N$129:$Y$129=$E134)*(Work_Codes!$N$132:$Y$136)*(O$113:O$117))</f>
        <v>0</v>
      </c>
      <c r="P134" s="81">
        <f ca="1">SUMPRODUCT((Work_Codes!$N$129:$Y$129=$E134)*(Work_Codes!$N$132:$Y$136)*(P$113:P$117))</f>
        <v>0</v>
      </c>
      <c r="Q134" s="81">
        <f ca="1">SUMPRODUCT((Work_Codes!$N$129:$Y$129=$E134)*(Work_Codes!$N$132:$Y$136)*(Q$113:Q$117))</f>
        <v>0</v>
      </c>
      <c r="R134" s="81">
        <f ca="1">SUMPRODUCT((Work_Codes!$N$129:$Y$129=$E134)*(Work_Codes!$N$132:$Y$136)*(R$113:R$117))</f>
        <v>0</v>
      </c>
      <c r="S134" s="81">
        <f ca="1">SUMPRODUCT((Work_Codes!$N$129:$Y$129=$E134)*(Work_Codes!$N$132:$Y$136)*(S$113:S$117))</f>
        <v>0</v>
      </c>
      <c r="T134" s="81">
        <f ca="1">SUMPRODUCT((Work_Codes!$N$129:$Y$129=$E134)*(Work_Codes!$N$132:$Y$136)*(T$113:T$117))</f>
        <v>0</v>
      </c>
    </row>
    <row r="135" spans="4:20" ht="11.5" customHeight="1" outlineLevel="2">
      <c r="E135" s="247" t="str">
        <f>GC!C49</f>
        <v>Other - non IT</v>
      </c>
      <c r="F135" s="247"/>
      <c r="G135" s="247"/>
      <c r="H135" s="247"/>
      <c r="I135" s="247"/>
      <c r="J135" s="81">
        <f ca="1">SUMPRODUCT((Work_Codes!$N$129:$Y$129=$E135)*(Work_Codes!$N$132:$Y$136)*(J$113:J$117))</f>
        <v>0</v>
      </c>
      <c r="K135" s="81">
        <f ca="1">SUMPRODUCT((Work_Codes!$N$129:$Y$129=$E135)*(Work_Codes!$N$132:$Y$136)*(K$113:K$117))</f>
        <v>0</v>
      </c>
      <c r="L135" s="81">
        <f ca="1">SUMPRODUCT((Work_Codes!$N$129:$Y$129=$E135)*(Work_Codes!$N$132:$Y$136)*(L$113:L$117))</f>
        <v>0</v>
      </c>
      <c r="M135" s="81">
        <f ca="1">SUMPRODUCT((Work_Codes!$N$129:$Y$129=$E135)*(Work_Codes!$N$132:$Y$136)*(M$113:M$117))</f>
        <v>0</v>
      </c>
      <c r="N135" s="81">
        <f ca="1">SUMPRODUCT((Work_Codes!$N$129:$Y$129=$E135)*(Work_Codes!$N$132:$Y$136)*(N$113:N$117))</f>
        <v>0</v>
      </c>
      <c r="O135" s="81">
        <f ca="1">SUMPRODUCT((Work_Codes!$N$129:$Y$129=$E135)*(Work_Codes!$N$132:$Y$136)*(O$113:O$117))</f>
        <v>0</v>
      </c>
      <c r="P135" s="81">
        <f ca="1">SUMPRODUCT((Work_Codes!$N$129:$Y$129=$E135)*(Work_Codes!$N$132:$Y$136)*(P$113:P$117))</f>
        <v>0</v>
      </c>
      <c r="Q135" s="81">
        <f ca="1">SUMPRODUCT((Work_Codes!$N$129:$Y$129=$E135)*(Work_Codes!$N$132:$Y$136)*(Q$113:Q$117))</f>
        <v>0</v>
      </c>
      <c r="R135" s="81">
        <f ca="1">SUMPRODUCT((Work_Codes!$N$129:$Y$129=$E135)*(Work_Codes!$N$132:$Y$136)*(R$113:R$117))</f>
        <v>0</v>
      </c>
      <c r="S135" s="81">
        <f ca="1">SUMPRODUCT((Work_Codes!$N$129:$Y$129=$E135)*(Work_Codes!$N$132:$Y$136)*(S$113:S$117))</f>
        <v>0</v>
      </c>
      <c r="T135" s="81">
        <f ca="1">SUMPRODUCT((Work_Codes!$N$129:$Y$129=$E135)*(Work_Codes!$N$132:$Y$136)*(T$113:T$117))</f>
        <v>0</v>
      </c>
    </row>
    <row r="136" spans="4:20" ht="11.5" customHeight="1" outlineLevel="2">
      <c r="E136" s="247" t="str">
        <f>GC!C50</f>
        <v>Land</v>
      </c>
      <c r="F136" s="247"/>
      <c r="G136" s="247"/>
      <c r="H136" s="247"/>
      <c r="I136" s="247"/>
      <c r="J136" s="81">
        <f ca="1">SUMPRODUCT((Work_Codes!$N$129:$Y$129=$E136)*(Work_Codes!$N$132:$Y$136)*(J$113:J$117))</f>
        <v>0</v>
      </c>
      <c r="K136" s="81">
        <f ca="1">SUMPRODUCT((Work_Codes!$N$129:$Y$129=$E136)*(Work_Codes!$N$132:$Y$136)*(K$113:K$117))</f>
        <v>0</v>
      </c>
      <c r="L136" s="81">
        <f ca="1">SUMPRODUCT((Work_Codes!$N$129:$Y$129=$E136)*(Work_Codes!$N$132:$Y$136)*(L$113:L$117))</f>
        <v>0</v>
      </c>
      <c r="M136" s="81">
        <f ca="1">SUMPRODUCT((Work_Codes!$N$129:$Y$129=$E136)*(Work_Codes!$N$132:$Y$136)*(M$113:M$117))</f>
        <v>0</v>
      </c>
      <c r="N136" s="81">
        <f ca="1">SUMPRODUCT((Work_Codes!$N$129:$Y$129=$E136)*(Work_Codes!$N$132:$Y$136)*(N$113:N$117))</f>
        <v>0</v>
      </c>
      <c r="O136" s="81">
        <f ca="1">SUMPRODUCT((Work_Codes!$N$129:$Y$129=$E136)*(Work_Codes!$N$132:$Y$136)*(O$113:O$117))</f>
        <v>0</v>
      </c>
      <c r="P136" s="81">
        <f ca="1">SUMPRODUCT((Work_Codes!$N$129:$Y$129=$E136)*(Work_Codes!$N$132:$Y$136)*(P$113:P$117))</f>
        <v>0</v>
      </c>
      <c r="Q136" s="81">
        <f ca="1">SUMPRODUCT((Work_Codes!$N$129:$Y$129=$E136)*(Work_Codes!$N$132:$Y$136)*(Q$113:Q$117))</f>
        <v>0</v>
      </c>
      <c r="R136" s="81">
        <f ca="1">SUMPRODUCT((Work_Codes!$N$129:$Y$129=$E136)*(Work_Codes!$N$132:$Y$136)*(R$113:R$117))</f>
        <v>0</v>
      </c>
      <c r="S136" s="81">
        <f ca="1">SUMPRODUCT((Work_Codes!$N$129:$Y$129=$E136)*(Work_Codes!$N$132:$Y$136)*(S$113:S$117))</f>
        <v>0</v>
      </c>
      <c r="T136" s="81">
        <f ca="1">SUMPRODUCT((Work_Codes!$N$129:$Y$129=$E136)*(Work_Codes!$N$132:$Y$136)*(T$113:T$117))</f>
        <v>0</v>
      </c>
    </row>
    <row r="137" spans="4:20" outlineLevel="2">
      <c r="E137" s="247" t="str">
        <f>GC!C51</f>
        <v>Capitalised Leases</v>
      </c>
      <c r="F137" s="247"/>
      <c r="G137" s="247"/>
      <c r="H137" s="247"/>
      <c r="I137" s="247"/>
      <c r="J137" s="81">
        <f ca="1">SUMPRODUCT((Work_Codes!$N$129:$Y$129=$E137)*(Work_Codes!$N$132:$Y$136)*(J$113:J$117))</f>
        <v>0</v>
      </c>
      <c r="K137" s="81">
        <f ca="1">SUMPRODUCT((Work_Codes!$N$129:$Y$129=$E137)*(Work_Codes!$N$132:$Y$136)*(K$113:K$117))</f>
        <v>0</v>
      </c>
      <c r="L137" s="81">
        <f ca="1">SUMPRODUCT((Work_Codes!$N$129:$Y$129=$E137)*(Work_Codes!$N$132:$Y$136)*(L$113:L$117))</f>
        <v>0</v>
      </c>
      <c r="M137" s="81">
        <f ca="1">SUMPRODUCT((Work_Codes!$N$129:$Y$129=$E137)*(Work_Codes!$N$132:$Y$136)*(M$113:M$117))</f>
        <v>0</v>
      </c>
      <c r="N137" s="81">
        <f ca="1">SUMPRODUCT((Work_Codes!$N$129:$Y$129=$E137)*(Work_Codes!$N$132:$Y$136)*(N$113:N$117))</f>
        <v>0</v>
      </c>
      <c r="O137" s="81">
        <f ca="1">SUMPRODUCT((Work_Codes!$N$129:$Y$129=$E137)*(Work_Codes!$N$132:$Y$136)*(O$113:O$117))</f>
        <v>0</v>
      </c>
      <c r="P137" s="81">
        <f ca="1">SUMPRODUCT((Work_Codes!$N$129:$Y$129=$E137)*(Work_Codes!$N$132:$Y$136)*(P$113:P$117))</f>
        <v>0</v>
      </c>
      <c r="Q137" s="81">
        <f ca="1">SUMPRODUCT((Work_Codes!$N$129:$Y$129=$E137)*(Work_Codes!$N$132:$Y$136)*(Q$113:Q$117))</f>
        <v>0</v>
      </c>
      <c r="R137" s="81">
        <f ca="1">SUMPRODUCT((Work_Codes!$N$129:$Y$129=$E137)*(Work_Codes!$N$132:$Y$136)*(R$113:R$117))</f>
        <v>0</v>
      </c>
      <c r="S137" s="81">
        <f ca="1">SUMPRODUCT((Work_Codes!$N$129:$Y$129=$E137)*(Work_Codes!$N$132:$Y$136)*(S$113:S$117))</f>
        <v>0</v>
      </c>
      <c r="T137" s="81">
        <f ca="1">SUMPRODUCT((Work_Codes!$N$129:$Y$129=$E137)*(Work_Codes!$N$132:$Y$136)*(T$113:T$117))</f>
        <v>0</v>
      </c>
    </row>
    <row r="138" spans="4:20" outlineLevel="2">
      <c r="E138" s="247" t="str">
        <f>GC!C52</f>
        <v>Transmission pipelines - post 1998</v>
      </c>
      <c r="F138" s="247"/>
      <c r="G138" s="247"/>
      <c r="H138" s="247"/>
      <c r="I138" s="247"/>
      <c r="J138" s="81">
        <f ca="1">SUMPRODUCT((Work_Codes!$N$129:$Y$129=$E138)*(Work_Codes!$N$132:$Y$136)*(J$113:J$117))</f>
        <v>0</v>
      </c>
      <c r="K138" s="81">
        <f ca="1">SUMPRODUCT((Work_Codes!$N$129:$Y$129=$E138)*(Work_Codes!$N$132:$Y$136)*(K$113:K$117))</f>
        <v>0</v>
      </c>
      <c r="L138" s="81">
        <f ca="1">SUMPRODUCT((Work_Codes!$N$129:$Y$129=$E138)*(Work_Codes!$N$132:$Y$136)*(L$113:L$117))</f>
        <v>0</v>
      </c>
      <c r="M138" s="81">
        <f ca="1">SUMPRODUCT((Work_Codes!$N$129:$Y$129=$E138)*(Work_Codes!$N$132:$Y$136)*(M$113:M$117))</f>
        <v>0</v>
      </c>
      <c r="N138" s="81">
        <f ca="1">SUMPRODUCT((Work_Codes!$N$129:$Y$129=$E138)*(Work_Codes!$N$132:$Y$136)*(N$113:N$117))</f>
        <v>0</v>
      </c>
      <c r="O138" s="81">
        <f ca="1">SUMPRODUCT((Work_Codes!$N$129:$Y$129=$E138)*(Work_Codes!$N$132:$Y$136)*(O$113:O$117))</f>
        <v>0</v>
      </c>
      <c r="P138" s="81">
        <f ca="1">SUMPRODUCT((Work_Codes!$N$129:$Y$129=$E138)*(Work_Codes!$N$132:$Y$136)*(P$113:P$117))</f>
        <v>0</v>
      </c>
      <c r="Q138" s="81">
        <f ca="1">SUMPRODUCT((Work_Codes!$N$129:$Y$129=$E138)*(Work_Codes!$N$132:$Y$136)*(Q$113:Q$117))</f>
        <v>0</v>
      </c>
      <c r="R138" s="81">
        <f ca="1">SUMPRODUCT((Work_Codes!$N$129:$Y$129=$E138)*(Work_Codes!$N$132:$Y$136)*(R$113:R$117))</f>
        <v>0</v>
      </c>
      <c r="S138" s="81">
        <f ca="1">SUMPRODUCT((Work_Codes!$N$129:$Y$129=$E138)*(Work_Codes!$N$132:$Y$136)*(S$113:S$117))</f>
        <v>0</v>
      </c>
      <c r="T138" s="81">
        <f ca="1">SUMPRODUCT((Work_Codes!$N$129:$Y$129=$E138)*(Work_Codes!$N$132:$Y$136)*(T$113:T$117))</f>
        <v>0</v>
      </c>
    </row>
    <row r="139" spans="4:20" outlineLevel="2">
      <c r="E139" s="247" t="str">
        <f>GC!C53</f>
        <v>Distribution pipelines - post 1998</v>
      </c>
      <c r="F139" s="247"/>
      <c r="G139" s="247"/>
      <c r="H139" s="247"/>
      <c r="I139" s="247"/>
      <c r="J139" s="81">
        <f ca="1">SUMPRODUCT((Work_Codes!$N$129:$Y$129=$E139)*(Work_Codes!$N$132:$Y$136)*(J$113:J$117))</f>
        <v>0</v>
      </c>
      <c r="K139" s="81">
        <f ca="1">SUMPRODUCT((Work_Codes!$N$129:$Y$129=$E139)*(Work_Codes!$N$132:$Y$136)*(K$113:K$117))</f>
        <v>0</v>
      </c>
      <c r="L139" s="81">
        <f ca="1">SUMPRODUCT((Work_Codes!$N$129:$Y$129=$E139)*(Work_Codes!$N$132:$Y$136)*(L$113:L$117))</f>
        <v>0</v>
      </c>
      <c r="M139" s="81">
        <f ca="1">SUMPRODUCT((Work_Codes!$N$129:$Y$129=$E139)*(Work_Codes!$N$132:$Y$136)*(M$113:M$117))</f>
        <v>0</v>
      </c>
      <c r="N139" s="81">
        <f ca="1">SUMPRODUCT((Work_Codes!$N$129:$Y$129=$E139)*(Work_Codes!$N$132:$Y$136)*(N$113:N$117))</f>
        <v>0</v>
      </c>
      <c r="O139" s="81">
        <f ca="1">SUMPRODUCT((Work_Codes!$N$129:$Y$129=$E139)*(Work_Codes!$N$132:$Y$136)*(O$113:O$117))</f>
        <v>0</v>
      </c>
      <c r="P139" s="81">
        <f ca="1">SUMPRODUCT((Work_Codes!$N$129:$Y$129=$E139)*(Work_Codes!$N$132:$Y$136)*(P$113:P$117))</f>
        <v>0</v>
      </c>
      <c r="Q139" s="81">
        <f ca="1">SUMPRODUCT((Work_Codes!$N$129:$Y$129=$E139)*(Work_Codes!$N$132:$Y$136)*(Q$113:Q$117))</f>
        <v>0</v>
      </c>
      <c r="R139" s="81">
        <f ca="1">SUMPRODUCT((Work_Codes!$N$129:$Y$129=$E139)*(Work_Codes!$N$132:$Y$136)*(R$113:R$117))</f>
        <v>0</v>
      </c>
      <c r="S139" s="81">
        <f ca="1">SUMPRODUCT((Work_Codes!$N$129:$Y$129=$E139)*(Work_Codes!$N$132:$Y$136)*(S$113:S$117))</f>
        <v>0</v>
      </c>
      <c r="T139" s="81">
        <f ca="1">SUMPRODUCT((Work_Codes!$N$129:$Y$129=$E139)*(Work_Codes!$N$132:$Y$136)*(T$113:T$117))</f>
        <v>0</v>
      </c>
    </row>
    <row r="140" spans="4:20" outlineLevel="2">
      <c r="E140" s="247" t="str">
        <f>GC!C54</f>
        <v>Service pipes - post 1998</v>
      </c>
      <c r="F140" s="247"/>
      <c r="G140" s="247"/>
      <c r="H140" s="247"/>
      <c r="I140" s="247"/>
      <c r="J140" s="81">
        <f ca="1">SUMPRODUCT((Work_Codes!$N$129:$Y$129=$E140)*(Work_Codes!$N$132:$Y$136)*(J$113:J$117))</f>
        <v>0</v>
      </c>
      <c r="K140" s="81">
        <f ca="1">SUMPRODUCT((Work_Codes!$N$129:$Y$129=$E140)*(Work_Codes!$N$132:$Y$136)*(K$113:K$117))</f>
        <v>0</v>
      </c>
      <c r="L140" s="81">
        <f ca="1">SUMPRODUCT((Work_Codes!$N$129:$Y$129=$E140)*(Work_Codes!$N$132:$Y$136)*(L$113:L$117))</f>
        <v>0</v>
      </c>
      <c r="M140" s="81">
        <f ca="1">SUMPRODUCT((Work_Codes!$N$129:$Y$129=$E140)*(Work_Codes!$N$132:$Y$136)*(M$113:M$117))</f>
        <v>0</v>
      </c>
      <c r="N140" s="81">
        <f ca="1">SUMPRODUCT((Work_Codes!$N$129:$Y$129=$E140)*(Work_Codes!$N$132:$Y$136)*(N$113:N$117))</f>
        <v>0</v>
      </c>
      <c r="O140" s="81">
        <f ca="1">SUMPRODUCT((Work_Codes!$N$129:$Y$129=$E140)*(Work_Codes!$N$132:$Y$136)*(O$113:O$117))</f>
        <v>0</v>
      </c>
      <c r="P140" s="81">
        <f ca="1">SUMPRODUCT((Work_Codes!$N$129:$Y$129=$E140)*(Work_Codes!$N$132:$Y$136)*(P$113:P$117))</f>
        <v>0</v>
      </c>
      <c r="Q140" s="81">
        <f ca="1">SUMPRODUCT((Work_Codes!$N$129:$Y$129=$E140)*(Work_Codes!$N$132:$Y$136)*(Q$113:Q$117))</f>
        <v>0</v>
      </c>
      <c r="R140" s="81">
        <f ca="1">SUMPRODUCT((Work_Codes!$N$129:$Y$129=$E140)*(Work_Codes!$N$132:$Y$136)*(R$113:R$117))</f>
        <v>0</v>
      </c>
      <c r="S140" s="81">
        <f ca="1">SUMPRODUCT((Work_Codes!$N$129:$Y$129=$E140)*(Work_Codes!$N$132:$Y$136)*(S$113:S$117))</f>
        <v>0</v>
      </c>
      <c r="T140" s="81">
        <f ca="1">SUMPRODUCT((Work_Codes!$N$129:$Y$129=$E140)*(Work_Codes!$N$132:$Y$136)*(T$113:T$117))</f>
        <v>0</v>
      </c>
    </row>
    <row r="141" spans="4:20" outlineLevel="2">
      <c r="E141" s="247" t="str">
        <f>GC!C55</f>
        <v>Cathodic protection - post 1998</v>
      </c>
      <c r="F141" s="247"/>
      <c r="G141" s="247"/>
      <c r="H141" s="247"/>
      <c r="I141" s="247"/>
      <c r="J141" s="81">
        <f ca="1">SUMPRODUCT((Work_Codes!$N$129:$Y$129=$E141)*(Work_Codes!$N$132:$Y$136)*(J$113:J$117))</f>
        <v>0</v>
      </c>
      <c r="K141" s="81">
        <f ca="1">SUMPRODUCT((Work_Codes!$N$129:$Y$129=$E141)*(Work_Codes!$N$132:$Y$136)*(K$113:K$117))</f>
        <v>0</v>
      </c>
      <c r="L141" s="81">
        <f ca="1">SUMPRODUCT((Work_Codes!$N$129:$Y$129=$E141)*(Work_Codes!$N$132:$Y$136)*(L$113:L$117))</f>
        <v>0</v>
      </c>
      <c r="M141" s="81">
        <f ca="1">SUMPRODUCT((Work_Codes!$N$129:$Y$129=$E141)*(Work_Codes!$N$132:$Y$136)*(M$113:M$117))</f>
        <v>0</v>
      </c>
      <c r="N141" s="81">
        <f ca="1">SUMPRODUCT((Work_Codes!$N$129:$Y$129=$E141)*(Work_Codes!$N$132:$Y$136)*(N$113:N$117))</f>
        <v>0</v>
      </c>
      <c r="O141" s="81">
        <f ca="1">SUMPRODUCT((Work_Codes!$N$129:$Y$129=$E141)*(Work_Codes!$N$132:$Y$136)*(O$113:O$117))</f>
        <v>0</v>
      </c>
      <c r="P141" s="81">
        <f ca="1">SUMPRODUCT((Work_Codes!$N$129:$Y$129=$E141)*(Work_Codes!$N$132:$Y$136)*(P$113:P$117))</f>
        <v>0</v>
      </c>
      <c r="Q141" s="81">
        <f ca="1">SUMPRODUCT((Work_Codes!$N$129:$Y$129=$E141)*(Work_Codes!$N$132:$Y$136)*(Q$113:Q$117))</f>
        <v>0</v>
      </c>
      <c r="R141" s="81">
        <f ca="1">SUMPRODUCT((Work_Codes!$N$129:$Y$129=$E141)*(Work_Codes!$N$132:$Y$136)*(R$113:R$117))</f>
        <v>0</v>
      </c>
      <c r="S141" s="81">
        <f ca="1">SUMPRODUCT((Work_Codes!$N$129:$Y$129=$E141)*(Work_Codes!$N$132:$Y$136)*(S$113:S$117))</f>
        <v>0</v>
      </c>
      <c r="T141" s="81">
        <f ca="1">SUMPRODUCT((Work_Codes!$N$129:$Y$129=$E141)*(Work_Codes!$N$132:$Y$136)*(T$113:T$117))</f>
        <v>0</v>
      </c>
    </row>
    <row r="142" spans="4:20" ht="12" customHeight="1" outlineLevel="2">
      <c r="E142" s="249" t="str">
        <f>"Total "&amp;D124</f>
        <v>Total Direct Costs</v>
      </c>
      <c r="F142" s="249"/>
      <c r="G142" s="249"/>
      <c r="H142" s="249"/>
      <c r="I142" s="249"/>
      <c r="J142" s="82">
        <f t="shared" ref="J142:T142" ca="1" si="19">SUM(J126:J141)</f>
        <v>0</v>
      </c>
      <c r="K142" s="82">
        <f t="shared" ca="1" si="19"/>
        <v>0</v>
      </c>
      <c r="L142" s="82">
        <f t="shared" ca="1" si="19"/>
        <v>0</v>
      </c>
      <c r="M142" s="82">
        <f t="shared" ca="1" si="19"/>
        <v>0</v>
      </c>
      <c r="N142" s="82">
        <f t="shared" ca="1" si="19"/>
        <v>3204350.2706936467</v>
      </c>
      <c r="O142" s="82">
        <f t="shared" ca="1" si="19"/>
        <v>1888644.1649879646</v>
      </c>
      <c r="P142" s="82">
        <f t="shared" ca="1" si="19"/>
        <v>3777882.2643789533</v>
      </c>
      <c r="Q142" s="82">
        <f t="shared" ca="1" si="19"/>
        <v>4636757.4773725364</v>
      </c>
      <c r="R142" s="82">
        <f t="shared" ca="1" si="19"/>
        <v>4912673.4644640796</v>
      </c>
      <c r="S142" s="82">
        <f t="shared" ca="1" si="19"/>
        <v>3590553.6342371097</v>
      </c>
      <c r="T142" s="82">
        <f t="shared" ca="1" si="19"/>
        <v>3252157.7122829542</v>
      </c>
    </row>
    <row r="143" spans="4:20" outlineLevel="2"/>
    <row r="144" spans="4:20" outlineLevel="2">
      <c r="D144" s="37" t="s">
        <v>364</v>
      </c>
    </row>
    <row r="145" spans="5:20" ht="5.9" customHeight="1" outlineLevel="2"/>
    <row r="146" spans="5:20" outlineLevel="2">
      <c r="E146" s="247" t="str">
        <f>GC!C40</f>
        <v>Transmission pipelines</v>
      </c>
      <c r="F146" s="247"/>
      <c r="G146" s="247"/>
      <c r="H146" s="247"/>
      <c r="I146" s="247"/>
      <c r="J146" s="81">
        <f ca="1">J126*(INDEX(J$35:J$37,MATCH(Work_Codes!$I$126,$D$35:$D$37,0)))</f>
        <v>0</v>
      </c>
      <c r="K146" s="81">
        <f ca="1">K126*(INDEX(K$35:K$37,MATCH(Work_Codes!$I$126,$D$35:$D$37,0)))</f>
        <v>0</v>
      </c>
      <c r="L146" s="81">
        <f ca="1">L126*(INDEX(L$35:L$37,MATCH(Work_Codes!$I$126,$D$35:$D$37,0)))</f>
        <v>0</v>
      </c>
      <c r="M146" s="81">
        <f ca="1">M126*(INDEX(M$35:M$37,MATCH(Work_Codes!$I$126,$D$35:$D$37,0)))</f>
        <v>0</v>
      </c>
      <c r="N146" s="81">
        <f ca="1">N126*(INDEX(N$35:N$37,MATCH(Work_Codes!$I$126,$D$35:$D$37,0)))</f>
        <v>0</v>
      </c>
      <c r="O146" s="81">
        <f ca="1">O126*(INDEX(O$35:O$37,MATCH(Work_Codes!$I$126,$D$35:$D$37,0)))</f>
        <v>0</v>
      </c>
      <c r="P146" s="81">
        <f ca="1">P126*(INDEX(P$35:P$37,MATCH(Work_Codes!$I$126,$D$35:$D$37,0)))</f>
        <v>0</v>
      </c>
      <c r="Q146" s="81">
        <f ca="1">Q126*(INDEX(Q$35:Q$37,MATCH(Work_Codes!$I$126,$D$35:$D$37,0)))</f>
        <v>0</v>
      </c>
      <c r="R146" s="81">
        <f ca="1">R126*(INDEX(R$35:R$37,MATCH(Work_Codes!$I$126,$D$35:$D$37,0)))</f>
        <v>0</v>
      </c>
      <c r="S146" s="81">
        <f ca="1">S126*(INDEX(S$35:S$37,MATCH(Work_Codes!$I$126,$D$35:$D$37,0)))</f>
        <v>0</v>
      </c>
      <c r="T146" s="81">
        <f ca="1">T126*(INDEX(T$35:T$37,MATCH(Work_Codes!$I$126,$D$35:$D$37,0)))</f>
        <v>0</v>
      </c>
    </row>
    <row r="147" spans="5:20" outlineLevel="2">
      <c r="E147" s="247" t="str">
        <f>GC!C41</f>
        <v>Distribution pipelines</v>
      </c>
      <c r="F147" s="247"/>
      <c r="G147" s="247"/>
      <c r="H147" s="247"/>
      <c r="I147" s="247"/>
      <c r="J147" s="81">
        <f ca="1">J127*(INDEX(J$35:J$37,MATCH(Work_Codes!$I$126,$D$35:$D$37,0)))</f>
        <v>0</v>
      </c>
      <c r="K147" s="81">
        <f ca="1">K127*(INDEX(K$35:K$37,MATCH(Work_Codes!$I$126,$D$35:$D$37,0)))</f>
        <v>0</v>
      </c>
      <c r="L147" s="81">
        <f ca="1">L127*(INDEX(L$35:L$37,MATCH(Work_Codes!$I$126,$D$35:$D$37,0)))</f>
        <v>0</v>
      </c>
      <c r="M147" s="81">
        <f ca="1">M127*(INDEX(M$35:M$37,MATCH(Work_Codes!$I$126,$D$35:$D$37,0)))</f>
        <v>0</v>
      </c>
      <c r="N147" s="81">
        <f ca="1">N127*(INDEX(N$35:N$37,MATCH(Work_Codes!$I$126,$D$35:$D$37,0)))</f>
        <v>0</v>
      </c>
      <c r="O147" s="81">
        <f ca="1">O127*(INDEX(O$35:O$37,MATCH(Work_Codes!$I$126,$D$35:$D$37,0)))</f>
        <v>0</v>
      </c>
      <c r="P147" s="81">
        <f ca="1">P127*(INDEX(P$35:P$37,MATCH(Work_Codes!$I$126,$D$35:$D$37,0)))</f>
        <v>0</v>
      </c>
      <c r="Q147" s="81">
        <f ca="1">Q127*(INDEX(Q$35:Q$37,MATCH(Work_Codes!$I$126,$D$35:$D$37,0)))</f>
        <v>0</v>
      </c>
      <c r="R147" s="81">
        <f ca="1">R127*(INDEX(R$35:R$37,MATCH(Work_Codes!$I$126,$D$35:$D$37,0)))</f>
        <v>0</v>
      </c>
      <c r="S147" s="81">
        <f ca="1">S127*(INDEX(S$35:S$37,MATCH(Work_Codes!$I$126,$D$35:$D$37,0)))</f>
        <v>0</v>
      </c>
      <c r="T147" s="81">
        <f ca="1">T127*(INDEX(T$35:T$37,MATCH(Work_Codes!$I$126,$D$35:$D$37,0)))</f>
        <v>0</v>
      </c>
    </row>
    <row r="148" spans="5:20" outlineLevel="2">
      <c r="E148" s="247" t="str">
        <f>GC!C42</f>
        <v>Service pipes</v>
      </c>
      <c r="F148" s="247"/>
      <c r="G148" s="247"/>
      <c r="H148" s="247"/>
      <c r="I148" s="247"/>
      <c r="J148" s="81">
        <f ca="1">J128*(INDEX(J$35:J$37,MATCH(Work_Codes!$I$126,$D$35:$D$37,0)))</f>
        <v>0</v>
      </c>
      <c r="K148" s="81">
        <f ca="1">K128*(INDEX(K$35:K$37,MATCH(Work_Codes!$I$126,$D$35:$D$37,0)))</f>
        <v>0</v>
      </c>
      <c r="L148" s="81">
        <f ca="1">L128*(INDEX(L$35:L$37,MATCH(Work_Codes!$I$126,$D$35:$D$37,0)))</f>
        <v>0</v>
      </c>
      <c r="M148" s="81">
        <f ca="1">M128*(INDEX(M$35:M$37,MATCH(Work_Codes!$I$126,$D$35:$D$37,0)))</f>
        <v>0</v>
      </c>
      <c r="N148" s="81">
        <f ca="1">N128*(INDEX(N$35:N$37,MATCH(Work_Codes!$I$126,$D$35:$D$37,0)))</f>
        <v>0</v>
      </c>
      <c r="O148" s="81">
        <f ca="1">O128*(INDEX(O$35:O$37,MATCH(Work_Codes!$I$126,$D$35:$D$37,0)))</f>
        <v>0</v>
      </c>
      <c r="P148" s="81">
        <f ca="1">P128*(INDEX(P$35:P$37,MATCH(Work_Codes!$I$126,$D$35:$D$37,0)))</f>
        <v>0</v>
      </c>
      <c r="Q148" s="81">
        <f ca="1">Q128*(INDEX(Q$35:Q$37,MATCH(Work_Codes!$I$126,$D$35:$D$37,0)))</f>
        <v>0</v>
      </c>
      <c r="R148" s="81">
        <f ca="1">R128*(INDEX(R$35:R$37,MATCH(Work_Codes!$I$126,$D$35:$D$37,0)))</f>
        <v>0</v>
      </c>
      <c r="S148" s="81">
        <f ca="1">S128*(INDEX(S$35:S$37,MATCH(Work_Codes!$I$126,$D$35:$D$37,0)))</f>
        <v>0</v>
      </c>
      <c r="T148" s="81">
        <f ca="1">T128*(INDEX(T$35:T$37,MATCH(Work_Codes!$I$126,$D$35:$D$37,0)))</f>
        <v>0</v>
      </c>
    </row>
    <row r="149" spans="5:20" outlineLevel="2">
      <c r="E149" s="247" t="str">
        <f>GC!C43</f>
        <v>Cathodic protection</v>
      </c>
      <c r="F149" s="247"/>
      <c r="G149" s="247"/>
      <c r="H149" s="247"/>
      <c r="I149" s="247"/>
      <c r="J149" s="81">
        <f ca="1">J129*(INDEX(J$35:J$37,MATCH(Work_Codes!$I$126,$D$35:$D$37,0)))</f>
        <v>0</v>
      </c>
      <c r="K149" s="81">
        <f ca="1">K129*(INDEX(K$35:K$37,MATCH(Work_Codes!$I$126,$D$35:$D$37,0)))</f>
        <v>0</v>
      </c>
      <c r="L149" s="81">
        <f ca="1">L129*(INDEX(L$35:L$37,MATCH(Work_Codes!$I$126,$D$35:$D$37,0)))</f>
        <v>0</v>
      </c>
      <c r="M149" s="81">
        <f ca="1">M129*(INDEX(M$35:M$37,MATCH(Work_Codes!$I$126,$D$35:$D$37,0)))</f>
        <v>0</v>
      </c>
      <c r="N149" s="81">
        <f ca="1">N129*(INDEX(N$35:N$37,MATCH(Work_Codes!$I$126,$D$35:$D$37,0)))</f>
        <v>0</v>
      </c>
      <c r="O149" s="81">
        <f ca="1">O129*(INDEX(O$35:O$37,MATCH(Work_Codes!$I$126,$D$35:$D$37,0)))</f>
        <v>0</v>
      </c>
      <c r="P149" s="81">
        <f ca="1">P129*(INDEX(P$35:P$37,MATCH(Work_Codes!$I$126,$D$35:$D$37,0)))</f>
        <v>0</v>
      </c>
      <c r="Q149" s="81">
        <f ca="1">Q129*(INDEX(Q$35:Q$37,MATCH(Work_Codes!$I$126,$D$35:$D$37,0)))</f>
        <v>0</v>
      </c>
      <c r="R149" s="81">
        <f ca="1">R129*(INDEX(R$35:R$37,MATCH(Work_Codes!$I$126,$D$35:$D$37,0)))</f>
        <v>0</v>
      </c>
      <c r="S149" s="81">
        <f ca="1">S129*(INDEX(S$35:S$37,MATCH(Work_Codes!$I$126,$D$35:$D$37,0)))</f>
        <v>0</v>
      </c>
      <c r="T149" s="81">
        <f ca="1">T129*(INDEX(T$35:T$37,MATCH(Work_Codes!$I$126,$D$35:$D$37,0)))</f>
        <v>0</v>
      </c>
    </row>
    <row r="150" spans="5:20" outlineLevel="2">
      <c r="E150" s="247" t="str">
        <f>GC!C44</f>
        <v>Supply Regulators / Valve Stations</v>
      </c>
      <c r="F150" s="247"/>
      <c r="G150" s="247"/>
      <c r="H150" s="247"/>
      <c r="I150" s="247"/>
      <c r="J150" s="81">
        <f ca="1">J130*(INDEX(J$35:J$37,MATCH(Work_Codes!$I$126,$D$35:$D$37,0)))</f>
        <v>0</v>
      </c>
      <c r="K150" s="81">
        <f ca="1">K130*(INDEX(K$35:K$37,MATCH(Work_Codes!$I$126,$D$35:$D$37,0)))</f>
        <v>0</v>
      </c>
      <c r="L150" s="81">
        <f ca="1">L130*(INDEX(L$35:L$37,MATCH(Work_Codes!$I$126,$D$35:$D$37,0)))</f>
        <v>0</v>
      </c>
      <c r="M150" s="81">
        <f ca="1">M130*(INDEX(M$35:M$37,MATCH(Work_Codes!$I$126,$D$35:$D$37,0)))</f>
        <v>0</v>
      </c>
      <c r="N150" s="81">
        <f ca="1">N130*(INDEX(N$35:N$37,MATCH(Work_Codes!$I$126,$D$35:$D$37,0)))</f>
        <v>0</v>
      </c>
      <c r="O150" s="81">
        <f ca="1">O130*(INDEX(O$35:O$37,MATCH(Work_Codes!$I$126,$D$35:$D$37,0)))</f>
        <v>0</v>
      </c>
      <c r="P150" s="81">
        <f ca="1">P130*(INDEX(P$35:P$37,MATCH(Work_Codes!$I$126,$D$35:$D$37,0)))</f>
        <v>0</v>
      </c>
      <c r="Q150" s="81">
        <f ca="1">Q130*(INDEX(Q$35:Q$37,MATCH(Work_Codes!$I$126,$D$35:$D$37,0)))</f>
        <v>0</v>
      </c>
      <c r="R150" s="81">
        <f ca="1">R130*(INDEX(R$35:R$37,MATCH(Work_Codes!$I$126,$D$35:$D$37,0)))</f>
        <v>0</v>
      </c>
      <c r="S150" s="81">
        <f ca="1">S130*(INDEX(S$35:S$37,MATCH(Work_Codes!$I$126,$D$35:$D$37,0)))</f>
        <v>0</v>
      </c>
      <c r="T150" s="81">
        <f ca="1">T130*(INDEX(T$35:T$37,MATCH(Work_Codes!$I$126,$D$35:$D$37,0)))</f>
        <v>0</v>
      </c>
    </row>
    <row r="151" spans="5:20" outlineLevel="2">
      <c r="E151" s="247" t="str">
        <f>GC!C45</f>
        <v>Meters</v>
      </c>
      <c r="F151" s="247"/>
      <c r="G151" s="247"/>
      <c r="H151" s="247"/>
      <c r="I151" s="247"/>
      <c r="J151" s="81">
        <f ca="1">J131*(INDEX(J$35:J$37,MATCH(Work_Codes!$I$126,$D$35:$D$37,0)))</f>
        <v>0</v>
      </c>
      <c r="K151" s="81">
        <f ca="1">K131*(INDEX(K$35:K$37,MATCH(Work_Codes!$I$126,$D$35:$D$37,0)))</f>
        <v>0</v>
      </c>
      <c r="L151" s="81">
        <f ca="1">L131*(INDEX(L$35:L$37,MATCH(Work_Codes!$I$126,$D$35:$D$37,0)))</f>
        <v>0</v>
      </c>
      <c r="M151" s="81">
        <f ca="1">M131*(INDEX(M$35:M$37,MATCH(Work_Codes!$I$126,$D$35:$D$37,0)))</f>
        <v>0</v>
      </c>
      <c r="N151" s="81">
        <f ca="1">N131*(INDEX(N$35:N$37,MATCH(Work_Codes!$I$126,$D$35:$D$37,0)))</f>
        <v>120839.27671564446</v>
      </c>
      <c r="O151" s="81">
        <f ca="1">O131*(INDEX(O$35:O$37,MATCH(Work_Codes!$I$126,$D$35:$D$37,0)))</f>
        <v>62861.573942811934</v>
      </c>
      <c r="P151" s="81">
        <f ca="1">P131*(INDEX(P$35:P$37,MATCH(Work_Codes!$I$126,$D$35:$D$37,0)))</f>
        <v>101068.40167869675</v>
      </c>
      <c r="Q151" s="81">
        <f ca="1">Q131*(INDEX(Q$35:Q$37,MATCH(Work_Codes!$I$126,$D$35:$D$37,0)))</f>
        <v>120836.62325516701</v>
      </c>
      <c r="R151" s="81">
        <f ca="1">R131*(INDEX(R$35:R$37,MATCH(Work_Codes!$I$126,$D$35:$D$37,0)))</f>
        <v>132018.30342560366</v>
      </c>
      <c r="S151" s="81">
        <f ca="1">S131*(INDEX(S$35:S$37,MATCH(Work_Codes!$I$126,$D$35:$D$37,0)))</f>
        <v>102496.58649388666</v>
      </c>
      <c r="T151" s="81">
        <f ca="1">T131*(INDEX(T$35:T$37,MATCH(Work_Codes!$I$126,$D$35:$D$37,0)))</f>
        <v>97305.788729541964</v>
      </c>
    </row>
    <row r="152" spans="5:20" outlineLevel="2">
      <c r="E152" s="247" t="str">
        <f>GC!C46</f>
        <v>SCADA and remote control</v>
      </c>
      <c r="F152" s="247"/>
      <c r="G152" s="247"/>
      <c r="H152" s="247"/>
      <c r="I152" s="247"/>
      <c r="J152" s="81">
        <f ca="1">J132*(INDEX(J$35:J$37,MATCH(Work_Codes!$I$126,$D$35:$D$37,0)))</f>
        <v>0</v>
      </c>
      <c r="K152" s="81">
        <f ca="1">K132*(INDEX(K$35:K$37,MATCH(Work_Codes!$I$126,$D$35:$D$37,0)))</f>
        <v>0</v>
      </c>
      <c r="L152" s="81">
        <f ca="1">L132*(INDEX(L$35:L$37,MATCH(Work_Codes!$I$126,$D$35:$D$37,0)))</f>
        <v>0</v>
      </c>
      <c r="M152" s="81">
        <f ca="1">M132*(INDEX(M$35:M$37,MATCH(Work_Codes!$I$126,$D$35:$D$37,0)))</f>
        <v>0</v>
      </c>
      <c r="N152" s="81">
        <f ca="1">N132*(INDEX(N$35:N$37,MATCH(Work_Codes!$I$126,$D$35:$D$37,0)))</f>
        <v>0</v>
      </c>
      <c r="O152" s="81">
        <f ca="1">O132*(INDEX(O$35:O$37,MATCH(Work_Codes!$I$126,$D$35:$D$37,0)))</f>
        <v>0</v>
      </c>
      <c r="P152" s="81">
        <f ca="1">P132*(INDEX(P$35:P$37,MATCH(Work_Codes!$I$126,$D$35:$D$37,0)))</f>
        <v>0</v>
      </c>
      <c r="Q152" s="81">
        <f ca="1">Q132*(INDEX(Q$35:Q$37,MATCH(Work_Codes!$I$126,$D$35:$D$37,0)))</f>
        <v>0</v>
      </c>
      <c r="R152" s="81">
        <f ca="1">R132*(INDEX(R$35:R$37,MATCH(Work_Codes!$I$126,$D$35:$D$37,0)))</f>
        <v>0</v>
      </c>
      <c r="S152" s="81">
        <f ca="1">S132*(INDEX(S$35:S$37,MATCH(Work_Codes!$I$126,$D$35:$D$37,0)))</f>
        <v>0</v>
      </c>
      <c r="T152" s="81">
        <f ca="1">T132*(INDEX(T$35:T$37,MATCH(Work_Codes!$I$126,$D$35:$D$37,0)))</f>
        <v>0</v>
      </c>
    </row>
    <row r="153" spans="5:20" outlineLevel="2">
      <c r="E153" s="247" t="str">
        <f>GC!C47</f>
        <v>Buildings</v>
      </c>
      <c r="F153" s="247"/>
      <c r="G153" s="247"/>
      <c r="H153" s="247"/>
      <c r="I153" s="247"/>
      <c r="J153" s="81">
        <f ca="1">J133*(INDEX(J$35:J$37,MATCH(Work_Codes!$I$126,$D$35:$D$37,0)))</f>
        <v>0</v>
      </c>
      <c r="K153" s="81">
        <f ca="1">K133*(INDEX(K$35:K$37,MATCH(Work_Codes!$I$126,$D$35:$D$37,0)))</f>
        <v>0</v>
      </c>
      <c r="L153" s="81">
        <f ca="1">L133*(INDEX(L$35:L$37,MATCH(Work_Codes!$I$126,$D$35:$D$37,0)))</f>
        <v>0</v>
      </c>
      <c r="M153" s="81">
        <f ca="1">M133*(INDEX(M$35:M$37,MATCH(Work_Codes!$I$126,$D$35:$D$37,0)))</f>
        <v>0</v>
      </c>
      <c r="N153" s="81">
        <f ca="1">N133*(INDEX(N$35:N$37,MATCH(Work_Codes!$I$126,$D$35:$D$37,0)))</f>
        <v>0</v>
      </c>
      <c r="O153" s="81">
        <f ca="1">O133*(INDEX(O$35:O$37,MATCH(Work_Codes!$I$126,$D$35:$D$37,0)))</f>
        <v>0</v>
      </c>
      <c r="P153" s="81">
        <f ca="1">P133*(INDEX(P$35:P$37,MATCH(Work_Codes!$I$126,$D$35:$D$37,0)))</f>
        <v>0</v>
      </c>
      <c r="Q153" s="81">
        <f ca="1">Q133*(INDEX(Q$35:Q$37,MATCH(Work_Codes!$I$126,$D$35:$D$37,0)))</f>
        <v>0</v>
      </c>
      <c r="R153" s="81">
        <f ca="1">R133*(INDEX(R$35:R$37,MATCH(Work_Codes!$I$126,$D$35:$D$37,0)))</f>
        <v>0</v>
      </c>
      <c r="S153" s="81">
        <f ca="1">S133*(INDEX(S$35:S$37,MATCH(Work_Codes!$I$126,$D$35:$D$37,0)))</f>
        <v>0</v>
      </c>
      <c r="T153" s="81">
        <f ca="1">T133*(INDEX(T$35:T$37,MATCH(Work_Codes!$I$126,$D$35:$D$37,0)))</f>
        <v>0</v>
      </c>
    </row>
    <row r="154" spans="5:20" outlineLevel="2">
      <c r="E154" s="247" t="str">
        <f>GC!C48</f>
        <v>Other - IT</v>
      </c>
      <c r="F154" s="247"/>
      <c r="G154" s="247"/>
      <c r="H154" s="247"/>
      <c r="I154" s="247"/>
      <c r="J154" s="81">
        <f ca="1">J134*(INDEX(J$35:J$37,MATCH(Work_Codes!$I$126,$D$35:$D$37,0)))</f>
        <v>0</v>
      </c>
      <c r="K154" s="81">
        <f ca="1">K134*(INDEX(K$35:K$37,MATCH(Work_Codes!$I$126,$D$35:$D$37,0)))</f>
        <v>0</v>
      </c>
      <c r="L154" s="81">
        <f ca="1">L134*(INDEX(L$35:L$37,MATCH(Work_Codes!$I$126,$D$35:$D$37,0)))</f>
        <v>0</v>
      </c>
      <c r="M154" s="81">
        <f ca="1">M134*(INDEX(M$35:M$37,MATCH(Work_Codes!$I$126,$D$35:$D$37,0)))</f>
        <v>0</v>
      </c>
      <c r="N154" s="81">
        <f ca="1">N134*(INDEX(N$35:N$37,MATCH(Work_Codes!$I$126,$D$35:$D$37,0)))</f>
        <v>0</v>
      </c>
      <c r="O154" s="81">
        <f ca="1">O134*(INDEX(O$35:O$37,MATCH(Work_Codes!$I$126,$D$35:$D$37,0)))</f>
        <v>0</v>
      </c>
      <c r="P154" s="81">
        <f ca="1">P134*(INDEX(P$35:P$37,MATCH(Work_Codes!$I$126,$D$35:$D$37,0)))</f>
        <v>0</v>
      </c>
      <c r="Q154" s="81">
        <f ca="1">Q134*(INDEX(Q$35:Q$37,MATCH(Work_Codes!$I$126,$D$35:$D$37,0)))</f>
        <v>0</v>
      </c>
      <c r="R154" s="81">
        <f ca="1">R134*(INDEX(R$35:R$37,MATCH(Work_Codes!$I$126,$D$35:$D$37,0)))</f>
        <v>0</v>
      </c>
      <c r="S154" s="81">
        <f ca="1">S134*(INDEX(S$35:S$37,MATCH(Work_Codes!$I$126,$D$35:$D$37,0)))</f>
        <v>0</v>
      </c>
      <c r="T154" s="81">
        <f ca="1">T134*(INDEX(T$35:T$37,MATCH(Work_Codes!$I$126,$D$35:$D$37,0)))</f>
        <v>0</v>
      </c>
    </row>
    <row r="155" spans="5:20" outlineLevel="2">
      <c r="E155" s="247" t="str">
        <f>GC!C49</f>
        <v>Other - non IT</v>
      </c>
      <c r="F155" s="247"/>
      <c r="G155" s="247"/>
      <c r="H155" s="247"/>
      <c r="I155" s="247"/>
      <c r="J155" s="81">
        <f ca="1">J135*(INDEX(J$35:J$37,MATCH(Work_Codes!$I$126,$D$35:$D$37,0)))</f>
        <v>0</v>
      </c>
      <c r="K155" s="81">
        <f ca="1">K135*(INDEX(K$35:K$37,MATCH(Work_Codes!$I$126,$D$35:$D$37,0)))</f>
        <v>0</v>
      </c>
      <c r="L155" s="81">
        <f ca="1">L135*(INDEX(L$35:L$37,MATCH(Work_Codes!$I$126,$D$35:$D$37,0)))</f>
        <v>0</v>
      </c>
      <c r="M155" s="81">
        <f ca="1">M135*(INDEX(M$35:M$37,MATCH(Work_Codes!$I$126,$D$35:$D$37,0)))</f>
        <v>0</v>
      </c>
      <c r="N155" s="81">
        <f ca="1">N135*(INDEX(N$35:N$37,MATCH(Work_Codes!$I$126,$D$35:$D$37,0)))</f>
        <v>0</v>
      </c>
      <c r="O155" s="81">
        <f ca="1">O135*(INDEX(O$35:O$37,MATCH(Work_Codes!$I$126,$D$35:$D$37,0)))</f>
        <v>0</v>
      </c>
      <c r="P155" s="81">
        <f ca="1">P135*(INDEX(P$35:P$37,MATCH(Work_Codes!$I$126,$D$35:$D$37,0)))</f>
        <v>0</v>
      </c>
      <c r="Q155" s="81">
        <f ca="1">Q135*(INDEX(Q$35:Q$37,MATCH(Work_Codes!$I$126,$D$35:$D$37,0)))</f>
        <v>0</v>
      </c>
      <c r="R155" s="81">
        <f ca="1">R135*(INDEX(R$35:R$37,MATCH(Work_Codes!$I$126,$D$35:$D$37,0)))</f>
        <v>0</v>
      </c>
      <c r="S155" s="81">
        <f ca="1">S135*(INDEX(S$35:S$37,MATCH(Work_Codes!$I$126,$D$35:$D$37,0)))</f>
        <v>0</v>
      </c>
      <c r="T155" s="81">
        <f ca="1">T135*(INDEX(T$35:T$37,MATCH(Work_Codes!$I$126,$D$35:$D$37,0)))</f>
        <v>0</v>
      </c>
    </row>
    <row r="156" spans="5:20" outlineLevel="2">
      <c r="E156" s="247" t="str">
        <f>GC!C50</f>
        <v>Land</v>
      </c>
      <c r="F156" s="247"/>
      <c r="G156" s="247"/>
      <c r="H156" s="247"/>
      <c r="I156" s="247"/>
      <c r="J156" s="81">
        <f ca="1">J136*(INDEX(J$35:J$37,MATCH(Work_Codes!$I$126,$D$35:$D$37,0)))</f>
        <v>0</v>
      </c>
      <c r="K156" s="81">
        <f ca="1">K136*(INDEX(K$35:K$37,MATCH(Work_Codes!$I$126,$D$35:$D$37,0)))</f>
        <v>0</v>
      </c>
      <c r="L156" s="81">
        <f ca="1">L136*(INDEX(L$35:L$37,MATCH(Work_Codes!$I$126,$D$35:$D$37,0)))</f>
        <v>0</v>
      </c>
      <c r="M156" s="81">
        <f ca="1">M136*(INDEX(M$35:M$37,MATCH(Work_Codes!$I$126,$D$35:$D$37,0)))</f>
        <v>0</v>
      </c>
      <c r="N156" s="81">
        <f ca="1">N136*(INDEX(N$35:N$37,MATCH(Work_Codes!$I$126,$D$35:$D$37,0)))</f>
        <v>0</v>
      </c>
      <c r="O156" s="81">
        <f ca="1">O136*(INDEX(O$35:O$37,MATCH(Work_Codes!$I$126,$D$35:$D$37,0)))</f>
        <v>0</v>
      </c>
      <c r="P156" s="81">
        <f ca="1">P136*(INDEX(P$35:P$37,MATCH(Work_Codes!$I$126,$D$35:$D$37,0)))</f>
        <v>0</v>
      </c>
      <c r="Q156" s="81">
        <f ca="1">Q136*(INDEX(Q$35:Q$37,MATCH(Work_Codes!$I$126,$D$35:$D$37,0)))</f>
        <v>0</v>
      </c>
      <c r="R156" s="81">
        <f ca="1">R136*(INDEX(R$35:R$37,MATCH(Work_Codes!$I$126,$D$35:$D$37,0)))</f>
        <v>0</v>
      </c>
      <c r="S156" s="81">
        <f ca="1">S136*(INDEX(S$35:S$37,MATCH(Work_Codes!$I$126,$D$35:$D$37,0)))</f>
        <v>0</v>
      </c>
      <c r="T156" s="81">
        <f ca="1">T136*(INDEX(T$35:T$37,MATCH(Work_Codes!$I$126,$D$35:$D$37,0)))</f>
        <v>0</v>
      </c>
    </row>
    <row r="157" spans="5:20" outlineLevel="2">
      <c r="E157" s="247" t="str">
        <f>GC!C51</f>
        <v>Capitalised Leases</v>
      </c>
      <c r="F157" s="247"/>
      <c r="G157" s="247"/>
      <c r="H157" s="247"/>
      <c r="I157" s="247"/>
      <c r="J157" s="81">
        <f ca="1">J137*(INDEX(J$35:J$37,MATCH(Work_Codes!$I$126,$D$35:$D$37,0)))</f>
        <v>0</v>
      </c>
      <c r="K157" s="81">
        <f ca="1">K137*(INDEX(K$35:K$37,MATCH(Work_Codes!$I$126,$D$35:$D$37,0)))</f>
        <v>0</v>
      </c>
      <c r="L157" s="81">
        <f ca="1">L137*(INDEX(L$35:L$37,MATCH(Work_Codes!$I$126,$D$35:$D$37,0)))</f>
        <v>0</v>
      </c>
      <c r="M157" s="81">
        <f ca="1">M137*(INDEX(M$35:M$37,MATCH(Work_Codes!$I$126,$D$35:$D$37,0)))</f>
        <v>0</v>
      </c>
      <c r="N157" s="81">
        <f ca="1">N137*(INDEX(N$35:N$37,MATCH(Work_Codes!$I$126,$D$35:$D$37,0)))</f>
        <v>0</v>
      </c>
      <c r="O157" s="81">
        <f ca="1">O137*(INDEX(O$35:O$37,MATCH(Work_Codes!$I$126,$D$35:$D$37,0)))</f>
        <v>0</v>
      </c>
      <c r="P157" s="81">
        <f ca="1">P137*(INDEX(P$35:P$37,MATCH(Work_Codes!$I$126,$D$35:$D$37,0)))</f>
        <v>0</v>
      </c>
      <c r="Q157" s="81">
        <f ca="1">Q137*(INDEX(Q$35:Q$37,MATCH(Work_Codes!$I$126,$D$35:$D$37,0)))</f>
        <v>0</v>
      </c>
      <c r="R157" s="81">
        <f ca="1">R137*(INDEX(R$35:R$37,MATCH(Work_Codes!$I$126,$D$35:$D$37,0)))</f>
        <v>0</v>
      </c>
      <c r="S157" s="81">
        <f ca="1">S137*(INDEX(S$35:S$37,MATCH(Work_Codes!$I$126,$D$35:$D$37,0)))</f>
        <v>0</v>
      </c>
      <c r="T157" s="81">
        <f ca="1">T137*(INDEX(T$35:T$37,MATCH(Work_Codes!$I$126,$D$35:$D$37,0)))</f>
        <v>0</v>
      </c>
    </row>
    <row r="158" spans="5:20" outlineLevel="2">
      <c r="E158" s="247" t="str">
        <f>GC!C52</f>
        <v>Transmission pipelines - post 1998</v>
      </c>
      <c r="F158" s="247"/>
      <c r="G158" s="247"/>
      <c r="H158" s="247"/>
      <c r="I158" s="247"/>
      <c r="J158" s="81">
        <f ca="1">J138*(INDEX(J$35:J$37,MATCH(Work_Codes!$I$126,$D$35:$D$37,0)))</f>
        <v>0</v>
      </c>
      <c r="K158" s="81">
        <f ca="1">K138*(INDEX(K$35:K$37,MATCH(Work_Codes!$I$126,$D$35:$D$37,0)))</f>
        <v>0</v>
      </c>
      <c r="L158" s="81">
        <f ca="1">L138*(INDEX(L$35:L$37,MATCH(Work_Codes!$I$126,$D$35:$D$37,0)))</f>
        <v>0</v>
      </c>
      <c r="M158" s="81">
        <f ca="1">M138*(INDEX(M$35:M$37,MATCH(Work_Codes!$I$126,$D$35:$D$37,0)))</f>
        <v>0</v>
      </c>
      <c r="N158" s="81">
        <f ca="1">N138*(INDEX(N$35:N$37,MATCH(Work_Codes!$I$126,$D$35:$D$37,0)))</f>
        <v>0</v>
      </c>
      <c r="O158" s="81">
        <f ca="1">O138*(INDEX(O$35:O$37,MATCH(Work_Codes!$I$126,$D$35:$D$37,0)))</f>
        <v>0</v>
      </c>
      <c r="P158" s="81">
        <f ca="1">P138*(INDEX(P$35:P$37,MATCH(Work_Codes!$I$126,$D$35:$D$37,0)))</f>
        <v>0</v>
      </c>
      <c r="Q158" s="81">
        <f ca="1">Q138*(INDEX(Q$35:Q$37,MATCH(Work_Codes!$I$126,$D$35:$D$37,0)))</f>
        <v>0</v>
      </c>
      <c r="R158" s="81">
        <f ca="1">R138*(INDEX(R$35:R$37,MATCH(Work_Codes!$I$126,$D$35:$D$37,0)))</f>
        <v>0</v>
      </c>
      <c r="S158" s="81">
        <f ca="1">S138*(INDEX(S$35:S$37,MATCH(Work_Codes!$I$126,$D$35:$D$37,0)))</f>
        <v>0</v>
      </c>
      <c r="T158" s="81">
        <f ca="1">T138*(INDEX(T$35:T$37,MATCH(Work_Codes!$I$126,$D$35:$D$37,0)))</f>
        <v>0</v>
      </c>
    </row>
    <row r="159" spans="5:20" outlineLevel="2">
      <c r="E159" s="247" t="str">
        <f>GC!C53</f>
        <v>Distribution pipelines - post 1998</v>
      </c>
      <c r="F159" s="247"/>
      <c r="G159" s="247"/>
      <c r="H159" s="247"/>
      <c r="I159" s="247"/>
      <c r="J159" s="81">
        <f ca="1">J139*(INDEX(J$35:J$37,MATCH(Work_Codes!$I$126,$D$35:$D$37,0)))</f>
        <v>0</v>
      </c>
      <c r="K159" s="81">
        <f ca="1">K139*(INDEX(K$35:K$37,MATCH(Work_Codes!$I$126,$D$35:$D$37,0)))</f>
        <v>0</v>
      </c>
      <c r="L159" s="81">
        <f ca="1">L139*(INDEX(L$35:L$37,MATCH(Work_Codes!$I$126,$D$35:$D$37,0)))</f>
        <v>0</v>
      </c>
      <c r="M159" s="81">
        <f ca="1">M139*(INDEX(M$35:M$37,MATCH(Work_Codes!$I$126,$D$35:$D$37,0)))</f>
        <v>0</v>
      </c>
      <c r="N159" s="81">
        <f ca="1">N139*(INDEX(N$35:N$37,MATCH(Work_Codes!$I$126,$D$35:$D$37,0)))</f>
        <v>0</v>
      </c>
      <c r="O159" s="81">
        <f ca="1">O139*(INDEX(O$35:O$37,MATCH(Work_Codes!$I$126,$D$35:$D$37,0)))</f>
        <v>0</v>
      </c>
      <c r="P159" s="81">
        <f ca="1">P139*(INDEX(P$35:P$37,MATCH(Work_Codes!$I$126,$D$35:$D$37,0)))</f>
        <v>0</v>
      </c>
      <c r="Q159" s="81">
        <f ca="1">Q139*(INDEX(Q$35:Q$37,MATCH(Work_Codes!$I$126,$D$35:$D$37,0)))</f>
        <v>0</v>
      </c>
      <c r="R159" s="81">
        <f ca="1">R139*(INDEX(R$35:R$37,MATCH(Work_Codes!$I$126,$D$35:$D$37,0)))</f>
        <v>0</v>
      </c>
      <c r="S159" s="81">
        <f ca="1">S139*(INDEX(S$35:S$37,MATCH(Work_Codes!$I$126,$D$35:$D$37,0)))</f>
        <v>0</v>
      </c>
      <c r="T159" s="81">
        <f ca="1">T139*(INDEX(T$35:T$37,MATCH(Work_Codes!$I$126,$D$35:$D$37,0)))</f>
        <v>0</v>
      </c>
    </row>
    <row r="160" spans="5:20" outlineLevel="2">
      <c r="E160" s="247" t="str">
        <f>GC!C54</f>
        <v>Service pipes - post 1998</v>
      </c>
      <c r="F160" s="247"/>
      <c r="G160" s="247"/>
      <c r="H160" s="247"/>
      <c r="I160" s="247"/>
      <c r="J160" s="81">
        <f ca="1">J140*(INDEX(J$35:J$37,MATCH(Work_Codes!$I$126,$D$35:$D$37,0)))</f>
        <v>0</v>
      </c>
      <c r="K160" s="81">
        <f ca="1">K140*(INDEX(K$35:K$37,MATCH(Work_Codes!$I$126,$D$35:$D$37,0)))</f>
        <v>0</v>
      </c>
      <c r="L160" s="81">
        <f ca="1">L140*(INDEX(L$35:L$37,MATCH(Work_Codes!$I$126,$D$35:$D$37,0)))</f>
        <v>0</v>
      </c>
      <c r="M160" s="81">
        <f ca="1">M140*(INDEX(M$35:M$37,MATCH(Work_Codes!$I$126,$D$35:$D$37,0)))</f>
        <v>0</v>
      </c>
      <c r="N160" s="81">
        <f ca="1">N140*(INDEX(N$35:N$37,MATCH(Work_Codes!$I$126,$D$35:$D$37,0)))</f>
        <v>0</v>
      </c>
      <c r="O160" s="81">
        <f ca="1">O140*(INDEX(O$35:O$37,MATCH(Work_Codes!$I$126,$D$35:$D$37,0)))</f>
        <v>0</v>
      </c>
      <c r="P160" s="81">
        <f ca="1">P140*(INDEX(P$35:P$37,MATCH(Work_Codes!$I$126,$D$35:$D$37,0)))</f>
        <v>0</v>
      </c>
      <c r="Q160" s="81">
        <f ca="1">Q140*(INDEX(Q$35:Q$37,MATCH(Work_Codes!$I$126,$D$35:$D$37,0)))</f>
        <v>0</v>
      </c>
      <c r="R160" s="81">
        <f ca="1">R140*(INDEX(R$35:R$37,MATCH(Work_Codes!$I$126,$D$35:$D$37,0)))</f>
        <v>0</v>
      </c>
      <c r="S160" s="81">
        <f ca="1">S140*(INDEX(S$35:S$37,MATCH(Work_Codes!$I$126,$D$35:$D$37,0)))</f>
        <v>0</v>
      </c>
      <c r="T160" s="81">
        <f ca="1">T140*(INDEX(T$35:T$37,MATCH(Work_Codes!$I$126,$D$35:$D$37,0)))</f>
        <v>0</v>
      </c>
    </row>
    <row r="161" spans="4:20" outlineLevel="2">
      <c r="E161" s="247" t="str">
        <f>GC!C55</f>
        <v>Cathodic protection - post 1998</v>
      </c>
      <c r="F161" s="247"/>
      <c r="G161" s="247"/>
      <c r="H161" s="247"/>
      <c r="I161" s="247"/>
      <c r="J161" s="81">
        <f ca="1">J141*(INDEX(J$35:J$37,MATCH(Work_Codes!$I$126,$D$35:$D$37,0)))</f>
        <v>0</v>
      </c>
      <c r="K161" s="81">
        <f ca="1">K141*(INDEX(K$35:K$37,MATCH(Work_Codes!$I$126,$D$35:$D$37,0)))</f>
        <v>0</v>
      </c>
      <c r="L161" s="81">
        <f ca="1">L141*(INDEX(L$35:L$37,MATCH(Work_Codes!$I$126,$D$35:$D$37,0)))</f>
        <v>0</v>
      </c>
      <c r="M161" s="81">
        <f ca="1">M141*(INDEX(M$35:M$37,MATCH(Work_Codes!$I$126,$D$35:$D$37,0)))</f>
        <v>0</v>
      </c>
      <c r="N161" s="81">
        <f ca="1">N141*(INDEX(N$35:N$37,MATCH(Work_Codes!$I$126,$D$35:$D$37,0)))</f>
        <v>0</v>
      </c>
      <c r="O161" s="81">
        <f ca="1">O141*(INDEX(O$35:O$37,MATCH(Work_Codes!$I$126,$D$35:$D$37,0)))</f>
        <v>0</v>
      </c>
      <c r="P161" s="81">
        <f ca="1">P141*(INDEX(P$35:P$37,MATCH(Work_Codes!$I$126,$D$35:$D$37,0)))</f>
        <v>0</v>
      </c>
      <c r="Q161" s="81">
        <f ca="1">Q141*(INDEX(Q$35:Q$37,MATCH(Work_Codes!$I$126,$D$35:$D$37,0)))</f>
        <v>0</v>
      </c>
      <c r="R161" s="81">
        <f ca="1">R141*(INDEX(R$35:R$37,MATCH(Work_Codes!$I$126,$D$35:$D$37,0)))</f>
        <v>0</v>
      </c>
      <c r="S161" s="81">
        <f ca="1">S141*(INDEX(S$35:S$37,MATCH(Work_Codes!$I$126,$D$35:$D$37,0)))</f>
        <v>0</v>
      </c>
      <c r="T161" s="81">
        <f ca="1">T141*(INDEX(T$35:T$37,MATCH(Work_Codes!$I$126,$D$35:$D$37,0)))</f>
        <v>0</v>
      </c>
    </row>
    <row r="162" spans="4:20" outlineLevel="2">
      <c r="E162" s="249" t="str">
        <f>"Total "&amp;D144</f>
        <v>Total Overheads</v>
      </c>
      <c r="F162" s="249"/>
      <c r="G162" s="249"/>
      <c r="H162" s="249"/>
      <c r="I162" s="249"/>
      <c r="J162" s="82">
        <f t="shared" ref="J162:T162" ca="1" si="20">SUM(J146:J161)</f>
        <v>0</v>
      </c>
      <c r="K162" s="82">
        <f t="shared" ca="1" si="20"/>
        <v>0</v>
      </c>
      <c r="L162" s="82">
        <f t="shared" ca="1" si="20"/>
        <v>0</v>
      </c>
      <c r="M162" s="82">
        <f t="shared" ca="1" si="20"/>
        <v>0</v>
      </c>
      <c r="N162" s="82">
        <f t="shared" ca="1" si="20"/>
        <v>120839.27671564446</v>
      </c>
      <c r="O162" s="82">
        <f t="shared" ca="1" si="20"/>
        <v>62861.573942811934</v>
      </c>
      <c r="P162" s="82">
        <f t="shared" ca="1" si="20"/>
        <v>101068.40167869675</v>
      </c>
      <c r="Q162" s="82">
        <f t="shared" ca="1" si="20"/>
        <v>120836.62325516701</v>
      </c>
      <c r="R162" s="82">
        <f t="shared" ca="1" si="20"/>
        <v>132018.30342560366</v>
      </c>
      <c r="S162" s="82">
        <f t="shared" ca="1" si="20"/>
        <v>102496.58649388666</v>
      </c>
      <c r="T162" s="82">
        <f t="shared" ca="1" si="20"/>
        <v>97305.788729541964</v>
      </c>
    </row>
    <row r="163" spans="4:20" outlineLevel="2"/>
    <row r="164" spans="4:20" outlineLevel="2">
      <c r="D164" s="37" t="s">
        <v>216</v>
      </c>
    </row>
    <row r="165" spans="4:20" ht="5.9" customHeight="1" outlineLevel="2"/>
    <row r="166" spans="4:20" ht="11.5" customHeight="1" outlineLevel="2">
      <c r="E166" s="247" t="str">
        <f>GC!C40</f>
        <v>Transmission pipelines</v>
      </c>
      <c r="F166" s="247"/>
      <c r="G166" s="247"/>
      <c r="H166" s="247"/>
      <c r="I166" s="247"/>
      <c r="J166" s="81">
        <f ca="1">J126*(1+INDEX(J$35:J$37,MATCH(Work_Codes!$I$126,$D$35:$D$37,0)))</f>
        <v>0</v>
      </c>
      <c r="K166" s="81">
        <f ca="1">K126*(1+INDEX(K$35:K$37,MATCH(Work_Codes!$I$126,$D$35:$D$37,0)))</f>
        <v>0</v>
      </c>
      <c r="L166" s="81">
        <f ca="1">L126*(1+INDEX(L$35:L$37,MATCH(Work_Codes!$I$126,$D$35:$D$37,0)))</f>
        <v>0</v>
      </c>
      <c r="M166" s="81">
        <f ca="1">M126*(1+INDEX(M$35:M$37,MATCH(Work_Codes!$I$126,$D$35:$D$37,0)))</f>
        <v>0</v>
      </c>
      <c r="N166" s="81">
        <f ca="1">N126*(1+INDEX(N$35:N$37,MATCH(Work_Codes!$I$126,$D$35:$D$37,0)))</f>
        <v>0</v>
      </c>
      <c r="O166" s="81">
        <f ca="1">O126*(1+INDEX(O$35:O$37,MATCH(Work_Codes!$I$126,$D$35:$D$37,0)))</f>
        <v>0</v>
      </c>
      <c r="P166" s="81">
        <f ca="1">P126*(1+INDEX(P$35:P$37,MATCH(Work_Codes!$I$126,$D$35:$D$37,0)))</f>
        <v>0</v>
      </c>
      <c r="Q166" s="81">
        <f ca="1">Q126*(1+INDEX(Q$35:Q$37,MATCH(Work_Codes!$I$126,$D$35:$D$37,0)))</f>
        <v>0</v>
      </c>
      <c r="R166" s="81">
        <f ca="1">R126*(1+INDEX(R$35:R$37,MATCH(Work_Codes!$I$126,$D$35:$D$37,0)))</f>
        <v>0</v>
      </c>
      <c r="S166" s="81">
        <f ca="1">S126*(1+INDEX(S$35:S$37,MATCH(Work_Codes!$I$126,$D$35:$D$37,0)))</f>
        <v>0</v>
      </c>
      <c r="T166" s="81">
        <f ca="1">T126*(1+INDEX(T$35:T$37,MATCH(Work_Codes!$I$126,$D$35:$D$37,0)))</f>
        <v>0</v>
      </c>
    </row>
    <row r="167" spans="4:20" ht="11.5" customHeight="1" outlineLevel="2">
      <c r="E167" s="247" t="str">
        <f>GC!C41</f>
        <v>Distribution pipelines</v>
      </c>
      <c r="F167" s="247"/>
      <c r="G167" s="247"/>
      <c r="H167" s="247"/>
      <c r="I167" s="247"/>
      <c r="J167" s="81">
        <f ca="1">J127*(1+INDEX(J$35:J$37,MATCH(Work_Codes!$I$126,$D$35:$D$37,0)))</f>
        <v>0</v>
      </c>
      <c r="K167" s="81">
        <f ca="1">K127*(1+INDEX(K$35:K$37,MATCH(Work_Codes!$I$126,$D$35:$D$37,0)))</f>
        <v>0</v>
      </c>
      <c r="L167" s="81">
        <f ca="1">L127*(1+INDEX(L$35:L$37,MATCH(Work_Codes!$I$126,$D$35:$D$37,0)))</f>
        <v>0</v>
      </c>
      <c r="M167" s="81">
        <f ca="1">M127*(1+INDEX(M$35:M$37,MATCH(Work_Codes!$I$126,$D$35:$D$37,0)))</f>
        <v>0</v>
      </c>
      <c r="N167" s="81">
        <f ca="1">N127*(1+INDEX(N$35:N$37,MATCH(Work_Codes!$I$126,$D$35:$D$37,0)))</f>
        <v>0</v>
      </c>
      <c r="O167" s="81">
        <f ca="1">O127*(1+INDEX(O$35:O$37,MATCH(Work_Codes!$I$126,$D$35:$D$37,0)))</f>
        <v>0</v>
      </c>
      <c r="P167" s="81">
        <f ca="1">P127*(1+INDEX(P$35:P$37,MATCH(Work_Codes!$I$126,$D$35:$D$37,0)))</f>
        <v>0</v>
      </c>
      <c r="Q167" s="81">
        <f ca="1">Q127*(1+INDEX(Q$35:Q$37,MATCH(Work_Codes!$I$126,$D$35:$D$37,0)))</f>
        <v>0</v>
      </c>
      <c r="R167" s="81">
        <f ca="1">R127*(1+INDEX(R$35:R$37,MATCH(Work_Codes!$I$126,$D$35:$D$37,0)))</f>
        <v>0</v>
      </c>
      <c r="S167" s="81">
        <f ca="1">S127*(1+INDEX(S$35:S$37,MATCH(Work_Codes!$I$126,$D$35:$D$37,0)))</f>
        <v>0</v>
      </c>
      <c r="T167" s="81">
        <f ca="1">T127*(1+INDEX(T$35:T$37,MATCH(Work_Codes!$I$126,$D$35:$D$37,0)))</f>
        <v>0</v>
      </c>
    </row>
    <row r="168" spans="4:20" ht="11.5" customHeight="1" outlineLevel="2">
      <c r="E168" s="247" t="str">
        <f>GC!C42</f>
        <v>Service pipes</v>
      </c>
      <c r="F168" s="247"/>
      <c r="G168" s="247"/>
      <c r="H168" s="247"/>
      <c r="I168" s="247"/>
      <c r="J168" s="81">
        <f ca="1">J128*(1+INDEX(J$35:J$37,MATCH(Work_Codes!$I$126,$D$35:$D$37,0)))</f>
        <v>0</v>
      </c>
      <c r="K168" s="81">
        <f ca="1">K128*(1+INDEX(K$35:K$37,MATCH(Work_Codes!$I$126,$D$35:$D$37,0)))</f>
        <v>0</v>
      </c>
      <c r="L168" s="81">
        <f ca="1">L128*(1+INDEX(L$35:L$37,MATCH(Work_Codes!$I$126,$D$35:$D$37,0)))</f>
        <v>0</v>
      </c>
      <c r="M168" s="81">
        <f ca="1">M128*(1+INDEX(M$35:M$37,MATCH(Work_Codes!$I$126,$D$35:$D$37,0)))</f>
        <v>0</v>
      </c>
      <c r="N168" s="81">
        <f ca="1">N128*(1+INDEX(N$35:N$37,MATCH(Work_Codes!$I$126,$D$35:$D$37,0)))</f>
        <v>0</v>
      </c>
      <c r="O168" s="81">
        <f ca="1">O128*(1+INDEX(O$35:O$37,MATCH(Work_Codes!$I$126,$D$35:$D$37,0)))</f>
        <v>0</v>
      </c>
      <c r="P168" s="81">
        <f ca="1">P128*(1+INDEX(P$35:P$37,MATCH(Work_Codes!$I$126,$D$35:$D$37,0)))</f>
        <v>0</v>
      </c>
      <c r="Q168" s="81">
        <f ca="1">Q128*(1+INDEX(Q$35:Q$37,MATCH(Work_Codes!$I$126,$D$35:$D$37,0)))</f>
        <v>0</v>
      </c>
      <c r="R168" s="81">
        <f ca="1">R128*(1+INDEX(R$35:R$37,MATCH(Work_Codes!$I$126,$D$35:$D$37,0)))</f>
        <v>0</v>
      </c>
      <c r="S168" s="81">
        <f ca="1">S128*(1+INDEX(S$35:S$37,MATCH(Work_Codes!$I$126,$D$35:$D$37,0)))</f>
        <v>0</v>
      </c>
      <c r="T168" s="81">
        <f ca="1">T128*(1+INDEX(T$35:T$37,MATCH(Work_Codes!$I$126,$D$35:$D$37,0)))</f>
        <v>0</v>
      </c>
    </row>
    <row r="169" spans="4:20" ht="11.5" customHeight="1" outlineLevel="2">
      <c r="E169" s="247" t="str">
        <f>GC!C43</f>
        <v>Cathodic protection</v>
      </c>
      <c r="F169" s="247"/>
      <c r="G169" s="247"/>
      <c r="H169" s="247"/>
      <c r="I169" s="247"/>
      <c r="J169" s="81">
        <f ca="1">J129*(1+INDEX(J$35:J$37,MATCH(Work_Codes!$I$126,$D$35:$D$37,0)))</f>
        <v>0</v>
      </c>
      <c r="K169" s="81">
        <f ca="1">K129*(1+INDEX(K$35:K$37,MATCH(Work_Codes!$I$126,$D$35:$D$37,0)))</f>
        <v>0</v>
      </c>
      <c r="L169" s="81">
        <f ca="1">L129*(1+INDEX(L$35:L$37,MATCH(Work_Codes!$I$126,$D$35:$D$37,0)))</f>
        <v>0</v>
      </c>
      <c r="M169" s="81">
        <f ca="1">M129*(1+INDEX(M$35:M$37,MATCH(Work_Codes!$I$126,$D$35:$D$37,0)))</f>
        <v>0</v>
      </c>
      <c r="N169" s="81">
        <f ca="1">N129*(1+INDEX(N$35:N$37,MATCH(Work_Codes!$I$126,$D$35:$D$37,0)))</f>
        <v>0</v>
      </c>
      <c r="O169" s="81">
        <f ca="1">O129*(1+INDEX(O$35:O$37,MATCH(Work_Codes!$I$126,$D$35:$D$37,0)))</f>
        <v>0</v>
      </c>
      <c r="P169" s="81">
        <f ca="1">P129*(1+INDEX(P$35:P$37,MATCH(Work_Codes!$I$126,$D$35:$D$37,0)))</f>
        <v>0</v>
      </c>
      <c r="Q169" s="81">
        <f ca="1">Q129*(1+INDEX(Q$35:Q$37,MATCH(Work_Codes!$I$126,$D$35:$D$37,0)))</f>
        <v>0</v>
      </c>
      <c r="R169" s="81">
        <f ca="1">R129*(1+INDEX(R$35:R$37,MATCH(Work_Codes!$I$126,$D$35:$D$37,0)))</f>
        <v>0</v>
      </c>
      <c r="S169" s="81">
        <f ca="1">S129*(1+INDEX(S$35:S$37,MATCH(Work_Codes!$I$126,$D$35:$D$37,0)))</f>
        <v>0</v>
      </c>
      <c r="T169" s="81">
        <f ca="1">T129*(1+INDEX(T$35:T$37,MATCH(Work_Codes!$I$126,$D$35:$D$37,0)))</f>
        <v>0</v>
      </c>
    </row>
    <row r="170" spans="4:20" ht="11.5" customHeight="1" outlineLevel="2">
      <c r="E170" s="247" t="str">
        <f>GC!C44</f>
        <v>Supply Regulators / Valve Stations</v>
      </c>
      <c r="F170" s="247"/>
      <c r="G170" s="247"/>
      <c r="H170" s="247"/>
      <c r="I170" s="247"/>
      <c r="J170" s="81">
        <f ca="1">J130*(1+INDEX(J$35:J$37,MATCH(Work_Codes!$I$126,$D$35:$D$37,0)))</f>
        <v>0</v>
      </c>
      <c r="K170" s="81">
        <f ca="1">K130*(1+INDEX(K$35:K$37,MATCH(Work_Codes!$I$126,$D$35:$D$37,0)))</f>
        <v>0</v>
      </c>
      <c r="L170" s="81">
        <f ca="1">L130*(1+INDEX(L$35:L$37,MATCH(Work_Codes!$I$126,$D$35:$D$37,0)))</f>
        <v>0</v>
      </c>
      <c r="M170" s="81">
        <f ca="1">M130*(1+INDEX(M$35:M$37,MATCH(Work_Codes!$I$126,$D$35:$D$37,0)))</f>
        <v>0</v>
      </c>
      <c r="N170" s="81">
        <f ca="1">N130*(1+INDEX(N$35:N$37,MATCH(Work_Codes!$I$126,$D$35:$D$37,0)))</f>
        <v>0</v>
      </c>
      <c r="O170" s="81">
        <f ca="1">O130*(1+INDEX(O$35:O$37,MATCH(Work_Codes!$I$126,$D$35:$D$37,0)))</f>
        <v>0</v>
      </c>
      <c r="P170" s="81">
        <f ca="1">P130*(1+INDEX(P$35:P$37,MATCH(Work_Codes!$I$126,$D$35:$D$37,0)))</f>
        <v>0</v>
      </c>
      <c r="Q170" s="81">
        <f ca="1">Q130*(1+INDEX(Q$35:Q$37,MATCH(Work_Codes!$I$126,$D$35:$D$37,0)))</f>
        <v>0</v>
      </c>
      <c r="R170" s="81">
        <f ca="1">R130*(1+INDEX(R$35:R$37,MATCH(Work_Codes!$I$126,$D$35:$D$37,0)))</f>
        <v>0</v>
      </c>
      <c r="S170" s="81">
        <f ca="1">S130*(1+INDEX(S$35:S$37,MATCH(Work_Codes!$I$126,$D$35:$D$37,0)))</f>
        <v>0</v>
      </c>
      <c r="T170" s="81">
        <f ca="1">T130*(1+INDEX(T$35:T$37,MATCH(Work_Codes!$I$126,$D$35:$D$37,0)))</f>
        <v>0</v>
      </c>
    </row>
    <row r="171" spans="4:20" ht="11.5" customHeight="1" outlineLevel="2">
      <c r="E171" s="247" t="str">
        <f>GC!C45</f>
        <v>Meters</v>
      </c>
      <c r="F171" s="247"/>
      <c r="G171" s="247"/>
      <c r="H171" s="247"/>
      <c r="I171" s="247"/>
      <c r="J171" s="81">
        <f ca="1">J131*(1+INDEX(J$35:J$37,MATCH(Work_Codes!$I$126,$D$35:$D$37,0)))</f>
        <v>0</v>
      </c>
      <c r="K171" s="81">
        <f ca="1">K131*(1+INDEX(K$35:K$37,MATCH(Work_Codes!$I$126,$D$35:$D$37,0)))</f>
        <v>0</v>
      </c>
      <c r="L171" s="81">
        <f ca="1">L131*(1+INDEX(L$35:L$37,MATCH(Work_Codes!$I$126,$D$35:$D$37,0)))</f>
        <v>0</v>
      </c>
      <c r="M171" s="81">
        <f ca="1">M131*(1+INDEX(M$35:M$37,MATCH(Work_Codes!$I$126,$D$35:$D$37,0)))</f>
        <v>0</v>
      </c>
      <c r="N171" s="81">
        <f ca="1">N131*(1+INDEX(N$35:N$37,MATCH(Work_Codes!$I$126,$D$35:$D$37,0)))</f>
        <v>3325189.5474092909</v>
      </c>
      <c r="O171" s="81">
        <f ca="1">O131*(1+INDEX(O$35:O$37,MATCH(Work_Codes!$I$126,$D$35:$D$37,0)))</f>
        <v>1951505.7389307767</v>
      </c>
      <c r="P171" s="81">
        <f ca="1">P131*(1+INDEX(P$35:P$37,MATCH(Work_Codes!$I$126,$D$35:$D$37,0)))</f>
        <v>3878950.6660576495</v>
      </c>
      <c r="Q171" s="81">
        <f ca="1">Q131*(1+INDEX(Q$35:Q$37,MATCH(Work_Codes!$I$126,$D$35:$D$37,0)))</f>
        <v>4757594.1006277036</v>
      </c>
      <c r="R171" s="81">
        <f ca="1">R131*(1+INDEX(R$35:R$37,MATCH(Work_Codes!$I$126,$D$35:$D$37,0)))</f>
        <v>5044691.7678896841</v>
      </c>
      <c r="S171" s="81">
        <f ca="1">S131*(1+INDEX(S$35:S$37,MATCH(Work_Codes!$I$126,$D$35:$D$37,0)))</f>
        <v>3693050.2207309967</v>
      </c>
      <c r="T171" s="81">
        <f ca="1">T131*(1+INDEX(T$35:T$37,MATCH(Work_Codes!$I$126,$D$35:$D$37,0)))</f>
        <v>3349463.5010124962</v>
      </c>
    </row>
    <row r="172" spans="4:20" ht="11.5" customHeight="1" outlineLevel="2">
      <c r="E172" s="247" t="str">
        <f>GC!C46</f>
        <v>SCADA and remote control</v>
      </c>
      <c r="F172" s="247"/>
      <c r="G172" s="247"/>
      <c r="H172" s="247"/>
      <c r="I172" s="247"/>
      <c r="J172" s="81">
        <f ca="1">J132*(1+INDEX(J$35:J$37,MATCH(Work_Codes!$I$126,$D$35:$D$37,0)))</f>
        <v>0</v>
      </c>
      <c r="K172" s="81">
        <f ca="1">K132*(1+INDEX(K$35:K$37,MATCH(Work_Codes!$I$126,$D$35:$D$37,0)))</f>
        <v>0</v>
      </c>
      <c r="L172" s="81">
        <f ca="1">L132*(1+INDEX(L$35:L$37,MATCH(Work_Codes!$I$126,$D$35:$D$37,0)))</f>
        <v>0</v>
      </c>
      <c r="M172" s="81">
        <f ca="1">M132*(1+INDEX(M$35:M$37,MATCH(Work_Codes!$I$126,$D$35:$D$37,0)))</f>
        <v>0</v>
      </c>
      <c r="N172" s="81">
        <f ca="1">N132*(1+INDEX(N$35:N$37,MATCH(Work_Codes!$I$126,$D$35:$D$37,0)))</f>
        <v>0</v>
      </c>
      <c r="O172" s="81">
        <f ca="1">O132*(1+INDEX(O$35:O$37,MATCH(Work_Codes!$I$126,$D$35:$D$37,0)))</f>
        <v>0</v>
      </c>
      <c r="P172" s="81">
        <f ca="1">P132*(1+INDEX(P$35:P$37,MATCH(Work_Codes!$I$126,$D$35:$D$37,0)))</f>
        <v>0</v>
      </c>
      <c r="Q172" s="81">
        <f ca="1">Q132*(1+INDEX(Q$35:Q$37,MATCH(Work_Codes!$I$126,$D$35:$D$37,0)))</f>
        <v>0</v>
      </c>
      <c r="R172" s="81">
        <f ca="1">R132*(1+INDEX(R$35:R$37,MATCH(Work_Codes!$I$126,$D$35:$D$37,0)))</f>
        <v>0</v>
      </c>
      <c r="S172" s="81">
        <f ca="1">S132*(1+INDEX(S$35:S$37,MATCH(Work_Codes!$I$126,$D$35:$D$37,0)))</f>
        <v>0</v>
      </c>
      <c r="T172" s="81">
        <f ca="1">T132*(1+INDEX(T$35:T$37,MATCH(Work_Codes!$I$126,$D$35:$D$37,0)))</f>
        <v>0</v>
      </c>
    </row>
    <row r="173" spans="4:20" ht="11.5" customHeight="1" outlineLevel="2">
      <c r="E173" s="247" t="str">
        <f>GC!C47</f>
        <v>Buildings</v>
      </c>
      <c r="F173" s="247"/>
      <c r="G173" s="247"/>
      <c r="H173" s="247"/>
      <c r="I173" s="247"/>
      <c r="J173" s="81">
        <f ca="1">J133*(1+INDEX(J$35:J$37,MATCH(Work_Codes!$I$126,$D$35:$D$37,0)))</f>
        <v>0</v>
      </c>
      <c r="K173" s="81">
        <f ca="1">K133*(1+INDEX(K$35:K$37,MATCH(Work_Codes!$I$126,$D$35:$D$37,0)))</f>
        <v>0</v>
      </c>
      <c r="L173" s="81">
        <f ca="1">L133*(1+INDEX(L$35:L$37,MATCH(Work_Codes!$I$126,$D$35:$D$37,0)))</f>
        <v>0</v>
      </c>
      <c r="M173" s="81">
        <f ca="1">M133*(1+INDEX(M$35:M$37,MATCH(Work_Codes!$I$126,$D$35:$D$37,0)))</f>
        <v>0</v>
      </c>
      <c r="N173" s="81">
        <f ca="1">N133*(1+INDEX(N$35:N$37,MATCH(Work_Codes!$I$126,$D$35:$D$37,0)))</f>
        <v>0</v>
      </c>
      <c r="O173" s="81">
        <f ca="1">O133*(1+INDEX(O$35:O$37,MATCH(Work_Codes!$I$126,$D$35:$D$37,0)))</f>
        <v>0</v>
      </c>
      <c r="P173" s="81">
        <f ca="1">P133*(1+INDEX(P$35:P$37,MATCH(Work_Codes!$I$126,$D$35:$D$37,0)))</f>
        <v>0</v>
      </c>
      <c r="Q173" s="81">
        <f ca="1">Q133*(1+INDEX(Q$35:Q$37,MATCH(Work_Codes!$I$126,$D$35:$D$37,0)))</f>
        <v>0</v>
      </c>
      <c r="R173" s="81">
        <f ca="1">R133*(1+INDEX(R$35:R$37,MATCH(Work_Codes!$I$126,$D$35:$D$37,0)))</f>
        <v>0</v>
      </c>
      <c r="S173" s="81">
        <f ca="1">S133*(1+INDEX(S$35:S$37,MATCH(Work_Codes!$I$126,$D$35:$D$37,0)))</f>
        <v>0</v>
      </c>
      <c r="T173" s="81">
        <f ca="1">T133*(1+INDEX(T$35:T$37,MATCH(Work_Codes!$I$126,$D$35:$D$37,0)))</f>
        <v>0</v>
      </c>
    </row>
    <row r="174" spans="4:20" ht="11.5" customHeight="1" outlineLevel="2">
      <c r="E174" s="247" t="str">
        <f>GC!C48</f>
        <v>Other - IT</v>
      </c>
      <c r="F174" s="247"/>
      <c r="G174" s="247"/>
      <c r="H174" s="247"/>
      <c r="I174" s="247"/>
      <c r="J174" s="81">
        <f ca="1">J134*(1+INDEX(J$35:J$37,MATCH(Work_Codes!$I$126,$D$35:$D$37,0)))</f>
        <v>0</v>
      </c>
      <c r="K174" s="81">
        <f ca="1">K134*(1+INDEX(K$35:K$37,MATCH(Work_Codes!$I$126,$D$35:$D$37,0)))</f>
        <v>0</v>
      </c>
      <c r="L174" s="81">
        <f ca="1">L134*(1+INDEX(L$35:L$37,MATCH(Work_Codes!$I$126,$D$35:$D$37,0)))</f>
        <v>0</v>
      </c>
      <c r="M174" s="81">
        <f ca="1">M134*(1+INDEX(M$35:M$37,MATCH(Work_Codes!$I$126,$D$35:$D$37,0)))</f>
        <v>0</v>
      </c>
      <c r="N174" s="81">
        <f ca="1">N134*(1+INDEX(N$35:N$37,MATCH(Work_Codes!$I$126,$D$35:$D$37,0)))</f>
        <v>0</v>
      </c>
      <c r="O174" s="81">
        <f ca="1">O134*(1+INDEX(O$35:O$37,MATCH(Work_Codes!$I$126,$D$35:$D$37,0)))</f>
        <v>0</v>
      </c>
      <c r="P174" s="81">
        <f ca="1">P134*(1+INDEX(P$35:P$37,MATCH(Work_Codes!$I$126,$D$35:$D$37,0)))</f>
        <v>0</v>
      </c>
      <c r="Q174" s="81">
        <f ca="1">Q134*(1+INDEX(Q$35:Q$37,MATCH(Work_Codes!$I$126,$D$35:$D$37,0)))</f>
        <v>0</v>
      </c>
      <c r="R174" s="81">
        <f ca="1">R134*(1+INDEX(R$35:R$37,MATCH(Work_Codes!$I$126,$D$35:$D$37,0)))</f>
        <v>0</v>
      </c>
      <c r="S174" s="81">
        <f ca="1">S134*(1+INDEX(S$35:S$37,MATCH(Work_Codes!$I$126,$D$35:$D$37,0)))</f>
        <v>0</v>
      </c>
      <c r="T174" s="81">
        <f ca="1">T134*(1+INDEX(T$35:T$37,MATCH(Work_Codes!$I$126,$D$35:$D$37,0)))</f>
        <v>0</v>
      </c>
    </row>
    <row r="175" spans="4:20" ht="11.5" customHeight="1" outlineLevel="2">
      <c r="E175" s="247" t="str">
        <f>GC!C49</f>
        <v>Other - non IT</v>
      </c>
      <c r="F175" s="247"/>
      <c r="G175" s="247"/>
      <c r="H175" s="247"/>
      <c r="I175" s="247"/>
      <c r="J175" s="81">
        <f ca="1">J135*(1+INDEX(J$35:J$37,MATCH(Work_Codes!$I$126,$D$35:$D$37,0)))</f>
        <v>0</v>
      </c>
      <c r="K175" s="81">
        <f ca="1">K135*(1+INDEX(K$35:K$37,MATCH(Work_Codes!$I$126,$D$35:$D$37,0)))</f>
        <v>0</v>
      </c>
      <c r="L175" s="81">
        <f ca="1">L135*(1+INDEX(L$35:L$37,MATCH(Work_Codes!$I$126,$D$35:$D$37,0)))</f>
        <v>0</v>
      </c>
      <c r="M175" s="81">
        <f ca="1">M135*(1+INDEX(M$35:M$37,MATCH(Work_Codes!$I$126,$D$35:$D$37,0)))</f>
        <v>0</v>
      </c>
      <c r="N175" s="81">
        <f ca="1">N135*(1+INDEX(N$35:N$37,MATCH(Work_Codes!$I$126,$D$35:$D$37,0)))</f>
        <v>0</v>
      </c>
      <c r="O175" s="81">
        <f ca="1">O135*(1+INDEX(O$35:O$37,MATCH(Work_Codes!$I$126,$D$35:$D$37,0)))</f>
        <v>0</v>
      </c>
      <c r="P175" s="81">
        <f ca="1">P135*(1+INDEX(P$35:P$37,MATCH(Work_Codes!$I$126,$D$35:$D$37,0)))</f>
        <v>0</v>
      </c>
      <c r="Q175" s="81">
        <f ca="1">Q135*(1+INDEX(Q$35:Q$37,MATCH(Work_Codes!$I$126,$D$35:$D$37,0)))</f>
        <v>0</v>
      </c>
      <c r="R175" s="81">
        <f ca="1">R135*(1+INDEX(R$35:R$37,MATCH(Work_Codes!$I$126,$D$35:$D$37,0)))</f>
        <v>0</v>
      </c>
      <c r="S175" s="81">
        <f ca="1">S135*(1+INDEX(S$35:S$37,MATCH(Work_Codes!$I$126,$D$35:$D$37,0)))</f>
        <v>0</v>
      </c>
      <c r="T175" s="81">
        <f ca="1">T135*(1+INDEX(T$35:T$37,MATCH(Work_Codes!$I$126,$D$35:$D$37,0)))</f>
        <v>0</v>
      </c>
    </row>
    <row r="176" spans="4:20" ht="11.5" customHeight="1" outlineLevel="2">
      <c r="E176" s="247" t="str">
        <f>GC!C50</f>
        <v>Land</v>
      </c>
      <c r="F176" s="247"/>
      <c r="G176" s="247"/>
      <c r="H176" s="247"/>
      <c r="I176" s="247"/>
      <c r="J176" s="81">
        <f ca="1">J136*(1+INDEX(J$35:J$37,MATCH(Work_Codes!$I$126,$D$35:$D$37,0)))</f>
        <v>0</v>
      </c>
      <c r="K176" s="81">
        <f ca="1">K136*(1+INDEX(K$35:K$37,MATCH(Work_Codes!$I$126,$D$35:$D$37,0)))</f>
        <v>0</v>
      </c>
      <c r="L176" s="81">
        <f ca="1">L136*(1+INDEX(L$35:L$37,MATCH(Work_Codes!$I$126,$D$35:$D$37,0)))</f>
        <v>0</v>
      </c>
      <c r="M176" s="81">
        <f ca="1">M136*(1+INDEX(M$35:M$37,MATCH(Work_Codes!$I$126,$D$35:$D$37,0)))</f>
        <v>0</v>
      </c>
      <c r="N176" s="81">
        <f ca="1">N136*(1+INDEX(N$35:N$37,MATCH(Work_Codes!$I$126,$D$35:$D$37,0)))</f>
        <v>0</v>
      </c>
      <c r="O176" s="81">
        <f ca="1">O136*(1+INDEX(O$35:O$37,MATCH(Work_Codes!$I$126,$D$35:$D$37,0)))</f>
        <v>0</v>
      </c>
      <c r="P176" s="81">
        <f ca="1">P136*(1+INDEX(P$35:P$37,MATCH(Work_Codes!$I$126,$D$35:$D$37,0)))</f>
        <v>0</v>
      </c>
      <c r="Q176" s="81">
        <f ca="1">Q136*(1+INDEX(Q$35:Q$37,MATCH(Work_Codes!$I$126,$D$35:$D$37,0)))</f>
        <v>0</v>
      </c>
      <c r="R176" s="81">
        <f ca="1">R136*(1+INDEX(R$35:R$37,MATCH(Work_Codes!$I$126,$D$35:$D$37,0)))</f>
        <v>0</v>
      </c>
      <c r="S176" s="81">
        <f ca="1">S136*(1+INDEX(S$35:S$37,MATCH(Work_Codes!$I$126,$D$35:$D$37,0)))</f>
        <v>0</v>
      </c>
      <c r="T176" s="81">
        <f ca="1">T136*(1+INDEX(T$35:T$37,MATCH(Work_Codes!$I$126,$D$35:$D$37,0)))</f>
        <v>0</v>
      </c>
    </row>
    <row r="177" spans="4:20" outlineLevel="2">
      <c r="E177" s="247" t="str">
        <f>GC!C51</f>
        <v>Capitalised Leases</v>
      </c>
      <c r="F177" s="247"/>
      <c r="G177" s="247"/>
      <c r="H177" s="247"/>
      <c r="I177" s="247"/>
      <c r="J177" s="81">
        <f ca="1">J137*(1+INDEX(J$35:J$37,MATCH(Work_Codes!$I$126,$D$35:$D$37,0)))</f>
        <v>0</v>
      </c>
      <c r="K177" s="81">
        <f ca="1">K137*(1+INDEX(K$35:K$37,MATCH(Work_Codes!$I$126,$D$35:$D$37,0)))</f>
        <v>0</v>
      </c>
      <c r="L177" s="81">
        <f ca="1">L137*(1+INDEX(L$35:L$37,MATCH(Work_Codes!$I$126,$D$35:$D$37,0)))</f>
        <v>0</v>
      </c>
      <c r="M177" s="81">
        <f ca="1">M137*(1+INDEX(M$35:M$37,MATCH(Work_Codes!$I$126,$D$35:$D$37,0)))</f>
        <v>0</v>
      </c>
      <c r="N177" s="81">
        <f ca="1">N137*(1+INDEX(N$35:N$37,MATCH(Work_Codes!$I$126,$D$35:$D$37,0)))</f>
        <v>0</v>
      </c>
      <c r="O177" s="81">
        <f ca="1">O137*(1+INDEX(O$35:O$37,MATCH(Work_Codes!$I$126,$D$35:$D$37,0)))</f>
        <v>0</v>
      </c>
      <c r="P177" s="81">
        <f ca="1">P137*(1+INDEX(P$35:P$37,MATCH(Work_Codes!$I$126,$D$35:$D$37,0)))</f>
        <v>0</v>
      </c>
      <c r="Q177" s="81">
        <f ca="1">Q137*(1+INDEX(Q$35:Q$37,MATCH(Work_Codes!$I$126,$D$35:$D$37,0)))</f>
        <v>0</v>
      </c>
      <c r="R177" s="81">
        <f ca="1">R137*(1+INDEX(R$35:R$37,MATCH(Work_Codes!$I$126,$D$35:$D$37,0)))</f>
        <v>0</v>
      </c>
      <c r="S177" s="81">
        <f ca="1">S137*(1+INDEX(S$35:S$37,MATCH(Work_Codes!$I$126,$D$35:$D$37,0)))</f>
        <v>0</v>
      </c>
      <c r="T177" s="81">
        <f ca="1">T137*(1+INDEX(T$35:T$37,MATCH(Work_Codes!$I$126,$D$35:$D$37,0)))</f>
        <v>0</v>
      </c>
    </row>
    <row r="178" spans="4:20" outlineLevel="2">
      <c r="E178" s="247" t="str">
        <f>GC!C52</f>
        <v>Transmission pipelines - post 1998</v>
      </c>
      <c r="F178" s="247"/>
      <c r="G178" s="247"/>
      <c r="H178" s="247"/>
      <c r="I178" s="247"/>
      <c r="J178" s="81">
        <f ca="1">J138*(1+INDEX(J$35:J$37,MATCH(Work_Codes!$I$126,$D$35:$D$37,0)))</f>
        <v>0</v>
      </c>
      <c r="K178" s="81">
        <f ca="1">K138*(1+INDEX(K$35:K$37,MATCH(Work_Codes!$I$126,$D$35:$D$37,0)))</f>
        <v>0</v>
      </c>
      <c r="L178" s="81">
        <f ca="1">L138*(1+INDEX(L$35:L$37,MATCH(Work_Codes!$I$126,$D$35:$D$37,0)))</f>
        <v>0</v>
      </c>
      <c r="M178" s="81">
        <f ca="1">M138*(1+INDEX(M$35:M$37,MATCH(Work_Codes!$I$126,$D$35:$D$37,0)))</f>
        <v>0</v>
      </c>
      <c r="N178" s="81">
        <f ca="1">N138*(1+INDEX(N$35:N$37,MATCH(Work_Codes!$I$126,$D$35:$D$37,0)))</f>
        <v>0</v>
      </c>
      <c r="O178" s="81">
        <f ca="1">O138*(1+INDEX(O$35:O$37,MATCH(Work_Codes!$I$126,$D$35:$D$37,0)))</f>
        <v>0</v>
      </c>
      <c r="P178" s="81">
        <f ca="1">P138*(1+INDEX(P$35:P$37,MATCH(Work_Codes!$I$126,$D$35:$D$37,0)))</f>
        <v>0</v>
      </c>
      <c r="Q178" s="81">
        <f ca="1">Q138*(1+INDEX(Q$35:Q$37,MATCH(Work_Codes!$I$126,$D$35:$D$37,0)))</f>
        <v>0</v>
      </c>
      <c r="R178" s="81">
        <f ca="1">R138*(1+INDEX(R$35:R$37,MATCH(Work_Codes!$I$126,$D$35:$D$37,0)))</f>
        <v>0</v>
      </c>
      <c r="S178" s="81">
        <f ca="1">S138*(1+INDEX(S$35:S$37,MATCH(Work_Codes!$I$126,$D$35:$D$37,0)))</f>
        <v>0</v>
      </c>
      <c r="T178" s="81">
        <f ca="1">T138*(1+INDEX(T$35:T$37,MATCH(Work_Codes!$I$126,$D$35:$D$37,0)))</f>
        <v>0</v>
      </c>
    </row>
    <row r="179" spans="4:20" outlineLevel="2">
      <c r="E179" s="247" t="str">
        <f>GC!C53</f>
        <v>Distribution pipelines - post 1998</v>
      </c>
      <c r="F179" s="247"/>
      <c r="G179" s="247"/>
      <c r="H179" s="247"/>
      <c r="I179" s="247"/>
      <c r="J179" s="81">
        <f ca="1">J139*(1+INDEX(J$35:J$37,MATCH(Work_Codes!$I$126,$D$35:$D$37,0)))</f>
        <v>0</v>
      </c>
      <c r="K179" s="81">
        <f ca="1">K139*(1+INDEX(K$35:K$37,MATCH(Work_Codes!$I$126,$D$35:$D$37,0)))</f>
        <v>0</v>
      </c>
      <c r="L179" s="81">
        <f ca="1">L139*(1+INDEX(L$35:L$37,MATCH(Work_Codes!$I$126,$D$35:$D$37,0)))</f>
        <v>0</v>
      </c>
      <c r="M179" s="81">
        <f ca="1">M139*(1+INDEX(M$35:M$37,MATCH(Work_Codes!$I$126,$D$35:$D$37,0)))</f>
        <v>0</v>
      </c>
      <c r="N179" s="81">
        <f ca="1">N139*(1+INDEX(N$35:N$37,MATCH(Work_Codes!$I$126,$D$35:$D$37,0)))</f>
        <v>0</v>
      </c>
      <c r="O179" s="81">
        <f ca="1">O139*(1+INDEX(O$35:O$37,MATCH(Work_Codes!$I$126,$D$35:$D$37,0)))</f>
        <v>0</v>
      </c>
      <c r="P179" s="81">
        <f ca="1">P139*(1+INDEX(P$35:P$37,MATCH(Work_Codes!$I$126,$D$35:$D$37,0)))</f>
        <v>0</v>
      </c>
      <c r="Q179" s="81">
        <f ca="1">Q139*(1+INDEX(Q$35:Q$37,MATCH(Work_Codes!$I$126,$D$35:$D$37,0)))</f>
        <v>0</v>
      </c>
      <c r="R179" s="81">
        <f ca="1">R139*(1+INDEX(R$35:R$37,MATCH(Work_Codes!$I$126,$D$35:$D$37,0)))</f>
        <v>0</v>
      </c>
      <c r="S179" s="81">
        <f ca="1">S139*(1+INDEX(S$35:S$37,MATCH(Work_Codes!$I$126,$D$35:$D$37,0)))</f>
        <v>0</v>
      </c>
      <c r="T179" s="81">
        <f ca="1">T139*(1+INDEX(T$35:T$37,MATCH(Work_Codes!$I$126,$D$35:$D$37,0)))</f>
        <v>0</v>
      </c>
    </row>
    <row r="180" spans="4:20" outlineLevel="2">
      <c r="E180" s="247" t="str">
        <f>GC!C54</f>
        <v>Service pipes - post 1998</v>
      </c>
      <c r="F180" s="247"/>
      <c r="G180" s="247"/>
      <c r="H180" s="247"/>
      <c r="I180" s="247"/>
      <c r="J180" s="81">
        <f ca="1">J140*(1+INDEX(J$35:J$37,MATCH(Work_Codes!$I$126,$D$35:$D$37,0)))</f>
        <v>0</v>
      </c>
      <c r="K180" s="81">
        <f ca="1">K140*(1+INDEX(K$35:K$37,MATCH(Work_Codes!$I$126,$D$35:$D$37,0)))</f>
        <v>0</v>
      </c>
      <c r="L180" s="81">
        <f ca="1">L140*(1+INDEX(L$35:L$37,MATCH(Work_Codes!$I$126,$D$35:$D$37,0)))</f>
        <v>0</v>
      </c>
      <c r="M180" s="81">
        <f ca="1">M140*(1+INDEX(M$35:M$37,MATCH(Work_Codes!$I$126,$D$35:$D$37,0)))</f>
        <v>0</v>
      </c>
      <c r="N180" s="81">
        <f ca="1">N140*(1+INDEX(N$35:N$37,MATCH(Work_Codes!$I$126,$D$35:$D$37,0)))</f>
        <v>0</v>
      </c>
      <c r="O180" s="81">
        <f ca="1">O140*(1+INDEX(O$35:O$37,MATCH(Work_Codes!$I$126,$D$35:$D$37,0)))</f>
        <v>0</v>
      </c>
      <c r="P180" s="81">
        <f ca="1">P140*(1+INDEX(P$35:P$37,MATCH(Work_Codes!$I$126,$D$35:$D$37,0)))</f>
        <v>0</v>
      </c>
      <c r="Q180" s="81">
        <f ca="1">Q140*(1+INDEX(Q$35:Q$37,MATCH(Work_Codes!$I$126,$D$35:$D$37,0)))</f>
        <v>0</v>
      </c>
      <c r="R180" s="81">
        <f ca="1">R140*(1+INDEX(R$35:R$37,MATCH(Work_Codes!$I$126,$D$35:$D$37,0)))</f>
        <v>0</v>
      </c>
      <c r="S180" s="81">
        <f ca="1">S140*(1+INDEX(S$35:S$37,MATCH(Work_Codes!$I$126,$D$35:$D$37,0)))</f>
        <v>0</v>
      </c>
      <c r="T180" s="81">
        <f ca="1">T140*(1+INDEX(T$35:T$37,MATCH(Work_Codes!$I$126,$D$35:$D$37,0)))</f>
        <v>0</v>
      </c>
    </row>
    <row r="181" spans="4:20" outlineLevel="2">
      <c r="E181" s="247" t="str">
        <f>GC!C55</f>
        <v>Cathodic protection - post 1998</v>
      </c>
      <c r="F181" s="247"/>
      <c r="G181" s="247"/>
      <c r="H181" s="247"/>
      <c r="I181" s="247"/>
      <c r="J181" s="81">
        <f ca="1">J141*(1+INDEX(J$35:J$37,MATCH(Work_Codes!$I$126,$D$35:$D$37,0)))</f>
        <v>0</v>
      </c>
      <c r="K181" s="81">
        <f ca="1">K141*(1+INDEX(K$35:K$37,MATCH(Work_Codes!$I$126,$D$35:$D$37,0)))</f>
        <v>0</v>
      </c>
      <c r="L181" s="81">
        <f ca="1">L141*(1+INDEX(L$35:L$37,MATCH(Work_Codes!$I$126,$D$35:$D$37,0)))</f>
        <v>0</v>
      </c>
      <c r="M181" s="81">
        <f ca="1">M141*(1+INDEX(M$35:M$37,MATCH(Work_Codes!$I$126,$D$35:$D$37,0)))</f>
        <v>0</v>
      </c>
      <c r="N181" s="81">
        <f ca="1">N141*(1+INDEX(N$35:N$37,MATCH(Work_Codes!$I$126,$D$35:$D$37,0)))</f>
        <v>0</v>
      </c>
      <c r="O181" s="81">
        <f ca="1">O141*(1+INDEX(O$35:O$37,MATCH(Work_Codes!$I$126,$D$35:$D$37,0)))</f>
        <v>0</v>
      </c>
      <c r="P181" s="81">
        <f ca="1">P141*(1+INDEX(P$35:P$37,MATCH(Work_Codes!$I$126,$D$35:$D$37,0)))</f>
        <v>0</v>
      </c>
      <c r="Q181" s="81">
        <f ca="1">Q141*(1+INDEX(Q$35:Q$37,MATCH(Work_Codes!$I$126,$D$35:$D$37,0)))</f>
        <v>0</v>
      </c>
      <c r="R181" s="81">
        <f ca="1">R141*(1+INDEX(R$35:R$37,MATCH(Work_Codes!$I$126,$D$35:$D$37,0)))</f>
        <v>0</v>
      </c>
      <c r="S181" s="81">
        <f ca="1">S141*(1+INDEX(S$35:S$37,MATCH(Work_Codes!$I$126,$D$35:$D$37,0)))</f>
        <v>0</v>
      </c>
      <c r="T181" s="81">
        <f ca="1">T141*(1+INDEX(T$35:T$37,MATCH(Work_Codes!$I$126,$D$35:$D$37,0)))</f>
        <v>0</v>
      </c>
    </row>
    <row r="182" spans="4:20" ht="12" customHeight="1" outlineLevel="2">
      <c r="E182" s="249" t="str">
        <f>"Total "&amp;D164</f>
        <v>Total Direct Costs + Overheads</v>
      </c>
      <c r="F182" s="249"/>
      <c r="G182" s="249"/>
      <c r="H182" s="249"/>
      <c r="I182" s="249"/>
      <c r="J182" s="82">
        <f t="shared" ref="J182:T182" ca="1" si="21">SUM(J166:J181)</f>
        <v>0</v>
      </c>
      <c r="K182" s="82">
        <f t="shared" ca="1" si="21"/>
        <v>0</v>
      </c>
      <c r="L182" s="82">
        <f t="shared" ca="1" si="21"/>
        <v>0</v>
      </c>
      <c r="M182" s="82">
        <f t="shared" ca="1" si="21"/>
        <v>0</v>
      </c>
      <c r="N182" s="82">
        <f t="shared" ca="1" si="21"/>
        <v>3325189.5474092909</v>
      </c>
      <c r="O182" s="82">
        <f t="shared" ca="1" si="21"/>
        <v>1951505.7389307767</v>
      </c>
      <c r="P182" s="82">
        <f t="shared" ca="1" si="21"/>
        <v>3878950.6660576495</v>
      </c>
      <c r="Q182" s="82">
        <f t="shared" ca="1" si="21"/>
        <v>4757594.1006277036</v>
      </c>
      <c r="R182" s="82">
        <f t="shared" ca="1" si="21"/>
        <v>5044691.7678896841</v>
      </c>
      <c r="S182" s="82">
        <f t="shared" ca="1" si="21"/>
        <v>3693050.2207309967</v>
      </c>
      <c r="T182" s="82">
        <f t="shared" ca="1" si="21"/>
        <v>3349463.5010124962</v>
      </c>
    </row>
    <row r="183" spans="4:20" outlineLevel="2"/>
    <row r="184" spans="4:20" outlineLevel="2">
      <c r="D184" s="37" t="s">
        <v>367</v>
      </c>
    </row>
    <row r="185" spans="4:20" ht="5.9" customHeight="1" outlineLevel="2"/>
    <row r="186" spans="4:20" outlineLevel="2">
      <c r="E186" s="247" t="str">
        <f>GC!C40</f>
        <v>Transmission pipelines</v>
      </c>
      <c r="F186" s="247"/>
      <c r="G186" s="247"/>
      <c r="H186" s="247"/>
      <c r="I186" s="247"/>
      <c r="J186" s="81">
        <f ca="1">SUMPRODUCT((Work_Codes!$N$129:$Y$129=$E186)*(Work_Codes!$N$140:$Y$140)*(J$74:J$74))</f>
        <v>0</v>
      </c>
      <c r="K186" s="81">
        <f ca="1">SUMPRODUCT((Work_Codes!$N$129:$Y$129=$E186)*(Work_Codes!$N$140:$Y$140)*(K$74:K$74))</f>
        <v>0</v>
      </c>
      <c r="L186" s="81">
        <f ca="1">SUMPRODUCT((Work_Codes!$N$129:$Y$129=$E186)*(Work_Codes!$N$140:$Y$140)*(L$74:L$74))</f>
        <v>0</v>
      </c>
      <c r="M186" s="81">
        <f ca="1">SUMPRODUCT((Work_Codes!$N$129:$Y$129=$E186)*(Work_Codes!$N$140:$Y$140)*(M$74:M$74))</f>
        <v>0</v>
      </c>
      <c r="N186" s="81">
        <f ca="1">SUMPRODUCT((Work_Codes!$N$129:$Y$129=$E186)*(Work_Codes!$N$140:$Y$140)*(N$74:N$74))</f>
        <v>0</v>
      </c>
      <c r="O186" s="81">
        <f ca="1">SUMPRODUCT((Work_Codes!$N$129:$Y$129=$E186)*(Work_Codes!$N$140:$Y$140)*(O$74:O$74))</f>
        <v>0</v>
      </c>
      <c r="P186" s="81">
        <f ca="1">SUMPRODUCT((Work_Codes!$N$129:$Y$129=$E186)*(Work_Codes!$N$140:$Y$140)*(P$74:P$74))</f>
        <v>0</v>
      </c>
      <c r="Q186" s="81">
        <f ca="1">SUMPRODUCT((Work_Codes!$N$129:$Y$129=$E186)*(Work_Codes!$N$140:$Y$140)*(Q$74:Q$74))</f>
        <v>0</v>
      </c>
      <c r="R186" s="81">
        <f ca="1">SUMPRODUCT((Work_Codes!$N$129:$Y$129=$E186)*(Work_Codes!$N$140:$Y$140)*(R$74:R$74))</f>
        <v>0</v>
      </c>
      <c r="S186" s="81">
        <f ca="1">SUMPRODUCT((Work_Codes!$N$129:$Y$129=$E186)*(Work_Codes!$N$140:$Y$140)*(S$74:S$74))</f>
        <v>0</v>
      </c>
      <c r="T186" s="81">
        <f ca="1">SUMPRODUCT((Work_Codes!$N$129:$Y$129=$E186)*(Work_Codes!$N$140:$Y$140)*(T$74:T$74))</f>
        <v>0</v>
      </c>
    </row>
    <row r="187" spans="4:20" outlineLevel="2">
      <c r="E187" s="247" t="str">
        <f>GC!C41</f>
        <v>Distribution pipelines</v>
      </c>
      <c r="F187" s="247"/>
      <c r="G187" s="247"/>
      <c r="H187" s="247"/>
      <c r="I187" s="247"/>
      <c r="J187" s="81">
        <f ca="1">SUMPRODUCT((Work_Codes!$N$129:$Y$129=$E187)*(Work_Codes!$N$140:$Y$140)*(J$74:J$74))</f>
        <v>0</v>
      </c>
      <c r="K187" s="81">
        <f ca="1">SUMPRODUCT((Work_Codes!$N$129:$Y$129=$E187)*(Work_Codes!$N$140:$Y$140)*(K$74:K$74))</f>
        <v>0</v>
      </c>
      <c r="L187" s="81">
        <f ca="1">SUMPRODUCT((Work_Codes!$N$129:$Y$129=$E187)*(Work_Codes!$N$140:$Y$140)*(L$74:L$74))</f>
        <v>0</v>
      </c>
      <c r="M187" s="81">
        <f ca="1">SUMPRODUCT((Work_Codes!$N$129:$Y$129=$E187)*(Work_Codes!$N$140:$Y$140)*(M$74:M$74))</f>
        <v>0</v>
      </c>
      <c r="N187" s="81">
        <f ca="1">SUMPRODUCT((Work_Codes!$N$129:$Y$129=$E187)*(Work_Codes!$N$140:$Y$140)*(N$74:N$74))</f>
        <v>0</v>
      </c>
      <c r="O187" s="81">
        <f ca="1">SUMPRODUCT((Work_Codes!$N$129:$Y$129=$E187)*(Work_Codes!$N$140:$Y$140)*(O$74:O$74))</f>
        <v>0</v>
      </c>
      <c r="P187" s="81">
        <f ca="1">SUMPRODUCT((Work_Codes!$N$129:$Y$129=$E187)*(Work_Codes!$N$140:$Y$140)*(P$74:P$74))</f>
        <v>0</v>
      </c>
      <c r="Q187" s="81">
        <f ca="1">SUMPRODUCT((Work_Codes!$N$129:$Y$129=$E187)*(Work_Codes!$N$140:$Y$140)*(Q$74:Q$74))</f>
        <v>0</v>
      </c>
      <c r="R187" s="81">
        <f ca="1">SUMPRODUCT((Work_Codes!$N$129:$Y$129=$E187)*(Work_Codes!$N$140:$Y$140)*(R$74:R$74))</f>
        <v>0</v>
      </c>
      <c r="S187" s="81">
        <f ca="1">SUMPRODUCT((Work_Codes!$N$129:$Y$129=$E187)*(Work_Codes!$N$140:$Y$140)*(S$74:S$74))</f>
        <v>0</v>
      </c>
      <c r="T187" s="81">
        <f ca="1">SUMPRODUCT((Work_Codes!$N$129:$Y$129=$E187)*(Work_Codes!$N$140:$Y$140)*(T$74:T$74))</f>
        <v>0</v>
      </c>
    </row>
    <row r="188" spans="4:20" outlineLevel="2">
      <c r="E188" s="247" t="str">
        <f>GC!C42</f>
        <v>Service pipes</v>
      </c>
      <c r="F188" s="247"/>
      <c r="G188" s="247"/>
      <c r="H188" s="247"/>
      <c r="I188" s="247"/>
      <c r="J188" s="81">
        <f ca="1">SUMPRODUCT((Work_Codes!$N$129:$Y$129=$E188)*(Work_Codes!$N$140:$Y$140)*(J$74:J$74))</f>
        <v>0</v>
      </c>
      <c r="K188" s="81">
        <f ca="1">SUMPRODUCT((Work_Codes!$N$129:$Y$129=$E188)*(Work_Codes!$N$140:$Y$140)*(K$74:K$74))</f>
        <v>0</v>
      </c>
      <c r="L188" s="81">
        <f ca="1">SUMPRODUCT((Work_Codes!$N$129:$Y$129=$E188)*(Work_Codes!$N$140:$Y$140)*(L$74:L$74))</f>
        <v>0</v>
      </c>
      <c r="M188" s="81">
        <f ca="1">SUMPRODUCT((Work_Codes!$N$129:$Y$129=$E188)*(Work_Codes!$N$140:$Y$140)*(M$74:M$74))</f>
        <v>0</v>
      </c>
      <c r="N188" s="81">
        <f ca="1">SUMPRODUCT((Work_Codes!$N$129:$Y$129=$E188)*(Work_Codes!$N$140:$Y$140)*(N$74:N$74))</f>
        <v>0</v>
      </c>
      <c r="O188" s="81">
        <f ca="1">SUMPRODUCT((Work_Codes!$N$129:$Y$129=$E188)*(Work_Codes!$N$140:$Y$140)*(O$74:O$74))</f>
        <v>0</v>
      </c>
      <c r="P188" s="81">
        <f ca="1">SUMPRODUCT((Work_Codes!$N$129:$Y$129=$E188)*(Work_Codes!$N$140:$Y$140)*(P$74:P$74))</f>
        <v>0</v>
      </c>
      <c r="Q188" s="81">
        <f ca="1">SUMPRODUCT((Work_Codes!$N$129:$Y$129=$E188)*(Work_Codes!$N$140:$Y$140)*(Q$74:Q$74))</f>
        <v>0</v>
      </c>
      <c r="R188" s="81">
        <f ca="1">SUMPRODUCT((Work_Codes!$N$129:$Y$129=$E188)*(Work_Codes!$N$140:$Y$140)*(R$74:R$74))</f>
        <v>0</v>
      </c>
      <c r="S188" s="81">
        <f ca="1">SUMPRODUCT((Work_Codes!$N$129:$Y$129=$E188)*(Work_Codes!$N$140:$Y$140)*(S$74:S$74))</f>
        <v>0</v>
      </c>
      <c r="T188" s="81">
        <f ca="1">SUMPRODUCT((Work_Codes!$N$129:$Y$129=$E188)*(Work_Codes!$N$140:$Y$140)*(T$74:T$74))</f>
        <v>0</v>
      </c>
    </row>
    <row r="189" spans="4:20" outlineLevel="2">
      <c r="E189" s="247" t="str">
        <f>GC!C43</f>
        <v>Cathodic protection</v>
      </c>
      <c r="F189" s="247"/>
      <c r="G189" s="247"/>
      <c r="H189" s="247"/>
      <c r="I189" s="247"/>
      <c r="J189" s="81">
        <f ca="1">SUMPRODUCT((Work_Codes!$N$129:$Y$129=$E189)*(Work_Codes!$N$140:$Y$140)*(J$74:J$74))</f>
        <v>0</v>
      </c>
      <c r="K189" s="81">
        <f ca="1">SUMPRODUCT((Work_Codes!$N$129:$Y$129=$E189)*(Work_Codes!$N$140:$Y$140)*(K$74:K$74))</f>
        <v>0</v>
      </c>
      <c r="L189" s="81">
        <f ca="1">SUMPRODUCT((Work_Codes!$N$129:$Y$129=$E189)*(Work_Codes!$N$140:$Y$140)*(L$74:L$74))</f>
        <v>0</v>
      </c>
      <c r="M189" s="81">
        <f ca="1">SUMPRODUCT((Work_Codes!$N$129:$Y$129=$E189)*(Work_Codes!$N$140:$Y$140)*(M$74:M$74))</f>
        <v>0</v>
      </c>
      <c r="N189" s="81">
        <f ca="1">SUMPRODUCT((Work_Codes!$N$129:$Y$129=$E189)*(Work_Codes!$N$140:$Y$140)*(N$74:N$74))</f>
        <v>0</v>
      </c>
      <c r="O189" s="81">
        <f ca="1">SUMPRODUCT((Work_Codes!$N$129:$Y$129=$E189)*(Work_Codes!$N$140:$Y$140)*(O$74:O$74))</f>
        <v>0</v>
      </c>
      <c r="P189" s="81">
        <f ca="1">SUMPRODUCT((Work_Codes!$N$129:$Y$129=$E189)*(Work_Codes!$N$140:$Y$140)*(P$74:P$74))</f>
        <v>0</v>
      </c>
      <c r="Q189" s="81">
        <f ca="1">SUMPRODUCT((Work_Codes!$N$129:$Y$129=$E189)*(Work_Codes!$N$140:$Y$140)*(Q$74:Q$74))</f>
        <v>0</v>
      </c>
      <c r="R189" s="81">
        <f ca="1">SUMPRODUCT((Work_Codes!$N$129:$Y$129=$E189)*(Work_Codes!$N$140:$Y$140)*(R$74:R$74))</f>
        <v>0</v>
      </c>
      <c r="S189" s="81">
        <f ca="1">SUMPRODUCT((Work_Codes!$N$129:$Y$129=$E189)*(Work_Codes!$N$140:$Y$140)*(S$74:S$74))</f>
        <v>0</v>
      </c>
      <c r="T189" s="81">
        <f ca="1">SUMPRODUCT((Work_Codes!$N$129:$Y$129=$E189)*(Work_Codes!$N$140:$Y$140)*(T$74:T$74))</f>
        <v>0</v>
      </c>
    </row>
    <row r="190" spans="4:20" outlineLevel="2">
      <c r="E190" s="247" t="str">
        <f>GC!C44</f>
        <v>Supply Regulators / Valve Stations</v>
      </c>
      <c r="F190" s="247"/>
      <c r="G190" s="247"/>
      <c r="H190" s="247"/>
      <c r="I190" s="247"/>
      <c r="J190" s="81">
        <f ca="1">SUMPRODUCT((Work_Codes!$N$129:$Y$129=$E190)*(Work_Codes!$N$140:$Y$140)*(J$74:J$74))</f>
        <v>0</v>
      </c>
      <c r="K190" s="81">
        <f ca="1">SUMPRODUCT((Work_Codes!$N$129:$Y$129=$E190)*(Work_Codes!$N$140:$Y$140)*(K$74:K$74))</f>
        <v>0</v>
      </c>
      <c r="L190" s="81">
        <f ca="1">SUMPRODUCT((Work_Codes!$N$129:$Y$129=$E190)*(Work_Codes!$N$140:$Y$140)*(L$74:L$74))</f>
        <v>0</v>
      </c>
      <c r="M190" s="81">
        <f ca="1">SUMPRODUCT((Work_Codes!$N$129:$Y$129=$E190)*(Work_Codes!$N$140:$Y$140)*(M$74:M$74))</f>
        <v>0</v>
      </c>
      <c r="N190" s="81">
        <f ca="1">SUMPRODUCT((Work_Codes!$N$129:$Y$129=$E190)*(Work_Codes!$N$140:$Y$140)*(N$74:N$74))</f>
        <v>0</v>
      </c>
      <c r="O190" s="81">
        <f ca="1">SUMPRODUCT((Work_Codes!$N$129:$Y$129=$E190)*(Work_Codes!$N$140:$Y$140)*(O$74:O$74))</f>
        <v>0</v>
      </c>
      <c r="P190" s="81">
        <f ca="1">SUMPRODUCT((Work_Codes!$N$129:$Y$129=$E190)*(Work_Codes!$N$140:$Y$140)*(P$74:P$74))</f>
        <v>0</v>
      </c>
      <c r="Q190" s="81">
        <f ca="1">SUMPRODUCT((Work_Codes!$N$129:$Y$129=$E190)*(Work_Codes!$N$140:$Y$140)*(Q$74:Q$74))</f>
        <v>0</v>
      </c>
      <c r="R190" s="81">
        <f ca="1">SUMPRODUCT((Work_Codes!$N$129:$Y$129=$E190)*(Work_Codes!$N$140:$Y$140)*(R$74:R$74))</f>
        <v>0</v>
      </c>
      <c r="S190" s="81">
        <f ca="1">SUMPRODUCT((Work_Codes!$N$129:$Y$129=$E190)*(Work_Codes!$N$140:$Y$140)*(S$74:S$74))</f>
        <v>0</v>
      </c>
      <c r="T190" s="81">
        <f ca="1">SUMPRODUCT((Work_Codes!$N$129:$Y$129=$E190)*(Work_Codes!$N$140:$Y$140)*(T$74:T$74))</f>
        <v>0</v>
      </c>
    </row>
    <row r="191" spans="4:20" outlineLevel="2">
      <c r="E191" s="247" t="str">
        <f>GC!C45</f>
        <v>Meters</v>
      </c>
      <c r="F191" s="247"/>
      <c r="G191" s="247"/>
      <c r="H191" s="247"/>
      <c r="I191" s="247"/>
      <c r="J191" s="81">
        <f ca="1">SUMPRODUCT((Work_Codes!$N$129:$Y$129=$E191)*(Work_Codes!$N$140:$Y$140)*(J$74:J$74))</f>
        <v>0</v>
      </c>
      <c r="K191" s="81">
        <f ca="1">SUMPRODUCT((Work_Codes!$N$129:$Y$129=$E191)*(Work_Codes!$N$140:$Y$140)*(K$74:K$74))</f>
        <v>0</v>
      </c>
      <c r="L191" s="81">
        <f ca="1">SUMPRODUCT((Work_Codes!$N$129:$Y$129=$E191)*(Work_Codes!$N$140:$Y$140)*(L$74:L$74))</f>
        <v>0</v>
      </c>
      <c r="M191" s="81">
        <f ca="1">SUMPRODUCT((Work_Codes!$N$129:$Y$129=$E191)*(Work_Codes!$N$140:$Y$140)*(M$74:M$74))</f>
        <v>0</v>
      </c>
      <c r="N191" s="81">
        <f ca="1">SUMPRODUCT((Work_Codes!$N$129:$Y$129=$E191)*(Work_Codes!$N$140:$Y$140)*(N$74:N$74))</f>
        <v>0</v>
      </c>
      <c r="O191" s="81">
        <f ca="1">SUMPRODUCT((Work_Codes!$N$129:$Y$129=$E191)*(Work_Codes!$N$140:$Y$140)*(O$74:O$74))</f>
        <v>0</v>
      </c>
      <c r="P191" s="81">
        <f ca="1">SUMPRODUCT((Work_Codes!$N$129:$Y$129=$E191)*(Work_Codes!$N$140:$Y$140)*(P$74:P$74))</f>
        <v>0</v>
      </c>
      <c r="Q191" s="81">
        <f ca="1">SUMPRODUCT((Work_Codes!$N$129:$Y$129=$E191)*(Work_Codes!$N$140:$Y$140)*(Q$74:Q$74))</f>
        <v>0</v>
      </c>
      <c r="R191" s="81">
        <f ca="1">SUMPRODUCT((Work_Codes!$N$129:$Y$129=$E191)*(Work_Codes!$N$140:$Y$140)*(R$74:R$74))</f>
        <v>0</v>
      </c>
      <c r="S191" s="81">
        <f ca="1">SUMPRODUCT((Work_Codes!$N$129:$Y$129=$E191)*(Work_Codes!$N$140:$Y$140)*(S$74:S$74))</f>
        <v>0</v>
      </c>
      <c r="T191" s="81">
        <f ca="1">SUMPRODUCT((Work_Codes!$N$129:$Y$129=$E191)*(Work_Codes!$N$140:$Y$140)*(T$74:T$74))</f>
        <v>0</v>
      </c>
    </row>
    <row r="192" spans="4:20" outlineLevel="2">
      <c r="E192" s="247" t="str">
        <f>GC!C46</f>
        <v>SCADA and remote control</v>
      </c>
      <c r="F192" s="247"/>
      <c r="G192" s="247"/>
      <c r="H192" s="247"/>
      <c r="I192" s="247"/>
      <c r="J192" s="81">
        <f ca="1">SUMPRODUCT((Work_Codes!$N$129:$Y$129=$E192)*(Work_Codes!$N$140:$Y$140)*(J$74:J$74))</f>
        <v>0</v>
      </c>
      <c r="K192" s="81">
        <f ca="1">SUMPRODUCT((Work_Codes!$N$129:$Y$129=$E192)*(Work_Codes!$N$140:$Y$140)*(K$74:K$74))</f>
        <v>0</v>
      </c>
      <c r="L192" s="81">
        <f ca="1">SUMPRODUCT((Work_Codes!$N$129:$Y$129=$E192)*(Work_Codes!$N$140:$Y$140)*(L$74:L$74))</f>
        <v>0</v>
      </c>
      <c r="M192" s="81">
        <f ca="1">SUMPRODUCT((Work_Codes!$N$129:$Y$129=$E192)*(Work_Codes!$N$140:$Y$140)*(M$74:M$74))</f>
        <v>0</v>
      </c>
      <c r="N192" s="81">
        <f ca="1">SUMPRODUCT((Work_Codes!$N$129:$Y$129=$E192)*(Work_Codes!$N$140:$Y$140)*(N$74:N$74))</f>
        <v>0</v>
      </c>
      <c r="O192" s="81">
        <f ca="1">SUMPRODUCT((Work_Codes!$N$129:$Y$129=$E192)*(Work_Codes!$N$140:$Y$140)*(O$74:O$74))</f>
        <v>0</v>
      </c>
      <c r="P192" s="81">
        <f ca="1">SUMPRODUCT((Work_Codes!$N$129:$Y$129=$E192)*(Work_Codes!$N$140:$Y$140)*(P$74:P$74))</f>
        <v>0</v>
      </c>
      <c r="Q192" s="81">
        <f ca="1">SUMPRODUCT((Work_Codes!$N$129:$Y$129=$E192)*(Work_Codes!$N$140:$Y$140)*(Q$74:Q$74))</f>
        <v>0</v>
      </c>
      <c r="R192" s="81">
        <f ca="1">SUMPRODUCT((Work_Codes!$N$129:$Y$129=$E192)*(Work_Codes!$N$140:$Y$140)*(R$74:R$74))</f>
        <v>0</v>
      </c>
      <c r="S192" s="81">
        <f ca="1">SUMPRODUCT((Work_Codes!$N$129:$Y$129=$E192)*(Work_Codes!$N$140:$Y$140)*(S$74:S$74))</f>
        <v>0</v>
      </c>
      <c r="T192" s="81">
        <f ca="1">SUMPRODUCT((Work_Codes!$N$129:$Y$129=$E192)*(Work_Codes!$N$140:$Y$140)*(T$74:T$74))</f>
        <v>0</v>
      </c>
    </row>
    <row r="193" spans="2:20" outlineLevel="2">
      <c r="E193" s="247" t="str">
        <f>GC!C47</f>
        <v>Buildings</v>
      </c>
      <c r="F193" s="247"/>
      <c r="G193" s="247"/>
      <c r="H193" s="247"/>
      <c r="I193" s="247"/>
      <c r="J193" s="81">
        <f ca="1">SUMPRODUCT((Work_Codes!$N$129:$Y$129=$E193)*(Work_Codes!$N$140:$Y$140)*(J$74:J$74))</f>
        <v>0</v>
      </c>
      <c r="K193" s="81">
        <f ca="1">SUMPRODUCT((Work_Codes!$N$129:$Y$129=$E193)*(Work_Codes!$N$140:$Y$140)*(K$74:K$74))</f>
        <v>0</v>
      </c>
      <c r="L193" s="81">
        <f ca="1">SUMPRODUCT((Work_Codes!$N$129:$Y$129=$E193)*(Work_Codes!$N$140:$Y$140)*(L$74:L$74))</f>
        <v>0</v>
      </c>
      <c r="M193" s="81">
        <f ca="1">SUMPRODUCT((Work_Codes!$N$129:$Y$129=$E193)*(Work_Codes!$N$140:$Y$140)*(M$74:M$74))</f>
        <v>0</v>
      </c>
      <c r="N193" s="81">
        <f ca="1">SUMPRODUCT((Work_Codes!$N$129:$Y$129=$E193)*(Work_Codes!$N$140:$Y$140)*(N$74:N$74))</f>
        <v>0</v>
      </c>
      <c r="O193" s="81">
        <f ca="1">SUMPRODUCT((Work_Codes!$N$129:$Y$129=$E193)*(Work_Codes!$N$140:$Y$140)*(O$74:O$74))</f>
        <v>0</v>
      </c>
      <c r="P193" s="81">
        <f ca="1">SUMPRODUCT((Work_Codes!$N$129:$Y$129=$E193)*(Work_Codes!$N$140:$Y$140)*(P$74:P$74))</f>
        <v>0</v>
      </c>
      <c r="Q193" s="81">
        <f ca="1">SUMPRODUCT((Work_Codes!$N$129:$Y$129=$E193)*(Work_Codes!$N$140:$Y$140)*(Q$74:Q$74))</f>
        <v>0</v>
      </c>
      <c r="R193" s="81">
        <f ca="1">SUMPRODUCT((Work_Codes!$N$129:$Y$129=$E193)*(Work_Codes!$N$140:$Y$140)*(R$74:R$74))</f>
        <v>0</v>
      </c>
      <c r="S193" s="81">
        <f ca="1">SUMPRODUCT((Work_Codes!$N$129:$Y$129=$E193)*(Work_Codes!$N$140:$Y$140)*(S$74:S$74))</f>
        <v>0</v>
      </c>
      <c r="T193" s="81">
        <f ca="1">SUMPRODUCT((Work_Codes!$N$129:$Y$129=$E193)*(Work_Codes!$N$140:$Y$140)*(T$74:T$74))</f>
        <v>0</v>
      </c>
    </row>
    <row r="194" spans="2:20" outlineLevel="2">
      <c r="E194" s="247" t="str">
        <f>GC!C48</f>
        <v>Other - IT</v>
      </c>
      <c r="F194" s="247"/>
      <c r="G194" s="247"/>
      <c r="H194" s="247"/>
      <c r="I194" s="247"/>
      <c r="J194" s="81">
        <f ca="1">SUMPRODUCT((Work_Codes!$N$129:$Y$129=$E194)*(Work_Codes!$N$140:$Y$140)*(J$74:J$74))</f>
        <v>0</v>
      </c>
      <c r="K194" s="81">
        <f ca="1">SUMPRODUCT((Work_Codes!$N$129:$Y$129=$E194)*(Work_Codes!$N$140:$Y$140)*(K$74:K$74))</f>
        <v>0</v>
      </c>
      <c r="L194" s="81">
        <f ca="1">SUMPRODUCT((Work_Codes!$N$129:$Y$129=$E194)*(Work_Codes!$N$140:$Y$140)*(L$74:L$74))</f>
        <v>0</v>
      </c>
      <c r="M194" s="81">
        <f ca="1">SUMPRODUCT((Work_Codes!$N$129:$Y$129=$E194)*(Work_Codes!$N$140:$Y$140)*(M$74:M$74))</f>
        <v>0</v>
      </c>
      <c r="N194" s="81">
        <f ca="1">SUMPRODUCT((Work_Codes!$N$129:$Y$129=$E194)*(Work_Codes!$N$140:$Y$140)*(N$74:N$74))</f>
        <v>0</v>
      </c>
      <c r="O194" s="81">
        <f ca="1">SUMPRODUCT((Work_Codes!$N$129:$Y$129=$E194)*(Work_Codes!$N$140:$Y$140)*(O$74:O$74))</f>
        <v>0</v>
      </c>
      <c r="P194" s="81">
        <f ca="1">SUMPRODUCT((Work_Codes!$N$129:$Y$129=$E194)*(Work_Codes!$N$140:$Y$140)*(P$74:P$74))</f>
        <v>0</v>
      </c>
      <c r="Q194" s="81">
        <f ca="1">SUMPRODUCT((Work_Codes!$N$129:$Y$129=$E194)*(Work_Codes!$N$140:$Y$140)*(Q$74:Q$74))</f>
        <v>0</v>
      </c>
      <c r="R194" s="81">
        <f ca="1">SUMPRODUCT((Work_Codes!$N$129:$Y$129=$E194)*(Work_Codes!$N$140:$Y$140)*(R$74:R$74))</f>
        <v>0</v>
      </c>
      <c r="S194" s="81">
        <f ca="1">SUMPRODUCT((Work_Codes!$N$129:$Y$129=$E194)*(Work_Codes!$N$140:$Y$140)*(S$74:S$74))</f>
        <v>0</v>
      </c>
      <c r="T194" s="81">
        <f ca="1">SUMPRODUCT((Work_Codes!$N$129:$Y$129=$E194)*(Work_Codes!$N$140:$Y$140)*(T$74:T$74))</f>
        <v>0</v>
      </c>
    </row>
    <row r="195" spans="2:20" outlineLevel="2">
      <c r="E195" s="247" t="str">
        <f>GC!C49</f>
        <v>Other - non IT</v>
      </c>
      <c r="F195" s="247"/>
      <c r="G195" s="247"/>
      <c r="H195" s="247"/>
      <c r="I195" s="247"/>
      <c r="J195" s="81">
        <f ca="1">SUMPRODUCT((Work_Codes!$N$129:$Y$129=$E195)*(Work_Codes!$N$140:$Y$140)*(J$74:J$74))</f>
        <v>0</v>
      </c>
      <c r="K195" s="81">
        <f ca="1">SUMPRODUCT((Work_Codes!$N$129:$Y$129=$E195)*(Work_Codes!$N$140:$Y$140)*(K$74:K$74))</f>
        <v>0</v>
      </c>
      <c r="L195" s="81">
        <f ca="1">SUMPRODUCT((Work_Codes!$N$129:$Y$129=$E195)*(Work_Codes!$N$140:$Y$140)*(L$74:L$74))</f>
        <v>0</v>
      </c>
      <c r="M195" s="81">
        <f ca="1">SUMPRODUCT((Work_Codes!$N$129:$Y$129=$E195)*(Work_Codes!$N$140:$Y$140)*(M$74:M$74))</f>
        <v>0</v>
      </c>
      <c r="N195" s="81">
        <f ca="1">SUMPRODUCT((Work_Codes!$N$129:$Y$129=$E195)*(Work_Codes!$N$140:$Y$140)*(N$74:N$74))</f>
        <v>0</v>
      </c>
      <c r="O195" s="81">
        <f ca="1">SUMPRODUCT((Work_Codes!$N$129:$Y$129=$E195)*(Work_Codes!$N$140:$Y$140)*(O$74:O$74))</f>
        <v>0</v>
      </c>
      <c r="P195" s="81">
        <f ca="1">SUMPRODUCT((Work_Codes!$N$129:$Y$129=$E195)*(Work_Codes!$N$140:$Y$140)*(P$74:P$74))</f>
        <v>0</v>
      </c>
      <c r="Q195" s="81">
        <f ca="1">SUMPRODUCT((Work_Codes!$N$129:$Y$129=$E195)*(Work_Codes!$N$140:$Y$140)*(Q$74:Q$74))</f>
        <v>0</v>
      </c>
      <c r="R195" s="81">
        <f ca="1">SUMPRODUCT((Work_Codes!$N$129:$Y$129=$E195)*(Work_Codes!$N$140:$Y$140)*(R$74:R$74))</f>
        <v>0</v>
      </c>
      <c r="S195" s="81">
        <f ca="1">SUMPRODUCT((Work_Codes!$N$129:$Y$129=$E195)*(Work_Codes!$N$140:$Y$140)*(S$74:S$74))</f>
        <v>0</v>
      </c>
      <c r="T195" s="81">
        <f ca="1">SUMPRODUCT((Work_Codes!$N$129:$Y$129=$E195)*(Work_Codes!$N$140:$Y$140)*(T$74:T$74))</f>
        <v>0</v>
      </c>
    </row>
    <row r="196" spans="2:20" outlineLevel="2">
      <c r="E196" s="247" t="str">
        <f>GC!C50</f>
        <v>Land</v>
      </c>
      <c r="F196" s="247"/>
      <c r="G196" s="247"/>
      <c r="H196" s="247"/>
      <c r="I196" s="247"/>
      <c r="J196" s="81">
        <f ca="1">SUMPRODUCT((Work_Codes!$N$129:$Y$129=$E196)*(Work_Codes!$N$140:$Y$140)*(J$74:J$74))</f>
        <v>0</v>
      </c>
      <c r="K196" s="81">
        <f ca="1">SUMPRODUCT((Work_Codes!$N$129:$Y$129=$E196)*(Work_Codes!$N$140:$Y$140)*(K$74:K$74))</f>
        <v>0</v>
      </c>
      <c r="L196" s="81">
        <f ca="1">SUMPRODUCT((Work_Codes!$N$129:$Y$129=$E196)*(Work_Codes!$N$140:$Y$140)*(L$74:L$74))</f>
        <v>0</v>
      </c>
      <c r="M196" s="81">
        <f ca="1">SUMPRODUCT((Work_Codes!$N$129:$Y$129=$E196)*(Work_Codes!$N$140:$Y$140)*(M$74:M$74))</f>
        <v>0</v>
      </c>
      <c r="N196" s="81">
        <f ca="1">SUMPRODUCT((Work_Codes!$N$129:$Y$129=$E196)*(Work_Codes!$N$140:$Y$140)*(N$74:N$74))</f>
        <v>0</v>
      </c>
      <c r="O196" s="81">
        <f ca="1">SUMPRODUCT((Work_Codes!$N$129:$Y$129=$E196)*(Work_Codes!$N$140:$Y$140)*(O$74:O$74))</f>
        <v>0</v>
      </c>
      <c r="P196" s="81">
        <f ca="1">SUMPRODUCT((Work_Codes!$N$129:$Y$129=$E196)*(Work_Codes!$N$140:$Y$140)*(P$74:P$74))</f>
        <v>0</v>
      </c>
      <c r="Q196" s="81">
        <f ca="1">SUMPRODUCT((Work_Codes!$N$129:$Y$129=$E196)*(Work_Codes!$N$140:$Y$140)*(Q$74:Q$74))</f>
        <v>0</v>
      </c>
      <c r="R196" s="81">
        <f ca="1">SUMPRODUCT((Work_Codes!$N$129:$Y$129=$E196)*(Work_Codes!$N$140:$Y$140)*(R$74:R$74))</f>
        <v>0</v>
      </c>
      <c r="S196" s="81">
        <f ca="1">SUMPRODUCT((Work_Codes!$N$129:$Y$129=$E196)*(Work_Codes!$N$140:$Y$140)*(S$74:S$74))</f>
        <v>0</v>
      </c>
      <c r="T196" s="81">
        <f ca="1">SUMPRODUCT((Work_Codes!$N$129:$Y$129=$E196)*(Work_Codes!$N$140:$Y$140)*(T$74:T$74))</f>
        <v>0</v>
      </c>
    </row>
    <row r="197" spans="2:20" outlineLevel="2">
      <c r="E197" s="247" t="str">
        <f>GC!C51</f>
        <v>Capitalised Leases</v>
      </c>
      <c r="F197" s="247"/>
      <c r="G197" s="247"/>
      <c r="H197" s="247"/>
      <c r="I197" s="247"/>
      <c r="J197" s="81">
        <f ca="1">SUMPRODUCT((Work_Codes!$N$129:$Y$129=$E197)*(Work_Codes!$N$140:$Y$140)*(J$74:J$74))</f>
        <v>0</v>
      </c>
      <c r="K197" s="81">
        <f ca="1">SUMPRODUCT((Work_Codes!$N$129:$Y$129=$E197)*(Work_Codes!$N$140:$Y$140)*(K$74:K$74))</f>
        <v>0</v>
      </c>
      <c r="L197" s="81">
        <f ca="1">SUMPRODUCT((Work_Codes!$N$129:$Y$129=$E197)*(Work_Codes!$N$140:$Y$140)*(L$74:L$74))</f>
        <v>0</v>
      </c>
      <c r="M197" s="81">
        <f ca="1">SUMPRODUCT((Work_Codes!$N$129:$Y$129=$E197)*(Work_Codes!$N$140:$Y$140)*(M$74:M$74))</f>
        <v>0</v>
      </c>
      <c r="N197" s="81">
        <f ca="1">SUMPRODUCT((Work_Codes!$N$129:$Y$129=$E197)*(Work_Codes!$N$140:$Y$140)*(N$74:N$74))</f>
        <v>0</v>
      </c>
      <c r="O197" s="81">
        <f ca="1">SUMPRODUCT((Work_Codes!$N$129:$Y$129=$E197)*(Work_Codes!$N$140:$Y$140)*(O$74:O$74))</f>
        <v>0</v>
      </c>
      <c r="P197" s="81">
        <f ca="1">SUMPRODUCT((Work_Codes!$N$129:$Y$129=$E197)*(Work_Codes!$N$140:$Y$140)*(P$74:P$74))</f>
        <v>0</v>
      </c>
      <c r="Q197" s="81">
        <f ca="1">SUMPRODUCT((Work_Codes!$N$129:$Y$129=$E197)*(Work_Codes!$N$140:$Y$140)*(Q$74:Q$74))</f>
        <v>0</v>
      </c>
      <c r="R197" s="81">
        <f ca="1">SUMPRODUCT((Work_Codes!$N$129:$Y$129=$E197)*(Work_Codes!$N$140:$Y$140)*(R$74:R$74))</f>
        <v>0</v>
      </c>
      <c r="S197" s="81">
        <f ca="1">SUMPRODUCT((Work_Codes!$N$129:$Y$129=$E197)*(Work_Codes!$N$140:$Y$140)*(S$74:S$74))</f>
        <v>0</v>
      </c>
      <c r="T197" s="81">
        <f ca="1">SUMPRODUCT((Work_Codes!$N$129:$Y$129=$E197)*(Work_Codes!$N$140:$Y$140)*(T$74:T$74))</f>
        <v>0</v>
      </c>
    </row>
    <row r="198" spans="2:20" outlineLevel="2">
      <c r="E198" s="247" t="str">
        <f>GC!C52</f>
        <v>Transmission pipelines - post 1998</v>
      </c>
      <c r="F198" s="247"/>
      <c r="G198" s="247"/>
      <c r="H198" s="247"/>
      <c r="I198" s="247"/>
      <c r="J198" s="81">
        <f ca="1">SUMPRODUCT((Work_Codes!$N$129:$Y$129=$E198)*(Work_Codes!$N$140:$Y$140)*(J$74:J$74))</f>
        <v>0</v>
      </c>
      <c r="K198" s="81">
        <f ca="1">SUMPRODUCT((Work_Codes!$N$129:$Y$129=$E198)*(Work_Codes!$N$140:$Y$140)*(K$74:K$74))</f>
        <v>0</v>
      </c>
      <c r="L198" s="81">
        <f ca="1">SUMPRODUCT((Work_Codes!$N$129:$Y$129=$E198)*(Work_Codes!$N$140:$Y$140)*(L$74:L$74))</f>
        <v>0</v>
      </c>
      <c r="M198" s="81">
        <f ca="1">SUMPRODUCT((Work_Codes!$N$129:$Y$129=$E198)*(Work_Codes!$N$140:$Y$140)*(M$74:M$74))</f>
        <v>0</v>
      </c>
      <c r="N198" s="81">
        <f ca="1">SUMPRODUCT((Work_Codes!$N$129:$Y$129=$E198)*(Work_Codes!$N$140:$Y$140)*(N$74:N$74))</f>
        <v>0</v>
      </c>
      <c r="O198" s="81">
        <f ca="1">SUMPRODUCT((Work_Codes!$N$129:$Y$129=$E198)*(Work_Codes!$N$140:$Y$140)*(O$74:O$74))</f>
        <v>0</v>
      </c>
      <c r="P198" s="81">
        <f ca="1">SUMPRODUCT((Work_Codes!$N$129:$Y$129=$E198)*(Work_Codes!$N$140:$Y$140)*(P$74:P$74))</f>
        <v>0</v>
      </c>
      <c r="Q198" s="81">
        <f ca="1">SUMPRODUCT((Work_Codes!$N$129:$Y$129=$E198)*(Work_Codes!$N$140:$Y$140)*(Q$74:Q$74))</f>
        <v>0</v>
      </c>
      <c r="R198" s="81">
        <f ca="1">SUMPRODUCT((Work_Codes!$N$129:$Y$129=$E198)*(Work_Codes!$N$140:$Y$140)*(R$74:R$74))</f>
        <v>0</v>
      </c>
      <c r="S198" s="81">
        <f ca="1">SUMPRODUCT((Work_Codes!$N$129:$Y$129=$E198)*(Work_Codes!$N$140:$Y$140)*(S$74:S$74))</f>
        <v>0</v>
      </c>
      <c r="T198" s="81">
        <f ca="1">SUMPRODUCT((Work_Codes!$N$129:$Y$129=$E198)*(Work_Codes!$N$140:$Y$140)*(T$74:T$74))</f>
        <v>0</v>
      </c>
    </row>
    <row r="199" spans="2:20" outlineLevel="2">
      <c r="E199" s="247" t="str">
        <f>GC!C53</f>
        <v>Distribution pipelines - post 1998</v>
      </c>
      <c r="F199" s="247"/>
      <c r="G199" s="247"/>
      <c r="H199" s="247"/>
      <c r="I199" s="247"/>
      <c r="J199" s="81">
        <f ca="1">SUMPRODUCT((Work_Codes!$N$129:$Y$129=$E199)*(Work_Codes!$N$140:$Y$140)*(J$74:J$74))</f>
        <v>0</v>
      </c>
      <c r="K199" s="81">
        <f ca="1">SUMPRODUCT((Work_Codes!$N$129:$Y$129=$E199)*(Work_Codes!$N$140:$Y$140)*(K$74:K$74))</f>
        <v>0</v>
      </c>
      <c r="L199" s="81">
        <f ca="1">SUMPRODUCT((Work_Codes!$N$129:$Y$129=$E199)*(Work_Codes!$N$140:$Y$140)*(L$74:L$74))</f>
        <v>0</v>
      </c>
      <c r="M199" s="81">
        <f ca="1">SUMPRODUCT((Work_Codes!$N$129:$Y$129=$E199)*(Work_Codes!$N$140:$Y$140)*(M$74:M$74))</f>
        <v>0</v>
      </c>
      <c r="N199" s="81">
        <f ca="1">SUMPRODUCT((Work_Codes!$N$129:$Y$129=$E199)*(Work_Codes!$N$140:$Y$140)*(N$74:N$74))</f>
        <v>0</v>
      </c>
      <c r="O199" s="81">
        <f ca="1">SUMPRODUCT((Work_Codes!$N$129:$Y$129=$E199)*(Work_Codes!$N$140:$Y$140)*(O$74:O$74))</f>
        <v>0</v>
      </c>
      <c r="P199" s="81">
        <f ca="1">SUMPRODUCT((Work_Codes!$N$129:$Y$129=$E199)*(Work_Codes!$N$140:$Y$140)*(P$74:P$74))</f>
        <v>0</v>
      </c>
      <c r="Q199" s="81">
        <f ca="1">SUMPRODUCT((Work_Codes!$N$129:$Y$129=$E199)*(Work_Codes!$N$140:$Y$140)*(Q$74:Q$74))</f>
        <v>0</v>
      </c>
      <c r="R199" s="81">
        <f ca="1">SUMPRODUCT((Work_Codes!$N$129:$Y$129=$E199)*(Work_Codes!$N$140:$Y$140)*(R$74:R$74))</f>
        <v>0</v>
      </c>
      <c r="S199" s="81">
        <f ca="1">SUMPRODUCT((Work_Codes!$N$129:$Y$129=$E199)*(Work_Codes!$N$140:$Y$140)*(S$74:S$74))</f>
        <v>0</v>
      </c>
      <c r="T199" s="81">
        <f ca="1">SUMPRODUCT((Work_Codes!$N$129:$Y$129=$E199)*(Work_Codes!$N$140:$Y$140)*(T$74:T$74))</f>
        <v>0</v>
      </c>
    </row>
    <row r="200" spans="2:20" outlineLevel="2">
      <c r="E200" s="247" t="str">
        <f>GC!C54</f>
        <v>Service pipes - post 1998</v>
      </c>
      <c r="F200" s="247"/>
      <c r="G200" s="247"/>
      <c r="H200" s="247"/>
      <c r="I200" s="247"/>
      <c r="J200" s="81">
        <f ca="1">SUMPRODUCT((Work_Codes!$N$129:$Y$129=$E200)*(Work_Codes!$N$140:$Y$140)*(J$74:J$74))</f>
        <v>0</v>
      </c>
      <c r="K200" s="81">
        <f ca="1">SUMPRODUCT((Work_Codes!$N$129:$Y$129=$E200)*(Work_Codes!$N$140:$Y$140)*(K$74:K$74))</f>
        <v>0</v>
      </c>
      <c r="L200" s="81">
        <f ca="1">SUMPRODUCT((Work_Codes!$N$129:$Y$129=$E200)*(Work_Codes!$N$140:$Y$140)*(L$74:L$74))</f>
        <v>0</v>
      </c>
      <c r="M200" s="81">
        <f ca="1">SUMPRODUCT((Work_Codes!$N$129:$Y$129=$E200)*(Work_Codes!$N$140:$Y$140)*(M$74:M$74))</f>
        <v>0</v>
      </c>
      <c r="N200" s="81">
        <f ca="1">SUMPRODUCT((Work_Codes!$N$129:$Y$129=$E200)*(Work_Codes!$N$140:$Y$140)*(N$74:N$74))</f>
        <v>0</v>
      </c>
      <c r="O200" s="81">
        <f ca="1">SUMPRODUCT((Work_Codes!$N$129:$Y$129=$E200)*(Work_Codes!$N$140:$Y$140)*(O$74:O$74))</f>
        <v>0</v>
      </c>
      <c r="P200" s="81">
        <f ca="1">SUMPRODUCT((Work_Codes!$N$129:$Y$129=$E200)*(Work_Codes!$N$140:$Y$140)*(P$74:P$74))</f>
        <v>0</v>
      </c>
      <c r="Q200" s="81">
        <f ca="1">SUMPRODUCT((Work_Codes!$N$129:$Y$129=$E200)*(Work_Codes!$N$140:$Y$140)*(Q$74:Q$74))</f>
        <v>0</v>
      </c>
      <c r="R200" s="81">
        <f ca="1">SUMPRODUCT((Work_Codes!$N$129:$Y$129=$E200)*(Work_Codes!$N$140:$Y$140)*(R$74:R$74))</f>
        <v>0</v>
      </c>
      <c r="S200" s="81">
        <f ca="1">SUMPRODUCT((Work_Codes!$N$129:$Y$129=$E200)*(Work_Codes!$N$140:$Y$140)*(S$74:S$74))</f>
        <v>0</v>
      </c>
      <c r="T200" s="81">
        <f ca="1">SUMPRODUCT((Work_Codes!$N$129:$Y$129=$E200)*(Work_Codes!$N$140:$Y$140)*(T$74:T$74))</f>
        <v>0</v>
      </c>
    </row>
    <row r="201" spans="2:20" outlineLevel="2">
      <c r="E201" s="247" t="str">
        <f>GC!C55</f>
        <v>Cathodic protection - post 1998</v>
      </c>
      <c r="F201" s="247"/>
      <c r="G201" s="247"/>
      <c r="H201" s="247"/>
      <c r="I201" s="247"/>
      <c r="J201" s="81">
        <f ca="1">SUMPRODUCT((Work_Codes!$N$129:$Y$129=$E201)*(Work_Codes!$N$140:$Y$140)*(J$74:J$74))</f>
        <v>0</v>
      </c>
      <c r="K201" s="81">
        <f ca="1">SUMPRODUCT((Work_Codes!$N$129:$Y$129=$E201)*(Work_Codes!$N$140:$Y$140)*(K$74:K$74))</f>
        <v>0</v>
      </c>
      <c r="L201" s="81">
        <f ca="1">SUMPRODUCT((Work_Codes!$N$129:$Y$129=$E201)*(Work_Codes!$N$140:$Y$140)*(L$74:L$74))</f>
        <v>0</v>
      </c>
      <c r="M201" s="81">
        <f ca="1">SUMPRODUCT((Work_Codes!$N$129:$Y$129=$E201)*(Work_Codes!$N$140:$Y$140)*(M$74:M$74))</f>
        <v>0</v>
      </c>
      <c r="N201" s="81">
        <f ca="1">SUMPRODUCT((Work_Codes!$N$129:$Y$129=$E201)*(Work_Codes!$N$140:$Y$140)*(N$74:N$74))</f>
        <v>0</v>
      </c>
      <c r="O201" s="81">
        <f ca="1">SUMPRODUCT((Work_Codes!$N$129:$Y$129=$E201)*(Work_Codes!$N$140:$Y$140)*(O$74:O$74))</f>
        <v>0</v>
      </c>
      <c r="P201" s="81">
        <f ca="1">SUMPRODUCT((Work_Codes!$N$129:$Y$129=$E201)*(Work_Codes!$N$140:$Y$140)*(P$74:P$74))</f>
        <v>0</v>
      </c>
      <c r="Q201" s="81">
        <f ca="1">SUMPRODUCT((Work_Codes!$N$129:$Y$129=$E201)*(Work_Codes!$N$140:$Y$140)*(Q$74:Q$74))</f>
        <v>0</v>
      </c>
      <c r="R201" s="81">
        <f ca="1">SUMPRODUCT((Work_Codes!$N$129:$Y$129=$E201)*(Work_Codes!$N$140:$Y$140)*(R$74:R$74))</f>
        <v>0</v>
      </c>
      <c r="S201" s="81">
        <f ca="1">SUMPRODUCT((Work_Codes!$N$129:$Y$129=$E201)*(Work_Codes!$N$140:$Y$140)*(S$74:S$74))</f>
        <v>0</v>
      </c>
      <c r="T201" s="81">
        <f ca="1">SUMPRODUCT((Work_Codes!$N$129:$Y$129=$E201)*(Work_Codes!$N$140:$Y$140)*(T$74:T$74))</f>
        <v>0</v>
      </c>
    </row>
    <row r="202" spans="2:20" outlineLevel="2">
      <c r="E202" s="249" t="str">
        <f>"Total "&amp;D184</f>
        <v>Total Customer Contributions</v>
      </c>
      <c r="F202" s="249"/>
      <c r="G202" s="249"/>
      <c r="H202" s="249"/>
      <c r="I202" s="249"/>
      <c r="J202" s="82">
        <f t="shared" ref="J202:T202" ca="1" si="22">SUM(J186:J201)</f>
        <v>0</v>
      </c>
      <c r="K202" s="82">
        <f t="shared" ca="1" si="22"/>
        <v>0</v>
      </c>
      <c r="L202" s="82">
        <f t="shared" ca="1" si="22"/>
        <v>0</v>
      </c>
      <c r="M202" s="82">
        <f t="shared" ca="1" si="22"/>
        <v>0</v>
      </c>
      <c r="N202" s="82">
        <f t="shared" ca="1" si="22"/>
        <v>0</v>
      </c>
      <c r="O202" s="82">
        <f t="shared" ca="1" si="22"/>
        <v>0</v>
      </c>
      <c r="P202" s="82">
        <f t="shared" ca="1" si="22"/>
        <v>0</v>
      </c>
      <c r="Q202" s="82">
        <f t="shared" ca="1" si="22"/>
        <v>0</v>
      </c>
      <c r="R202" s="82">
        <f t="shared" ca="1" si="22"/>
        <v>0</v>
      </c>
      <c r="S202" s="82">
        <f t="shared" ca="1" si="22"/>
        <v>0</v>
      </c>
      <c r="T202" s="82">
        <f t="shared" ca="1" si="22"/>
        <v>0</v>
      </c>
    </row>
    <row r="203" spans="2:20" outlineLevel="1">
      <c r="B203" s="12"/>
      <c r="C203" s="12"/>
      <c r="D203" s="12"/>
      <c r="E203" s="12"/>
      <c r="F203" s="12"/>
      <c r="G203" s="12"/>
      <c r="H203" s="12"/>
      <c r="I203" s="12"/>
      <c r="J203" s="12"/>
      <c r="K203" s="12"/>
      <c r="L203" s="12"/>
      <c r="M203" s="12"/>
      <c r="N203" s="12"/>
      <c r="O203" s="12"/>
      <c r="P203" s="12"/>
      <c r="Q203" s="12"/>
      <c r="R203" s="12"/>
      <c r="S203" s="12"/>
      <c r="T203" s="12"/>
    </row>
    <row r="204" spans="2:20" outlineLevel="1"/>
    <row r="205" spans="2:20" outlineLevel="1">
      <c r="C205" s="37" t="s">
        <v>196</v>
      </c>
    </row>
    <row r="206" spans="2:20" ht="5.9" customHeight="1" outlineLevel="2"/>
    <row r="207" spans="2:20" outlineLevel="2">
      <c r="D207" s="37" t="s">
        <v>215</v>
      </c>
    </row>
    <row r="208" spans="2:20" ht="5.9" customHeight="1" outlineLevel="2"/>
    <row r="209" spans="5:20" ht="12" customHeight="1" outlineLevel="2">
      <c r="E209" s="247" t="str">
        <f>GC!C60</f>
        <v>Mains replacement</v>
      </c>
      <c r="F209" s="247"/>
      <c r="G209" s="247"/>
      <c r="H209" s="247"/>
      <c r="I209" s="247"/>
      <c r="J209" s="81">
        <f ca="1">SUMPRODUCT((Work_Codes!$AC$129:$AO$129=$E209)*(Work_Codes!$AC$132:$AO$136)*(J$113:J$117))</f>
        <v>0</v>
      </c>
      <c r="K209" s="81">
        <f ca="1">SUMPRODUCT((Work_Codes!$AC$129:$AO$129=$E209)*(Work_Codes!$AC$132:$AO$136)*(K$113:K$117))</f>
        <v>0</v>
      </c>
      <c r="L209" s="81">
        <f ca="1">SUMPRODUCT((Work_Codes!$AC$129:$AO$129=$E209)*(Work_Codes!$AC$132:$AO$136)*(L$113:L$117))</f>
        <v>0</v>
      </c>
      <c r="M209" s="81">
        <f ca="1">SUMPRODUCT((Work_Codes!$AC$129:$AO$129=$E209)*(Work_Codes!$AC$132:$AO$136)*(M$113:M$117))</f>
        <v>0</v>
      </c>
      <c r="N209" s="81">
        <f ca="1">SUMPRODUCT((Work_Codes!$AC$129:$AO$129=$E209)*(Work_Codes!$AC$132:$AO$136)*(N$113:N$117))</f>
        <v>0</v>
      </c>
      <c r="O209" s="81">
        <f ca="1">SUMPRODUCT((Work_Codes!$AC$129:$AO$129=$E209)*(Work_Codes!$AC$132:$AO$136)*(O$113:O$117))</f>
        <v>0</v>
      </c>
      <c r="P209" s="81">
        <f ca="1">SUMPRODUCT((Work_Codes!$AC$129:$AO$129=$E209)*(Work_Codes!$AC$132:$AO$136)*(P$113:P$117))</f>
        <v>0</v>
      </c>
      <c r="Q209" s="81">
        <f ca="1">SUMPRODUCT((Work_Codes!$AC$129:$AO$129=$E209)*(Work_Codes!$AC$132:$AO$136)*(Q$113:Q$117))</f>
        <v>0</v>
      </c>
      <c r="R209" s="81">
        <f ca="1">SUMPRODUCT((Work_Codes!$AC$129:$AO$129=$E209)*(Work_Codes!$AC$132:$AO$136)*(R$113:R$117))</f>
        <v>0</v>
      </c>
      <c r="S209" s="81">
        <f ca="1">SUMPRODUCT((Work_Codes!$AC$129:$AO$129=$E209)*(Work_Codes!$AC$132:$AO$136)*(S$113:S$117))</f>
        <v>0</v>
      </c>
      <c r="T209" s="81">
        <f ca="1">SUMPRODUCT((Work_Codes!$AC$129:$AO$129=$E209)*(Work_Codes!$AC$132:$AO$136)*(T$113:T$117))</f>
        <v>0</v>
      </c>
    </row>
    <row r="210" spans="5:20" ht="12" customHeight="1" outlineLevel="2">
      <c r="E210" s="247" t="str">
        <f>GC!C61</f>
        <v>Residential new customer connections</v>
      </c>
      <c r="F210" s="247"/>
      <c r="G210" s="247"/>
      <c r="H210" s="247"/>
      <c r="I210" s="247"/>
      <c r="J210" s="81">
        <f ca="1">SUMPRODUCT((Work_Codes!$AC$129:$AO$129=$E210)*(Work_Codes!$AC$132:$AO$136)*(J$113:J$117))</f>
        <v>0</v>
      </c>
      <c r="K210" s="81">
        <f ca="1">SUMPRODUCT((Work_Codes!$AC$129:$AO$129=$E210)*(Work_Codes!$AC$132:$AO$136)*(K$113:K$117))</f>
        <v>0</v>
      </c>
      <c r="L210" s="81">
        <f ca="1">SUMPRODUCT((Work_Codes!$AC$129:$AO$129=$E210)*(Work_Codes!$AC$132:$AO$136)*(L$113:L$117))</f>
        <v>0</v>
      </c>
      <c r="M210" s="81">
        <f ca="1">SUMPRODUCT((Work_Codes!$AC$129:$AO$129=$E210)*(Work_Codes!$AC$132:$AO$136)*(M$113:M$117))</f>
        <v>0</v>
      </c>
      <c r="N210" s="81">
        <f ca="1">SUMPRODUCT((Work_Codes!$AC$129:$AO$129=$E210)*(Work_Codes!$AC$132:$AO$136)*(N$113:N$117))</f>
        <v>0</v>
      </c>
      <c r="O210" s="81">
        <f ca="1">SUMPRODUCT((Work_Codes!$AC$129:$AO$129=$E210)*(Work_Codes!$AC$132:$AO$136)*(O$113:O$117))</f>
        <v>0</v>
      </c>
      <c r="P210" s="81">
        <f ca="1">SUMPRODUCT((Work_Codes!$AC$129:$AO$129=$E210)*(Work_Codes!$AC$132:$AO$136)*(P$113:P$117))</f>
        <v>0</v>
      </c>
      <c r="Q210" s="81">
        <f ca="1">SUMPRODUCT((Work_Codes!$AC$129:$AO$129=$E210)*(Work_Codes!$AC$132:$AO$136)*(Q$113:Q$117))</f>
        <v>0</v>
      </c>
      <c r="R210" s="81">
        <f ca="1">SUMPRODUCT((Work_Codes!$AC$129:$AO$129=$E210)*(Work_Codes!$AC$132:$AO$136)*(R$113:R$117))</f>
        <v>0</v>
      </c>
      <c r="S210" s="81">
        <f ca="1">SUMPRODUCT((Work_Codes!$AC$129:$AO$129=$E210)*(Work_Codes!$AC$132:$AO$136)*(S$113:S$117))</f>
        <v>0</v>
      </c>
      <c r="T210" s="81">
        <f ca="1">SUMPRODUCT((Work_Codes!$AC$129:$AO$129=$E210)*(Work_Codes!$AC$132:$AO$136)*(T$113:T$117))</f>
        <v>0</v>
      </c>
    </row>
    <row r="211" spans="5:20" ht="12" customHeight="1" outlineLevel="2">
      <c r="E211" s="247" t="str">
        <f>GC!C62</f>
        <v>Commercial and industrial new customer connections</v>
      </c>
      <c r="F211" s="247"/>
      <c r="G211" s="247"/>
      <c r="H211" s="247"/>
      <c r="I211" s="247"/>
      <c r="J211" s="81">
        <f ca="1">SUMPRODUCT((Work_Codes!$AC$129:$AO$129=$E211)*(Work_Codes!$AC$132:$AO$136)*(J$113:J$117))</f>
        <v>0</v>
      </c>
      <c r="K211" s="81">
        <f ca="1">SUMPRODUCT((Work_Codes!$AC$129:$AO$129=$E211)*(Work_Codes!$AC$132:$AO$136)*(K$113:K$117))</f>
        <v>0</v>
      </c>
      <c r="L211" s="81">
        <f ca="1">SUMPRODUCT((Work_Codes!$AC$129:$AO$129=$E211)*(Work_Codes!$AC$132:$AO$136)*(L$113:L$117))</f>
        <v>0</v>
      </c>
      <c r="M211" s="81">
        <f ca="1">SUMPRODUCT((Work_Codes!$AC$129:$AO$129=$E211)*(Work_Codes!$AC$132:$AO$136)*(M$113:M$117))</f>
        <v>0</v>
      </c>
      <c r="N211" s="81">
        <f ca="1">SUMPRODUCT((Work_Codes!$AC$129:$AO$129=$E211)*(Work_Codes!$AC$132:$AO$136)*(N$113:N$117))</f>
        <v>0</v>
      </c>
      <c r="O211" s="81">
        <f ca="1">SUMPRODUCT((Work_Codes!$AC$129:$AO$129=$E211)*(Work_Codes!$AC$132:$AO$136)*(O$113:O$117))</f>
        <v>0</v>
      </c>
      <c r="P211" s="81">
        <f ca="1">SUMPRODUCT((Work_Codes!$AC$129:$AO$129=$E211)*(Work_Codes!$AC$132:$AO$136)*(P$113:P$117))</f>
        <v>0</v>
      </c>
      <c r="Q211" s="81">
        <f ca="1">SUMPRODUCT((Work_Codes!$AC$129:$AO$129=$E211)*(Work_Codes!$AC$132:$AO$136)*(Q$113:Q$117))</f>
        <v>0</v>
      </c>
      <c r="R211" s="81">
        <f ca="1">SUMPRODUCT((Work_Codes!$AC$129:$AO$129=$E211)*(Work_Codes!$AC$132:$AO$136)*(R$113:R$117))</f>
        <v>0</v>
      </c>
      <c r="S211" s="81">
        <f ca="1">SUMPRODUCT((Work_Codes!$AC$129:$AO$129=$E211)*(Work_Codes!$AC$132:$AO$136)*(S$113:S$117))</f>
        <v>0</v>
      </c>
      <c r="T211" s="81">
        <f ca="1">SUMPRODUCT((Work_Codes!$AC$129:$AO$129=$E211)*(Work_Codes!$AC$132:$AO$136)*(T$113:T$117))</f>
        <v>0</v>
      </c>
    </row>
    <row r="212" spans="5:20" ht="12" customHeight="1" outlineLevel="2">
      <c r="E212" s="247" t="str">
        <f>GC!C63</f>
        <v>Residential meter replacement</v>
      </c>
      <c r="F212" s="247"/>
      <c r="G212" s="247"/>
      <c r="H212" s="247"/>
      <c r="I212" s="247"/>
      <c r="J212" s="81">
        <f ca="1">SUMPRODUCT((Work_Codes!$AC$129:$AO$129=$E212)*(Work_Codes!$AC$132:$AO$136)*(J$113:J$117))</f>
        <v>0</v>
      </c>
      <c r="K212" s="81">
        <f ca="1">SUMPRODUCT((Work_Codes!$AC$129:$AO$129=$E212)*(Work_Codes!$AC$132:$AO$136)*(K$113:K$117))</f>
        <v>0</v>
      </c>
      <c r="L212" s="81">
        <f ca="1">SUMPRODUCT((Work_Codes!$AC$129:$AO$129=$E212)*(Work_Codes!$AC$132:$AO$136)*(L$113:L$117))</f>
        <v>0</v>
      </c>
      <c r="M212" s="81">
        <f ca="1">SUMPRODUCT((Work_Codes!$AC$129:$AO$129=$E212)*(Work_Codes!$AC$132:$AO$136)*(M$113:M$117))</f>
        <v>0</v>
      </c>
      <c r="N212" s="81">
        <f ca="1">SUMPRODUCT((Work_Codes!$AC$129:$AO$129=$E212)*(Work_Codes!$AC$132:$AO$136)*(N$113:N$117))</f>
        <v>3204350.2706936467</v>
      </c>
      <c r="O212" s="81">
        <f ca="1">SUMPRODUCT((Work_Codes!$AC$129:$AO$129=$E212)*(Work_Codes!$AC$132:$AO$136)*(O$113:O$117))</f>
        <v>1888644.1649879646</v>
      </c>
      <c r="P212" s="81">
        <f ca="1">SUMPRODUCT((Work_Codes!$AC$129:$AO$129=$E212)*(Work_Codes!$AC$132:$AO$136)*(P$113:P$117))</f>
        <v>3777882.2643789533</v>
      </c>
      <c r="Q212" s="81">
        <f ca="1">SUMPRODUCT((Work_Codes!$AC$129:$AO$129=$E212)*(Work_Codes!$AC$132:$AO$136)*(Q$113:Q$117))</f>
        <v>4636757.4773725364</v>
      </c>
      <c r="R212" s="81">
        <f ca="1">SUMPRODUCT((Work_Codes!$AC$129:$AO$129=$E212)*(Work_Codes!$AC$132:$AO$136)*(R$113:R$117))</f>
        <v>4912673.4644640796</v>
      </c>
      <c r="S212" s="81">
        <f ca="1">SUMPRODUCT((Work_Codes!$AC$129:$AO$129=$E212)*(Work_Codes!$AC$132:$AO$136)*(S$113:S$117))</f>
        <v>3590553.6342371097</v>
      </c>
      <c r="T212" s="81">
        <f ca="1">SUMPRODUCT((Work_Codes!$AC$129:$AO$129=$E212)*(Work_Codes!$AC$132:$AO$136)*(T$113:T$117))</f>
        <v>3252157.7122829542</v>
      </c>
    </row>
    <row r="213" spans="5:20" ht="12" customHeight="1" outlineLevel="2">
      <c r="E213" s="247" t="str">
        <f>GC!C64</f>
        <v>Commercial and industrial meter replacement</v>
      </c>
      <c r="F213" s="247"/>
      <c r="G213" s="247"/>
      <c r="H213" s="247"/>
      <c r="I213" s="247"/>
      <c r="J213" s="81">
        <f ca="1">SUMPRODUCT((Work_Codes!$AC$129:$AO$129=$E213)*(Work_Codes!$AC$132:$AO$136)*(J$113:J$117))</f>
        <v>0</v>
      </c>
      <c r="K213" s="81">
        <f ca="1">SUMPRODUCT((Work_Codes!$AC$129:$AO$129=$E213)*(Work_Codes!$AC$132:$AO$136)*(K$113:K$117))</f>
        <v>0</v>
      </c>
      <c r="L213" s="81">
        <f ca="1">SUMPRODUCT((Work_Codes!$AC$129:$AO$129=$E213)*(Work_Codes!$AC$132:$AO$136)*(L$113:L$117))</f>
        <v>0</v>
      </c>
      <c r="M213" s="81">
        <f ca="1">SUMPRODUCT((Work_Codes!$AC$129:$AO$129=$E213)*(Work_Codes!$AC$132:$AO$136)*(M$113:M$117))</f>
        <v>0</v>
      </c>
      <c r="N213" s="81">
        <f ca="1">SUMPRODUCT((Work_Codes!$AC$129:$AO$129=$E213)*(Work_Codes!$AC$132:$AO$136)*(N$113:N$117))</f>
        <v>0</v>
      </c>
      <c r="O213" s="81">
        <f ca="1">SUMPRODUCT((Work_Codes!$AC$129:$AO$129=$E213)*(Work_Codes!$AC$132:$AO$136)*(O$113:O$117))</f>
        <v>0</v>
      </c>
      <c r="P213" s="81">
        <f ca="1">SUMPRODUCT((Work_Codes!$AC$129:$AO$129=$E213)*(Work_Codes!$AC$132:$AO$136)*(P$113:P$117))</f>
        <v>0</v>
      </c>
      <c r="Q213" s="81">
        <f ca="1">SUMPRODUCT((Work_Codes!$AC$129:$AO$129=$E213)*(Work_Codes!$AC$132:$AO$136)*(Q$113:Q$117))</f>
        <v>0</v>
      </c>
      <c r="R213" s="81">
        <f ca="1">SUMPRODUCT((Work_Codes!$AC$129:$AO$129=$E213)*(Work_Codes!$AC$132:$AO$136)*(R$113:R$117))</f>
        <v>0</v>
      </c>
      <c r="S213" s="81">
        <f ca="1">SUMPRODUCT((Work_Codes!$AC$129:$AO$129=$E213)*(Work_Codes!$AC$132:$AO$136)*(S$113:S$117))</f>
        <v>0</v>
      </c>
      <c r="T213" s="81">
        <f ca="1">SUMPRODUCT((Work_Codes!$AC$129:$AO$129=$E213)*(Work_Codes!$AC$132:$AO$136)*(T$113:T$117))</f>
        <v>0</v>
      </c>
    </row>
    <row r="214" spans="5:20" ht="12" customHeight="1" outlineLevel="2">
      <c r="E214" s="247" t="str">
        <f>GC!C65</f>
        <v>Augmentation</v>
      </c>
      <c r="F214" s="247"/>
      <c r="G214" s="247"/>
      <c r="H214" s="247"/>
      <c r="I214" s="247"/>
      <c r="J214" s="81">
        <f ca="1">SUMPRODUCT((Work_Codes!$AC$129:$AO$129=$E214)*(Work_Codes!$AC$132:$AO$136)*(J$113:J$117))</f>
        <v>0</v>
      </c>
      <c r="K214" s="81">
        <f ca="1">SUMPRODUCT((Work_Codes!$AC$129:$AO$129=$E214)*(Work_Codes!$AC$132:$AO$136)*(K$113:K$117))</f>
        <v>0</v>
      </c>
      <c r="L214" s="81">
        <f ca="1">SUMPRODUCT((Work_Codes!$AC$129:$AO$129=$E214)*(Work_Codes!$AC$132:$AO$136)*(L$113:L$117))</f>
        <v>0</v>
      </c>
      <c r="M214" s="81">
        <f ca="1">SUMPRODUCT((Work_Codes!$AC$129:$AO$129=$E214)*(Work_Codes!$AC$132:$AO$136)*(M$113:M$117))</f>
        <v>0</v>
      </c>
      <c r="N214" s="81">
        <f ca="1">SUMPRODUCT((Work_Codes!$AC$129:$AO$129=$E214)*(Work_Codes!$AC$132:$AO$136)*(N$113:N$117))</f>
        <v>0</v>
      </c>
      <c r="O214" s="81">
        <f ca="1">SUMPRODUCT((Work_Codes!$AC$129:$AO$129=$E214)*(Work_Codes!$AC$132:$AO$136)*(O$113:O$117))</f>
        <v>0</v>
      </c>
      <c r="P214" s="81">
        <f ca="1">SUMPRODUCT((Work_Codes!$AC$129:$AO$129=$E214)*(Work_Codes!$AC$132:$AO$136)*(P$113:P$117))</f>
        <v>0</v>
      </c>
      <c r="Q214" s="81">
        <f ca="1">SUMPRODUCT((Work_Codes!$AC$129:$AO$129=$E214)*(Work_Codes!$AC$132:$AO$136)*(Q$113:Q$117))</f>
        <v>0</v>
      </c>
      <c r="R214" s="81">
        <f ca="1">SUMPRODUCT((Work_Codes!$AC$129:$AO$129=$E214)*(Work_Codes!$AC$132:$AO$136)*(R$113:R$117))</f>
        <v>0</v>
      </c>
      <c r="S214" s="81">
        <f ca="1">SUMPRODUCT((Work_Codes!$AC$129:$AO$129=$E214)*(Work_Codes!$AC$132:$AO$136)*(S$113:S$117))</f>
        <v>0</v>
      </c>
      <c r="T214" s="81">
        <f ca="1">SUMPRODUCT((Work_Codes!$AC$129:$AO$129=$E214)*(Work_Codes!$AC$132:$AO$136)*(T$113:T$117))</f>
        <v>0</v>
      </c>
    </row>
    <row r="215" spans="5:20" ht="12" customHeight="1" outlineLevel="2">
      <c r="E215" s="247" t="str">
        <f>GC!C66</f>
        <v>IT capex</v>
      </c>
      <c r="F215" s="247"/>
      <c r="G215" s="247"/>
      <c r="H215" s="247"/>
      <c r="I215" s="247"/>
      <c r="J215" s="81">
        <f ca="1">SUMPRODUCT((Work_Codes!$AC$129:$AO$129=$E215)*(Work_Codes!$AC$132:$AO$136)*(J$113:J$117))</f>
        <v>0</v>
      </c>
      <c r="K215" s="81">
        <f ca="1">SUMPRODUCT((Work_Codes!$AC$129:$AO$129=$E215)*(Work_Codes!$AC$132:$AO$136)*(K$113:K$117))</f>
        <v>0</v>
      </c>
      <c r="L215" s="81">
        <f ca="1">SUMPRODUCT((Work_Codes!$AC$129:$AO$129=$E215)*(Work_Codes!$AC$132:$AO$136)*(L$113:L$117))</f>
        <v>0</v>
      </c>
      <c r="M215" s="81">
        <f ca="1">SUMPRODUCT((Work_Codes!$AC$129:$AO$129=$E215)*(Work_Codes!$AC$132:$AO$136)*(M$113:M$117))</f>
        <v>0</v>
      </c>
      <c r="N215" s="81">
        <f ca="1">SUMPRODUCT((Work_Codes!$AC$129:$AO$129=$E215)*(Work_Codes!$AC$132:$AO$136)*(N$113:N$117))</f>
        <v>0</v>
      </c>
      <c r="O215" s="81">
        <f ca="1">SUMPRODUCT((Work_Codes!$AC$129:$AO$129=$E215)*(Work_Codes!$AC$132:$AO$136)*(O$113:O$117))</f>
        <v>0</v>
      </c>
      <c r="P215" s="81">
        <f ca="1">SUMPRODUCT((Work_Codes!$AC$129:$AO$129=$E215)*(Work_Codes!$AC$132:$AO$136)*(P$113:P$117))</f>
        <v>0</v>
      </c>
      <c r="Q215" s="81">
        <f ca="1">SUMPRODUCT((Work_Codes!$AC$129:$AO$129=$E215)*(Work_Codes!$AC$132:$AO$136)*(Q$113:Q$117))</f>
        <v>0</v>
      </c>
      <c r="R215" s="81">
        <f ca="1">SUMPRODUCT((Work_Codes!$AC$129:$AO$129=$E215)*(Work_Codes!$AC$132:$AO$136)*(R$113:R$117))</f>
        <v>0</v>
      </c>
      <c r="S215" s="81">
        <f ca="1">SUMPRODUCT((Work_Codes!$AC$129:$AO$129=$E215)*(Work_Codes!$AC$132:$AO$136)*(S$113:S$117))</f>
        <v>0</v>
      </c>
      <c r="T215" s="81">
        <f ca="1">SUMPRODUCT((Work_Codes!$AC$129:$AO$129=$E215)*(Work_Codes!$AC$132:$AO$136)*(T$113:T$117))</f>
        <v>0</v>
      </c>
    </row>
    <row r="216" spans="5:20" ht="12" customHeight="1" outlineLevel="2">
      <c r="E216" s="247" t="str">
        <f>GC!C67</f>
        <v>SCADA</v>
      </c>
      <c r="F216" s="247"/>
      <c r="G216" s="247"/>
      <c r="H216" s="247"/>
      <c r="I216" s="247"/>
      <c r="J216" s="81">
        <f ca="1">SUMPRODUCT((Work_Codes!$AC$129:$AO$129=$E216)*(Work_Codes!$AC$132:$AO$136)*(J$113:J$117))</f>
        <v>0</v>
      </c>
      <c r="K216" s="81">
        <f ca="1">SUMPRODUCT((Work_Codes!$AC$129:$AO$129=$E216)*(Work_Codes!$AC$132:$AO$136)*(K$113:K$117))</f>
        <v>0</v>
      </c>
      <c r="L216" s="81">
        <f ca="1">SUMPRODUCT((Work_Codes!$AC$129:$AO$129=$E216)*(Work_Codes!$AC$132:$AO$136)*(L$113:L$117))</f>
        <v>0</v>
      </c>
      <c r="M216" s="81">
        <f ca="1">SUMPRODUCT((Work_Codes!$AC$129:$AO$129=$E216)*(Work_Codes!$AC$132:$AO$136)*(M$113:M$117))</f>
        <v>0</v>
      </c>
      <c r="N216" s="81">
        <f ca="1">SUMPRODUCT((Work_Codes!$AC$129:$AO$129=$E216)*(Work_Codes!$AC$132:$AO$136)*(N$113:N$117))</f>
        <v>0</v>
      </c>
      <c r="O216" s="81">
        <f ca="1">SUMPRODUCT((Work_Codes!$AC$129:$AO$129=$E216)*(Work_Codes!$AC$132:$AO$136)*(O$113:O$117))</f>
        <v>0</v>
      </c>
      <c r="P216" s="81">
        <f ca="1">SUMPRODUCT((Work_Codes!$AC$129:$AO$129=$E216)*(Work_Codes!$AC$132:$AO$136)*(P$113:P$117))</f>
        <v>0</v>
      </c>
      <c r="Q216" s="81">
        <f ca="1">SUMPRODUCT((Work_Codes!$AC$129:$AO$129=$E216)*(Work_Codes!$AC$132:$AO$136)*(Q$113:Q$117))</f>
        <v>0</v>
      </c>
      <c r="R216" s="81">
        <f ca="1">SUMPRODUCT((Work_Codes!$AC$129:$AO$129=$E216)*(Work_Codes!$AC$132:$AO$136)*(R$113:R$117))</f>
        <v>0</v>
      </c>
      <c r="S216" s="81">
        <f ca="1">SUMPRODUCT((Work_Codes!$AC$129:$AO$129=$E216)*(Work_Codes!$AC$132:$AO$136)*(S$113:S$117))</f>
        <v>0</v>
      </c>
      <c r="T216" s="81">
        <f ca="1">SUMPRODUCT((Work_Codes!$AC$129:$AO$129=$E216)*(Work_Codes!$AC$132:$AO$136)*(T$113:T$117))</f>
        <v>0</v>
      </c>
    </row>
    <row r="217" spans="5:20" ht="12" customHeight="1" outlineLevel="2">
      <c r="E217" s="247" t="str">
        <f>GC!C68</f>
        <v>Other</v>
      </c>
      <c r="F217" s="247"/>
      <c r="G217" s="247"/>
      <c r="H217" s="247"/>
      <c r="I217" s="247"/>
      <c r="J217" s="81">
        <f ca="1">SUMPRODUCT((Work_Codes!$AC$129:$AO$129=$E217)*(Work_Codes!$AC$132:$AO$136)*(J$113:J$117))</f>
        <v>0</v>
      </c>
      <c r="K217" s="81">
        <f ca="1">SUMPRODUCT((Work_Codes!$AC$129:$AO$129=$E217)*(Work_Codes!$AC$132:$AO$136)*(K$113:K$117))</f>
        <v>0</v>
      </c>
      <c r="L217" s="81">
        <f ca="1">SUMPRODUCT((Work_Codes!$AC$129:$AO$129=$E217)*(Work_Codes!$AC$132:$AO$136)*(L$113:L$117))</f>
        <v>0</v>
      </c>
      <c r="M217" s="81">
        <f ca="1">SUMPRODUCT((Work_Codes!$AC$129:$AO$129=$E217)*(Work_Codes!$AC$132:$AO$136)*(M$113:M$117))</f>
        <v>0</v>
      </c>
      <c r="N217" s="81">
        <f ca="1">SUMPRODUCT((Work_Codes!$AC$129:$AO$129=$E217)*(Work_Codes!$AC$132:$AO$136)*(N$113:N$117))</f>
        <v>0</v>
      </c>
      <c r="O217" s="81">
        <f ca="1">SUMPRODUCT((Work_Codes!$AC$129:$AO$129=$E217)*(Work_Codes!$AC$132:$AO$136)*(O$113:O$117))</f>
        <v>0</v>
      </c>
      <c r="P217" s="81">
        <f ca="1">SUMPRODUCT((Work_Codes!$AC$129:$AO$129=$E217)*(Work_Codes!$AC$132:$AO$136)*(P$113:P$117))</f>
        <v>0</v>
      </c>
      <c r="Q217" s="81">
        <f ca="1">SUMPRODUCT((Work_Codes!$AC$129:$AO$129=$E217)*(Work_Codes!$AC$132:$AO$136)*(Q$113:Q$117))</f>
        <v>0</v>
      </c>
      <c r="R217" s="81">
        <f ca="1">SUMPRODUCT((Work_Codes!$AC$129:$AO$129=$E217)*(Work_Codes!$AC$132:$AO$136)*(R$113:R$117))</f>
        <v>0</v>
      </c>
      <c r="S217" s="81">
        <f ca="1">SUMPRODUCT((Work_Codes!$AC$129:$AO$129=$E217)*(Work_Codes!$AC$132:$AO$136)*(S$113:S$117))</f>
        <v>0</v>
      </c>
      <c r="T217" s="81">
        <f ca="1">SUMPRODUCT((Work_Codes!$AC$129:$AO$129=$E217)*(Work_Codes!$AC$132:$AO$136)*(T$113:T$117))</f>
        <v>0</v>
      </c>
    </row>
    <row r="218" spans="5:20" outlineLevel="2">
      <c r="E218" s="247" t="str">
        <f>GC!C69</f>
        <v>Capitalised Leases</v>
      </c>
      <c r="F218" s="247"/>
      <c r="G218" s="247"/>
      <c r="H218" s="247"/>
      <c r="I218" s="247"/>
      <c r="J218" s="81">
        <f ca="1">SUMPRODUCT((Work_Codes!$AC$129:$AO$129=$E218)*(Work_Codes!$AC$132:$AO$136)*(J$113:J$117))</f>
        <v>0</v>
      </c>
      <c r="K218" s="81">
        <f ca="1">SUMPRODUCT((Work_Codes!$AC$129:$AO$129=$E218)*(Work_Codes!$AC$132:$AO$136)*(K$113:K$117))</f>
        <v>0</v>
      </c>
      <c r="L218" s="81">
        <f ca="1">SUMPRODUCT((Work_Codes!$AC$129:$AO$129=$E218)*(Work_Codes!$AC$132:$AO$136)*(L$113:L$117))</f>
        <v>0</v>
      </c>
      <c r="M218" s="81">
        <f ca="1">SUMPRODUCT((Work_Codes!$AC$129:$AO$129=$E218)*(Work_Codes!$AC$132:$AO$136)*(M$113:M$117))</f>
        <v>0</v>
      </c>
      <c r="N218" s="81">
        <f ca="1">SUMPRODUCT((Work_Codes!$AC$129:$AO$129=$E218)*(Work_Codes!$AC$132:$AO$136)*(N$113:N$117))</f>
        <v>0</v>
      </c>
      <c r="O218" s="81">
        <f ca="1">SUMPRODUCT((Work_Codes!$AC$129:$AO$129=$E218)*(Work_Codes!$AC$132:$AO$136)*(O$113:O$117))</f>
        <v>0</v>
      </c>
      <c r="P218" s="81">
        <f ca="1">SUMPRODUCT((Work_Codes!$AC$129:$AO$129=$E218)*(Work_Codes!$AC$132:$AO$136)*(P$113:P$117))</f>
        <v>0</v>
      </c>
      <c r="Q218" s="81">
        <f ca="1">SUMPRODUCT((Work_Codes!$AC$129:$AO$129=$E218)*(Work_Codes!$AC$132:$AO$136)*(Q$113:Q$117))</f>
        <v>0</v>
      </c>
      <c r="R218" s="81">
        <f ca="1">SUMPRODUCT((Work_Codes!$AC$129:$AO$129=$E218)*(Work_Codes!$AC$132:$AO$136)*(R$113:R$117))</f>
        <v>0</v>
      </c>
      <c r="S218" s="81">
        <f ca="1">SUMPRODUCT((Work_Codes!$AC$129:$AO$129=$E218)*(Work_Codes!$AC$132:$AO$136)*(S$113:S$117))</f>
        <v>0</v>
      </c>
      <c r="T218" s="81">
        <f ca="1">SUMPRODUCT((Work_Codes!$AC$129:$AO$129=$E218)*(Work_Codes!$AC$132:$AO$136)*(T$113:T$117))</f>
        <v>0</v>
      </c>
    </row>
    <row r="219" spans="5:20" ht="12" customHeight="1" outlineLevel="2">
      <c r="E219" s="247" t="str">
        <f>GC!C70</f>
        <v>Gas Extensions - Energy for the Regions</v>
      </c>
      <c r="F219" s="247"/>
      <c r="G219" s="247"/>
      <c r="H219" s="247"/>
      <c r="I219" s="247"/>
      <c r="J219" s="81">
        <f ca="1">SUMPRODUCT((Work_Codes!$AC$129:$AO$129=$E219)*(Work_Codes!$AC$132:$AO$136)*(J$113:J$117))</f>
        <v>0</v>
      </c>
      <c r="K219" s="81">
        <f ca="1">SUMPRODUCT((Work_Codes!$AC$129:$AO$129=$E219)*(Work_Codes!$AC$132:$AO$136)*(K$113:K$117))</f>
        <v>0</v>
      </c>
      <c r="L219" s="81">
        <f ca="1">SUMPRODUCT((Work_Codes!$AC$129:$AO$129=$E219)*(Work_Codes!$AC$132:$AO$136)*(L$113:L$117))</f>
        <v>0</v>
      </c>
      <c r="M219" s="81">
        <f ca="1">SUMPRODUCT((Work_Codes!$AC$129:$AO$129=$E219)*(Work_Codes!$AC$132:$AO$136)*(M$113:M$117))</f>
        <v>0</v>
      </c>
      <c r="N219" s="81">
        <f ca="1">SUMPRODUCT((Work_Codes!$AC$129:$AO$129=$E219)*(Work_Codes!$AC$132:$AO$136)*(N$113:N$117))</f>
        <v>0</v>
      </c>
      <c r="O219" s="81">
        <f ca="1">SUMPRODUCT((Work_Codes!$AC$129:$AO$129=$E219)*(Work_Codes!$AC$132:$AO$136)*(O$113:O$117))</f>
        <v>0</v>
      </c>
      <c r="P219" s="81">
        <f ca="1">SUMPRODUCT((Work_Codes!$AC$129:$AO$129=$E219)*(Work_Codes!$AC$132:$AO$136)*(P$113:P$117))</f>
        <v>0</v>
      </c>
      <c r="Q219" s="81">
        <f ca="1">SUMPRODUCT((Work_Codes!$AC$129:$AO$129=$E219)*(Work_Codes!$AC$132:$AO$136)*(Q$113:Q$117))</f>
        <v>0</v>
      </c>
      <c r="R219" s="81">
        <f ca="1">SUMPRODUCT((Work_Codes!$AC$129:$AO$129=$E219)*(Work_Codes!$AC$132:$AO$136)*(R$113:R$117))</f>
        <v>0</v>
      </c>
      <c r="S219" s="81">
        <f ca="1">SUMPRODUCT((Work_Codes!$AC$129:$AO$129=$E219)*(Work_Codes!$AC$132:$AO$136)*(S$113:S$117))</f>
        <v>0</v>
      </c>
      <c r="T219" s="81">
        <f ca="1">SUMPRODUCT((Work_Codes!$AC$129:$AO$129=$E219)*(Work_Codes!$AC$132:$AO$136)*(T$113:T$117))</f>
        <v>0</v>
      </c>
    </row>
    <row r="220" spans="5:20" ht="12" customHeight="1" outlineLevel="2">
      <c r="E220" s="247" t="str">
        <f>GC!C71</f>
        <v>Gas Extensions - Other</v>
      </c>
      <c r="F220" s="247"/>
      <c r="G220" s="247"/>
      <c r="H220" s="247"/>
      <c r="I220" s="247"/>
      <c r="J220" s="81">
        <f ca="1">SUMPRODUCT((Work_Codes!$AC$129:$AO$129=$E220)*(Work_Codes!$AC$132:$AO$136)*(J$113:J$117))</f>
        <v>0</v>
      </c>
      <c r="K220" s="81">
        <f ca="1">SUMPRODUCT((Work_Codes!$AC$129:$AO$129=$E220)*(Work_Codes!$AC$132:$AO$136)*(K$113:K$117))</f>
        <v>0</v>
      </c>
      <c r="L220" s="81">
        <f ca="1">SUMPRODUCT((Work_Codes!$AC$129:$AO$129=$E220)*(Work_Codes!$AC$132:$AO$136)*(L$113:L$117))</f>
        <v>0</v>
      </c>
      <c r="M220" s="81">
        <f ca="1">SUMPRODUCT((Work_Codes!$AC$129:$AO$129=$E220)*(Work_Codes!$AC$132:$AO$136)*(M$113:M$117))</f>
        <v>0</v>
      </c>
      <c r="N220" s="81">
        <f ca="1">SUMPRODUCT((Work_Codes!$AC$129:$AO$129=$E220)*(Work_Codes!$AC$132:$AO$136)*(N$113:N$117))</f>
        <v>0</v>
      </c>
      <c r="O220" s="81">
        <f ca="1">SUMPRODUCT((Work_Codes!$AC$129:$AO$129=$E220)*(Work_Codes!$AC$132:$AO$136)*(O$113:O$117))</f>
        <v>0</v>
      </c>
      <c r="P220" s="81">
        <f ca="1">SUMPRODUCT((Work_Codes!$AC$129:$AO$129=$E220)*(Work_Codes!$AC$132:$AO$136)*(P$113:P$117))</f>
        <v>0</v>
      </c>
      <c r="Q220" s="81">
        <f ca="1">SUMPRODUCT((Work_Codes!$AC$129:$AO$129=$E220)*(Work_Codes!$AC$132:$AO$136)*(Q$113:Q$117))</f>
        <v>0</v>
      </c>
      <c r="R220" s="81">
        <f ca="1">SUMPRODUCT((Work_Codes!$AC$129:$AO$129=$E220)*(Work_Codes!$AC$132:$AO$136)*(R$113:R$117))</f>
        <v>0</v>
      </c>
      <c r="S220" s="81">
        <f ca="1">SUMPRODUCT((Work_Codes!$AC$129:$AO$129=$E220)*(Work_Codes!$AC$132:$AO$136)*(S$113:S$117))</f>
        <v>0</v>
      </c>
      <c r="T220" s="81">
        <f ca="1">SUMPRODUCT((Work_Codes!$AC$129:$AO$129=$E220)*(Work_Codes!$AC$132:$AO$136)*(T$113:T$117))</f>
        <v>0</v>
      </c>
    </row>
    <row r="221" spans="5:20" ht="12" customHeight="1" outlineLevel="2">
      <c r="E221" s="247" t="str">
        <f>GC!C72</f>
        <v>Customer contributions</v>
      </c>
      <c r="F221" s="247"/>
      <c r="G221" s="247"/>
      <c r="H221" s="247"/>
      <c r="I221" s="247"/>
      <c r="J221" s="81">
        <f ca="1">SUMPRODUCT((Work_Codes!$AC$129:$AO$129=$E221)*(Work_Codes!$AC$132:$AO$136)*(J$113:J$117))</f>
        <v>0</v>
      </c>
      <c r="K221" s="81">
        <f ca="1">SUMPRODUCT((Work_Codes!$AC$129:$AO$129=$E221)*(Work_Codes!$AC$132:$AO$136)*(K$113:K$117))</f>
        <v>0</v>
      </c>
      <c r="L221" s="81">
        <f ca="1">SUMPRODUCT((Work_Codes!$AC$129:$AO$129=$E221)*(Work_Codes!$AC$132:$AO$136)*(L$113:L$117))</f>
        <v>0</v>
      </c>
      <c r="M221" s="81">
        <f ca="1">SUMPRODUCT((Work_Codes!$AC$129:$AO$129=$E221)*(Work_Codes!$AC$132:$AO$136)*(M$113:M$117))</f>
        <v>0</v>
      </c>
      <c r="N221" s="81">
        <f ca="1">SUMPRODUCT((Work_Codes!$AC$129:$AO$129=$E221)*(Work_Codes!$AC$132:$AO$136)*(N$113:N$117))</f>
        <v>0</v>
      </c>
      <c r="O221" s="81">
        <f ca="1">SUMPRODUCT((Work_Codes!$AC$129:$AO$129=$E221)*(Work_Codes!$AC$132:$AO$136)*(O$113:O$117))</f>
        <v>0</v>
      </c>
      <c r="P221" s="81">
        <f ca="1">SUMPRODUCT((Work_Codes!$AC$129:$AO$129=$E221)*(Work_Codes!$AC$132:$AO$136)*(P$113:P$117))</f>
        <v>0</v>
      </c>
      <c r="Q221" s="81">
        <f ca="1">SUMPRODUCT((Work_Codes!$AC$129:$AO$129=$E221)*(Work_Codes!$AC$132:$AO$136)*(Q$113:Q$117))</f>
        <v>0</v>
      </c>
      <c r="R221" s="81">
        <f ca="1">SUMPRODUCT((Work_Codes!$AC$129:$AO$129=$E221)*(Work_Codes!$AC$132:$AO$136)*(R$113:R$117))</f>
        <v>0</v>
      </c>
      <c r="S221" s="81">
        <f ca="1">SUMPRODUCT((Work_Codes!$AC$129:$AO$129=$E221)*(Work_Codes!$AC$132:$AO$136)*(S$113:S$117))</f>
        <v>0</v>
      </c>
      <c r="T221" s="81">
        <f ca="1">SUMPRODUCT((Work_Codes!$AC$129:$AO$129=$E221)*(Work_Codes!$AC$132:$AO$136)*(T$113:T$117))</f>
        <v>0</v>
      </c>
    </row>
    <row r="222" spans="5:20" ht="12" customHeight="1" outlineLevel="2">
      <c r="E222" s="247" t="str">
        <f>GC!C73</f>
        <v>Government contributions</v>
      </c>
      <c r="F222" s="247"/>
      <c r="G222" s="247"/>
      <c r="H222" s="247"/>
      <c r="I222" s="247"/>
      <c r="J222" s="81">
        <f ca="1">SUMPRODUCT((Work_Codes!$AC$129:$AO$129=$E222)*(Work_Codes!$AC$132:$AO$136)*(J$113:J$117))</f>
        <v>0</v>
      </c>
      <c r="K222" s="81">
        <f ca="1">SUMPRODUCT((Work_Codes!$AC$129:$AO$129=$E222)*(Work_Codes!$AC$132:$AO$136)*(K$113:K$117))</f>
        <v>0</v>
      </c>
      <c r="L222" s="81">
        <f ca="1">SUMPRODUCT((Work_Codes!$AC$129:$AO$129=$E222)*(Work_Codes!$AC$132:$AO$136)*(L$113:L$117))</f>
        <v>0</v>
      </c>
      <c r="M222" s="81">
        <f ca="1">SUMPRODUCT((Work_Codes!$AC$129:$AO$129=$E222)*(Work_Codes!$AC$132:$AO$136)*(M$113:M$117))</f>
        <v>0</v>
      </c>
      <c r="N222" s="81">
        <f ca="1">SUMPRODUCT((Work_Codes!$AC$129:$AO$129=$E222)*(Work_Codes!$AC$132:$AO$136)*(N$113:N$117))</f>
        <v>0</v>
      </c>
      <c r="O222" s="81">
        <f ca="1">SUMPRODUCT((Work_Codes!$AC$129:$AO$129=$E222)*(Work_Codes!$AC$132:$AO$136)*(O$113:O$117))</f>
        <v>0</v>
      </c>
      <c r="P222" s="81">
        <f ca="1">SUMPRODUCT((Work_Codes!$AC$129:$AO$129=$E222)*(Work_Codes!$AC$132:$AO$136)*(P$113:P$117))</f>
        <v>0</v>
      </c>
      <c r="Q222" s="81">
        <f ca="1">SUMPRODUCT((Work_Codes!$AC$129:$AO$129=$E222)*(Work_Codes!$AC$132:$AO$136)*(Q$113:Q$117))</f>
        <v>0</v>
      </c>
      <c r="R222" s="81">
        <f ca="1">SUMPRODUCT((Work_Codes!$AC$129:$AO$129=$E222)*(Work_Codes!$AC$132:$AO$136)*(R$113:R$117))</f>
        <v>0</v>
      </c>
      <c r="S222" s="81">
        <f ca="1">SUMPRODUCT((Work_Codes!$AC$129:$AO$129=$E222)*(Work_Codes!$AC$132:$AO$136)*(S$113:S$117))</f>
        <v>0</v>
      </c>
      <c r="T222" s="81">
        <f ca="1">SUMPRODUCT((Work_Codes!$AC$129:$AO$129=$E222)*(Work_Codes!$AC$132:$AO$136)*(T$113:T$117))</f>
        <v>0</v>
      </c>
    </row>
    <row r="223" spans="5:20" ht="12" customHeight="1" outlineLevel="2">
      <c r="E223" s="249" t="str">
        <f>"Total "&amp;D207</f>
        <v>Total Direct Costs</v>
      </c>
      <c r="F223" s="249"/>
      <c r="G223" s="249"/>
      <c r="H223" s="249"/>
      <c r="I223" s="249"/>
      <c r="J223" s="82">
        <f t="shared" ref="J223:T223" ca="1" si="23">SUM(J209:J222)</f>
        <v>0</v>
      </c>
      <c r="K223" s="82">
        <f t="shared" ca="1" si="23"/>
        <v>0</v>
      </c>
      <c r="L223" s="82">
        <f t="shared" ca="1" si="23"/>
        <v>0</v>
      </c>
      <c r="M223" s="82">
        <f t="shared" ca="1" si="23"/>
        <v>0</v>
      </c>
      <c r="N223" s="82">
        <f t="shared" ca="1" si="23"/>
        <v>3204350.2706936467</v>
      </c>
      <c r="O223" s="82">
        <f t="shared" ca="1" si="23"/>
        <v>1888644.1649879646</v>
      </c>
      <c r="P223" s="82">
        <f t="shared" ca="1" si="23"/>
        <v>3777882.2643789533</v>
      </c>
      <c r="Q223" s="82">
        <f t="shared" ca="1" si="23"/>
        <v>4636757.4773725364</v>
      </c>
      <c r="R223" s="82">
        <f t="shared" ca="1" si="23"/>
        <v>4912673.4644640796</v>
      </c>
      <c r="S223" s="82">
        <f t="shared" ca="1" si="23"/>
        <v>3590553.6342371097</v>
      </c>
      <c r="T223" s="82">
        <f t="shared" ca="1" si="23"/>
        <v>3252157.7122829542</v>
      </c>
    </row>
    <row r="224" spans="5:20" outlineLevel="2"/>
    <row r="225" spans="4:20" outlineLevel="2">
      <c r="D225" s="37" t="s">
        <v>216</v>
      </c>
    </row>
    <row r="226" spans="4:20" ht="5.9" customHeight="1" outlineLevel="2"/>
    <row r="227" spans="4:20" ht="12" customHeight="1" outlineLevel="2">
      <c r="E227" s="247" t="str">
        <f>GC!C60</f>
        <v>Mains replacement</v>
      </c>
      <c r="F227" s="247"/>
      <c r="G227" s="247"/>
      <c r="H227" s="247"/>
      <c r="I227" s="247"/>
      <c r="J227" s="81">
        <f ca="1">J209*(1+INDEX(J$35:J$37,MATCH(Work_Codes!$I$126,$D$35:$D$37,0)))</f>
        <v>0</v>
      </c>
      <c r="K227" s="81">
        <f ca="1">K209*(1+INDEX(K$35:K$37,MATCH(Work_Codes!$I$126,$D$35:$D$37,0)))</f>
        <v>0</v>
      </c>
      <c r="L227" s="81">
        <f ca="1">L209*(1+INDEX(L$35:L$37,MATCH(Work_Codes!$I$126,$D$35:$D$37,0)))</f>
        <v>0</v>
      </c>
      <c r="M227" s="81">
        <f ca="1">M209*(1+INDEX(M$35:M$37,MATCH(Work_Codes!$I$126,$D$35:$D$37,0)))</f>
        <v>0</v>
      </c>
      <c r="N227" s="81">
        <f ca="1">N209*(1+INDEX(N$35:N$37,MATCH(Work_Codes!$I$126,$D$35:$D$37,0)))</f>
        <v>0</v>
      </c>
      <c r="O227" s="81">
        <f ca="1">O209*(1+INDEX(O$35:O$37,MATCH(Work_Codes!$I$126,$D$35:$D$37,0)))</f>
        <v>0</v>
      </c>
      <c r="P227" s="81">
        <f ca="1">P209*(1+INDEX(P$35:P$37,MATCH(Work_Codes!$I$126,$D$35:$D$37,0)))</f>
        <v>0</v>
      </c>
      <c r="Q227" s="81">
        <f ca="1">Q209*(1+INDEX(Q$35:Q$37,MATCH(Work_Codes!$I$126,$D$35:$D$37,0)))</f>
        <v>0</v>
      </c>
      <c r="R227" s="81">
        <f ca="1">R209*(1+INDEX(R$35:R$37,MATCH(Work_Codes!$I$126,$D$35:$D$37,0)))</f>
        <v>0</v>
      </c>
      <c r="S227" s="81">
        <f ca="1">S209*(1+INDEX(S$35:S$37,MATCH(Work_Codes!$I$126,$D$35:$D$37,0)))</f>
        <v>0</v>
      </c>
      <c r="T227" s="81">
        <f ca="1">T209*(1+INDEX(T$35:T$37,MATCH(Work_Codes!$I$126,$D$35:$D$37,0)))</f>
        <v>0</v>
      </c>
    </row>
    <row r="228" spans="4:20" ht="12" customHeight="1" outlineLevel="2">
      <c r="E228" s="247" t="str">
        <f>GC!C61</f>
        <v>Residential new customer connections</v>
      </c>
      <c r="F228" s="247"/>
      <c r="G228" s="247"/>
      <c r="H228" s="247"/>
      <c r="I228" s="247"/>
      <c r="J228" s="81">
        <f ca="1">J210*(1+INDEX(J$35:J$37,MATCH(Work_Codes!$I$126,$D$35:$D$37,0)))</f>
        <v>0</v>
      </c>
      <c r="K228" s="81">
        <f ca="1">K210*(1+INDEX(K$35:K$37,MATCH(Work_Codes!$I$126,$D$35:$D$37,0)))</f>
        <v>0</v>
      </c>
      <c r="L228" s="81">
        <f ca="1">L210*(1+INDEX(L$35:L$37,MATCH(Work_Codes!$I$126,$D$35:$D$37,0)))</f>
        <v>0</v>
      </c>
      <c r="M228" s="81">
        <f ca="1">M210*(1+INDEX(M$35:M$37,MATCH(Work_Codes!$I$126,$D$35:$D$37,0)))</f>
        <v>0</v>
      </c>
      <c r="N228" s="81">
        <f ca="1">N210*(1+INDEX(N$35:N$37,MATCH(Work_Codes!$I$126,$D$35:$D$37,0)))</f>
        <v>0</v>
      </c>
      <c r="O228" s="81">
        <f ca="1">O210*(1+INDEX(O$35:O$37,MATCH(Work_Codes!$I$126,$D$35:$D$37,0)))</f>
        <v>0</v>
      </c>
      <c r="P228" s="81">
        <f ca="1">P210*(1+INDEX(P$35:P$37,MATCH(Work_Codes!$I$126,$D$35:$D$37,0)))</f>
        <v>0</v>
      </c>
      <c r="Q228" s="81">
        <f ca="1">Q210*(1+INDEX(Q$35:Q$37,MATCH(Work_Codes!$I$126,$D$35:$D$37,0)))</f>
        <v>0</v>
      </c>
      <c r="R228" s="81">
        <f ca="1">R210*(1+INDEX(R$35:R$37,MATCH(Work_Codes!$I$126,$D$35:$D$37,0)))</f>
        <v>0</v>
      </c>
      <c r="S228" s="81">
        <f ca="1">S210*(1+INDEX(S$35:S$37,MATCH(Work_Codes!$I$126,$D$35:$D$37,0)))</f>
        <v>0</v>
      </c>
      <c r="T228" s="81">
        <f ca="1">T210*(1+INDEX(T$35:T$37,MATCH(Work_Codes!$I$126,$D$35:$D$37,0)))</f>
        <v>0</v>
      </c>
    </row>
    <row r="229" spans="4:20" ht="12" customHeight="1" outlineLevel="2">
      <c r="E229" s="247" t="str">
        <f>GC!C62</f>
        <v>Commercial and industrial new customer connections</v>
      </c>
      <c r="F229" s="247"/>
      <c r="G229" s="247"/>
      <c r="H229" s="247"/>
      <c r="I229" s="247"/>
      <c r="J229" s="81">
        <f ca="1">J211*(1+INDEX(J$35:J$37,MATCH(Work_Codes!$I$126,$D$35:$D$37,0)))</f>
        <v>0</v>
      </c>
      <c r="K229" s="81">
        <f ca="1">K211*(1+INDEX(K$35:K$37,MATCH(Work_Codes!$I$126,$D$35:$D$37,0)))</f>
        <v>0</v>
      </c>
      <c r="L229" s="81">
        <f ca="1">L211*(1+INDEX(L$35:L$37,MATCH(Work_Codes!$I$126,$D$35:$D$37,0)))</f>
        <v>0</v>
      </c>
      <c r="M229" s="81">
        <f ca="1">M211*(1+INDEX(M$35:M$37,MATCH(Work_Codes!$I$126,$D$35:$D$37,0)))</f>
        <v>0</v>
      </c>
      <c r="N229" s="81">
        <f ca="1">N211*(1+INDEX(N$35:N$37,MATCH(Work_Codes!$I$126,$D$35:$D$37,0)))</f>
        <v>0</v>
      </c>
      <c r="O229" s="81">
        <f ca="1">O211*(1+INDEX(O$35:O$37,MATCH(Work_Codes!$I$126,$D$35:$D$37,0)))</f>
        <v>0</v>
      </c>
      <c r="P229" s="81">
        <f ca="1">P211*(1+INDEX(P$35:P$37,MATCH(Work_Codes!$I$126,$D$35:$D$37,0)))</f>
        <v>0</v>
      </c>
      <c r="Q229" s="81">
        <f ca="1">Q211*(1+INDEX(Q$35:Q$37,MATCH(Work_Codes!$I$126,$D$35:$D$37,0)))</f>
        <v>0</v>
      </c>
      <c r="R229" s="81">
        <f ca="1">R211*(1+INDEX(R$35:R$37,MATCH(Work_Codes!$I$126,$D$35:$D$37,0)))</f>
        <v>0</v>
      </c>
      <c r="S229" s="81">
        <f ca="1">S211*(1+INDEX(S$35:S$37,MATCH(Work_Codes!$I$126,$D$35:$D$37,0)))</f>
        <v>0</v>
      </c>
      <c r="T229" s="81">
        <f ca="1">T211*(1+INDEX(T$35:T$37,MATCH(Work_Codes!$I$126,$D$35:$D$37,0)))</f>
        <v>0</v>
      </c>
    </row>
    <row r="230" spans="4:20" ht="12" customHeight="1" outlineLevel="2">
      <c r="E230" s="247" t="str">
        <f>GC!C63</f>
        <v>Residential meter replacement</v>
      </c>
      <c r="F230" s="247"/>
      <c r="G230" s="247"/>
      <c r="H230" s="247"/>
      <c r="I230" s="247"/>
      <c r="J230" s="81">
        <f ca="1">J212*(1+INDEX(J$35:J$37,MATCH(Work_Codes!$I$126,$D$35:$D$37,0)))</f>
        <v>0</v>
      </c>
      <c r="K230" s="81">
        <f ca="1">K212*(1+INDEX(K$35:K$37,MATCH(Work_Codes!$I$126,$D$35:$D$37,0)))</f>
        <v>0</v>
      </c>
      <c r="L230" s="81">
        <f ca="1">L212*(1+INDEX(L$35:L$37,MATCH(Work_Codes!$I$126,$D$35:$D$37,0)))</f>
        <v>0</v>
      </c>
      <c r="M230" s="81">
        <f ca="1">M212*(1+INDEX(M$35:M$37,MATCH(Work_Codes!$I$126,$D$35:$D$37,0)))</f>
        <v>0</v>
      </c>
      <c r="N230" s="81">
        <f ca="1">N212*(1+INDEX(N$35:N$37,MATCH(Work_Codes!$I$126,$D$35:$D$37,0)))</f>
        <v>3325189.5474092909</v>
      </c>
      <c r="O230" s="81">
        <f ca="1">O212*(1+INDEX(O$35:O$37,MATCH(Work_Codes!$I$126,$D$35:$D$37,0)))</f>
        <v>1951505.7389307767</v>
      </c>
      <c r="P230" s="81">
        <f ca="1">P212*(1+INDEX(P$35:P$37,MATCH(Work_Codes!$I$126,$D$35:$D$37,0)))</f>
        <v>3878950.6660576495</v>
      </c>
      <c r="Q230" s="81">
        <f ca="1">Q212*(1+INDEX(Q$35:Q$37,MATCH(Work_Codes!$I$126,$D$35:$D$37,0)))</f>
        <v>4757594.1006277036</v>
      </c>
      <c r="R230" s="81">
        <f ca="1">R212*(1+INDEX(R$35:R$37,MATCH(Work_Codes!$I$126,$D$35:$D$37,0)))</f>
        <v>5044691.7678896841</v>
      </c>
      <c r="S230" s="81">
        <f ca="1">S212*(1+INDEX(S$35:S$37,MATCH(Work_Codes!$I$126,$D$35:$D$37,0)))</f>
        <v>3693050.2207309967</v>
      </c>
      <c r="T230" s="81">
        <f ca="1">T212*(1+INDEX(T$35:T$37,MATCH(Work_Codes!$I$126,$D$35:$D$37,0)))</f>
        <v>3349463.5010124962</v>
      </c>
    </row>
    <row r="231" spans="4:20" ht="12" customHeight="1" outlineLevel="2">
      <c r="E231" s="247" t="str">
        <f>GC!C64</f>
        <v>Commercial and industrial meter replacement</v>
      </c>
      <c r="F231" s="247"/>
      <c r="G231" s="247"/>
      <c r="H231" s="247"/>
      <c r="I231" s="247"/>
      <c r="J231" s="81">
        <f ca="1">J213*(1+INDEX(J$35:J$37,MATCH(Work_Codes!$I$126,$D$35:$D$37,0)))</f>
        <v>0</v>
      </c>
      <c r="K231" s="81">
        <f ca="1">K213*(1+INDEX(K$35:K$37,MATCH(Work_Codes!$I$126,$D$35:$D$37,0)))</f>
        <v>0</v>
      </c>
      <c r="L231" s="81">
        <f ca="1">L213*(1+INDEX(L$35:L$37,MATCH(Work_Codes!$I$126,$D$35:$D$37,0)))</f>
        <v>0</v>
      </c>
      <c r="M231" s="81">
        <f ca="1">M213*(1+INDEX(M$35:M$37,MATCH(Work_Codes!$I$126,$D$35:$D$37,0)))</f>
        <v>0</v>
      </c>
      <c r="N231" s="81">
        <f ca="1">N213*(1+INDEX(N$35:N$37,MATCH(Work_Codes!$I$126,$D$35:$D$37,0)))</f>
        <v>0</v>
      </c>
      <c r="O231" s="81">
        <f ca="1">O213*(1+INDEX(O$35:O$37,MATCH(Work_Codes!$I$126,$D$35:$D$37,0)))</f>
        <v>0</v>
      </c>
      <c r="P231" s="81">
        <f ca="1">P213*(1+INDEX(P$35:P$37,MATCH(Work_Codes!$I$126,$D$35:$D$37,0)))</f>
        <v>0</v>
      </c>
      <c r="Q231" s="81">
        <f ca="1">Q213*(1+INDEX(Q$35:Q$37,MATCH(Work_Codes!$I$126,$D$35:$D$37,0)))</f>
        <v>0</v>
      </c>
      <c r="R231" s="81">
        <f ca="1">R213*(1+INDEX(R$35:R$37,MATCH(Work_Codes!$I$126,$D$35:$D$37,0)))</f>
        <v>0</v>
      </c>
      <c r="S231" s="81">
        <f ca="1">S213*(1+INDEX(S$35:S$37,MATCH(Work_Codes!$I$126,$D$35:$D$37,0)))</f>
        <v>0</v>
      </c>
      <c r="T231" s="81">
        <f ca="1">T213*(1+INDEX(T$35:T$37,MATCH(Work_Codes!$I$126,$D$35:$D$37,0)))</f>
        <v>0</v>
      </c>
    </row>
    <row r="232" spans="4:20" ht="12" customHeight="1" outlineLevel="2">
      <c r="E232" s="247" t="str">
        <f>GC!C65</f>
        <v>Augmentation</v>
      </c>
      <c r="F232" s="247"/>
      <c r="G232" s="247"/>
      <c r="H232" s="247"/>
      <c r="I232" s="247"/>
      <c r="J232" s="81">
        <f ca="1">J214*(1+INDEX(J$35:J$37,MATCH(Work_Codes!$I$126,$D$35:$D$37,0)))</f>
        <v>0</v>
      </c>
      <c r="K232" s="81">
        <f ca="1">K214*(1+INDEX(K$35:K$37,MATCH(Work_Codes!$I$126,$D$35:$D$37,0)))</f>
        <v>0</v>
      </c>
      <c r="L232" s="81">
        <f ca="1">L214*(1+INDEX(L$35:L$37,MATCH(Work_Codes!$I$126,$D$35:$D$37,0)))</f>
        <v>0</v>
      </c>
      <c r="M232" s="81">
        <f ca="1">M214*(1+INDEX(M$35:M$37,MATCH(Work_Codes!$I$126,$D$35:$D$37,0)))</f>
        <v>0</v>
      </c>
      <c r="N232" s="81">
        <f ca="1">N214*(1+INDEX(N$35:N$37,MATCH(Work_Codes!$I$126,$D$35:$D$37,0)))</f>
        <v>0</v>
      </c>
      <c r="O232" s="81">
        <f ca="1">O214*(1+INDEX(O$35:O$37,MATCH(Work_Codes!$I$126,$D$35:$D$37,0)))</f>
        <v>0</v>
      </c>
      <c r="P232" s="81">
        <f ca="1">P214*(1+INDEX(P$35:P$37,MATCH(Work_Codes!$I$126,$D$35:$D$37,0)))</f>
        <v>0</v>
      </c>
      <c r="Q232" s="81">
        <f ca="1">Q214*(1+INDEX(Q$35:Q$37,MATCH(Work_Codes!$I$126,$D$35:$D$37,0)))</f>
        <v>0</v>
      </c>
      <c r="R232" s="81">
        <f ca="1">R214*(1+INDEX(R$35:R$37,MATCH(Work_Codes!$I$126,$D$35:$D$37,0)))</f>
        <v>0</v>
      </c>
      <c r="S232" s="81">
        <f ca="1">S214*(1+INDEX(S$35:S$37,MATCH(Work_Codes!$I$126,$D$35:$D$37,0)))</f>
        <v>0</v>
      </c>
      <c r="T232" s="81">
        <f ca="1">T214*(1+INDEX(T$35:T$37,MATCH(Work_Codes!$I$126,$D$35:$D$37,0)))</f>
        <v>0</v>
      </c>
    </row>
    <row r="233" spans="4:20" ht="12" customHeight="1" outlineLevel="2">
      <c r="E233" s="247" t="str">
        <f>GC!C66</f>
        <v>IT capex</v>
      </c>
      <c r="F233" s="247"/>
      <c r="G233" s="247"/>
      <c r="H233" s="247"/>
      <c r="I233" s="247"/>
      <c r="J233" s="81">
        <f ca="1">J215*(1+INDEX(J$35:J$37,MATCH(Work_Codes!$I$126,$D$35:$D$37,0)))</f>
        <v>0</v>
      </c>
      <c r="K233" s="81">
        <f ca="1">K215*(1+INDEX(K$35:K$37,MATCH(Work_Codes!$I$126,$D$35:$D$37,0)))</f>
        <v>0</v>
      </c>
      <c r="L233" s="81">
        <f ca="1">L215*(1+INDEX(L$35:L$37,MATCH(Work_Codes!$I$126,$D$35:$D$37,0)))</f>
        <v>0</v>
      </c>
      <c r="M233" s="81">
        <f ca="1">M215*(1+INDEX(M$35:M$37,MATCH(Work_Codes!$I$126,$D$35:$D$37,0)))</f>
        <v>0</v>
      </c>
      <c r="N233" s="81">
        <f ca="1">N215*(1+INDEX(N$35:N$37,MATCH(Work_Codes!$I$126,$D$35:$D$37,0)))</f>
        <v>0</v>
      </c>
      <c r="O233" s="81">
        <f ca="1">O215*(1+INDEX(O$35:O$37,MATCH(Work_Codes!$I$126,$D$35:$D$37,0)))</f>
        <v>0</v>
      </c>
      <c r="P233" s="81">
        <f ca="1">P215*(1+INDEX(P$35:P$37,MATCH(Work_Codes!$I$126,$D$35:$D$37,0)))</f>
        <v>0</v>
      </c>
      <c r="Q233" s="81">
        <f ca="1">Q215*(1+INDEX(Q$35:Q$37,MATCH(Work_Codes!$I$126,$D$35:$D$37,0)))</f>
        <v>0</v>
      </c>
      <c r="R233" s="81">
        <f ca="1">R215*(1+INDEX(R$35:R$37,MATCH(Work_Codes!$I$126,$D$35:$D$37,0)))</f>
        <v>0</v>
      </c>
      <c r="S233" s="81">
        <f ca="1">S215*(1+INDEX(S$35:S$37,MATCH(Work_Codes!$I$126,$D$35:$D$37,0)))</f>
        <v>0</v>
      </c>
      <c r="T233" s="81">
        <f ca="1">T215*(1+INDEX(T$35:T$37,MATCH(Work_Codes!$I$126,$D$35:$D$37,0)))</f>
        <v>0</v>
      </c>
    </row>
    <row r="234" spans="4:20" ht="12" customHeight="1" outlineLevel="2">
      <c r="E234" s="247" t="str">
        <f>GC!C67</f>
        <v>SCADA</v>
      </c>
      <c r="F234" s="247"/>
      <c r="G234" s="247"/>
      <c r="H234" s="247"/>
      <c r="I234" s="247"/>
      <c r="J234" s="81">
        <f ca="1">J216*(1+INDEX(J$35:J$37,MATCH(Work_Codes!$I$126,$D$35:$D$37,0)))</f>
        <v>0</v>
      </c>
      <c r="K234" s="81">
        <f ca="1">K216*(1+INDEX(K$35:K$37,MATCH(Work_Codes!$I$126,$D$35:$D$37,0)))</f>
        <v>0</v>
      </c>
      <c r="L234" s="81">
        <f ca="1">L216*(1+INDEX(L$35:L$37,MATCH(Work_Codes!$I$126,$D$35:$D$37,0)))</f>
        <v>0</v>
      </c>
      <c r="M234" s="81">
        <f ca="1">M216*(1+INDEX(M$35:M$37,MATCH(Work_Codes!$I$126,$D$35:$D$37,0)))</f>
        <v>0</v>
      </c>
      <c r="N234" s="81">
        <f ca="1">N216*(1+INDEX(N$35:N$37,MATCH(Work_Codes!$I$126,$D$35:$D$37,0)))</f>
        <v>0</v>
      </c>
      <c r="O234" s="81">
        <f ca="1">O216*(1+INDEX(O$35:O$37,MATCH(Work_Codes!$I$126,$D$35:$D$37,0)))</f>
        <v>0</v>
      </c>
      <c r="P234" s="81">
        <f ca="1">P216*(1+INDEX(P$35:P$37,MATCH(Work_Codes!$I$126,$D$35:$D$37,0)))</f>
        <v>0</v>
      </c>
      <c r="Q234" s="81">
        <f ca="1">Q216*(1+INDEX(Q$35:Q$37,MATCH(Work_Codes!$I$126,$D$35:$D$37,0)))</f>
        <v>0</v>
      </c>
      <c r="R234" s="81">
        <f ca="1">R216*(1+INDEX(R$35:R$37,MATCH(Work_Codes!$I$126,$D$35:$D$37,0)))</f>
        <v>0</v>
      </c>
      <c r="S234" s="81">
        <f ca="1">S216*(1+INDEX(S$35:S$37,MATCH(Work_Codes!$I$126,$D$35:$D$37,0)))</f>
        <v>0</v>
      </c>
      <c r="T234" s="81">
        <f ca="1">T216*(1+INDEX(T$35:T$37,MATCH(Work_Codes!$I$126,$D$35:$D$37,0)))</f>
        <v>0</v>
      </c>
    </row>
    <row r="235" spans="4:20" ht="12" customHeight="1" outlineLevel="2">
      <c r="E235" s="247" t="str">
        <f>GC!C68</f>
        <v>Other</v>
      </c>
      <c r="F235" s="247"/>
      <c r="G235" s="247"/>
      <c r="H235" s="247"/>
      <c r="I235" s="247"/>
      <c r="J235" s="81">
        <f ca="1">J217*(1+INDEX(J$35:J$37,MATCH(Work_Codes!$I$126,$D$35:$D$37,0)))</f>
        <v>0</v>
      </c>
      <c r="K235" s="81">
        <f ca="1">K217*(1+INDEX(K$35:K$37,MATCH(Work_Codes!$I$126,$D$35:$D$37,0)))</f>
        <v>0</v>
      </c>
      <c r="L235" s="81">
        <f ca="1">L217*(1+INDEX(L$35:L$37,MATCH(Work_Codes!$I$126,$D$35:$D$37,0)))</f>
        <v>0</v>
      </c>
      <c r="M235" s="81">
        <f ca="1">M217*(1+INDEX(M$35:M$37,MATCH(Work_Codes!$I$126,$D$35:$D$37,0)))</f>
        <v>0</v>
      </c>
      <c r="N235" s="81">
        <f ca="1">N217*(1+INDEX(N$35:N$37,MATCH(Work_Codes!$I$126,$D$35:$D$37,0)))</f>
        <v>0</v>
      </c>
      <c r="O235" s="81">
        <f ca="1">O217*(1+INDEX(O$35:O$37,MATCH(Work_Codes!$I$126,$D$35:$D$37,0)))</f>
        <v>0</v>
      </c>
      <c r="P235" s="81">
        <f ca="1">P217*(1+INDEX(P$35:P$37,MATCH(Work_Codes!$I$126,$D$35:$D$37,0)))</f>
        <v>0</v>
      </c>
      <c r="Q235" s="81">
        <f ca="1">Q217*(1+INDEX(Q$35:Q$37,MATCH(Work_Codes!$I$126,$D$35:$D$37,0)))</f>
        <v>0</v>
      </c>
      <c r="R235" s="81">
        <f ca="1">R217*(1+INDEX(R$35:R$37,MATCH(Work_Codes!$I$126,$D$35:$D$37,0)))</f>
        <v>0</v>
      </c>
      <c r="S235" s="81">
        <f ca="1">S217*(1+INDEX(S$35:S$37,MATCH(Work_Codes!$I$126,$D$35:$D$37,0)))</f>
        <v>0</v>
      </c>
      <c r="T235" s="81">
        <f ca="1">T217*(1+INDEX(T$35:T$37,MATCH(Work_Codes!$I$126,$D$35:$D$37,0)))</f>
        <v>0</v>
      </c>
    </row>
    <row r="236" spans="4:20" outlineLevel="2">
      <c r="E236" s="247" t="str">
        <f>GC!C69</f>
        <v>Capitalised Leases</v>
      </c>
      <c r="F236" s="247"/>
      <c r="G236" s="247"/>
      <c r="H236" s="247"/>
      <c r="I236" s="247"/>
      <c r="J236" s="81">
        <f ca="1">J218*(1+INDEX(J$35:J$37,MATCH(Work_Codes!$I$126,$D$35:$D$37,0)))</f>
        <v>0</v>
      </c>
      <c r="K236" s="81">
        <f ca="1">K218*(1+INDEX(K$35:K$37,MATCH(Work_Codes!$I$126,$D$35:$D$37,0)))</f>
        <v>0</v>
      </c>
      <c r="L236" s="81">
        <f ca="1">L218*(1+INDEX(L$35:L$37,MATCH(Work_Codes!$I$126,$D$35:$D$37,0)))</f>
        <v>0</v>
      </c>
      <c r="M236" s="81">
        <f ca="1">M218*(1+INDEX(M$35:M$37,MATCH(Work_Codes!$I$126,$D$35:$D$37,0)))</f>
        <v>0</v>
      </c>
      <c r="N236" s="81">
        <f ca="1">N218*(1+INDEX(N$35:N$37,MATCH(Work_Codes!$I$126,$D$35:$D$37,0)))</f>
        <v>0</v>
      </c>
      <c r="O236" s="81">
        <f ca="1">O218*(1+INDEX(O$35:O$37,MATCH(Work_Codes!$I$126,$D$35:$D$37,0)))</f>
        <v>0</v>
      </c>
      <c r="P236" s="81">
        <f ca="1">P218*(1+INDEX(P$35:P$37,MATCH(Work_Codes!$I$126,$D$35:$D$37,0)))</f>
        <v>0</v>
      </c>
      <c r="Q236" s="81">
        <f ca="1">Q218*(1+INDEX(Q$35:Q$37,MATCH(Work_Codes!$I$126,$D$35:$D$37,0)))</f>
        <v>0</v>
      </c>
      <c r="R236" s="81">
        <f ca="1">R218*(1+INDEX(R$35:R$37,MATCH(Work_Codes!$I$126,$D$35:$D$37,0)))</f>
        <v>0</v>
      </c>
      <c r="S236" s="81">
        <f ca="1">S218*(1+INDEX(S$35:S$37,MATCH(Work_Codes!$I$126,$D$35:$D$37,0)))</f>
        <v>0</v>
      </c>
      <c r="T236" s="81">
        <f ca="1">T218*(1+INDEX(T$35:T$37,MATCH(Work_Codes!$I$126,$D$35:$D$37,0)))</f>
        <v>0</v>
      </c>
    </row>
    <row r="237" spans="4:20" ht="12" customHeight="1" outlineLevel="2">
      <c r="E237" s="247" t="str">
        <f>GC!C70</f>
        <v>Gas Extensions - Energy for the Regions</v>
      </c>
      <c r="F237" s="247"/>
      <c r="G237" s="247"/>
      <c r="H237" s="247"/>
      <c r="I237" s="247"/>
      <c r="J237" s="81">
        <f ca="1">J219*(1+INDEX(J$35:J$37,MATCH(Work_Codes!$I$126,$D$35:$D$37,0)))</f>
        <v>0</v>
      </c>
      <c r="K237" s="81">
        <f ca="1">K219*(1+INDEX(K$35:K$37,MATCH(Work_Codes!$I$126,$D$35:$D$37,0)))</f>
        <v>0</v>
      </c>
      <c r="L237" s="81">
        <f ca="1">L219*(1+INDEX(L$35:L$37,MATCH(Work_Codes!$I$126,$D$35:$D$37,0)))</f>
        <v>0</v>
      </c>
      <c r="M237" s="81">
        <f ca="1">M219*(1+INDEX(M$35:M$37,MATCH(Work_Codes!$I$126,$D$35:$D$37,0)))</f>
        <v>0</v>
      </c>
      <c r="N237" s="81">
        <f ca="1">N219*(1+INDEX(N$35:N$37,MATCH(Work_Codes!$I$126,$D$35:$D$37,0)))</f>
        <v>0</v>
      </c>
      <c r="O237" s="81">
        <f ca="1">O219*(1+INDEX(O$35:O$37,MATCH(Work_Codes!$I$126,$D$35:$D$37,0)))</f>
        <v>0</v>
      </c>
      <c r="P237" s="81">
        <f ca="1">P219*(1+INDEX(P$35:P$37,MATCH(Work_Codes!$I$126,$D$35:$D$37,0)))</f>
        <v>0</v>
      </c>
      <c r="Q237" s="81">
        <f ca="1">Q219*(1+INDEX(Q$35:Q$37,MATCH(Work_Codes!$I$126,$D$35:$D$37,0)))</f>
        <v>0</v>
      </c>
      <c r="R237" s="81">
        <f ca="1">R219*(1+INDEX(R$35:R$37,MATCH(Work_Codes!$I$126,$D$35:$D$37,0)))</f>
        <v>0</v>
      </c>
      <c r="S237" s="81">
        <f ca="1">S219*(1+INDEX(S$35:S$37,MATCH(Work_Codes!$I$126,$D$35:$D$37,0)))</f>
        <v>0</v>
      </c>
      <c r="T237" s="81">
        <f ca="1">T219*(1+INDEX(T$35:T$37,MATCH(Work_Codes!$I$126,$D$35:$D$37,0)))</f>
        <v>0</v>
      </c>
    </row>
    <row r="238" spans="4:20" ht="12" customHeight="1" outlineLevel="2">
      <c r="E238" s="247" t="str">
        <f>GC!C71</f>
        <v>Gas Extensions - Other</v>
      </c>
      <c r="F238" s="247"/>
      <c r="G238" s="247"/>
      <c r="H238" s="247"/>
      <c r="I238" s="247"/>
      <c r="J238" s="81">
        <f ca="1">J220*(1+INDEX(J$35:J$37,MATCH(Work_Codes!$I$126,$D$35:$D$37,0)))</f>
        <v>0</v>
      </c>
      <c r="K238" s="81">
        <f ca="1">K220*(1+INDEX(K$35:K$37,MATCH(Work_Codes!$I$126,$D$35:$D$37,0)))</f>
        <v>0</v>
      </c>
      <c r="L238" s="81">
        <f ca="1">L220*(1+INDEX(L$35:L$37,MATCH(Work_Codes!$I$126,$D$35:$D$37,0)))</f>
        <v>0</v>
      </c>
      <c r="M238" s="81">
        <f ca="1">M220*(1+INDEX(M$35:M$37,MATCH(Work_Codes!$I$126,$D$35:$D$37,0)))</f>
        <v>0</v>
      </c>
      <c r="N238" s="81">
        <f ca="1">N220*(1+INDEX(N$35:N$37,MATCH(Work_Codes!$I$126,$D$35:$D$37,0)))</f>
        <v>0</v>
      </c>
      <c r="O238" s="81">
        <f ca="1">O220*(1+INDEX(O$35:O$37,MATCH(Work_Codes!$I$126,$D$35:$D$37,0)))</f>
        <v>0</v>
      </c>
      <c r="P238" s="81">
        <f ca="1">P220*(1+INDEX(P$35:P$37,MATCH(Work_Codes!$I$126,$D$35:$D$37,0)))</f>
        <v>0</v>
      </c>
      <c r="Q238" s="81">
        <f ca="1">Q220*(1+INDEX(Q$35:Q$37,MATCH(Work_Codes!$I$126,$D$35:$D$37,0)))</f>
        <v>0</v>
      </c>
      <c r="R238" s="81">
        <f ca="1">R220*(1+INDEX(R$35:R$37,MATCH(Work_Codes!$I$126,$D$35:$D$37,0)))</f>
        <v>0</v>
      </c>
      <c r="S238" s="81">
        <f ca="1">S220*(1+INDEX(S$35:S$37,MATCH(Work_Codes!$I$126,$D$35:$D$37,0)))</f>
        <v>0</v>
      </c>
      <c r="T238" s="81">
        <f ca="1">T220*(1+INDEX(T$35:T$37,MATCH(Work_Codes!$I$126,$D$35:$D$37,0)))</f>
        <v>0</v>
      </c>
    </row>
    <row r="239" spans="4:20" ht="12" customHeight="1" outlineLevel="2">
      <c r="E239" s="247" t="str">
        <f>GC!C72</f>
        <v>Customer contributions</v>
      </c>
      <c r="F239" s="247"/>
      <c r="G239" s="247"/>
      <c r="H239" s="247"/>
      <c r="I239" s="247"/>
      <c r="J239" s="81">
        <f ca="1">J221*(1+INDEX(J$35:J$37,MATCH(Work_Codes!$I$126,$D$35:$D$37,0)))</f>
        <v>0</v>
      </c>
      <c r="K239" s="81">
        <f ca="1">K221*(1+INDEX(K$35:K$37,MATCH(Work_Codes!$I$126,$D$35:$D$37,0)))</f>
        <v>0</v>
      </c>
      <c r="L239" s="81">
        <f ca="1">L221*(1+INDEX(L$35:L$37,MATCH(Work_Codes!$I$126,$D$35:$D$37,0)))</f>
        <v>0</v>
      </c>
      <c r="M239" s="81">
        <f ca="1">M221*(1+INDEX(M$35:M$37,MATCH(Work_Codes!$I$126,$D$35:$D$37,0)))</f>
        <v>0</v>
      </c>
      <c r="N239" s="81">
        <f ca="1">N221*(1+INDEX(N$35:N$37,MATCH(Work_Codes!$I$126,$D$35:$D$37,0)))</f>
        <v>0</v>
      </c>
      <c r="O239" s="81">
        <f ca="1">O221*(1+INDEX(O$35:O$37,MATCH(Work_Codes!$I$126,$D$35:$D$37,0)))</f>
        <v>0</v>
      </c>
      <c r="P239" s="81">
        <f ca="1">P221*(1+INDEX(P$35:P$37,MATCH(Work_Codes!$I$126,$D$35:$D$37,0)))</f>
        <v>0</v>
      </c>
      <c r="Q239" s="81">
        <f ca="1">Q221*(1+INDEX(Q$35:Q$37,MATCH(Work_Codes!$I$126,$D$35:$D$37,0)))</f>
        <v>0</v>
      </c>
      <c r="R239" s="81">
        <f ca="1">R221*(1+INDEX(R$35:R$37,MATCH(Work_Codes!$I$126,$D$35:$D$37,0)))</f>
        <v>0</v>
      </c>
      <c r="S239" s="81">
        <f ca="1">S221*(1+INDEX(S$35:S$37,MATCH(Work_Codes!$I$126,$D$35:$D$37,0)))</f>
        <v>0</v>
      </c>
      <c r="T239" s="81">
        <f ca="1">T221*(1+INDEX(T$35:T$37,MATCH(Work_Codes!$I$126,$D$35:$D$37,0)))</f>
        <v>0</v>
      </c>
    </row>
    <row r="240" spans="4:20" ht="12" customHeight="1" outlineLevel="2">
      <c r="E240" s="247" t="str">
        <f>GC!C73</f>
        <v>Government contributions</v>
      </c>
      <c r="F240" s="247"/>
      <c r="G240" s="247"/>
      <c r="H240" s="247"/>
      <c r="I240" s="247"/>
      <c r="J240" s="81">
        <f ca="1">J222*(1+INDEX(J$35:J$37,MATCH(Work_Codes!$I$126,$D$35:$D$37,0)))</f>
        <v>0</v>
      </c>
      <c r="K240" s="81">
        <f ca="1">K222*(1+INDEX(K$35:K$37,MATCH(Work_Codes!$I$126,$D$35:$D$37,0)))</f>
        <v>0</v>
      </c>
      <c r="L240" s="81">
        <f ca="1">L222*(1+INDEX(L$35:L$37,MATCH(Work_Codes!$I$126,$D$35:$D$37,0)))</f>
        <v>0</v>
      </c>
      <c r="M240" s="81">
        <f ca="1">M222*(1+INDEX(M$35:M$37,MATCH(Work_Codes!$I$126,$D$35:$D$37,0)))</f>
        <v>0</v>
      </c>
      <c r="N240" s="81">
        <f ca="1">N222*(1+INDEX(N$35:N$37,MATCH(Work_Codes!$I$126,$D$35:$D$37,0)))</f>
        <v>0</v>
      </c>
      <c r="O240" s="81">
        <f ca="1">O222*(1+INDEX(O$35:O$37,MATCH(Work_Codes!$I$126,$D$35:$D$37,0)))</f>
        <v>0</v>
      </c>
      <c r="P240" s="81">
        <f ca="1">P222*(1+INDEX(P$35:P$37,MATCH(Work_Codes!$I$126,$D$35:$D$37,0)))</f>
        <v>0</v>
      </c>
      <c r="Q240" s="81">
        <f ca="1">Q222*(1+INDEX(Q$35:Q$37,MATCH(Work_Codes!$I$126,$D$35:$D$37,0)))</f>
        <v>0</v>
      </c>
      <c r="R240" s="81">
        <f ca="1">R222*(1+INDEX(R$35:R$37,MATCH(Work_Codes!$I$126,$D$35:$D$37,0)))</f>
        <v>0</v>
      </c>
      <c r="S240" s="81">
        <f ca="1">S222*(1+INDEX(S$35:S$37,MATCH(Work_Codes!$I$126,$D$35:$D$37,0)))</f>
        <v>0</v>
      </c>
      <c r="T240" s="81">
        <f ca="1">T222*(1+INDEX(T$35:T$37,MATCH(Work_Codes!$I$126,$D$35:$D$37,0)))</f>
        <v>0</v>
      </c>
    </row>
    <row r="241" spans="4:20" ht="12" customHeight="1" outlineLevel="2">
      <c r="E241" s="249" t="str">
        <f>"Total "&amp;D225</f>
        <v>Total Direct Costs + Overheads</v>
      </c>
      <c r="F241" s="249"/>
      <c r="G241" s="249"/>
      <c r="H241" s="249"/>
      <c r="I241" s="249"/>
      <c r="J241" s="82">
        <f t="shared" ref="J241:T241" ca="1" si="24">SUM(J227:J240)</f>
        <v>0</v>
      </c>
      <c r="K241" s="82">
        <f t="shared" ca="1" si="24"/>
        <v>0</v>
      </c>
      <c r="L241" s="82">
        <f t="shared" ca="1" si="24"/>
        <v>0</v>
      </c>
      <c r="M241" s="82">
        <f t="shared" ca="1" si="24"/>
        <v>0</v>
      </c>
      <c r="N241" s="82">
        <f t="shared" ca="1" si="24"/>
        <v>3325189.5474092909</v>
      </c>
      <c r="O241" s="82">
        <f t="shared" ca="1" si="24"/>
        <v>1951505.7389307767</v>
      </c>
      <c r="P241" s="82">
        <f t="shared" ca="1" si="24"/>
        <v>3878950.6660576495</v>
      </c>
      <c r="Q241" s="82">
        <f t="shared" ca="1" si="24"/>
        <v>4757594.1006277036</v>
      </c>
      <c r="R241" s="82">
        <f t="shared" ca="1" si="24"/>
        <v>5044691.7678896841</v>
      </c>
      <c r="S241" s="82">
        <f t="shared" ca="1" si="24"/>
        <v>3693050.2207309967</v>
      </c>
      <c r="T241" s="82">
        <f t="shared" ca="1" si="24"/>
        <v>3349463.5010124962</v>
      </c>
    </row>
    <row r="242" spans="4:20" outlineLevel="2"/>
    <row r="243" spans="4:20" outlineLevel="2">
      <c r="D243" s="37" t="s">
        <v>367</v>
      </c>
    </row>
    <row r="244" spans="4:20" ht="5.75" customHeight="1" outlineLevel="2"/>
    <row r="245" spans="4:20" outlineLevel="2">
      <c r="E245" s="247" t="str">
        <f>GC!C60</f>
        <v>Mains replacement</v>
      </c>
      <c r="F245" s="247"/>
      <c r="G245" s="247"/>
      <c r="H245" s="247"/>
      <c r="I245" s="247"/>
      <c r="J245" s="81">
        <f ca="1">SUMPRODUCT((Work_Codes!$AC$129:$AO$129=$E245)*(Work_Codes!$AC$140:$AO$140)*(J$74:J$74))</f>
        <v>0</v>
      </c>
      <c r="K245" s="81">
        <f ca="1">SUMPRODUCT((Work_Codes!$AC$129:$AO$129=$E245)*(Work_Codes!$AC$140:$AO$140)*(K$74:K$74))</f>
        <v>0</v>
      </c>
      <c r="L245" s="81">
        <f ca="1">SUMPRODUCT((Work_Codes!$AC$129:$AO$129=$E245)*(Work_Codes!$AC$140:$AO$140)*(L$74:L$74))</f>
        <v>0</v>
      </c>
      <c r="M245" s="81">
        <f ca="1">SUMPRODUCT((Work_Codes!$AC$129:$AO$129=$E245)*(Work_Codes!$AC$140:$AO$140)*(M$74:M$74))</f>
        <v>0</v>
      </c>
      <c r="N245" s="81">
        <f ca="1">SUMPRODUCT((Work_Codes!$AC$129:$AO$129=$E245)*(Work_Codes!$AC$140:$AO$140)*(N$74:N$74))</f>
        <v>0</v>
      </c>
      <c r="O245" s="81">
        <f ca="1">SUMPRODUCT((Work_Codes!$AC$129:$AO$129=$E245)*(Work_Codes!$AC$140:$AO$140)*(O$74:O$74))</f>
        <v>0</v>
      </c>
      <c r="P245" s="81">
        <f ca="1">SUMPRODUCT((Work_Codes!$AC$129:$AO$129=$E245)*(Work_Codes!$AC$140:$AO$140)*(P$74:P$74))</f>
        <v>0</v>
      </c>
      <c r="Q245" s="81">
        <f ca="1">SUMPRODUCT((Work_Codes!$AC$129:$AO$129=$E245)*(Work_Codes!$AC$140:$AO$140)*(Q$74:Q$74))</f>
        <v>0</v>
      </c>
      <c r="R245" s="81">
        <f ca="1">SUMPRODUCT((Work_Codes!$AC$129:$AO$129=$E245)*(Work_Codes!$AC$140:$AO$140)*(R$74:R$74))</f>
        <v>0</v>
      </c>
      <c r="S245" s="81">
        <f ca="1">SUMPRODUCT((Work_Codes!$AC$129:$AO$129=$E245)*(Work_Codes!$AC$140:$AO$140)*(S$74:S$74))</f>
        <v>0</v>
      </c>
      <c r="T245" s="81">
        <f ca="1">SUMPRODUCT((Work_Codes!$AC$129:$AO$129=$E245)*(Work_Codes!$AC$140:$AO$140)*(T$74:T$74))</f>
        <v>0</v>
      </c>
    </row>
    <row r="246" spans="4:20" outlineLevel="2">
      <c r="E246" s="247" t="str">
        <f>GC!C61</f>
        <v>Residential new customer connections</v>
      </c>
      <c r="F246" s="247"/>
      <c r="G246" s="247"/>
      <c r="H246" s="247"/>
      <c r="I246" s="247"/>
      <c r="J246" s="81">
        <f ca="1">SUMPRODUCT((Work_Codes!$AC$129:$AO$129=$E246)*(Work_Codes!$AC$140:$AO$140)*(J$74:J$74))</f>
        <v>0</v>
      </c>
      <c r="K246" s="81">
        <f ca="1">SUMPRODUCT((Work_Codes!$AC$129:$AO$129=$E246)*(Work_Codes!$AC$140:$AO$140)*(K$74:K$74))</f>
        <v>0</v>
      </c>
      <c r="L246" s="81">
        <f ca="1">SUMPRODUCT((Work_Codes!$AC$129:$AO$129=$E246)*(Work_Codes!$AC$140:$AO$140)*(L$74:L$74))</f>
        <v>0</v>
      </c>
      <c r="M246" s="81">
        <f ca="1">SUMPRODUCT((Work_Codes!$AC$129:$AO$129=$E246)*(Work_Codes!$AC$140:$AO$140)*(M$74:M$74))</f>
        <v>0</v>
      </c>
      <c r="N246" s="81">
        <f ca="1">SUMPRODUCT((Work_Codes!$AC$129:$AO$129=$E246)*(Work_Codes!$AC$140:$AO$140)*(N$74:N$74))</f>
        <v>0</v>
      </c>
      <c r="O246" s="81">
        <f ca="1">SUMPRODUCT((Work_Codes!$AC$129:$AO$129=$E246)*(Work_Codes!$AC$140:$AO$140)*(O$74:O$74))</f>
        <v>0</v>
      </c>
      <c r="P246" s="81">
        <f ca="1">SUMPRODUCT((Work_Codes!$AC$129:$AO$129=$E246)*(Work_Codes!$AC$140:$AO$140)*(P$74:P$74))</f>
        <v>0</v>
      </c>
      <c r="Q246" s="81">
        <f ca="1">SUMPRODUCT((Work_Codes!$AC$129:$AO$129=$E246)*(Work_Codes!$AC$140:$AO$140)*(Q$74:Q$74))</f>
        <v>0</v>
      </c>
      <c r="R246" s="81">
        <f ca="1">SUMPRODUCT((Work_Codes!$AC$129:$AO$129=$E246)*(Work_Codes!$AC$140:$AO$140)*(R$74:R$74))</f>
        <v>0</v>
      </c>
      <c r="S246" s="81">
        <f ca="1">SUMPRODUCT((Work_Codes!$AC$129:$AO$129=$E246)*(Work_Codes!$AC$140:$AO$140)*(S$74:S$74))</f>
        <v>0</v>
      </c>
      <c r="T246" s="81">
        <f ca="1">SUMPRODUCT((Work_Codes!$AC$129:$AO$129=$E246)*(Work_Codes!$AC$140:$AO$140)*(T$74:T$74))</f>
        <v>0</v>
      </c>
    </row>
    <row r="247" spans="4:20" outlineLevel="2">
      <c r="E247" s="247" t="str">
        <f>GC!C62</f>
        <v>Commercial and industrial new customer connections</v>
      </c>
      <c r="F247" s="247"/>
      <c r="G247" s="247"/>
      <c r="H247" s="247"/>
      <c r="I247" s="247"/>
      <c r="J247" s="81">
        <f ca="1">SUMPRODUCT((Work_Codes!$AC$129:$AO$129=$E247)*(Work_Codes!$AC$140:$AO$140)*(J$74:J$74))</f>
        <v>0</v>
      </c>
      <c r="K247" s="81">
        <f ca="1">SUMPRODUCT((Work_Codes!$AC$129:$AO$129=$E247)*(Work_Codes!$AC$140:$AO$140)*(K$74:K$74))</f>
        <v>0</v>
      </c>
      <c r="L247" s="81">
        <f ca="1">SUMPRODUCT((Work_Codes!$AC$129:$AO$129=$E247)*(Work_Codes!$AC$140:$AO$140)*(L$74:L$74))</f>
        <v>0</v>
      </c>
      <c r="M247" s="81">
        <f ca="1">SUMPRODUCT((Work_Codes!$AC$129:$AO$129=$E247)*(Work_Codes!$AC$140:$AO$140)*(M$74:M$74))</f>
        <v>0</v>
      </c>
      <c r="N247" s="81">
        <f ca="1">SUMPRODUCT((Work_Codes!$AC$129:$AO$129=$E247)*(Work_Codes!$AC$140:$AO$140)*(N$74:N$74))</f>
        <v>0</v>
      </c>
      <c r="O247" s="81">
        <f ca="1">SUMPRODUCT((Work_Codes!$AC$129:$AO$129=$E247)*(Work_Codes!$AC$140:$AO$140)*(O$74:O$74))</f>
        <v>0</v>
      </c>
      <c r="P247" s="81">
        <f ca="1">SUMPRODUCT((Work_Codes!$AC$129:$AO$129=$E247)*(Work_Codes!$AC$140:$AO$140)*(P$74:P$74))</f>
        <v>0</v>
      </c>
      <c r="Q247" s="81">
        <f ca="1">SUMPRODUCT((Work_Codes!$AC$129:$AO$129=$E247)*(Work_Codes!$AC$140:$AO$140)*(Q$74:Q$74))</f>
        <v>0</v>
      </c>
      <c r="R247" s="81">
        <f ca="1">SUMPRODUCT((Work_Codes!$AC$129:$AO$129=$E247)*(Work_Codes!$AC$140:$AO$140)*(R$74:R$74))</f>
        <v>0</v>
      </c>
      <c r="S247" s="81">
        <f ca="1">SUMPRODUCT((Work_Codes!$AC$129:$AO$129=$E247)*(Work_Codes!$AC$140:$AO$140)*(S$74:S$74))</f>
        <v>0</v>
      </c>
      <c r="T247" s="81">
        <f ca="1">SUMPRODUCT((Work_Codes!$AC$129:$AO$129=$E247)*(Work_Codes!$AC$140:$AO$140)*(T$74:T$74))</f>
        <v>0</v>
      </c>
    </row>
    <row r="248" spans="4:20" outlineLevel="2">
      <c r="E248" s="247" t="str">
        <f>GC!C63</f>
        <v>Residential meter replacement</v>
      </c>
      <c r="F248" s="247"/>
      <c r="G248" s="247"/>
      <c r="H248" s="247"/>
      <c r="I248" s="247"/>
      <c r="J248" s="81">
        <f ca="1">SUMPRODUCT((Work_Codes!$AC$129:$AO$129=$E248)*(Work_Codes!$AC$140:$AO$140)*(J$74:J$74))</f>
        <v>0</v>
      </c>
      <c r="K248" s="81">
        <f ca="1">SUMPRODUCT((Work_Codes!$AC$129:$AO$129=$E248)*(Work_Codes!$AC$140:$AO$140)*(K$74:K$74))</f>
        <v>0</v>
      </c>
      <c r="L248" s="81">
        <f ca="1">SUMPRODUCT((Work_Codes!$AC$129:$AO$129=$E248)*(Work_Codes!$AC$140:$AO$140)*(L$74:L$74))</f>
        <v>0</v>
      </c>
      <c r="M248" s="81">
        <f ca="1">SUMPRODUCT((Work_Codes!$AC$129:$AO$129=$E248)*(Work_Codes!$AC$140:$AO$140)*(M$74:M$74))</f>
        <v>0</v>
      </c>
      <c r="N248" s="81">
        <f ca="1">SUMPRODUCT((Work_Codes!$AC$129:$AO$129=$E248)*(Work_Codes!$AC$140:$AO$140)*(N$74:N$74))</f>
        <v>0</v>
      </c>
      <c r="O248" s="81">
        <f ca="1">SUMPRODUCT((Work_Codes!$AC$129:$AO$129=$E248)*(Work_Codes!$AC$140:$AO$140)*(O$74:O$74))</f>
        <v>0</v>
      </c>
      <c r="P248" s="81">
        <f ca="1">SUMPRODUCT((Work_Codes!$AC$129:$AO$129=$E248)*(Work_Codes!$AC$140:$AO$140)*(P$74:P$74))</f>
        <v>0</v>
      </c>
      <c r="Q248" s="81">
        <f ca="1">SUMPRODUCT((Work_Codes!$AC$129:$AO$129=$E248)*(Work_Codes!$AC$140:$AO$140)*(Q$74:Q$74))</f>
        <v>0</v>
      </c>
      <c r="R248" s="81">
        <f ca="1">SUMPRODUCT((Work_Codes!$AC$129:$AO$129=$E248)*(Work_Codes!$AC$140:$AO$140)*(R$74:R$74))</f>
        <v>0</v>
      </c>
      <c r="S248" s="81">
        <f ca="1">SUMPRODUCT((Work_Codes!$AC$129:$AO$129=$E248)*(Work_Codes!$AC$140:$AO$140)*(S$74:S$74))</f>
        <v>0</v>
      </c>
      <c r="T248" s="81">
        <f ca="1">SUMPRODUCT((Work_Codes!$AC$129:$AO$129=$E248)*(Work_Codes!$AC$140:$AO$140)*(T$74:T$74))</f>
        <v>0</v>
      </c>
    </row>
    <row r="249" spans="4:20" outlineLevel="2">
      <c r="E249" s="247" t="str">
        <f>GC!C64</f>
        <v>Commercial and industrial meter replacement</v>
      </c>
      <c r="F249" s="247"/>
      <c r="G249" s="247"/>
      <c r="H249" s="247"/>
      <c r="I249" s="247"/>
      <c r="J249" s="81">
        <f ca="1">SUMPRODUCT((Work_Codes!$AC$129:$AO$129=$E249)*(Work_Codes!$AC$140:$AO$140)*(J$74:J$74))</f>
        <v>0</v>
      </c>
      <c r="K249" s="81">
        <f ca="1">SUMPRODUCT((Work_Codes!$AC$129:$AO$129=$E249)*(Work_Codes!$AC$140:$AO$140)*(K$74:K$74))</f>
        <v>0</v>
      </c>
      <c r="L249" s="81">
        <f ca="1">SUMPRODUCT((Work_Codes!$AC$129:$AO$129=$E249)*(Work_Codes!$AC$140:$AO$140)*(L$74:L$74))</f>
        <v>0</v>
      </c>
      <c r="M249" s="81">
        <f ca="1">SUMPRODUCT((Work_Codes!$AC$129:$AO$129=$E249)*(Work_Codes!$AC$140:$AO$140)*(M$74:M$74))</f>
        <v>0</v>
      </c>
      <c r="N249" s="81">
        <f ca="1">SUMPRODUCT((Work_Codes!$AC$129:$AO$129=$E249)*(Work_Codes!$AC$140:$AO$140)*(N$74:N$74))</f>
        <v>0</v>
      </c>
      <c r="O249" s="81">
        <f ca="1">SUMPRODUCT((Work_Codes!$AC$129:$AO$129=$E249)*(Work_Codes!$AC$140:$AO$140)*(O$74:O$74))</f>
        <v>0</v>
      </c>
      <c r="P249" s="81">
        <f ca="1">SUMPRODUCT((Work_Codes!$AC$129:$AO$129=$E249)*(Work_Codes!$AC$140:$AO$140)*(P$74:P$74))</f>
        <v>0</v>
      </c>
      <c r="Q249" s="81">
        <f ca="1">SUMPRODUCT((Work_Codes!$AC$129:$AO$129=$E249)*(Work_Codes!$AC$140:$AO$140)*(Q$74:Q$74))</f>
        <v>0</v>
      </c>
      <c r="R249" s="81">
        <f ca="1">SUMPRODUCT((Work_Codes!$AC$129:$AO$129=$E249)*(Work_Codes!$AC$140:$AO$140)*(R$74:R$74))</f>
        <v>0</v>
      </c>
      <c r="S249" s="81">
        <f ca="1">SUMPRODUCT((Work_Codes!$AC$129:$AO$129=$E249)*(Work_Codes!$AC$140:$AO$140)*(S$74:S$74))</f>
        <v>0</v>
      </c>
      <c r="T249" s="81">
        <f ca="1">SUMPRODUCT((Work_Codes!$AC$129:$AO$129=$E249)*(Work_Codes!$AC$140:$AO$140)*(T$74:T$74))</f>
        <v>0</v>
      </c>
    </row>
    <row r="250" spans="4:20" outlineLevel="2">
      <c r="E250" s="247" t="str">
        <f>GC!C65</f>
        <v>Augmentation</v>
      </c>
      <c r="F250" s="247"/>
      <c r="G250" s="247"/>
      <c r="H250" s="247"/>
      <c r="I250" s="247"/>
      <c r="J250" s="81">
        <f ca="1">SUMPRODUCT((Work_Codes!$AC$129:$AO$129=$E250)*(Work_Codes!$AC$140:$AO$140)*(J$74:J$74))</f>
        <v>0</v>
      </c>
      <c r="K250" s="81">
        <f ca="1">SUMPRODUCT((Work_Codes!$AC$129:$AO$129=$E250)*(Work_Codes!$AC$140:$AO$140)*(K$74:K$74))</f>
        <v>0</v>
      </c>
      <c r="L250" s="81">
        <f ca="1">SUMPRODUCT((Work_Codes!$AC$129:$AO$129=$E250)*(Work_Codes!$AC$140:$AO$140)*(L$74:L$74))</f>
        <v>0</v>
      </c>
      <c r="M250" s="81">
        <f ca="1">SUMPRODUCT((Work_Codes!$AC$129:$AO$129=$E250)*(Work_Codes!$AC$140:$AO$140)*(M$74:M$74))</f>
        <v>0</v>
      </c>
      <c r="N250" s="81">
        <f ca="1">SUMPRODUCT((Work_Codes!$AC$129:$AO$129=$E250)*(Work_Codes!$AC$140:$AO$140)*(N$74:N$74))</f>
        <v>0</v>
      </c>
      <c r="O250" s="81">
        <f ca="1">SUMPRODUCT((Work_Codes!$AC$129:$AO$129=$E250)*(Work_Codes!$AC$140:$AO$140)*(O$74:O$74))</f>
        <v>0</v>
      </c>
      <c r="P250" s="81">
        <f ca="1">SUMPRODUCT((Work_Codes!$AC$129:$AO$129=$E250)*(Work_Codes!$AC$140:$AO$140)*(P$74:P$74))</f>
        <v>0</v>
      </c>
      <c r="Q250" s="81">
        <f ca="1">SUMPRODUCT((Work_Codes!$AC$129:$AO$129=$E250)*(Work_Codes!$AC$140:$AO$140)*(Q$74:Q$74))</f>
        <v>0</v>
      </c>
      <c r="R250" s="81">
        <f ca="1">SUMPRODUCT((Work_Codes!$AC$129:$AO$129=$E250)*(Work_Codes!$AC$140:$AO$140)*(R$74:R$74))</f>
        <v>0</v>
      </c>
      <c r="S250" s="81">
        <f ca="1">SUMPRODUCT((Work_Codes!$AC$129:$AO$129=$E250)*(Work_Codes!$AC$140:$AO$140)*(S$74:S$74))</f>
        <v>0</v>
      </c>
      <c r="T250" s="81">
        <f ca="1">SUMPRODUCT((Work_Codes!$AC$129:$AO$129=$E250)*(Work_Codes!$AC$140:$AO$140)*(T$74:T$74))</f>
        <v>0</v>
      </c>
    </row>
    <row r="251" spans="4:20" outlineLevel="2">
      <c r="E251" s="247" t="str">
        <f>GC!C66</f>
        <v>IT capex</v>
      </c>
      <c r="F251" s="247"/>
      <c r="G251" s="247"/>
      <c r="H251" s="247"/>
      <c r="I251" s="247"/>
      <c r="J251" s="81">
        <f ca="1">SUMPRODUCT((Work_Codes!$AC$129:$AO$129=$E251)*(Work_Codes!$AC$140:$AO$140)*(J$74:J$74))</f>
        <v>0</v>
      </c>
      <c r="K251" s="81">
        <f ca="1">SUMPRODUCT((Work_Codes!$AC$129:$AO$129=$E251)*(Work_Codes!$AC$140:$AO$140)*(K$74:K$74))</f>
        <v>0</v>
      </c>
      <c r="L251" s="81">
        <f ca="1">SUMPRODUCT((Work_Codes!$AC$129:$AO$129=$E251)*(Work_Codes!$AC$140:$AO$140)*(L$74:L$74))</f>
        <v>0</v>
      </c>
      <c r="M251" s="81">
        <f ca="1">SUMPRODUCT((Work_Codes!$AC$129:$AO$129=$E251)*(Work_Codes!$AC$140:$AO$140)*(M$74:M$74))</f>
        <v>0</v>
      </c>
      <c r="N251" s="81">
        <f ca="1">SUMPRODUCT((Work_Codes!$AC$129:$AO$129=$E251)*(Work_Codes!$AC$140:$AO$140)*(N$74:N$74))</f>
        <v>0</v>
      </c>
      <c r="O251" s="81">
        <f ca="1">SUMPRODUCT((Work_Codes!$AC$129:$AO$129=$E251)*(Work_Codes!$AC$140:$AO$140)*(O$74:O$74))</f>
        <v>0</v>
      </c>
      <c r="P251" s="81">
        <f ca="1">SUMPRODUCT((Work_Codes!$AC$129:$AO$129=$E251)*(Work_Codes!$AC$140:$AO$140)*(P$74:P$74))</f>
        <v>0</v>
      </c>
      <c r="Q251" s="81">
        <f ca="1">SUMPRODUCT((Work_Codes!$AC$129:$AO$129=$E251)*(Work_Codes!$AC$140:$AO$140)*(Q$74:Q$74))</f>
        <v>0</v>
      </c>
      <c r="R251" s="81">
        <f ca="1">SUMPRODUCT((Work_Codes!$AC$129:$AO$129=$E251)*(Work_Codes!$AC$140:$AO$140)*(R$74:R$74))</f>
        <v>0</v>
      </c>
      <c r="S251" s="81">
        <f ca="1">SUMPRODUCT((Work_Codes!$AC$129:$AO$129=$E251)*(Work_Codes!$AC$140:$AO$140)*(S$74:S$74))</f>
        <v>0</v>
      </c>
      <c r="T251" s="81">
        <f ca="1">SUMPRODUCT((Work_Codes!$AC$129:$AO$129=$E251)*(Work_Codes!$AC$140:$AO$140)*(T$74:T$74))</f>
        <v>0</v>
      </c>
    </row>
    <row r="252" spans="4:20" outlineLevel="2">
      <c r="E252" s="247" t="str">
        <f>GC!C67</f>
        <v>SCADA</v>
      </c>
      <c r="F252" s="247"/>
      <c r="G252" s="247"/>
      <c r="H252" s="247"/>
      <c r="I252" s="247"/>
      <c r="J252" s="81">
        <f ca="1">SUMPRODUCT((Work_Codes!$AC$129:$AO$129=$E252)*(Work_Codes!$AC$140:$AO$140)*(J$74:J$74))</f>
        <v>0</v>
      </c>
      <c r="K252" s="81">
        <f ca="1">SUMPRODUCT((Work_Codes!$AC$129:$AO$129=$E252)*(Work_Codes!$AC$140:$AO$140)*(K$74:K$74))</f>
        <v>0</v>
      </c>
      <c r="L252" s="81">
        <f ca="1">SUMPRODUCT((Work_Codes!$AC$129:$AO$129=$E252)*(Work_Codes!$AC$140:$AO$140)*(L$74:L$74))</f>
        <v>0</v>
      </c>
      <c r="M252" s="81">
        <f ca="1">SUMPRODUCT((Work_Codes!$AC$129:$AO$129=$E252)*(Work_Codes!$AC$140:$AO$140)*(M$74:M$74))</f>
        <v>0</v>
      </c>
      <c r="N252" s="81">
        <f ca="1">SUMPRODUCT((Work_Codes!$AC$129:$AO$129=$E252)*(Work_Codes!$AC$140:$AO$140)*(N$74:N$74))</f>
        <v>0</v>
      </c>
      <c r="O252" s="81">
        <f ca="1">SUMPRODUCT((Work_Codes!$AC$129:$AO$129=$E252)*(Work_Codes!$AC$140:$AO$140)*(O$74:O$74))</f>
        <v>0</v>
      </c>
      <c r="P252" s="81">
        <f ca="1">SUMPRODUCT((Work_Codes!$AC$129:$AO$129=$E252)*(Work_Codes!$AC$140:$AO$140)*(P$74:P$74))</f>
        <v>0</v>
      </c>
      <c r="Q252" s="81">
        <f ca="1">SUMPRODUCT((Work_Codes!$AC$129:$AO$129=$E252)*(Work_Codes!$AC$140:$AO$140)*(Q$74:Q$74))</f>
        <v>0</v>
      </c>
      <c r="R252" s="81">
        <f ca="1">SUMPRODUCT((Work_Codes!$AC$129:$AO$129=$E252)*(Work_Codes!$AC$140:$AO$140)*(R$74:R$74))</f>
        <v>0</v>
      </c>
      <c r="S252" s="81">
        <f ca="1">SUMPRODUCT((Work_Codes!$AC$129:$AO$129=$E252)*(Work_Codes!$AC$140:$AO$140)*(S$74:S$74))</f>
        <v>0</v>
      </c>
      <c r="T252" s="81">
        <f ca="1">SUMPRODUCT((Work_Codes!$AC$129:$AO$129=$E252)*(Work_Codes!$AC$140:$AO$140)*(T$74:T$74))</f>
        <v>0</v>
      </c>
    </row>
    <row r="253" spans="4:20" outlineLevel="2">
      <c r="E253" s="247" t="str">
        <f>GC!C68</f>
        <v>Other</v>
      </c>
      <c r="F253" s="247"/>
      <c r="G253" s="247"/>
      <c r="H253" s="247"/>
      <c r="I253" s="247"/>
      <c r="J253" s="81">
        <f ca="1">SUMPRODUCT((Work_Codes!$AC$129:$AO$129=$E253)*(Work_Codes!$AC$140:$AO$140)*(J$74:J$74))</f>
        <v>0</v>
      </c>
      <c r="K253" s="81">
        <f ca="1">SUMPRODUCT((Work_Codes!$AC$129:$AO$129=$E253)*(Work_Codes!$AC$140:$AO$140)*(K$74:K$74))</f>
        <v>0</v>
      </c>
      <c r="L253" s="81">
        <f ca="1">SUMPRODUCT((Work_Codes!$AC$129:$AO$129=$E253)*(Work_Codes!$AC$140:$AO$140)*(L$74:L$74))</f>
        <v>0</v>
      </c>
      <c r="M253" s="81">
        <f ca="1">SUMPRODUCT((Work_Codes!$AC$129:$AO$129=$E253)*(Work_Codes!$AC$140:$AO$140)*(M$74:M$74))</f>
        <v>0</v>
      </c>
      <c r="N253" s="81">
        <f ca="1">SUMPRODUCT((Work_Codes!$AC$129:$AO$129=$E253)*(Work_Codes!$AC$140:$AO$140)*(N$74:N$74))</f>
        <v>0</v>
      </c>
      <c r="O253" s="81">
        <f ca="1">SUMPRODUCT((Work_Codes!$AC$129:$AO$129=$E253)*(Work_Codes!$AC$140:$AO$140)*(O$74:O$74))</f>
        <v>0</v>
      </c>
      <c r="P253" s="81">
        <f ca="1">SUMPRODUCT((Work_Codes!$AC$129:$AO$129=$E253)*(Work_Codes!$AC$140:$AO$140)*(P$74:P$74))</f>
        <v>0</v>
      </c>
      <c r="Q253" s="81">
        <f ca="1">SUMPRODUCT((Work_Codes!$AC$129:$AO$129=$E253)*(Work_Codes!$AC$140:$AO$140)*(Q$74:Q$74))</f>
        <v>0</v>
      </c>
      <c r="R253" s="81">
        <f ca="1">SUMPRODUCT((Work_Codes!$AC$129:$AO$129=$E253)*(Work_Codes!$AC$140:$AO$140)*(R$74:R$74))</f>
        <v>0</v>
      </c>
      <c r="S253" s="81">
        <f ca="1">SUMPRODUCT((Work_Codes!$AC$129:$AO$129=$E253)*(Work_Codes!$AC$140:$AO$140)*(S$74:S$74))</f>
        <v>0</v>
      </c>
      <c r="T253" s="81">
        <f ca="1">SUMPRODUCT((Work_Codes!$AC$129:$AO$129=$E253)*(Work_Codes!$AC$140:$AO$140)*(T$74:T$74))</f>
        <v>0</v>
      </c>
    </row>
    <row r="254" spans="4:20" outlineLevel="2">
      <c r="E254" s="247" t="str">
        <f>GC!C69</f>
        <v>Capitalised Leases</v>
      </c>
      <c r="F254" s="247"/>
      <c r="G254" s="247"/>
      <c r="H254" s="247"/>
      <c r="I254" s="247"/>
      <c r="J254" s="81">
        <f ca="1">SUMPRODUCT((Work_Codes!$AC$129:$AO$129=$E254)*(Work_Codes!$AC$140:$AO$140)*(J$74:J$74))</f>
        <v>0</v>
      </c>
      <c r="K254" s="81">
        <f ca="1">SUMPRODUCT((Work_Codes!$AC$129:$AO$129=$E254)*(Work_Codes!$AC$140:$AO$140)*(K$74:K$74))</f>
        <v>0</v>
      </c>
      <c r="L254" s="81">
        <f ca="1">SUMPRODUCT((Work_Codes!$AC$129:$AO$129=$E254)*(Work_Codes!$AC$140:$AO$140)*(L$74:L$74))</f>
        <v>0</v>
      </c>
      <c r="M254" s="81">
        <f ca="1">SUMPRODUCT((Work_Codes!$AC$129:$AO$129=$E254)*(Work_Codes!$AC$140:$AO$140)*(M$74:M$74))</f>
        <v>0</v>
      </c>
      <c r="N254" s="81">
        <f ca="1">SUMPRODUCT((Work_Codes!$AC$129:$AO$129=$E254)*(Work_Codes!$AC$140:$AO$140)*(N$74:N$74))</f>
        <v>0</v>
      </c>
      <c r="O254" s="81">
        <f ca="1">SUMPRODUCT((Work_Codes!$AC$129:$AO$129=$E254)*(Work_Codes!$AC$140:$AO$140)*(O$74:O$74))</f>
        <v>0</v>
      </c>
      <c r="P254" s="81">
        <f ca="1">SUMPRODUCT((Work_Codes!$AC$129:$AO$129=$E254)*(Work_Codes!$AC$140:$AO$140)*(P$74:P$74))</f>
        <v>0</v>
      </c>
      <c r="Q254" s="81">
        <f ca="1">SUMPRODUCT((Work_Codes!$AC$129:$AO$129=$E254)*(Work_Codes!$AC$140:$AO$140)*(Q$74:Q$74))</f>
        <v>0</v>
      </c>
      <c r="R254" s="81">
        <f ca="1">SUMPRODUCT((Work_Codes!$AC$129:$AO$129=$E254)*(Work_Codes!$AC$140:$AO$140)*(R$74:R$74))</f>
        <v>0</v>
      </c>
      <c r="S254" s="81">
        <f ca="1">SUMPRODUCT((Work_Codes!$AC$129:$AO$129=$E254)*(Work_Codes!$AC$140:$AO$140)*(S$74:S$74))</f>
        <v>0</v>
      </c>
      <c r="T254" s="81">
        <f ca="1">SUMPRODUCT((Work_Codes!$AC$129:$AO$129=$E254)*(Work_Codes!$AC$140:$AO$140)*(T$74:T$74))</f>
        <v>0</v>
      </c>
    </row>
    <row r="255" spans="4:20" outlineLevel="2">
      <c r="E255" s="247" t="str">
        <f>GC!C70</f>
        <v>Gas Extensions - Energy for the Regions</v>
      </c>
      <c r="F255" s="247"/>
      <c r="G255" s="247"/>
      <c r="H255" s="247"/>
      <c r="I255" s="247"/>
      <c r="J255" s="81">
        <f ca="1">SUMPRODUCT((Work_Codes!$AC$129:$AO$129=$E255)*(Work_Codes!$AC$140:$AO$140)*(J$74:J$74))</f>
        <v>0</v>
      </c>
      <c r="K255" s="81">
        <f ca="1">SUMPRODUCT((Work_Codes!$AC$129:$AO$129=$E255)*(Work_Codes!$AC$140:$AO$140)*(K$74:K$74))</f>
        <v>0</v>
      </c>
      <c r="L255" s="81">
        <f ca="1">SUMPRODUCT((Work_Codes!$AC$129:$AO$129=$E255)*(Work_Codes!$AC$140:$AO$140)*(L$74:L$74))</f>
        <v>0</v>
      </c>
      <c r="M255" s="81">
        <f ca="1">SUMPRODUCT((Work_Codes!$AC$129:$AO$129=$E255)*(Work_Codes!$AC$140:$AO$140)*(M$74:M$74))</f>
        <v>0</v>
      </c>
      <c r="N255" s="81">
        <f ca="1">SUMPRODUCT((Work_Codes!$AC$129:$AO$129=$E255)*(Work_Codes!$AC$140:$AO$140)*(N$74:N$74))</f>
        <v>0</v>
      </c>
      <c r="O255" s="81">
        <f ca="1">SUMPRODUCT((Work_Codes!$AC$129:$AO$129=$E255)*(Work_Codes!$AC$140:$AO$140)*(O$74:O$74))</f>
        <v>0</v>
      </c>
      <c r="P255" s="81">
        <f ca="1">SUMPRODUCT((Work_Codes!$AC$129:$AO$129=$E255)*(Work_Codes!$AC$140:$AO$140)*(P$74:P$74))</f>
        <v>0</v>
      </c>
      <c r="Q255" s="81">
        <f ca="1">SUMPRODUCT((Work_Codes!$AC$129:$AO$129=$E255)*(Work_Codes!$AC$140:$AO$140)*(Q$74:Q$74))</f>
        <v>0</v>
      </c>
      <c r="R255" s="81">
        <f ca="1">SUMPRODUCT((Work_Codes!$AC$129:$AO$129=$E255)*(Work_Codes!$AC$140:$AO$140)*(R$74:R$74))</f>
        <v>0</v>
      </c>
      <c r="S255" s="81">
        <f ca="1">SUMPRODUCT((Work_Codes!$AC$129:$AO$129=$E255)*(Work_Codes!$AC$140:$AO$140)*(S$74:S$74))</f>
        <v>0</v>
      </c>
      <c r="T255" s="81">
        <f ca="1">SUMPRODUCT((Work_Codes!$AC$129:$AO$129=$E255)*(Work_Codes!$AC$140:$AO$140)*(T$74:T$74))</f>
        <v>0</v>
      </c>
    </row>
    <row r="256" spans="4:20" outlineLevel="2">
      <c r="E256" s="247" t="str">
        <f>GC!C71</f>
        <v>Gas Extensions - Other</v>
      </c>
      <c r="F256" s="247"/>
      <c r="G256" s="247"/>
      <c r="H256" s="247"/>
      <c r="I256" s="247"/>
      <c r="J256" s="81">
        <f ca="1">SUMPRODUCT((Work_Codes!$AC$129:$AO$129=$E256)*(Work_Codes!$AC$140:$AO$140)*(J$74:J$74))</f>
        <v>0</v>
      </c>
      <c r="K256" s="81">
        <f ca="1">SUMPRODUCT((Work_Codes!$AC$129:$AO$129=$E256)*(Work_Codes!$AC$140:$AO$140)*(K$74:K$74))</f>
        <v>0</v>
      </c>
      <c r="L256" s="81">
        <f ca="1">SUMPRODUCT((Work_Codes!$AC$129:$AO$129=$E256)*(Work_Codes!$AC$140:$AO$140)*(L$74:L$74))</f>
        <v>0</v>
      </c>
      <c r="M256" s="81">
        <f ca="1">SUMPRODUCT((Work_Codes!$AC$129:$AO$129=$E256)*(Work_Codes!$AC$140:$AO$140)*(M$74:M$74))</f>
        <v>0</v>
      </c>
      <c r="N256" s="81">
        <f ca="1">SUMPRODUCT((Work_Codes!$AC$129:$AO$129=$E256)*(Work_Codes!$AC$140:$AO$140)*(N$74:N$74))</f>
        <v>0</v>
      </c>
      <c r="O256" s="81">
        <f ca="1">SUMPRODUCT((Work_Codes!$AC$129:$AO$129=$E256)*(Work_Codes!$AC$140:$AO$140)*(O$74:O$74))</f>
        <v>0</v>
      </c>
      <c r="P256" s="81">
        <f ca="1">SUMPRODUCT((Work_Codes!$AC$129:$AO$129=$E256)*(Work_Codes!$AC$140:$AO$140)*(P$74:P$74))</f>
        <v>0</v>
      </c>
      <c r="Q256" s="81">
        <f ca="1">SUMPRODUCT((Work_Codes!$AC$129:$AO$129=$E256)*(Work_Codes!$AC$140:$AO$140)*(Q$74:Q$74))</f>
        <v>0</v>
      </c>
      <c r="R256" s="81">
        <f ca="1">SUMPRODUCT((Work_Codes!$AC$129:$AO$129=$E256)*(Work_Codes!$AC$140:$AO$140)*(R$74:R$74))</f>
        <v>0</v>
      </c>
      <c r="S256" s="81">
        <f ca="1">SUMPRODUCT((Work_Codes!$AC$129:$AO$129=$E256)*(Work_Codes!$AC$140:$AO$140)*(S$74:S$74))</f>
        <v>0</v>
      </c>
      <c r="T256" s="81">
        <f ca="1">SUMPRODUCT((Work_Codes!$AC$129:$AO$129=$E256)*(Work_Codes!$AC$140:$AO$140)*(T$74:T$74))</f>
        <v>0</v>
      </c>
    </row>
    <row r="257" spans="2:20" outlineLevel="2">
      <c r="E257" s="247" t="str">
        <f>GC!C72</f>
        <v>Customer contributions</v>
      </c>
      <c r="F257" s="247"/>
      <c r="G257" s="247"/>
      <c r="H257" s="247"/>
      <c r="I257" s="247"/>
      <c r="J257" s="81">
        <f ca="1">SUMPRODUCT((Work_Codes!$AC$129:$AO$129=$E257)*(Work_Codes!$AC$140:$AO$140)*(J$74:J$74))</f>
        <v>0</v>
      </c>
      <c r="K257" s="81">
        <f ca="1">SUMPRODUCT((Work_Codes!$AC$129:$AO$129=$E257)*(Work_Codes!$AC$140:$AO$140)*(K$74:K$74))</f>
        <v>0</v>
      </c>
      <c r="L257" s="81">
        <f ca="1">SUMPRODUCT((Work_Codes!$AC$129:$AO$129=$E257)*(Work_Codes!$AC$140:$AO$140)*(L$74:L$74))</f>
        <v>0</v>
      </c>
      <c r="M257" s="81">
        <f ca="1">SUMPRODUCT((Work_Codes!$AC$129:$AO$129=$E257)*(Work_Codes!$AC$140:$AO$140)*(M$74:M$74))</f>
        <v>0</v>
      </c>
      <c r="N257" s="81">
        <f ca="1">SUMPRODUCT((Work_Codes!$AC$129:$AO$129=$E257)*(Work_Codes!$AC$140:$AO$140)*(N$74:N$74))</f>
        <v>0</v>
      </c>
      <c r="O257" s="81">
        <f ca="1">SUMPRODUCT((Work_Codes!$AC$129:$AO$129=$E257)*(Work_Codes!$AC$140:$AO$140)*(O$74:O$74))</f>
        <v>0</v>
      </c>
      <c r="P257" s="81">
        <f ca="1">SUMPRODUCT((Work_Codes!$AC$129:$AO$129=$E257)*(Work_Codes!$AC$140:$AO$140)*(P$74:P$74))</f>
        <v>0</v>
      </c>
      <c r="Q257" s="81">
        <f ca="1">SUMPRODUCT((Work_Codes!$AC$129:$AO$129=$E257)*(Work_Codes!$AC$140:$AO$140)*(Q$74:Q$74))</f>
        <v>0</v>
      </c>
      <c r="R257" s="81">
        <f ca="1">SUMPRODUCT((Work_Codes!$AC$129:$AO$129=$E257)*(Work_Codes!$AC$140:$AO$140)*(R$74:R$74))</f>
        <v>0</v>
      </c>
      <c r="S257" s="81">
        <f ca="1">SUMPRODUCT((Work_Codes!$AC$129:$AO$129=$E257)*(Work_Codes!$AC$140:$AO$140)*(S$74:S$74))</f>
        <v>0</v>
      </c>
      <c r="T257" s="81">
        <f ca="1">SUMPRODUCT((Work_Codes!$AC$129:$AO$129=$E257)*(Work_Codes!$AC$140:$AO$140)*(T$74:T$74))</f>
        <v>0</v>
      </c>
    </row>
    <row r="258" spans="2:20" outlineLevel="2">
      <c r="E258" s="247" t="str">
        <f>GC!C73</f>
        <v>Government contributions</v>
      </c>
      <c r="F258" s="247"/>
      <c r="G258" s="247"/>
      <c r="H258" s="247"/>
      <c r="I258" s="247"/>
      <c r="J258" s="81">
        <f ca="1">SUMPRODUCT((Work_Codes!$AC$129:$AO$129=$E258)*(Work_Codes!$AC$140:$AO$140)*(J$74:J$74))</f>
        <v>0</v>
      </c>
      <c r="K258" s="81">
        <f ca="1">SUMPRODUCT((Work_Codes!$AC$129:$AO$129=$E258)*(Work_Codes!$AC$140:$AO$140)*(K$74:K$74))</f>
        <v>0</v>
      </c>
      <c r="L258" s="81">
        <f ca="1">SUMPRODUCT((Work_Codes!$AC$129:$AO$129=$E258)*(Work_Codes!$AC$140:$AO$140)*(L$74:L$74))</f>
        <v>0</v>
      </c>
      <c r="M258" s="81">
        <f ca="1">SUMPRODUCT((Work_Codes!$AC$129:$AO$129=$E258)*(Work_Codes!$AC$140:$AO$140)*(M$74:M$74))</f>
        <v>0</v>
      </c>
      <c r="N258" s="81">
        <f ca="1">SUMPRODUCT((Work_Codes!$AC$129:$AO$129=$E258)*(Work_Codes!$AC$140:$AO$140)*(N$74:N$74))</f>
        <v>0</v>
      </c>
      <c r="O258" s="81">
        <f ca="1">SUMPRODUCT((Work_Codes!$AC$129:$AO$129=$E258)*(Work_Codes!$AC$140:$AO$140)*(O$74:O$74))</f>
        <v>0</v>
      </c>
      <c r="P258" s="81">
        <f ca="1">SUMPRODUCT((Work_Codes!$AC$129:$AO$129=$E258)*(Work_Codes!$AC$140:$AO$140)*(P$74:P$74))</f>
        <v>0</v>
      </c>
      <c r="Q258" s="81">
        <f ca="1">SUMPRODUCT((Work_Codes!$AC$129:$AO$129=$E258)*(Work_Codes!$AC$140:$AO$140)*(Q$74:Q$74))</f>
        <v>0</v>
      </c>
      <c r="R258" s="81">
        <f ca="1">SUMPRODUCT((Work_Codes!$AC$129:$AO$129=$E258)*(Work_Codes!$AC$140:$AO$140)*(R$74:R$74))</f>
        <v>0</v>
      </c>
      <c r="S258" s="81">
        <f ca="1">SUMPRODUCT((Work_Codes!$AC$129:$AO$129=$E258)*(Work_Codes!$AC$140:$AO$140)*(S$74:S$74))</f>
        <v>0</v>
      </c>
      <c r="T258" s="81">
        <f ca="1">SUMPRODUCT((Work_Codes!$AC$129:$AO$129=$E258)*(Work_Codes!$AC$140:$AO$140)*(T$74:T$74))</f>
        <v>0</v>
      </c>
    </row>
    <row r="259" spans="2:20" outlineLevel="2">
      <c r="E259" s="249" t="str">
        <f t="shared" ref="E259" si="25">"Total "&amp;D243</f>
        <v>Total Customer Contributions</v>
      </c>
      <c r="F259" s="249"/>
      <c r="G259" s="249"/>
      <c r="H259" s="249"/>
      <c r="I259" s="249"/>
      <c r="J259" s="82">
        <f t="shared" ref="J259:T259" ca="1" si="26">SUM(J245:J258)</f>
        <v>0</v>
      </c>
      <c r="K259" s="82">
        <f t="shared" ca="1" si="26"/>
        <v>0</v>
      </c>
      <c r="L259" s="82">
        <f t="shared" ca="1" si="26"/>
        <v>0</v>
      </c>
      <c r="M259" s="82">
        <f t="shared" ca="1" si="26"/>
        <v>0</v>
      </c>
      <c r="N259" s="82">
        <f t="shared" ca="1" si="26"/>
        <v>0</v>
      </c>
      <c r="O259" s="82">
        <f t="shared" ca="1" si="26"/>
        <v>0</v>
      </c>
      <c r="P259" s="82">
        <f t="shared" ca="1" si="26"/>
        <v>0</v>
      </c>
      <c r="Q259" s="82">
        <f t="shared" ca="1" si="26"/>
        <v>0</v>
      </c>
      <c r="R259" s="82">
        <f t="shared" ca="1" si="26"/>
        <v>0</v>
      </c>
      <c r="S259" s="82">
        <f t="shared" ca="1" si="26"/>
        <v>0</v>
      </c>
      <c r="T259" s="82">
        <f t="shared" ca="1" si="26"/>
        <v>0</v>
      </c>
    </row>
    <row r="260" spans="2:20" outlineLevel="2">
      <c r="B260" s="12"/>
      <c r="C260" s="12"/>
      <c r="D260" s="12"/>
      <c r="E260" s="12"/>
      <c r="F260" s="12"/>
      <c r="G260" s="12"/>
      <c r="H260" s="12"/>
      <c r="I260" s="12"/>
      <c r="J260" s="12"/>
      <c r="K260" s="12"/>
      <c r="L260" s="12"/>
      <c r="M260" s="12"/>
      <c r="N260" s="12"/>
      <c r="O260" s="12"/>
      <c r="P260" s="12"/>
      <c r="Q260" s="12"/>
      <c r="R260" s="12"/>
      <c r="S260" s="12"/>
      <c r="T260" s="12"/>
    </row>
    <row r="261" spans="2:20" outlineLevel="2"/>
    <row r="262" spans="2:20" outlineLevel="2">
      <c r="C262" s="37" t="s">
        <v>311</v>
      </c>
    </row>
    <row r="263" spans="2:20" ht="5.9" customHeight="1" outlineLevel="2"/>
    <row r="264" spans="2:20" outlineLevel="2">
      <c r="D264" s="37" t="s">
        <v>215</v>
      </c>
    </row>
    <row r="265" spans="2:20" ht="5.9" customHeight="1" outlineLevel="2"/>
    <row r="266" spans="2:20" outlineLevel="2">
      <c r="E266" s="247" t="str">
        <f>GC!C78</f>
        <v>Mains &amp; Services</v>
      </c>
      <c r="F266" s="247"/>
      <c r="G266" s="247"/>
      <c r="H266" s="247"/>
      <c r="I266" s="247"/>
      <c r="J266" s="81">
        <f ca="1">SUMPRODUCT((Work_Codes!$AR$129:$AX$129=$E266)*(Work_Codes!$AR$132:$AX$136)*(J$113:J$117))</f>
        <v>0</v>
      </c>
      <c r="K266" s="81">
        <f ca="1">SUMPRODUCT((Work_Codes!$AR$129:$AX$129=$E266)*(Work_Codes!$AR$132:$AX$136)*(K$113:K$117))</f>
        <v>0</v>
      </c>
      <c r="L266" s="81">
        <f ca="1">SUMPRODUCT((Work_Codes!$AR$129:$AX$129=$E266)*(Work_Codes!$AR$132:$AX$136)*(L$113:L$117))</f>
        <v>0</v>
      </c>
      <c r="M266" s="81">
        <f ca="1">SUMPRODUCT((Work_Codes!$AR$129:$AX$129=$E266)*(Work_Codes!$AR$132:$AX$136)*(M$113:M$117))</f>
        <v>0</v>
      </c>
      <c r="N266" s="81">
        <f ca="1">SUMPRODUCT((Work_Codes!$AR$129:$AX$129=$E266)*(Work_Codes!$AR$132:$AX$136)*(N$113:N$117))</f>
        <v>0</v>
      </c>
      <c r="O266" s="81">
        <f ca="1">SUMPRODUCT((Work_Codes!$AR$129:$AX$129=$E266)*(Work_Codes!$AR$132:$AX$136)*(O$113:O$117))</f>
        <v>0</v>
      </c>
      <c r="P266" s="81">
        <f ca="1">SUMPRODUCT((Work_Codes!$AR$129:$AX$129=$E266)*(Work_Codes!$AR$132:$AX$136)*(P$113:P$117))</f>
        <v>0</v>
      </c>
      <c r="Q266" s="81">
        <f ca="1">SUMPRODUCT((Work_Codes!$AR$129:$AX$129=$E266)*(Work_Codes!$AR$132:$AX$136)*(Q$113:Q$117))</f>
        <v>0</v>
      </c>
      <c r="R266" s="81">
        <f ca="1">SUMPRODUCT((Work_Codes!$AR$129:$AX$129=$E266)*(Work_Codes!$AR$132:$AX$136)*(R$113:R$117))</f>
        <v>0</v>
      </c>
      <c r="S266" s="81">
        <f ca="1">SUMPRODUCT((Work_Codes!$AR$129:$AX$129=$E266)*(Work_Codes!$AR$132:$AX$136)*(S$113:S$117))</f>
        <v>0</v>
      </c>
      <c r="T266" s="81">
        <f ca="1">SUMPRODUCT((Work_Codes!$AR$129:$AX$129=$E266)*(Work_Codes!$AR$132:$AX$136)*(T$113:T$117))</f>
        <v>0</v>
      </c>
    </row>
    <row r="267" spans="2:20" outlineLevel="2">
      <c r="E267" s="247" t="str">
        <f>GC!C79</f>
        <v>Meters Domestic</v>
      </c>
      <c r="F267" s="247"/>
      <c r="G267" s="247"/>
      <c r="H267" s="247"/>
      <c r="I267" s="247"/>
      <c r="J267" s="81">
        <f ca="1">SUMPRODUCT((Work_Codes!$AR$129:$AX$129=$E267)*(Work_Codes!$AR$132:$AX$136)*(J$113:J$117))</f>
        <v>0</v>
      </c>
      <c r="K267" s="81">
        <f ca="1">SUMPRODUCT((Work_Codes!$AR$129:$AX$129=$E267)*(Work_Codes!$AR$132:$AX$136)*(K$113:K$117))</f>
        <v>0</v>
      </c>
      <c r="L267" s="81">
        <f ca="1">SUMPRODUCT((Work_Codes!$AR$129:$AX$129=$E267)*(Work_Codes!$AR$132:$AX$136)*(L$113:L$117))</f>
        <v>0</v>
      </c>
      <c r="M267" s="81">
        <f ca="1">SUMPRODUCT((Work_Codes!$AR$129:$AX$129=$E267)*(Work_Codes!$AR$132:$AX$136)*(M$113:M$117))</f>
        <v>0</v>
      </c>
      <c r="N267" s="81">
        <f ca="1">SUMPRODUCT((Work_Codes!$AR$129:$AX$129=$E267)*(Work_Codes!$AR$132:$AX$136)*(N$113:N$117))</f>
        <v>3204350.2706936467</v>
      </c>
      <c r="O267" s="81">
        <f ca="1">SUMPRODUCT((Work_Codes!$AR$129:$AX$129=$E267)*(Work_Codes!$AR$132:$AX$136)*(O$113:O$117))</f>
        <v>1888644.1649879646</v>
      </c>
      <c r="P267" s="81">
        <f ca="1">SUMPRODUCT((Work_Codes!$AR$129:$AX$129=$E267)*(Work_Codes!$AR$132:$AX$136)*(P$113:P$117))</f>
        <v>3777882.2643789533</v>
      </c>
      <c r="Q267" s="81">
        <f ca="1">SUMPRODUCT((Work_Codes!$AR$129:$AX$129=$E267)*(Work_Codes!$AR$132:$AX$136)*(Q$113:Q$117))</f>
        <v>4636757.4773725364</v>
      </c>
      <c r="R267" s="81">
        <f ca="1">SUMPRODUCT((Work_Codes!$AR$129:$AX$129=$E267)*(Work_Codes!$AR$132:$AX$136)*(R$113:R$117))</f>
        <v>4912673.4644640796</v>
      </c>
      <c r="S267" s="81">
        <f ca="1">SUMPRODUCT((Work_Codes!$AR$129:$AX$129=$E267)*(Work_Codes!$AR$132:$AX$136)*(S$113:S$117))</f>
        <v>3590553.6342371097</v>
      </c>
      <c r="T267" s="81">
        <f ca="1">SUMPRODUCT((Work_Codes!$AR$129:$AX$129=$E267)*(Work_Codes!$AR$132:$AX$136)*(T$113:T$117))</f>
        <v>3252157.7122829542</v>
      </c>
    </row>
    <row r="268" spans="2:20" outlineLevel="2">
      <c r="E268" s="247" t="str">
        <f>GC!C80</f>
        <v>Meters Industrial &amp; Commercial</v>
      </c>
      <c r="F268" s="247"/>
      <c r="G268" s="247"/>
      <c r="H268" s="247"/>
      <c r="I268" s="247"/>
      <c r="J268" s="81">
        <f ca="1">SUMPRODUCT((Work_Codes!$AR$129:$AX$129=$E268)*(Work_Codes!$AR$132:$AX$136)*(J$113:J$117))</f>
        <v>0</v>
      </c>
      <c r="K268" s="81">
        <f ca="1">SUMPRODUCT((Work_Codes!$AR$129:$AX$129=$E268)*(Work_Codes!$AR$132:$AX$136)*(K$113:K$117))</f>
        <v>0</v>
      </c>
      <c r="L268" s="81">
        <f ca="1">SUMPRODUCT((Work_Codes!$AR$129:$AX$129=$E268)*(Work_Codes!$AR$132:$AX$136)*(L$113:L$117))</f>
        <v>0</v>
      </c>
      <c r="M268" s="81">
        <f ca="1">SUMPRODUCT((Work_Codes!$AR$129:$AX$129=$E268)*(Work_Codes!$AR$132:$AX$136)*(M$113:M$117))</f>
        <v>0</v>
      </c>
      <c r="N268" s="81">
        <f ca="1">SUMPRODUCT((Work_Codes!$AR$129:$AX$129=$E268)*(Work_Codes!$AR$132:$AX$136)*(N$113:N$117))</f>
        <v>0</v>
      </c>
      <c r="O268" s="81">
        <f ca="1">SUMPRODUCT((Work_Codes!$AR$129:$AX$129=$E268)*(Work_Codes!$AR$132:$AX$136)*(O$113:O$117))</f>
        <v>0</v>
      </c>
      <c r="P268" s="81">
        <f ca="1">SUMPRODUCT((Work_Codes!$AR$129:$AX$129=$E268)*(Work_Codes!$AR$132:$AX$136)*(P$113:P$117))</f>
        <v>0</v>
      </c>
      <c r="Q268" s="81">
        <f ca="1">SUMPRODUCT((Work_Codes!$AR$129:$AX$129=$E268)*(Work_Codes!$AR$132:$AX$136)*(Q$113:Q$117))</f>
        <v>0</v>
      </c>
      <c r="R268" s="81">
        <f ca="1">SUMPRODUCT((Work_Codes!$AR$129:$AX$129=$E268)*(Work_Codes!$AR$132:$AX$136)*(R$113:R$117))</f>
        <v>0</v>
      </c>
      <c r="S268" s="81">
        <f ca="1">SUMPRODUCT((Work_Codes!$AR$129:$AX$129=$E268)*(Work_Codes!$AR$132:$AX$136)*(S$113:S$117))</f>
        <v>0</v>
      </c>
      <c r="T268" s="81">
        <f ca="1">SUMPRODUCT((Work_Codes!$AR$129:$AX$129=$E268)*(Work_Codes!$AR$132:$AX$136)*(T$113:T$117))</f>
        <v>0</v>
      </c>
    </row>
    <row r="269" spans="2:20" outlineLevel="2">
      <c r="E269" s="247" t="str">
        <f>GC!C81</f>
        <v>Buildings</v>
      </c>
      <c r="F269" s="247"/>
      <c r="G269" s="247"/>
      <c r="H269" s="247"/>
      <c r="I269" s="247"/>
      <c r="J269" s="81">
        <f ca="1">SUMPRODUCT((Work_Codes!$AR$129:$AX$129=$E269)*(Work_Codes!$AR$132:$AX$136)*(J$113:J$117))</f>
        <v>0</v>
      </c>
      <c r="K269" s="81">
        <f ca="1">SUMPRODUCT((Work_Codes!$AR$129:$AX$129=$E269)*(Work_Codes!$AR$132:$AX$136)*(K$113:K$117))</f>
        <v>0</v>
      </c>
      <c r="L269" s="81">
        <f ca="1">SUMPRODUCT((Work_Codes!$AR$129:$AX$129=$E269)*(Work_Codes!$AR$132:$AX$136)*(L$113:L$117))</f>
        <v>0</v>
      </c>
      <c r="M269" s="81">
        <f ca="1">SUMPRODUCT((Work_Codes!$AR$129:$AX$129=$E269)*(Work_Codes!$AR$132:$AX$136)*(M$113:M$117))</f>
        <v>0</v>
      </c>
      <c r="N269" s="81">
        <f ca="1">SUMPRODUCT((Work_Codes!$AR$129:$AX$129=$E269)*(Work_Codes!$AR$132:$AX$136)*(N$113:N$117))</f>
        <v>0</v>
      </c>
      <c r="O269" s="81">
        <f ca="1">SUMPRODUCT((Work_Codes!$AR$129:$AX$129=$E269)*(Work_Codes!$AR$132:$AX$136)*(O$113:O$117))</f>
        <v>0</v>
      </c>
      <c r="P269" s="81">
        <f ca="1">SUMPRODUCT((Work_Codes!$AR$129:$AX$129=$E269)*(Work_Codes!$AR$132:$AX$136)*(P$113:P$117))</f>
        <v>0</v>
      </c>
      <c r="Q269" s="81">
        <f ca="1">SUMPRODUCT((Work_Codes!$AR$129:$AX$129=$E269)*(Work_Codes!$AR$132:$AX$136)*(Q$113:Q$117))</f>
        <v>0</v>
      </c>
      <c r="R269" s="81">
        <f ca="1">SUMPRODUCT((Work_Codes!$AR$129:$AX$129=$E269)*(Work_Codes!$AR$132:$AX$136)*(R$113:R$117))</f>
        <v>0</v>
      </c>
      <c r="S269" s="81">
        <f ca="1">SUMPRODUCT((Work_Codes!$AR$129:$AX$129=$E269)*(Work_Codes!$AR$132:$AX$136)*(S$113:S$117))</f>
        <v>0</v>
      </c>
      <c r="T269" s="81">
        <f ca="1">SUMPRODUCT((Work_Codes!$AR$129:$AX$129=$E269)*(Work_Codes!$AR$132:$AX$136)*(T$113:T$117))</f>
        <v>0</v>
      </c>
    </row>
    <row r="270" spans="2:20" outlineLevel="2">
      <c r="E270" s="247" t="str">
        <f>GC!C82</f>
        <v>Other Assets</v>
      </c>
      <c r="F270" s="247"/>
      <c r="G270" s="247"/>
      <c r="H270" s="247"/>
      <c r="I270" s="247"/>
      <c r="J270" s="81">
        <f ca="1">SUMPRODUCT((Work_Codes!$AR$129:$AX$129=$E270)*(Work_Codes!$AR$132:$AX$136)*(J$113:J$117))</f>
        <v>0</v>
      </c>
      <c r="K270" s="81">
        <f ca="1">SUMPRODUCT((Work_Codes!$AR$129:$AX$129=$E270)*(Work_Codes!$AR$132:$AX$136)*(K$113:K$117))</f>
        <v>0</v>
      </c>
      <c r="L270" s="81">
        <f ca="1">SUMPRODUCT((Work_Codes!$AR$129:$AX$129=$E270)*(Work_Codes!$AR$132:$AX$136)*(L$113:L$117))</f>
        <v>0</v>
      </c>
      <c r="M270" s="81">
        <f ca="1">SUMPRODUCT((Work_Codes!$AR$129:$AX$129=$E270)*(Work_Codes!$AR$132:$AX$136)*(M$113:M$117))</f>
        <v>0</v>
      </c>
      <c r="N270" s="81">
        <f ca="1">SUMPRODUCT((Work_Codes!$AR$129:$AX$129=$E270)*(Work_Codes!$AR$132:$AX$136)*(N$113:N$117))</f>
        <v>0</v>
      </c>
      <c r="O270" s="81">
        <f ca="1">SUMPRODUCT((Work_Codes!$AR$129:$AX$129=$E270)*(Work_Codes!$AR$132:$AX$136)*(O$113:O$117))</f>
        <v>0</v>
      </c>
      <c r="P270" s="81">
        <f ca="1">SUMPRODUCT((Work_Codes!$AR$129:$AX$129=$E270)*(Work_Codes!$AR$132:$AX$136)*(P$113:P$117))</f>
        <v>0</v>
      </c>
      <c r="Q270" s="81">
        <f ca="1">SUMPRODUCT((Work_Codes!$AR$129:$AX$129=$E270)*(Work_Codes!$AR$132:$AX$136)*(Q$113:Q$117))</f>
        <v>0</v>
      </c>
      <c r="R270" s="81">
        <f ca="1">SUMPRODUCT((Work_Codes!$AR$129:$AX$129=$E270)*(Work_Codes!$AR$132:$AX$136)*(R$113:R$117))</f>
        <v>0</v>
      </c>
      <c r="S270" s="81">
        <f ca="1">SUMPRODUCT((Work_Codes!$AR$129:$AX$129=$E270)*(Work_Codes!$AR$132:$AX$136)*(S$113:S$117))</f>
        <v>0</v>
      </c>
      <c r="T270" s="81">
        <f ca="1">SUMPRODUCT((Work_Codes!$AR$129:$AX$129=$E270)*(Work_Codes!$AR$132:$AX$136)*(T$113:T$117))</f>
        <v>0</v>
      </c>
    </row>
    <row r="271" spans="2:20" outlineLevel="2">
      <c r="E271" s="247" t="str">
        <f>GC!C83</f>
        <v>Repairs</v>
      </c>
      <c r="F271" s="247"/>
      <c r="G271" s="247"/>
      <c r="H271" s="247"/>
      <c r="I271" s="247"/>
      <c r="J271" s="81">
        <f ca="1">SUMPRODUCT((Work_Codes!$AR$129:$AX$129=$E271)*(Work_Codes!$AR$132:$AX$136)*(J$113:J$117))</f>
        <v>0</v>
      </c>
      <c r="K271" s="81">
        <f ca="1">SUMPRODUCT((Work_Codes!$AR$129:$AX$129=$E271)*(Work_Codes!$AR$132:$AX$136)*(K$113:K$117))</f>
        <v>0</v>
      </c>
      <c r="L271" s="81">
        <f ca="1">SUMPRODUCT((Work_Codes!$AR$129:$AX$129=$E271)*(Work_Codes!$AR$132:$AX$136)*(L$113:L$117))</f>
        <v>0</v>
      </c>
      <c r="M271" s="81">
        <f ca="1">SUMPRODUCT((Work_Codes!$AR$129:$AX$129=$E271)*(Work_Codes!$AR$132:$AX$136)*(M$113:M$117))</f>
        <v>0</v>
      </c>
      <c r="N271" s="81">
        <f ca="1">SUMPRODUCT((Work_Codes!$AR$129:$AX$129=$E271)*(Work_Codes!$AR$132:$AX$136)*(N$113:N$117))</f>
        <v>0</v>
      </c>
      <c r="O271" s="81">
        <f ca="1">SUMPRODUCT((Work_Codes!$AR$129:$AX$129=$E271)*(Work_Codes!$AR$132:$AX$136)*(O$113:O$117))</f>
        <v>0</v>
      </c>
      <c r="P271" s="81">
        <f ca="1">SUMPRODUCT((Work_Codes!$AR$129:$AX$129=$E271)*(Work_Codes!$AR$132:$AX$136)*(P$113:P$117))</f>
        <v>0</v>
      </c>
      <c r="Q271" s="81">
        <f ca="1">SUMPRODUCT((Work_Codes!$AR$129:$AX$129=$E271)*(Work_Codes!$AR$132:$AX$136)*(Q$113:Q$117))</f>
        <v>0</v>
      </c>
      <c r="R271" s="81">
        <f ca="1">SUMPRODUCT((Work_Codes!$AR$129:$AX$129=$E271)*(Work_Codes!$AR$132:$AX$136)*(R$113:R$117))</f>
        <v>0</v>
      </c>
      <c r="S271" s="81">
        <f ca="1">SUMPRODUCT((Work_Codes!$AR$129:$AX$129=$E271)*(Work_Codes!$AR$132:$AX$136)*(S$113:S$117))</f>
        <v>0</v>
      </c>
      <c r="T271" s="81">
        <f ca="1">SUMPRODUCT((Work_Codes!$AR$129:$AX$129=$E271)*(Work_Codes!$AR$132:$AX$136)*(T$113:T$117))</f>
        <v>0</v>
      </c>
    </row>
    <row r="272" spans="2:20" outlineLevel="2">
      <c r="E272" s="247" t="str">
        <f>GC!C84</f>
        <v>Land</v>
      </c>
      <c r="F272" s="247"/>
      <c r="G272" s="247"/>
      <c r="H272" s="247"/>
      <c r="I272" s="247"/>
      <c r="J272" s="81">
        <f ca="1">SUMPRODUCT((Work_Codes!$AR$129:$AX$129=$E272)*(Work_Codes!$AR$132:$AX$136)*(J$113:J$117))</f>
        <v>0</v>
      </c>
      <c r="K272" s="81">
        <f ca="1">SUMPRODUCT((Work_Codes!$AR$129:$AX$129=$E272)*(Work_Codes!$AR$132:$AX$136)*(K$113:K$117))</f>
        <v>0</v>
      </c>
      <c r="L272" s="81">
        <f ca="1">SUMPRODUCT((Work_Codes!$AR$129:$AX$129=$E272)*(Work_Codes!$AR$132:$AX$136)*(L$113:L$117))</f>
        <v>0</v>
      </c>
      <c r="M272" s="81">
        <f ca="1">SUMPRODUCT((Work_Codes!$AR$129:$AX$129=$E272)*(Work_Codes!$AR$132:$AX$136)*(M$113:M$117))</f>
        <v>0</v>
      </c>
      <c r="N272" s="81">
        <f ca="1">SUMPRODUCT((Work_Codes!$AR$129:$AX$129=$E272)*(Work_Codes!$AR$132:$AX$136)*(N$113:N$117))</f>
        <v>0</v>
      </c>
      <c r="O272" s="81">
        <f ca="1">SUMPRODUCT((Work_Codes!$AR$129:$AX$129=$E272)*(Work_Codes!$AR$132:$AX$136)*(O$113:O$117))</f>
        <v>0</v>
      </c>
      <c r="P272" s="81">
        <f ca="1">SUMPRODUCT((Work_Codes!$AR$129:$AX$129=$E272)*(Work_Codes!$AR$132:$AX$136)*(P$113:P$117))</f>
        <v>0</v>
      </c>
      <c r="Q272" s="81">
        <f ca="1">SUMPRODUCT((Work_Codes!$AR$129:$AX$129=$E272)*(Work_Codes!$AR$132:$AX$136)*(Q$113:Q$117))</f>
        <v>0</v>
      </c>
      <c r="R272" s="81">
        <f ca="1">SUMPRODUCT((Work_Codes!$AR$129:$AX$129=$E272)*(Work_Codes!$AR$132:$AX$136)*(R$113:R$117))</f>
        <v>0</v>
      </c>
      <c r="S272" s="81">
        <f ca="1">SUMPRODUCT((Work_Codes!$AR$129:$AX$129=$E272)*(Work_Codes!$AR$132:$AX$136)*(S$113:S$117))</f>
        <v>0</v>
      </c>
      <c r="T272" s="81">
        <f ca="1">SUMPRODUCT((Work_Codes!$AR$129:$AX$129=$E272)*(Work_Codes!$AR$132:$AX$136)*(T$113:T$117))</f>
        <v>0</v>
      </c>
    </row>
    <row r="273" spans="2:20" outlineLevel="2">
      <c r="E273" s="249" t="str">
        <f>"Total "&amp;D264</f>
        <v>Total Direct Costs</v>
      </c>
      <c r="F273" s="249"/>
      <c r="G273" s="249"/>
      <c r="H273" s="249"/>
      <c r="I273" s="249"/>
      <c r="J273" s="82">
        <f t="shared" ref="J273:T273" ca="1" si="27">SUM(J266:J272)</f>
        <v>0</v>
      </c>
      <c r="K273" s="82">
        <f t="shared" ca="1" si="27"/>
        <v>0</v>
      </c>
      <c r="L273" s="82">
        <f t="shared" ca="1" si="27"/>
        <v>0</v>
      </c>
      <c r="M273" s="82">
        <f t="shared" ca="1" si="27"/>
        <v>0</v>
      </c>
      <c r="N273" s="82">
        <f t="shared" ca="1" si="27"/>
        <v>3204350.2706936467</v>
      </c>
      <c r="O273" s="82">
        <f t="shared" ca="1" si="27"/>
        <v>1888644.1649879646</v>
      </c>
      <c r="P273" s="82">
        <f t="shared" ca="1" si="27"/>
        <v>3777882.2643789533</v>
      </c>
      <c r="Q273" s="82">
        <f t="shared" ca="1" si="27"/>
        <v>4636757.4773725364</v>
      </c>
      <c r="R273" s="82">
        <f t="shared" ca="1" si="27"/>
        <v>4912673.4644640796</v>
      </c>
      <c r="S273" s="82">
        <f t="shared" ca="1" si="27"/>
        <v>3590553.6342371097</v>
      </c>
      <c r="T273" s="82">
        <f t="shared" ca="1" si="27"/>
        <v>3252157.7122829542</v>
      </c>
    </row>
    <row r="274" spans="2:20" outlineLevel="2"/>
    <row r="275" spans="2:20" outlineLevel="2">
      <c r="D275" s="37" t="s">
        <v>313</v>
      </c>
    </row>
    <row r="276" spans="2:20" ht="5.9" customHeight="1" outlineLevel="2"/>
    <row r="277" spans="2:20" outlineLevel="2">
      <c r="E277" s="247" t="str">
        <f>GC!C78</f>
        <v>Mains &amp; Services</v>
      </c>
      <c r="F277" s="247"/>
      <c r="G277" s="247"/>
      <c r="H277" s="247"/>
      <c r="I277" s="247"/>
      <c r="J277" s="81">
        <f ca="1">J266*(1+INDEX(J$35:J$37,MATCH(Work_Codes!$I$126,$D$35:$D$37,0)))</f>
        <v>0</v>
      </c>
      <c r="K277" s="81">
        <f ca="1">K266*(1+INDEX(K$35:K$37,MATCH(Work_Codes!$I$126,$D$35:$D$37,0)))</f>
        <v>0</v>
      </c>
      <c r="L277" s="81">
        <f ca="1">L266*(1+INDEX(L$35:L$37,MATCH(Work_Codes!$I$126,$D$35:$D$37,0)))</f>
        <v>0</v>
      </c>
      <c r="M277" s="81">
        <f ca="1">M266*(1+INDEX(M$35:M$37,MATCH(Work_Codes!$I$126,$D$35:$D$37,0)))</f>
        <v>0</v>
      </c>
      <c r="N277" s="81">
        <f ca="1">N266*(1+INDEX(N$35:N$37,MATCH(Work_Codes!$I$126,$D$35:$D$37,0)))</f>
        <v>0</v>
      </c>
      <c r="O277" s="81">
        <f ca="1">O266*(1+INDEX(O$35:O$37,MATCH(Work_Codes!$I$126,$D$35:$D$37,0)))</f>
        <v>0</v>
      </c>
      <c r="P277" s="81">
        <f ca="1">P266*(1+INDEX(P$35:P$37,MATCH(Work_Codes!$I$126,$D$35:$D$37,0)))</f>
        <v>0</v>
      </c>
      <c r="Q277" s="81">
        <f ca="1">Q266*(1+INDEX(Q$35:Q$37,MATCH(Work_Codes!$I$126,$D$35:$D$37,0)))</f>
        <v>0</v>
      </c>
      <c r="R277" s="81">
        <f ca="1">R266*(1+INDEX(R$35:R$37,MATCH(Work_Codes!$I$126,$D$35:$D$37,0)))</f>
        <v>0</v>
      </c>
      <c r="S277" s="81">
        <f ca="1">S266*(1+INDEX(S$35:S$37,MATCH(Work_Codes!$I$126,$D$35:$D$37,0)))</f>
        <v>0</v>
      </c>
      <c r="T277" s="81">
        <f ca="1">T266*(1+INDEX(T$35:T$37,MATCH(Work_Codes!$I$126,$D$35:$D$37,0)))</f>
        <v>0</v>
      </c>
    </row>
    <row r="278" spans="2:20" outlineLevel="2">
      <c r="E278" s="247" t="str">
        <f>GC!C79</f>
        <v>Meters Domestic</v>
      </c>
      <c r="F278" s="247"/>
      <c r="G278" s="247"/>
      <c r="H278" s="247"/>
      <c r="I278" s="247"/>
      <c r="J278" s="81">
        <f ca="1">J267*(1+INDEX(J$35:J$37,MATCH(Work_Codes!$I$126,$D$35:$D$37,0)))</f>
        <v>0</v>
      </c>
      <c r="K278" s="81">
        <f ca="1">K267*(1+INDEX(K$35:K$37,MATCH(Work_Codes!$I$126,$D$35:$D$37,0)))</f>
        <v>0</v>
      </c>
      <c r="L278" s="81">
        <f ca="1">L267*(1+INDEX(L$35:L$37,MATCH(Work_Codes!$I$126,$D$35:$D$37,0)))</f>
        <v>0</v>
      </c>
      <c r="M278" s="81">
        <f ca="1">M267*(1+INDEX(M$35:M$37,MATCH(Work_Codes!$I$126,$D$35:$D$37,0)))</f>
        <v>0</v>
      </c>
      <c r="N278" s="81">
        <f ca="1">N267*(1+INDEX(N$35:N$37,MATCH(Work_Codes!$I$126,$D$35:$D$37,0)))</f>
        <v>3325189.5474092909</v>
      </c>
      <c r="O278" s="81">
        <f ca="1">O267*(1+INDEX(O$35:O$37,MATCH(Work_Codes!$I$126,$D$35:$D$37,0)))</f>
        <v>1951505.7389307767</v>
      </c>
      <c r="P278" s="81">
        <f ca="1">P267*(1+INDEX(P$35:P$37,MATCH(Work_Codes!$I$126,$D$35:$D$37,0)))</f>
        <v>3878950.6660576495</v>
      </c>
      <c r="Q278" s="81">
        <f ca="1">Q267*(1+INDEX(Q$35:Q$37,MATCH(Work_Codes!$I$126,$D$35:$D$37,0)))</f>
        <v>4757594.1006277036</v>
      </c>
      <c r="R278" s="81">
        <f ca="1">R267*(1+INDEX(R$35:R$37,MATCH(Work_Codes!$I$126,$D$35:$D$37,0)))</f>
        <v>5044691.7678896841</v>
      </c>
      <c r="S278" s="81">
        <f ca="1">S267*(1+INDEX(S$35:S$37,MATCH(Work_Codes!$I$126,$D$35:$D$37,0)))</f>
        <v>3693050.2207309967</v>
      </c>
      <c r="T278" s="81">
        <f ca="1">T267*(1+INDEX(T$35:T$37,MATCH(Work_Codes!$I$126,$D$35:$D$37,0)))</f>
        <v>3349463.5010124962</v>
      </c>
    </row>
    <row r="279" spans="2:20" outlineLevel="2">
      <c r="E279" s="247" t="str">
        <f>GC!C80</f>
        <v>Meters Industrial &amp; Commercial</v>
      </c>
      <c r="F279" s="247"/>
      <c r="G279" s="247"/>
      <c r="H279" s="247"/>
      <c r="I279" s="247"/>
      <c r="J279" s="81">
        <f ca="1">J268*(1+INDEX(J$35:J$37,MATCH(Work_Codes!$I$126,$D$35:$D$37,0)))</f>
        <v>0</v>
      </c>
      <c r="K279" s="81">
        <f ca="1">K268*(1+INDEX(K$35:K$37,MATCH(Work_Codes!$I$126,$D$35:$D$37,0)))</f>
        <v>0</v>
      </c>
      <c r="L279" s="81">
        <f ca="1">L268*(1+INDEX(L$35:L$37,MATCH(Work_Codes!$I$126,$D$35:$D$37,0)))</f>
        <v>0</v>
      </c>
      <c r="M279" s="81">
        <f ca="1">M268*(1+INDEX(M$35:M$37,MATCH(Work_Codes!$I$126,$D$35:$D$37,0)))</f>
        <v>0</v>
      </c>
      <c r="N279" s="81">
        <f ca="1">N268*(1+INDEX(N$35:N$37,MATCH(Work_Codes!$I$126,$D$35:$D$37,0)))</f>
        <v>0</v>
      </c>
      <c r="O279" s="81">
        <f ca="1">O268*(1+INDEX(O$35:O$37,MATCH(Work_Codes!$I$126,$D$35:$D$37,0)))</f>
        <v>0</v>
      </c>
      <c r="P279" s="81">
        <f ca="1">P268*(1+INDEX(P$35:P$37,MATCH(Work_Codes!$I$126,$D$35:$D$37,0)))</f>
        <v>0</v>
      </c>
      <c r="Q279" s="81">
        <f ca="1">Q268*(1+INDEX(Q$35:Q$37,MATCH(Work_Codes!$I$126,$D$35:$D$37,0)))</f>
        <v>0</v>
      </c>
      <c r="R279" s="81">
        <f ca="1">R268*(1+INDEX(R$35:R$37,MATCH(Work_Codes!$I$126,$D$35:$D$37,0)))</f>
        <v>0</v>
      </c>
      <c r="S279" s="81">
        <f ca="1">S268*(1+INDEX(S$35:S$37,MATCH(Work_Codes!$I$126,$D$35:$D$37,0)))</f>
        <v>0</v>
      </c>
      <c r="T279" s="81">
        <f ca="1">T268*(1+INDEX(T$35:T$37,MATCH(Work_Codes!$I$126,$D$35:$D$37,0)))</f>
        <v>0</v>
      </c>
    </row>
    <row r="280" spans="2:20" outlineLevel="2">
      <c r="E280" s="247" t="str">
        <f>GC!C81</f>
        <v>Buildings</v>
      </c>
      <c r="F280" s="247"/>
      <c r="G280" s="247"/>
      <c r="H280" s="247"/>
      <c r="I280" s="247"/>
      <c r="J280" s="81">
        <f ca="1">J269*(1+INDEX(J$35:J$37,MATCH(Work_Codes!$I$126,$D$35:$D$37,0)))</f>
        <v>0</v>
      </c>
      <c r="K280" s="81">
        <f ca="1">K269*(1+INDEX(K$35:K$37,MATCH(Work_Codes!$I$126,$D$35:$D$37,0)))</f>
        <v>0</v>
      </c>
      <c r="L280" s="81">
        <f ca="1">L269*(1+INDEX(L$35:L$37,MATCH(Work_Codes!$I$126,$D$35:$D$37,0)))</f>
        <v>0</v>
      </c>
      <c r="M280" s="81">
        <f ca="1">M269*(1+INDEX(M$35:M$37,MATCH(Work_Codes!$I$126,$D$35:$D$37,0)))</f>
        <v>0</v>
      </c>
      <c r="N280" s="81">
        <f ca="1">N269*(1+INDEX(N$35:N$37,MATCH(Work_Codes!$I$126,$D$35:$D$37,0)))</f>
        <v>0</v>
      </c>
      <c r="O280" s="81">
        <f ca="1">O269*(1+INDEX(O$35:O$37,MATCH(Work_Codes!$I$126,$D$35:$D$37,0)))</f>
        <v>0</v>
      </c>
      <c r="P280" s="81">
        <f ca="1">P269*(1+INDEX(P$35:P$37,MATCH(Work_Codes!$I$126,$D$35:$D$37,0)))</f>
        <v>0</v>
      </c>
      <c r="Q280" s="81">
        <f ca="1">Q269*(1+INDEX(Q$35:Q$37,MATCH(Work_Codes!$I$126,$D$35:$D$37,0)))</f>
        <v>0</v>
      </c>
      <c r="R280" s="81">
        <f ca="1">R269*(1+INDEX(R$35:R$37,MATCH(Work_Codes!$I$126,$D$35:$D$37,0)))</f>
        <v>0</v>
      </c>
      <c r="S280" s="81">
        <f ca="1">S269*(1+INDEX(S$35:S$37,MATCH(Work_Codes!$I$126,$D$35:$D$37,0)))</f>
        <v>0</v>
      </c>
      <c r="T280" s="81">
        <f ca="1">T269*(1+INDEX(T$35:T$37,MATCH(Work_Codes!$I$126,$D$35:$D$37,0)))</f>
        <v>0</v>
      </c>
    </row>
    <row r="281" spans="2:20" outlineLevel="2">
      <c r="E281" s="247" t="str">
        <f>GC!C82</f>
        <v>Other Assets</v>
      </c>
      <c r="F281" s="247"/>
      <c r="G281" s="247"/>
      <c r="H281" s="247"/>
      <c r="I281" s="247"/>
      <c r="J281" s="81">
        <f ca="1">J270*(1+INDEX(J$35:J$37,MATCH(Work_Codes!$I$126,$D$35:$D$37,0)))</f>
        <v>0</v>
      </c>
      <c r="K281" s="81">
        <f ca="1">K270*(1+INDEX(K$35:K$37,MATCH(Work_Codes!$I$126,$D$35:$D$37,0)))</f>
        <v>0</v>
      </c>
      <c r="L281" s="81">
        <f ca="1">L270*(1+INDEX(L$35:L$37,MATCH(Work_Codes!$I$126,$D$35:$D$37,0)))</f>
        <v>0</v>
      </c>
      <c r="M281" s="81">
        <f ca="1">M270*(1+INDEX(M$35:M$37,MATCH(Work_Codes!$I$126,$D$35:$D$37,0)))</f>
        <v>0</v>
      </c>
      <c r="N281" s="81">
        <f ca="1">N270*(1+INDEX(N$35:N$37,MATCH(Work_Codes!$I$126,$D$35:$D$37,0)))</f>
        <v>0</v>
      </c>
      <c r="O281" s="81">
        <f ca="1">O270*(1+INDEX(O$35:O$37,MATCH(Work_Codes!$I$126,$D$35:$D$37,0)))</f>
        <v>0</v>
      </c>
      <c r="P281" s="81">
        <f ca="1">P270*(1+INDEX(P$35:P$37,MATCH(Work_Codes!$I$126,$D$35:$D$37,0)))</f>
        <v>0</v>
      </c>
      <c r="Q281" s="81">
        <f ca="1">Q270*(1+INDEX(Q$35:Q$37,MATCH(Work_Codes!$I$126,$D$35:$D$37,0)))</f>
        <v>0</v>
      </c>
      <c r="R281" s="81">
        <f ca="1">R270*(1+INDEX(R$35:R$37,MATCH(Work_Codes!$I$126,$D$35:$D$37,0)))</f>
        <v>0</v>
      </c>
      <c r="S281" s="81">
        <f ca="1">S270*(1+INDEX(S$35:S$37,MATCH(Work_Codes!$I$126,$D$35:$D$37,0)))</f>
        <v>0</v>
      </c>
      <c r="T281" s="81">
        <f ca="1">T270*(1+INDEX(T$35:T$37,MATCH(Work_Codes!$I$126,$D$35:$D$37,0)))</f>
        <v>0</v>
      </c>
    </row>
    <row r="282" spans="2:20" outlineLevel="2">
      <c r="E282" s="247" t="str">
        <f>GC!C83</f>
        <v>Repairs</v>
      </c>
      <c r="F282" s="247"/>
      <c r="G282" s="247"/>
      <c r="H282" s="247"/>
      <c r="I282" s="247"/>
      <c r="J282" s="81">
        <f ca="1">J271*(1+INDEX(J$35:J$37,MATCH(Work_Codes!$I$126,$D$35:$D$37,0)))</f>
        <v>0</v>
      </c>
      <c r="K282" s="81">
        <f ca="1">K271*(1+INDEX(K$35:K$37,MATCH(Work_Codes!$I$126,$D$35:$D$37,0)))</f>
        <v>0</v>
      </c>
      <c r="L282" s="81">
        <f ca="1">L271*(1+INDEX(L$35:L$37,MATCH(Work_Codes!$I$126,$D$35:$D$37,0)))</f>
        <v>0</v>
      </c>
      <c r="M282" s="81">
        <f ca="1">M271*(1+INDEX(M$35:M$37,MATCH(Work_Codes!$I$126,$D$35:$D$37,0)))</f>
        <v>0</v>
      </c>
      <c r="N282" s="81">
        <f ca="1">N271*(1+INDEX(N$35:N$37,MATCH(Work_Codes!$I$126,$D$35:$D$37,0)))</f>
        <v>0</v>
      </c>
      <c r="O282" s="81">
        <f ca="1">O271*(1+INDEX(O$35:O$37,MATCH(Work_Codes!$I$126,$D$35:$D$37,0)))</f>
        <v>0</v>
      </c>
      <c r="P282" s="81">
        <f ca="1">P271*(1+INDEX(P$35:P$37,MATCH(Work_Codes!$I$126,$D$35:$D$37,0)))</f>
        <v>0</v>
      </c>
      <c r="Q282" s="81">
        <f ca="1">Q271*(1+INDEX(Q$35:Q$37,MATCH(Work_Codes!$I$126,$D$35:$D$37,0)))</f>
        <v>0</v>
      </c>
      <c r="R282" s="81">
        <f ca="1">R271*(1+INDEX(R$35:R$37,MATCH(Work_Codes!$I$126,$D$35:$D$37,0)))</f>
        <v>0</v>
      </c>
      <c r="S282" s="81">
        <f ca="1">S271*(1+INDEX(S$35:S$37,MATCH(Work_Codes!$I$126,$D$35:$D$37,0)))</f>
        <v>0</v>
      </c>
      <c r="T282" s="81">
        <f ca="1">T271*(1+INDEX(T$35:T$37,MATCH(Work_Codes!$I$126,$D$35:$D$37,0)))</f>
        <v>0</v>
      </c>
    </row>
    <row r="283" spans="2:20" outlineLevel="2">
      <c r="E283" s="247" t="str">
        <f>GC!C84</f>
        <v>Land</v>
      </c>
      <c r="F283" s="247"/>
      <c r="G283" s="247"/>
      <c r="H283" s="247"/>
      <c r="I283" s="247"/>
      <c r="J283" s="81">
        <f ca="1">J272*(1+INDEX(J$35:J$37,MATCH(Work_Codes!$I$126,$D$35:$D$37,0)))</f>
        <v>0</v>
      </c>
      <c r="K283" s="81">
        <f ca="1">K272*(1+INDEX(K$35:K$37,MATCH(Work_Codes!$I$126,$D$35:$D$37,0)))</f>
        <v>0</v>
      </c>
      <c r="L283" s="81">
        <f ca="1">L272*(1+INDEX(L$35:L$37,MATCH(Work_Codes!$I$126,$D$35:$D$37,0)))</f>
        <v>0</v>
      </c>
      <c r="M283" s="81">
        <f ca="1">M272*(1+INDEX(M$35:M$37,MATCH(Work_Codes!$I$126,$D$35:$D$37,0)))</f>
        <v>0</v>
      </c>
      <c r="N283" s="81">
        <f ca="1">N272*(1+INDEX(N$35:N$37,MATCH(Work_Codes!$I$126,$D$35:$D$37,0)))</f>
        <v>0</v>
      </c>
      <c r="O283" s="81">
        <f ca="1">O272*(1+INDEX(O$35:O$37,MATCH(Work_Codes!$I$126,$D$35:$D$37,0)))</f>
        <v>0</v>
      </c>
      <c r="P283" s="81">
        <f ca="1">P272*(1+INDEX(P$35:P$37,MATCH(Work_Codes!$I$126,$D$35:$D$37,0)))</f>
        <v>0</v>
      </c>
      <c r="Q283" s="81">
        <f ca="1">Q272*(1+INDEX(Q$35:Q$37,MATCH(Work_Codes!$I$126,$D$35:$D$37,0)))</f>
        <v>0</v>
      </c>
      <c r="R283" s="81">
        <f ca="1">R272*(1+INDEX(R$35:R$37,MATCH(Work_Codes!$I$126,$D$35:$D$37,0)))</f>
        <v>0</v>
      </c>
      <c r="S283" s="81">
        <f ca="1">S272*(1+INDEX(S$35:S$37,MATCH(Work_Codes!$I$126,$D$35:$D$37,0)))</f>
        <v>0</v>
      </c>
      <c r="T283" s="81">
        <f ca="1">T272*(1+INDEX(T$35:T$37,MATCH(Work_Codes!$I$126,$D$35:$D$37,0)))</f>
        <v>0</v>
      </c>
    </row>
    <row r="284" spans="2:20" outlineLevel="2">
      <c r="E284" s="249" t="str">
        <f>"Total "&amp;D275</f>
        <v>Total Direct Costs +  Overheads</v>
      </c>
      <c r="F284" s="249"/>
      <c r="G284" s="249"/>
      <c r="H284" s="249"/>
      <c r="I284" s="249"/>
      <c r="J284" s="82">
        <f t="shared" ref="J284:T284" ca="1" si="28">SUM(J277:J283)</f>
        <v>0</v>
      </c>
      <c r="K284" s="82">
        <f t="shared" ca="1" si="28"/>
        <v>0</v>
      </c>
      <c r="L284" s="82">
        <f t="shared" ca="1" si="28"/>
        <v>0</v>
      </c>
      <c r="M284" s="82">
        <f t="shared" ca="1" si="28"/>
        <v>0</v>
      </c>
      <c r="N284" s="82">
        <f t="shared" ca="1" si="28"/>
        <v>3325189.5474092909</v>
      </c>
      <c r="O284" s="82">
        <f t="shared" ca="1" si="28"/>
        <v>1951505.7389307767</v>
      </c>
      <c r="P284" s="82">
        <f t="shared" ca="1" si="28"/>
        <v>3878950.6660576495</v>
      </c>
      <c r="Q284" s="82">
        <f t="shared" ca="1" si="28"/>
        <v>4757594.1006277036</v>
      </c>
      <c r="R284" s="82">
        <f t="shared" ca="1" si="28"/>
        <v>5044691.7678896841</v>
      </c>
      <c r="S284" s="82">
        <f t="shared" ca="1" si="28"/>
        <v>3693050.2207309967</v>
      </c>
      <c r="T284" s="82">
        <f t="shared" ca="1" si="28"/>
        <v>3349463.5010124962</v>
      </c>
    </row>
    <row r="285" spans="2:20" outlineLevel="1">
      <c r="B285" s="12"/>
      <c r="C285" s="12"/>
      <c r="D285" s="12"/>
      <c r="E285" s="12"/>
      <c r="F285" s="12"/>
      <c r="G285" s="12"/>
      <c r="H285" s="12"/>
      <c r="I285" s="12"/>
      <c r="J285" s="12"/>
      <c r="K285" s="12"/>
      <c r="L285" s="12"/>
      <c r="M285" s="12"/>
      <c r="N285" s="12"/>
      <c r="O285" s="12"/>
      <c r="P285" s="12"/>
      <c r="Q285" s="12"/>
      <c r="R285" s="12"/>
      <c r="S285" s="12"/>
      <c r="T285" s="12"/>
    </row>
    <row r="286" spans="2:20" outlineLevel="1"/>
    <row r="287" spans="2:20" outlineLevel="1">
      <c r="C287" s="37" t="s">
        <v>19</v>
      </c>
    </row>
    <row r="288" spans="2:20" ht="5.9" customHeight="1" outlineLevel="1"/>
    <row r="289" spans="2:20" outlineLevel="1">
      <c r="F289" s="51" t="str">
        <f>$B$23&amp;" Work Code v RAB Category Direct Check"</f>
        <v>3007 - Inputs Work Code v RAB Category Direct Check</v>
      </c>
      <c r="I289" s="130">
        <f ca="1">IF(ISERROR(SUM(J289:T289)),1,MIN(SUM(J289:T289),1))</f>
        <v>0</v>
      </c>
      <c r="J289" s="81">
        <f t="shared" ref="J289:T289" ca="1" si="29">J119-J142</f>
        <v>0</v>
      </c>
      <c r="K289" s="81">
        <f t="shared" ca="1" si="29"/>
        <v>0</v>
      </c>
      <c r="L289" s="81">
        <f t="shared" ca="1" si="29"/>
        <v>0</v>
      </c>
      <c r="M289" s="81">
        <f t="shared" ca="1" si="29"/>
        <v>0</v>
      </c>
      <c r="N289" s="81">
        <f t="shared" ca="1" si="29"/>
        <v>0</v>
      </c>
      <c r="O289" s="81">
        <f t="shared" ca="1" si="29"/>
        <v>0</v>
      </c>
      <c r="P289" s="81">
        <f t="shared" ca="1" si="29"/>
        <v>0</v>
      </c>
      <c r="Q289" s="81">
        <f t="shared" ca="1" si="29"/>
        <v>0</v>
      </c>
      <c r="R289" s="81">
        <f t="shared" ca="1" si="29"/>
        <v>0</v>
      </c>
      <c r="S289" s="81">
        <f t="shared" ca="1" si="29"/>
        <v>0</v>
      </c>
      <c r="T289" s="81">
        <f t="shared" ca="1" si="29"/>
        <v>0</v>
      </c>
    </row>
    <row r="290" spans="2:20" outlineLevel="1">
      <c r="F290" s="51" t="str">
        <f>$B$23&amp;" Work Code v RIN Category Direct Check"</f>
        <v>3007 - Inputs Work Code v RIN Category Direct Check</v>
      </c>
      <c r="I290" s="130">
        <f ca="1">IF(ISERROR(SUM(J290:T290)),1,MIN(SUM(J290:T290),1))</f>
        <v>0</v>
      </c>
      <c r="J290" s="81">
        <f t="shared" ref="J290:T290" ca="1" si="30">J119-J223</f>
        <v>0</v>
      </c>
      <c r="K290" s="81">
        <f t="shared" ca="1" si="30"/>
        <v>0</v>
      </c>
      <c r="L290" s="81">
        <f t="shared" ca="1" si="30"/>
        <v>0</v>
      </c>
      <c r="M290" s="81">
        <f t="shared" ca="1" si="30"/>
        <v>0</v>
      </c>
      <c r="N290" s="81">
        <f t="shared" ca="1" si="30"/>
        <v>0</v>
      </c>
      <c r="O290" s="81">
        <f t="shared" ca="1" si="30"/>
        <v>0</v>
      </c>
      <c r="P290" s="81">
        <f t="shared" ca="1" si="30"/>
        <v>0</v>
      </c>
      <c r="Q290" s="81">
        <f t="shared" ca="1" si="30"/>
        <v>0</v>
      </c>
      <c r="R290" s="81">
        <f t="shared" ca="1" si="30"/>
        <v>0</v>
      </c>
      <c r="S290" s="81">
        <f t="shared" ca="1" si="30"/>
        <v>0</v>
      </c>
      <c r="T290" s="81">
        <f t="shared" ca="1" si="30"/>
        <v>0</v>
      </c>
    </row>
    <row r="291" spans="2:20" outlineLevel="1">
      <c r="F291" s="51" t="str">
        <f>$B$23&amp;" Work Code v Tax Category Direct Check"</f>
        <v>3007 - Inputs Work Code v Tax Category Direct Check</v>
      </c>
      <c r="I291" s="130">
        <f ca="1">IF(ISERROR(SUM(J291:T291)),1,MIN(SUM(J291:T291),1))</f>
        <v>0</v>
      </c>
      <c r="J291" s="81">
        <f t="shared" ref="J291:T291" ca="1" si="31">J119-J273</f>
        <v>0</v>
      </c>
      <c r="K291" s="81">
        <f t="shared" ca="1" si="31"/>
        <v>0</v>
      </c>
      <c r="L291" s="81">
        <f t="shared" ca="1" si="31"/>
        <v>0</v>
      </c>
      <c r="M291" s="81">
        <f t="shared" ca="1" si="31"/>
        <v>0</v>
      </c>
      <c r="N291" s="81">
        <f t="shared" ca="1" si="31"/>
        <v>0</v>
      </c>
      <c r="O291" s="81">
        <f t="shared" ca="1" si="31"/>
        <v>0</v>
      </c>
      <c r="P291" s="81">
        <f t="shared" ca="1" si="31"/>
        <v>0</v>
      </c>
      <c r="Q291" s="81">
        <f t="shared" ca="1" si="31"/>
        <v>0</v>
      </c>
      <c r="R291" s="81">
        <f t="shared" ca="1" si="31"/>
        <v>0</v>
      </c>
      <c r="S291" s="81">
        <f t="shared" ca="1" si="31"/>
        <v>0</v>
      </c>
      <c r="T291" s="81">
        <f t="shared" ca="1" si="31"/>
        <v>0</v>
      </c>
    </row>
    <row r="292" spans="2:20" outlineLevel="1">
      <c r="F292" s="51" t="str">
        <f>$B$23&amp;" Customer Contributions v RAB Category Direct Check"</f>
        <v>3007 - Inputs Customer Contributions v RAB Category Direct Check</v>
      </c>
      <c r="I292" s="130">
        <f ca="1">IF(ISERROR(SUM(J292:T292)),1,MIN(SUM(J292:T292),1))</f>
        <v>0</v>
      </c>
      <c r="J292" s="81">
        <f t="shared" ref="J292:T292" ca="1" si="32">J76-J202</f>
        <v>0</v>
      </c>
      <c r="K292" s="81">
        <f t="shared" ca="1" si="32"/>
        <v>0</v>
      </c>
      <c r="L292" s="81">
        <f t="shared" ca="1" si="32"/>
        <v>0</v>
      </c>
      <c r="M292" s="81">
        <f t="shared" ca="1" si="32"/>
        <v>0</v>
      </c>
      <c r="N292" s="81">
        <f t="shared" ca="1" si="32"/>
        <v>0</v>
      </c>
      <c r="O292" s="81">
        <f t="shared" ca="1" si="32"/>
        <v>0</v>
      </c>
      <c r="P292" s="81">
        <f t="shared" ca="1" si="32"/>
        <v>0</v>
      </c>
      <c r="Q292" s="81">
        <f t="shared" ca="1" si="32"/>
        <v>0</v>
      </c>
      <c r="R292" s="81">
        <f t="shared" ca="1" si="32"/>
        <v>0</v>
      </c>
      <c r="S292" s="81">
        <f t="shared" ca="1" si="32"/>
        <v>0</v>
      </c>
      <c r="T292" s="81">
        <f t="shared" ca="1" si="32"/>
        <v>0</v>
      </c>
    </row>
    <row r="293" spans="2:20" ht="5.9" customHeight="1" outlineLevel="1"/>
    <row r="294" spans="2:20" outlineLevel="1">
      <c r="F294" s="51" t="str">
        <f>$B$23&amp;" RAB v RIN Direct + Overhead Check"</f>
        <v>3007 - Inputs RAB v RIN Direct + Overhead Check</v>
      </c>
      <c r="I294" s="130">
        <f ca="1">IF(ISERROR(SUM(J294:T294)),1,MIN(SUM(J294:T294),1))</f>
        <v>0</v>
      </c>
      <c r="J294" s="81">
        <f t="shared" ref="J294:T294" ca="1" si="33">J182-J241</f>
        <v>0</v>
      </c>
      <c r="K294" s="81">
        <f t="shared" ca="1" si="33"/>
        <v>0</v>
      </c>
      <c r="L294" s="81">
        <f t="shared" ca="1" si="33"/>
        <v>0</v>
      </c>
      <c r="M294" s="81">
        <f t="shared" ca="1" si="33"/>
        <v>0</v>
      </c>
      <c r="N294" s="81">
        <f t="shared" ca="1" si="33"/>
        <v>0</v>
      </c>
      <c r="O294" s="81">
        <f t="shared" ca="1" si="33"/>
        <v>0</v>
      </c>
      <c r="P294" s="81">
        <f t="shared" ca="1" si="33"/>
        <v>0</v>
      </c>
      <c r="Q294" s="81">
        <f t="shared" ca="1" si="33"/>
        <v>0</v>
      </c>
      <c r="R294" s="81">
        <f t="shared" ca="1" si="33"/>
        <v>0</v>
      </c>
      <c r="S294" s="81">
        <f t="shared" ca="1" si="33"/>
        <v>0</v>
      </c>
      <c r="T294" s="81">
        <f t="shared" ca="1" si="33"/>
        <v>0</v>
      </c>
    </row>
    <row r="295" spans="2:20" outlineLevel="1">
      <c r="F295" s="51" t="str">
        <f>$B$23&amp;" RAB v Tax Direct + Overhead Check"</f>
        <v>3007 - Inputs RAB v Tax Direct + Overhead Check</v>
      </c>
      <c r="I295" s="130">
        <f ca="1">IF(ISERROR(SUM(J295:T295)),1,MIN(SUM(J295:T295),1))</f>
        <v>0</v>
      </c>
      <c r="J295" s="81">
        <f t="shared" ref="J295:T295" ca="1" si="34">J182-J284</f>
        <v>0</v>
      </c>
      <c r="K295" s="81">
        <f t="shared" ca="1" si="34"/>
        <v>0</v>
      </c>
      <c r="L295" s="81">
        <f t="shared" ca="1" si="34"/>
        <v>0</v>
      </c>
      <c r="M295" s="81">
        <f t="shared" ca="1" si="34"/>
        <v>0</v>
      </c>
      <c r="N295" s="81">
        <f t="shared" ca="1" si="34"/>
        <v>0</v>
      </c>
      <c r="O295" s="81">
        <f t="shared" ca="1" si="34"/>
        <v>0</v>
      </c>
      <c r="P295" s="81">
        <f t="shared" ca="1" si="34"/>
        <v>0</v>
      </c>
      <c r="Q295" s="81">
        <f t="shared" ca="1" si="34"/>
        <v>0</v>
      </c>
      <c r="R295" s="81">
        <f t="shared" ca="1" si="34"/>
        <v>0</v>
      </c>
      <c r="S295" s="81">
        <f t="shared" ca="1" si="34"/>
        <v>0</v>
      </c>
      <c r="T295" s="81">
        <f t="shared" ca="1" si="34"/>
        <v>0</v>
      </c>
    </row>
    <row r="296" spans="2:20" ht="12" outlineLevel="1" thickBot="1">
      <c r="B296" s="94"/>
      <c r="C296" s="94"/>
      <c r="D296" s="94"/>
      <c r="E296" s="94"/>
      <c r="F296" s="94"/>
      <c r="G296" s="94"/>
      <c r="H296" s="94"/>
      <c r="I296" s="94"/>
      <c r="J296" s="94"/>
      <c r="K296" s="94"/>
      <c r="L296" s="94"/>
      <c r="M296" s="94"/>
      <c r="N296" s="94"/>
      <c r="O296" s="94"/>
      <c r="P296" s="94"/>
      <c r="Q296" s="94"/>
      <c r="R296" s="94"/>
      <c r="S296" s="94"/>
      <c r="T296" s="94"/>
    </row>
    <row r="298" spans="2:20" ht="14">
      <c r="B298" s="110" t="s">
        <v>240</v>
      </c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</row>
    <row r="299" spans="2:20" ht="5.9" customHeight="1"/>
    <row r="300" spans="2:20" ht="14">
      <c r="B300" s="56" t="str">
        <f>GC!F15</f>
        <v>Domestic Meters - Ad Hoc</v>
      </c>
    </row>
    <row r="301" spans="2:20" ht="5.9" customHeight="1" outlineLevel="1"/>
    <row r="302" spans="2:20" hidden="1" outlineLevel="2">
      <c r="C302" s="37" t="s">
        <v>204</v>
      </c>
    </row>
    <row r="303" spans="2:20" ht="5.9" hidden="1" customHeight="1" outlineLevel="2"/>
    <row r="304" spans="2:20" hidden="1" outlineLevel="2">
      <c r="D304" s="51" t="s">
        <v>103</v>
      </c>
      <c r="J304" s="92">
        <f>Rates!J42</f>
        <v>1</v>
      </c>
      <c r="K304" s="92">
        <f>Rates!K42</f>
        <v>1</v>
      </c>
      <c r="L304" s="92">
        <f>Rates!L42</f>
        <v>1</v>
      </c>
      <c r="M304" s="92">
        <f>Rates!M42</f>
        <v>1</v>
      </c>
      <c r="N304" s="92">
        <f>Rates!N42</f>
        <v>1</v>
      </c>
      <c r="O304" s="92">
        <f>Rates!O42</f>
        <v>1.0051959235721353</v>
      </c>
      <c r="P304" s="92">
        <f>Rates!P42</f>
        <v>1.0102301741405761</v>
      </c>
      <c r="Q304" s="92">
        <f>Rates!Q42</f>
        <v>1.0181072873442809</v>
      </c>
      <c r="R304" s="92">
        <f>Rates!R42</f>
        <v>1.0293150686557422</v>
      </c>
      <c r="S304" s="92">
        <f>Rates!S42</f>
        <v>1.040646230246951</v>
      </c>
      <c r="T304" s="92">
        <f>Rates!T42</f>
        <v>1.0521021303433229</v>
      </c>
    </row>
    <row r="305" spans="3:20" hidden="1" outlineLevel="2">
      <c r="D305" s="51" t="s">
        <v>104</v>
      </c>
      <c r="J305" s="92">
        <f>Rates!J43</f>
        <v>1</v>
      </c>
      <c r="K305" s="92">
        <f>Rates!K43</f>
        <v>1</v>
      </c>
      <c r="L305" s="92">
        <f>Rates!L43</f>
        <v>1</v>
      </c>
      <c r="M305" s="92">
        <f>Rates!M43</f>
        <v>1</v>
      </c>
      <c r="N305" s="92">
        <f>Rates!N43</f>
        <v>1</v>
      </c>
      <c r="O305" s="92">
        <f>Rates!O43</f>
        <v>1</v>
      </c>
      <c r="P305" s="92">
        <f>Rates!P43</f>
        <v>1</v>
      </c>
      <c r="Q305" s="92">
        <f>Rates!Q43</f>
        <v>1</v>
      </c>
      <c r="R305" s="92">
        <f>Rates!R43</f>
        <v>1</v>
      </c>
      <c r="S305" s="92">
        <f>Rates!S43</f>
        <v>1</v>
      </c>
      <c r="T305" s="92">
        <f>Rates!T43</f>
        <v>1</v>
      </c>
    </row>
    <row r="306" spans="3:20" hidden="1" outlineLevel="2">
      <c r="D306" s="51" t="s">
        <v>130</v>
      </c>
      <c r="J306" s="92">
        <f>Rates!J45</f>
        <v>1</v>
      </c>
      <c r="K306" s="92">
        <f>Rates!K45</f>
        <v>1</v>
      </c>
      <c r="L306" s="92">
        <f>Rates!L45</f>
        <v>1</v>
      </c>
      <c r="M306" s="92">
        <f>Rates!M45</f>
        <v>1</v>
      </c>
      <c r="N306" s="92">
        <f>Rates!N45</f>
        <v>1</v>
      </c>
      <c r="O306" s="92">
        <f>Rates!O45</f>
        <v>1</v>
      </c>
      <c r="P306" s="92">
        <f>Rates!P45</f>
        <v>1</v>
      </c>
      <c r="Q306" s="92">
        <f>Rates!Q45</f>
        <v>1</v>
      </c>
      <c r="R306" s="92">
        <f>Rates!R45</f>
        <v>1</v>
      </c>
      <c r="S306" s="92">
        <f>Rates!S45</f>
        <v>1</v>
      </c>
      <c r="T306" s="92">
        <f>Rates!T45</f>
        <v>1</v>
      </c>
    </row>
    <row r="307" spans="3:20" ht="5.9" hidden="1" customHeight="1" outlineLevel="2"/>
    <row r="308" spans="3:20" hidden="1" outlineLevel="2">
      <c r="C308" s="37" t="s">
        <v>105</v>
      </c>
    </row>
    <row r="309" spans="3:20" ht="5.9" hidden="1" customHeight="1" outlineLevel="2"/>
    <row r="310" spans="3:20" hidden="1" outlineLevel="2">
      <c r="D310" s="51" t="s">
        <v>106</v>
      </c>
      <c r="J310" s="100">
        <f>Rates!J50</f>
        <v>6.9591273870889495E-2</v>
      </c>
      <c r="K310" s="100">
        <f>Rates!K50</f>
        <v>7.3934468928182201E-2</v>
      </c>
      <c r="L310" s="100">
        <f>Rates!L50</f>
        <v>7.5085976469407303E-2</v>
      </c>
      <c r="M310" s="100">
        <f>Rates!M50</f>
        <v>8.0103391005934096E-2</v>
      </c>
      <c r="N310" s="100">
        <f>Rates!N50</f>
        <v>3.7711007382937055E-2</v>
      </c>
      <c r="O310" s="100">
        <f>Rates!O50</f>
        <v>3.3283969054706777E-2</v>
      </c>
      <c r="P310" s="100">
        <f>Rates!P50</f>
        <v>2.6752660513445464E-2</v>
      </c>
      <c r="Q310" s="100">
        <f>Rates!Q50</f>
        <v>2.6060587348993774E-2</v>
      </c>
      <c r="R310" s="100">
        <f>Rates!R50</f>
        <v>2.6873005987587139E-2</v>
      </c>
      <c r="S310" s="100">
        <f>Rates!S50</f>
        <v>2.8546178928104012E-2</v>
      </c>
      <c r="T310" s="100">
        <f>Rates!T50</f>
        <v>2.9920378203686534E-2</v>
      </c>
    </row>
    <row r="311" spans="3:20" hidden="1" outlineLevel="2">
      <c r="D311" s="51" t="s">
        <v>107</v>
      </c>
      <c r="J311" s="100">
        <f>Rates!J51</f>
        <v>5.5842732834613398E-2</v>
      </c>
      <c r="K311" s="100">
        <f>Rates!K51</f>
        <v>5.16564294790849E-2</v>
      </c>
      <c r="L311" s="100">
        <f>Rates!L51</f>
        <v>6.0535031919173997E-2</v>
      </c>
      <c r="M311" s="100">
        <f>Rates!M51</f>
        <v>7.1630695797579302E-2</v>
      </c>
      <c r="N311" s="100">
        <f>Rates!N51</f>
        <v>7.4343858126268231E-2</v>
      </c>
      <c r="O311" s="100">
        <f>Rates!O51</f>
        <v>7.4059082290758096E-2</v>
      </c>
      <c r="P311" s="100">
        <f>Rates!P51</f>
        <v>2.4388539961794877E-2</v>
      </c>
      <c r="Q311" s="100">
        <f>Rates!Q51</f>
        <v>2.1171310758207256E-2</v>
      </c>
      <c r="R311" s="100">
        <f>Rates!R51</f>
        <v>2.0024144075344485E-2</v>
      </c>
      <c r="S311" s="100">
        <f>Rates!S51</f>
        <v>3.9620009613577346E-2</v>
      </c>
      <c r="T311" s="100">
        <f>Rates!T51</f>
        <v>5.404914337922874E-2</v>
      </c>
    </row>
    <row r="312" spans="3:20" hidden="1" outlineLevel="2">
      <c r="D312" s="51" t="s">
        <v>108</v>
      </c>
      <c r="J312" s="100">
        <f>Rates!J52</f>
        <v>0</v>
      </c>
      <c r="K312" s="100">
        <f>Rates!K52</f>
        <v>0</v>
      </c>
      <c r="L312" s="100">
        <f>Rates!L52</f>
        <v>0</v>
      </c>
      <c r="M312" s="100">
        <f>Rates!M52</f>
        <v>0</v>
      </c>
      <c r="N312" s="100">
        <f>Rates!N52</f>
        <v>0</v>
      </c>
      <c r="O312" s="100">
        <f>Rates!O52</f>
        <v>0</v>
      </c>
      <c r="P312" s="100">
        <f>Rates!P52</f>
        <v>0</v>
      </c>
      <c r="Q312" s="100">
        <f>Rates!Q52</f>
        <v>0</v>
      </c>
      <c r="R312" s="100">
        <f>Rates!R52</f>
        <v>0</v>
      </c>
      <c r="S312" s="100">
        <f>Rates!S52</f>
        <v>0</v>
      </c>
      <c r="T312" s="100">
        <f>Rates!T52</f>
        <v>0</v>
      </c>
    </row>
    <row r="313" spans="3:20" outlineLevel="1" collapsed="1"/>
    <row r="314" spans="3:20" ht="5.9" customHeight="1" outlineLevel="1"/>
    <row r="315" spans="3:20" outlineLevel="1">
      <c r="C315" s="37" t="s">
        <v>118</v>
      </c>
    </row>
    <row r="316" spans="3:20" ht="5.9" customHeight="1" outlineLevel="1"/>
    <row r="317" spans="3:20" outlineLevel="1">
      <c r="D317" s="37" t="s">
        <v>160</v>
      </c>
      <c r="H317" s="107" t="s">
        <v>192</v>
      </c>
    </row>
    <row r="318" spans="3:20" ht="5.9" customHeight="1" outlineLevel="1"/>
    <row r="319" spans="3:20" outlineLevel="1">
      <c r="D319" s="102" t="str">
        <f>Work_Codes!D150</f>
        <v>Meter Faults - Domestic</v>
      </c>
      <c r="H319" s="63"/>
      <c r="J319" s="125"/>
      <c r="K319" s="125"/>
      <c r="L319" s="125"/>
      <c r="M319" s="125"/>
      <c r="N319" s="212"/>
      <c r="O319" s="212"/>
      <c r="P319" s="212"/>
      <c r="Q319" s="212"/>
      <c r="R319" s="212"/>
      <c r="S319" s="212"/>
      <c r="T319" s="212"/>
    </row>
    <row r="320" spans="3:20" outlineLevel="1">
      <c r="D320" s="102" t="str">
        <f>Work_Codes!D151</f>
        <v>Capex Items Category 2</v>
      </c>
      <c r="H320" s="63"/>
      <c r="J320" s="125"/>
      <c r="K320" s="125"/>
      <c r="L320" s="178"/>
      <c r="M320" s="178"/>
      <c r="N320" s="212"/>
      <c r="O320" s="212"/>
      <c r="P320" s="212"/>
      <c r="Q320" s="212"/>
      <c r="R320" s="212"/>
      <c r="S320" s="212"/>
      <c r="T320" s="212"/>
    </row>
    <row r="321" spans="3:20" outlineLevel="1">
      <c r="D321" s="105"/>
      <c r="H321" s="58"/>
      <c r="J321" s="66"/>
      <c r="K321" s="66"/>
      <c r="L321" s="66"/>
      <c r="M321" s="66"/>
      <c r="N321" s="66"/>
      <c r="O321" s="66"/>
      <c r="P321" s="66"/>
      <c r="Q321" s="66"/>
      <c r="R321" s="66"/>
      <c r="S321" s="66"/>
      <c r="T321" s="66"/>
    </row>
    <row r="322" spans="3:20" outlineLevel="1">
      <c r="C322" s="37" t="s">
        <v>119</v>
      </c>
    </row>
    <row r="323" spans="3:20" ht="5.9" customHeight="1" outlineLevel="1"/>
    <row r="324" spans="3:20" outlineLevel="1">
      <c r="D324" s="37" t="str">
        <f>D317</f>
        <v>Capex Category</v>
      </c>
    </row>
    <row r="325" spans="3:20" ht="5.9" customHeight="1" outlineLevel="1"/>
    <row r="326" spans="3:20" outlineLevel="1">
      <c r="D326" s="102" t="str">
        <f>Work_Codes!D150</f>
        <v>Meter Faults - Domestic</v>
      </c>
      <c r="J326" s="163"/>
      <c r="K326" s="163"/>
      <c r="L326" s="163"/>
      <c r="M326" s="209"/>
      <c r="N326" s="214"/>
      <c r="O326" s="213"/>
      <c r="P326" s="213"/>
      <c r="Q326" s="213"/>
      <c r="R326" s="213"/>
      <c r="S326" s="213"/>
      <c r="T326" s="213"/>
    </row>
    <row r="327" spans="3:20" outlineLevel="1">
      <c r="D327" s="102" t="str">
        <f>Work_Codes!D151</f>
        <v>Capex Items Category 2</v>
      </c>
      <c r="J327" s="163"/>
      <c r="K327" s="163"/>
      <c r="L327" s="163"/>
      <c r="M327" s="163"/>
      <c r="N327" s="213"/>
      <c r="O327" s="213"/>
      <c r="P327" s="213"/>
      <c r="Q327" s="213"/>
      <c r="R327" s="213"/>
      <c r="S327" s="213"/>
      <c r="T327" s="213"/>
    </row>
    <row r="328" spans="3:20" outlineLevel="1"/>
    <row r="329" spans="3:20" outlineLevel="1">
      <c r="C329" s="37" t="s">
        <v>193</v>
      </c>
    </row>
    <row r="330" spans="3:20" ht="5.9" customHeight="1" outlineLevel="1"/>
    <row r="331" spans="3:20" outlineLevel="1">
      <c r="D331" s="37" t="str">
        <f>D317</f>
        <v>Capex Category</v>
      </c>
    </row>
    <row r="332" spans="3:20" ht="5.9" customHeight="1" outlineLevel="1"/>
    <row r="333" spans="3:20" outlineLevel="1">
      <c r="D333" s="102" t="str">
        <f>Work_Codes!D150</f>
        <v>Meter Faults - Domestic</v>
      </c>
      <c r="J333" s="81">
        <v>0</v>
      </c>
      <c r="K333" s="81">
        <v>0</v>
      </c>
      <c r="L333" s="81">
        <v>0</v>
      </c>
      <c r="M333" s="81">
        <v>0</v>
      </c>
      <c r="N333" s="81">
        <v>0</v>
      </c>
      <c r="O333" s="81">
        <v>378960</v>
      </c>
      <c r="P333" s="81">
        <v>757920</v>
      </c>
      <c r="Q333" s="81">
        <v>757920</v>
      </c>
      <c r="R333" s="81">
        <v>757920</v>
      </c>
      <c r="S333" s="81">
        <v>757920</v>
      </c>
      <c r="T333" s="81">
        <v>757920</v>
      </c>
    </row>
    <row r="334" spans="3:20" outlineLevel="1">
      <c r="D334" s="102" t="str">
        <f>Work_Codes!D151</f>
        <v>Capex Items Category 2</v>
      </c>
      <c r="J334" s="81">
        <v>0</v>
      </c>
      <c r="K334" s="81">
        <v>0</v>
      </c>
      <c r="L334" s="81">
        <v>0</v>
      </c>
      <c r="M334" s="81">
        <v>0</v>
      </c>
      <c r="N334" s="81">
        <v>765787.0358946413</v>
      </c>
      <c r="O334" s="81">
        <v>0</v>
      </c>
      <c r="P334" s="81">
        <v>0</v>
      </c>
      <c r="Q334" s="81">
        <v>0</v>
      </c>
      <c r="R334" s="81">
        <v>0</v>
      </c>
      <c r="S334" s="81">
        <v>0</v>
      </c>
      <c r="T334" s="81">
        <v>0</v>
      </c>
    </row>
    <row r="335" spans="3:20" ht="5.9" customHeight="1" outlineLevel="1">
      <c r="D335" s="37"/>
      <c r="J335" s="78"/>
      <c r="K335" s="78"/>
      <c r="L335" s="78"/>
      <c r="M335" s="78"/>
      <c r="N335" s="78"/>
      <c r="O335" s="78"/>
      <c r="P335" s="78"/>
      <c r="Q335" s="78"/>
      <c r="R335" s="78"/>
      <c r="S335" s="78"/>
      <c r="T335" s="78"/>
    </row>
    <row r="336" spans="3:20" outlineLevel="1">
      <c r="D336" s="249" t="str">
        <f>"Total "&amp;B300</f>
        <v>Total Domestic Meters - Ad Hoc</v>
      </c>
      <c r="E336" s="249"/>
      <c r="F336" s="249"/>
      <c r="G336" s="249"/>
      <c r="H336" s="249"/>
      <c r="I336" s="249"/>
      <c r="J336" s="82">
        <f t="shared" ref="J336:T336" si="35">SUM(J333:J335)</f>
        <v>0</v>
      </c>
      <c r="K336" s="82">
        <f t="shared" si="35"/>
        <v>0</v>
      </c>
      <c r="L336" s="82">
        <f t="shared" si="35"/>
        <v>0</v>
      </c>
      <c r="M336" s="82">
        <f t="shared" si="35"/>
        <v>0</v>
      </c>
      <c r="N336" s="82">
        <f t="shared" si="35"/>
        <v>765787.0358946413</v>
      </c>
      <c r="O336" s="82">
        <f t="shared" si="35"/>
        <v>378960</v>
      </c>
      <c r="P336" s="82">
        <f t="shared" si="35"/>
        <v>757920</v>
      </c>
      <c r="Q336" s="82">
        <f t="shared" si="35"/>
        <v>757920</v>
      </c>
      <c r="R336" s="82">
        <f t="shared" si="35"/>
        <v>757920</v>
      </c>
      <c r="S336" s="82">
        <f t="shared" si="35"/>
        <v>757920</v>
      </c>
      <c r="T336" s="82">
        <f t="shared" si="35"/>
        <v>757920</v>
      </c>
    </row>
    <row r="337" spans="3:20" outlineLevel="1"/>
    <row r="338" spans="3:20" outlineLevel="1">
      <c r="C338" s="37" t="s">
        <v>286</v>
      </c>
    </row>
    <row r="339" spans="3:20" ht="5.9" customHeight="1" outlineLevel="1"/>
    <row r="340" spans="3:20" outlineLevel="1">
      <c r="D340" s="143" t="str">
        <f>Work_Codes!D155</f>
        <v>Customer Contributions Category 1</v>
      </c>
      <c r="J340" s="148">
        <v>0</v>
      </c>
      <c r="K340" s="148">
        <v>0</v>
      </c>
      <c r="L340" s="148">
        <v>0</v>
      </c>
      <c r="M340" s="148">
        <v>0</v>
      </c>
      <c r="N340" s="148">
        <v>0</v>
      </c>
      <c r="O340" s="148">
        <v>0</v>
      </c>
      <c r="P340" s="148">
        <v>0</v>
      </c>
      <c r="Q340" s="148">
        <v>0</v>
      </c>
      <c r="R340" s="148">
        <v>0</v>
      </c>
      <c r="S340" s="148">
        <v>0</v>
      </c>
      <c r="T340" s="148">
        <v>0</v>
      </c>
    </row>
    <row r="341" spans="3:20" ht="5.9" customHeight="1" outlineLevel="1"/>
    <row r="342" spans="3:20" outlineLevel="1">
      <c r="D342" s="249" t="str">
        <f>"Total "&amp;C338</f>
        <v>Total Customer Connections</v>
      </c>
      <c r="E342" s="249"/>
      <c r="F342" s="249"/>
      <c r="G342" s="249"/>
      <c r="H342" s="249"/>
      <c r="I342" s="249"/>
      <c r="J342" s="82">
        <f t="shared" ref="J342:T342" si="36">SUM(J340:J341)</f>
        <v>0</v>
      </c>
      <c r="K342" s="82">
        <f t="shared" si="36"/>
        <v>0</v>
      </c>
      <c r="L342" s="82">
        <f t="shared" si="36"/>
        <v>0</v>
      </c>
      <c r="M342" s="82">
        <f t="shared" si="36"/>
        <v>0</v>
      </c>
      <c r="N342" s="82">
        <f t="shared" si="36"/>
        <v>0</v>
      </c>
      <c r="O342" s="82">
        <f t="shared" si="36"/>
        <v>0</v>
      </c>
      <c r="P342" s="82">
        <f t="shared" si="36"/>
        <v>0</v>
      </c>
      <c r="Q342" s="82">
        <f t="shared" si="36"/>
        <v>0</v>
      </c>
      <c r="R342" s="82">
        <f t="shared" si="36"/>
        <v>0</v>
      </c>
      <c r="S342" s="82">
        <f t="shared" si="36"/>
        <v>0</v>
      </c>
      <c r="T342" s="82">
        <f t="shared" si="36"/>
        <v>0</v>
      </c>
    </row>
    <row r="343" spans="3:20" outlineLevel="1">
      <c r="C343" s="12"/>
      <c r="D343" s="12"/>
      <c r="E343" s="12"/>
      <c r="F343" s="12"/>
      <c r="G343" s="12"/>
      <c r="H343" s="12"/>
      <c r="I343" s="12"/>
      <c r="J343" s="12"/>
      <c r="K343" s="12"/>
      <c r="L343" s="12"/>
      <c r="M343" s="12"/>
      <c r="N343" s="12"/>
      <c r="O343" s="12"/>
      <c r="P343" s="12"/>
      <c r="Q343" s="12"/>
      <c r="R343" s="12"/>
      <c r="S343" s="12"/>
      <c r="T343" s="12"/>
    </row>
    <row r="344" spans="3:20" outlineLevel="1"/>
    <row r="345" spans="3:20" outlineLevel="1">
      <c r="C345" s="37" t="s">
        <v>213</v>
      </c>
    </row>
    <row r="346" spans="3:20" ht="5.9" hidden="1" customHeight="1" outlineLevel="2"/>
    <row r="347" spans="3:20" hidden="1" outlineLevel="2">
      <c r="C347" s="37" t="s">
        <v>128</v>
      </c>
    </row>
    <row r="348" spans="3:20" ht="5.9" hidden="1" customHeight="1" outlineLevel="2"/>
    <row r="349" spans="3:20" hidden="1" outlineLevel="2">
      <c r="D349" s="102" t="str">
        <f>Work_Codes!D150</f>
        <v>Meter Faults - Domestic</v>
      </c>
      <c r="J349" s="81">
        <f>Work_Codes!$I150*J333*J$304</f>
        <v>0</v>
      </c>
      <c r="K349" s="81">
        <f>Work_Codes!$I150*K333*K$304</f>
        <v>0</v>
      </c>
      <c r="L349" s="81">
        <f>Work_Codes!$I150*L333*L$304</f>
        <v>0</v>
      </c>
      <c r="M349" s="81">
        <f>Work_Codes!$I150*M333*M$304</f>
        <v>0</v>
      </c>
      <c r="N349" s="81">
        <f>Work_Codes!$I150*N333*N$304</f>
        <v>0</v>
      </c>
      <c r="O349" s="81">
        <f>Work_Codes!$I150*O333*O$304</f>
        <v>3809.2904719689636</v>
      </c>
      <c r="P349" s="81">
        <f>Work_Codes!$I150*P333*P$304</f>
        <v>7656.7365358462548</v>
      </c>
      <c r="Q349" s="81">
        <f>Work_Codes!$I150*Q333*Q$304</f>
        <v>7716.4387522397737</v>
      </c>
      <c r="R349" s="81">
        <f>Work_Codes!$I150*R333*R$304</f>
        <v>7801.3847683556014</v>
      </c>
      <c r="S349" s="81">
        <f>Work_Codes!$I150*S333*S$304</f>
        <v>7887.2659082876908</v>
      </c>
      <c r="T349" s="81">
        <f>Work_Codes!$I150*T333*T$304</f>
        <v>7974.0924662981124</v>
      </c>
    </row>
    <row r="350" spans="3:20" hidden="1" outlineLevel="2">
      <c r="D350" s="102" t="str">
        <f>Work_Codes!D151</f>
        <v>Capex Items Category 2</v>
      </c>
      <c r="J350" s="81">
        <f>Work_Codes!$I151*J334*J$304</f>
        <v>0</v>
      </c>
      <c r="K350" s="81">
        <f>Work_Codes!$I151*K334*K$304</f>
        <v>0</v>
      </c>
      <c r="L350" s="81">
        <f>Work_Codes!$I151*L334*L$304</f>
        <v>0</v>
      </c>
      <c r="M350" s="81">
        <f>Work_Codes!$I151*M334*M$304</f>
        <v>0</v>
      </c>
      <c r="N350" s="81">
        <f>Work_Codes!$I151*N334*N$304</f>
        <v>7657.870358946413</v>
      </c>
      <c r="O350" s="81">
        <f>Work_Codes!$I151*O334*O$304</f>
        <v>0</v>
      </c>
      <c r="P350" s="81">
        <f>Work_Codes!$I151*P334*P$304</f>
        <v>0</v>
      </c>
      <c r="Q350" s="81">
        <f>Work_Codes!$I151*Q334*Q$304</f>
        <v>0</v>
      </c>
      <c r="R350" s="81">
        <f>Work_Codes!$I151*R334*R$304</f>
        <v>0</v>
      </c>
      <c r="S350" s="81">
        <f>Work_Codes!$I151*S334*S$304</f>
        <v>0</v>
      </c>
      <c r="T350" s="81">
        <f>Work_Codes!$I151*T334*T$304</f>
        <v>0</v>
      </c>
    </row>
    <row r="351" spans="3:20" ht="5.9" hidden="1" customHeight="1" outlineLevel="2"/>
    <row r="352" spans="3:20" hidden="1" outlineLevel="2">
      <c r="D352" s="249" t="str">
        <f>"Total "&amp;C347</f>
        <v>Total Internal Labour</v>
      </c>
      <c r="E352" s="249"/>
      <c r="F352" s="249"/>
      <c r="G352" s="249"/>
      <c r="H352" s="249"/>
      <c r="I352" s="249"/>
      <c r="J352" s="82">
        <f t="shared" ref="J352:T352" si="37">SUM(J349:J351)</f>
        <v>0</v>
      </c>
      <c r="K352" s="82">
        <f t="shared" si="37"/>
        <v>0</v>
      </c>
      <c r="L352" s="82">
        <f t="shared" si="37"/>
        <v>0</v>
      </c>
      <c r="M352" s="82">
        <f t="shared" si="37"/>
        <v>0</v>
      </c>
      <c r="N352" s="82">
        <f t="shared" si="37"/>
        <v>7657.870358946413</v>
      </c>
      <c r="O352" s="82">
        <f t="shared" si="37"/>
        <v>3809.2904719689636</v>
      </c>
      <c r="P352" s="82">
        <f t="shared" si="37"/>
        <v>7656.7365358462548</v>
      </c>
      <c r="Q352" s="82">
        <f t="shared" si="37"/>
        <v>7716.4387522397737</v>
      </c>
      <c r="R352" s="82">
        <f t="shared" si="37"/>
        <v>7801.3847683556014</v>
      </c>
      <c r="S352" s="82">
        <f t="shared" si="37"/>
        <v>7887.2659082876908</v>
      </c>
      <c r="T352" s="82">
        <f t="shared" si="37"/>
        <v>7974.0924662981124</v>
      </c>
    </row>
    <row r="353" spans="3:20" hidden="1" outlineLevel="2"/>
    <row r="354" spans="3:20" hidden="1" outlineLevel="2">
      <c r="C354" s="37" t="s">
        <v>129</v>
      </c>
    </row>
    <row r="355" spans="3:20" ht="5.9" hidden="1" customHeight="1" outlineLevel="2"/>
    <row r="356" spans="3:20" hidden="1" outlineLevel="2">
      <c r="D356" s="102" t="str">
        <f>Work_Codes!D150</f>
        <v>Meter Faults - Domestic</v>
      </c>
      <c r="J356" s="81">
        <f>Work_Codes!$J150*J333*J$305</f>
        <v>0</v>
      </c>
      <c r="K356" s="81">
        <f>Work_Codes!$J150*K333*K$305</f>
        <v>0</v>
      </c>
      <c r="L356" s="81">
        <f>Work_Codes!$J150*L333*L$305</f>
        <v>0</v>
      </c>
      <c r="M356" s="81">
        <f>Work_Codes!$J150*M333*M$305</f>
        <v>0</v>
      </c>
      <c r="N356" s="81">
        <f>Work_Codes!$J150*N333*N$305</f>
        <v>0</v>
      </c>
      <c r="O356" s="81">
        <f>Work_Codes!$J150*O333*O$305</f>
        <v>238744.8</v>
      </c>
      <c r="P356" s="81">
        <f>Work_Codes!$J150*P333*P$305</f>
        <v>477489.6</v>
      </c>
      <c r="Q356" s="81">
        <f>Work_Codes!$J150*Q333*Q$305</f>
        <v>477489.6</v>
      </c>
      <c r="R356" s="81">
        <f>Work_Codes!$J150*R333*R$305</f>
        <v>477489.6</v>
      </c>
      <c r="S356" s="81">
        <f>Work_Codes!$J150*S333*S$305</f>
        <v>477489.6</v>
      </c>
      <c r="T356" s="81">
        <f>Work_Codes!$J150*T333*T$305</f>
        <v>477489.6</v>
      </c>
    </row>
    <row r="357" spans="3:20" hidden="1" outlineLevel="2">
      <c r="D357" s="102" t="str">
        <f>Work_Codes!D151</f>
        <v>Capex Items Category 2</v>
      </c>
      <c r="J357" s="81">
        <f>Work_Codes!$J151*J334*J$305</f>
        <v>0</v>
      </c>
      <c r="K357" s="81">
        <f>Work_Codes!$J151*K334*K$305</f>
        <v>0</v>
      </c>
      <c r="L357" s="81">
        <f>Work_Codes!$J151*L334*L$305</f>
        <v>0</v>
      </c>
      <c r="M357" s="81">
        <f>Work_Codes!$J151*M334*M$305</f>
        <v>0</v>
      </c>
      <c r="N357" s="81">
        <f>Work_Codes!$J151*N334*N$305</f>
        <v>482445.83261362405</v>
      </c>
      <c r="O357" s="81">
        <f>Work_Codes!$J151*O334*O$305</f>
        <v>0</v>
      </c>
      <c r="P357" s="81">
        <f>Work_Codes!$J151*P334*P$305</f>
        <v>0</v>
      </c>
      <c r="Q357" s="81">
        <f>Work_Codes!$J151*Q334*Q$305</f>
        <v>0</v>
      </c>
      <c r="R357" s="81">
        <f>Work_Codes!$J151*R334*R$305</f>
        <v>0</v>
      </c>
      <c r="S357" s="81">
        <f>Work_Codes!$J151*S334*S$305</f>
        <v>0</v>
      </c>
      <c r="T357" s="81">
        <f>Work_Codes!$J151*T334*T$305</f>
        <v>0</v>
      </c>
    </row>
    <row r="358" spans="3:20" ht="5.9" hidden="1" customHeight="1" outlineLevel="2"/>
    <row r="359" spans="3:20" hidden="1" outlineLevel="2">
      <c r="D359" s="249" t="str">
        <f>"Total "&amp;C354</f>
        <v>Total External Labour</v>
      </c>
      <c r="E359" s="249"/>
      <c r="F359" s="249"/>
      <c r="G359" s="249"/>
      <c r="H359" s="249"/>
      <c r="I359" s="249"/>
      <c r="J359" s="82">
        <f t="shared" ref="J359:T359" si="38">SUM(J356:J358)</f>
        <v>0</v>
      </c>
      <c r="K359" s="82">
        <f t="shared" si="38"/>
        <v>0</v>
      </c>
      <c r="L359" s="82">
        <f t="shared" si="38"/>
        <v>0</v>
      </c>
      <c r="M359" s="82">
        <f t="shared" si="38"/>
        <v>0</v>
      </c>
      <c r="N359" s="82">
        <f t="shared" si="38"/>
        <v>482445.83261362405</v>
      </c>
      <c r="O359" s="82">
        <f t="shared" si="38"/>
        <v>238744.8</v>
      </c>
      <c r="P359" s="82">
        <f t="shared" si="38"/>
        <v>477489.6</v>
      </c>
      <c r="Q359" s="82">
        <f t="shared" si="38"/>
        <v>477489.6</v>
      </c>
      <c r="R359" s="82">
        <f t="shared" si="38"/>
        <v>477489.6</v>
      </c>
      <c r="S359" s="82">
        <f t="shared" si="38"/>
        <v>477489.6</v>
      </c>
      <c r="T359" s="82">
        <f t="shared" si="38"/>
        <v>477489.6</v>
      </c>
    </row>
    <row r="360" spans="3:20" hidden="1" outlineLevel="2"/>
    <row r="361" spans="3:20" hidden="1" outlineLevel="2">
      <c r="C361" s="37" t="s">
        <v>130</v>
      </c>
    </row>
    <row r="362" spans="3:20" ht="5.9" hidden="1" customHeight="1" outlineLevel="2"/>
    <row r="363" spans="3:20" hidden="1" outlineLevel="2">
      <c r="D363" s="102" t="str">
        <f>Work_Codes!D150</f>
        <v>Meter Faults - Domestic</v>
      </c>
      <c r="J363" s="81">
        <f>Work_Codes!$K150*J333*J$306</f>
        <v>0</v>
      </c>
      <c r="K363" s="81">
        <f>Work_Codes!$K150*K333*K$306</f>
        <v>0</v>
      </c>
      <c r="L363" s="81">
        <f>Work_Codes!$K150*L333*L$306</f>
        <v>0</v>
      </c>
      <c r="M363" s="81">
        <f>Work_Codes!$K150*M333*M$306</f>
        <v>0</v>
      </c>
      <c r="N363" s="81">
        <f>Work_Codes!$K150*N333*N$306</f>
        <v>0</v>
      </c>
      <c r="O363" s="81">
        <f>Work_Codes!$K150*O333*O$306</f>
        <v>136425.60000000001</v>
      </c>
      <c r="P363" s="81">
        <f>Work_Codes!$K150*P333*P$306</f>
        <v>272851.20000000001</v>
      </c>
      <c r="Q363" s="81">
        <f>Work_Codes!$K150*Q333*Q$306</f>
        <v>272851.20000000001</v>
      </c>
      <c r="R363" s="81">
        <f>Work_Codes!$K150*R333*R$306</f>
        <v>272851.20000000001</v>
      </c>
      <c r="S363" s="81">
        <f>Work_Codes!$K150*S333*S$306</f>
        <v>272851.20000000001</v>
      </c>
      <c r="T363" s="81">
        <f>Work_Codes!$K150*T333*T$306</f>
        <v>272851.20000000001</v>
      </c>
    </row>
    <row r="364" spans="3:20" hidden="1" outlineLevel="2">
      <c r="D364" s="102" t="str">
        <f>Work_Codes!D151</f>
        <v>Capex Items Category 2</v>
      </c>
      <c r="J364" s="81">
        <f>Work_Codes!$K151*J334*J$306</f>
        <v>0</v>
      </c>
      <c r="K364" s="81">
        <f>Work_Codes!$K151*K334*K$306</f>
        <v>0</v>
      </c>
      <c r="L364" s="81">
        <f>Work_Codes!$K151*L334*L$306</f>
        <v>0</v>
      </c>
      <c r="M364" s="81">
        <f>Work_Codes!$K151*M334*M$306</f>
        <v>0</v>
      </c>
      <c r="N364" s="81">
        <f>Work_Codes!$K151*N334*N$306</f>
        <v>275683.33292207087</v>
      </c>
      <c r="O364" s="81">
        <f>Work_Codes!$K151*O334*O$306</f>
        <v>0</v>
      </c>
      <c r="P364" s="81">
        <f>Work_Codes!$K151*P334*P$306</f>
        <v>0</v>
      </c>
      <c r="Q364" s="81">
        <f>Work_Codes!$K151*Q334*Q$306</f>
        <v>0</v>
      </c>
      <c r="R364" s="81">
        <f>Work_Codes!$K151*R334*R$306</f>
        <v>0</v>
      </c>
      <c r="S364" s="81">
        <f>Work_Codes!$K151*S334*S$306</f>
        <v>0</v>
      </c>
      <c r="T364" s="81">
        <f>Work_Codes!$K151*T334*T$306</f>
        <v>0</v>
      </c>
    </row>
    <row r="365" spans="3:20" ht="5.9" hidden="1" customHeight="1" outlineLevel="2"/>
    <row r="366" spans="3:20" hidden="1" outlineLevel="2">
      <c r="D366" s="249" t="str">
        <f>"Total "&amp;C361</f>
        <v>Total Materials</v>
      </c>
      <c r="E366" s="249"/>
      <c r="F366" s="249"/>
      <c r="G366" s="249"/>
      <c r="H366" s="249"/>
      <c r="I366" s="249"/>
      <c r="J366" s="82">
        <f t="shared" ref="J366:T366" si="39">SUM(J363:J365)</f>
        <v>0</v>
      </c>
      <c r="K366" s="82">
        <f t="shared" si="39"/>
        <v>0</v>
      </c>
      <c r="L366" s="82">
        <f t="shared" si="39"/>
        <v>0</v>
      </c>
      <c r="M366" s="82">
        <f t="shared" si="39"/>
        <v>0</v>
      </c>
      <c r="N366" s="82">
        <f t="shared" si="39"/>
        <v>275683.33292207087</v>
      </c>
      <c r="O366" s="82">
        <f t="shared" si="39"/>
        <v>136425.60000000001</v>
      </c>
      <c r="P366" s="82">
        <f t="shared" si="39"/>
        <v>272851.20000000001</v>
      </c>
      <c r="Q366" s="82">
        <f t="shared" si="39"/>
        <v>272851.20000000001</v>
      </c>
      <c r="R366" s="82">
        <f t="shared" si="39"/>
        <v>272851.20000000001</v>
      </c>
      <c r="S366" s="82">
        <f t="shared" si="39"/>
        <v>272851.20000000001</v>
      </c>
      <c r="T366" s="82">
        <f t="shared" si="39"/>
        <v>272851.20000000001</v>
      </c>
    </row>
    <row r="367" spans="3:20" outlineLevel="1" collapsed="1"/>
    <row r="368" spans="3:20" outlineLevel="1">
      <c r="C368" s="37" t="s">
        <v>217</v>
      </c>
    </row>
    <row r="369" spans="2:20" ht="5.9" customHeight="1" outlineLevel="1"/>
    <row r="370" spans="2:20" outlineLevel="1">
      <c r="D370" s="102" t="str">
        <f>Work_Codes!D150</f>
        <v>Meter Faults - Domestic</v>
      </c>
      <c r="J370" s="81">
        <f t="shared" ref="J370:T370" si="40">J349+J356+J363</f>
        <v>0</v>
      </c>
      <c r="K370" s="81">
        <f t="shared" si="40"/>
        <v>0</v>
      </c>
      <c r="L370" s="81">
        <f t="shared" si="40"/>
        <v>0</v>
      </c>
      <c r="M370" s="81">
        <f t="shared" si="40"/>
        <v>0</v>
      </c>
      <c r="N370" s="81">
        <f t="shared" si="40"/>
        <v>0</v>
      </c>
      <c r="O370" s="81">
        <f t="shared" si="40"/>
        <v>378979.69047196896</v>
      </c>
      <c r="P370" s="81">
        <f t="shared" si="40"/>
        <v>757997.5365358463</v>
      </c>
      <c r="Q370" s="81">
        <f t="shared" si="40"/>
        <v>758057.23875223985</v>
      </c>
      <c r="R370" s="81">
        <f t="shared" si="40"/>
        <v>758142.18476835557</v>
      </c>
      <c r="S370" s="81">
        <f t="shared" si="40"/>
        <v>758228.06590828765</v>
      </c>
      <c r="T370" s="81">
        <f t="shared" si="40"/>
        <v>758314.89246629807</v>
      </c>
    </row>
    <row r="371" spans="2:20" outlineLevel="1">
      <c r="D371" s="102" t="str">
        <f>Work_Codes!D151</f>
        <v>Capex Items Category 2</v>
      </c>
      <c r="J371" s="81">
        <f t="shared" ref="J371:T371" si="41">J350+J357+J364</f>
        <v>0</v>
      </c>
      <c r="K371" s="81">
        <f t="shared" si="41"/>
        <v>0</v>
      </c>
      <c r="L371" s="81">
        <f t="shared" si="41"/>
        <v>0</v>
      </c>
      <c r="M371" s="81">
        <f t="shared" si="41"/>
        <v>0</v>
      </c>
      <c r="N371" s="81">
        <f t="shared" si="41"/>
        <v>765787.0358946413</v>
      </c>
      <c r="O371" s="81">
        <f t="shared" si="41"/>
        <v>0</v>
      </c>
      <c r="P371" s="81">
        <f t="shared" si="41"/>
        <v>0</v>
      </c>
      <c r="Q371" s="81">
        <f t="shared" si="41"/>
        <v>0</v>
      </c>
      <c r="R371" s="81">
        <f t="shared" si="41"/>
        <v>0</v>
      </c>
      <c r="S371" s="81">
        <f t="shared" si="41"/>
        <v>0</v>
      </c>
      <c r="T371" s="81">
        <f t="shared" si="41"/>
        <v>0</v>
      </c>
    </row>
    <row r="372" spans="2:20" ht="5.9" customHeight="1" outlineLevel="1"/>
    <row r="373" spans="2:20" outlineLevel="1">
      <c r="D373" s="249" t="str">
        <f>C368</f>
        <v>Total Direct Capex including Escalation (Non CPI)</v>
      </c>
      <c r="E373" s="249"/>
      <c r="F373" s="249"/>
      <c r="G373" s="249"/>
      <c r="H373" s="249"/>
      <c r="I373" s="249"/>
      <c r="J373" s="82">
        <f t="shared" ref="J373:T373" si="42">SUM(J370:J372)</f>
        <v>0</v>
      </c>
      <c r="K373" s="82">
        <f t="shared" si="42"/>
        <v>0</v>
      </c>
      <c r="L373" s="82">
        <f t="shared" si="42"/>
        <v>0</v>
      </c>
      <c r="M373" s="82">
        <f t="shared" si="42"/>
        <v>0</v>
      </c>
      <c r="N373" s="82">
        <f t="shared" si="42"/>
        <v>765787.0358946413</v>
      </c>
      <c r="O373" s="82">
        <f t="shared" si="42"/>
        <v>378979.69047196896</v>
      </c>
      <c r="P373" s="82">
        <f t="shared" si="42"/>
        <v>757997.5365358463</v>
      </c>
      <c r="Q373" s="82">
        <f t="shared" si="42"/>
        <v>758057.23875223985</v>
      </c>
      <c r="R373" s="82">
        <f t="shared" si="42"/>
        <v>758142.18476835557</v>
      </c>
      <c r="S373" s="82">
        <f t="shared" si="42"/>
        <v>758228.06590828765</v>
      </c>
      <c r="T373" s="82">
        <f t="shared" si="42"/>
        <v>758314.89246629807</v>
      </c>
    </row>
    <row r="374" spans="2:20" outlineLevel="1">
      <c r="B374" s="12"/>
      <c r="C374" s="12"/>
      <c r="D374" s="12"/>
      <c r="E374" s="12"/>
      <c r="F374" s="12"/>
      <c r="G374" s="12"/>
      <c r="H374" s="12"/>
      <c r="I374" s="12"/>
      <c r="J374" s="12"/>
      <c r="K374" s="12"/>
      <c r="L374" s="12"/>
      <c r="M374" s="12"/>
      <c r="N374" s="12"/>
      <c r="O374" s="12"/>
      <c r="P374" s="12"/>
      <c r="Q374" s="12"/>
      <c r="R374" s="12"/>
      <c r="S374" s="12"/>
      <c r="T374" s="12"/>
    </row>
    <row r="375" spans="2:20" outlineLevel="1"/>
    <row r="376" spans="2:20" outlineLevel="1">
      <c r="C376" s="37" t="s">
        <v>195</v>
      </c>
    </row>
    <row r="377" spans="2:20" ht="5.9" customHeight="1" outlineLevel="2"/>
    <row r="378" spans="2:20" outlineLevel="2">
      <c r="D378" s="37" t="s">
        <v>215</v>
      </c>
    </row>
    <row r="379" spans="2:20" ht="5.9" customHeight="1" outlineLevel="2"/>
    <row r="380" spans="2:20" ht="11.5" customHeight="1" outlineLevel="2">
      <c r="E380" s="247" t="str">
        <f>GC!C40</f>
        <v>Transmission pipelines</v>
      </c>
      <c r="F380" s="247"/>
      <c r="G380" s="247"/>
      <c r="H380" s="247"/>
      <c r="I380" s="247"/>
      <c r="J380" s="81">
        <f ca="1">SUMPRODUCT((Work_Codes!$N$147:$Y$147=$E380)*(Work_Codes!$N$150:$Y$151)*(J$370:J$371))</f>
        <v>0</v>
      </c>
      <c r="K380" s="81">
        <f ca="1">SUMPRODUCT((Work_Codes!$N$147:$Y$147=$E380)*(Work_Codes!$N$150:$Y$151)*(K$370:K$371))</f>
        <v>0</v>
      </c>
      <c r="L380" s="81">
        <f ca="1">SUMPRODUCT((Work_Codes!$N$147:$Y$147=$E380)*(Work_Codes!$N$150:$Y$151)*(L$370:L$371))</f>
        <v>0</v>
      </c>
      <c r="M380" s="81">
        <f ca="1">SUMPRODUCT((Work_Codes!$N$147:$Y$147=$E380)*(Work_Codes!$N$150:$Y$151)*(M$370:M$371))</f>
        <v>0</v>
      </c>
      <c r="N380" s="81">
        <f ca="1">SUMPRODUCT((Work_Codes!$N$147:$Y$147=$E380)*(Work_Codes!$N$150:$Y$151)*(N$370:N$371))</f>
        <v>0</v>
      </c>
      <c r="O380" s="81">
        <f ca="1">SUMPRODUCT((Work_Codes!$N$147:$Y$147=$E380)*(Work_Codes!$N$150:$Y$151)*(O$370:O$371))</f>
        <v>0</v>
      </c>
      <c r="P380" s="81">
        <f ca="1">SUMPRODUCT((Work_Codes!$N$147:$Y$147=$E380)*(Work_Codes!$N$150:$Y$151)*(P$370:P$371))</f>
        <v>0</v>
      </c>
      <c r="Q380" s="81">
        <f ca="1">SUMPRODUCT((Work_Codes!$N$147:$Y$147=$E380)*(Work_Codes!$N$150:$Y$151)*(Q$370:Q$371))</f>
        <v>0</v>
      </c>
      <c r="R380" s="81">
        <f ca="1">SUMPRODUCT((Work_Codes!$N$147:$Y$147=$E380)*(Work_Codes!$N$150:$Y$151)*(R$370:R$371))</f>
        <v>0</v>
      </c>
      <c r="S380" s="81">
        <f ca="1">SUMPRODUCT((Work_Codes!$N$147:$Y$147=$E380)*(Work_Codes!$N$150:$Y$151)*(S$370:S$371))</f>
        <v>0</v>
      </c>
      <c r="T380" s="81">
        <f ca="1">SUMPRODUCT((Work_Codes!$N$147:$Y$147=$E380)*(Work_Codes!$N$150:$Y$151)*(T$370:T$371))</f>
        <v>0</v>
      </c>
    </row>
    <row r="381" spans="2:20" ht="11.5" customHeight="1" outlineLevel="2">
      <c r="E381" s="247" t="str">
        <f>GC!C41</f>
        <v>Distribution pipelines</v>
      </c>
      <c r="F381" s="247"/>
      <c r="G381" s="247"/>
      <c r="H381" s="247"/>
      <c r="I381" s="247"/>
      <c r="J381" s="81">
        <f ca="1">SUMPRODUCT((Work_Codes!$N$147:$Y$147=$E381)*(Work_Codes!$N$150:$Y$151)*(J$370:J$371))</f>
        <v>0</v>
      </c>
      <c r="K381" s="81">
        <f ca="1">SUMPRODUCT((Work_Codes!$N$147:$Y$147=$E381)*(Work_Codes!$N$150:$Y$151)*(K$370:K$371))</f>
        <v>0</v>
      </c>
      <c r="L381" s="81">
        <f ca="1">SUMPRODUCT((Work_Codes!$N$147:$Y$147=$E381)*(Work_Codes!$N$150:$Y$151)*(L$370:L$371))</f>
        <v>0</v>
      </c>
      <c r="M381" s="81">
        <f ca="1">SUMPRODUCT((Work_Codes!$N$147:$Y$147=$E381)*(Work_Codes!$N$150:$Y$151)*(M$370:M$371))</f>
        <v>0</v>
      </c>
      <c r="N381" s="81">
        <f ca="1">SUMPRODUCT((Work_Codes!$N$147:$Y$147=$E381)*(Work_Codes!$N$150:$Y$151)*(N$370:N$371))</f>
        <v>0</v>
      </c>
      <c r="O381" s="81">
        <f ca="1">SUMPRODUCT((Work_Codes!$N$147:$Y$147=$E381)*(Work_Codes!$N$150:$Y$151)*(O$370:O$371))</f>
        <v>0</v>
      </c>
      <c r="P381" s="81">
        <f ca="1">SUMPRODUCT((Work_Codes!$N$147:$Y$147=$E381)*(Work_Codes!$N$150:$Y$151)*(P$370:P$371))</f>
        <v>0</v>
      </c>
      <c r="Q381" s="81">
        <f ca="1">SUMPRODUCT((Work_Codes!$N$147:$Y$147=$E381)*(Work_Codes!$N$150:$Y$151)*(Q$370:Q$371))</f>
        <v>0</v>
      </c>
      <c r="R381" s="81">
        <f ca="1">SUMPRODUCT((Work_Codes!$N$147:$Y$147=$E381)*(Work_Codes!$N$150:$Y$151)*(R$370:R$371))</f>
        <v>0</v>
      </c>
      <c r="S381" s="81">
        <f ca="1">SUMPRODUCT((Work_Codes!$N$147:$Y$147=$E381)*(Work_Codes!$N$150:$Y$151)*(S$370:S$371))</f>
        <v>0</v>
      </c>
      <c r="T381" s="81">
        <f ca="1">SUMPRODUCT((Work_Codes!$N$147:$Y$147=$E381)*(Work_Codes!$N$150:$Y$151)*(T$370:T$371))</f>
        <v>0</v>
      </c>
    </row>
    <row r="382" spans="2:20" ht="11.5" customHeight="1" outlineLevel="2">
      <c r="E382" s="247" t="str">
        <f>GC!C42</f>
        <v>Service pipes</v>
      </c>
      <c r="F382" s="247"/>
      <c r="G382" s="247"/>
      <c r="H382" s="247"/>
      <c r="I382" s="247"/>
      <c r="J382" s="81">
        <f ca="1">SUMPRODUCT((Work_Codes!$N$147:$Y$147=$E382)*(Work_Codes!$N$150:$Y$151)*(J$370:J$371))</f>
        <v>0</v>
      </c>
      <c r="K382" s="81">
        <f ca="1">SUMPRODUCT((Work_Codes!$N$147:$Y$147=$E382)*(Work_Codes!$N$150:$Y$151)*(K$370:K$371))</f>
        <v>0</v>
      </c>
      <c r="L382" s="81">
        <f ca="1">SUMPRODUCT((Work_Codes!$N$147:$Y$147=$E382)*(Work_Codes!$N$150:$Y$151)*(L$370:L$371))</f>
        <v>0</v>
      </c>
      <c r="M382" s="81">
        <f ca="1">SUMPRODUCT((Work_Codes!$N$147:$Y$147=$E382)*(Work_Codes!$N$150:$Y$151)*(M$370:M$371))</f>
        <v>0</v>
      </c>
      <c r="N382" s="81">
        <f ca="1">SUMPRODUCT((Work_Codes!$N$147:$Y$147=$E382)*(Work_Codes!$N$150:$Y$151)*(N$370:N$371))</f>
        <v>0</v>
      </c>
      <c r="O382" s="81">
        <f ca="1">SUMPRODUCT((Work_Codes!$N$147:$Y$147=$E382)*(Work_Codes!$N$150:$Y$151)*(O$370:O$371))</f>
        <v>0</v>
      </c>
      <c r="P382" s="81">
        <f ca="1">SUMPRODUCT((Work_Codes!$N$147:$Y$147=$E382)*(Work_Codes!$N$150:$Y$151)*(P$370:P$371))</f>
        <v>0</v>
      </c>
      <c r="Q382" s="81">
        <f ca="1">SUMPRODUCT((Work_Codes!$N$147:$Y$147=$E382)*(Work_Codes!$N$150:$Y$151)*(Q$370:Q$371))</f>
        <v>0</v>
      </c>
      <c r="R382" s="81">
        <f ca="1">SUMPRODUCT((Work_Codes!$N$147:$Y$147=$E382)*(Work_Codes!$N$150:$Y$151)*(R$370:R$371))</f>
        <v>0</v>
      </c>
      <c r="S382" s="81">
        <f ca="1">SUMPRODUCT((Work_Codes!$N$147:$Y$147=$E382)*(Work_Codes!$N$150:$Y$151)*(S$370:S$371))</f>
        <v>0</v>
      </c>
      <c r="T382" s="81">
        <f ca="1">SUMPRODUCT((Work_Codes!$N$147:$Y$147=$E382)*(Work_Codes!$N$150:$Y$151)*(T$370:T$371))</f>
        <v>0</v>
      </c>
    </row>
    <row r="383" spans="2:20" ht="11.5" customHeight="1" outlineLevel="2">
      <c r="E383" s="247" t="str">
        <f>GC!C43</f>
        <v>Cathodic protection</v>
      </c>
      <c r="F383" s="247"/>
      <c r="G383" s="247"/>
      <c r="H383" s="247"/>
      <c r="I383" s="247"/>
      <c r="J383" s="81">
        <f ca="1">SUMPRODUCT((Work_Codes!$N$147:$Y$147=$E383)*(Work_Codes!$N$150:$Y$151)*(J$370:J$371))</f>
        <v>0</v>
      </c>
      <c r="K383" s="81">
        <f ca="1">SUMPRODUCT((Work_Codes!$N$147:$Y$147=$E383)*(Work_Codes!$N$150:$Y$151)*(K$370:K$371))</f>
        <v>0</v>
      </c>
      <c r="L383" s="81">
        <f ca="1">SUMPRODUCT((Work_Codes!$N$147:$Y$147=$E383)*(Work_Codes!$N$150:$Y$151)*(L$370:L$371))</f>
        <v>0</v>
      </c>
      <c r="M383" s="81">
        <f ca="1">SUMPRODUCT((Work_Codes!$N$147:$Y$147=$E383)*(Work_Codes!$N$150:$Y$151)*(M$370:M$371))</f>
        <v>0</v>
      </c>
      <c r="N383" s="81">
        <f ca="1">SUMPRODUCT((Work_Codes!$N$147:$Y$147=$E383)*(Work_Codes!$N$150:$Y$151)*(N$370:N$371))</f>
        <v>0</v>
      </c>
      <c r="O383" s="81">
        <f ca="1">SUMPRODUCT((Work_Codes!$N$147:$Y$147=$E383)*(Work_Codes!$N$150:$Y$151)*(O$370:O$371))</f>
        <v>0</v>
      </c>
      <c r="P383" s="81">
        <f ca="1">SUMPRODUCT((Work_Codes!$N$147:$Y$147=$E383)*(Work_Codes!$N$150:$Y$151)*(P$370:P$371))</f>
        <v>0</v>
      </c>
      <c r="Q383" s="81">
        <f ca="1">SUMPRODUCT((Work_Codes!$N$147:$Y$147=$E383)*(Work_Codes!$N$150:$Y$151)*(Q$370:Q$371))</f>
        <v>0</v>
      </c>
      <c r="R383" s="81">
        <f ca="1">SUMPRODUCT((Work_Codes!$N$147:$Y$147=$E383)*(Work_Codes!$N$150:$Y$151)*(R$370:R$371))</f>
        <v>0</v>
      </c>
      <c r="S383" s="81">
        <f ca="1">SUMPRODUCT((Work_Codes!$N$147:$Y$147=$E383)*(Work_Codes!$N$150:$Y$151)*(S$370:S$371))</f>
        <v>0</v>
      </c>
      <c r="T383" s="81">
        <f ca="1">SUMPRODUCT((Work_Codes!$N$147:$Y$147=$E383)*(Work_Codes!$N$150:$Y$151)*(T$370:T$371))</f>
        <v>0</v>
      </c>
    </row>
    <row r="384" spans="2:20" ht="11.5" customHeight="1" outlineLevel="2">
      <c r="E384" s="247" t="str">
        <f>GC!C44</f>
        <v>Supply Regulators / Valve Stations</v>
      </c>
      <c r="F384" s="247"/>
      <c r="G384" s="247"/>
      <c r="H384" s="247"/>
      <c r="I384" s="247"/>
      <c r="J384" s="81">
        <f ca="1">SUMPRODUCT((Work_Codes!$N$147:$Y$147=$E384)*(Work_Codes!$N$150:$Y$151)*(J$370:J$371))</f>
        <v>0</v>
      </c>
      <c r="K384" s="81">
        <f ca="1">SUMPRODUCT((Work_Codes!$N$147:$Y$147=$E384)*(Work_Codes!$N$150:$Y$151)*(K$370:K$371))</f>
        <v>0</v>
      </c>
      <c r="L384" s="81">
        <f ca="1">SUMPRODUCT((Work_Codes!$N$147:$Y$147=$E384)*(Work_Codes!$N$150:$Y$151)*(L$370:L$371))</f>
        <v>0</v>
      </c>
      <c r="M384" s="81">
        <f ca="1">SUMPRODUCT((Work_Codes!$N$147:$Y$147=$E384)*(Work_Codes!$N$150:$Y$151)*(M$370:M$371))</f>
        <v>0</v>
      </c>
      <c r="N384" s="81">
        <f ca="1">SUMPRODUCT((Work_Codes!$N$147:$Y$147=$E384)*(Work_Codes!$N$150:$Y$151)*(N$370:N$371))</f>
        <v>0</v>
      </c>
      <c r="O384" s="81">
        <f ca="1">SUMPRODUCT((Work_Codes!$N$147:$Y$147=$E384)*(Work_Codes!$N$150:$Y$151)*(O$370:O$371))</f>
        <v>0</v>
      </c>
      <c r="P384" s="81">
        <f ca="1">SUMPRODUCT((Work_Codes!$N$147:$Y$147=$E384)*(Work_Codes!$N$150:$Y$151)*(P$370:P$371))</f>
        <v>0</v>
      </c>
      <c r="Q384" s="81">
        <f ca="1">SUMPRODUCT((Work_Codes!$N$147:$Y$147=$E384)*(Work_Codes!$N$150:$Y$151)*(Q$370:Q$371))</f>
        <v>0</v>
      </c>
      <c r="R384" s="81">
        <f ca="1">SUMPRODUCT((Work_Codes!$N$147:$Y$147=$E384)*(Work_Codes!$N$150:$Y$151)*(R$370:R$371))</f>
        <v>0</v>
      </c>
      <c r="S384" s="81">
        <f ca="1">SUMPRODUCT((Work_Codes!$N$147:$Y$147=$E384)*(Work_Codes!$N$150:$Y$151)*(S$370:S$371))</f>
        <v>0</v>
      </c>
      <c r="T384" s="81">
        <f ca="1">SUMPRODUCT((Work_Codes!$N$147:$Y$147=$E384)*(Work_Codes!$N$150:$Y$151)*(T$370:T$371))</f>
        <v>0</v>
      </c>
    </row>
    <row r="385" spans="4:20" ht="11.5" customHeight="1" outlineLevel="2">
      <c r="E385" s="247" t="str">
        <f>GC!C45</f>
        <v>Meters</v>
      </c>
      <c r="F385" s="247"/>
      <c r="G385" s="247"/>
      <c r="H385" s="247"/>
      <c r="I385" s="247"/>
      <c r="J385" s="81">
        <f ca="1">SUMPRODUCT((Work_Codes!$N$147:$Y$147=$E385)*(Work_Codes!$N$150:$Y$151)*(J$370:J$371))</f>
        <v>0</v>
      </c>
      <c r="K385" s="81">
        <f ca="1">SUMPRODUCT((Work_Codes!$N$147:$Y$147=$E385)*(Work_Codes!$N$150:$Y$151)*(K$370:K$371))</f>
        <v>0</v>
      </c>
      <c r="L385" s="81">
        <f ca="1">SUMPRODUCT((Work_Codes!$N$147:$Y$147=$E385)*(Work_Codes!$N$150:$Y$151)*(L$370:L$371))</f>
        <v>0</v>
      </c>
      <c r="M385" s="81">
        <f ca="1">SUMPRODUCT((Work_Codes!$N$147:$Y$147=$E385)*(Work_Codes!$N$150:$Y$151)*(M$370:M$371))</f>
        <v>0</v>
      </c>
      <c r="N385" s="81">
        <f ca="1">SUMPRODUCT((Work_Codes!$N$147:$Y$147=$E385)*(Work_Codes!$N$150:$Y$151)*(N$370:N$371))</f>
        <v>765787.0358946413</v>
      </c>
      <c r="O385" s="81">
        <f ca="1">SUMPRODUCT((Work_Codes!$N$147:$Y$147=$E385)*(Work_Codes!$N$150:$Y$151)*(O$370:O$371))</f>
        <v>378979.69047196896</v>
      </c>
      <c r="P385" s="81">
        <f ca="1">SUMPRODUCT((Work_Codes!$N$147:$Y$147=$E385)*(Work_Codes!$N$150:$Y$151)*(P$370:P$371))</f>
        <v>757997.5365358463</v>
      </c>
      <c r="Q385" s="81">
        <f ca="1">SUMPRODUCT((Work_Codes!$N$147:$Y$147=$E385)*(Work_Codes!$N$150:$Y$151)*(Q$370:Q$371))</f>
        <v>758057.23875223985</v>
      </c>
      <c r="R385" s="81">
        <f ca="1">SUMPRODUCT((Work_Codes!$N$147:$Y$147=$E385)*(Work_Codes!$N$150:$Y$151)*(R$370:R$371))</f>
        <v>758142.18476835557</v>
      </c>
      <c r="S385" s="81">
        <f ca="1">SUMPRODUCT((Work_Codes!$N$147:$Y$147=$E385)*(Work_Codes!$N$150:$Y$151)*(S$370:S$371))</f>
        <v>758228.06590828765</v>
      </c>
      <c r="T385" s="81">
        <f ca="1">SUMPRODUCT((Work_Codes!$N$147:$Y$147=$E385)*(Work_Codes!$N$150:$Y$151)*(T$370:T$371))</f>
        <v>758314.89246629807</v>
      </c>
    </row>
    <row r="386" spans="4:20" ht="11.5" customHeight="1" outlineLevel="2">
      <c r="E386" s="247" t="str">
        <f>GC!C46</f>
        <v>SCADA and remote control</v>
      </c>
      <c r="F386" s="247"/>
      <c r="G386" s="247"/>
      <c r="H386" s="247"/>
      <c r="I386" s="247"/>
      <c r="J386" s="81">
        <f ca="1">SUMPRODUCT((Work_Codes!$N$147:$Y$147=$E386)*(Work_Codes!$N$150:$Y$151)*(J$370:J$371))</f>
        <v>0</v>
      </c>
      <c r="K386" s="81">
        <f ca="1">SUMPRODUCT((Work_Codes!$N$147:$Y$147=$E386)*(Work_Codes!$N$150:$Y$151)*(K$370:K$371))</f>
        <v>0</v>
      </c>
      <c r="L386" s="81">
        <f ca="1">SUMPRODUCT((Work_Codes!$N$147:$Y$147=$E386)*(Work_Codes!$N$150:$Y$151)*(L$370:L$371))</f>
        <v>0</v>
      </c>
      <c r="M386" s="81">
        <f ca="1">SUMPRODUCT((Work_Codes!$N$147:$Y$147=$E386)*(Work_Codes!$N$150:$Y$151)*(M$370:M$371))</f>
        <v>0</v>
      </c>
      <c r="N386" s="81">
        <f ca="1">SUMPRODUCT((Work_Codes!$N$147:$Y$147=$E386)*(Work_Codes!$N$150:$Y$151)*(N$370:N$371))</f>
        <v>0</v>
      </c>
      <c r="O386" s="81">
        <f ca="1">SUMPRODUCT((Work_Codes!$N$147:$Y$147=$E386)*(Work_Codes!$N$150:$Y$151)*(O$370:O$371))</f>
        <v>0</v>
      </c>
      <c r="P386" s="81">
        <f ca="1">SUMPRODUCT((Work_Codes!$N$147:$Y$147=$E386)*(Work_Codes!$N$150:$Y$151)*(P$370:P$371))</f>
        <v>0</v>
      </c>
      <c r="Q386" s="81">
        <f ca="1">SUMPRODUCT((Work_Codes!$N$147:$Y$147=$E386)*(Work_Codes!$N$150:$Y$151)*(Q$370:Q$371))</f>
        <v>0</v>
      </c>
      <c r="R386" s="81">
        <f ca="1">SUMPRODUCT((Work_Codes!$N$147:$Y$147=$E386)*(Work_Codes!$N$150:$Y$151)*(R$370:R$371))</f>
        <v>0</v>
      </c>
      <c r="S386" s="81">
        <f ca="1">SUMPRODUCT((Work_Codes!$N$147:$Y$147=$E386)*(Work_Codes!$N$150:$Y$151)*(S$370:S$371))</f>
        <v>0</v>
      </c>
      <c r="T386" s="81">
        <f ca="1">SUMPRODUCT((Work_Codes!$N$147:$Y$147=$E386)*(Work_Codes!$N$150:$Y$151)*(T$370:T$371))</f>
        <v>0</v>
      </c>
    </row>
    <row r="387" spans="4:20" ht="11.5" customHeight="1" outlineLevel="2">
      <c r="E387" s="247" t="str">
        <f>GC!C47</f>
        <v>Buildings</v>
      </c>
      <c r="F387" s="247"/>
      <c r="G387" s="247"/>
      <c r="H387" s="247"/>
      <c r="I387" s="247"/>
      <c r="J387" s="81">
        <f ca="1">SUMPRODUCT((Work_Codes!$N$147:$Y$147=$E387)*(Work_Codes!$N$150:$Y$151)*(J$370:J$371))</f>
        <v>0</v>
      </c>
      <c r="K387" s="81">
        <f ca="1">SUMPRODUCT((Work_Codes!$N$147:$Y$147=$E387)*(Work_Codes!$N$150:$Y$151)*(K$370:K$371))</f>
        <v>0</v>
      </c>
      <c r="L387" s="81">
        <f ca="1">SUMPRODUCT((Work_Codes!$N$147:$Y$147=$E387)*(Work_Codes!$N$150:$Y$151)*(L$370:L$371))</f>
        <v>0</v>
      </c>
      <c r="M387" s="81">
        <f ca="1">SUMPRODUCT((Work_Codes!$N$147:$Y$147=$E387)*(Work_Codes!$N$150:$Y$151)*(M$370:M$371))</f>
        <v>0</v>
      </c>
      <c r="N387" s="81">
        <f ca="1">SUMPRODUCT((Work_Codes!$N$147:$Y$147=$E387)*(Work_Codes!$N$150:$Y$151)*(N$370:N$371))</f>
        <v>0</v>
      </c>
      <c r="O387" s="81">
        <f ca="1">SUMPRODUCT((Work_Codes!$N$147:$Y$147=$E387)*(Work_Codes!$N$150:$Y$151)*(O$370:O$371))</f>
        <v>0</v>
      </c>
      <c r="P387" s="81">
        <f ca="1">SUMPRODUCT((Work_Codes!$N$147:$Y$147=$E387)*(Work_Codes!$N$150:$Y$151)*(P$370:P$371))</f>
        <v>0</v>
      </c>
      <c r="Q387" s="81">
        <f ca="1">SUMPRODUCT((Work_Codes!$N$147:$Y$147=$E387)*(Work_Codes!$N$150:$Y$151)*(Q$370:Q$371))</f>
        <v>0</v>
      </c>
      <c r="R387" s="81">
        <f ca="1">SUMPRODUCT((Work_Codes!$N$147:$Y$147=$E387)*(Work_Codes!$N$150:$Y$151)*(R$370:R$371))</f>
        <v>0</v>
      </c>
      <c r="S387" s="81">
        <f ca="1">SUMPRODUCT((Work_Codes!$N$147:$Y$147=$E387)*(Work_Codes!$N$150:$Y$151)*(S$370:S$371))</f>
        <v>0</v>
      </c>
      <c r="T387" s="81">
        <f ca="1">SUMPRODUCT((Work_Codes!$N$147:$Y$147=$E387)*(Work_Codes!$N$150:$Y$151)*(T$370:T$371))</f>
        <v>0</v>
      </c>
    </row>
    <row r="388" spans="4:20" ht="11.5" customHeight="1" outlineLevel="2">
      <c r="E388" s="247" t="str">
        <f>GC!C48</f>
        <v>Other - IT</v>
      </c>
      <c r="F388" s="247"/>
      <c r="G388" s="247"/>
      <c r="H388" s="247"/>
      <c r="I388" s="247"/>
      <c r="J388" s="81">
        <f ca="1">SUMPRODUCT((Work_Codes!$N$147:$Y$147=$E388)*(Work_Codes!$N$150:$Y$151)*(J$370:J$371))</f>
        <v>0</v>
      </c>
      <c r="K388" s="81">
        <f ca="1">SUMPRODUCT((Work_Codes!$N$147:$Y$147=$E388)*(Work_Codes!$N$150:$Y$151)*(K$370:K$371))</f>
        <v>0</v>
      </c>
      <c r="L388" s="81">
        <f ca="1">SUMPRODUCT((Work_Codes!$N$147:$Y$147=$E388)*(Work_Codes!$N$150:$Y$151)*(L$370:L$371))</f>
        <v>0</v>
      </c>
      <c r="M388" s="81">
        <f ca="1">SUMPRODUCT((Work_Codes!$N$147:$Y$147=$E388)*(Work_Codes!$N$150:$Y$151)*(M$370:M$371))</f>
        <v>0</v>
      </c>
      <c r="N388" s="81">
        <f ca="1">SUMPRODUCT((Work_Codes!$N$147:$Y$147=$E388)*(Work_Codes!$N$150:$Y$151)*(N$370:N$371))</f>
        <v>0</v>
      </c>
      <c r="O388" s="81">
        <f ca="1">SUMPRODUCT((Work_Codes!$N$147:$Y$147=$E388)*(Work_Codes!$N$150:$Y$151)*(O$370:O$371))</f>
        <v>0</v>
      </c>
      <c r="P388" s="81">
        <f ca="1">SUMPRODUCT((Work_Codes!$N$147:$Y$147=$E388)*(Work_Codes!$N$150:$Y$151)*(P$370:P$371))</f>
        <v>0</v>
      </c>
      <c r="Q388" s="81">
        <f ca="1">SUMPRODUCT((Work_Codes!$N$147:$Y$147=$E388)*(Work_Codes!$N$150:$Y$151)*(Q$370:Q$371))</f>
        <v>0</v>
      </c>
      <c r="R388" s="81">
        <f ca="1">SUMPRODUCT((Work_Codes!$N$147:$Y$147=$E388)*(Work_Codes!$N$150:$Y$151)*(R$370:R$371))</f>
        <v>0</v>
      </c>
      <c r="S388" s="81">
        <f ca="1">SUMPRODUCT((Work_Codes!$N$147:$Y$147=$E388)*(Work_Codes!$N$150:$Y$151)*(S$370:S$371))</f>
        <v>0</v>
      </c>
      <c r="T388" s="81">
        <f ca="1">SUMPRODUCT((Work_Codes!$N$147:$Y$147=$E388)*(Work_Codes!$N$150:$Y$151)*(T$370:T$371))</f>
        <v>0</v>
      </c>
    </row>
    <row r="389" spans="4:20" ht="11.5" customHeight="1" outlineLevel="2">
      <c r="E389" s="247" t="str">
        <f>GC!C49</f>
        <v>Other - non IT</v>
      </c>
      <c r="F389" s="247"/>
      <c r="G389" s="247"/>
      <c r="H389" s="247"/>
      <c r="I389" s="247"/>
      <c r="J389" s="81">
        <f ca="1">SUMPRODUCT((Work_Codes!$N$147:$Y$147=$E389)*(Work_Codes!$N$150:$Y$151)*(J$370:J$371))</f>
        <v>0</v>
      </c>
      <c r="K389" s="81">
        <f ca="1">SUMPRODUCT((Work_Codes!$N$147:$Y$147=$E389)*(Work_Codes!$N$150:$Y$151)*(K$370:K$371))</f>
        <v>0</v>
      </c>
      <c r="L389" s="81">
        <f ca="1">SUMPRODUCT((Work_Codes!$N$147:$Y$147=$E389)*(Work_Codes!$N$150:$Y$151)*(L$370:L$371))</f>
        <v>0</v>
      </c>
      <c r="M389" s="81">
        <f ca="1">SUMPRODUCT((Work_Codes!$N$147:$Y$147=$E389)*(Work_Codes!$N$150:$Y$151)*(M$370:M$371))</f>
        <v>0</v>
      </c>
      <c r="N389" s="81">
        <f ca="1">SUMPRODUCT((Work_Codes!$N$147:$Y$147=$E389)*(Work_Codes!$N$150:$Y$151)*(N$370:N$371))</f>
        <v>0</v>
      </c>
      <c r="O389" s="81">
        <f ca="1">SUMPRODUCT((Work_Codes!$N$147:$Y$147=$E389)*(Work_Codes!$N$150:$Y$151)*(O$370:O$371))</f>
        <v>0</v>
      </c>
      <c r="P389" s="81">
        <f ca="1">SUMPRODUCT((Work_Codes!$N$147:$Y$147=$E389)*(Work_Codes!$N$150:$Y$151)*(P$370:P$371))</f>
        <v>0</v>
      </c>
      <c r="Q389" s="81">
        <f ca="1">SUMPRODUCT((Work_Codes!$N$147:$Y$147=$E389)*(Work_Codes!$N$150:$Y$151)*(Q$370:Q$371))</f>
        <v>0</v>
      </c>
      <c r="R389" s="81">
        <f ca="1">SUMPRODUCT((Work_Codes!$N$147:$Y$147=$E389)*(Work_Codes!$N$150:$Y$151)*(R$370:R$371))</f>
        <v>0</v>
      </c>
      <c r="S389" s="81">
        <f ca="1">SUMPRODUCT((Work_Codes!$N$147:$Y$147=$E389)*(Work_Codes!$N$150:$Y$151)*(S$370:S$371))</f>
        <v>0</v>
      </c>
      <c r="T389" s="81">
        <f ca="1">SUMPRODUCT((Work_Codes!$N$147:$Y$147=$E389)*(Work_Codes!$N$150:$Y$151)*(T$370:T$371))</f>
        <v>0</v>
      </c>
    </row>
    <row r="390" spans="4:20" ht="11.5" customHeight="1" outlineLevel="2">
      <c r="E390" s="247" t="str">
        <f>GC!C50</f>
        <v>Land</v>
      </c>
      <c r="F390" s="247"/>
      <c r="G390" s="247"/>
      <c r="H390" s="247"/>
      <c r="I390" s="247"/>
      <c r="J390" s="81">
        <f ca="1">SUMPRODUCT((Work_Codes!$N$147:$Y$147=$E390)*(Work_Codes!$N$150:$Y$151)*(J$370:J$371))</f>
        <v>0</v>
      </c>
      <c r="K390" s="81">
        <f ca="1">SUMPRODUCT((Work_Codes!$N$147:$Y$147=$E390)*(Work_Codes!$N$150:$Y$151)*(K$370:K$371))</f>
        <v>0</v>
      </c>
      <c r="L390" s="81">
        <f ca="1">SUMPRODUCT((Work_Codes!$N$147:$Y$147=$E390)*(Work_Codes!$N$150:$Y$151)*(L$370:L$371))</f>
        <v>0</v>
      </c>
      <c r="M390" s="81">
        <f ca="1">SUMPRODUCT((Work_Codes!$N$147:$Y$147=$E390)*(Work_Codes!$N$150:$Y$151)*(M$370:M$371))</f>
        <v>0</v>
      </c>
      <c r="N390" s="81">
        <f ca="1">SUMPRODUCT((Work_Codes!$N$147:$Y$147=$E390)*(Work_Codes!$N$150:$Y$151)*(N$370:N$371))</f>
        <v>0</v>
      </c>
      <c r="O390" s="81">
        <f ca="1">SUMPRODUCT((Work_Codes!$N$147:$Y$147=$E390)*(Work_Codes!$N$150:$Y$151)*(O$370:O$371))</f>
        <v>0</v>
      </c>
      <c r="P390" s="81">
        <f ca="1">SUMPRODUCT((Work_Codes!$N$147:$Y$147=$E390)*(Work_Codes!$N$150:$Y$151)*(P$370:P$371))</f>
        <v>0</v>
      </c>
      <c r="Q390" s="81">
        <f ca="1">SUMPRODUCT((Work_Codes!$N$147:$Y$147=$E390)*(Work_Codes!$N$150:$Y$151)*(Q$370:Q$371))</f>
        <v>0</v>
      </c>
      <c r="R390" s="81">
        <f ca="1">SUMPRODUCT((Work_Codes!$N$147:$Y$147=$E390)*(Work_Codes!$N$150:$Y$151)*(R$370:R$371))</f>
        <v>0</v>
      </c>
      <c r="S390" s="81">
        <f ca="1">SUMPRODUCT((Work_Codes!$N$147:$Y$147=$E390)*(Work_Codes!$N$150:$Y$151)*(S$370:S$371))</f>
        <v>0</v>
      </c>
      <c r="T390" s="81">
        <f ca="1">SUMPRODUCT((Work_Codes!$N$147:$Y$147=$E390)*(Work_Codes!$N$150:$Y$151)*(T$370:T$371))</f>
        <v>0</v>
      </c>
    </row>
    <row r="391" spans="4:20" outlineLevel="2">
      <c r="E391" s="247" t="str">
        <f>GC!C51</f>
        <v>Capitalised Leases</v>
      </c>
      <c r="F391" s="247"/>
      <c r="G391" s="247"/>
      <c r="H391" s="247"/>
      <c r="I391" s="247"/>
      <c r="J391" s="81">
        <f ca="1">SUMPRODUCT((Work_Codes!$N$147:$Y$147=$E391)*(Work_Codes!$N$150:$Y$151)*(J$370:J$371))</f>
        <v>0</v>
      </c>
      <c r="K391" s="81">
        <f ca="1">SUMPRODUCT((Work_Codes!$N$147:$Y$147=$E391)*(Work_Codes!$N$150:$Y$151)*(K$370:K$371))</f>
        <v>0</v>
      </c>
      <c r="L391" s="81">
        <f ca="1">SUMPRODUCT((Work_Codes!$N$147:$Y$147=$E391)*(Work_Codes!$N$150:$Y$151)*(L$370:L$371))</f>
        <v>0</v>
      </c>
      <c r="M391" s="81">
        <f ca="1">SUMPRODUCT((Work_Codes!$N$147:$Y$147=$E391)*(Work_Codes!$N$150:$Y$151)*(M$370:M$371))</f>
        <v>0</v>
      </c>
      <c r="N391" s="81">
        <f ca="1">SUMPRODUCT((Work_Codes!$N$147:$Y$147=$E391)*(Work_Codes!$N$150:$Y$151)*(N$370:N$371))</f>
        <v>0</v>
      </c>
      <c r="O391" s="81">
        <f ca="1">SUMPRODUCT((Work_Codes!$N$147:$Y$147=$E391)*(Work_Codes!$N$150:$Y$151)*(O$370:O$371))</f>
        <v>0</v>
      </c>
      <c r="P391" s="81">
        <f ca="1">SUMPRODUCT((Work_Codes!$N$147:$Y$147=$E391)*(Work_Codes!$N$150:$Y$151)*(P$370:P$371))</f>
        <v>0</v>
      </c>
      <c r="Q391" s="81">
        <f ca="1">SUMPRODUCT((Work_Codes!$N$147:$Y$147=$E391)*(Work_Codes!$N$150:$Y$151)*(Q$370:Q$371))</f>
        <v>0</v>
      </c>
      <c r="R391" s="81">
        <f ca="1">SUMPRODUCT((Work_Codes!$N$147:$Y$147=$E391)*(Work_Codes!$N$150:$Y$151)*(R$370:R$371))</f>
        <v>0</v>
      </c>
      <c r="S391" s="81">
        <f ca="1">SUMPRODUCT((Work_Codes!$N$147:$Y$147=$E391)*(Work_Codes!$N$150:$Y$151)*(S$370:S$371))</f>
        <v>0</v>
      </c>
      <c r="T391" s="81">
        <f ca="1">SUMPRODUCT((Work_Codes!$N$147:$Y$147=$E391)*(Work_Codes!$N$150:$Y$151)*(T$370:T$371))</f>
        <v>0</v>
      </c>
    </row>
    <row r="392" spans="4:20" outlineLevel="2">
      <c r="E392" s="247" t="str">
        <f>GC!C52</f>
        <v>Transmission pipelines - post 1998</v>
      </c>
      <c r="F392" s="247"/>
      <c r="G392" s="247"/>
      <c r="H392" s="247"/>
      <c r="I392" s="247"/>
      <c r="J392" s="81">
        <f ca="1">SUMPRODUCT((Work_Codes!$N$147:$Y$147=$E392)*(Work_Codes!$N$150:$Y$151)*(J$370:J$371))</f>
        <v>0</v>
      </c>
      <c r="K392" s="81">
        <f ca="1">SUMPRODUCT((Work_Codes!$N$147:$Y$147=$E392)*(Work_Codes!$N$150:$Y$151)*(K$370:K$371))</f>
        <v>0</v>
      </c>
      <c r="L392" s="81">
        <f ca="1">SUMPRODUCT((Work_Codes!$N$147:$Y$147=$E392)*(Work_Codes!$N$150:$Y$151)*(L$370:L$371))</f>
        <v>0</v>
      </c>
      <c r="M392" s="81">
        <f ca="1">SUMPRODUCT((Work_Codes!$N$147:$Y$147=$E392)*(Work_Codes!$N$150:$Y$151)*(M$370:M$371))</f>
        <v>0</v>
      </c>
      <c r="N392" s="81">
        <f ca="1">SUMPRODUCT((Work_Codes!$N$147:$Y$147=$E392)*(Work_Codes!$N$150:$Y$151)*(N$370:N$371))</f>
        <v>0</v>
      </c>
      <c r="O392" s="81">
        <f ca="1">SUMPRODUCT((Work_Codes!$N$147:$Y$147=$E392)*(Work_Codes!$N$150:$Y$151)*(O$370:O$371))</f>
        <v>0</v>
      </c>
      <c r="P392" s="81">
        <f ca="1">SUMPRODUCT((Work_Codes!$N$147:$Y$147=$E392)*(Work_Codes!$N$150:$Y$151)*(P$370:P$371))</f>
        <v>0</v>
      </c>
      <c r="Q392" s="81">
        <f ca="1">SUMPRODUCT((Work_Codes!$N$147:$Y$147=$E392)*(Work_Codes!$N$150:$Y$151)*(Q$370:Q$371))</f>
        <v>0</v>
      </c>
      <c r="R392" s="81">
        <f ca="1">SUMPRODUCT((Work_Codes!$N$147:$Y$147=$E392)*(Work_Codes!$N$150:$Y$151)*(R$370:R$371))</f>
        <v>0</v>
      </c>
      <c r="S392" s="81">
        <f ca="1">SUMPRODUCT((Work_Codes!$N$147:$Y$147=$E392)*(Work_Codes!$N$150:$Y$151)*(S$370:S$371))</f>
        <v>0</v>
      </c>
      <c r="T392" s="81">
        <f ca="1">SUMPRODUCT((Work_Codes!$N$147:$Y$147=$E392)*(Work_Codes!$N$150:$Y$151)*(T$370:T$371))</f>
        <v>0</v>
      </c>
    </row>
    <row r="393" spans="4:20" outlineLevel="2">
      <c r="E393" s="247" t="str">
        <f>GC!C53</f>
        <v>Distribution pipelines - post 1998</v>
      </c>
      <c r="F393" s="247"/>
      <c r="G393" s="247"/>
      <c r="H393" s="247"/>
      <c r="I393" s="247"/>
      <c r="J393" s="81">
        <f ca="1">SUMPRODUCT((Work_Codes!$N$147:$Y$147=$E393)*(Work_Codes!$N$150:$Y$151)*(J$370:J$371))</f>
        <v>0</v>
      </c>
      <c r="K393" s="81">
        <f ca="1">SUMPRODUCT((Work_Codes!$N$147:$Y$147=$E393)*(Work_Codes!$N$150:$Y$151)*(K$370:K$371))</f>
        <v>0</v>
      </c>
      <c r="L393" s="81">
        <f ca="1">SUMPRODUCT((Work_Codes!$N$147:$Y$147=$E393)*(Work_Codes!$N$150:$Y$151)*(L$370:L$371))</f>
        <v>0</v>
      </c>
      <c r="M393" s="81">
        <f ca="1">SUMPRODUCT((Work_Codes!$N$147:$Y$147=$E393)*(Work_Codes!$N$150:$Y$151)*(M$370:M$371))</f>
        <v>0</v>
      </c>
      <c r="N393" s="81">
        <f ca="1">SUMPRODUCT((Work_Codes!$N$147:$Y$147=$E393)*(Work_Codes!$N$150:$Y$151)*(N$370:N$371))</f>
        <v>0</v>
      </c>
      <c r="O393" s="81">
        <f ca="1">SUMPRODUCT((Work_Codes!$N$147:$Y$147=$E393)*(Work_Codes!$N$150:$Y$151)*(O$370:O$371))</f>
        <v>0</v>
      </c>
      <c r="P393" s="81">
        <f ca="1">SUMPRODUCT((Work_Codes!$N$147:$Y$147=$E393)*(Work_Codes!$N$150:$Y$151)*(P$370:P$371))</f>
        <v>0</v>
      </c>
      <c r="Q393" s="81">
        <f ca="1">SUMPRODUCT((Work_Codes!$N$147:$Y$147=$E393)*(Work_Codes!$N$150:$Y$151)*(Q$370:Q$371))</f>
        <v>0</v>
      </c>
      <c r="R393" s="81">
        <f ca="1">SUMPRODUCT((Work_Codes!$N$147:$Y$147=$E393)*(Work_Codes!$N$150:$Y$151)*(R$370:R$371))</f>
        <v>0</v>
      </c>
      <c r="S393" s="81">
        <f ca="1">SUMPRODUCT((Work_Codes!$N$147:$Y$147=$E393)*(Work_Codes!$N$150:$Y$151)*(S$370:S$371))</f>
        <v>0</v>
      </c>
      <c r="T393" s="81">
        <f ca="1">SUMPRODUCT((Work_Codes!$N$147:$Y$147=$E393)*(Work_Codes!$N$150:$Y$151)*(T$370:T$371))</f>
        <v>0</v>
      </c>
    </row>
    <row r="394" spans="4:20" outlineLevel="2">
      <c r="E394" s="247" t="str">
        <f>GC!C54</f>
        <v>Service pipes - post 1998</v>
      </c>
      <c r="F394" s="247"/>
      <c r="G394" s="247"/>
      <c r="H394" s="247"/>
      <c r="I394" s="247"/>
      <c r="J394" s="81">
        <f ca="1">SUMPRODUCT((Work_Codes!$N$147:$Y$147=$E394)*(Work_Codes!$N$150:$Y$151)*(J$370:J$371))</f>
        <v>0</v>
      </c>
      <c r="K394" s="81">
        <f ca="1">SUMPRODUCT((Work_Codes!$N$147:$Y$147=$E394)*(Work_Codes!$N$150:$Y$151)*(K$370:K$371))</f>
        <v>0</v>
      </c>
      <c r="L394" s="81">
        <f ca="1">SUMPRODUCT((Work_Codes!$N$147:$Y$147=$E394)*(Work_Codes!$N$150:$Y$151)*(L$370:L$371))</f>
        <v>0</v>
      </c>
      <c r="M394" s="81">
        <f ca="1">SUMPRODUCT((Work_Codes!$N$147:$Y$147=$E394)*(Work_Codes!$N$150:$Y$151)*(M$370:M$371))</f>
        <v>0</v>
      </c>
      <c r="N394" s="81">
        <f ca="1">SUMPRODUCT((Work_Codes!$N$147:$Y$147=$E394)*(Work_Codes!$N$150:$Y$151)*(N$370:N$371))</f>
        <v>0</v>
      </c>
      <c r="O394" s="81">
        <f ca="1">SUMPRODUCT((Work_Codes!$N$147:$Y$147=$E394)*(Work_Codes!$N$150:$Y$151)*(O$370:O$371))</f>
        <v>0</v>
      </c>
      <c r="P394" s="81">
        <f ca="1">SUMPRODUCT((Work_Codes!$N$147:$Y$147=$E394)*(Work_Codes!$N$150:$Y$151)*(P$370:P$371))</f>
        <v>0</v>
      </c>
      <c r="Q394" s="81">
        <f ca="1">SUMPRODUCT((Work_Codes!$N$147:$Y$147=$E394)*(Work_Codes!$N$150:$Y$151)*(Q$370:Q$371))</f>
        <v>0</v>
      </c>
      <c r="R394" s="81">
        <f ca="1">SUMPRODUCT((Work_Codes!$N$147:$Y$147=$E394)*(Work_Codes!$N$150:$Y$151)*(R$370:R$371))</f>
        <v>0</v>
      </c>
      <c r="S394" s="81">
        <f ca="1">SUMPRODUCT((Work_Codes!$N$147:$Y$147=$E394)*(Work_Codes!$N$150:$Y$151)*(S$370:S$371))</f>
        <v>0</v>
      </c>
      <c r="T394" s="81">
        <f ca="1">SUMPRODUCT((Work_Codes!$N$147:$Y$147=$E394)*(Work_Codes!$N$150:$Y$151)*(T$370:T$371))</f>
        <v>0</v>
      </c>
    </row>
    <row r="395" spans="4:20" outlineLevel="2">
      <c r="E395" s="247" t="str">
        <f>GC!C55</f>
        <v>Cathodic protection - post 1998</v>
      </c>
      <c r="F395" s="247"/>
      <c r="G395" s="247"/>
      <c r="H395" s="247"/>
      <c r="I395" s="247"/>
      <c r="J395" s="81">
        <f ca="1">SUMPRODUCT((Work_Codes!$N$147:$Y$147=$E395)*(Work_Codes!$N$150:$Y$151)*(J$370:J$371))</f>
        <v>0</v>
      </c>
      <c r="K395" s="81">
        <f ca="1">SUMPRODUCT((Work_Codes!$N$147:$Y$147=$E395)*(Work_Codes!$N$150:$Y$151)*(K$370:K$371))</f>
        <v>0</v>
      </c>
      <c r="L395" s="81">
        <f ca="1">SUMPRODUCT((Work_Codes!$N$147:$Y$147=$E395)*(Work_Codes!$N$150:$Y$151)*(L$370:L$371))</f>
        <v>0</v>
      </c>
      <c r="M395" s="81">
        <f ca="1">SUMPRODUCT((Work_Codes!$N$147:$Y$147=$E395)*(Work_Codes!$N$150:$Y$151)*(M$370:M$371))</f>
        <v>0</v>
      </c>
      <c r="N395" s="81">
        <f ca="1">SUMPRODUCT((Work_Codes!$N$147:$Y$147=$E395)*(Work_Codes!$N$150:$Y$151)*(N$370:N$371))</f>
        <v>0</v>
      </c>
      <c r="O395" s="81">
        <f ca="1">SUMPRODUCT((Work_Codes!$N$147:$Y$147=$E395)*(Work_Codes!$N$150:$Y$151)*(O$370:O$371))</f>
        <v>0</v>
      </c>
      <c r="P395" s="81">
        <f ca="1">SUMPRODUCT((Work_Codes!$N$147:$Y$147=$E395)*(Work_Codes!$N$150:$Y$151)*(P$370:P$371))</f>
        <v>0</v>
      </c>
      <c r="Q395" s="81">
        <f ca="1">SUMPRODUCT((Work_Codes!$N$147:$Y$147=$E395)*(Work_Codes!$N$150:$Y$151)*(Q$370:Q$371))</f>
        <v>0</v>
      </c>
      <c r="R395" s="81">
        <f ca="1">SUMPRODUCT((Work_Codes!$N$147:$Y$147=$E395)*(Work_Codes!$N$150:$Y$151)*(R$370:R$371))</f>
        <v>0</v>
      </c>
      <c r="S395" s="81">
        <f ca="1">SUMPRODUCT((Work_Codes!$N$147:$Y$147=$E395)*(Work_Codes!$N$150:$Y$151)*(S$370:S$371))</f>
        <v>0</v>
      </c>
      <c r="T395" s="81">
        <f ca="1">SUMPRODUCT((Work_Codes!$N$147:$Y$147=$E395)*(Work_Codes!$N$150:$Y$151)*(T$370:T$371))</f>
        <v>0</v>
      </c>
    </row>
    <row r="396" spans="4:20" ht="12" customHeight="1" outlineLevel="2">
      <c r="E396" s="249" t="str">
        <f>"Total "&amp;D378</f>
        <v>Total Direct Costs</v>
      </c>
      <c r="F396" s="249"/>
      <c r="G396" s="249"/>
      <c r="H396" s="249"/>
      <c r="I396" s="249"/>
      <c r="J396" s="82">
        <f t="shared" ref="J396:T396" ca="1" si="43">SUM(J380:J395)</f>
        <v>0</v>
      </c>
      <c r="K396" s="82">
        <f t="shared" ca="1" si="43"/>
        <v>0</v>
      </c>
      <c r="L396" s="82">
        <f t="shared" ca="1" si="43"/>
        <v>0</v>
      </c>
      <c r="M396" s="82">
        <f t="shared" ca="1" si="43"/>
        <v>0</v>
      </c>
      <c r="N396" s="82">
        <f t="shared" ca="1" si="43"/>
        <v>765787.0358946413</v>
      </c>
      <c r="O396" s="82">
        <f t="shared" ca="1" si="43"/>
        <v>378979.69047196896</v>
      </c>
      <c r="P396" s="82">
        <f t="shared" ca="1" si="43"/>
        <v>757997.5365358463</v>
      </c>
      <c r="Q396" s="82">
        <f t="shared" ca="1" si="43"/>
        <v>758057.23875223985</v>
      </c>
      <c r="R396" s="82">
        <f t="shared" ca="1" si="43"/>
        <v>758142.18476835557</v>
      </c>
      <c r="S396" s="82">
        <f t="shared" ca="1" si="43"/>
        <v>758228.06590828765</v>
      </c>
      <c r="T396" s="82">
        <f t="shared" ca="1" si="43"/>
        <v>758314.89246629807</v>
      </c>
    </row>
    <row r="397" spans="4:20" outlineLevel="2"/>
    <row r="398" spans="4:20" outlineLevel="2">
      <c r="D398" s="37" t="s">
        <v>364</v>
      </c>
    </row>
    <row r="399" spans="4:20" ht="5.9" customHeight="1" outlineLevel="2"/>
    <row r="400" spans="4:20" outlineLevel="2">
      <c r="E400" s="247" t="str">
        <f>GC!C40</f>
        <v>Transmission pipelines</v>
      </c>
      <c r="F400" s="247"/>
      <c r="G400" s="247"/>
      <c r="H400" s="247"/>
      <c r="I400" s="247"/>
      <c r="J400" s="81">
        <f ca="1">J380*(INDEX(J$310:J$312,MATCH(Work_Codes!$I$144,$D$310:$D$312,0)))</f>
        <v>0</v>
      </c>
      <c r="K400" s="81">
        <f ca="1">K380*(INDEX(K$310:K$312,MATCH(Work_Codes!$I$144,$D$310:$D$312,0)))</f>
        <v>0</v>
      </c>
      <c r="L400" s="81">
        <f ca="1">L380*(INDEX(L$310:L$312,MATCH(Work_Codes!$I$144,$D$310:$D$312,0)))</f>
        <v>0</v>
      </c>
      <c r="M400" s="81">
        <f ca="1">M380*(INDEX(M$310:M$312,MATCH(Work_Codes!$I$144,$D$310:$D$312,0)))</f>
        <v>0</v>
      </c>
      <c r="N400" s="81">
        <f ca="1">N380*(INDEX(N$310:N$312,MATCH(Work_Codes!$I$144,$D$310:$D$312,0)))</f>
        <v>0</v>
      </c>
      <c r="O400" s="81">
        <f ca="1">O380*(INDEX(O$310:O$312,MATCH(Work_Codes!$I$144,$D$310:$D$312,0)))</f>
        <v>0</v>
      </c>
      <c r="P400" s="81">
        <f ca="1">P380*(INDEX(P$310:P$312,MATCH(Work_Codes!$I$144,$D$310:$D$312,0)))</f>
        <v>0</v>
      </c>
      <c r="Q400" s="81">
        <f ca="1">Q380*(INDEX(Q$310:Q$312,MATCH(Work_Codes!$I$144,$D$310:$D$312,0)))</f>
        <v>0</v>
      </c>
      <c r="R400" s="81">
        <f ca="1">R380*(INDEX(R$310:R$312,MATCH(Work_Codes!$I$144,$D$310:$D$312,0)))</f>
        <v>0</v>
      </c>
      <c r="S400" s="81">
        <f ca="1">S380*(INDEX(S$310:S$312,MATCH(Work_Codes!$I$144,$D$310:$D$312,0)))</f>
        <v>0</v>
      </c>
      <c r="T400" s="81">
        <f ca="1">T380*(INDEX(T$310:T$312,MATCH(Work_Codes!$I$144,$D$310:$D$312,0)))</f>
        <v>0</v>
      </c>
    </row>
    <row r="401" spans="5:20" outlineLevel="2">
      <c r="E401" s="247" t="str">
        <f>GC!C41</f>
        <v>Distribution pipelines</v>
      </c>
      <c r="F401" s="247"/>
      <c r="G401" s="247"/>
      <c r="H401" s="247"/>
      <c r="I401" s="247"/>
      <c r="J401" s="81">
        <f ca="1">J381*(INDEX(J$310:J$312,MATCH(Work_Codes!$I$144,$D$310:$D$312,0)))</f>
        <v>0</v>
      </c>
      <c r="K401" s="81">
        <f ca="1">K381*(INDEX(K$310:K$312,MATCH(Work_Codes!$I$144,$D$310:$D$312,0)))</f>
        <v>0</v>
      </c>
      <c r="L401" s="81">
        <f ca="1">L381*(INDEX(L$310:L$312,MATCH(Work_Codes!$I$144,$D$310:$D$312,0)))</f>
        <v>0</v>
      </c>
      <c r="M401" s="81">
        <f ca="1">M381*(INDEX(M$310:M$312,MATCH(Work_Codes!$I$144,$D$310:$D$312,0)))</f>
        <v>0</v>
      </c>
      <c r="N401" s="81">
        <f ca="1">N381*(INDEX(N$310:N$312,MATCH(Work_Codes!$I$144,$D$310:$D$312,0)))</f>
        <v>0</v>
      </c>
      <c r="O401" s="81">
        <f ca="1">O381*(INDEX(O$310:O$312,MATCH(Work_Codes!$I$144,$D$310:$D$312,0)))</f>
        <v>0</v>
      </c>
      <c r="P401" s="81">
        <f ca="1">P381*(INDEX(P$310:P$312,MATCH(Work_Codes!$I$144,$D$310:$D$312,0)))</f>
        <v>0</v>
      </c>
      <c r="Q401" s="81">
        <f ca="1">Q381*(INDEX(Q$310:Q$312,MATCH(Work_Codes!$I$144,$D$310:$D$312,0)))</f>
        <v>0</v>
      </c>
      <c r="R401" s="81">
        <f ca="1">R381*(INDEX(R$310:R$312,MATCH(Work_Codes!$I$144,$D$310:$D$312,0)))</f>
        <v>0</v>
      </c>
      <c r="S401" s="81">
        <f ca="1">S381*(INDEX(S$310:S$312,MATCH(Work_Codes!$I$144,$D$310:$D$312,0)))</f>
        <v>0</v>
      </c>
      <c r="T401" s="81">
        <f ca="1">T381*(INDEX(T$310:T$312,MATCH(Work_Codes!$I$144,$D$310:$D$312,0)))</f>
        <v>0</v>
      </c>
    </row>
    <row r="402" spans="5:20" outlineLevel="2">
      <c r="E402" s="247" t="str">
        <f>GC!C42</f>
        <v>Service pipes</v>
      </c>
      <c r="F402" s="247"/>
      <c r="G402" s="247"/>
      <c r="H402" s="247"/>
      <c r="I402" s="247"/>
      <c r="J402" s="81">
        <f ca="1">J382*(INDEX(J$310:J$312,MATCH(Work_Codes!$I$144,$D$310:$D$312,0)))</f>
        <v>0</v>
      </c>
      <c r="K402" s="81">
        <f ca="1">K382*(INDEX(K$310:K$312,MATCH(Work_Codes!$I$144,$D$310:$D$312,0)))</f>
        <v>0</v>
      </c>
      <c r="L402" s="81">
        <f ca="1">L382*(INDEX(L$310:L$312,MATCH(Work_Codes!$I$144,$D$310:$D$312,0)))</f>
        <v>0</v>
      </c>
      <c r="M402" s="81">
        <f ca="1">M382*(INDEX(M$310:M$312,MATCH(Work_Codes!$I$144,$D$310:$D$312,0)))</f>
        <v>0</v>
      </c>
      <c r="N402" s="81">
        <f ca="1">N382*(INDEX(N$310:N$312,MATCH(Work_Codes!$I$144,$D$310:$D$312,0)))</f>
        <v>0</v>
      </c>
      <c r="O402" s="81">
        <f ca="1">O382*(INDEX(O$310:O$312,MATCH(Work_Codes!$I$144,$D$310:$D$312,0)))</f>
        <v>0</v>
      </c>
      <c r="P402" s="81">
        <f ca="1">P382*(INDEX(P$310:P$312,MATCH(Work_Codes!$I$144,$D$310:$D$312,0)))</f>
        <v>0</v>
      </c>
      <c r="Q402" s="81">
        <f ca="1">Q382*(INDEX(Q$310:Q$312,MATCH(Work_Codes!$I$144,$D$310:$D$312,0)))</f>
        <v>0</v>
      </c>
      <c r="R402" s="81">
        <f ca="1">R382*(INDEX(R$310:R$312,MATCH(Work_Codes!$I$144,$D$310:$D$312,0)))</f>
        <v>0</v>
      </c>
      <c r="S402" s="81">
        <f ca="1">S382*(INDEX(S$310:S$312,MATCH(Work_Codes!$I$144,$D$310:$D$312,0)))</f>
        <v>0</v>
      </c>
      <c r="T402" s="81">
        <f ca="1">T382*(INDEX(T$310:T$312,MATCH(Work_Codes!$I$144,$D$310:$D$312,0)))</f>
        <v>0</v>
      </c>
    </row>
    <row r="403" spans="5:20" outlineLevel="2">
      <c r="E403" s="247" t="str">
        <f>GC!C43</f>
        <v>Cathodic protection</v>
      </c>
      <c r="F403" s="247"/>
      <c r="G403" s="247"/>
      <c r="H403" s="247"/>
      <c r="I403" s="247"/>
      <c r="J403" s="81">
        <f ca="1">J383*(INDEX(J$310:J$312,MATCH(Work_Codes!$I$144,$D$310:$D$312,0)))</f>
        <v>0</v>
      </c>
      <c r="K403" s="81">
        <f ca="1">K383*(INDEX(K$310:K$312,MATCH(Work_Codes!$I$144,$D$310:$D$312,0)))</f>
        <v>0</v>
      </c>
      <c r="L403" s="81">
        <f ca="1">L383*(INDEX(L$310:L$312,MATCH(Work_Codes!$I$144,$D$310:$D$312,0)))</f>
        <v>0</v>
      </c>
      <c r="M403" s="81">
        <f ca="1">M383*(INDEX(M$310:M$312,MATCH(Work_Codes!$I$144,$D$310:$D$312,0)))</f>
        <v>0</v>
      </c>
      <c r="N403" s="81">
        <f ca="1">N383*(INDEX(N$310:N$312,MATCH(Work_Codes!$I$144,$D$310:$D$312,0)))</f>
        <v>0</v>
      </c>
      <c r="O403" s="81">
        <f ca="1">O383*(INDEX(O$310:O$312,MATCH(Work_Codes!$I$144,$D$310:$D$312,0)))</f>
        <v>0</v>
      </c>
      <c r="P403" s="81">
        <f ca="1">P383*(INDEX(P$310:P$312,MATCH(Work_Codes!$I$144,$D$310:$D$312,0)))</f>
        <v>0</v>
      </c>
      <c r="Q403" s="81">
        <f ca="1">Q383*(INDEX(Q$310:Q$312,MATCH(Work_Codes!$I$144,$D$310:$D$312,0)))</f>
        <v>0</v>
      </c>
      <c r="R403" s="81">
        <f ca="1">R383*(INDEX(R$310:R$312,MATCH(Work_Codes!$I$144,$D$310:$D$312,0)))</f>
        <v>0</v>
      </c>
      <c r="S403" s="81">
        <f ca="1">S383*(INDEX(S$310:S$312,MATCH(Work_Codes!$I$144,$D$310:$D$312,0)))</f>
        <v>0</v>
      </c>
      <c r="T403" s="81">
        <f ca="1">T383*(INDEX(T$310:T$312,MATCH(Work_Codes!$I$144,$D$310:$D$312,0)))</f>
        <v>0</v>
      </c>
    </row>
    <row r="404" spans="5:20" outlineLevel="2">
      <c r="E404" s="247" t="str">
        <f>GC!C44</f>
        <v>Supply Regulators / Valve Stations</v>
      </c>
      <c r="F404" s="247"/>
      <c r="G404" s="247"/>
      <c r="H404" s="247"/>
      <c r="I404" s="247"/>
      <c r="J404" s="81">
        <f ca="1">J384*(INDEX(J$310:J$312,MATCH(Work_Codes!$I$144,$D$310:$D$312,0)))</f>
        <v>0</v>
      </c>
      <c r="K404" s="81">
        <f ca="1">K384*(INDEX(K$310:K$312,MATCH(Work_Codes!$I$144,$D$310:$D$312,0)))</f>
        <v>0</v>
      </c>
      <c r="L404" s="81">
        <f ca="1">L384*(INDEX(L$310:L$312,MATCH(Work_Codes!$I$144,$D$310:$D$312,0)))</f>
        <v>0</v>
      </c>
      <c r="M404" s="81">
        <f ca="1">M384*(INDEX(M$310:M$312,MATCH(Work_Codes!$I$144,$D$310:$D$312,0)))</f>
        <v>0</v>
      </c>
      <c r="N404" s="81">
        <f ca="1">N384*(INDEX(N$310:N$312,MATCH(Work_Codes!$I$144,$D$310:$D$312,0)))</f>
        <v>0</v>
      </c>
      <c r="O404" s="81">
        <f ca="1">O384*(INDEX(O$310:O$312,MATCH(Work_Codes!$I$144,$D$310:$D$312,0)))</f>
        <v>0</v>
      </c>
      <c r="P404" s="81">
        <f ca="1">P384*(INDEX(P$310:P$312,MATCH(Work_Codes!$I$144,$D$310:$D$312,0)))</f>
        <v>0</v>
      </c>
      <c r="Q404" s="81">
        <f ca="1">Q384*(INDEX(Q$310:Q$312,MATCH(Work_Codes!$I$144,$D$310:$D$312,0)))</f>
        <v>0</v>
      </c>
      <c r="R404" s="81">
        <f ca="1">R384*(INDEX(R$310:R$312,MATCH(Work_Codes!$I$144,$D$310:$D$312,0)))</f>
        <v>0</v>
      </c>
      <c r="S404" s="81">
        <f ca="1">S384*(INDEX(S$310:S$312,MATCH(Work_Codes!$I$144,$D$310:$D$312,0)))</f>
        <v>0</v>
      </c>
      <c r="T404" s="81">
        <f ca="1">T384*(INDEX(T$310:T$312,MATCH(Work_Codes!$I$144,$D$310:$D$312,0)))</f>
        <v>0</v>
      </c>
    </row>
    <row r="405" spans="5:20" outlineLevel="2">
      <c r="E405" s="247" t="str">
        <f>GC!C45</f>
        <v>Meters</v>
      </c>
      <c r="F405" s="247"/>
      <c r="G405" s="247"/>
      <c r="H405" s="247"/>
      <c r="I405" s="247"/>
      <c r="J405" s="81">
        <f ca="1">J385*(INDEX(J$310:J$312,MATCH(Work_Codes!$I$144,$D$310:$D$312,0)))</f>
        <v>0</v>
      </c>
      <c r="K405" s="81">
        <f ca="1">K385*(INDEX(K$310:K$312,MATCH(Work_Codes!$I$144,$D$310:$D$312,0)))</f>
        <v>0</v>
      </c>
      <c r="L405" s="81">
        <f ca="1">L385*(INDEX(L$310:L$312,MATCH(Work_Codes!$I$144,$D$310:$D$312,0)))</f>
        <v>0</v>
      </c>
      <c r="M405" s="81">
        <f ca="1">M385*(INDEX(M$310:M$312,MATCH(Work_Codes!$I$144,$D$310:$D$312,0)))</f>
        <v>0</v>
      </c>
      <c r="N405" s="81">
        <f ca="1">N385*(INDEX(N$310:N$312,MATCH(Work_Codes!$I$144,$D$310:$D$312,0)))</f>
        <v>28878.6005643803</v>
      </c>
      <c r="O405" s="81">
        <f ca="1">O385*(INDEX(O$310:O$312,MATCH(Work_Codes!$I$144,$D$310:$D$312,0)))</f>
        <v>12613.948290031369</v>
      </c>
      <c r="P405" s="81">
        <f ca="1">P385*(INDEX(P$310:P$312,MATCH(Work_Codes!$I$144,$D$310:$D$312,0)))</f>
        <v>20278.450764971472</v>
      </c>
      <c r="Q405" s="81">
        <f ca="1">Q385*(INDEX(Q$310:Q$312,MATCH(Work_Codes!$I$144,$D$310:$D$312,0)))</f>
        <v>19755.416886039777</v>
      </c>
      <c r="R405" s="81">
        <f ca="1">R385*(INDEX(R$310:R$312,MATCH(Work_Codes!$I$144,$D$310:$D$312,0)))</f>
        <v>20373.559470722415</v>
      </c>
      <c r="S405" s="81">
        <f ca="1">S385*(INDEX(S$310:S$312,MATCH(Work_Codes!$I$144,$D$310:$D$312,0)))</f>
        <v>21644.514037728222</v>
      </c>
      <c r="T405" s="81">
        <f ca="1">T385*(INDEX(T$310:T$312,MATCH(Work_Codes!$I$144,$D$310:$D$312,0)))</f>
        <v>22689.068380079523</v>
      </c>
    </row>
    <row r="406" spans="5:20" outlineLevel="2">
      <c r="E406" s="247" t="str">
        <f>GC!C46</f>
        <v>SCADA and remote control</v>
      </c>
      <c r="F406" s="247"/>
      <c r="G406" s="247"/>
      <c r="H406" s="247"/>
      <c r="I406" s="247"/>
      <c r="J406" s="81">
        <f ca="1">J386*(INDEX(J$310:J$312,MATCH(Work_Codes!$I$144,$D$310:$D$312,0)))</f>
        <v>0</v>
      </c>
      <c r="K406" s="81">
        <f ca="1">K386*(INDEX(K$310:K$312,MATCH(Work_Codes!$I$144,$D$310:$D$312,0)))</f>
        <v>0</v>
      </c>
      <c r="L406" s="81">
        <f ca="1">L386*(INDEX(L$310:L$312,MATCH(Work_Codes!$I$144,$D$310:$D$312,0)))</f>
        <v>0</v>
      </c>
      <c r="M406" s="81">
        <f ca="1">M386*(INDEX(M$310:M$312,MATCH(Work_Codes!$I$144,$D$310:$D$312,0)))</f>
        <v>0</v>
      </c>
      <c r="N406" s="81">
        <f ca="1">N386*(INDEX(N$310:N$312,MATCH(Work_Codes!$I$144,$D$310:$D$312,0)))</f>
        <v>0</v>
      </c>
      <c r="O406" s="81">
        <f ca="1">O386*(INDEX(O$310:O$312,MATCH(Work_Codes!$I$144,$D$310:$D$312,0)))</f>
        <v>0</v>
      </c>
      <c r="P406" s="81">
        <f ca="1">P386*(INDEX(P$310:P$312,MATCH(Work_Codes!$I$144,$D$310:$D$312,0)))</f>
        <v>0</v>
      </c>
      <c r="Q406" s="81">
        <f ca="1">Q386*(INDEX(Q$310:Q$312,MATCH(Work_Codes!$I$144,$D$310:$D$312,0)))</f>
        <v>0</v>
      </c>
      <c r="R406" s="81">
        <f ca="1">R386*(INDEX(R$310:R$312,MATCH(Work_Codes!$I$144,$D$310:$D$312,0)))</f>
        <v>0</v>
      </c>
      <c r="S406" s="81">
        <f ca="1">S386*(INDEX(S$310:S$312,MATCH(Work_Codes!$I$144,$D$310:$D$312,0)))</f>
        <v>0</v>
      </c>
      <c r="T406" s="81">
        <f ca="1">T386*(INDEX(T$310:T$312,MATCH(Work_Codes!$I$144,$D$310:$D$312,0)))</f>
        <v>0</v>
      </c>
    </row>
    <row r="407" spans="5:20" outlineLevel="2">
      <c r="E407" s="247" t="str">
        <f>GC!C47</f>
        <v>Buildings</v>
      </c>
      <c r="F407" s="247"/>
      <c r="G407" s="247"/>
      <c r="H407" s="247"/>
      <c r="I407" s="247"/>
      <c r="J407" s="81">
        <f ca="1">J387*(INDEX(J$310:J$312,MATCH(Work_Codes!$I$144,$D$310:$D$312,0)))</f>
        <v>0</v>
      </c>
      <c r="K407" s="81">
        <f ca="1">K387*(INDEX(K$310:K$312,MATCH(Work_Codes!$I$144,$D$310:$D$312,0)))</f>
        <v>0</v>
      </c>
      <c r="L407" s="81">
        <f ca="1">L387*(INDEX(L$310:L$312,MATCH(Work_Codes!$I$144,$D$310:$D$312,0)))</f>
        <v>0</v>
      </c>
      <c r="M407" s="81">
        <f ca="1">M387*(INDEX(M$310:M$312,MATCH(Work_Codes!$I$144,$D$310:$D$312,0)))</f>
        <v>0</v>
      </c>
      <c r="N407" s="81">
        <f ca="1">N387*(INDEX(N$310:N$312,MATCH(Work_Codes!$I$144,$D$310:$D$312,0)))</f>
        <v>0</v>
      </c>
      <c r="O407" s="81">
        <f ca="1">O387*(INDEX(O$310:O$312,MATCH(Work_Codes!$I$144,$D$310:$D$312,0)))</f>
        <v>0</v>
      </c>
      <c r="P407" s="81">
        <f ca="1">P387*(INDEX(P$310:P$312,MATCH(Work_Codes!$I$144,$D$310:$D$312,0)))</f>
        <v>0</v>
      </c>
      <c r="Q407" s="81">
        <f ca="1">Q387*(INDEX(Q$310:Q$312,MATCH(Work_Codes!$I$144,$D$310:$D$312,0)))</f>
        <v>0</v>
      </c>
      <c r="R407" s="81">
        <f ca="1">R387*(INDEX(R$310:R$312,MATCH(Work_Codes!$I$144,$D$310:$D$312,0)))</f>
        <v>0</v>
      </c>
      <c r="S407" s="81">
        <f ca="1">S387*(INDEX(S$310:S$312,MATCH(Work_Codes!$I$144,$D$310:$D$312,0)))</f>
        <v>0</v>
      </c>
      <c r="T407" s="81">
        <f ca="1">T387*(INDEX(T$310:T$312,MATCH(Work_Codes!$I$144,$D$310:$D$312,0)))</f>
        <v>0</v>
      </c>
    </row>
    <row r="408" spans="5:20" outlineLevel="2">
      <c r="E408" s="247" t="str">
        <f>GC!C48</f>
        <v>Other - IT</v>
      </c>
      <c r="F408" s="247"/>
      <c r="G408" s="247"/>
      <c r="H408" s="247"/>
      <c r="I408" s="247"/>
      <c r="J408" s="81">
        <f ca="1">J388*(INDEX(J$310:J$312,MATCH(Work_Codes!$I$144,$D$310:$D$312,0)))</f>
        <v>0</v>
      </c>
      <c r="K408" s="81">
        <f ca="1">K388*(INDEX(K$310:K$312,MATCH(Work_Codes!$I$144,$D$310:$D$312,0)))</f>
        <v>0</v>
      </c>
      <c r="L408" s="81">
        <f ca="1">L388*(INDEX(L$310:L$312,MATCH(Work_Codes!$I$144,$D$310:$D$312,0)))</f>
        <v>0</v>
      </c>
      <c r="M408" s="81">
        <f ca="1">M388*(INDEX(M$310:M$312,MATCH(Work_Codes!$I$144,$D$310:$D$312,0)))</f>
        <v>0</v>
      </c>
      <c r="N408" s="81">
        <f ca="1">N388*(INDEX(N$310:N$312,MATCH(Work_Codes!$I$144,$D$310:$D$312,0)))</f>
        <v>0</v>
      </c>
      <c r="O408" s="81">
        <f ca="1">O388*(INDEX(O$310:O$312,MATCH(Work_Codes!$I$144,$D$310:$D$312,0)))</f>
        <v>0</v>
      </c>
      <c r="P408" s="81">
        <f ca="1">P388*(INDEX(P$310:P$312,MATCH(Work_Codes!$I$144,$D$310:$D$312,0)))</f>
        <v>0</v>
      </c>
      <c r="Q408" s="81">
        <f ca="1">Q388*(INDEX(Q$310:Q$312,MATCH(Work_Codes!$I$144,$D$310:$D$312,0)))</f>
        <v>0</v>
      </c>
      <c r="R408" s="81">
        <f ca="1">R388*(INDEX(R$310:R$312,MATCH(Work_Codes!$I$144,$D$310:$D$312,0)))</f>
        <v>0</v>
      </c>
      <c r="S408" s="81">
        <f ca="1">S388*(INDEX(S$310:S$312,MATCH(Work_Codes!$I$144,$D$310:$D$312,0)))</f>
        <v>0</v>
      </c>
      <c r="T408" s="81">
        <f ca="1">T388*(INDEX(T$310:T$312,MATCH(Work_Codes!$I$144,$D$310:$D$312,0)))</f>
        <v>0</v>
      </c>
    </row>
    <row r="409" spans="5:20" outlineLevel="2">
      <c r="E409" s="247" t="str">
        <f>GC!C49</f>
        <v>Other - non IT</v>
      </c>
      <c r="F409" s="247"/>
      <c r="G409" s="247"/>
      <c r="H409" s="247"/>
      <c r="I409" s="247"/>
      <c r="J409" s="81">
        <f ca="1">J389*(INDEX(J$310:J$312,MATCH(Work_Codes!$I$144,$D$310:$D$312,0)))</f>
        <v>0</v>
      </c>
      <c r="K409" s="81">
        <f ca="1">K389*(INDEX(K$310:K$312,MATCH(Work_Codes!$I$144,$D$310:$D$312,0)))</f>
        <v>0</v>
      </c>
      <c r="L409" s="81">
        <f ca="1">L389*(INDEX(L$310:L$312,MATCH(Work_Codes!$I$144,$D$310:$D$312,0)))</f>
        <v>0</v>
      </c>
      <c r="M409" s="81">
        <f ca="1">M389*(INDEX(M$310:M$312,MATCH(Work_Codes!$I$144,$D$310:$D$312,0)))</f>
        <v>0</v>
      </c>
      <c r="N409" s="81">
        <f ca="1">N389*(INDEX(N$310:N$312,MATCH(Work_Codes!$I$144,$D$310:$D$312,0)))</f>
        <v>0</v>
      </c>
      <c r="O409" s="81">
        <f ca="1">O389*(INDEX(O$310:O$312,MATCH(Work_Codes!$I$144,$D$310:$D$312,0)))</f>
        <v>0</v>
      </c>
      <c r="P409" s="81">
        <f ca="1">P389*(INDEX(P$310:P$312,MATCH(Work_Codes!$I$144,$D$310:$D$312,0)))</f>
        <v>0</v>
      </c>
      <c r="Q409" s="81">
        <f ca="1">Q389*(INDEX(Q$310:Q$312,MATCH(Work_Codes!$I$144,$D$310:$D$312,0)))</f>
        <v>0</v>
      </c>
      <c r="R409" s="81">
        <f ca="1">R389*(INDEX(R$310:R$312,MATCH(Work_Codes!$I$144,$D$310:$D$312,0)))</f>
        <v>0</v>
      </c>
      <c r="S409" s="81">
        <f ca="1">S389*(INDEX(S$310:S$312,MATCH(Work_Codes!$I$144,$D$310:$D$312,0)))</f>
        <v>0</v>
      </c>
      <c r="T409" s="81">
        <f ca="1">T389*(INDEX(T$310:T$312,MATCH(Work_Codes!$I$144,$D$310:$D$312,0)))</f>
        <v>0</v>
      </c>
    </row>
    <row r="410" spans="5:20" outlineLevel="2">
      <c r="E410" s="247" t="str">
        <f>GC!C50</f>
        <v>Land</v>
      </c>
      <c r="F410" s="247"/>
      <c r="G410" s="247"/>
      <c r="H410" s="247"/>
      <c r="I410" s="247"/>
      <c r="J410" s="81">
        <f ca="1">J390*(INDEX(J$310:J$312,MATCH(Work_Codes!$I$144,$D$310:$D$312,0)))</f>
        <v>0</v>
      </c>
      <c r="K410" s="81">
        <f ca="1">K390*(INDEX(K$310:K$312,MATCH(Work_Codes!$I$144,$D$310:$D$312,0)))</f>
        <v>0</v>
      </c>
      <c r="L410" s="81">
        <f ca="1">L390*(INDEX(L$310:L$312,MATCH(Work_Codes!$I$144,$D$310:$D$312,0)))</f>
        <v>0</v>
      </c>
      <c r="M410" s="81">
        <f ca="1">M390*(INDEX(M$310:M$312,MATCH(Work_Codes!$I$144,$D$310:$D$312,0)))</f>
        <v>0</v>
      </c>
      <c r="N410" s="81">
        <f ca="1">N390*(INDEX(N$310:N$312,MATCH(Work_Codes!$I$144,$D$310:$D$312,0)))</f>
        <v>0</v>
      </c>
      <c r="O410" s="81">
        <f ca="1">O390*(INDEX(O$310:O$312,MATCH(Work_Codes!$I$144,$D$310:$D$312,0)))</f>
        <v>0</v>
      </c>
      <c r="P410" s="81">
        <f ca="1">P390*(INDEX(P$310:P$312,MATCH(Work_Codes!$I$144,$D$310:$D$312,0)))</f>
        <v>0</v>
      </c>
      <c r="Q410" s="81">
        <f ca="1">Q390*(INDEX(Q$310:Q$312,MATCH(Work_Codes!$I$144,$D$310:$D$312,0)))</f>
        <v>0</v>
      </c>
      <c r="R410" s="81">
        <f ca="1">R390*(INDEX(R$310:R$312,MATCH(Work_Codes!$I$144,$D$310:$D$312,0)))</f>
        <v>0</v>
      </c>
      <c r="S410" s="81">
        <f ca="1">S390*(INDEX(S$310:S$312,MATCH(Work_Codes!$I$144,$D$310:$D$312,0)))</f>
        <v>0</v>
      </c>
      <c r="T410" s="81">
        <f ca="1">T390*(INDEX(T$310:T$312,MATCH(Work_Codes!$I$144,$D$310:$D$312,0)))</f>
        <v>0</v>
      </c>
    </row>
    <row r="411" spans="5:20" outlineLevel="2">
      <c r="E411" s="247" t="str">
        <f>GC!C51</f>
        <v>Capitalised Leases</v>
      </c>
      <c r="F411" s="247"/>
      <c r="G411" s="247"/>
      <c r="H411" s="247"/>
      <c r="I411" s="247"/>
      <c r="J411" s="81">
        <f ca="1">J391*(INDEX(J$310:J$312,MATCH(Work_Codes!$I$144,$D$310:$D$312,0)))</f>
        <v>0</v>
      </c>
      <c r="K411" s="81">
        <f ca="1">K391*(INDEX(K$310:K$312,MATCH(Work_Codes!$I$144,$D$310:$D$312,0)))</f>
        <v>0</v>
      </c>
      <c r="L411" s="81">
        <f ca="1">L391*(INDEX(L$310:L$312,MATCH(Work_Codes!$I$144,$D$310:$D$312,0)))</f>
        <v>0</v>
      </c>
      <c r="M411" s="81">
        <f ca="1">M391*(INDEX(M$310:M$312,MATCH(Work_Codes!$I$144,$D$310:$D$312,0)))</f>
        <v>0</v>
      </c>
      <c r="N411" s="81">
        <f ca="1">N391*(INDEX(N$310:N$312,MATCH(Work_Codes!$I$144,$D$310:$D$312,0)))</f>
        <v>0</v>
      </c>
      <c r="O411" s="81">
        <f ca="1">O391*(INDEX(O$310:O$312,MATCH(Work_Codes!$I$144,$D$310:$D$312,0)))</f>
        <v>0</v>
      </c>
      <c r="P411" s="81">
        <f ca="1">P391*(INDEX(P$310:P$312,MATCH(Work_Codes!$I$144,$D$310:$D$312,0)))</f>
        <v>0</v>
      </c>
      <c r="Q411" s="81">
        <f ca="1">Q391*(INDEX(Q$310:Q$312,MATCH(Work_Codes!$I$144,$D$310:$D$312,0)))</f>
        <v>0</v>
      </c>
      <c r="R411" s="81">
        <f ca="1">R391*(INDEX(R$310:R$312,MATCH(Work_Codes!$I$144,$D$310:$D$312,0)))</f>
        <v>0</v>
      </c>
      <c r="S411" s="81">
        <f ca="1">S391*(INDEX(S$310:S$312,MATCH(Work_Codes!$I$144,$D$310:$D$312,0)))</f>
        <v>0</v>
      </c>
      <c r="T411" s="81">
        <f ca="1">T391*(INDEX(T$310:T$312,MATCH(Work_Codes!$I$144,$D$310:$D$312,0)))</f>
        <v>0</v>
      </c>
    </row>
    <row r="412" spans="5:20" outlineLevel="2">
      <c r="E412" s="247" t="str">
        <f>GC!C52</f>
        <v>Transmission pipelines - post 1998</v>
      </c>
      <c r="F412" s="247"/>
      <c r="G412" s="247"/>
      <c r="H412" s="247"/>
      <c r="I412" s="247"/>
      <c r="J412" s="81">
        <f ca="1">J392*(INDEX(J$310:J$312,MATCH(Work_Codes!$I$144,$D$310:$D$312,0)))</f>
        <v>0</v>
      </c>
      <c r="K412" s="81">
        <f ca="1">K392*(INDEX(K$310:K$312,MATCH(Work_Codes!$I$144,$D$310:$D$312,0)))</f>
        <v>0</v>
      </c>
      <c r="L412" s="81">
        <f ca="1">L392*(INDEX(L$310:L$312,MATCH(Work_Codes!$I$144,$D$310:$D$312,0)))</f>
        <v>0</v>
      </c>
      <c r="M412" s="81">
        <f ca="1">M392*(INDEX(M$310:M$312,MATCH(Work_Codes!$I$144,$D$310:$D$312,0)))</f>
        <v>0</v>
      </c>
      <c r="N412" s="81">
        <f ca="1">N392*(INDEX(N$310:N$312,MATCH(Work_Codes!$I$144,$D$310:$D$312,0)))</f>
        <v>0</v>
      </c>
      <c r="O412" s="81">
        <f ca="1">O392*(INDEX(O$310:O$312,MATCH(Work_Codes!$I$144,$D$310:$D$312,0)))</f>
        <v>0</v>
      </c>
      <c r="P412" s="81">
        <f ca="1">P392*(INDEX(P$310:P$312,MATCH(Work_Codes!$I$144,$D$310:$D$312,0)))</f>
        <v>0</v>
      </c>
      <c r="Q412" s="81">
        <f ca="1">Q392*(INDEX(Q$310:Q$312,MATCH(Work_Codes!$I$144,$D$310:$D$312,0)))</f>
        <v>0</v>
      </c>
      <c r="R412" s="81">
        <f ca="1">R392*(INDEX(R$310:R$312,MATCH(Work_Codes!$I$144,$D$310:$D$312,0)))</f>
        <v>0</v>
      </c>
      <c r="S412" s="81">
        <f ca="1">S392*(INDEX(S$310:S$312,MATCH(Work_Codes!$I$144,$D$310:$D$312,0)))</f>
        <v>0</v>
      </c>
      <c r="T412" s="81">
        <f ca="1">T392*(INDEX(T$310:T$312,MATCH(Work_Codes!$I$144,$D$310:$D$312,0)))</f>
        <v>0</v>
      </c>
    </row>
    <row r="413" spans="5:20" outlineLevel="2">
      <c r="E413" s="247" t="str">
        <f>GC!C53</f>
        <v>Distribution pipelines - post 1998</v>
      </c>
      <c r="F413" s="247"/>
      <c r="G413" s="247"/>
      <c r="H413" s="247"/>
      <c r="I413" s="247"/>
      <c r="J413" s="81">
        <f ca="1">J393*(INDEX(J$310:J$312,MATCH(Work_Codes!$I$144,$D$310:$D$312,0)))</f>
        <v>0</v>
      </c>
      <c r="K413" s="81">
        <f ca="1">K393*(INDEX(K$310:K$312,MATCH(Work_Codes!$I$144,$D$310:$D$312,0)))</f>
        <v>0</v>
      </c>
      <c r="L413" s="81">
        <f ca="1">L393*(INDEX(L$310:L$312,MATCH(Work_Codes!$I$144,$D$310:$D$312,0)))</f>
        <v>0</v>
      </c>
      <c r="M413" s="81">
        <f ca="1">M393*(INDEX(M$310:M$312,MATCH(Work_Codes!$I$144,$D$310:$D$312,0)))</f>
        <v>0</v>
      </c>
      <c r="N413" s="81">
        <f ca="1">N393*(INDEX(N$310:N$312,MATCH(Work_Codes!$I$144,$D$310:$D$312,0)))</f>
        <v>0</v>
      </c>
      <c r="O413" s="81">
        <f ca="1">O393*(INDEX(O$310:O$312,MATCH(Work_Codes!$I$144,$D$310:$D$312,0)))</f>
        <v>0</v>
      </c>
      <c r="P413" s="81">
        <f ca="1">P393*(INDEX(P$310:P$312,MATCH(Work_Codes!$I$144,$D$310:$D$312,0)))</f>
        <v>0</v>
      </c>
      <c r="Q413" s="81">
        <f ca="1">Q393*(INDEX(Q$310:Q$312,MATCH(Work_Codes!$I$144,$D$310:$D$312,0)))</f>
        <v>0</v>
      </c>
      <c r="R413" s="81">
        <f ca="1">R393*(INDEX(R$310:R$312,MATCH(Work_Codes!$I$144,$D$310:$D$312,0)))</f>
        <v>0</v>
      </c>
      <c r="S413" s="81">
        <f ca="1">S393*(INDEX(S$310:S$312,MATCH(Work_Codes!$I$144,$D$310:$D$312,0)))</f>
        <v>0</v>
      </c>
      <c r="T413" s="81">
        <f ca="1">T393*(INDEX(T$310:T$312,MATCH(Work_Codes!$I$144,$D$310:$D$312,0)))</f>
        <v>0</v>
      </c>
    </row>
    <row r="414" spans="5:20" outlineLevel="2">
      <c r="E414" s="247" t="str">
        <f>GC!C54</f>
        <v>Service pipes - post 1998</v>
      </c>
      <c r="F414" s="247"/>
      <c r="G414" s="247"/>
      <c r="H414" s="247"/>
      <c r="I414" s="247"/>
      <c r="J414" s="81">
        <f ca="1">J394*(INDEX(J$310:J$312,MATCH(Work_Codes!$I$144,$D$310:$D$312,0)))</f>
        <v>0</v>
      </c>
      <c r="K414" s="81">
        <f ca="1">K394*(INDEX(K$310:K$312,MATCH(Work_Codes!$I$144,$D$310:$D$312,0)))</f>
        <v>0</v>
      </c>
      <c r="L414" s="81">
        <f ca="1">L394*(INDEX(L$310:L$312,MATCH(Work_Codes!$I$144,$D$310:$D$312,0)))</f>
        <v>0</v>
      </c>
      <c r="M414" s="81">
        <f ca="1">M394*(INDEX(M$310:M$312,MATCH(Work_Codes!$I$144,$D$310:$D$312,0)))</f>
        <v>0</v>
      </c>
      <c r="N414" s="81">
        <f ca="1">N394*(INDEX(N$310:N$312,MATCH(Work_Codes!$I$144,$D$310:$D$312,0)))</f>
        <v>0</v>
      </c>
      <c r="O414" s="81">
        <f ca="1">O394*(INDEX(O$310:O$312,MATCH(Work_Codes!$I$144,$D$310:$D$312,0)))</f>
        <v>0</v>
      </c>
      <c r="P414" s="81">
        <f ca="1">P394*(INDEX(P$310:P$312,MATCH(Work_Codes!$I$144,$D$310:$D$312,0)))</f>
        <v>0</v>
      </c>
      <c r="Q414" s="81">
        <f ca="1">Q394*(INDEX(Q$310:Q$312,MATCH(Work_Codes!$I$144,$D$310:$D$312,0)))</f>
        <v>0</v>
      </c>
      <c r="R414" s="81">
        <f ca="1">R394*(INDEX(R$310:R$312,MATCH(Work_Codes!$I$144,$D$310:$D$312,0)))</f>
        <v>0</v>
      </c>
      <c r="S414" s="81">
        <f ca="1">S394*(INDEX(S$310:S$312,MATCH(Work_Codes!$I$144,$D$310:$D$312,0)))</f>
        <v>0</v>
      </c>
      <c r="T414" s="81">
        <f ca="1">T394*(INDEX(T$310:T$312,MATCH(Work_Codes!$I$144,$D$310:$D$312,0)))</f>
        <v>0</v>
      </c>
    </row>
    <row r="415" spans="5:20" outlineLevel="2">
      <c r="E415" s="247" t="str">
        <f>GC!C55</f>
        <v>Cathodic protection - post 1998</v>
      </c>
      <c r="F415" s="247"/>
      <c r="G415" s="247"/>
      <c r="H415" s="247"/>
      <c r="I415" s="247"/>
      <c r="J415" s="81">
        <f ca="1">J395*(INDEX(J$310:J$312,MATCH(Work_Codes!$I$144,$D$310:$D$312,0)))</f>
        <v>0</v>
      </c>
      <c r="K415" s="81">
        <f ca="1">K395*(INDEX(K$310:K$312,MATCH(Work_Codes!$I$144,$D$310:$D$312,0)))</f>
        <v>0</v>
      </c>
      <c r="L415" s="81">
        <f ca="1">L395*(INDEX(L$310:L$312,MATCH(Work_Codes!$I$144,$D$310:$D$312,0)))</f>
        <v>0</v>
      </c>
      <c r="M415" s="81">
        <f ca="1">M395*(INDEX(M$310:M$312,MATCH(Work_Codes!$I$144,$D$310:$D$312,0)))</f>
        <v>0</v>
      </c>
      <c r="N415" s="81">
        <f ca="1">N395*(INDEX(N$310:N$312,MATCH(Work_Codes!$I$144,$D$310:$D$312,0)))</f>
        <v>0</v>
      </c>
      <c r="O415" s="81">
        <f ca="1">O395*(INDEX(O$310:O$312,MATCH(Work_Codes!$I$144,$D$310:$D$312,0)))</f>
        <v>0</v>
      </c>
      <c r="P415" s="81">
        <f ca="1">P395*(INDEX(P$310:P$312,MATCH(Work_Codes!$I$144,$D$310:$D$312,0)))</f>
        <v>0</v>
      </c>
      <c r="Q415" s="81">
        <f ca="1">Q395*(INDEX(Q$310:Q$312,MATCH(Work_Codes!$I$144,$D$310:$D$312,0)))</f>
        <v>0</v>
      </c>
      <c r="R415" s="81">
        <f ca="1">R395*(INDEX(R$310:R$312,MATCH(Work_Codes!$I$144,$D$310:$D$312,0)))</f>
        <v>0</v>
      </c>
      <c r="S415" s="81">
        <f ca="1">S395*(INDEX(S$310:S$312,MATCH(Work_Codes!$I$144,$D$310:$D$312,0)))</f>
        <v>0</v>
      </c>
      <c r="T415" s="81">
        <f ca="1">T395*(INDEX(T$310:T$312,MATCH(Work_Codes!$I$144,$D$310:$D$312,0)))</f>
        <v>0</v>
      </c>
    </row>
    <row r="416" spans="5:20" outlineLevel="2">
      <c r="E416" s="249" t="str">
        <f>"Total "&amp;D398</f>
        <v>Total Overheads</v>
      </c>
      <c r="F416" s="249"/>
      <c r="G416" s="249"/>
      <c r="H416" s="249"/>
      <c r="I416" s="249"/>
      <c r="J416" s="82">
        <f t="shared" ref="J416:T416" ca="1" si="44">SUM(J400:J415)</f>
        <v>0</v>
      </c>
      <c r="K416" s="82">
        <f t="shared" ca="1" si="44"/>
        <v>0</v>
      </c>
      <c r="L416" s="82">
        <f t="shared" ca="1" si="44"/>
        <v>0</v>
      </c>
      <c r="M416" s="82">
        <f t="shared" ca="1" si="44"/>
        <v>0</v>
      </c>
      <c r="N416" s="82">
        <f t="shared" ca="1" si="44"/>
        <v>28878.6005643803</v>
      </c>
      <c r="O416" s="82">
        <f t="shared" ca="1" si="44"/>
        <v>12613.948290031369</v>
      </c>
      <c r="P416" s="82">
        <f t="shared" ca="1" si="44"/>
        <v>20278.450764971472</v>
      </c>
      <c r="Q416" s="82">
        <f t="shared" ca="1" si="44"/>
        <v>19755.416886039777</v>
      </c>
      <c r="R416" s="82">
        <f t="shared" ca="1" si="44"/>
        <v>20373.559470722415</v>
      </c>
      <c r="S416" s="82">
        <f t="shared" ca="1" si="44"/>
        <v>21644.514037728222</v>
      </c>
      <c r="T416" s="82">
        <f t="shared" ca="1" si="44"/>
        <v>22689.068380079523</v>
      </c>
    </row>
    <row r="417" spans="4:20" outlineLevel="2"/>
    <row r="418" spans="4:20" outlineLevel="2">
      <c r="D418" s="37" t="s">
        <v>216</v>
      </c>
    </row>
    <row r="419" spans="4:20" ht="5.9" customHeight="1" outlineLevel="2"/>
    <row r="420" spans="4:20" ht="11.5" customHeight="1" outlineLevel="2">
      <c r="E420" s="247" t="str">
        <f>GC!C40</f>
        <v>Transmission pipelines</v>
      </c>
      <c r="F420" s="247"/>
      <c r="G420" s="247"/>
      <c r="H420" s="247"/>
      <c r="I420" s="247"/>
      <c r="J420" s="81">
        <f ca="1">J380*(1+INDEX(J$310:J$312,MATCH(Work_Codes!$I$144,$D$310:$D$312,0)))</f>
        <v>0</v>
      </c>
      <c r="K420" s="81">
        <f ca="1">K380*(1+INDEX(K$310:K$312,MATCH(Work_Codes!$I$144,$D$310:$D$312,0)))</f>
        <v>0</v>
      </c>
      <c r="L420" s="81">
        <f ca="1">L380*(1+INDEX(L$310:L$312,MATCH(Work_Codes!$I$144,$D$310:$D$312,0)))</f>
        <v>0</v>
      </c>
      <c r="M420" s="81">
        <f ca="1">M380*(1+INDEX(M$310:M$312,MATCH(Work_Codes!$I$144,$D$310:$D$312,0)))</f>
        <v>0</v>
      </c>
      <c r="N420" s="81">
        <f ca="1">N380*(1+INDEX(N$310:N$312,MATCH(Work_Codes!$I$144,$D$310:$D$312,0)))</f>
        <v>0</v>
      </c>
      <c r="O420" s="81">
        <f ca="1">O380*(1+INDEX(O$310:O$312,MATCH(Work_Codes!$I$144,$D$310:$D$312,0)))</f>
        <v>0</v>
      </c>
      <c r="P420" s="81">
        <f ca="1">P380*(1+INDEX(P$310:P$312,MATCH(Work_Codes!$I$144,$D$310:$D$312,0)))</f>
        <v>0</v>
      </c>
      <c r="Q420" s="81">
        <f ca="1">Q380*(1+INDEX(Q$310:Q$312,MATCH(Work_Codes!$I$144,$D$310:$D$312,0)))</f>
        <v>0</v>
      </c>
      <c r="R420" s="81">
        <f ca="1">R380*(1+INDEX(R$310:R$312,MATCH(Work_Codes!$I$144,$D$310:$D$312,0)))</f>
        <v>0</v>
      </c>
      <c r="S420" s="81">
        <f ca="1">S380*(1+INDEX(S$310:S$312,MATCH(Work_Codes!$I$144,$D$310:$D$312,0)))</f>
        <v>0</v>
      </c>
      <c r="T420" s="81">
        <f ca="1">T380*(1+INDEX(T$310:T$312,MATCH(Work_Codes!$I$144,$D$310:$D$312,0)))</f>
        <v>0</v>
      </c>
    </row>
    <row r="421" spans="4:20" ht="11.5" customHeight="1" outlineLevel="2">
      <c r="E421" s="247" t="str">
        <f>GC!C41</f>
        <v>Distribution pipelines</v>
      </c>
      <c r="F421" s="247"/>
      <c r="G421" s="247"/>
      <c r="H421" s="247"/>
      <c r="I421" s="247"/>
      <c r="J421" s="81">
        <f ca="1">J381*(1+INDEX(J$310:J$312,MATCH(Work_Codes!$I$144,$D$310:$D$312,0)))</f>
        <v>0</v>
      </c>
      <c r="K421" s="81">
        <f ca="1">K381*(1+INDEX(K$310:K$312,MATCH(Work_Codes!$I$144,$D$310:$D$312,0)))</f>
        <v>0</v>
      </c>
      <c r="L421" s="81">
        <f ca="1">L381*(1+INDEX(L$310:L$312,MATCH(Work_Codes!$I$144,$D$310:$D$312,0)))</f>
        <v>0</v>
      </c>
      <c r="M421" s="81">
        <f ca="1">M381*(1+INDEX(M$310:M$312,MATCH(Work_Codes!$I$144,$D$310:$D$312,0)))</f>
        <v>0</v>
      </c>
      <c r="N421" s="81">
        <f ca="1">N381*(1+INDEX(N$310:N$312,MATCH(Work_Codes!$I$144,$D$310:$D$312,0)))</f>
        <v>0</v>
      </c>
      <c r="O421" s="81">
        <f ca="1">O381*(1+INDEX(O$310:O$312,MATCH(Work_Codes!$I$144,$D$310:$D$312,0)))</f>
        <v>0</v>
      </c>
      <c r="P421" s="81">
        <f ca="1">P381*(1+INDEX(P$310:P$312,MATCH(Work_Codes!$I$144,$D$310:$D$312,0)))</f>
        <v>0</v>
      </c>
      <c r="Q421" s="81">
        <f ca="1">Q381*(1+INDEX(Q$310:Q$312,MATCH(Work_Codes!$I$144,$D$310:$D$312,0)))</f>
        <v>0</v>
      </c>
      <c r="R421" s="81">
        <f ca="1">R381*(1+INDEX(R$310:R$312,MATCH(Work_Codes!$I$144,$D$310:$D$312,0)))</f>
        <v>0</v>
      </c>
      <c r="S421" s="81">
        <f ca="1">S381*(1+INDEX(S$310:S$312,MATCH(Work_Codes!$I$144,$D$310:$D$312,0)))</f>
        <v>0</v>
      </c>
      <c r="T421" s="81">
        <f ca="1">T381*(1+INDEX(T$310:T$312,MATCH(Work_Codes!$I$144,$D$310:$D$312,0)))</f>
        <v>0</v>
      </c>
    </row>
    <row r="422" spans="4:20" ht="11.5" customHeight="1" outlineLevel="2">
      <c r="E422" s="247" t="str">
        <f>GC!C42</f>
        <v>Service pipes</v>
      </c>
      <c r="F422" s="247"/>
      <c r="G422" s="247"/>
      <c r="H422" s="247"/>
      <c r="I422" s="247"/>
      <c r="J422" s="81">
        <f ca="1">J382*(1+INDEX(J$310:J$312,MATCH(Work_Codes!$I$144,$D$310:$D$312,0)))</f>
        <v>0</v>
      </c>
      <c r="K422" s="81">
        <f ca="1">K382*(1+INDEX(K$310:K$312,MATCH(Work_Codes!$I$144,$D$310:$D$312,0)))</f>
        <v>0</v>
      </c>
      <c r="L422" s="81">
        <f ca="1">L382*(1+INDEX(L$310:L$312,MATCH(Work_Codes!$I$144,$D$310:$D$312,0)))</f>
        <v>0</v>
      </c>
      <c r="M422" s="81">
        <f ca="1">M382*(1+INDEX(M$310:M$312,MATCH(Work_Codes!$I$144,$D$310:$D$312,0)))</f>
        <v>0</v>
      </c>
      <c r="N422" s="81">
        <f ca="1">N382*(1+INDEX(N$310:N$312,MATCH(Work_Codes!$I$144,$D$310:$D$312,0)))</f>
        <v>0</v>
      </c>
      <c r="O422" s="81">
        <f ca="1">O382*(1+INDEX(O$310:O$312,MATCH(Work_Codes!$I$144,$D$310:$D$312,0)))</f>
        <v>0</v>
      </c>
      <c r="P422" s="81">
        <f ca="1">P382*(1+INDEX(P$310:P$312,MATCH(Work_Codes!$I$144,$D$310:$D$312,0)))</f>
        <v>0</v>
      </c>
      <c r="Q422" s="81">
        <f ca="1">Q382*(1+INDEX(Q$310:Q$312,MATCH(Work_Codes!$I$144,$D$310:$D$312,0)))</f>
        <v>0</v>
      </c>
      <c r="R422" s="81">
        <f ca="1">R382*(1+INDEX(R$310:R$312,MATCH(Work_Codes!$I$144,$D$310:$D$312,0)))</f>
        <v>0</v>
      </c>
      <c r="S422" s="81">
        <f ca="1">S382*(1+INDEX(S$310:S$312,MATCH(Work_Codes!$I$144,$D$310:$D$312,0)))</f>
        <v>0</v>
      </c>
      <c r="T422" s="81">
        <f ca="1">T382*(1+INDEX(T$310:T$312,MATCH(Work_Codes!$I$144,$D$310:$D$312,0)))</f>
        <v>0</v>
      </c>
    </row>
    <row r="423" spans="4:20" ht="11.5" customHeight="1" outlineLevel="2">
      <c r="E423" s="247" t="str">
        <f>GC!C43</f>
        <v>Cathodic protection</v>
      </c>
      <c r="F423" s="247"/>
      <c r="G423" s="247"/>
      <c r="H423" s="247"/>
      <c r="I423" s="247"/>
      <c r="J423" s="81">
        <f ca="1">J383*(1+INDEX(J$310:J$312,MATCH(Work_Codes!$I$144,$D$310:$D$312,0)))</f>
        <v>0</v>
      </c>
      <c r="K423" s="81">
        <f ca="1">K383*(1+INDEX(K$310:K$312,MATCH(Work_Codes!$I$144,$D$310:$D$312,0)))</f>
        <v>0</v>
      </c>
      <c r="L423" s="81">
        <f ca="1">L383*(1+INDEX(L$310:L$312,MATCH(Work_Codes!$I$144,$D$310:$D$312,0)))</f>
        <v>0</v>
      </c>
      <c r="M423" s="81">
        <f ca="1">M383*(1+INDEX(M$310:M$312,MATCH(Work_Codes!$I$144,$D$310:$D$312,0)))</f>
        <v>0</v>
      </c>
      <c r="N423" s="81">
        <f ca="1">N383*(1+INDEX(N$310:N$312,MATCH(Work_Codes!$I$144,$D$310:$D$312,0)))</f>
        <v>0</v>
      </c>
      <c r="O423" s="81">
        <f ca="1">O383*(1+INDEX(O$310:O$312,MATCH(Work_Codes!$I$144,$D$310:$D$312,0)))</f>
        <v>0</v>
      </c>
      <c r="P423" s="81">
        <f ca="1">P383*(1+INDEX(P$310:P$312,MATCH(Work_Codes!$I$144,$D$310:$D$312,0)))</f>
        <v>0</v>
      </c>
      <c r="Q423" s="81">
        <f ca="1">Q383*(1+INDEX(Q$310:Q$312,MATCH(Work_Codes!$I$144,$D$310:$D$312,0)))</f>
        <v>0</v>
      </c>
      <c r="R423" s="81">
        <f ca="1">R383*(1+INDEX(R$310:R$312,MATCH(Work_Codes!$I$144,$D$310:$D$312,0)))</f>
        <v>0</v>
      </c>
      <c r="S423" s="81">
        <f ca="1">S383*(1+INDEX(S$310:S$312,MATCH(Work_Codes!$I$144,$D$310:$D$312,0)))</f>
        <v>0</v>
      </c>
      <c r="T423" s="81">
        <f ca="1">T383*(1+INDEX(T$310:T$312,MATCH(Work_Codes!$I$144,$D$310:$D$312,0)))</f>
        <v>0</v>
      </c>
    </row>
    <row r="424" spans="4:20" ht="11.5" customHeight="1" outlineLevel="2">
      <c r="E424" s="247" t="str">
        <f>GC!C44</f>
        <v>Supply Regulators / Valve Stations</v>
      </c>
      <c r="F424" s="247"/>
      <c r="G424" s="247"/>
      <c r="H424" s="247"/>
      <c r="I424" s="247"/>
      <c r="J424" s="81">
        <f ca="1">J384*(1+INDEX(J$310:J$312,MATCH(Work_Codes!$I$144,$D$310:$D$312,0)))</f>
        <v>0</v>
      </c>
      <c r="K424" s="81">
        <f ca="1">K384*(1+INDEX(K$310:K$312,MATCH(Work_Codes!$I$144,$D$310:$D$312,0)))</f>
        <v>0</v>
      </c>
      <c r="L424" s="81">
        <f ca="1">L384*(1+INDEX(L$310:L$312,MATCH(Work_Codes!$I$144,$D$310:$D$312,0)))</f>
        <v>0</v>
      </c>
      <c r="M424" s="81">
        <f ca="1">M384*(1+INDEX(M$310:M$312,MATCH(Work_Codes!$I$144,$D$310:$D$312,0)))</f>
        <v>0</v>
      </c>
      <c r="N424" s="81">
        <f ca="1">N384*(1+INDEX(N$310:N$312,MATCH(Work_Codes!$I$144,$D$310:$D$312,0)))</f>
        <v>0</v>
      </c>
      <c r="O424" s="81">
        <f ca="1">O384*(1+INDEX(O$310:O$312,MATCH(Work_Codes!$I$144,$D$310:$D$312,0)))</f>
        <v>0</v>
      </c>
      <c r="P424" s="81">
        <f ca="1">P384*(1+INDEX(P$310:P$312,MATCH(Work_Codes!$I$144,$D$310:$D$312,0)))</f>
        <v>0</v>
      </c>
      <c r="Q424" s="81">
        <f ca="1">Q384*(1+INDEX(Q$310:Q$312,MATCH(Work_Codes!$I$144,$D$310:$D$312,0)))</f>
        <v>0</v>
      </c>
      <c r="R424" s="81">
        <f ca="1">R384*(1+INDEX(R$310:R$312,MATCH(Work_Codes!$I$144,$D$310:$D$312,0)))</f>
        <v>0</v>
      </c>
      <c r="S424" s="81">
        <f ca="1">S384*(1+INDEX(S$310:S$312,MATCH(Work_Codes!$I$144,$D$310:$D$312,0)))</f>
        <v>0</v>
      </c>
      <c r="T424" s="81">
        <f ca="1">T384*(1+INDEX(T$310:T$312,MATCH(Work_Codes!$I$144,$D$310:$D$312,0)))</f>
        <v>0</v>
      </c>
    </row>
    <row r="425" spans="4:20" ht="11.5" customHeight="1" outlineLevel="2">
      <c r="E425" s="247" t="str">
        <f>GC!C45</f>
        <v>Meters</v>
      </c>
      <c r="F425" s="247"/>
      <c r="G425" s="247"/>
      <c r="H425" s="247"/>
      <c r="I425" s="247"/>
      <c r="J425" s="81">
        <f ca="1">J385*(1+INDEX(J$310:J$312,MATCH(Work_Codes!$I$144,$D$310:$D$312,0)))</f>
        <v>0</v>
      </c>
      <c r="K425" s="81">
        <f ca="1">K385*(1+INDEX(K$310:K$312,MATCH(Work_Codes!$I$144,$D$310:$D$312,0)))</f>
        <v>0</v>
      </c>
      <c r="L425" s="81">
        <f ca="1">L385*(1+INDEX(L$310:L$312,MATCH(Work_Codes!$I$144,$D$310:$D$312,0)))</f>
        <v>0</v>
      </c>
      <c r="M425" s="81">
        <f ca="1">M385*(1+INDEX(M$310:M$312,MATCH(Work_Codes!$I$144,$D$310:$D$312,0)))</f>
        <v>0</v>
      </c>
      <c r="N425" s="81">
        <f ca="1">N385*(1+INDEX(N$310:N$312,MATCH(Work_Codes!$I$144,$D$310:$D$312,0)))</f>
        <v>794665.6364590216</v>
      </c>
      <c r="O425" s="81">
        <f ca="1">O385*(1+INDEX(O$310:O$312,MATCH(Work_Codes!$I$144,$D$310:$D$312,0)))</f>
        <v>391593.63876200037</v>
      </c>
      <c r="P425" s="81">
        <f ca="1">P385*(1+INDEX(P$310:P$312,MATCH(Work_Codes!$I$144,$D$310:$D$312,0)))</f>
        <v>778275.98730081774</v>
      </c>
      <c r="Q425" s="81">
        <f ca="1">Q385*(1+INDEX(Q$310:Q$312,MATCH(Work_Codes!$I$144,$D$310:$D$312,0)))</f>
        <v>777812.65563827974</v>
      </c>
      <c r="R425" s="81">
        <f ca="1">R385*(1+INDEX(R$310:R$312,MATCH(Work_Codes!$I$144,$D$310:$D$312,0)))</f>
        <v>778515.74423907802</v>
      </c>
      <c r="S425" s="81">
        <f ca="1">S385*(1+INDEX(S$310:S$312,MATCH(Work_Codes!$I$144,$D$310:$D$312,0)))</f>
        <v>779872.57994601596</v>
      </c>
      <c r="T425" s="81">
        <f ca="1">T385*(1+INDEX(T$310:T$312,MATCH(Work_Codes!$I$144,$D$310:$D$312,0)))</f>
        <v>781003.96084637765</v>
      </c>
    </row>
    <row r="426" spans="4:20" ht="11.5" customHeight="1" outlineLevel="2">
      <c r="E426" s="247" t="str">
        <f>GC!C46</f>
        <v>SCADA and remote control</v>
      </c>
      <c r="F426" s="247"/>
      <c r="G426" s="247"/>
      <c r="H426" s="247"/>
      <c r="I426" s="247"/>
      <c r="J426" s="81">
        <f ca="1">J386*(1+INDEX(J$310:J$312,MATCH(Work_Codes!$I$144,$D$310:$D$312,0)))</f>
        <v>0</v>
      </c>
      <c r="K426" s="81">
        <f ca="1">K386*(1+INDEX(K$310:K$312,MATCH(Work_Codes!$I$144,$D$310:$D$312,0)))</f>
        <v>0</v>
      </c>
      <c r="L426" s="81">
        <f ca="1">L386*(1+INDEX(L$310:L$312,MATCH(Work_Codes!$I$144,$D$310:$D$312,0)))</f>
        <v>0</v>
      </c>
      <c r="M426" s="81">
        <f ca="1">M386*(1+INDEX(M$310:M$312,MATCH(Work_Codes!$I$144,$D$310:$D$312,0)))</f>
        <v>0</v>
      </c>
      <c r="N426" s="81">
        <f ca="1">N386*(1+INDEX(N$310:N$312,MATCH(Work_Codes!$I$144,$D$310:$D$312,0)))</f>
        <v>0</v>
      </c>
      <c r="O426" s="81">
        <f ca="1">O386*(1+INDEX(O$310:O$312,MATCH(Work_Codes!$I$144,$D$310:$D$312,0)))</f>
        <v>0</v>
      </c>
      <c r="P426" s="81">
        <f ca="1">P386*(1+INDEX(P$310:P$312,MATCH(Work_Codes!$I$144,$D$310:$D$312,0)))</f>
        <v>0</v>
      </c>
      <c r="Q426" s="81">
        <f ca="1">Q386*(1+INDEX(Q$310:Q$312,MATCH(Work_Codes!$I$144,$D$310:$D$312,0)))</f>
        <v>0</v>
      </c>
      <c r="R426" s="81">
        <f ca="1">R386*(1+INDEX(R$310:R$312,MATCH(Work_Codes!$I$144,$D$310:$D$312,0)))</f>
        <v>0</v>
      </c>
      <c r="S426" s="81">
        <f ca="1">S386*(1+INDEX(S$310:S$312,MATCH(Work_Codes!$I$144,$D$310:$D$312,0)))</f>
        <v>0</v>
      </c>
      <c r="T426" s="81">
        <f ca="1">T386*(1+INDEX(T$310:T$312,MATCH(Work_Codes!$I$144,$D$310:$D$312,0)))</f>
        <v>0</v>
      </c>
    </row>
    <row r="427" spans="4:20" ht="11.5" customHeight="1" outlineLevel="2">
      <c r="E427" s="247" t="str">
        <f>GC!C47</f>
        <v>Buildings</v>
      </c>
      <c r="F427" s="247"/>
      <c r="G427" s="247"/>
      <c r="H427" s="247"/>
      <c r="I427" s="247"/>
      <c r="J427" s="81">
        <f ca="1">J387*(1+INDEX(J$310:J$312,MATCH(Work_Codes!$I$144,$D$310:$D$312,0)))</f>
        <v>0</v>
      </c>
      <c r="K427" s="81">
        <f ca="1">K387*(1+INDEX(K$310:K$312,MATCH(Work_Codes!$I$144,$D$310:$D$312,0)))</f>
        <v>0</v>
      </c>
      <c r="L427" s="81">
        <f ca="1">L387*(1+INDEX(L$310:L$312,MATCH(Work_Codes!$I$144,$D$310:$D$312,0)))</f>
        <v>0</v>
      </c>
      <c r="M427" s="81">
        <f ca="1">M387*(1+INDEX(M$310:M$312,MATCH(Work_Codes!$I$144,$D$310:$D$312,0)))</f>
        <v>0</v>
      </c>
      <c r="N427" s="81">
        <f ca="1">N387*(1+INDEX(N$310:N$312,MATCH(Work_Codes!$I$144,$D$310:$D$312,0)))</f>
        <v>0</v>
      </c>
      <c r="O427" s="81">
        <f ca="1">O387*(1+INDEX(O$310:O$312,MATCH(Work_Codes!$I$144,$D$310:$D$312,0)))</f>
        <v>0</v>
      </c>
      <c r="P427" s="81">
        <f ca="1">P387*(1+INDEX(P$310:P$312,MATCH(Work_Codes!$I$144,$D$310:$D$312,0)))</f>
        <v>0</v>
      </c>
      <c r="Q427" s="81">
        <f ca="1">Q387*(1+INDEX(Q$310:Q$312,MATCH(Work_Codes!$I$144,$D$310:$D$312,0)))</f>
        <v>0</v>
      </c>
      <c r="R427" s="81">
        <f ca="1">R387*(1+INDEX(R$310:R$312,MATCH(Work_Codes!$I$144,$D$310:$D$312,0)))</f>
        <v>0</v>
      </c>
      <c r="S427" s="81">
        <f ca="1">S387*(1+INDEX(S$310:S$312,MATCH(Work_Codes!$I$144,$D$310:$D$312,0)))</f>
        <v>0</v>
      </c>
      <c r="T427" s="81">
        <f ca="1">T387*(1+INDEX(T$310:T$312,MATCH(Work_Codes!$I$144,$D$310:$D$312,0)))</f>
        <v>0</v>
      </c>
    </row>
    <row r="428" spans="4:20" ht="11.5" customHeight="1" outlineLevel="2">
      <c r="E428" s="247" t="str">
        <f>GC!C48</f>
        <v>Other - IT</v>
      </c>
      <c r="F428" s="247"/>
      <c r="G428" s="247"/>
      <c r="H428" s="247"/>
      <c r="I428" s="247"/>
      <c r="J428" s="81">
        <f ca="1">J388*(1+INDEX(J$310:J$312,MATCH(Work_Codes!$I$144,$D$310:$D$312,0)))</f>
        <v>0</v>
      </c>
      <c r="K428" s="81">
        <f ca="1">K388*(1+INDEX(K$310:K$312,MATCH(Work_Codes!$I$144,$D$310:$D$312,0)))</f>
        <v>0</v>
      </c>
      <c r="L428" s="81">
        <f ca="1">L388*(1+INDEX(L$310:L$312,MATCH(Work_Codes!$I$144,$D$310:$D$312,0)))</f>
        <v>0</v>
      </c>
      <c r="M428" s="81">
        <f ca="1">M388*(1+INDEX(M$310:M$312,MATCH(Work_Codes!$I$144,$D$310:$D$312,0)))</f>
        <v>0</v>
      </c>
      <c r="N428" s="81">
        <f ca="1">N388*(1+INDEX(N$310:N$312,MATCH(Work_Codes!$I$144,$D$310:$D$312,0)))</f>
        <v>0</v>
      </c>
      <c r="O428" s="81">
        <f ca="1">O388*(1+INDEX(O$310:O$312,MATCH(Work_Codes!$I$144,$D$310:$D$312,0)))</f>
        <v>0</v>
      </c>
      <c r="P428" s="81">
        <f ca="1">P388*(1+INDEX(P$310:P$312,MATCH(Work_Codes!$I$144,$D$310:$D$312,0)))</f>
        <v>0</v>
      </c>
      <c r="Q428" s="81">
        <f ca="1">Q388*(1+INDEX(Q$310:Q$312,MATCH(Work_Codes!$I$144,$D$310:$D$312,0)))</f>
        <v>0</v>
      </c>
      <c r="R428" s="81">
        <f ca="1">R388*(1+INDEX(R$310:R$312,MATCH(Work_Codes!$I$144,$D$310:$D$312,0)))</f>
        <v>0</v>
      </c>
      <c r="S428" s="81">
        <f ca="1">S388*(1+INDEX(S$310:S$312,MATCH(Work_Codes!$I$144,$D$310:$D$312,0)))</f>
        <v>0</v>
      </c>
      <c r="T428" s="81">
        <f ca="1">T388*(1+INDEX(T$310:T$312,MATCH(Work_Codes!$I$144,$D$310:$D$312,0)))</f>
        <v>0</v>
      </c>
    </row>
    <row r="429" spans="4:20" ht="11.5" customHeight="1" outlineLevel="2">
      <c r="E429" s="247" t="str">
        <f>GC!C49</f>
        <v>Other - non IT</v>
      </c>
      <c r="F429" s="247"/>
      <c r="G429" s="247"/>
      <c r="H429" s="247"/>
      <c r="I429" s="247"/>
      <c r="J429" s="81">
        <f ca="1">J389*(1+INDEX(J$310:J$312,MATCH(Work_Codes!$I$144,$D$310:$D$312,0)))</f>
        <v>0</v>
      </c>
      <c r="K429" s="81">
        <f ca="1">K389*(1+INDEX(K$310:K$312,MATCH(Work_Codes!$I$144,$D$310:$D$312,0)))</f>
        <v>0</v>
      </c>
      <c r="L429" s="81">
        <f ca="1">L389*(1+INDEX(L$310:L$312,MATCH(Work_Codes!$I$144,$D$310:$D$312,0)))</f>
        <v>0</v>
      </c>
      <c r="M429" s="81">
        <f ca="1">M389*(1+INDEX(M$310:M$312,MATCH(Work_Codes!$I$144,$D$310:$D$312,0)))</f>
        <v>0</v>
      </c>
      <c r="N429" s="81">
        <f ca="1">N389*(1+INDEX(N$310:N$312,MATCH(Work_Codes!$I$144,$D$310:$D$312,0)))</f>
        <v>0</v>
      </c>
      <c r="O429" s="81">
        <f ca="1">O389*(1+INDEX(O$310:O$312,MATCH(Work_Codes!$I$144,$D$310:$D$312,0)))</f>
        <v>0</v>
      </c>
      <c r="P429" s="81">
        <f ca="1">P389*(1+INDEX(P$310:P$312,MATCH(Work_Codes!$I$144,$D$310:$D$312,0)))</f>
        <v>0</v>
      </c>
      <c r="Q429" s="81">
        <f ca="1">Q389*(1+INDEX(Q$310:Q$312,MATCH(Work_Codes!$I$144,$D$310:$D$312,0)))</f>
        <v>0</v>
      </c>
      <c r="R429" s="81">
        <f ca="1">R389*(1+INDEX(R$310:R$312,MATCH(Work_Codes!$I$144,$D$310:$D$312,0)))</f>
        <v>0</v>
      </c>
      <c r="S429" s="81">
        <f ca="1">S389*(1+INDEX(S$310:S$312,MATCH(Work_Codes!$I$144,$D$310:$D$312,0)))</f>
        <v>0</v>
      </c>
      <c r="T429" s="81">
        <f ca="1">T389*(1+INDEX(T$310:T$312,MATCH(Work_Codes!$I$144,$D$310:$D$312,0)))</f>
        <v>0</v>
      </c>
    </row>
    <row r="430" spans="4:20" ht="11.5" customHeight="1" outlineLevel="2">
      <c r="E430" s="247" t="str">
        <f>GC!C50</f>
        <v>Land</v>
      </c>
      <c r="F430" s="247"/>
      <c r="G430" s="247"/>
      <c r="H430" s="247"/>
      <c r="I430" s="247"/>
      <c r="J430" s="81">
        <f ca="1">J390*(1+INDEX(J$310:J$312,MATCH(Work_Codes!$I$144,$D$310:$D$312,0)))</f>
        <v>0</v>
      </c>
      <c r="K430" s="81">
        <f ca="1">K390*(1+INDEX(K$310:K$312,MATCH(Work_Codes!$I$144,$D$310:$D$312,0)))</f>
        <v>0</v>
      </c>
      <c r="L430" s="81">
        <f ca="1">L390*(1+INDEX(L$310:L$312,MATCH(Work_Codes!$I$144,$D$310:$D$312,0)))</f>
        <v>0</v>
      </c>
      <c r="M430" s="81">
        <f ca="1">M390*(1+INDEX(M$310:M$312,MATCH(Work_Codes!$I$144,$D$310:$D$312,0)))</f>
        <v>0</v>
      </c>
      <c r="N430" s="81">
        <f ca="1">N390*(1+INDEX(N$310:N$312,MATCH(Work_Codes!$I$144,$D$310:$D$312,0)))</f>
        <v>0</v>
      </c>
      <c r="O430" s="81">
        <f ca="1">O390*(1+INDEX(O$310:O$312,MATCH(Work_Codes!$I$144,$D$310:$D$312,0)))</f>
        <v>0</v>
      </c>
      <c r="P430" s="81">
        <f ca="1">P390*(1+INDEX(P$310:P$312,MATCH(Work_Codes!$I$144,$D$310:$D$312,0)))</f>
        <v>0</v>
      </c>
      <c r="Q430" s="81">
        <f ca="1">Q390*(1+INDEX(Q$310:Q$312,MATCH(Work_Codes!$I$144,$D$310:$D$312,0)))</f>
        <v>0</v>
      </c>
      <c r="R430" s="81">
        <f ca="1">R390*(1+INDEX(R$310:R$312,MATCH(Work_Codes!$I$144,$D$310:$D$312,0)))</f>
        <v>0</v>
      </c>
      <c r="S430" s="81">
        <f ca="1">S390*(1+INDEX(S$310:S$312,MATCH(Work_Codes!$I$144,$D$310:$D$312,0)))</f>
        <v>0</v>
      </c>
      <c r="T430" s="81">
        <f ca="1">T390*(1+INDEX(T$310:T$312,MATCH(Work_Codes!$I$144,$D$310:$D$312,0)))</f>
        <v>0</v>
      </c>
    </row>
    <row r="431" spans="4:20" outlineLevel="2">
      <c r="E431" s="247" t="str">
        <f>GC!C51</f>
        <v>Capitalised Leases</v>
      </c>
      <c r="F431" s="247"/>
      <c r="G431" s="247"/>
      <c r="H431" s="247"/>
      <c r="I431" s="247"/>
      <c r="J431" s="81">
        <f ca="1">J391*(1+INDEX(J$310:J$312,MATCH(Work_Codes!$I$144,$D$310:$D$312,0)))</f>
        <v>0</v>
      </c>
      <c r="K431" s="81">
        <f ca="1">K391*(1+INDEX(K$310:K$312,MATCH(Work_Codes!$I$144,$D$310:$D$312,0)))</f>
        <v>0</v>
      </c>
      <c r="L431" s="81">
        <f ca="1">L391*(1+INDEX(L$310:L$312,MATCH(Work_Codes!$I$144,$D$310:$D$312,0)))</f>
        <v>0</v>
      </c>
      <c r="M431" s="81">
        <f ca="1">M391*(1+INDEX(M$310:M$312,MATCH(Work_Codes!$I$144,$D$310:$D$312,0)))</f>
        <v>0</v>
      </c>
      <c r="N431" s="81">
        <f ca="1">N391*(1+INDEX(N$310:N$312,MATCH(Work_Codes!$I$144,$D$310:$D$312,0)))</f>
        <v>0</v>
      </c>
      <c r="O431" s="81">
        <f ca="1">O391*(1+INDEX(O$310:O$312,MATCH(Work_Codes!$I$144,$D$310:$D$312,0)))</f>
        <v>0</v>
      </c>
      <c r="P431" s="81">
        <f ca="1">P391*(1+INDEX(P$310:P$312,MATCH(Work_Codes!$I$144,$D$310:$D$312,0)))</f>
        <v>0</v>
      </c>
      <c r="Q431" s="81">
        <f ca="1">Q391*(1+INDEX(Q$310:Q$312,MATCH(Work_Codes!$I$144,$D$310:$D$312,0)))</f>
        <v>0</v>
      </c>
      <c r="R431" s="81">
        <f ca="1">R391*(1+INDEX(R$310:R$312,MATCH(Work_Codes!$I$144,$D$310:$D$312,0)))</f>
        <v>0</v>
      </c>
      <c r="S431" s="81">
        <f ca="1">S391*(1+INDEX(S$310:S$312,MATCH(Work_Codes!$I$144,$D$310:$D$312,0)))</f>
        <v>0</v>
      </c>
      <c r="T431" s="81">
        <f ca="1">T391*(1+INDEX(T$310:T$312,MATCH(Work_Codes!$I$144,$D$310:$D$312,0)))</f>
        <v>0</v>
      </c>
    </row>
    <row r="432" spans="4:20" outlineLevel="2">
      <c r="E432" s="247" t="str">
        <f>GC!C52</f>
        <v>Transmission pipelines - post 1998</v>
      </c>
      <c r="F432" s="247"/>
      <c r="G432" s="247"/>
      <c r="H432" s="247"/>
      <c r="I432" s="247"/>
      <c r="J432" s="81">
        <f ca="1">J392*(1+INDEX(J$310:J$312,MATCH(Work_Codes!$I$144,$D$310:$D$312,0)))</f>
        <v>0</v>
      </c>
      <c r="K432" s="81">
        <f ca="1">K392*(1+INDEX(K$310:K$312,MATCH(Work_Codes!$I$144,$D$310:$D$312,0)))</f>
        <v>0</v>
      </c>
      <c r="L432" s="81">
        <f ca="1">L392*(1+INDEX(L$310:L$312,MATCH(Work_Codes!$I$144,$D$310:$D$312,0)))</f>
        <v>0</v>
      </c>
      <c r="M432" s="81">
        <f ca="1">M392*(1+INDEX(M$310:M$312,MATCH(Work_Codes!$I$144,$D$310:$D$312,0)))</f>
        <v>0</v>
      </c>
      <c r="N432" s="81">
        <f ca="1">N392*(1+INDEX(N$310:N$312,MATCH(Work_Codes!$I$144,$D$310:$D$312,0)))</f>
        <v>0</v>
      </c>
      <c r="O432" s="81">
        <f ca="1">O392*(1+INDEX(O$310:O$312,MATCH(Work_Codes!$I$144,$D$310:$D$312,0)))</f>
        <v>0</v>
      </c>
      <c r="P432" s="81">
        <f ca="1">P392*(1+INDEX(P$310:P$312,MATCH(Work_Codes!$I$144,$D$310:$D$312,0)))</f>
        <v>0</v>
      </c>
      <c r="Q432" s="81">
        <f ca="1">Q392*(1+INDEX(Q$310:Q$312,MATCH(Work_Codes!$I$144,$D$310:$D$312,0)))</f>
        <v>0</v>
      </c>
      <c r="R432" s="81">
        <f ca="1">R392*(1+INDEX(R$310:R$312,MATCH(Work_Codes!$I$144,$D$310:$D$312,0)))</f>
        <v>0</v>
      </c>
      <c r="S432" s="81">
        <f ca="1">S392*(1+INDEX(S$310:S$312,MATCH(Work_Codes!$I$144,$D$310:$D$312,0)))</f>
        <v>0</v>
      </c>
      <c r="T432" s="81">
        <f ca="1">T392*(1+INDEX(T$310:T$312,MATCH(Work_Codes!$I$144,$D$310:$D$312,0)))</f>
        <v>0</v>
      </c>
    </row>
    <row r="433" spans="4:20" outlineLevel="2">
      <c r="E433" s="247" t="str">
        <f>GC!C53</f>
        <v>Distribution pipelines - post 1998</v>
      </c>
      <c r="F433" s="247"/>
      <c r="G433" s="247"/>
      <c r="H433" s="247"/>
      <c r="I433" s="247"/>
      <c r="J433" s="81">
        <f ca="1">J393*(1+INDEX(J$310:J$312,MATCH(Work_Codes!$I$144,$D$310:$D$312,0)))</f>
        <v>0</v>
      </c>
      <c r="K433" s="81">
        <f ca="1">K393*(1+INDEX(K$310:K$312,MATCH(Work_Codes!$I$144,$D$310:$D$312,0)))</f>
        <v>0</v>
      </c>
      <c r="L433" s="81">
        <f ca="1">L393*(1+INDEX(L$310:L$312,MATCH(Work_Codes!$I$144,$D$310:$D$312,0)))</f>
        <v>0</v>
      </c>
      <c r="M433" s="81">
        <f ca="1">M393*(1+INDEX(M$310:M$312,MATCH(Work_Codes!$I$144,$D$310:$D$312,0)))</f>
        <v>0</v>
      </c>
      <c r="N433" s="81">
        <f ca="1">N393*(1+INDEX(N$310:N$312,MATCH(Work_Codes!$I$144,$D$310:$D$312,0)))</f>
        <v>0</v>
      </c>
      <c r="O433" s="81">
        <f ca="1">O393*(1+INDEX(O$310:O$312,MATCH(Work_Codes!$I$144,$D$310:$D$312,0)))</f>
        <v>0</v>
      </c>
      <c r="P433" s="81">
        <f ca="1">P393*(1+INDEX(P$310:P$312,MATCH(Work_Codes!$I$144,$D$310:$D$312,0)))</f>
        <v>0</v>
      </c>
      <c r="Q433" s="81">
        <f ca="1">Q393*(1+INDEX(Q$310:Q$312,MATCH(Work_Codes!$I$144,$D$310:$D$312,0)))</f>
        <v>0</v>
      </c>
      <c r="R433" s="81">
        <f ca="1">R393*(1+INDEX(R$310:R$312,MATCH(Work_Codes!$I$144,$D$310:$D$312,0)))</f>
        <v>0</v>
      </c>
      <c r="S433" s="81">
        <f ca="1">S393*(1+INDEX(S$310:S$312,MATCH(Work_Codes!$I$144,$D$310:$D$312,0)))</f>
        <v>0</v>
      </c>
      <c r="T433" s="81">
        <f ca="1">T393*(1+INDEX(T$310:T$312,MATCH(Work_Codes!$I$144,$D$310:$D$312,0)))</f>
        <v>0</v>
      </c>
    </row>
    <row r="434" spans="4:20" outlineLevel="2">
      <c r="E434" s="247" t="str">
        <f>GC!C54</f>
        <v>Service pipes - post 1998</v>
      </c>
      <c r="F434" s="247"/>
      <c r="G434" s="247"/>
      <c r="H434" s="247"/>
      <c r="I434" s="247"/>
      <c r="J434" s="81">
        <f ca="1">J394*(1+INDEX(J$310:J$312,MATCH(Work_Codes!$I$144,$D$310:$D$312,0)))</f>
        <v>0</v>
      </c>
      <c r="K434" s="81">
        <f ca="1">K394*(1+INDEX(K$310:K$312,MATCH(Work_Codes!$I$144,$D$310:$D$312,0)))</f>
        <v>0</v>
      </c>
      <c r="L434" s="81">
        <f ca="1">L394*(1+INDEX(L$310:L$312,MATCH(Work_Codes!$I$144,$D$310:$D$312,0)))</f>
        <v>0</v>
      </c>
      <c r="M434" s="81">
        <f ca="1">M394*(1+INDEX(M$310:M$312,MATCH(Work_Codes!$I$144,$D$310:$D$312,0)))</f>
        <v>0</v>
      </c>
      <c r="N434" s="81">
        <f ca="1">N394*(1+INDEX(N$310:N$312,MATCH(Work_Codes!$I$144,$D$310:$D$312,0)))</f>
        <v>0</v>
      </c>
      <c r="O434" s="81">
        <f ca="1">O394*(1+INDEX(O$310:O$312,MATCH(Work_Codes!$I$144,$D$310:$D$312,0)))</f>
        <v>0</v>
      </c>
      <c r="P434" s="81">
        <f ca="1">P394*(1+INDEX(P$310:P$312,MATCH(Work_Codes!$I$144,$D$310:$D$312,0)))</f>
        <v>0</v>
      </c>
      <c r="Q434" s="81">
        <f ca="1">Q394*(1+INDEX(Q$310:Q$312,MATCH(Work_Codes!$I$144,$D$310:$D$312,0)))</f>
        <v>0</v>
      </c>
      <c r="R434" s="81">
        <f ca="1">R394*(1+INDEX(R$310:R$312,MATCH(Work_Codes!$I$144,$D$310:$D$312,0)))</f>
        <v>0</v>
      </c>
      <c r="S434" s="81">
        <f ca="1">S394*(1+INDEX(S$310:S$312,MATCH(Work_Codes!$I$144,$D$310:$D$312,0)))</f>
        <v>0</v>
      </c>
      <c r="T434" s="81">
        <f ca="1">T394*(1+INDEX(T$310:T$312,MATCH(Work_Codes!$I$144,$D$310:$D$312,0)))</f>
        <v>0</v>
      </c>
    </row>
    <row r="435" spans="4:20" outlineLevel="2">
      <c r="E435" s="247" t="str">
        <f>GC!C55</f>
        <v>Cathodic protection - post 1998</v>
      </c>
      <c r="F435" s="247"/>
      <c r="G435" s="247"/>
      <c r="H435" s="247"/>
      <c r="I435" s="247"/>
      <c r="J435" s="81">
        <f ca="1">J395*(1+INDEX(J$310:J$312,MATCH(Work_Codes!$I$144,$D$310:$D$312,0)))</f>
        <v>0</v>
      </c>
      <c r="K435" s="81">
        <f ca="1">K395*(1+INDEX(K$310:K$312,MATCH(Work_Codes!$I$144,$D$310:$D$312,0)))</f>
        <v>0</v>
      </c>
      <c r="L435" s="81">
        <f ca="1">L395*(1+INDEX(L$310:L$312,MATCH(Work_Codes!$I$144,$D$310:$D$312,0)))</f>
        <v>0</v>
      </c>
      <c r="M435" s="81">
        <f ca="1">M395*(1+INDEX(M$310:M$312,MATCH(Work_Codes!$I$144,$D$310:$D$312,0)))</f>
        <v>0</v>
      </c>
      <c r="N435" s="81">
        <f ca="1">N395*(1+INDEX(N$310:N$312,MATCH(Work_Codes!$I$144,$D$310:$D$312,0)))</f>
        <v>0</v>
      </c>
      <c r="O435" s="81">
        <f ca="1">O395*(1+INDEX(O$310:O$312,MATCH(Work_Codes!$I$144,$D$310:$D$312,0)))</f>
        <v>0</v>
      </c>
      <c r="P435" s="81">
        <f ca="1">P395*(1+INDEX(P$310:P$312,MATCH(Work_Codes!$I$144,$D$310:$D$312,0)))</f>
        <v>0</v>
      </c>
      <c r="Q435" s="81">
        <f ca="1">Q395*(1+INDEX(Q$310:Q$312,MATCH(Work_Codes!$I$144,$D$310:$D$312,0)))</f>
        <v>0</v>
      </c>
      <c r="R435" s="81">
        <f ca="1">R395*(1+INDEX(R$310:R$312,MATCH(Work_Codes!$I$144,$D$310:$D$312,0)))</f>
        <v>0</v>
      </c>
      <c r="S435" s="81">
        <f ca="1">S395*(1+INDEX(S$310:S$312,MATCH(Work_Codes!$I$144,$D$310:$D$312,0)))</f>
        <v>0</v>
      </c>
      <c r="T435" s="81">
        <f ca="1">T395*(1+INDEX(T$310:T$312,MATCH(Work_Codes!$I$144,$D$310:$D$312,0)))</f>
        <v>0</v>
      </c>
    </row>
    <row r="436" spans="4:20" ht="12" customHeight="1" outlineLevel="2">
      <c r="E436" s="249" t="str">
        <f>"Total "&amp;D418</f>
        <v>Total Direct Costs + Overheads</v>
      </c>
      <c r="F436" s="249"/>
      <c r="G436" s="249"/>
      <c r="H436" s="249"/>
      <c r="I436" s="249"/>
      <c r="J436" s="82">
        <f t="shared" ref="J436:T436" ca="1" si="45">SUM(J420:J435)</f>
        <v>0</v>
      </c>
      <c r="K436" s="82">
        <f t="shared" ca="1" si="45"/>
        <v>0</v>
      </c>
      <c r="L436" s="82">
        <f t="shared" ca="1" si="45"/>
        <v>0</v>
      </c>
      <c r="M436" s="82">
        <f t="shared" ca="1" si="45"/>
        <v>0</v>
      </c>
      <c r="N436" s="82">
        <f t="shared" ca="1" si="45"/>
        <v>794665.6364590216</v>
      </c>
      <c r="O436" s="82">
        <f t="shared" ca="1" si="45"/>
        <v>391593.63876200037</v>
      </c>
      <c r="P436" s="82">
        <f t="shared" ca="1" si="45"/>
        <v>778275.98730081774</v>
      </c>
      <c r="Q436" s="82">
        <f t="shared" ca="1" si="45"/>
        <v>777812.65563827974</v>
      </c>
      <c r="R436" s="82">
        <f t="shared" ca="1" si="45"/>
        <v>778515.74423907802</v>
      </c>
      <c r="S436" s="82">
        <f t="shared" ca="1" si="45"/>
        <v>779872.57994601596</v>
      </c>
      <c r="T436" s="82">
        <f t="shared" ca="1" si="45"/>
        <v>781003.96084637765</v>
      </c>
    </row>
    <row r="437" spans="4:20" outlineLevel="2"/>
    <row r="438" spans="4:20" outlineLevel="2">
      <c r="D438" s="37" t="s">
        <v>367</v>
      </c>
    </row>
    <row r="439" spans="4:20" ht="5.9" customHeight="1" outlineLevel="2"/>
    <row r="440" spans="4:20" outlineLevel="2">
      <c r="E440" s="247" t="str">
        <f>GC!C40</f>
        <v>Transmission pipelines</v>
      </c>
      <c r="F440" s="247"/>
      <c r="G440" s="247"/>
      <c r="H440" s="247"/>
      <c r="I440" s="247"/>
      <c r="J440" s="81">
        <f ca="1">SUMPRODUCT((Work_Codes!$N$147:$Y$147=$E440)*(Work_Codes!$N$155:$Y$155)*(J$340:J$340))</f>
        <v>0</v>
      </c>
      <c r="K440" s="81">
        <f ca="1">SUMPRODUCT((Work_Codes!$N$147:$Y$147=$E440)*(Work_Codes!$N$155:$Y$155)*(K$340:K$340))</f>
        <v>0</v>
      </c>
      <c r="L440" s="81">
        <f ca="1">SUMPRODUCT((Work_Codes!$N$147:$Y$147=$E440)*(Work_Codes!$N$155:$Y$155)*(L$340:L$340))</f>
        <v>0</v>
      </c>
      <c r="M440" s="81">
        <f ca="1">SUMPRODUCT((Work_Codes!$N$147:$Y$147=$E440)*(Work_Codes!$N$155:$Y$155)*(M$340:M$340))</f>
        <v>0</v>
      </c>
      <c r="N440" s="81">
        <f ca="1">SUMPRODUCT((Work_Codes!$N$147:$Y$147=$E440)*(Work_Codes!$N$155:$Y$155)*(N$340:N$340))</f>
        <v>0</v>
      </c>
      <c r="O440" s="81">
        <f ca="1">SUMPRODUCT((Work_Codes!$N$147:$Y$147=$E440)*(Work_Codes!$N$155:$Y$155)*(O$340:O$340))</f>
        <v>0</v>
      </c>
      <c r="P440" s="81">
        <f ca="1">SUMPRODUCT((Work_Codes!$N$147:$Y$147=$E440)*(Work_Codes!$N$155:$Y$155)*(P$340:P$340))</f>
        <v>0</v>
      </c>
      <c r="Q440" s="81">
        <f ca="1">SUMPRODUCT((Work_Codes!$N$147:$Y$147=$E440)*(Work_Codes!$N$155:$Y$155)*(Q$340:Q$340))</f>
        <v>0</v>
      </c>
      <c r="R440" s="81">
        <f ca="1">SUMPRODUCT((Work_Codes!$N$147:$Y$147=$E440)*(Work_Codes!$N$155:$Y$155)*(R$340:R$340))</f>
        <v>0</v>
      </c>
      <c r="S440" s="81">
        <f ca="1">SUMPRODUCT((Work_Codes!$N$147:$Y$147=$E440)*(Work_Codes!$N$155:$Y$155)*(S$340:S$340))</f>
        <v>0</v>
      </c>
      <c r="T440" s="81">
        <f ca="1">SUMPRODUCT((Work_Codes!$N$147:$Y$147=$E440)*(Work_Codes!$N$155:$Y$155)*(T$340:T$340))</f>
        <v>0</v>
      </c>
    </row>
    <row r="441" spans="4:20" outlineLevel="2">
      <c r="E441" s="247" t="str">
        <f>GC!C41</f>
        <v>Distribution pipelines</v>
      </c>
      <c r="F441" s="247"/>
      <c r="G441" s="247"/>
      <c r="H441" s="247"/>
      <c r="I441" s="247"/>
      <c r="J441" s="81">
        <f ca="1">SUMPRODUCT((Work_Codes!$N$147:$Y$147=$E441)*(Work_Codes!$N$155:$Y$155)*(J$340:J$340))</f>
        <v>0</v>
      </c>
      <c r="K441" s="81">
        <f ca="1">SUMPRODUCT((Work_Codes!$N$147:$Y$147=$E441)*(Work_Codes!$N$155:$Y$155)*(K$340:K$340))</f>
        <v>0</v>
      </c>
      <c r="L441" s="81">
        <f ca="1">SUMPRODUCT((Work_Codes!$N$147:$Y$147=$E441)*(Work_Codes!$N$155:$Y$155)*(L$340:L$340))</f>
        <v>0</v>
      </c>
      <c r="M441" s="81">
        <f ca="1">SUMPRODUCT((Work_Codes!$N$147:$Y$147=$E441)*(Work_Codes!$N$155:$Y$155)*(M$340:M$340))</f>
        <v>0</v>
      </c>
      <c r="N441" s="81">
        <f ca="1">SUMPRODUCT((Work_Codes!$N$147:$Y$147=$E441)*(Work_Codes!$N$155:$Y$155)*(N$340:N$340))</f>
        <v>0</v>
      </c>
      <c r="O441" s="81">
        <f ca="1">SUMPRODUCT((Work_Codes!$N$147:$Y$147=$E441)*(Work_Codes!$N$155:$Y$155)*(O$340:O$340))</f>
        <v>0</v>
      </c>
      <c r="P441" s="81">
        <f ca="1">SUMPRODUCT((Work_Codes!$N$147:$Y$147=$E441)*(Work_Codes!$N$155:$Y$155)*(P$340:P$340))</f>
        <v>0</v>
      </c>
      <c r="Q441" s="81">
        <f ca="1">SUMPRODUCT((Work_Codes!$N$147:$Y$147=$E441)*(Work_Codes!$N$155:$Y$155)*(Q$340:Q$340))</f>
        <v>0</v>
      </c>
      <c r="R441" s="81">
        <f ca="1">SUMPRODUCT((Work_Codes!$N$147:$Y$147=$E441)*(Work_Codes!$N$155:$Y$155)*(R$340:R$340))</f>
        <v>0</v>
      </c>
      <c r="S441" s="81">
        <f ca="1">SUMPRODUCT((Work_Codes!$N$147:$Y$147=$E441)*(Work_Codes!$N$155:$Y$155)*(S$340:S$340))</f>
        <v>0</v>
      </c>
      <c r="T441" s="81">
        <f ca="1">SUMPRODUCT((Work_Codes!$N$147:$Y$147=$E441)*(Work_Codes!$N$155:$Y$155)*(T$340:T$340))</f>
        <v>0</v>
      </c>
    </row>
    <row r="442" spans="4:20" outlineLevel="2">
      <c r="E442" s="247" t="str">
        <f>GC!C42</f>
        <v>Service pipes</v>
      </c>
      <c r="F442" s="247"/>
      <c r="G442" s="247"/>
      <c r="H442" s="247"/>
      <c r="I442" s="247"/>
      <c r="J442" s="81">
        <f ca="1">SUMPRODUCT((Work_Codes!$N$147:$Y$147=$E442)*(Work_Codes!$N$155:$Y$155)*(J$340:J$340))</f>
        <v>0</v>
      </c>
      <c r="K442" s="81">
        <f ca="1">SUMPRODUCT((Work_Codes!$N$147:$Y$147=$E442)*(Work_Codes!$N$155:$Y$155)*(K$340:K$340))</f>
        <v>0</v>
      </c>
      <c r="L442" s="81">
        <f ca="1">SUMPRODUCT((Work_Codes!$N$147:$Y$147=$E442)*(Work_Codes!$N$155:$Y$155)*(L$340:L$340))</f>
        <v>0</v>
      </c>
      <c r="M442" s="81">
        <f ca="1">SUMPRODUCT((Work_Codes!$N$147:$Y$147=$E442)*(Work_Codes!$N$155:$Y$155)*(M$340:M$340))</f>
        <v>0</v>
      </c>
      <c r="N442" s="81">
        <f ca="1">SUMPRODUCT((Work_Codes!$N$147:$Y$147=$E442)*(Work_Codes!$N$155:$Y$155)*(N$340:N$340))</f>
        <v>0</v>
      </c>
      <c r="O442" s="81">
        <f ca="1">SUMPRODUCT((Work_Codes!$N$147:$Y$147=$E442)*(Work_Codes!$N$155:$Y$155)*(O$340:O$340))</f>
        <v>0</v>
      </c>
      <c r="P442" s="81">
        <f ca="1">SUMPRODUCT((Work_Codes!$N$147:$Y$147=$E442)*(Work_Codes!$N$155:$Y$155)*(P$340:P$340))</f>
        <v>0</v>
      </c>
      <c r="Q442" s="81">
        <f ca="1">SUMPRODUCT((Work_Codes!$N$147:$Y$147=$E442)*(Work_Codes!$N$155:$Y$155)*(Q$340:Q$340))</f>
        <v>0</v>
      </c>
      <c r="R442" s="81">
        <f ca="1">SUMPRODUCT((Work_Codes!$N$147:$Y$147=$E442)*(Work_Codes!$N$155:$Y$155)*(R$340:R$340))</f>
        <v>0</v>
      </c>
      <c r="S442" s="81">
        <f ca="1">SUMPRODUCT((Work_Codes!$N$147:$Y$147=$E442)*(Work_Codes!$N$155:$Y$155)*(S$340:S$340))</f>
        <v>0</v>
      </c>
      <c r="T442" s="81">
        <f ca="1">SUMPRODUCT((Work_Codes!$N$147:$Y$147=$E442)*(Work_Codes!$N$155:$Y$155)*(T$340:T$340))</f>
        <v>0</v>
      </c>
    </row>
    <row r="443" spans="4:20" outlineLevel="2">
      <c r="E443" s="247" t="str">
        <f>GC!C43</f>
        <v>Cathodic protection</v>
      </c>
      <c r="F443" s="247"/>
      <c r="G443" s="247"/>
      <c r="H443" s="247"/>
      <c r="I443" s="247"/>
      <c r="J443" s="81">
        <f ca="1">SUMPRODUCT((Work_Codes!$N$147:$Y$147=$E443)*(Work_Codes!$N$155:$Y$155)*(J$340:J$340))</f>
        <v>0</v>
      </c>
      <c r="K443" s="81">
        <f ca="1">SUMPRODUCT((Work_Codes!$N$147:$Y$147=$E443)*(Work_Codes!$N$155:$Y$155)*(K$340:K$340))</f>
        <v>0</v>
      </c>
      <c r="L443" s="81">
        <f ca="1">SUMPRODUCT((Work_Codes!$N$147:$Y$147=$E443)*(Work_Codes!$N$155:$Y$155)*(L$340:L$340))</f>
        <v>0</v>
      </c>
      <c r="M443" s="81">
        <f ca="1">SUMPRODUCT((Work_Codes!$N$147:$Y$147=$E443)*(Work_Codes!$N$155:$Y$155)*(M$340:M$340))</f>
        <v>0</v>
      </c>
      <c r="N443" s="81">
        <f ca="1">SUMPRODUCT((Work_Codes!$N$147:$Y$147=$E443)*(Work_Codes!$N$155:$Y$155)*(N$340:N$340))</f>
        <v>0</v>
      </c>
      <c r="O443" s="81">
        <f ca="1">SUMPRODUCT((Work_Codes!$N$147:$Y$147=$E443)*(Work_Codes!$N$155:$Y$155)*(O$340:O$340))</f>
        <v>0</v>
      </c>
      <c r="P443" s="81">
        <f ca="1">SUMPRODUCT((Work_Codes!$N$147:$Y$147=$E443)*(Work_Codes!$N$155:$Y$155)*(P$340:P$340))</f>
        <v>0</v>
      </c>
      <c r="Q443" s="81">
        <f ca="1">SUMPRODUCT((Work_Codes!$N$147:$Y$147=$E443)*(Work_Codes!$N$155:$Y$155)*(Q$340:Q$340))</f>
        <v>0</v>
      </c>
      <c r="R443" s="81">
        <f ca="1">SUMPRODUCT((Work_Codes!$N$147:$Y$147=$E443)*(Work_Codes!$N$155:$Y$155)*(R$340:R$340))</f>
        <v>0</v>
      </c>
      <c r="S443" s="81">
        <f ca="1">SUMPRODUCT((Work_Codes!$N$147:$Y$147=$E443)*(Work_Codes!$N$155:$Y$155)*(S$340:S$340))</f>
        <v>0</v>
      </c>
      <c r="T443" s="81">
        <f ca="1">SUMPRODUCT((Work_Codes!$N$147:$Y$147=$E443)*(Work_Codes!$N$155:$Y$155)*(T$340:T$340))</f>
        <v>0</v>
      </c>
    </row>
    <row r="444" spans="4:20" outlineLevel="2">
      <c r="E444" s="247" t="str">
        <f>GC!C44</f>
        <v>Supply Regulators / Valve Stations</v>
      </c>
      <c r="F444" s="247"/>
      <c r="G444" s="247"/>
      <c r="H444" s="247"/>
      <c r="I444" s="247"/>
      <c r="J444" s="81">
        <f ca="1">SUMPRODUCT((Work_Codes!$N$147:$Y$147=$E444)*(Work_Codes!$N$155:$Y$155)*(J$340:J$340))</f>
        <v>0</v>
      </c>
      <c r="K444" s="81">
        <f ca="1">SUMPRODUCT((Work_Codes!$N$147:$Y$147=$E444)*(Work_Codes!$N$155:$Y$155)*(K$340:K$340))</f>
        <v>0</v>
      </c>
      <c r="L444" s="81">
        <f ca="1">SUMPRODUCT((Work_Codes!$N$147:$Y$147=$E444)*(Work_Codes!$N$155:$Y$155)*(L$340:L$340))</f>
        <v>0</v>
      </c>
      <c r="M444" s="81">
        <f ca="1">SUMPRODUCT((Work_Codes!$N$147:$Y$147=$E444)*(Work_Codes!$N$155:$Y$155)*(M$340:M$340))</f>
        <v>0</v>
      </c>
      <c r="N444" s="81">
        <f ca="1">SUMPRODUCT((Work_Codes!$N$147:$Y$147=$E444)*(Work_Codes!$N$155:$Y$155)*(N$340:N$340))</f>
        <v>0</v>
      </c>
      <c r="O444" s="81">
        <f ca="1">SUMPRODUCT((Work_Codes!$N$147:$Y$147=$E444)*(Work_Codes!$N$155:$Y$155)*(O$340:O$340))</f>
        <v>0</v>
      </c>
      <c r="P444" s="81">
        <f ca="1">SUMPRODUCT((Work_Codes!$N$147:$Y$147=$E444)*(Work_Codes!$N$155:$Y$155)*(P$340:P$340))</f>
        <v>0</v>
      </c>
      <c r="Q444" s="81">
        <f ca="1">SUMPRODUCT((Work_Codes!$N$147:$Y$147=$E444)*(Work_Codes!$N$155:$Y$155)*(Q$340:Q$340))</f>
        <v>0</v>
      </c>
      <c r="R444" s="81">
        <f ca="1">SUMPRODUCT((Work_Codes!$N$147:$Y$147=$E444)*(Work_Codes!$N$155:$Y$155)*(R$340:R$340))</f>
        <v>0</v>
      </c>
      <c r="S444" s="81">
        <f ca="1">SUMPRODUCT((Work_Codes!$N$147:$Y$147=$E444)*(Work_Codes!$N$155:$Y$155)*(S$340:S$340))</f>
        <v>0</v>
      </c>
      <c r="T444" s="81">
        <f ca="1">SUMPRODUCT((Work_Codes!$N$147:$Y$147=$E444)*(Work_Codes!$N$155:$Y$155)*(T$340:T$340))</f>
        <v>0</v>
      </c>
    </row>
    <row r="445" spans="4:20" outlineLevel="2">
      <c r="E445" s="247" t="str">
        <f>GC!C45</f>
        <v>Meters</v>
      </c>
      <c r="F445" s="247"/>
      <c r="G445" s="247"/>
      <c r="H445" s="247"/>
      <c r="I445" s="247"/>
      <c r="J445" s="81">
        <f ca="1">SUMPRODUCT((Work_Codes!$N$147:$Y$147=$E445)*(Work_Codes!$N$155:$Y$155)*(J$340:J$340))</f>
        <v>0</v>
      </c>
      <c r="K445" s="81">
        <f ca="1">SUMPRODUCT((Work_Codes!$N$147:$Y$147=$E445)*(Work_Codes!$N$155:$Y$155)*(K$340:K$340))</f>
        <v>0</v>
      </c>
      <c r="L445" s="81">
        <f ca="1">SUMPRODUCT((Work_Codes!$N$147:$Y$147=$E445)*(Work_Codes!$N$155:$Y$155)*(L$340:L$340))</f>
        <v>0</v>
      </c>
      <c r="M445" s="81">
        <f ca="1">SUMPRODUCT((Work_Codes!$N$147:$Y$147=$E445)*(Work_Codes!$N$155:$Y$155)*(M$340:M$340))</f>
        <v>0</v>
      </c>
      <c r="N445" s="81">
        <f ca="1">SUMPRODUCT((Work_Codes!$N$147:$Y$147=$E445)*(Work_Codes!$N$155:$Y$155)*(N$340:N$340))</f>
        <v>0</v>
      </c>
      <c r="O445" s="81">
        <f ca="1">SUMPRODUCT((Work_Codes!$N$147:$Y$147=$E445)*(Work_Codes!$N$155:$Y$155)*(O$340:O$340))</f>
        <v>0</v>
      </c>
      <c r="P445" s="81">
        <f ca="1">SUMPRODUCT((Work_Codes!$N$147:$Y$147=$E445)*(Work_Codes!$N$155:$Y$155)*(P$340:P$340))</f>
        <v>0</v>
      </c>
      <c r="Q445" s="81">
        <f ca="1">SUMPRODUCT((Work_Codes!$N$147:$Y$147=$E445)*(Work_Codes!$N$155:$Y$155)*(Q$340:Q$340))</f>
        <v>0</v>
      </c>
      <c r="R445" s="81">
        <f ca="1">SUMPRODUCT((Work_Codes!$N$147:$Y$147=$E445)*(Work_Codes!$N$155:$Y$155)*(R$340:R$340))</f>
        <v>0</v>
      </c>
      <c r="S445" s="81">
        <f ca="1">SUMPRODUCT((Work_Codes!$N$147:$Y$147=$E445)*(Work_Codes!$N$155:$Y$155)*(S$340:S$340))</f>
        <v>0</v>
      </c>
      <c r="T445" s="81">
        <f ca="1">SUMPRODUCT((Work_Codes!$N$147:$Y$147=$E445)*(Work_Codes!$N$155:$Y$155)*(T$340:T$340))</f>
        <v>0</v>
      </c>
    </row>
    <row r="446" spans="4:20" outlineLevel="2">
      <c r="E446" s="247" t="str">
        <f>GC!C46</f>
        <v>SCADA and remote control</v>
      </c>
      <c r="F446" s="247"/>
      <c r="G446" s="247"/>
      <c r="H446" s="247"/>
      <c r="I446" s="247"/>
      <c r="J446" s="81">
        <f ca="1">SUMPRODUCT((Work_Codes!$N$147:$Y$147=$E446)*(Work_Codes!$N$155:$Y$155)*(J$340:J$340))</f>
        <v>0</v>
      </c>
      <c r="K446" s="81">
        <f ca="1">SUMPRODUCT((Work_Codes!$N$147:$Y$147=$E446)*(Work_Codes!$N$155:$Y$155)*(K$340:K$340))</f>
        <v>0</v>
      </c>
      <c r="L446" s="81">
        <f ca="1">SUMPRODUCT((Work_Codes!$N$147:$Y$147=$E446)*(Work_Codes!$N$155:$Y$155)*(L$340:L$340))</f>
        <v>0</v>
      </c>
      <c r="M446" s="81">
        <f ca="1">SUMPRODUCT((Work_Codes!$N$147:$Y$147=$E446)*(Work_Codes!$N$155:$Y$155)*(M$340:M$340))</f>
        <v>0</v>
      </c>
      <c r="N446" s="81">
        <f ca="1">SUMPRODUCT((Work_Codes!$N$147:$Y$147=$E446)*(Work_Codes!$N$155:$Y$155)*(N$340:N$340))</f>
        <v>0</v>
      </c>
      <c r="O446" s="81">
        <f ca="1">SUMPRODUCT((Work_Codes!$N$147:$Y$147=$E446)*(Work_Codes!$N$155:$Y$155)*(O$340:O$340))</f>
        <v>0</v>
      </c>
      <c r="P446" s="81">
        <f ca="1">SUMPRODUCT((Work_Codes!$N$147:$Y$147=$E446)*(Work_Codes!$N$155:$Y$155)*(P$340:P$340))</f>
        <v>0</v>
      </c>
      <c r="Q446" s="81">
        <f ca="1">SUMPRODUCT((Work_Codes!$N$147:$Y$147=$E446)*(Work_Codes!$N$155:$Y$155)*(Q$340:Q$340))</f>
        <v>0</v>
      </c>
      <c r="R446" s="81">
        <f ca="1">SUMPRODUCT((Work_Codes!$N$147:$Y$147=$E446)*(Work_Codes!$N$155:$Y$155)*(R$340:R$340))</f>
        <v>0</v>
      </c>
      <c r="S446" s="81">
        <f ca="1">SUMPRODUCT((Work_Codes!$N$147:$Y$147=$E446)*(Work_Codes!$N$155:$Y$155)*(S$340:S$340))</f>
        <v>0</v>
      </c>
      <c r="T446" s="81">
        <f ca="1">SUMPRODUCT((Work_Codes!$N$147:$Y$147=$E446)*(Work_Codes!$N$155:$Y$155)*(T$340:T$340))</f>
        <v>0</v>
      </c>
    </row>
    <row r="447" spans="4:20" outlineLevel="2">
      <c r="E447" s="247" t="str">
        <f>GC!C47</f>
        <v>Buildings</v>
      </c>
      <c r="F447" s="247"/>
      <c r="G447" s="247"/>
      <c r="H447" s="247"/>
      <c r="I447" s="247"/>
      <c r="J447" s="81">
        <f ca="1">SUMPRODUCT((Work_Codes!$N$147:$Y$147=$E447)*(Work_Codes!$N$155:$Y$155)*(J$340:J$340))</f>
        <v>0</v>
      </c>
      <c r="K447" s="81">
        <f ca="1">SUMPRODUCT((Work_Codes!$N$147:$Y$147=$E447)*(Work_Codes!$N$155:$Y$155)*(K$340:K$340))</f>
        <v>0</v>
      </c>
      <c r="L447" s="81">
        <f ca="1">SUMPRODUCT((Work_Codes!$N$147:$Y$147=$E447)*(Work_Codes!$N$155:$Y$155)*(L$340:L$340))</f>
        <v>0</v>
      </c>
      <c r="M447" s="81">
        <f ca="1">SUMPRODUCT((Work_Codes!$N$147:$Y$147=$E447)*(Work_Codes!$N$155:$Y$155)*(M$340:M$340))</f>
        <v>0</v>
      </c>
      <c r="N447" s="81">
        <f ca="1">SUMPRODUCT((Work_Codes!$N$147:$Y$147=$E447)*(Work_Codes!$N$155:$Y$155)*(N$340:N$340))</f>
        <v>0</v>
      </c>
      <c r="O447" s="81">
        <f ca="1">SUMPRODUCT((Work_Codes!$N$147:$Y$147=$E447)*(Work_Codes!$N$155:$Y$155)*(O$340:O$340))</f>
        <v>0</v>
      </c>
      <c r="P447" s="81">
        <f ca="1">SUMPRODUCT((Work_Codes!$N$147:$Y$147=$E447)*(Work_Codes!$N$155:$Y$155)*(P$340:P$340))</f>
        <v>0</v>
      </c>
      <c r="Q447" s="81">
        <f ca="1">SUMPRODUCT((Work_Codes!$N$147:$Y$147=$E447)*(Work_Codes!$N$155:$Y$155)*(Q$340:Q$340))</f>
        <v>0</v>
      </c>
      <c r="R447" s="81">
        <f ca="1">SUMPRODUCT((Work_Codes!$N$147:$Y$147=$E447)*(Work_Codes!$N$155:$Y$155)*(R$340:R$340))</f>
        <v>0</v>
      </c>
      <c r="S447" s="81">
        <f ca="1">SUMPRODUCT((Work_Codes!$N$147:$Y$147=$E447)*(Work_Codes!$N$155:$Y$155)*(S$340:S$340))</f>
        <v>0</v>
      </c>
      <c r="T447" s="81">
        <f ca="1">SUMPRODUCT((Work_Codes!$N$147:$Y$147=$E447)*(Work_Codes!$N$155:$Y$155)*(T$340:T$340))</f>
        <v>0</v>
      </c>
    </row>
    <row r="448" spans="4:20" outlineLevel="2">
      <c r="E448" s="247" t="str">
        <f>GC!C48</f>
        <v>Other - IT</v>
      </c>
      <c r="F448" s="247"/>
      <c r="G448" s="247"/>
      <c r="H448" s="247"/>
      <c r="I448" s="247"/>
      <c r="J448" s="81">
        <f ca="1">SUMPRODUCT((Work_Codes!$N$147:$Y$147=$E448)*(Work_Codes!$N$155:$Y$155)*(J$340:J$340))</f>
        <v>0</v>
      </c>
      <c r="K448" s="81">
        <f ca="1">SUMPRODUCT((Work_Codes!$N$147:$Y$147=$E448)*(Work_Codes!$N$155:$Y$155)*(K$340:K$340))</f>
        <v>0</v>
      </c>
      <c r="L448" s="81">
        <f ca="1">SUMPRODUCT((Work_Codes!$N$147:$Y$147=$E448)*(Work_Codes!$N$155:$Y$155)*(L$340:L$340))</f>
        <v>0</v>
      </c>
      <c r="M448" s="81">
        <f ca="1">SUMPRODUCT((Work_Codes!$N$147:$Y$147=$E448)*(Work_Codes!$N$155:$Y$155)*(M$340:M$340))</f>
        <v>0</v>
      </c>
      <c r="N448" s="81">
        <f ca="1">SUMPRODUCT((Work_Codes!$N$147:$Y$147=$E448)*(Work_Codes!$N$155:$Y$155)*(N$340:N$340))</f>
        <v>0</v>
      </c>
      <c r="O448" s="81">
        <f ca="1">SUMPRODUCT((Work_Codes!$N$147:$Y$147=$E448)*(Work_Codes!$N$155:$Y$155)*(O$340:O$340))</f>
        <v>0</v>
      </c>
      <c r="P448" s="81">
        <f ca="1">SUMPRODUCT((Work_Codes!$N$147:$Y$147=$E448)*(Work_Codes!$N$155:$Y$155)*(P$340:P$340))</f>
        <v>0</v>
      </c>
      <c r="Q448" s="81">
        <f ca="1">SUMPRODUCT((Work_Codes!$N$147:$Y$147=$E448)*(Work_Codes!$N$155:$Y$155)*(Q$340:Q$340))</f>
        <v>0</v>
      </c>
      <c r="R448" s="81">
        <f ca="1">SUMPRODUCT((Work_Codes!$N$147:$Y$147=$E448)*(Work_Codes!$N$155:$Y$155)*(R$340:R$340))</f>
        <v>0</v>
      </c>
      <c r="S448" s="81">
        <f ca="1">SUMPRODUCT((Work_Codes!$N$147:$Y$147=$E448)*(Work_Codes!$N$155:$Y$155)*(S$340:S$340))</f>
        <v>0</v>
      </c>
      <c r="T448" s="81">
        <f ca="1">SUMPRODUCT((Work_Codes!$N$147:$Y$147=$E448)*(Work_Codes!$N$155:$Y$155)*(T$340:T$340))</f>
        <v>0</v>
      </c>
    </row>
    <row r="449" spans="2:20" outlineLevel="2">
      <c r="E449" s="247" t="str">
        <f>GC!C49</f>
        <v>Other - non IT</v>
      </c>
      <c r="F449" s="247"/>
      <c r="G449" s="247"/>
      <c r="H449" s="247"/>
      <c r="I449" s="247"/>
      <c r="J449" s="81">
        <f ca="1">SUMPRODUCT((Work_Codes!$N$147:$Y$147=$E449)*(Work_Codes!$N$155:$Y$155)*(J$340:J$340))</f>
        <v>0</v>
      </c>
      <c r="K449" s="81">
        <f ca="1">SUMPRODUCT((Work_Codes!$N$147:$Y$147=$E449)*(Work_Codes!$N$155:$Y$155)*(K$340:K$340))</f>
        <v>0</v>
      </c>
      <c r="L449" s="81">
        <f ca="1">SUMPRODUCT((Work_Codes!$N$147:$Y$147=$E449)*(Work_Codes!$N$155:$Y$155)*(L$340:L$340))</f>
        <v>0</v>
      </c>
      <c r="M449" s="81">
        <f ca="1">SUMPRODUCT((Work_Codes!$N$147:$Y$147=$E449)*(Work_Codes!$N$155:$Y$155)*(M$340:M$340))</f>
        <v>0</v>
      </c>
      <c r="N449" s="81">
        <f ca="1">SUMPRODUCT((Work_Codes!$N$147:$Y$147=$E449)*(Work_Codes!$N$155:$Y$155)*(N$340:N$340))</f>
        <v>0</v>
      </c>
      <c r="O449" s="81">
        <f ca="1">SUMPRODUCT((Work_Codes!$N$147:$Y$147=$E449)*(Work_Codes!$N$155:$Y$155)*(O$340:O$340))</f>
        <v>0</v>
      </c>
      <c r="P449" s="81">
        <f ca="1">SUMPRODUCT((Work_Codes!$N$147:$Y$147=$E449)*(Work_Codes!$N$155:$Y$155)*(P$340:P$340))</f>
        <v>0</v>
      </c>
      <c r="Q449" s="81">
        <f ca="1">SUMPRODUCT((Work_Codes!$N$147:$Y$147=$E449)*(Work_Codes!$N$155:$Y$155)*(Q$340:Q$340))</f>
        <v>0</v>
      </c>
      <c r="R449" s="81">
        <f ca="1">SUMPRODUCT((Work_Codes!$N$147:$Y$147=$E449)*(Work_Codes!$N$155:$Y$155)*(R$340:R$340))</f>
        <v>0</v>
      </c>
      <c r="S449" s="81">
        <f ca="1">SUMPRODUCT((Work_Codes!$N$147:$Y$147=$E449)*(Work_Codes!$N$155:$Y$155)*(S$340:S$340))</f>
        <v>0</v>
      </c>
      <c r="T449" s="81">
        <f ca="1">SUMPRODUCT((Work_Codes!$N$147:$Y$147=$E449)*(Work_Codes!$N$155:$Y$155)*(T$340:T$340))</f>
        <v>0</v>
      </c>
    </row>
    <row r="450" spans="2:20" outlineLevel="2">
      <c r="E450" s="247" t="str">
        <f>GC!C50</f>
        <v>Land</v>
      </c>
      <c r="F450" s="247"/>
      <c r="G450" s="247"/>
      <c r="H450" s="247"/>
      <c r="I450" s="247"/>
      <c r="J450" s="81">
        <f ca="1">SUMPRODUCT((Work_Codes!$N$147:$Y$147=$E450)*(Work_Codes!$N$155:$Y$155)*(J$340:J$340))</f>
        <v>0</v>
      </c>
      <c r="K450" s="81">
        <f ca="1">SUMPRODUCT((Work_Codes!$N$147:$Y$147=$E450)*(Work_Codes!$N$155:$Y$155)*(K$340:K$340))</f>
        <v>0</v>
      </c>
      <c r="L450" s="81">
        <f ca="1">SUMPRODUCT((Work_Codes!$N$147:$Y$147=$E450)*(Work_Codes!$N$155:$Y$155)*(L$340:L$340))</f>
        <v>0</v>
      </c>
      <c r="M450" s="81">
        <f ca="1">SUMPRODUCT((Work_Codes!$N$147:$Y$147=$E450)*(Work_Codes!$N$155:$Y$155)*(M$340:M$340))</f>
        <v>0</v>
      </c>
      <c r="N450" s="81">
        <f ca="1">SUMPRODUCT((Work_Codes!$N$147:$Y$147=$E450)*(Work_Codes!$N$155:$Y$155)*(N$340:N$340))</f>
        <v>0</v>
      </c>
      <c r="O450" s="81">
        <f ca="1">SUMPRODUCT((Work_Codes!$N$147:$Y$147=$E450)*(Work_Codes!$N$155:$Y$155)*(O$340:O$340))</f>
        <v>0</v>
      </c>
      <c r="P450" s="81">
        <f ca="1">SUMPRODUCT((Work_Codes!$N$147:$Y$147=$E450)*(Work_Codes!$N$155:$Y$155)*(P$340:P$340))</f>
        <v>0</v>
      </c>
      <c r="Q450" s="81">
        <f ca="1">SUMPRODUCT((Work_Codes!$N$147:$Y$147=$E450)*(Work_Codes!$N$155:$Y$155)*(Q$340:Q$340))</f>
        <v>0</v>
      </c>
      <c r="R450" s="81">
        <f ca="1">SUMPRODUCT((Work_Codes!$N$147:$Y$147=$E450)*(Work_Codes!$N$155:$Y$155)*(R$340:R$340))</f>
        <v>0</v>
      </c>
      <c r="S450" s="81">
        <f ca="1">SUMPRODUCT((Work_Codes!$N$147:$Y$147=$E450)*(Work_Codes!$N$155:$Y$155)*(S$340:S$340))</f>
        <v>0</v>
      </c>
      <c r="T450" s="81">
        <f ca="1">SUMPRODUCT((Work_Codes!$N$147:$Y$147=$E450)*(Work_Codes!$N$155:$Y$155)*(T$340:T$340))</f>
        <v>0</v>
      </c>
    </row>
    <row r="451" spans="2:20" outlineLevel="2">
      <c r="E451" s="247" t="str">
        <f>GC!C51</f>
        <v>Capitalised Leases</v>
      </c>
      <c r="F451" s="247"/>
      <c r="G451" s="247"/>
      <c r="H451" s="247"/>
      <c r="I451" s="247"/>
      <c r="J451" s="81">
        <f ca="1">SUMPRODUCT((Work_Codes!$N$147:$Y$147=$E451)*(Work_Codes!$N$155:$Y$155)*(J$340:J$340))</f>
        <v>0</v>
      </c>
      <c r="K451" s="81">
        <f ca="1">SUMPRODUCT((Work_Codes!$N$147:$Y$147=$E451)*(Work_Codes!$N$155:$Y$155)*(K$340:K$340))</f>
        <v>0</v>
      </c>
      <c r="L451" s="81">
        <f ca="1">SUMPRODUCT((Work_Codes!$N$147:$Y$147=$E451)*(Work_Codes!$N$155:$Y$155)*(L$340:L$340))</f>
        <v>0</v>
      </c>
      <c r="M451" s="81">
        <f ca="1">SUMPRODUCT((Work_Codes!$N$147:$Y$147=$E451)*(Work_Codes!$N$155:$Y$155)*(M$340:M$340))</f>
        <v>0</v>
      </c>
      <c r="N451" s="81">
        <f ca="1">SUMPRODUCT((Work_Codes!$N$147:$Y$147=$E451)*(Work_Codes!$N$155:$Y$155)*(N$340:N$340))</f>
        <v>0</v>
      </c>
      <c r="O451" s="81">
        <f ca="1">SUMPRODUCT((Work_Codes!$N$147:$Y$147=$E451)*(Work_Codes!$N$155:$Y$155)*(O$340:O$340))</f>
        <v>0</v>
      </c>
      <c r="P451" s="81">
        <f ca="1">SUMPRODUCT((Work_Codes!$N$147:$Y$147=$E451)*(Work_Codes!$N$155:$Y$155)*(P$340:P$340))</f>
        <v>0</v>
      </c>
      <c r="Q451" s="81">
        <f ca="1">SUMPRODUCT((Work_Codes!$N$147:$Y$147=$E451)*(Work_Codes!$N$155:$Y$155)*(Q$340:Q$340))</f>
        <v>0</v>
      </c>
      <c r="R451" s="81">
        <f ca="1">SUMPRODUCT((Work_Codes!$N$147:$Y$147=$E451)*(Work_Codes!$N$155:$Y$155)*(R$340:R$340))</f>
        <v>0</v>
      </c>
      <c r="S451" s="81">
        <f ca="1">SUMPRODUCT((Work_Codes!$N$147:$Y$147=$E451)*(Work_Codes!$N$155:$Y$155)*(S$340:S$340))</f>
        <v>0</v>
      </c>
      <c r="T451" s="81">
        <f ca="1">SUMPRODUCT((Work_Codes!$N$147:$Y$147=$E451)*(Work_Codes!$N$155:$Y$155)*(T$340:T$340))</f>
        <v>0</v>
      </c>
    </row>
    <row r="452" spans="2:20" outlineLevel="2">
      <c r="E452" s="247" t="str">
        <f>GC!C52</f>
        <v>Transmission pipelines - post 1998</v>
      </c>
      <c r="F452" s="247"/>
      <c r="G452" s="247"/>
      <c r="H452" s="247"/>
      <c r="I452" s="247"/>
      <c r="J452" s="81">
        <f ca="1">SUMPRODUCT((Work_Codes!$N$147:$Y$147=$E452)*(Work_Codes!$N$155:$Y$155)*(J$340:J$340))</f>
        <v>0</v>
      </c>
      <c r="K452" s="81">
        <f ca="1">SUMPRODUCT((Work_Codes!$N$147:$Y$147=$E452)*(Work_Codes!$N$155:$Y$155)*(K$340:K$340))</f>
        <v>0</v>
      </c>
      <c r="L452" s="81">
        <f ca="1">SUMPRODUCT((Work_Codes!$N$147:$Y$147=$E452)*(Work_Codes!$N$155:$Y$155)*(L$340:L$340))</f>
        <v>0</v>
      </c>
      <c r="M452" s="81">
        <f ca="1">SUMPRODUCT((Work_Codes!$N$147:$Y$147=$E452)*(Work_Codes!$N$155:$Y$155)*(M$340:M$340))</f>
        <v>0</v>
      </c>
      <c r="N452" s="81">
        <f ca="1">SUMPRODUCT((Work_Codes!$N$147:$Y$147=$E452)*(Work_Codes!$N$155:$Y$155)*(N$340:N$340))</f>
        <v>0</v>
      </c>
      <c r="O452" s="81">
        <f ca="1">SUMPRODUCT((Work_Codes!$N$147:$Y$147=$E452)*(Work_Codes!$N$155:$Y$155)*(O$340:O$340))</f>
        <v>0</v>
      </c>
      <c r="P452" s="81">
        <f ca="1">SUMPRODUCT((Work_Codes!$N$147:$Y$147=$E452)*(Work_Codes!$N$155:$Y$155)*(P$340:P$340))</f>
        <v>0</v>
      </c>
      <c r="Q452" s="81">
        <f ca="1">SUMPRODUCT((Work_Codes!$N$147:$Y$147=$E452)*(Work_Codes!$N$155:$Y$155)*(Q$340:Q$340))</f>
        <v>0</v>
      </c>
      <c r="R452" s="81">
        <f ca="1">SUMPRODUCT((Work_Codes!$N$147:$Y$147=$E452)*(Work_Codes!$N$155:$Y$155)*(R$340:R$340))</f>
        <v>0</v>
      </c>
      <c r="S452" s="81">
        <f ca="1">SUMPRODUCT((Work_Codes!$N$147:$Y$147=$E452)*(Work_Codes!$N$155:$Y$155)*(S$340:S$340))</f>
        <v>0</v>
      </c>
      <c r="T452" s="81">
        <f ca="1">SUMPRODUCT((Work_Codes!$N$147:$Y$147=$E452)*(Work_Codes!$N$155:$Y$155)*(T$340:T$340))</f>
        <v>0</v>
      </c>
    </row>
    <row r="453" spans="2:20" outlineLevel="2">
      <c r="E453" s="247" t="str">
        <f>GC!C53</f>
        <v>Distribution pipelines - post 1998</v>
      </c>
      <c r="F453" s="247"/>
      <c r="G453" s="247"/>
      <c r="H453" s="247"/>
      <c r="I453" s="247"/>
      <c r="J453" s="81">
        <f ca="1">SUMPRODUCT((Work_Codes!$N$147:$Y$147=$E453)*(Work_Codes!$N$155:$Y$155)*(J$340:J$340))</f>
        <v>0</v>
      </c>
      <c r="K453" s="81">
        <f ca="1">SUMPRODUCT((Work_Codes!$N$147:$Y$147=$E453)*(Work_Codes!$N$155:$Y$155)*(K$340:K$340))</f>
        <v>0</v>
      </c>
      <c r="L453" s="81">
        <f ca="1">SUMPRODUCT((Work_Codes!$N$147:$Y$147=$E453)*(Work_Codes!$N$155:$Y$155)*(L$340:L$340))</f>
        <v>0</v>
      </c>
      <c r="M453" s="81">
        <f ca="1">SUMPRODUCT((Work_Codes!$N$147:$Y$147=$E453)*(Work_Codes!$N$155:$Y$155)*(M$340:M$340))</f>
        <v>0</v>
      </c>
      <c r="N453" s="81">
        <f ca="1">SUMPRODUCT((Work_Codes!$N$147:$Y$147=$E453)*(Work_Codes!$N$155:$Y$155)*(N$340:N$340))</f>
        <v>0</v>
      </c>
      <c r="O453" s="81">
        <f ca="1">SUMPRODUCT((Work_Codes!$N$147:$Y$147=$E453)*(Work_Codes!$N$155:$Y$155)*(O$340:O$340))</f>
        <v>0</v>
      </c>
      <c r="P453" s="81">
        <f ca="1">SUMPRODUCT((Work_Codes!$N$147:$Y$147=$E453)*(Work_Codes!$N$155:$Y$155)*(P$340:P$340))</f>
        <v>0</v>
      </c>
      <c r="Q453" s="81">
        <f ca="1">SUMPRODUCT((Work_Codes!$N$147:$Y$147=$E453)*(Work_Codes!$N$155:$Y$155)*(Q$340:Q$340))</f>
        <v>0</v>
      </c>
      <c r="R453" s="81">
        <f ca="1">SUMPRODUCT((Work_Codes!$N$147:$Y$147=$E453)*(Work_Codes!$N$155:$Y$155)*(R$340:R$340))</f>
        <v>0</v>
      </c>
      <c r="S453" s="81">
        <f ca="1">SUMPRODUCT((Work_Codes!$N$147:$Y$147=$E453)*(Work_Codes!$N$155:$Y$155)*(S$340:S$340))</f>
        <v>0</v>
      </c>
      <c r="T453" s="81">
        <f ca="1">SUMPRODUCT((Work_Codes!$N$147:$Y$147=$E453)*(Work_Codes!$N$155:$Y$155)*(T$340:T$340))</f>
        <v>0</v>
      </c>
    </row>
    <row r="454" spans="2:20" outlineLevel="2">
      <c r="E454" s="247" t="str">
        <f>GC!C54</f>
        <v>Service pipes - post 1998</v>
      </c>
      <c r="F454" s="247"/>
      <c r="G454" s="247"/>
      <c r="H454" s="247"/>
      <c r="I454" s="247"/>
      <c r="J454" s="81">
        <f ca="1">SUMPRODUCT((Work_Codes!$N$147:$Y$147=$E454)*(Work_Codes!$N$155:$Y$155)*(J$340:J$340))</f>
        <v>0</v>
      </c>
      <c r="K454" s="81">
        <f ca="1">SUMPRODUCT((Work_Codes!$N$147:$Y$147=$E454)*(Work_Codes!$N$155:$Y$155)*(K$340:K$340))</f>
        <v>0</v>
      </c>
      <c r="L454" s="81">
        <f ca="1">SUMPRODUCT((Work_Codes!$N$147:$Y$147=$E454)*(Work_Codes!$N$155:$Y$155)*(L$340:L$340))</f>
        <v>0</v>
      </c>
      <c r="M454" s="81">
        <f ca="1">SUMPRODUCT((Work_Codes!$N$147:$Y$147=$E454)*(Work_Codes!$N$155:$Y$155)*(M$340:M$340))</f>
        <v>0</v>
      </c>
      <c r="N454" s="81">
        <f ca="1">SUMPRODUCT((Work_Codes!$N$147:$Y$147=$E454)*(Work_Codes!$N$155:$Y$155)*(N$340:N$340))</f>
        <v>0</v>
      </c>
      <c r="O454" s="81">
        <f ca="1">SUMPRODUCT((Work_Codes!$N$147:$Y$147=$E454)*(Work_Codes!$N$155:$Y$155)*(O$340:O$340))</f>
        <v>0</v>
      </c>
      <c r="P454" s="81">
        <f ca="1">SUMPRODUCT((Work_Codes!$N$147:$Y$147=$E454)*(Work_Codes!$N$155:$Y$155)*(P$340:P$340))</f>
        <v>0</v>
      </c>
      <c r="Q454" s="81">
        <f ca="1">SUMPRODUCT((Work_Codes!$N$147:$Y$147=$E454)*(Work_Codes!$N$155:$Y$155)*(Q$340:Q$340))</f>
        <v>0</v>
      </c>
      <c r="R454" s="81">
        <f ca="1">SUMPRODUCT((Work_Codes!$N$147:$Y$147=$E454)*(Work_Codes!$N$155:$Y$155)*(R$340:R$340))</f>
        <v>0</v>
      </c>
      <c r="S454" s="81">
        <f ca="1">SUMPRODUCT((Work_Codes!$N$147:$Y$147=$E454)*(Work_Codes!$N$155:$Y$155)*(S$340:S$340))</f>
        <v>0</v>
      </c>
      <c r="T454" s="81">
        <f ca="1">SUMPRODUCT((Work_Codes!$N$147:$Y$147=$E454)*(Work_Codes!$N$155:$Y$155)*(T$340:T$340))</f>
        <v>0</v>
      </c>
    </row>
    <row r="455" spans="2:20" outlineLevel="2">
      <c r="E455" s="247" t="str">
        <f>GC!C55</f>
        <v>Cathodic protection - post 1998</v>
      </c>
      <c r="F455" s="247"/>
      <c r="G455" s="247"/>
      <c r="H455" s="247"/>
      <c r="I455" s="247"/>
      <c r="J455" s="81">
        <f ca="1">SUMPRODUCT((Work_Codes!$N$147:$Y$147=$E455)*(Work_Codes!$N$155:$Y$155)*(J$340:J$340))</f>
        <v>0</v>
      </c>
      <c r="K455" s="81">
        <f ca="1">SUMPRODUCT((Work_Codes!$N$147:$Y$147=$E455)*(Work_Codes!$N$155:$Y$155)*(K$340:K$340))</f>
        <v>0</v>
      </c>
      <c r="L455" s="81">
        <f ca="1">SUMPRODUCT((Work_Codes!$N$147:$Y$147=$E455)*(Work_Codes!$N$155:$Y$155)*(L$340:L$340))</f>
        <v>0</v>
      </c>
      <c r="M455" s="81">
        <f ca="1">SUMPRODUCT((Work_Codes!$N$147:$Y$147=$E455)*(Work_Codes!$N$155:$Y$155)*(M$340:M$340))</f>
        <v>0</v>
      </c>
      <c r="N455" s="81">
        <f ca="1">SUMPRODUCT((Work_Codes!$N$147:$Y$147=$E455)*(Work_Codes!$N$155:$Y$155)*(N$340:N$340))</f>
        <v>0</v>
      </c>
      <c r="O455" s="81">
        <f ca="1">SUMPRODUCT((Work_Codes!$N$147:$Y$147=$E455)*(Work_Codes!$N$155:$Y$155)*(O$340:O$340))</f>
        <v>0</v>
      </c>
      <c r="P455" s="81">
        <f ca="1">SUMPRODUCT((Work_Codes!$N$147:$Y$147=$E455)*(Work_Codes!$N$155:$Y$155)*(P$340:P$340))</f>
        <v>0</v>
      </c>
      <c r="Q455" s="81">
        <f ca="1">SUMPRODUCT((Work_Codes!$N$147:$Y$147=$E455)*(Work_Codes!$N$155:$Y$155)*(Q$340:Q$340))</f>
        <v>0</v>
      </c>
      <c r="R455" s="81">
        <f ca="1">SUMPRODUCT((Work_Codes!$N$147:$Y$147=$E455)*(Work_Codes!$N$155:$Y$155)*(R$340:R$340))</f>
        <v>0</v>
      </c>
      <c r="S455" s="81">
        <f ca="1">SUMPRODUCT((Work_Codes!$N$147:$Y$147=$E455)*(Work_Codes!$N$155:$Y$155)*(S$340:S$340))</f>
        <v>0</v>
      </c>
      <c r="T455" s="81">
        <f ca="1">SUMPRODUCT((Work_Codes!$N$147:$Y$147=$E455)*(Work_Codes!$N$155:$Y$155)*(T$340:T$340))</f>
        <v>0</v>
      </c>
    </row>
    <row r="456" spans="2:20" outlineLevel="2">
      <c r="E456" s="249" t="str">
        <f>"Total "&amp;D438</f>
        <v>Total Customer Contributions</v>
      </c>
      <c r="F456" s="249"/>
      <c r="G456" s="249"/>
      <c r="H456" s="249"/>
      <c r="I456" s="249"/>
      <c r="J456" s="82">
        <f t="shared" ref="J456:T456" ca="1" si="46">SUM(J440:J455)</f>
        <v>0</v>
      </c>
      <c r="K456" s="82">
        <f t="shared" ca="1" si="46"/>
        <v>0</v>
      </c>
      <c r="L456" s="82">
        <f t="shared" ca="1" si="46"/>
        <v>0</v>
      </c>
      <c r="M456" s="82">
        <f t="shared" ca="1" si="46"/>
        <v>0</v>
      </c>
      <c r="N456" s="82">
        <f t="shared" ca="1" si="46"/>
        <v>0</v>
      </c>
      <c r="O456" s="82">
        <f t="shared" ca="1" si="46"/>
        <v>0</v>
      </c>
      <c r="P456" s="82">
        <f t="shared" ca="1" si="46"/>
        <v>0</v>
      </c>
      <c r="Q456" s="82">
        <f t="shared" ca="1" si="46"/>
        <v>0</v>
      </c>
      <c r="R456" s="82">
        <f t="shared" ca="1" si="46"/>
        <v>0</v>
      </c>
      <c r="S456" s="82">
        <f t="shared" ca="1" si="46"/>
        <v>0</v>
      </c>
      <c r="T456" s="82">
        <f t="shared" ca="1" si="46"/>
        <v>0</v>
      </c>
    </row>
    <row r="457" spans="2:20" outlineLevel="1">
      <c r="B457" s="12"/>
      <c r="C457" s="12"/>
      <c r="D457" s="12"/>
      <c r="E457" s="12"/>
      <c r="F457" s="12"/>
      <c r="G457" s="12"/>
      <c r="H457" s="12"/>
      <c r="I457" s="12"/>
      <c r="J457" s="12"/>
      <c r="K457" s="12"/>
      <c r="L457" s="12"/>
      <c r="M457" s="12"/>
      <c r="N457" s="12"/>
      <c r="O457" s="12"/>
      <c r="P457" s="12"/>
      <c r="Q457" s="12"/>
      <c r="R457" s="12"/>
      <c r="S457" s="12"/>
      <c r="T457" s="12"/>
    </row>
    <row r="458" spans="2:20" outlineLevel="1"/>
    <row r="459" spans="2:20" outlineLevel="1">
      <c r="C459" s="37" t="s">
        <v>196</v>
      </c>
    </row>
    <row r="460" spans="2:20" ht="5.9" customHeight="1" outlineLevel="2"/>
    <row r="461" spans="2:20" outlineLevel="2">
      <c r="D461" s="37" t="s">
        <v>215</v>
      </c>
    </row>
    <row r="462" spans="2:20" ht="5.9" customHeight="1" outlineLevel="2"/>
    <row r="463" spans="2:20" ht="12" customHeight="1" outlineLevel="2">
      <c r="E463" s="247" t="str">
        <f>GC!C60</f>
        <v>Mains replacement</v>
      </c>
      <c r="F463" s="247"/>
      <c r="G463" s="247"/>
      <c r="H463" s="247"/>
      <c r="I463" s="247"/>
      <c r="J463" s="81">
        <f ca="1">SUMPRODUCT((Work_Codes!$AC$147:$AO$147=$E463)*(Work_Codes!$AC$150:$AO$151)*(J$370:J$371))</f>
        <v>0</v>
      </c>
      <c r="K463" s="81">
        <f ca="1">SUMPRODUCT((Work_Codes!$AC$147:$AO$147=$E463)*(Work_Codes!$AC$150:$AO$151)*(K$370:K$371))</f>
        <v>0</v>
      </c>
      <c r="L463" s="81">
        <f ca="1">SUMPRODUCT((Work_Codes!$AC$147:$AO$147=$E463)*(Work_Codes!$AC$150:$AO$151)*(L$370:L$371))</f>
        <v>0</v>
      </c>
      <c r="M463" s="81">
        <f ca="1">SUMPRODUCT((Work_Codes!$AC$147:$AO$147=$E463)*(Work_Codes!$AC$150:$AO$151)*(M$370:M$371))</f>
        <v>0</v>
      </c>
      <c r="N463" s="81">
        <f ca="1">SUMPRODUCT((Work_Codes!$AC$147:$AO$147=$E463)*(Work_Codes!$AC$150:$AO$151)*(N$370:N$371))</f>
        <v>0</v>
      </c>
      <c r="O463" s="81">
        <f ca="1">SUMPRODUCT((Work_Codes!$AC$147:$AO$147=$E463)*(Work_Codes!$AC$150:$AO$151)*(O$370:O$371))</f>
        <v>0</v>
      </c>
      <c r="P463" s="81">
        <f ca="1">SUMPRODUCT((Work_Codes!$AC$147:$AO$147=$E463)*(Work_Codes!$AC$150:$AO$151)*(P$370:P$371))</f>
        <v>0</v>
      </c>
      <c r="Q463" s="81">
        <f ca="1">SUMPRODUCT((Work_Codes!$AC$147:$AO$147=$E463)*(Work_Codes!$AC$150:$AO$151)*(Q$370:Q$371))</f>
        <v>0</v>
      </c>
      <c r="R463" s="81">
        <f ca="1">SUMPRODUCT((Work_Codes!$AC$147:$AO$147=$E463)*(Work_Codes!$AC$150:$AO$151)*(R$370:R$371))</f>
        <v>0</v>
      </c>
      <c r="S463" s="81">
        <f ca="1">SUMPRODUCT((Work_Codes!$AC$147:$AO$147=$E463)*(Work_Codes!$AC$150:$AO$151)*(S$370:S$371))</f>
        <v>0</v>
      </c>
      <c r="T463" s="81">
        <f ca="1">SUMPRODUCT((Work_Codes!$AC$147:$AO$147=$E463)*(Work_Codes!$AC$150:$AO$151)*(T$370:T$371))</f>
        <v>0</v>
      </c>
    </row>
    <row r="464" spans="2:20" ht="12" customHeight="1" outlineLevel="2">
      <c r="E464" s="247" t="str">
        <f>GC!C61</f>
        <v>Residential new customer connections</v>
      </c>
      <c r="F464" s="247"/>
      <c r="G464" s="247"/>
      <c r="H464" s="247"/>
      <c r="I464" s="247"/>
      <c r="J464" s="81">
        <f ca="1">SUMPRODUCT((Work_Codes!$AC$147:$AO$147=$E464)*(Work_Codes!$AC$150:$AO$151)*(J$370:J$371))</f>
        <v>0</v>
      </c>
      <c r="K464" s="81">
        <f ca="1">SUMPRODUCT((Work_Codes!$AC$147:$AO$147=$E464)*(Work_Codes!$AC$150:$AO$151)*(K$370:K$371))</f>
        <v>0</v>
      </c>
      <c r="L464" s="81">
        <f ca="1">SUMPRODUCT((Work_Codes!$AC$147:$AO$147=$E464)*(Work_Codes!$AC$150:$AO$151)*(L$370:L$371))</f>
        <v>0</v>
      </c>
      <c r="M464" s="81">
        <f ca="1">SUMPRODUCT((Work_Codes!$AC$147:$AO$147=$E464)*(Work_Codes!$AC$150:$AO$151)*(M$370:M$371))</f>
        <v>0</v>
      </c>
      <c r="N464" s="81">
        <f ca="1">SUMPRODUCT((Work_Codes!$AC$147:$AO$147=$E464)*(Work_Codes!$AC$150:$AO$151)*(N$370:N$371))</f>
        <v>0</v>
      </c>
      <c r="O464" s="81">
        <f ca="1">SUMPRODUCT((Work_Codes!$AC$147:$AO$147=$E464)*(Work_Codes!$AC$150:$AO$151)*(O$370:O$371))</f>
        <v>0</v>
      </c>
      <c r="P464" s="81">
        <f ca="1">SUMPRODUCT((Work_Codes!$AC$147:$AO$147=$E464)*(Work_Codes!$AC$150:$AO$151)*(P$370:P$371))</f>
        <v>0</v>
      </c>
      <c r="Q464" s="81">
        <f ca="1">SUMPRODUCT((Work_Codes!$AC$147:$AO$147=$E464)*(Work_Codes!$AC$150:$AO$151)*(Q$370:Q$371))</f>
        <v>0</v>
      </c>
      <c r="R464" s="81">
        <f ca="1">SUMPRODUCT((Work_Codes!$AC$147:$AO$147=$E464)*(Work_Codes!$AC$150:$AO$151)*(R$370:R$371))</f>
        <v>0</v>
      </c>
      <c r="S464" s="81">
        <f ca="1">SUMPRODUCT((Work_Codes!$AC$147:$AO$147=$E464)*(Work_Codes!$AC$150:$AO$151)*(S$370:S$371))</f>
        <v>0</v>
      </c>
      <c r="T464" s="81">
        <f ca="1">SUMPRODUCT((Work_Codes!$AC$147:$AO$147=$E464)*(Work_Codes!$AC$150:$AO$151)*(T$370:T$371))</f>
        <v>0</v>
      </c>
    </row>
    <row r="465" spans="4:20" ht="12" customHeight="1" outlineLevel="2">
      <c r="E465" s="247" t="str">
        <f>GC!C62</f>
        <v>Commercial and industrial new customer connections</v>
      </c>
      <c r="F465" s="247"/>
      <c r="G465" s="247"/>
      <c r="H465" s="247"/>
      <c r="I465" s="247"/>
      <c r="J465" s="81">
        <f ca="1">SUMPRODUCT((Work_Codes!$AC$147:$AO$147=$E465)*(Work_Codes!$AC$150:$AO$151)*(J$370:J$371))</f>
        <v>0</v>
      </c>
      <c r="K465" s="81">
        <f ca="1">SUMPRODUCT((Work_Codes!$AC$147:$AO$147=$E465)*(Work_Codes!$AC$150:$AO$151)*(K$370:K$371))</f>
        <v>0</v>
      </c>
      <c r="L465" s="81">
        <f ca="1">SUMPRODUCT((Work_Codes!$AC$147:$AO$147=$E465)*(Work_Codes!$AC$150:$AO$151)*(L$370:L$371))</f>
        <v>0</v>
      </c>
      <c r="M465" s="81">
        <f ca="1">SUMPRODUCT((Work_Codes!$AC$147:$AO$147=$E465)*(Work_Codes!$AC$150:$AO$151)*(M$370:M$371))</f>
        <v>0</v>
      </c>
      <c r="N465" s="81">
        <f ca="1">SUMPRODUCT((Work_Codes!$AC$147:$AO$147=$E465)*(Work_Codes!$AC$150:$AO$151)*(N$370:N$371))</f>
        <v>0</v>
      </c>
      <c r="O465" s="81">
        <f ca="1">SUMPRODUCT((Work_Codes!$AC$147:$AO$147=$E465)*(Work_Codes!$AC$150:$AO$151)*(O$370:O$371))</f>
        <v>0</v>
      </c>
      <c r="P465" s="81">
        <f ca="1">SUMPRODUCT((Work_Codes!$AC$147:$AO$147=$E465)*(Work_Codes!$AC$150:$AO$151)*(P$370:P$371))</f>
        <v>0</v>
      </c>
      <c r="Q465" s="81">
        <f ca="1">SUMPRODUCT((Work_Codes!$AC$147:$AO$147=$E465)*(Work_Codes!$AC$150:$AO$151)*(Q$370:Q$371))</f>
        <v>0</v>
      </c>
      <c r="R465" s="81">
        <f ca="1">SUMPRODUCT((Work_Codes!$AC$147:$AO$147=$E465)*(Work_Codes!$AC$150:$AO$151)*(R$370:R$371))</f>
        <v>0</v>
      </c>
      <c r="S465" s="81">
        <f ca="1">SUMPRODUCT((Work_Codes!$AC$147:$AO$147=$E465)*(Work_Codes!$AC$150:$AO$151)*(S$370:S$371))</f>
        <v>0</v>
      </c>
      <c r="T465" s="81">
        <f ca="1">SUMPRODUCT((Work_Codes!$AC$147:$AO$147=$E465)*(Work_Codes!$AC$150:$AO$151)*(T$370:T$371))</f>
        <v>0</v>
      </c>
    </row>
    <row r="466" spans="4:20" ht="12" customHeight="1" outlineLevel="2">
      <c r="E466" s="247" t="str">
        <f>GC!C63</f>
        <v>Residential meter replacement</v>
      </c>
      <c r="F466" s="247"/>
      <c r="G466" s="247"/>
      <c r="H466" s="247"/>
      <c r="I466" s="247"/>
      <c r="J466" s="81">
        <f ca="1">SUMPRODUCT((Work_Codes!$AC$147:$AO$147=$E466)*(Work_Codes!$AC$150:$AO$151)*(J$370:J$371))</f>
        <v>0</v>
      </c>
      <c r="K466" s="81">
        <f ca="1">SUMPRODUCT((Work_Codes!$AC$147:$AO$147=$E466)*(Work_Codes!$AC$150:$AO$151)*(K$370:K$371))</f>
        <v>0</v>
      </c>
      <c r="L466" s="81">
        <f ca="1">SUMPRODUCT((Work_Codes!$AC$147:$AO$147=$E466)*(Work_Codes!$AC$150:$AO$151)*(L$370:L$371))</f>
        <v>0</v>
      </c>
      <c r="M466" s="81">
        <f ca="1">SUMPRODUCT((Work_Codes!$AC$147:$AO$147=$E466)*(Work_Codes!$AC$150:$AO$151)*(M$370:M$371))</f>
        <v>0</v>
      </c>
      <c r="N466" s="81">
        <f ca="1">SUMPRODUCT((Work_Codes!$AC$147:$AO$147=$E466)*(Work_Codes!$AC$150:$AO$151)*(N$370:N$371))</f>
        <v>765787.0358946413</v>
      </c>
      <c r="O466" s="81">
        <f ca="1">SUMPRODUCT((Work_Codes!$AC$147:$AO$147=$E466)*(Work_Codes!$AC$150:$AO$151)*(O$370:O$371))</f>
        <v>378979.69047196896</v>
      </c>
      <c r="P466" s="81">
        <f ca="1">SUMPRODUCT((Work_Codes!$AC$147:$AO$147=$E466)*(Work_Codes!$AC$150:$AO$151)*(P$370:P$371))</f>
        <v>757997.5365358463</v>
      </c>
      <c r="Q466" s="81">
        <f ca="1">SUMPRODUCT((Work_Codes!$AC$147:$AO$147=$E466)*(Work_Codes!$AC$150:$AO$151)*(Q$370:Q$371))</f>
        <v>758057.23875223985</v>
      </c>
      <c r="R466" s="81">
        <f ca="1">SUMPRODUCT((Work_Codes!$AC$147:$AO$147=$E466)*(Work_Codes!$AC$150:$AO$151)*(R$370:R$371))</f>
        <v>758142.18476835557</v>
      </c>
      <c r="S466" s="81">
        <f ca="1">SUMPRODUCT((Work_Codes!$AC$147:$AO$147=$E466)*(Work_Codes!$AC$150:$AO$151)*(S$370:S$371))</f>
        <v>758228.06590828765</v>
      </c>
      <c r="T466" s="81">
        <f ca="1">SUMPRODUCT((Work_Codes!$AC$147:$AO$147=$E466)*(Work_Codes!$AC$150:$AO$151)*(T$370:T$371))</f>
        <v>758314.89246629807</v>
      </c>
    </row>
    <row r="467" spans="4:20" ht="12" customHeight="1" outlineLevel="2">
      <c r="E467" s="247" t="str">
        <f>GC!C64</f>
        <v>Commercial and industrial meter replacement</v>
      </c>
      <c r="F467" s="247"/>
      <c r="G467" s="247"/>
      <c r="H467" s="247"/>
      <c r="I467" s="247"/>
      <c r="J467" s="81">
        <f ca="1">SUMPRODUCT((Work_Codes!$AC$147:$AO$147=$E467)*(Work_Codes!$AC$150:$AO$151)*(J$370:J$371))</f>
        <v>0</v>
      </c>
      <c r="K467" s="81">
        <f ca="1">SUMPRODUCT((Work_Codes!$AC$147:$AO$147=$E467)*(Work_Codes!$AC$150:$AO$151)*(K$370:K$371))</f>
        <v>0</v>
      </c>
      <c r="L467" s="81">
        <f ca="1">SUMPRODUCT((Work_Codes!$AC$147:$AO$147=$E467)*(Work_Codes!$AC$150:$AO$151)*(L$370:L$371))</f>
        <v>0</v>
      </c>
      <c r="M467" s="81">
        <f ca="1">SUMPRODUCT((Work_Codes!$AC$147:$AO$147=$E467)*(Work_Codes!$AC$150:$AO$151)*(M$370:M$371))</f>
        <v>0</v>
      </c>
      <c r="N467" s="81">
        <f ca="1">SUMPRODUCT((Work_Codes!$AC$147:$AO$147=$E467)*(Work_Codes!$AC$150:$AO$151)*(N$370:N$371))</f>
        <v>0</v>
      </c>
      <c r="O467" s="81">
        <f ca="1">SUMPRODUCT((Work_Codes!$AC$147:$AO$147=$E467)*(Work_Codes!$AC$150:$AO$151)*(O$370:O$371))</f>
        <v>0</v>
      </c>
      <c r="P467" s="81">
        <f ca="1">SUMPRODUCT((Work_Codes!$AC$147:$AO$147=$E467)*(Work_Codes!$AC$150:$AO$151)*(P$370:P$371))</f>
        <v>0</v>
      </c>
      <c r="Q467" s="81">
        <f ca="1">SUMPRODUCT((Work_Codes!$AC$147:$AO$147=$E467)*(Work_Codes!$AC$150:$AO$151)*(Q$370:Q$371))</f>
        <v>0</v>
      </c>
      <c r="R467" s="81">
        <f ca="1">SUMPRODUCT((Work_Codes!$AC$147:$AO$147=$E467)*(Work_Codes!$AC$150:$AO$151)*(R$370:R$371))</f>
        <v>0</v>
      </c>
      <c r="S467" s="81">
        <f ca="1">SUMPRODUCT((Work_Codes!$AC$147:$AO$147=$E467)*(Work_Codes!$AC$150:$AO$151)*(S$370:S$371))</f>
        <v>0</v>
      </c>
      <c r="T467" s="81">
        <f ca="1">SUMPRODUCT((Work_Codes!$AC$147:$AO$147=$E467)*(Work_Codes!$AC$150:$AO$151)*(T$370:T$371))</f>
        <v>0</v>
      </c>
    </row>
    <row r="468" spans="4:20" ht="12" customHeight="1" outlineLevel="2">
      <c r="E468" s="247" t="str">
        <f>GC!C65</f>
        <v>Augmentation</v>
      </c>
      <c r="F468" s="247"/>
      <c r="G468" s="247"/>
      <c r="H468" s="247"/>
      <c r="I468" s="247"/>
      <c r="J468" s="81">
        <f ca="1">SUMPRODUCT((Work_Codes!$AC$147:$AO$147=$E468)*(Work_Codes!$AC$150:$AO$151)*(J$370:J$371))</f>
        <v>0</v>
      </c>
      <c r="K468" s="81">
        <f ca="1">SUMPRODUCT((Work_Codes!$AC$147:$AO$147=$E468)*(Work_Codes!$AC$150:$AO$151)*(K$370:K$371))</f>
        <v>0</v>
      </c>
      <c r="L468" s="81">
        <f ca="1">SUMPRODUCT((Work_Codes!$AC$147:$AO$147=$E468)*(Work_Codes!$AC$150:$AO$151)*(L$370:L$371))</f>
        <v>0</v>
      </c>
      <c r="M468" s="81">
        <f ca="1">SUMPRODUCT((Work_Codes!$AC$147:$AO$147=$E468)*(Work_Codes!$AC$150:$AO$151)*(M$370:M$371))</f>
        <v>0</v>
      </c>
      <c r="N468" s="81">
        <f ca="1">SUMPRODUCT((Work_Codes!$AC$147:$AO$147=$E468)*(Work_Codes!$AC$150:$AO$151)*(N$370:N$371))</f>
        <v>0</v>
      </c>
      <c r="O468" s="81">
        <f ca="1">SUMPRODUCT((Work_Codes!$AC$147:$AO$147=$E468)*(Work_Codes!$AC$150:$AO$151)*(O$370:O$371))</f>
        <v>0</v>
      </c>
      <c r="P468" s="81">
        <f ca="1">SUMPRODUCT((Work_Codes!$AC$147:$AO$147=$E468)*(Work_Codes!$AC$150:$AO$151)*(P$370:P$371))</f>
        <v>0</v>
      </c>
      <c r="Q468" s="81">
        <f ca="1">SUMPRODUCT((Work_Codes!$AC$147:$AO$147=$E468)*(Work_Codes!$AC$150:$AO$151)*(Q$370:Q$371))</f>
        <v>0</v>
      </c>
      <c r="R468" s="81">
        <f ca="1">SUMPRODUCT((Work_Codes!$AC$147:$AO$147=$E468)*(Work_Codes!$AC$150:$AO$151)*(R$370:R$371))</f>
        <v>0</v>
      </c>
      <c r="S468" s="81">
        <f ca="1">SUMPRODUCT((Work_Codes!$AC$147:$AO$147=$E468)*(Work_Codes!$AC$150:$AO$151)*(S$370:S$371))</f>
        <v>0</v>
      </c>
      <c r="T468" s="81">
        <f ca="1">SUMPRODUCT((Work_Codes!$AC$147:$AO$147=$E468)*(Work_Codes!$AC$150:$AO$151)*(T$370:T$371))</f>
        <v>0</v>
      </c>
    </row>
    <row r="469" spans="4:20" ht="12" customHeight="1" outlineLevel="2">
      <c r="E469" s="247" t="str">
        <f>GC!C66</f>
        <v>IT capex</v>
      </c>
      <c r="F469" s="247"/>
      <c r="G469" s="247"/>
      <c r="H469" s="247"/>
      <c r="I469" s="247"/>
      <c r="J469" s="81">
        <f ca="1">SUMPRODUCT((Work_Codes!$AC$147:$AO$147=$E469)*(Work_Codes!$AC$150:$AO$151)*(J$370:J$371))</f>
        <v>0</v>
      </c>
      <c r="K469" s="81">
        <f ca="1">SUMPRODUCT((Work_Codes!$AC$147:$AO$147=$E469)*(Work_Codes!$AC$150:$AO$151)*(K$370:K$371))</f>
        <v>0</v>
      </c>
      <c r="L469" s="81">
        <f ca="1">SUMPRODUCT((Work_Codes!$AC$147:$AO$147=$E469)*(Work_Codes!$AC$150:$AO$151)*(L$370:L$371))</f>
        <v>0</v>
      </c>
      <c r="M469" s="81">
        <f ca="1">SUMPRODUCT((Work_Codes!$AC$147:$AO$147=$E469)*(Work_Codes!$AC$150:$AO$151)*(M$370:M$371))</f>
        <v>0</v>
      </c>
      <c r="N469" s="81">
        <f ca="1">SUMPRODUCT((Work_Codes!$AC$147:$AO$147=$E469)*(Work_Codes!$AC$150:$AO$151)*(N$370:N$371))</f>
        <v>0</v>
      </c>
      <c r="O469" s="81">
        <f ca="1">SUMPRODUCT((Work_Codes!$AC$147:$AO$147=$E469)*(Work_Codes!$AC$150:$AO$151)*(O$370:O$371))</f>
        <v>0</v>
      </c>
      <c r="P469" s="81">
        <f ca="1">SUMPRODUCT((Work_Codes!$AC$147:$AO$147=$E469)*(Work_Codes!$AC$150:$AO$151)*(P$370:P$371))</f>
        <v>0</v>
      </c>
      <c r="Q469" s="81">
        <f ca="1">SUMPRODUCT((Work_Codes!$AC$147:$AO$147=$E469)*(Work_Codes!$AC$150:$AO$151)*(Q$370:Q$371))</f>
        <v>0</v>
      </c>
      <c r="R469" s="81">
        <f ca="1">SUMPRODUCT((Work_Codes!$AC$147:$AO$147=$E469)*(Work_Codes!$AC$150:$AO$151)*(R$370:R$371))</f>
        <v>0</v>
      </c>
      <c r="S469" s="81">
        <f ca="1">SUMPRODUCT((Work_Codes!$AC$147:$AO$147=$E469)*(Work_Codes!$AC$150:$AO$151)*(S$370:S$371))</f>
        <v>0</v>
      </c>
      <c r="T469" s="81">
        <f ca="1">SUMPRODUCT((Work_Codes!$AC$147:$AO$147=$E469)*(Work_Codes!$AC$150:$AO$151)*(T$370:T$371))</f>
        <v>0</v>
      </c>
    </row>
    <row r="470" spans="4:20" ht="12" customHeight="1" outlineLevel="2">
      <c r="E470" s="247" t="str">
        <f>GC!C67</f>
        <v>SCADA</v>
      </c>
      <c r="F470" s="247"/>
      <c r="G470" s="247"/>
      <c r="H470" s="247"/>
      <c r="I470" s="247"/>
      <c r="J470" s="81">
        <f ca="1">SUMPRODUCT((Work_Codes!$AC$147:$AO$147=$E470)*(Work_Codes!$AC$150:$AO$151)*(J$370:J$371))</f>
        <v>0</v>
      </c>
      <c r="K470" s="81">
        <f ca="1">SUMPRODUCT((Work_Codes!$AC$147:$AO$147=$E470)*(Work_Codes!$AC$150:$AO$151)*(K$370:K$371))</f>
        <v>0</v>
      </c>
      <c r="L470" s="81">
        <f ca="1">SUMPRODUCT((Work_Codes!$AC$147:$AO$147=$E470)*(Work_Codes!$AC$150:$AO$151)*(L$370:L$371))</f>
        <v>0</v>
      </c>
      <c r="M470" s="81">
        <f ca="1">SUMPRODUCT((Work_Codes!$AC$147:$AO$147=$E470)*(Work_Codes!$AC$150:$AO$151)*(M$370:M$371))</f>
        <v>0</v>
      </c>
      <c r="N470" s="81">
        <f ca="1">SUMPRODUCT((Work_Codes!$AC$147:$AO$147=$E470)*(Work_Codes!$AC$150:$AO$151)*(N$370:N$371))</f>
        <v>0</v>
      </c>
      <c r="O470" s="81">
        <f ca="1">SUMPRODUCT((Work_Codes!$AC$147:$AO$147=$E470)*(Work_Codes!$AC$150:$AO$151)*(O$370:O$371))</f>
        <v>0</v>
      </c>
      <c r="P470" s="81">
        <f ca="1">SUMPRODUCT((Work_Codes!$AC$147:$AO$147=$E470)*(Work_Codes!$AC$150:$AO$151)*(P$370:P$371))</f>
        <v>0</v>
      </c>
      <c r="Q470" s="81">
        <f ca="1">SUMPRODUCT((Work_Codes!$AC$147:$AO$147=$E470)*(Work_Codes!$AC$150:$AO$151)*(Q$370:Q$371))</f>
        <v>0</v>
      </c>
      <c r="R470" s="81">
        <f ca="1">SUMPRODUCT((Work_Codes!$AC$147:$AO$147=$E470)*(Work_Codes!$AC$150:$AO$151)*(R$370:R$371))</f>
        <v>0</v>
      </c>
      <c r="S470" s="81">
        <f ca="1">SUMPRODUCT((Work_Codes!$AC$147:$AO$147=$E470)*(Work_Codes!$AC$150:$AO$151)*(S$370:S$371))</f>
        <v>0</v>
      </c>
      <c r="T470" s="81">
        <f ca="1">SUMPRODUCT((Work_Codes!$AC$147:$AO$147=$E470)*(Work_Codes!$AC$150:$AO$151)*(T$370:T$371))</f>
        <v>0</v>
      </c>
    </row>
    <row r="471" spans="4:20" ht="12" customHeight="1" outlineLevel="2">
      <c r="E471" s="247" t="str">
        <f>GC!C68</f>
        <v>Other</v>
      </c>
      <c r="F471" s="247"/>
      <c r="G471" s="247"/>
      <c r="H471" s="247"/>
      <c r="I471" s="247"/>
      <c r="J471" s="81">
        <f ca="1">SUMPRODUCT((Work_Codes!$AC$147:$AO$147=$E471)*(Work_Codes!$AC$150:$AO$151)*(J$370:J$371))</f>
        <v>0</v>
      </c>
      <c r="K471" s="81">
        <f ca="1">SUMPRODUCT((Work_Codes!$AC$147:$AO$147=$E471)*(Work_Codes!$AC$150:$AO$151)*(K$370:K$371))</f>
        <v>0</v>
      </c>
      <c r="L471" s="81">
        <f ca="1">SUMPRODUCT((Work_Codes!$AC$147:$AO$147=$E471)*(Work_Codes!$AC$150:$AO$151)*(L$370:L$371))</f>
        <v>0</v>
      </c>
      <c r="M471" s="81">
        <f ca="1">SUMPRODUCT((Work_Codes!$AC$147:$AO$147=$E471)*(Work_Codes!$AC$150:$AO$151)*(M$370:M$371))</f>
        <v>0</v>
      </c>
      <c r="N471" s="81">
        <f ca="1">SUMPRODUCT((Work_Codes!$AC$147:$AO$147=$E471)*(Work_Codes!$AC$150:$AO$151)*(N$370:N$371))</f>
        <v>0</v>
      </c>
      <c r="O471" s="81">
        <f ca="1">SUMPRODUCT((Work_Codes!$AC$147:$AO$147=$E471)*(Work_Codes!$AC$150:$AO$151)*(O$370:O$371))</f>
        <v>0</v>
      </c>
      <c r="P471" s="81">
        <f ca="1">SUMPRODUCT((Work_Codes!$AC$147:$AO$147=$E471)*(Work_Codes!$AC$150:$AO$151)*(P$370:P$371))</f>
        <v>0</v>
      </c>
      <c r="Q471" s="81">
        <f ca="1">SUMPRODUCT((Work_Codes!$AC$147:$AO$147=$E471)*(Work_Codes!$AC$150:$AO$151)*(Q$370:Q$371))</f>
        <v>0</v>
      </c>
      <c r="R471" s="81">
        <f ca="1">SUMPRODUCT((Work_Codes!$AC$147:$AO$147=$E471)*(Work_Codes!$AC$150:$AO$151)*(R$370:R$371))</f>
        <v>0</v>
      </c>
      <c r="S471" s="81">
        <f ca="1">SUMPRODUCT((Work_Codes!$AC$147:$AO$147=$E471)*(Work_Codes!$AC$150:$AO$151)*(S$370:S$371))</f>
        <v>0</v>
      </c>
      <c r="T471" s="81">
        <f ca="1">SUMPRODUCT((Work_Codes!$AC$147:$AO$147=$E471)*(Work_Codes!$AC$150:$AO$151)*(T$370:T$371))</f>
        <v>0</v>
      </c>
    </row>
    <row r="472" spans="4:20" outlineLevel="2">
      <c r="E472" s="247" t="str">
        <f>GC!C69</f>
        <v>Capitalised Leases</v>
      </c>
      <c r="F472" s="247"/>
      <c r="G472" s="247"/>
      <c r="H472" s="247"/>
      <c r="I472" s="247"/>
      <c r="J472" s="81">
        <f ca="1">SUMPRODUCT((Work_Codes!$AC$147:$AO$147=$E472)*(Work_Codes!$AC$150:$AO$151)*(J$370:J$371))</f>
        <v>0</v>
      </c>
      <c r="K472" s="81">
        <f ca="1">SUMPRODUCT((Work_Codes!$AC$147:$AO$147=$E472)*(Work_Codes!$AC$150:$AO$151)*(K$370:K$371))</f>
        <v>0</v>
      </c>
      <c r="L472" s="81">
        <f ca="1">SUMPRODUCT((Work_Codes!$AC$147:$AO$147=$E472)*(Work_Codes!$AC$150:$AO$151)*(L$370:L$371))</f>
        <v>0</v>
      </c>
      <c r="M472" s="81">
        <f ca="1">SUMPRODUCT((Work_Codes!$AC$147:$AO$147=$E472)*(Work_Codes!$AC$150:$AO$151)*(M$370:M$371))</f>
        <v>0</v>
      </c>
      <c r="N472" s="81">
        <f ca="1">SUMPRODUCT((Work_Codes!$AC$147:$AO$147=$E472)*(Work_Codes!$AC$150:$AO$151)*(N$370:N$371))</f>
        <v>0</v>
      </c>
      <c r="O472" s="81">
        <f ca="1">SUMPRODUCT((Work_Codes!$AC$147:$AO$147=$E472)*(Work_Codes!$AC$150:$AO$151)*(O$370:O$371))</f>
        <v>0</v>
      </c>
      <c r="P472" s="81">
        <f ca="1">SUMPRODUCT((Work_Codes!$AC$147:$AO$147=$E472)*(Work_Codes!$AC$150:$AO$151)*(P$370:P$371))</f>
        <v>0</v>
      </c>
      <c r="Q472" s="81">
        <f ca="1">SUMPRODUCT((Work_Codes!$AC$147:$AO$147=$E472)*(Work_Codes!$AC$150:$AO$151)*(Q$370:Q$371))</f>
        <v>0</v>
      </c>
      <c r="R472" s="81">
        <f ca="1">SUMPRODUCT((Work_Codes!$AC$147:$AO$147=$E472)*(Work_Codes!$AC$150:$AO$151)*(R$370:R$371))</f>
        <v>0</v>
      </c>
      <c r="S472" s="81">
        <f ca="1">SUMPRODUCT((Work_Codes!$AC$147:$AO$147=$E472)*(Work_Codes!$AC$150:$AO$151)*(S$370:S$371))</f>
        <v>0</v>
      </c>
      <c r="T472" s="81">
        <f ca="1">SUMPRODUCT((Work_Codes!$AC$147:$AO$147=$E472)*(Work_Codes!$AC$150:$AO$151)*(T$370:T$371))</f>
        <v>0</v>
      </c>
    </row>
    <row r="473" spans="4:20" ht="12" customHeight="1" outlineLevel="2">
      <c r="E473" s="247" t="str">
        <f>GC!C70</f>
        <v>Gas Extensions - Energy for the Regions</v>
      </c>
      <c r="F473" s="247"/>
      <c r="G473" s="247"/>
      <c r="H473" s="247"/>
      <c r="I473" s="247"/>
      <c r="J473" s="81">
        <f ca="1">SUMPRODUCT((Work_Codes!$AC$147:$AO$147=$E473)*(Work_Codes!$AC$150:$AO$151)*(J$370:J$371))</f>
        <v>0</v>
      </c>
      <c r="K473" s="81">
        <f ca="1">SUMPRODUCT((Work_Codes!$AC$147:$AO$147=$E473)*(Work_Codes!$AC$150:$AO$151)*(K$370:K$371))</f>
        <v>0</v>
      </c>
      <c r="L473" s="81">
        <f ca="1">SUMPRODUCT((Work_Codes!$AC$147:$AO$147=$E473)*(Work_Codes!$AC$150:$AO$151)*(L$370:L$371))</f>
        <v>0</v>
      </c>
      <c r="M473" s="81">
        <f ca="1">SUMPRODUCT((Work_Codes!$AC$147:$AO$147=$E473)*(Work_Codes!$AC$150:$AO$151)*(M$370:M$371))</f>
        <v>0</v>
      </c>
      <c r="N473" s="81">
        <f ca="1">SUMPRODUCT((Work_Codes!$AC$147:$AO$147=$E473)*(Work_Codes!$AC$150:$AO$151)*(N$370:N$371))</f>
        <v>0</v>
      </c>
      <c r="O473" s="81">
        <f ca="1">SUMPRODUCT((Work_Codes!$AC$147:$AO$147=$E473)*(Work_Codes!$AC$150:$AO$151)*(O$370:O$371))</f>
        <v>0</v>
      </c>
      <c r="P473" s="81">
        <f ca="1">SUMPRODUCT((Work_Codes!$AC$147:$AO$147=$E473)*(Work_Codes!$AC$150:$AO$151)*(P$370:P$371))</f>
        <v>0</v>
      </c>
      <c r="Q473" s="81">
        <f ca="1">SUMPRODUCT((Work_Codes!$AC$147:$AO$147=$E473)*(Work_Codes!$AC$150:$AO$151)*(Q$370:Q$371))</f>
        <v>0</v>
      </c>
      <c r="R473" s="81">
        <f ca="1">SUMPRODUCT((Work_Codes!$AC$147:$AO$147=$E473)*(Work_Codes!$AC$150:$AO$151)*(R$370:R$371))</f>
        <v>0</v>
      </c>
      <c r="S473" s="81">
        <f ca="1">SUMPRODUCT((Work_Codes!$AC$147:$AO$147=$E473)*(Work_Codes!$AC$150:$AO$151)*(S$370:S$371))</f>
        <v>0</v>
      </c>
      <c r="T473" s="81">
        <f ca="1">SUMPRODUCT((Work_Codes!$AC$147:$AO$147=$E473)*(Work_Codes!$AC$150:$AO$151)*(T$370:T$371))</f>
        <v>0</v>
      </c>
    </row>
    <row r="474" spans="4:20" ht="12" customHeight="1" outlineLevel="2">
      <c r="E474" s="247" t="str">
        <f>GC!C71</f>
        <v>Gas Extensions - Other</v>
      </c>
      <c r="F474" s="247"/>
      <c r="G474" s="247"/>
      <c r="H474" s="247"/>
      <c r="I474" s="247"/>
      <c r="J474" s="81">
        <f ca="1">SUMPRODUCT((Work_Codes!$AC$147:$AO$147=$E474)*(Work_Codes!$AC$150:$AO$151)*(J$370:J$371))</f>
        <v>0</v>
      </c>
      <c r="K474" s="81">
        <f ca="1">SUMPRODUCT((Work_Codes!$AC$147:$AO$147=$E474)*(Work_Codes!$AC$150:$AO$151)*(K$370:K$371))</f>
        <v>0</v>
      </c>
      <c r="L474" s="81">
        <f ca="1">SUMPRODUCT((Work_Codes!$AC$147:$AO$147=$E474)*(Work_Codes!$AC$150:$AO$151)*(L$370:L$371))</f>
        <v>0</v>
      </c>
      <c r="M474" s="81">
        <f ca="1">SUMPRODUCT((Work_Codes!$AC$147:$AO$147=$E474)*(Work_Codes!$AC$150:$AO$151)*(M$370:M$371))</f>
        <v>0</v>
      </c>
      <c r="N474" s="81">
        <f ca="1">SUMPRODUCT((Work_Codes!$AC$147:$AO$147=$E474)*(Work_Codes!$AC$150:$AO$151)*(N$370:N$371))</f>
        <v>0</v>
      </c>
      <c r="O474" s="81">
        <f ca="1">SUMPRODUCT((Work_Codes!$AC$147:$AO$147=$E474)*(Work_Codes!$AC$150:$AO$151)*(O$370:O$371))</f>
        <v>0</v>
      </c>
      <c r="P474" s="81">
        <f ca="1">SUMPRODUCT((Work_Codes!$AC$147:$AO$147=$E474)*(Work_Codes!$AC$150:$AO$151)*(P$370:P$371))</f>
        <v>0</v>
      </c>
      <c r="Q474" s="81">
        <f ca="1">SUMPRODUCT((Work_Codes!$AC$147:$AO$147=$E474)*(Work_Codes!$AC$150:$AO$151)*(Q$370:Q$371))</f>
        <v>0</v>
      </c>
      <c r="R474" s="81">
        <f ca="1">SUMPRODUCT((Work_Codes!$AC$147:$AO$147=$E474)*(Work_Codes!$AC$150:$AO$151)*(R$370:R$371))</f>
        <v>0</v>
      </c>
      <c r="S474" s="81">
        <f ca="1">SUMPRODUCT((Work_Codes!$AC$147:$AO$147=$E474)*(Work_Codes!$AC$150:$AO$151)*(S$370:S$371))</f>
        <v>0</v>
      </c>
      <c r="T474" s="81">
        <f ca="1">SUMPRODUCT((Work_Codes!$AC$147:$AO$147=$E474)*(Work_Codes!$AC$150:$AO$151)*(T$370:T$371))</f>
        <v>0</v>
      </c>
    </row>
    <row r="475" spans="4:20" ht="12" customHeight="1" outlineLevel="2">
      <c r="E475" s="247" t="str">
        <f>GC!C72</f>
        <v>Customer contributions</v>
      </c>
      <c r="F475" s="247"/>
      <c r="G475" s="247"/>
      <c r="H475" s="247"/>
      <c r="I475" s="247"/>
      <c r="J475" s="81">
        <f ca="1">SUMPRODUCT((Work_Codes!$AC$147:$AO$147=$E475)*(Work_Codes!$AC$150:$AO$151)*(J$370:J$371))</f>
        <v>0</v>
      </c>
      <c r="K475" s="81">
        <f ca="1">SUMPRODUCT((Work_Codes!$AC$147:$AO$147=$E475)*(Work_Codes!$AC$150:$AO$151)*(K$370:K$371))</f>
        <v>0</v>
      </c>
      <c r="L475" s="81">
        <f ca="1">SUMPRODUCT((Work_Codes!$AC$147:$AO$147=$E475)*(Work_Codes!$AC$150:$AO$151)*(L$370:L$371))</f>
        <v>0</v>
      </c>
      <c r="M475" s="81">
        <f ca="1">SUMPRODUCT((Work_Codes!$AC$147:$AO$147=$E475)*(Work_Codes!$AC$150:$AO$151)*(M$370:M$371))</f>
        <v>0</v>
      </c>
      <c r="N475" s="81">
        <f ca="1">SUMPRODUCT((Work_Codes!$AC$147:$AO$147=$E475)*(Work_Codes!$AC$150:$AO$151)*(N$370:N$371))</f>
        <v>0</v>
      </c>
      <c r="O475" s="81">
        <f ca="1">SUMPRODUCT((Work_Codes!$AC$147:$AO$147=$E475)*(Work_Codes!$AC$150:$AO$151)*(O$370:O$371))</f>
        <v>0</v>
      </c>
      <c r="P475" s="81">
        <f ca="1">SUMPRODUCT((Work_Codes!$AC$147:$AO$147=$E475)*(Work_Codes!$AC$150:$AO$151)*(P$370:P$371))</f>
        <v>0</v>
      </c>
      <c r="Q475" s="81">
        <f ca="1">SUMPRODUCT((Work_Codes!$AC$147:$AO$147=$E475)*(Work_Codes!$AC$150:$AO$151)*(Q$370:Q$371))</f>
        <v>0</v>
      </c>
      <c r="R475" s="81">
        <f ca="1">SUMPRODUCT((Work_Codes!$AC$147:$AO$147=$E475)*(Work_Codes!$AC$150:$AO$151)*(R$370:R$371))</f>
        <v>0</v>
      </c>
      <c r="S475" s="81">
        <f ca="1">SUMPRODUCT((Work_Codes!$AC$147:$AO$147=$E475)*(Work_Codes!$AC$150:$AO$151)*(S$370:S$371))</f>
        <v>0</v>
      </c>
      <c r="T475" s="81">
        <f ca="1">SUMPRODUCT((Work_Codes!$AC$147:$AO$147=$E475)*(Work_Codes!$AC$150:$AO$151)*(T$370:T$371))</f>
        <v>0</v>
      </c>
    </row>
    <row r="476" spans="4:20" ht="12" customHeight="1" outlineLevel="2">
      <c r="E476" s="247" t="str">
        <f>GC!C73</f>
        <v>Government contributions</v>
      </c>
      <c r="F476" s="247"/>
      <c r="G476" s="247"/>
      <c r="H476" s="247"/>
      <c r="I476" s="247"/>
      <c r="J476" s="81">
        <f ca="1">SUMPRODUCT((Work_Codes!$AC$147:$AO$147=$E476)*(Work_Codes!$AC$150:$AO$151)*(J$370:J$371))</f>
        <v>0</v>
      </c>
      <c r="K476" s="81">
        <f ca="1">SUMPRODUCT((Work_Codes!$AC$147:$AO$147=$E476)*(Work_Codes!$AC$150:$AO$151)*(K$370:K$371))</f>
        <v>0</v>
      </c>
      <c r="L476" s="81">
        <f ca="1">SUMPRODUCT((Work_Codes!$AC$147:$AO$147=$E476)*(Work_Codes!$AC$150:$AO$151)*(L$370:L$371))</f>
        <v>0</v>
      </c>
      <c r="M476" s="81">
        <f ca="1">SUMPRODUCT((Work_Codes!$AC$147:$AO$147=$E476)*(Work_Codes!$AC$150:$AO$151)*(M$370:M$371))</f>
        <v>0</v>
      </c>
      <c r="N476" s="81">
        <f ca="1">SUMPRODUCT((Work_Codes!$AC$147:$AO$147=$E476)*(Work_Codes!$AC$150:$AO$151)*(N$370:N$371))</f>
        <v>0</v>
      </c>
      <c r="O476" s="81">
        <f ca="1">SUMPRODUCT((Work_Codes!$AC$147:$AO$147=$E476)*(Work_Codes!$AC$150:$AO$151)*(O$370:O$371))</f>
        <v>0</v>
      </c>
      <c r="P476" s="81">
        <f ca="1">SUMPRODUCT((Work_Codes!$AC$147:$AO$147=$E476)*(Work_Codes!$AC$150:$AO$151)*(P$370:P$371))</f>
        <v>0</v>
      </c>
      <c r="Q476" s="81">
        <f ca="1">SUMPRODUCT((Work_Codes!$AC$147:$AO$147=$E476)*(Work_Codes!$AC$150:$AO$151)*(Q$370:Q$371))</f>
        <v>0</v>
      </c>
      <c r="R476" s="81">
        <f ca="1">SUMPRODUCT((Work_Codes!$AC$147:$AO$147=$E476)*(Work_Codes!$AC$150:$AO$151)*(R$370:R$371))</f>
        <v>0</v>
      </c>
      <c r="S476" s="81">
        <f ca="1">SUMPRODUCT((Work_Codes!$AC$147:$AO$147=$E476)*(Work_Codes!$AC$150:$AO$151)*(S$370:S$371))</f>
        <v>0</v>
      </c>
      <c r="T476" s="81">
        <f ca="1">SUMPRODUCT((Work_Codes!$AC$147:$AO$147=$E476)*(Work_Codes!$AC$150:$AO$151)*(T$370:T$371))</f>
        <v>0</v>
      </c>
    </row>
    <row r="477" spans="4:20" ht="12" customHeight="1" outlineLevel="2">
      <c r="E477" s="249" t="str">
        <f>"Total "&amp;D461</f>
        <v>Total Direct Costs</v>
      </c>
      <c r="F477" s="249"/>
      <c r="G477" s="249"/>
      <c r="H477" s="249"/>
      <c r="I477" s="249"/>
      <c r="J477" s="82">
        <f t="shared" ref="J477:T477" ca="1" si="47">SUM(J463:J476)</f>
        <v>0</v>
      </c>
      <c r="K477" s="82">
        <f t="shared" ca="1" si="47"/>
        <v>0</v>
      </c>
      <c r="L477" s="82">
        <f t="shared" ca="1" si="47"/>
        <v>0</v>
      </c>
      <c r="M477" s="82">
        <f t="shared" ca="1" si="47"/>
        <v>0</v>
      </c>
      <c r="N477" s="82">
        <f t="shared" ca="1" si="47"/>
        <v>765787.0358946413</v>
      </c>
      <c r="O477" s="82">
        <f t="shared" ca="1" si="47"/>
        <v>378979.69047196896</v>
      </c>
      <c r="P477" s="82">
        <f t="shared" ca="1" si="47"/>
        <v>757997.5365358463</v>
      </c>
      <c r="Q477" s="82">
        <f t="shared" ca="1" si="47"/>
        <v>758057.23875223985</v>
      </c>
      <c r="R477" s="82">
        <f t="shared" ca="1" si="47"/>
        <v>758142.18476835557</v>
      </c>
      <c r="S477" s="82">
        <f t="shared" ca="1" si="47"/>
        <v>758228.06590828765</v>
      </c>
      <c r="T477" s="82">
        <f t="shared" ca="1" si="47"/>
        <v>758314.89246629807</v>
      </c>
    </row>
    <row r="478" spans="4:20" outlineLevel="2"/>
    <row r="479" spans="4:20" outlineLevel="2">
      <c r="D479" s="37" t="s">
        <v>216</v>
      </c>
    </row>
    <row r="480" spans="4:20" ht="5.9" customHeight="1" outlineLevel="2"/>
    <row r="481" spans="5:20" ht="12" customHeight="1" outlineLevel="2">
      <c r="E481" s="247" t="str">
        <f>GC!C60</f>
        <v>Mains replacement</v>
      </c>
      <c r="F481" s="247"/>
      <c r="G481" s="247"/>
      <c r="H481" s="247"/>
      <c r="I481" s="247"/>
      <c r="J481" s="81">
        <f ca="1">J463*(1+INDEX(J$310:J$312,MATCH(Work_Codes!$I$144,$D$310:$D$312,0)))</f>
        <v>0</v>
      </c>
      <c r="K481" s="81">
        <f ca="1">K463*(1+INDEX(K$310:K$312,MATCH(Work_Codes!$I$144,$D$310:$D$312,0)))</f>
        <v>0</v>
      </c>
      <c r="L481" s="81">
        <f ca="1">L463*(1+INDEX(L$310:L$312,MATCH(Work_Codes!$I$144,$D$310:$D$312,0)))</f>
        <v>0</v>
      </c>
      <c r="M481" s="81">
        <f ca="1">M463*(1+INDEX(M$310:M$312,MATCH(Work_Codes!$I$144,$D$310:$D$312,0)))</f>
        <v>0</v>
      </c>
      <c r="N481" s="81">
        <f ca="1">N463*(1+INDEX(N$310:N$312,MATCH(Work_Codes!$I$144,$D$310:$D$312,0)))</f>
        <v>0</v>
      </c>
      <c r="O481" s="81">
        <f ca="1">O463*(1+INDEX(O$310:O$312,MATCH(Work_Codes!$I$144,$D$310:$D$312,0)))</f>
        <v>0</v>
      </c>
      <c r="P481" s="81">
        <f ca="1">P463*(1+INDEX(P$310:P$312,MATCH(Work_Codes!$I$144,$D$310:$D$312,0)))</f>
        <v>0</v>
      </c>
      <c r="Q481" s="81">
        <f ca="1">Q463*(1+INDEX(Q$310:Q$312,MATCH(Work_Codes!$I$144,$D$310:$D$312,0)))</f>
        <v>0</v>
      </c>
      <c r="R481" s="81">
        <f ca="1">R463*(1+INDEX(R$310:R$312,MATCH(Work_Codes!$I$144,$D$310:$D$312,0)))</f>
        <v>0</v>
      </c>
      <c r="S481" s="81">
        <f ca="1">S463*(1+INDEX(S$310:S$312,MATCH(Work_Codes!$I$144,$D$310:$D$312,0)))</f>
        <v>0</v>
      </c>
      <c r="T481" s="81">
        <f ca="1">T463*(1+INDEX(T$310:T$312,MATCH(Work_Codes!$I$144,$D$310:$D$312,0)))</f>
        <v>0</v>
      </c>
    </row>
    <row r="482" spans="5:20" ht="12" customHeight="1" outlineLevel="2">
      <c r="E482" s="247" t="str">
        <f>GC!C61</f>
        <v>Residential new customer connections</v>
      </c>
      <c r="F482" s="247"/>
      <c r="G482" s="247"/>
      <c r="H482" s="247"/>
      <c r="I482" s="247"/>
      <c r="J482" s="81">
        <f ca="1">J464*(1+INDEX(J$310:J$312,MATCH(Work_Codes!$I$144,$D$310:$D$312,0)))</f>
        <v>0</v>
      </c>
      <c r="K482" s="81">
        <f ca="1">K464*(1+INDEX(K$310:K$312,MATCH(Work_Codes!$I$144,$D$310:$D$312,0)))</f>
        <v>0</v>
      </c>
      <c r="L482" s="81">
        <f ca="1">L464*(1+INDEX(L$310:L$312,MATCH(Work_Codes!$I$144,$D$310:$D$312,0)))</f>
        <v>0</v>
      </c>
      <c r="M482" s="81">
        <f ca="1">M464*(1+INDEX(M$310:M$312,MATCH(Work_Codes!$I$144,$D$310:$D$312,0)))</f>
        <v>0</v>
      </c>
      <c r="N482" s="81">
        <f ca="1">N464*(1+INDEX(N$310:N$312,MATCH(Work_Codes!$I$144,$D$310:$D$312,0)))</f>
        <v>0</v>
      </c>
      <c r="O482" s="81">
        <f ca="1">O464*(1+INDEX(O$310:O$312,MATCH(Work_Codes!$I$144,$D$310:$D$312,0)))</f>
        <v>0</v>
      </c>
      <c r="P482" s="81">
        <f ca="1">P464*(1+INDEX(P$310:P$312,MATCH(Work_Codes!$I$144,$D$310:$D$312,0)))</f>
        <v>0</v>
      </c>
      <c r="Q482" s="81">
        <f ca="1">Q464*(1+INDEX(Q$310:Q$312,MATCH(Work_Codes!$I$144,$D$310:$D$312,0)))</f>
        <v>0</v>
      </c>
      <c r="R482" s="81">
        <f ca="1">R464*(1+INDEX(R$310:R$312,MATCH(Work_Codes!$I$144,$D$310:$D$312,0)))</f>
        <v>0</v>
      </c>
      <c r="S482" s="81">
        <f ca="1">S464*(1+INDEX(S$310:S$312,MATCH(Work_Codes!$I$144,$D$310:$D$312,0)))</f>
        <v>0</v>
      </c>
      <c r="T482" s="81">
        <f ca="1">T464*(1+INDEX(T$310:T$312,MATCH(Work_Codes!$I$144,$D$310:$D$312,0)))</f>
        <v>0</v>
      </c>
    </row>
    <row r="483" spans="5:20" ht="12" customHeight="1" outlineLevel="2">
      <c r="E483" s="247" t="str">
        <f>GC!C62</f>
        <v>Commercial and industrial new customer connections</v>
      </c>
      <c r="F483" s="247"/>
      <c r="G483" s="247"/>
      <c r="H483" s="247"/>
      <c r="I483" s="247"/>
      <c r="J483" s="81">
        <f ca="1">J465*(1+INDEX(J$310:J$312,MATCH(Work_Codes!$I$144,$D$310:$D$312,0)))</f>
        <v>0</v>
      </c>
      <c r="K483" s="81">
        <f ca="1">K465*(1+INDEX(K$310:K$312,MATCH(Work_Codes!$I$144,$D$310:$D$312,0)))</f>
        <v>0</v>
      </c>
      <c r="L483" s="81">
        <f ca="1">L465*(1+INDEX(L$310:L$312,MATCH(Work_Codes!$I$144,$D$310:$D$312,0)))</f>
        <v>0</v>
      </c>
      <c r="M483" s="81">
        <f ca="1">M465*(1+INDEX(M$310:M$312,MATCH(Work_Codes!$I$144,$D$310:$D$312,0)))</f>
        <v>0</v>
      </c>
      <c r="N483" s="81">
        <f ca="1">N465*(1+INDEX(N$310:N$312,MATCH(Work_Codes!$I$144,$D$310:$D$312,0)))</f>
        <v>0</v>
      </c>
      <c r="O483" s="81">
        <f ca="1">O465*(1+INDEX(O$310:O$312,MATCH(Work_Codes!$I$144,$D$310:$D$312,0)))</f>
        <v>0</v>
      </c>
      <c r="P483" s="81">
        <f ca="1">P465*(1+INDEX(P$310:P$312,MATCH(Work_Codes!$I$144,$D$310:$D$312,0)))</f>
        <v>0</v>
      </c>
      <c r="Q483" s="81">
        <f ca="1">Q465*(1+INDEX(Q$310:Q$312,MATCH(Work_Codes!$I$144,$D$310:$D$312,0)))</f>
        <v>0</v>
      </c>
      <c r="R483" s="81">
        <f ca="1">R465*(1+INDEX(R$310:R$312,MATCH(Work_Codes!$I$144,$D$310:$D$312,0)))</f>
        <v>0</v>
      </c>
      <c r="S483" s="81">
        <f ca="1">S465*(1+INDEX(S$310:S$312,MATCH(Work_Codes!$I$144,$D$310:$D$312,0)))</f>
        <v>0</v>
      </c>
      <c r="T483" s="81">
        <f ca="1">T465*(1+INDEX(T$310:T$312,MATCH(Work_Codes!$I$144,$D$310:$D$312,0)))</f>
        <v>0</v>
      </c>
    </row>
    <row r="484" spans="5:20" ht="12" customHeight="1" outlineLevel="2">
      <c r="E484" s="247" t="str">
        <f>GC!C63</f>
        <v>Residential meter replacement</v>
      </c>
      <c r="F484" s="247"/>
      <c r="G484" s="247"/>
      <c r="H484" s="247"/>
      <c r="I484" s="247"/>
      <c r="J484" s="81">
        <f ca="1">J466*(1+INDEX(J$310:J$312,MATCH(Work_Codes!$I$144,$D$310:$D$312,0)))</f>
        <v>0</v>
      </c>
      <c r="K484" s="81">
        <f ca="1">K466*(1+INDEX(K$310:K$312,MATCH(Work_Codes!$I$144,$D$310:$D$312,0)))</f>
        <v>0</v>
      </c>
      <c r="L484" s="81">
        <f ca="1">L466*(1+INDEX(L$310:L$312,MATCH(Work_Codes!$I$144,$D$310:$D$312,0)))</f>
        <v>0</v>
      </c>
      <c r="M484" s="81">
        <f ca="1">M466*(1+INDEX(M$310:M$312,MATCH(Work_Codes!$I$144,$D$310:$D$312,0)))</f>
        <v>0</v>
      </c>
      <c r="N484" s="81">
        <f ca="1">N466*(1+INDEX(N$310:N$312,MATCH(Work_Codes!$I$144,$D$310:$D$312,0)))</f>
        <v>794665.6364590216</v>
      </c>
      <c r="O484" s="81">
        <f ca="1">O466*(1+INDEX(O$310:O$312,MATCH(Work_Codes!$I$144,$D$310:$D$312,0)))</f>
        <v>391593.63876200037</v>
      </c>
      <c r="P484" s="81">
        <f ca="1">P466*(1+INDEX(P$310:P$312,MATCH(Work_Codes!$I$144,$D$310:$D$312,0)))</f>
        <v>778275.98730081774</v>
      </c>
      <c r="Q484" s="81">
        <f ca="1">Q466*(1+INDEX(Q$310:Q$312,MATCH(Work_Codes!$I$144,$D$310:$D$312,0)))</f>
        <v>777812.65563827974</v>
      </c>
      <c r="R484" s="81">
        <f ca="1">R466*(1+INDEX(R$310:R$312,MATCH(Work_Codes!$I$144,$D$310:$D$312,0)))</f>
        <v>778515.74423907802</v>
      </c>
      <c r="S484" s="81">
        <f ca="1">S466*(1+INDEX(S$310:S$312,MATCH(Work_Codes!$I$144,$D$310:$D$312,0)))</f>
        <v>779872.57994601596</v>
      </c>
      <c r="T484" s="81">
        <f ca="1">T466*(1+INDEX(T$310:T$312,MATCH(Work_Codes!$I$144,$D$310:$D$312,0)))</f>
        <v>781003.96084637765</v>
      </c>
    </row>
    <row r="485" spans="5:20" ht="12" customHeight="1" outlineLevel="2">
      <c r="E485" s="247" t="str">
        <f>GC!C64</f>
        <v>Commercial and industrial meter replacement</v>
      </c>
      <c r="F485" s="247"/>
      <c r="G485" s="247"/>
      <c r="H485" s="247"/>
      <c r="I485" s="247"/>
      <c r="J485" s="81">
        <f ca="1">J467*(1+INDEX(J$310:J$312,MATCH(Work_Codes!$I$144,$D$310:$D$312,0)))</f>
        <v>0</v>
      </c>
      <c r="K485" s="81">
        <f ca="1">K467*(1+INDEX(K$310:K$312,MATCH(Work_Codes!$I$144,$D$310:$D$312,0)))</f>
        <v>0</v>
      </c>
      <c r="L485" s="81">
        <f ca="1">L467*(1+INDEX(L$310:L$312,MATCH(Work_Codes!$I$144,$D$310:$D$312,0)))</f>
        <v>0</v>
      </c>
      <c r="M485" s="81">
        <f ca="1">M467*(1+INDEX(M$310:M$312,MATCH(Work_Codes!$I$144,$D$310:$D$312,0)))</f>
        <v>0</v>
      </c>
      <c r="N485" s="81">
        <f ca="1">N467*(1+INDEX(N$310:N$312,MATCH(Work_Codes!$I$144,$D$310:$D$312,0)))</f>
        <v>0</v>
      </c>
      <c r="O485" s="81">
        <f ca="1">O467*(1+INDEX(O$310:O$312,MATCH(Work_Codes!$I$144,$D$310:$D$312,0)))</f>
        <v>0</v>
      </c>
      <c r="P485" s="81">
        <f ca="1">P467*(1+INDEX(P$310:P$312,MATCH(Work_Codes!$I$144,$D$310:$D$312,0)))</f>
        <v>0</v>
      </c>
      <c r="Q485" s="81">
        <f ca="1">Q467*(1+INDEX(Q$310:Q$312,MATCH(Work_Codes!$I$144,$D$310:$D$312,0)))</f>
        <v>0</v>
      </c>
      <c r="R485" s="81">
        <f ca="1">R467*(1+INDEX(R$310:R$312,MATCH(Work_Codes!$I$144,$D$310:$D$312,0)))</f>
        <v>0</v>
      </c>
      <c r="S485" s="81">
        <f ca="1">S467*(1+INDEX(S$310:S$312,MATCH(Work_Codes!$I$144,$D$310:$D$312,0)))</f>
        <v>0</v>
      </c>
      <c r="T485" s="81">
        <f ca="1">T467*(1+INDEX(T$310:T$312,MATCH(Work_Codes!$I$144,$D$310:$D$312,0)))</f>
        <v>0</v>
      </c>
    </row>
    <row r="486" spans="5:20" ht="12" customHeight="1" outlineLevel="2">
      <c r="E486" s="247" t="str">
        <f>GC!C65</f>
        <v>Augmentation</v>
      </c>
      <c r="F486" s="247"/>
      <c r="G486" s="247"/>
      <c r="H486" s="247"/>
      <c r="I486" s="247"/>
      <c r="J486" s="81">
        <f ca="1">J468*(1+INDEX(J$310:J$312,MATCH(Work_Codes!$I$144,$D$310:$D$312,0)))</f>
        <v>0</v>
      </c>
      <c r="K486" s="81">
        <f ca="1">K468*(1+INDEX(K$310:K$312,MATCH(Work_Codes!$I$144,$D$310:$D$312,0)))</f>
        <v>0</v>
      </c>
      <c r="L486" s="81">
        <f ca="1">L468*(1+INDEX(L$310:L$312,MATCH(Work_Codes!$I$144,$D$310:$D$312,0)))</f>
        <v>0</v>
      </c>
      <c r="M486" s="81">
        <f ca="1">M468*(1+INDEX(M$310:M$312,MATCH(Work_Codes!$I$144,$D$310:$D$312,0)))</f>
        <v>0</v>
      </c>
      <c r="N486" s="81">
        <f ca="1">N468*(1+INDEX(N$310:N$312,MATCH(Work_Codes!$I$144,$D$310:$D$312,0)))</f>
        <v>0</v>
      </c>
      <c r="O486" s="81">
        <f ca="1">O468*(1+INDEX(O$310:O$312,MATCH(Work_Codes!$I$144,$D$310:$D$312,0)))</f>
        <v>0</v>
      </c>
      <c r="P486" s="81">
        <f ca="1">P468*(1+INDEX(P$310:P$312,MATCH(Work_Codes!$I$144,$D$310:$D$312,0)))</f>
        <v>0</v>
      </c>
      <c r="Q486" s="81">
        <f ca="1">Q468*(1+INDEX(Q$310:Q$312,MATCH(Work_Codes!$I$144,$D$310:$D$312,0)))</f>
        <v>0</v>
      </c>
      <c r="R486" s="81">
        <f ca="1">R468*(1+INDEX(R$310:R$312,MATCH(Work_Codes!$I$144,$D$310:$D$312,0)))</f>
        <v>0</v>
      </c>
      <c r="S486" s="81">
        <f ca="1">S468*(1+INDEX(S$310:S$312,MATCH(Work_Codes!$I$144,$D$310:$D$312,0)))</f>
        <v>0</v>
      </c>
      <c r="T486" s="81">
        <f ca="1">T468*(1+INDEX(T$310:T$312,MATCH(Work_Codes!$I$144,$D$310:$D$312,0)))</f>
        <v>0</v>
      </c>
    </row>
    <row r="487" spans="5:20" ht="12" customHeight="1" outlineLevel="2">
      <c r="E487" s="247" t="str">
        <f>GC!C66</f>
        <v>IT capex</v>
      </c>
      <c r="F487" s="247"/>
      <c r="G487" s="247"/>
      <c r="H487" s="247"/>
      <c r="I487" s="247"/>
      <c r="J487" s="81">
        <f ca="1">J469*(1+INDEX(J$310:J$312,MATCH(Work_Codes!$I$144,$D$310:$D$312,0)))</f>
        <v>0</v>
      </c>
      <c r="K487" s="81">
        <f ca="1">K469*(1+INDEX(K$310:K$312,MATCH(Work_Codes!$I$144,$D$310:$D$312,0)))</f>
        <v>0</v>
      </c>
      <c r="L487" s="81">
        <f ca="1">L469*(1+INDEX(L$310:L$312,MATCH(Work_Codes!$I$144,$D$310:$D$312,0)))</f>
        <v>0</v>
      </c>
      <c r="M487" s="81">
        <f ca="1">M469*(1+INDEX(M$310:M$312,MATCH(Work_Codes!$I$144,$D$310:$D$312,0)))</f>
        <v>0</v>
      </c>
      <c r="N487" s="81">
        <f ca="1">N469*(1+INDEX(N$310:N$312,MATCH(Work_Codes!$I$144,$D$310:$D$312,0)))</f>
        <v>0</v>
      </c>
      <c r="O487" s="81">
        <f ca="1">O469*(1+INDEX(O$310:O$312,MATCH(Work_Codes!$I$144,$D$310:$D$312,0)))</f>
        <v>0</v>
      </c>
      <c r="P487" s="81">
        <f ca="1">P469*(1+INDEX(P$310:P$312,MATCH(Work_Codes!$I$144,$D$310:$D$312,0)))</f>
        <v>0</v>
      </c>
      <c r="Q487" s="81">
        <f ca="1">Q469*(1+INDEX(Q$310:Q$312,MATCH(Work_Codes!$I$144,$D$310:$D$312,0)))</f>
        <v>0</v>
      </c>
      <c r="R487" s="81">
        <f ca="1">R469*(1+INDEX(R$310:R$312,MATCH(Work_Codes!$I$144,$D$310:$D$312,0)))</f>
        <v>0</v>
      </c>
      <c r="S487" s="81">
        <f ca="1">S469*(1+INDEX(S$310:S$312,MATCH(Work_Codes!$I$144,$D$310:$D$312,0)))</f>
        <v>0</v>
      </c>
      <c r="T487" s="81">
        <f ca="1">T469*(1+INDEX(T$310:T$312,MATCH(Work_Codes!$I$144,$D$310:$D$312,0)))</f>
        <v>0</v>
      </c>
    </row>
    <row r="488" spans="5:20" ht="12" customHeight="1" outlineLevel="2">
      <c r="E488" s="247" t="str">
        <f>GC!C67</f>
        <v>SCADA</v>
      </c>
      <c r="F488" s="247"/>
      <c r="G488" s="247"/>
      <c r="H488" s="247"/>
      <c r="I488" s="247"/>
      <c r="J488" s="81">
        <f ca="1">J470*(1+INDEX(J$310:J$312,MATCH(Work_Codes!$I$144,$D$310:$D$312,0)))</f>
        <v>0</v>
      </c>
      <c r="K488" s="81">
        <f ca="1">K470*(1+INDEX(K$310:K$312,MATCH(Work_Codes!$I$144,$D$310:$D$312,0)))</f>
        <v>0</v>
      </c>
      <c r="L488" s="81">
        <f ca="1">L470*(1+INDEX(L$310:L$312,MATCH(Work_Codes!$I$144,$D$310:$D$312,0)))</f>
        <v>0</v>
      </c>
      <c r="M488" s="81">
        <f ca="1">M470*(1+INDEX(M$310:M$312,MATCH(Work_Codes!$I$144,$D$310:$D$312,0)))</f>
        <v>0</v>
      </c>
      <c r="N488" s="81">
        <f ca="1">N470*(1+INDEX(N$310:N$312,MATCH(Work_Codes!$I$144,$D$310:$D$312,0)))</f>
        <v>0</v>
      </c>
      <c r="O488" s="81">
        <f ca="1">O470*(1+INDEX(O$310:O$312,MATCH(Work_Codes!$I$144,$D$310:$D$312,0)))</f>
        <v>0</v>
      </c>
      <c r="P488" s="81">
        <f ca="1">P470*(1+INDEX(P$310:P$312,MATCH(Work_Codes!$I$144,$D$310:$D$312,0)))</f>
        <v>0</v>
      </c>
      <c r="Q488" s="81">
        <f ca="1">Q470*(1+INDEX(Q$310:Q$312,MATCH(Work_Codes!$I$144,$D$310:$D$312,0)))</f>
        <v>0</v>
      </c>
      <c r="R488" s="81">
        <f ca="1">R470*(1+INDEX(R$310:R$312,MATCH(Work_Codes!$I$144,$D$310:$D$312,0)))</f>
        <v>0</v>
      </c>
      <c r="S488" s="81">
        <f ca="1">S470*(1+INDEX(S$310:S$312,MATCH(Work_Codes!$I$144,$D$310:$D$312,0)))</f>
        <v>0</v>
      </c>
      <c r="T488" s="81">
        <f ca="1">T470*(1+INDEX(T$310:T$312,MATCH(Work_Codes!$I$144,$D$310:$D$312,0)))</f>
        <v>0</v>
      </c>
    </row>
    <row r="489" spans="5:20" ht="12" customHeight="1" outlineLevel="2">
      <c r="E489" s="247" t="str">
        <f>GC!C68</f>
        <v>Other</v>
      </c>
      <c r="F489" s="247"/>
      <c r="G489" s="247"/>
      <c r="H489" s="247"/>
      <c r="I489" s="247"/>
      <c r="J489" s="81">
        <f ca="1">J471*(1+INDEX(J$310:J$312,MATCH(Work_Codes!$I$144,$D$310:$D$312,0)))</f>
        <v>0</v>
      </c>
      <c r="K489" s="81">
        <f ca="1">K471*(1+INDEX(K$310:K$312,MATCH(Work_Codes!$I$144,$D$310:$D$312,0)))</f>
        <v>0</v>
      </c>
      <c r="L489" s="81">
        <f ca="1">L471*(1+INDEX(L$310:L$312,MATCH(Work_Codes!$I$144,$D$310:$D$312,0)))</f>
        <v>0</v>
      </c>
      <c r="M489" s="81">
        <f ca="1">M471*(1+INDEX(M$310:M$312,MATCH(Work_Codes!$I$144,$D$310:$D$312,0)))</f>
        <v>0</v>
      </c>
      <c r="N489" s="81">
        <f ca="1">N471*(1+INDEX(N$310:N$312,MATCH(Work_Codes!$I$144,$D$310:$D$312,0)))</f>
        <v>0</v>
      </c>
      <c r="O489" s="81">
        <f ca="1">O471*(1+INDEX(O$310:O$312,MATCH(Work_Codes!$I$144,$D$310:$D$312,0)))</f>
        <v>0</v>
      </c>
      <c r="P489" s="81">
        <f ca="1">P471*(1+INDEX(P$310:P$312,MATCH(Work_Codes!$I$144,$D$310:$D$312,0)))</f>
        <v>0</v>
      </c>
      <c r="Q489" s="81">
        <f ca="1">Q471*(1+INDEX(Q$310:Q$312,MATCH(Work_Codes!$I$144,$D$310:$D$312,0)))</f>
        <v>0</v>
      </c>
      <c r="R489" s="81">
        <f ca="1">R471*(1+INDEX(R$310:R$312,MATCH(Work_Codes!$I$144,$D$310:$D$312,0)))</f>
        <v>0</v>
      </c>
      <c r="S489" s="81">
        <f ca="1">S471*(1+INDEX(S$310:S$312,MATCH(Work_Codes!$I$144,$D$310:$D$312,0)))</f>
        <v>0</v>
      </c>
      <c r="T489" s="81">
        <f ca="1">T471*(1+INDEX(T$310:T$312,MATCH(Work_Codes!$I$144,$D$310:$D$312,0)))</f>
        <v>0</v>
      </c>
    </row>
    <row r="490" spans="5:20" outlineLevel="2">
      <c r="E490" s="247" t="str">
        <f>GC!C69</f>
        <v>Capitalised Leases</v>
      </c>
      <c r="F490" s="247"/>
      <c r="G490" s="247"/>
      <c r="H490" s="247"/>
      <c r="I490" s="247"/>
      <c r="J490" s="81">
        <f ca="1">J472*(1+INDEX(J$310:J$312,MATCH(Work_Codes!$I$144,$D$310:$D$312,0)))</f>
        <v>0</v>
      </c>
      <c r="K490" s="81">
        <f ca="1">K472*(1+INDEX(K$310:K$312,MATCH(Work_Codes!$I$144,$D$310:$D$312,0)))</f>
        <v>0</v>
      </c>
      <c r="L490" s="81">
        <f ca="1">L472*(1+INDEX(L$310:L$312,MATCH(Work_Codes!$I$144,$D$310:$D$312,0)))</f>
        <v>0</v>
      </c>
      <c r="M490" s="81">
        <f ca="1">M472*(1+INDEX(M$310:M$312,MATCH(Work_Codes!$I$144,$D$310:$D$312,0)))</f>
        <v>0</v>
      </c>
      <c r="N490" s="81">
        <f ca="1">N472*(1+INDEX(N$310:N$312,MATCH(Work_Codes!$I$144,$D$310:$D$312,0)))</f>
        <v>0</v>
      </c>
      <c r="O490" s="81">
        <f ca="1">O472*(1+INDEX(O$310:O$312,MATCH(Work_Codes!$I$144,$D$310:$D$312,0)))</f>
        <v>0</v>
      </c>
      <c r="P490" s="81">
        <f ca="1">P472*(1+INDEX(P$310:P$312,MATCH(Work_Codes!$I$144,$D$310:$D$312,0)))</f>
        <v>0</v>
      </c>
      <c r="Q490" s="81">
        <f ca="1">Q472*(1+INDEX(Q$310:Q$312,MATCH(Work_Codes!$I$144,$D$310:$D$312,0)))</f>
        <v>0</v>
      </c>
      <c r="R490" s="81">
        <f ca="1">R472*(1+INDEX(R$310:R$312,MATCH(Work_Codes!$I$144,$D$310:$D$312,0)))</f>
        <v>0</v>
      </c>
      <c r="S490" s="81">
        <f ca="1">S472*(1+INDEX(S$310:S$312,MATCH(Work_Codes!$I$144,$D$310:$D$312,0)))</f>
        <v>0</v>
      </c>
      <c r="T490" s="81">
        <f ca="1">T472*(1+INDEX(T$310:T$312,MATCH(Work_Codes!$I$144,$D$310:$D$312,0)))</f>
        <v>0</v>
      </c>
    </row>
    <row r="491" spans="5:20" ht="12" customHeight="1" outlineLevel="2">
      <c r="E491" s="247" t="str">
        <f>GC!C70</f>
        <v>Gas Extensions - Energy for the Regions</v>
      </c>
      <c r="F491" s="247"/>
      <c r="G491" s="247"/>
      <c r="H491" s="247"/>
      <c r="I491" s="247"/>
      <c r="J491" s="81">
        <f ca="1">J473*(1+INDEX(J$310:J$312,MATCH(Work_Codes!$I$144,$D$310:$D$312,0)))</f>
        <v>0</v>
      </c>
      <c r="K491" s="81">
        <f ca="1">K473*(1+INDEX(K$310:K$312,MATCH(Work_Codes!$I$144,$D$310:$D$312,0)))</f>
        <v>0</v>
      </c>
      <c r="L491" s="81">
        <f ca="1">L473*(1+INDEX(L$310:L$312,MATCH(Work_Codes!$I$144,$D$310:$D$312,0)))</f>
        <v>0</v>
      </c>
      <c r="M491" s="81">
        <f ca="1">M473*(1+INDEX(M$310:M$312,MATCH(Work_Codes!$I$144,$D$310:$D$312,0)))</f>
        <v>0</v>
      </c>
      <c r="N491" s="81">
        <f ca="1">N473*(1+INDEX(N$310:N$312,MATCH(Work_Codes!$I$144,$D$310:$D$312,0)))</f>
        <v>0</v>
      </c>
      <c r="O491" s="81">
        <f ca="1">O473*(1+INDEX(O$310:O$312,MATCH(Work_Codes!$I$144,$D$310:$D$312,0)))</f>
        <v>0</v>
      </c>
      <c r="P491" s="81">
        <f ca="1">P473*(1+INDEX(P$310:P$312,MATCH(Work_Codes!$I$144,$D$310:$D$312,0)))</f>
        <v>0</v>
      </c>
      <c r="Q491" s="81">
        <f ca="1">Q473*(1+INDEX(Q$310:Q$312,MATCH(Work_Codes!$I$144,$D$310:$D$312,0)))</f>
        <v>0</v>
      </c>
      <c r="R491" s="81">
        <f ca="1">R473*(1+INDEX(R$310:R$312,MATCH(Work_Codes!$I$144,$D$310:$D$312,0)))</f>
        <v>0</v>
      </c>
      <c r="S491" s="81">
        <f ca="1">S473*(1+INDEX(S$310:S$312,MATCH(Work_Codes!$I$144,$D$310:$D$312,0)))</f>
        <v>0</v>
      </c>
      <c r="T491" s="81">
        <f ca="1">T473*(1+INDEX(T$310:T$312,MATCH(Work_Codes!$I$144,$D$310:$D$312,0)))</f>
        <v>0</v>
      </c>
    </row>
    <row r="492" spans="5:20" ht="12" customHeight="1" outlineLevel="2">
      <c r="E492" s="247" t="str">
        <f>GC!C71</f>
        <v>Gas Extensions - Other</v>
      </c>
      <c r="F492" s="247"/>
      <c r="G492" s="247"/>
      <c r="H492" s="247"/>
      <c r="I492" s="247"/>
      <c r="J492" s="81">
        <f ca="1">J474*(1+INDEX(J$310:J$312,MATCH(Work_Codes!$I$144,$D$310:$D$312,0)))</f>
        <v>0</v>
      </c>
      <c r="K492" s="81">
        <f ca="1">K474*(1+INDEX(K$310:K$312,MATCH(Work_Codes!$I$144,$D$310:$D$312,0)))</f>
        <v>0</v>
      </c>
      <c r="L492" s="81">
        <f ca="1">L474*(1+INDEX(L$310:L$312,MATCH(Work_Codes!$I$144,$D$310:$D$312,0)))</f>
        <v>0</v>
      </c>
      <c r="M492" s="81">
        <f ca="1">M474*(1+INDEX(M$310:M$312,MATCH(Work_Codes!$I$144,$D$310:$D$312,0)))</f>
        <v>0</v>
      </c>
      <c r="N492" s="81">
        <f ca="1">N474*(1+INDEX(N$310:N$312,MATCH(Work_Codes!$I$144,$D$310:$D$312,0)))</f>
        <v>0</v>
      </c>
      <c r="O492" s="81">
        <f ca="1">O474*(1+INDEX(O$310:O$312,MATCH(Work_Codes!$I$144,$D$310:$D$312,0)))</f>
        <v>0</v>
      </c>
      <c r="P492" s="81">
        <f ca="1">P474*(1+INDEX(P$310:P$312,MATCH(Work_Codes!$I$144,$D$310:$D$312,0)))</f>
        <v>0</v>
      </c>
      <c r="Q492" s="81">
        <f ca="1">Q474*(1+INDEX(Q$310:Q$312,MATCH(Work_Codes!$I$144,$D$310:$D$312,0)))</f>
        <v>0</v>
      </c>
      <c r="R492" s="81">
        <f ca="1">R474*(1+INDEX(R$310:R$312,MATCH(Work_Codes!$I$144,$D$310:$D$312,0)))</f>
        <v>0</v>
      </c>
      <c r="S492" s="81">
        <f ca="1">S474*(1+INDEX(S$310:S$312,MATCH(Work_Codes!$I$144,$D$310:$D$312,0)))</f>
        <v>0</v>
      </c>
      <c r="T492" s="81">
        <f ca="1">T474*(1+INDEX(T$310:T$312,MATCH(Work_Codes!$I$144,$D$310:$D$312,0)))</f>
        <v>0</v>
      </c>
    </row>
    <row r="493" spans="5:20" ht="12" customHeight="1" outlineLevel="2">
      <c r="E493" s="247" t="str">
        <f>GC!C72</f>
        <v>Customer contributions</v>
      </c>
      <c r="F493" s="247"/>
      <c r="G493" s="247"/>
      <c r="H493" s="247"/>
      <c r="I493" s="247"/>
      <c r="J493" s="81">
        <f ca="1">J475*(1+INDEX(J$310:J$312,MATCH(Work_Codes!$I$144,$D$310:$D$312,0)))</f>
        <v>0</v>
      </c>
      <c r="K493" s="81">
        <f ca="1">K475*(1+INDEX(K$310:K$312,MATCH(Work_Codes!$I$144,$D$310:$D$312,0)))</f>
        <v>0</v>
      </c>
      <c r="L493" s="81">
        <f ca="1">L475*(1+INDEX(L$310:L$312,MATCH(Work_Codes!$I$144,$D$310:$D$312,0)))</f>
        <v>0</v>
      </c>
      <c r="M493" s="81">
        <f ca="1">M475*(1+INDEX(M$310:M$312,MATCH(Work_Codes!$I$144,$D$310:$D$312,0)))</f>
        <v>0</v>
      </c>
      <c r="N493" s="81">
        <f ca="1">N475*(1+INDEX(N$310:N$312,MATCH(Work_Codes!$I$144,$D$310:$D$312,0)))</f>
        <v>0</v>
      </c>
      <c r="O493" s="81">
        <f ca="1">O475*(1+INDEX(O$310:O$312,MATCH(Work_Codes!$I$144,$D$310:$D$312,0)))</f>
        <v>0</v>
      </c>
      <c r="P493" s="81">
        <f ca="1">P475*(1+INDEX(P$310:P$312,MATCH(Work_Codes!$I$144,$D$310:$D$312,0)))</f>
        <v>0</v>
      </c>
      <c r="Q493" s="81">
        <f ca="1">Q475*(1+INDEX(Q$310:Q$312,MATCH(Work_Codes!$I$144,$D$310:$D$312,0)))</f>
        <v>0</v>
      </c>
      <c r="R493" s="81">
        <f ca="1">R475*(1+INDEX(R$310:R$312,MATCH(Work_Codes!$I$144,$D$310:$D$312,0)))</f>
        <v>0</v>
      </c>
      <c r="S493" s="81">
        <f ca="1">S475*(1+INDEX(S$310:S$312,MATCH(Work_Codes!$I$144,$D$310:$D$312,0)))</f>
        <v>0</v>
      </c>
      <c r="T493" s="81">
        <f ca="1">T475*(1+INDEX(T$310:T$312,MATCH(Work_Codes!$I$144,$D$310:$D$312,0)))</f>
        <v>0</v>
      </c>
    </row>
    <row r="494" spans="5:20" ht="12" customHeight="1" outlineLevel="2">
      <c r="E494" s="247" t="str">
        <f>GC!C73</f>
        <v>Government contributions</v>
      </c>
      <c r="F494" s="247"/>
      <c r="G494" s="247"/>
      <c r="H494" s="247"/>
      <c r="I494" s="247"/>
      <c r="J494" s="81">
        <f ca="1">J476*(1+INDEX(J$310:J$312,MATCH(Work_Codes!$I$144,$D$310:$D$312,0)))</f>
        <v>0</v>
      </c>
      <c r="K494" s="81">
        <f ca="1">K476*(1+INDEX(K$310:K$312,MATCH(Work_Codes!$I$144,$D$310:$D$312,0)))</f>
        <v>0</v>
      </c>
      <c r="L494" s="81">
        <f ca="1">L476*(1+INDEX(L$310:L$312,MATCH(Work_Codes!$I$144,$D$310:$D$312,0)))</f>
        <v>0</v>
      </c>
      <c r="M494" s="81">
        <f ca="1">M476*(1+INDEX(M$310:M$312,MATCH(Work_Codes!$I$144,$D$310:$D$312,0)))</f>
        <v>0</v>
      </c>
      <c r="N494" s="81">
        <f ca="1">N476*(1+INDEX(N$310:N$312,MATCH(Work_Codes!$I$144,$D$310:$D$312,0)))</f>
        <v>0</v>
      </c>
      <c r="O494" s="81">
        <f ca="1">O476*(1+INDEX(O$310:O$312,MATCH(Work_Codes!$I$144,$D$310:$D$312,0)))</f>
        <v>0</v>
      </c>
      <c r="P494" s="81">
        <f ca="1">P476*(1+INDEX(P$310:P$312,MATCH(Work_Codes!$I$144,$D$310:$D$312,0)))</f>
        <v>0</v>
      </c>
      <c r="Q494" s="81">
        <f ca="1">Q476*(1+INDEX(Q$310:Q$312,MATCH(Work_Codes!$I$144,$D$310:$D$312,0)))</f>
        <v>0</v>
      </c>
      <c r="R494" s="81">
        <f ca="1">R476*(1+INDEX(R$310:R$312,MATCH(Work_Codes!$I$144,$D$310:$D$312,0)))</f>
        <v>0</v>
      </c>
      <c r="S494" s="81">
        <f ca="1">S476*(1+INDEX(S$310:S$312,MATCH(Work_Codes!$I$144,$D$310:$D$312,0)))</f>
        <v>0</v>
      </c>
      <c r="T494" s="81">
        <f ca="1">T476*(1+INDEX(T$310:T$312,MATCH(Work_Codes!$I$144,$D$310:$D$312,0)))</f>
        <v>0</v>
      </c>
    </row>
    <row r="495" spans="5:20" ht="12" customHeight="1" outlineLevel="2">
      <c r="E495" s="249" t="str">
        <f>"Total "&amp;D479</f>
        <v>Total Direct Costs + Overheads</v>
      </c>
      <c r="F495" s="249"/>
      <c r="G495" s="249"/>
      <c r="H495" s="249"/>
      <c r="I495" s="249"/>
      <c r="J495" s="82">
        <f t="shared" ref="J495:T495" ca="1" si="48">SUM(J481:J494)</f>
        <v>0</v>
      </c>
      <c r="K495" s="82">
        <f t="shared" ca="1" si="48"/>
        <v>0</v>
      </c>
      <c r="L495" s="82">
        <f t="shared" ca="1" si="48"/>
        <v>0</v>
      </c>
      <c r="M495" s="82">
        <f t="shared" ca="1" si="48"/>
        <v>0</v>
      </c>
      <c r="N495" s="82">
        <f t="shared" ca="1" si="48"/>
        <v>794665.6364590216</v>
      </c>
      <c r="O495" s="82">
        <f t="shared" ca="1" si="48"/>
        <v>391593.63876200037</v>
      </c>
      <c r="P495" s="82">
        <f t="shared" ca="1" si="48"/>
        <v>778275.98730081774</v>
      </c>
      <c r="Q495" s="82">
        <f t="shared" ca="1" si="48"/>
        <v>777812.65563827974</v>
      </c>
      <c r="R495" s="82">
        <f t="shared" ca="1" si="48"/>
        <v>778515.74423907802</v>
      </c>
      <c r="S495" s="82">
        <f t="shared" ca="1" si="48"/>
        <v>779872.57994601596</v>
      </c>
      <c r="T495" s="82">
        <f t="shared" ca="1" si="48"/>
        <v>781003.96084637765</v>
      </c>
    </row>
    <row r="496" spans="5:20" outlineLevel="2"/>
    <row r="497" spans="4:20" outlineLevel="2">
      <c r="D497" s="37" t="s">
        <v>367</v>
      </c>
    </row>
    <row r="498" spans="4:20" ht="5.75" customHeight="1" outlineLevel="2"/>
    <row r="499" spans="4:20" outlineLevel="2">
      <c r="E499" s="247" t="str">
        <f>GC!C60</f>
        <v>Mains replacement</v>
      </c>
      <c r="F499" s="247"/>
      <c r="G499" s="247"/>
      <c r="H499" s="247"/>
      <c r="I499" s="247"/>
      <c r="J499" s="81">
        <f ca="1">SUMPRODUCT((Work_Codes!$AC$147:$AO$147=$E499)*(Work_Codes!$AC$155:$AO$155)*(J$340:J$340))</f>
        <v>0</v>
      </c>
      <c r="K499" s="81">
        <f ca="1">SUMPRODUCT((Work_Codes!$AC$147:$AO$147=$E499)*(Work_Codes!$AC$155:$AO$155)*(K$340:K$340))</f>
        <v>0</v>
      </c>
      <c r="L499" s="81">
        <f ca="1">SUMPRODUCT((Work_Codes!$AC$147:$AO$147=$E499)*(Work_Codes!$AC$155:$AO$155)*(L$340:L$340))</f>
        <v>0</v>
      </c>
      <c r="M499" s="81">
        <f ca="1">SUMPRODUCT((Work_Codes!$AC$147:$AO$147=$E499)*(Work_Codes!$AC$155:$AO$155)*(M$340:M$340))</f>
        <v>0</v>
      </c>
      <c r="N499" s="81">
        <f ca="1">SUMPRODUCT((Work_Codes!$AC$147:$AO$147=$E499)*(Work_Codes!$AC$155:$AO$155)*(N$340:N$340))</f>
        <v>0</v>
      </c>
      <c r="O499" s="81">
        <f ca="1">SUMPRODUCT((Work_Codes!$AC$147:$AO$147=$E499)*(Work_Codes!$AC$155:$AO$155)*(O$340:O$340))</f>
        <v>0</v>
      </c>
      <c r="P499" s="81">
        <f ca="1">SUMPRODUCT((Work_Codes!$AC$147:$AO$147=$E499)*(Work_Codes!$AC$155:$AO$155)*(P$340:P$340))</f>
        <v>0</v>
      </c>
      <c r="Q499" s="81">
        <f ca="1">SUMPRODUCT((Work_Codes!$AC$147:$AO$147=$E499)*(Work_Codes!$AC$155:$AO$155)*(Q$340:Q$340))</f>
        <v>0</v>
      </c>
      <c r="R499" s="81">
        <f ca="1">SUMPRODUCT((Work_Codes!$AC$147:$AO$147=$E499)*(Work_Codes!$AC$155:$AO$155)*(R$340:R$340))</f>
        <v>0</v>
      </c>
      <c r="S499" s="81">
        <f ca="1">SUMPRODUCT((Work_Codes!$AC$147:$AO$147=$E499)*(Work_Codes!$AC$155:$AO$155)*(S$340:S$340))</f>
        <v>0</v>
      </c>
      <c r="T499" s="81">
        <f ca="1">SUMPRODUCT((Work_Codes!$AC$147:$AO$147=$E499)*(Work_Codes!$AC$155:$AO$155)*(T$340:T$340))</f>
        <v>0</v>
      </c>
    </row>
    <row r="500" spans="4:20" outlineLevel="2">
      <c r="E500" s="247" t="str">
        <f>GC!C61</f>
        <v>Residential new customer connections</v>
      </c>
      <c r="F500" s="247"/>
      <c r="G500" s="247"/>
      <c r="H500" s="247"/>
      <c r="I500" s="247"/>
      <c r="J500" s="81">
        <f ca="1">SUMPRODUCT((Work_Codes!$AC$147:$AO$147=$E500)*(Work_Codes!$AC$155:$AO$155)*(J$340:J$340))</f>
        <v>0</v>
      </c>
      <c r="K500" s="81">
        <f ca="1">SUMPRODUCT((Work_Codes!$AC$147:$AO$147=$E500)*(Work_Codes!$AC$155:$AO$155)*(K$340:K$340))</f>
        <v>0</v>
      </c>
      <c r="L500" s="81">
        <f ca="1">SUMPRODUCT((Work_Codes!$AC$147:$AO$147=$E500)*(Work_Codes!$AC$155:$AO$155)*(L$340:L$340))</f>
        <v>0</v>
      </c>
      <c r="M500" s="81">
        <f ca="1">SUMPRODUCT((Work_Codes!$AC$147:$AO$147=$E500)*(Work_Codes!$AC$155:$AO$155)*(M$340:M$340))</f>
        <v>0</v>
      </c>
      <c r="N500" s="81">
        <f ca="1">SUMPRODUCT((Work_Codes!$AC$147:$AO$147=$E500)*(Work_Codes!$AC$155:$AO$155)*(N$340:N$340))</f>
        <v>0</v>
      </c>
      <c r="O500" s="81">
        <f ca="1">SUMPRODUCT((Work_Codes!$AC$147:$AO$147=$E500)*(Work_Codes!$AC$155:$AO$155)*(O$340:O$340))</f>
        <v>0</v>
      </c>
      <c r="P500" s="81">
        <f ca="1">SUMPRODUCT((Work_Codes!$AC$147:$AO$147=$E500)*(Work_Codes!$AC$155:$AO$155)*(P$340:P$340))</f>
        <v>0</v>
      </c>
      <c r="Q500" s="81">
        <f ca="1">SUMPRODUCT((Work_Codes!$AC$147:$AO$147=$E500)*(Work_Codes!$AC$155:$AO$155)*(Q$340:Q$340))</f>
        <v>0</v>
      </c>
      <c r="R500" s="81">
        <f ca="1">SUMPRODUCT((Work_Codes!$AC$147:$AO$147=$E500)*(Work_Codes!$AC$155:$AO$155)*(R$340:R$340))</f>
        <v>0</v>
      </c>
      <c r="S500" s="81">
        <f ca="1">SUMPRODUCT((Work_Codes!$AC$147:$AO$147=$E500)*(Work_Codes!$AC$155:$AO$155)*(S$340:S$340))</f>
        <v>0</v>
      </c>
      <c r="T500" s="81">
        <f ca="1">SUMPRODUCT((Work_Codes!$AC$147:$AO$147=$E500)*(Work_Codes!$AC$155:$AO$155)*(T$340:T$340))</f>
        <v>0</v>
      </c>
    </row>
    <row r="501" spans="4:20" outlineLevel="2">
      <c r="E501" s="247" t="str">
        <f>GC!C62</f>
        <v>Commercial and industrial new customer connections</v>
      </c>
      <c r="F501" s="247"/>
      <c r="G501" s="247"/>
      <c r="H501" s="247"/>
      <c r="I501" s="247"/>
      <c r="J501" s="81">
        <f ca="1">SUMPRODUCT((Work_Codes!$AC$147:$AO$147=$E501)*(Work_Codes!$AC$155:$AO$155)*(J$340:J$340))</f>
        <v>0</v>
      </c>
      <c r="K501" s="81">
        <f ca="1">SUMPRODUCT((Work_Codes!$AC$147:$AO$147=$E501)*(Work_Codes!$AC$155:$AO$155)*(K$340:K$340))</f>
        <v>0</v>
      </c>
      <c r="L501" s="81">
        <f ca="1">SUMPRODUCT((Work_Codes!$AC$147:$AO$147=$E501)*(Work_Codes!$AC$155:$AO$155)*(L$340:L$340))</f>
        <v>0</v>
      </c>
      <c r="M501" s="81">
        <f ca="1">SUMPRODUCT((Work_Codes!$AC$147:$AO$147=$E501)*(Work_Codes!$AC$155:$AO$155)*(M$340:M$340))</f>
        <v>0</v>
      </c>
      <c r="N501" s="81">
        <f ca="1">SUMPRODUCT((Work_Codes!$AC$147:$AO$147=$E501)*(Work_Codes!$AC$155:$AO$155)*(N$340:N$340))</f>
        <v>0</v>
      </c>
      <c r="O501" s="81">
        <f ca="1">SUMPRODUCT((Work_Codes!$AC$147:$AO$147=$E501)*(Work_Codes!$AC$155:$AO$155)*(O$340:O$340))</f>
        <v>0</v>
      </c>
      <c r="P501" s="81">
        <f ca="1">SUMPRODUCT((Work_Codes!$AC$147:$AO$147=$E501)*(Work_Codes!$AC$155:$AO$155)*(P$340:P$340))</f>
        <v>0</v>
      </c>
      <c r="Q501" s="81">
        <f ca="1">SUMPRODUCT((Work_Codes!$AC$147:$AO$147=$E501)*(Work_Codes!$AC$155:$AO$155)*(Q$340:Q$340))</f>
        <v>0</v>
      </c>
      <c r="R501" s="81">
        <f ca="1">SUMPRODUCT((Work_Codes!$AC$147:$AO$147=$E501)*(Work_Codes!$AC$155:$AO$155)*(R$340:R$340))</f>
        <v>0</v>
      </c>
      <c r="S501" s="81">
        <f ca="1">SUMPRODUCT((Work_Codes!$AC$147:$AO$147=$E501)*(Work_Codes!$AC$155:$AO$155)*(S$340:S$340))</f>
        <v>0</v>
      </c>
      <c r="T501" s="81">
        <f ca="1">SUMPRODUCT((Work_Codes!$AC$147:$AO$147=$E501)*(Work_Codes!$AC$155:$AO$155)*(T$340:T$340))</f>
        <v>0</v>
      </c>
    </row>
    <row r="502" spans="4:20" outlineLevel="2">
      <c r="E502" s="247" t="str">
        <f>GC!C63</f>
        <v>Residential meter replacement</v>
      </c>
      <c r="F502" s="247"/>
      <c r="G502" s="247"/>
      <c r="H502" s="247"/>
      <c r="I502" s="247"/>
      <c r="J502" s="81">
        <f ca="1">SUMPRODUCT((Work_Codes!$AC$147:$AO$147=$E502)*(Work_Codes!$AC$155:$AO$155)*(J$340:J$340))</f>
        <v>0</v>
      </c>
      <c r="K502" s="81">
        <f ca="1">SUMPRODUCT((Work_Codes!$AC$147:$AO$147=$E502)*(Work_Codes!$AC$155:$AO$155)*(K$340:K$340))</f>
        <v>0</v>
      </c>
      <c r="L502" s="81">
        <f ca="1">SUMPRODUCT((Work_Codes!$AC$147:$AO$147=$E502)*(Work_Codes!$AC$155:$AO$155)*(L$340:L$340))</f>
        <v>0</v>
      </c>
      <c r="M502" s="81">
        <f ca="1">SUMPRODUCT((Work_Codes!$AC$147:$AO$147=$E502)*(Work_Codes!$AC$155:$AO$155)*(M$340:M$340))</f>
        <v>0</v>
      </c>
      <c r="N502" s="81">
        <f ca="1">SUMPRODUCT((Work_Codes!$AC$147:$AO$147=$E502)*(Work_Codes!$AC$155:$AO$155)*(N$340:N$340))</f>
        <v>0</v>
      </c>
      <c r="O502" s="81">
        <f ca="1">SUMPRODUCT((Work_Codes!$AC$147:$AO$147=$E502)*(Work_Codes!$AC$155:$AO$155)*(O$340:O$340))</f>
        <v>0</v>
      </c>
      <c r="P502" s="81">
        <f ca="1">SUMPRODUCT((Work_Codes!$AC$147:$AO$147=$E502)*(Work_Codes!$AC$155:$AO$155)*(P$340:P$340))</f>
        <v>0</v>
      </c>
      <c r="Q502" s="81">
        <f ca="1">SUMPRODUCT((Work_Codes!$AC$147:$AO$147=$E502)*(Work_Codes!$AC$155:$AO$155)*(Q$340:Q$340))</f>
        <v>0</v>
      </c>
      <c r="R502" s="81">
        <f ca="1">SUMPRODUCT((Work_Codes!$AC$147:$AO$147=$E502)*(Work_Codes!$AC$155:$AO$155)*(R$340:R$340))</f>
        <v>0</v>
      </c>
      <c r="S502" s="81">
        <f ca="1">SUMPRODUCT((Work_Codes!$AC$147:$AO$147=$E502)*(Work_Codes!$AC$155:$AO$155)*(S$340:S$340))</f>
        <v>0</v>
      </c>
      <c r="T502" s="81">
        <f ca="1">SUMPRODUCT((Work_Codes!$AC$147:$AO$147=$E502)*(Work_Codes!$AC$155:$AO$155)*(T$340:T$340))</f>
        <v>0</v>
      </c>
    </row>
    <row r="503" spans="4:20" outlineLevel="2">
      <c r="E503" s="247" t="str">
        <f>GC!C64</f>
        <v>Commercial and industrial meter replacement</v>
      </c>
      <c r="F503" s="247"/>
      <c r="G503" s="247"/>
      <c r="H503" s="247"/>
      <c r="I503" s="247"/>
      <c r="J503" s="81">
        <f ca="1">SUMPRODUCT((Work_Codes!$AC$147:$AO$147=$E503)*(Work_Codes!$AC$155:$AO$155)*(J$340:J$340))</f>
        <v>0</v>
      </c>
      <c r="K503" s="81">
        <f ca="1">SUMPRODUCT((Work_Codes!$AC$147:$AO$147=$E503)*(Work_Codes!$AC$155:$AO$155)*(K$340:K$340))</f>
        <v>0</v>
      </c>
      <c r="L503" s="81">
        <f ca="1">SUMPRODUCT((Work_Codes!$AC$147:$AO$147=$E503)*(Work_Codes!$AC$155:$AO$155)*(L$340:L$340))</f>
        <v>0</v>
      </c>
      <c r="M503" s="81">
        <f ca="1">SUMPRODUCT((Work_Codes!$AC$147:$AO$147=$E503)*(Work_Codes!$AC$155:$AO$155)*(M$340:M$340))</f>
        <v>0</v>
      </c>
      <c r="N503" s="81">
        <f ca="1">SUMPRODUCT((Work_Codes!$AC$147:$AO$147=$E503)*(Work_Codes!$AC$155:$AO$155)*(N$340:N$340))</f>
        <v>0</v>
      </c>
      <c r="O503" s="81">
        <f ca="1">SUMPRODUCT((Work_Codes!$AC$147:$AO$147=$E503)*(Work_Codes!$AC$155:$AO$155)*(O$340:O$340))</f>
        <v>0</v>
      </c>
      <c r="P503" s="81">
        <f ca="1">SUMPRODUCT((Work_Codes!$AC$147:$AO$147=$E503)*(Work_Codes!$AC$155:$AO$155)*(P$340:P$340))</f>
        <v>0</v>
      </c>
      <c r="Q503" s="81">
        <f ca="1">SUMPRODUCT((Work_Codes!$AC$147:$AO$147=$E503)*(Work_Codes!$AC$155:$AO$155)*(Q$340:Q$340))</f>
        <v>0</v>
      </c>
      <c r="R503" s="81">
        <f ca="1">SUMPRODUCT((Work_Codes!$AC$147:$AO$147=$E503)*(Work_Codes!$AC$155:$AO$155)*(R$340:R$340))</f>
        <v>0</v>
      </c>
      <c r="S503" s="81">
        <f ca="1">SUMPRODUCT((Work_Codes!$AC$147:$AO$147=$E503)*(Work_Codes!$AC$155:$AO$155)*(S$340:S$340))</f>
        <v>0</v>
      </c>
      <c r="T503" s="81">
        <f ca="1">SUMPRODUCT((Work_Codes!$AC$147:$AO$147=$E503)*(Work_Codes!$AC$155:$AO$155)*(T$340:T$340))</f>
        <v>0</v>
      </c>
    </row>
    <row r="504" spans="4:20" outlineLevel="2">
      <c r="E504" s="247" t="str">
        <f>GC!C65</f>
        <v>Augmentation</v>
      </c>
      <c r="F504" s="247"/>
      <c r="G504" s="247"/>
      <c r="H504" s="247"/>
      <c r="I504" s="247"/>
      <c r="J504" s="81">
        <f ca="1">SUMPRODUCT((Work_Codes!$AC$147:$AO$147=$E504)*(Work_Codes!$AC$155:$AO$155)*(J$340:J$340))</f>
        <v>0</v>
      </c>
      <c r="K504" s="81">
        <f ca="1">SUMPRODUCT((Work_Codes!$AC$147:$AO$147=$E504)*(Work_Codes!$AC$155:$AO$155)*(K$340:K$340))</f>
        <v>0</v>
      </c>
      <c r="L504" s="81">
        <f ca="1">SUMPRODUCT((Work_Codes!$AC$147:$AO$147=$E504)*(Work_Codes!$AC$155:$AO$155)*(L$340:L$340))</f>
        <v>0</v>
      </c>
      <c r="M504" s="81">
        <f ca="1">SUMPRODUCT((Work_Codes!$AC$147:$AO$147=$E504)*(Work_Codes!$AC$155:$AO$155)*(M$340:M$340))</f>
        <v>0</v>
      </c>
      <c r="N504" s="81">
        <f ca="1">SUMPRODUCT((Work_Codes!$AC$147:$AO$147=$E504)*(Work_Codes!$AC$155:$AO$155)*(N$340:N$340))</f>
        <v>0</v>
      </c>
      <c r="O504" s="81">
        <f ca="1">SUMPRODUCT((Work_Codes!$AC$147:$AO$147=$E504)*(Work_Codes!$AC$155:$AO$155)*(O$340:O$340))</f>
        <v>0</v>
      </c>
      <c r="P504" s="81">
        <f ca="1">SUMPRODUCT((Work_Codes!$AC$147:$AO$147=$E504)*(Work_Codes!$AC$155:$AO$155)*(P$340:P$340))</f>
        <v>0</v>
      </c>
      <c r="Q504" s="81">
        <f ca="1">SUMPRODUCT((Work_Codes!$AC$147:$AO$147=$E504)*(Work_Codes!$AC$155:$AO$155)*(Q$340:Q$340))</f>
        <v>0</v>
      </c>
      <c r="R504" s="81">
        <f ca="1">SUMPRODUCT((Work_Codes!$AC$147:$AO$147=$E504)*(Work_Codes!$AC$155:$AO$155)*(R$340:R$340))</f>
        <v>0</v>
      </c>
      <c r="S504" s="81">
        <f ca="1">SUMPRODUCT((Work_Codes!$AC$147:$AO$147=$E504)*(Work_Codes!$AC$155:$AO$155)*(S$340:S$340))</f>
        <v>0</v>
      </c>
      <c r="T504" s="81">
        <f ca="1">SUMPRODUCT((Work_Codes!$AC$147:$AO$147=$E504)*(Work_Codes!$AC$155:$AO$155)*(T$340:T$340))</f>
        <v>0</v>
      </c>
    </row>
    <row r="505" spans="4:20" outlineLevel="2">
      <c r="E505" s="247" t="str">
        <f>GC!C66</f>
        <v>IT capex</v>
      </c>
      <c r="F505" s="247"/>
      <c r="G505" s="247"/>
      <c r="H505" s="247"/>
      <c r="I505" s="247"/>
      <c r="J505" s="81">
        <f ca="1">SUMPRODUCT((Work_Codes!$AC$147:$AO$147=$E505)*(Work_Codes!$AC$155:$AO$155)*(J$340:J$340))</f>
        <v>0</v>
      </c>
      <c r="K505" s="81">
        <f ca="1">SUMPRODUCT((Work_Codes!$AC$147:$AO$147=$E505)*(Work_Codes!$AC$155:$AO$155)*(K$340:K$340))</f>
        <v>0</v>
      </c>
      <c r="L505" s="81">
        <f ca="1">SUMPRODUCT((Work_Codes!$AC$147:$AO$147=$E505)*(Work_Codes!$AC$155:$AO$155)*(L$340:L$340))</f>
        <v>0</v>
      </c>
      <c r="M505" s="81">
        <f ca="1">SUMPRODUCT((Work_Codes!$AC$147:$AO$147=$E505)*(Work_Codes!$AC$155:$AO$155)*(M$340:M$340))</f>
        <v>0</v>
      </c>
      <c r="N505" s="81">
        <f ca="1">SUMPRODUCT((Work_Codes!$AC$147:$AO$147=$E505)*(Work_Codes!$AC$155:$AO$155)*(N$340:N$340))</f>
        <v>0</v>
      </c>
      <c r="O505" s="81">
        <f ca="1">SUMPRODUCT((Work_Codes!$AC$147:$AO$147=$E505)*(Work_Codes!$AC$155:$AO$155)*(O$340:O$340))</f>
        <v>0</v>
      </c>
      <c r="P505" s="81">
        <f ca="1">SUMPRODUCT((Work_Codes!$AC$147:$AO$147=$E505)*(Work_Codes!$AC$155:$AO$155)*(P$340:P$340))</f>
        <v>0</v>
      </c>
      <c r="Q505" s="81">
        <f ca="1">SUMPRODUCT((Work_Codes!$AC$147:$AO$147=$E505)*(Work_Codes!$AC$155:$AO$155)*(Q$340:Q$340))</f>
        <v>0</v>
      </c>
      <c r="R505" s="81">
        <f ca="1">SUMPRODUCT((Work_Codes!$AC$147:$AO$147=$E505)*(Work_Codes!$AC$155:$AO$155)*(R$340:R$340))</f>
        <v>0</v>
      </c>
      <c r="S505" s="81">
        <f ca="1">SUMPRODUCT((Work_Codes!$AC$147:$AO$147=$E505)*(Work_Codes!$AC$155:$AO$155)*(S$340:S$340))</f>
        <v>0</v>
      </c>
      <c r="T505" s="81">
        <f ca="1">SUMPRODUCT((Work_Codes!$AC$147:$AO$147=$E505)*(Work_Codes!$AC$155:$AO$155)*(T$340:T$340))</f>
        <v>0</v>
      </c>
    </row>
    <row r="506" spans="4:20" outlineLevel="2">
      <c r="E506" s="247" t="str">
        <f>GC!C67</f>
        <v>SCADA</v>
      </c>
      <c r="F506" s="247"/>
      <c r="G506" s="247"/>
      <c r="H506" s="247"/>
      <c r="I506" s="247"/>
      <c r="J506" s="81">
        <f ca="1">SUMPRODUCT((Work_Codes!$AC$147:$AO$147=$E506)*(Work_Codes!$AC$155:$AO$155)*(J$340:J$340))</f>
        <v>0</v>
      </c>
      <c r="K506" s="81">
        <f ca="1">SUMPRODUCT((Work_Codes!$AC$147:$AO$147=$E506)*(Work_Codes!$AC$155:$AO$155)*(K$340:K$340))</f>
        <v>0</v>
      </c>
      <c r="L506" s="81">
        <f ca="1">SUMPRODUCT((Work_Codes!$AC$147:$AO$147=$E506)*(Work_Codes!$AC$155:$AO$155)*(L$340:L$340))</f>
        <v>0</v>
      </c>
      <c r="M506" s="81">
        <f ca="1">SUMPRODUCT((Work_Codes!$AC$147:$AO$147=$E506)*(Work_Codes!$AC$155:$AO$155)*(M$340:M$340))</f>
        <v>0</v>
      </c>
      <c r="N506" s="81">
        <f ca="1">SUMPRODUCT((Work_Codes!$AC$147:$AO$147=$E506)*(Work_Codes!$AC$155:$AO$155)*(N$340:N$340))</f>
        <v>0</v>
      </c>
      <c r="O506" s="81">
        <f ca="1">SUMPRODUCT((Work_Codes!$AC$147:$AO$147=$E506)*(Work_Codes!$AC$155:$AO$155)*(O$340:O$340))</f>
        <v>0</v>
      </c>
      <c r="P506" s="81">
        <f ca="1">SUMPRODUCT((Work_Codes!$AC$147:$AO$147=$E506)*(Work_Codes!$AC$155:$AO$155)*(P$340:P$340))</f>
        <v>0</v>
      </c>
      <c r="Q506" s="81">
        <f ca="1">SUMPRODUCT((Work_Codes!$AC$147:$AO$147=$E506)*(Work_Codes!$AC$155:$AO$155)*(Q$340:Q$340))</f>
        <v>0</v>
      </c>
      <c r="R506" s="81">
        <f ca="1">SUMPRODUCT((Work_Codes!$AC$147:$AO$147=$E506)*(Work_Codes!$AC$155:$AO$155)*(R$340:R$340))</f>
        <v>0</v>
      </c>
      <c r="S506" s="81">
        <f ca="1">SUMPRODUCT((Work_Codes!$AC$147:$AO$147=$E506)*(Work_Codes!$AC$155:$AO$155)*(S$340:S$340))</f>
        <v>0</v>
      </c>
      <c r="T506" s="81">
        <f ca="1">SUMPRODUCT((Work_Codes!$AC$147:$AO$147=$E506)*(Work_Codes!$AC$155:$AO$155)*(T$340:T$340))</f>
        <v>0</v>
      </c>
    </row>
    <row r="507" spans="4:20" outlineLevel="2">
      <c r="E507" s="247" t="str">
        <f>GC!C68</f>
        <v>Other</v>
      </c>
      <c r="F507" s="247"/>
      <c r="G507" s="247"/>
      <c r="H507" s="247"/>
      <c r="I507" s="247"/>
      <c r="J507" s="81">
        <f ca="1">SUMPRODUCT((Work_Codes!$AC$147:$AO$147=$E507)*(Work_Codes!$AC$155:$AO$155)*(J$340:J$340))</f>
        <v>0</v>
      </c>
      <c r="K507" s="81">
        <f ca="1">SUMPRODUCT((Work_Codes!$AC$147:$AO$147=$E507)*(Work_Codes!$AC$155:$AO$155)*(K$340:K$340))</f>
        <v>0</v>
      </c>
      <c r="L507" s="81">
        <f ca="1">SUMPRODUCT((Work_Codes!$AC$147:$AO$147=$E507)*(Work_Codes!$AC$155:$AO$155)*(L$340:L$340))</f>
        <v>0</v>
      </c>
      <c r="M507" s="81">
        <f ca="1">SUMPRODUCT((Work_Codes!$AC$147:$AO$147=$E507)*(Work_Codes!$AC$155:$AO$155)*(M$340:M$340))</f>
        <v>0</v>
      </c>
      <c r="N507" s="81">
        <f ca="1">SUMPRODUCT((Work_Codes!$AC$147:$AO$147=$E507)*(Work_Codes!$AC$155:$AO$155)*(N$340:N$340))</f>
        <v>0</v>
      </c>
      <c r="O507" s="81">
        <f ca="1">SUMPRODUCT((Work_Codes!$AC$147:$AO$147=$E507)*(Work_Codes!$AC$155:$AO$155)*(O$340:O$340))</f>
        <v>0</v>
      </c>
      <c r="P507" s="81">
        <f ca="1">SUMPRODUCT((Work_Codes!$AC$147:$AO$147=$E507)*(Work_Codes!$AC$155:$AO$155)*(P$340:P$340))</f>
        <v>0</v>
      </c>
      <c r="Q507" s="81">
        <f ca="1">SUMPRODUCT((Work_Codes!$AC$147:$AO$147=$E507)*(Work_Codes!$AC$155:$AO$155)*(Q$340:Q$340))</f>
        <v>0</v>
      </c>
      <c r="R507" s="81">
        <f ca="1">SUMPRODUCT((Work_Codes!$AC$147:$AO$147=$E507)*(Work_Codes!$AC$155:$AO$155)*(R$340:R$340))</f>
        <v>0</v>
      </c>
      <c r="S507" s="81">
        <f ca="1">SUMPRODUCT((Work_Codes!$AC$147:$AO$147=$E507)*(Work_Codes!$AC$155:$AO$155)*(S$340:S$340))</f>
        <v>0</v>
      </c>
      <c r="T507" s="81">
        <f ca="1">SUMPRODUCT((Work_Codes!$AC$147:$AO$147=$E507)*(Work_Codes!$AC$155:$AO$155)*(T$340:T$340))</f>
        <v>0</v>
      </c>
    </row>
    <row r="508" spans="4:20" outlineLevel="2">
      <c r="E508" s="247" t="str">
        <f>GC!C69</f>
        <v>Capitalised Leases</v>
      </c>
      <c r="F508" s="247"/>
      <c r="G508" s="247"/>
      <c r="H508" s="247"/>
      <c r="I508" s="247"/>
      <c r="J508" s="81">
        <f ca="1">SUMPRODUCT((Work_Codes!$AC$147:$AO$147=$E508)*(Work_Codes!$AC$155:$AO$155)*(J$340:J$340))</f>
        <v>0</v>
      </c>
      <c r="K508" s="81">
        <f ca="1">SUMPRODUCT((Work_Codes!$AC$147:$AO$147=$E508)*(Work_Codes!$AC$155:$AO$155)*(K$340:K$340))</f>
        <v>0</v>
      </c>
      <c r="L508" s="81">
        <f ca="1">SUMPRODUCT((Work_Codes!$AC$147:$AO$147=$E508)*(Work_Codes!$AC$155:$AO$155)*(L$340:L$340))</f>
        <v>0</v>
      </c>
      <c r="M508" s="81">
        <f ca="1">SUMPRODUCT((Work_Codes!$AC$147:$AO$147=$E508)*(Work_Codes!$AC$155:$AO$155)*(M$340:M$340))</f>
        <v>0</v>
      </c>
      <c r="N508" s="81">
        <f ca="1">SUMPRODUCT((Work_Codes!$AC$147:$AO$147=$E508)*(Work_Codes!$AC$155:$AO$155)*(N$340:N$340))</f>
        <v>0</v>
      </c>
      <c r="O508" s="81">
        <f ca="1">SUMPRODUCT((Work_Codes!$AC$147:$AO$147=$E508)*(Work_Codes!$AC$155:$AO$155)*(O$340:O$340))</f>
        <v>0</v>
      </c>
      <c r="P508" s="81">
        <f ca="1">SUMPRODUCT((Work_Codes!$AC$147:$AO$147=$E508)*(Work_Codes!$AC$155:$AO$155)*(P$340:P$340))</f>
        <v>0</v>
      </c>
      <c r="Q508" s="81">
        <f ca="1">SUMPRODUCT((Work_Codes!$AC$147:$AO$147=$E508)*(Work_Codes!$AC$155:$AO$155)*(Q$340:Q$340))</f>
        <v>0</v>
      </c>
      <c r="R508" s="81">
        <f ca="1">SUMPRODUCT((Work_Codes!$AC$147:$AO$147=$E508)*(Work_Codes!$AC$155:$AO$155)*(R$340:R$340))</f>
        <v>0</v>
      </c>
      <c r="S508" s="81">
        <f ca="1">SUMPRODUCT((Work_Codes!$AC$147:$AO$147=$E508)*(Work_Codes!$AC$155:$AO$155)*(S$340:S$340))</f>
        <v>0</v>
      </c>
      <c r="T508" s="81">
        <f ca="1">SUMPRODUCT((Work_Codes!$AC$147:$AO$147=$E508)*(Work_Codes!$AC$155:$AO$155)*(T$340:T$340))</f>
        <v>0</v>
      </c>
    </row>
    <row r="509" spans="4:20" outlineLevel="2">
      <c r="E509" s="247" t="str">
        <f>GC!C70</f>
        <v>Gas Extensions - Energy for the Regions</v>
      </c>
      <c r="F509" s="247"/>
      <c r="G509" s="247"/>
      <c r="H509" s="247"/>
      <c r="I509" s="247"/>
      <c r="J509" s="81">
        <f ca="1">SUMPRODUCT((Work_Codes!$AC$147:$AO$147=$E509)*(Work_Codes!$AC$155:$AO$155)*(J$340:J$340))</f>
        <v>0</v>
      </c>
      <c r="K509" s="81">
        <f ca="1">SUMPRODUCT((Work_Codes!$AC$147:$AO$147=$E509)*(Work_Codes!$AC$155:$AO$155)*(K$340:K$340))</f>
        <v>0</v>
      </c>
      <c r="L509" s="81">
        <f ca="1">SUMPRODUCT((Work_Codes!$AC$147:$AO$147=$E509)*(Work_Codes!$AC$155:$AO$155)*(L$340:L$340))</f>
        <v>0</v>
      </c>
      <c r="M509" s="81">
        <f ca="1">SUMPRODUCT((Work_Codes!$AC$147:$AO$147=$E509)*(Work_Codes!$AC$155:$AO$155)*(M$340:M$340))</f>
        <v>0</v>
      </c>
      <c r="N509" s="81">
        <f ca="1">SUMPRODUCT((Work_Codes!$AC$147:$AO$147=$E509)*(Work_Codes!$AC$155:$AO$155)*(N$340:N$340))</f>
        <v>0</v>
      </c>
      <c r="O509" s="81">
        <f ca="1">SUMPRODUCT((Work_Codes!$AC$147:$AO$147=$E509)*(Work_Codes!$AC$155:$AO$155)*(O$340:O$340))</f>
        <v>0</v>
      </c>
      <c r="P509" s="81">
        <f ca="1">SUMPRODUCT((Work_Codes!$AC$147:$AO$147=$E509)*(Work_Codes!$AC$155:$AO$155)*(P$340:P$340))</f>
        <v>0</v>
      </c>
      <c r="Q509" s="81">
        <f ca="1">SUMPRODUCT((Work_Codes!$AC$147:$AO$147=$E509)*(Work_Codes!$AC$155:$AO$155)*(Q$340:Q$340))</f>
        <v>0</v>
      </c>
      <c r="R509" s="81">
        <f ca="1">SUMPRODUCT((Work_Codes!$AC$147:$AO$147=$E509)*(Work_Codes!$AC$155:$AO$155)*(R$340:R$340))</f>
        <v>0</v>
      </c>
      <c r="S509" s="81">
        <f ca="1">SUMPRODUCT((Work_Codes!$AC$147:$AO$147=$E509)*(Work_Codes!$AC$155:$AO$155)*(S$340:S$340))</f>
        <v>0</v>
      </c>
      <c r="T509" s="81">
        <f ca="1">SUMPRODUCT((Work_Codes!$AC$147:$AO$147=$E509)*(Work_Codes!$AC$155:$AO$155)*(T$340:T$340))</f>
        <v>0</v>
      </c>
    </row>
    <row r="510" spans="4:20" outlineLevel="2">
      <c r="E510" s="247" t="str">
        <f>GC!C71</f>
        <v>Gas Extensions - Other</v>
      </c>
      <c r="F510" s="247"/>
      <c r="G510" s="247"/>
      <c r="H510" s="247"/>
      <c r="I510" s="247"/>
      <c r="J510" s="81">
        <f ca="1">SUMPRODUCT((Work_Codes!$AC$147:$AO$147=$E510)*(Work_Codes!$AC$155:$AO$155)*(J$340:J$340))</f>
        <v>0</v>
      </c>
      <c r="K510" s="81">
        <f ca="1">SUMPRODUCT((Work_Codes!$AC$147:$AO$147=$E510)*(Work_Codes!$AC$155:$AO$155)*(K$340:K$340))</f>
        <v>0</v>
      </c>
      <c r="L510" s="81">
        <f ca="1">SUMPRODUCT((Work_Codes!$AC$147:$AO$147=$E510)*(Work_Codes!$AC$155:$AO$155)*(L$340:L$340))</f>
        <v>0</v>
      </c>
      <c r="M510" s="81">
        <f ca="1">SUMPRODUCT((Work_Codes!$AC$147:$AO$147=$E510)*(Work_Codes!$AC$155:$AO$155)*(M$340:M$340))</f>
        <v>0</v>
      </c>
      <c r="N510" s="81">
        <f ca="1">SUMPRODUCT((Work_Codes!$AC$147:$AO$147=$E510)*(Work_Codes!$AC$155:$AO$155)*(N$340:N$340))</f>
        <v>0</v>
      </c>
      <c r="O510" s="81">
        <f ca="1">SUMPRODUCT((Work_Codes!$AC$147:$AO$147=$E510)*(Work_Codes!$AC$155:$AO$155)*(O$340:O$340))</f>
        <v>0</v>
      </c>
      <c r="P510" s="81">
        <f ca="1">SUMPRODUCT((Work_Codes!$AC$147:$AO$147=$E510)*(Work_Codes!$AC$155:$AO$155)*(P$340:P$340))</f>
        <v>0</v>
      </c>
      <c r="Q510" s="81">
        <f ca="1">SUMPRODUCT((Work_Codes!$AC$147:$AO$147=$E510)*(Work_Codes!$AC$155:$AO$155)*(Q$340:Q$340))</f>
        <v>0</v>
      </c>
      <c r="R510" s="81">
        <f ca="1">SUMPRODUCT((Work_Codes!$AC$147:$AO$147=$E510)*(Work_Codes!$AC$155:$AO$155)*(R$340:R$340))</f>
        <v>0</v>
      </c>
      <c r="S510" s="81">
        <f ca="1">SUMPRODUCT((Work_Codes!$AC$147:$AO$147=$E510)*(Work_Codes!$AC$155:$AO$155)*(S$340:S$340))</f>
        <v>0</v>
      </c>
      <c r="T510" s="81">
        <f ca="1">SUMPRODUCT((Work_Codes!$AC$147:$AO$147=$E510)*(Work_Codes!$AC$155:$AO$155)*(T$340:T$340))</f>
        <v>0</v>
      </c>
    </row>
    <row r="511" spans="4:20" outlineLevel="2">
      <c r="E511" s="247" t="str">
        <f>GC!C72</f>
        <v>Customer contributions</v>
      </c>
      <c r="F511" s="247"/>
      <c r="G511" s="247"/>
      <c r="H511" s="247"/>
      <c r="I511" s="247"/>
      <c r="J511" s="81">
        <f ca="1">SUMPRODUCT((Work_Codes!$AC$147:$AO$147=$E511)*(Work_Codes!$AC$155:$AO$155)*(J$340:J$340))</f>
        <v>0</v>
      </c>
      <c r="K511" s="81">
        <f ca="1">SUMPRODUCT((Work_Codes!$AC$147:$AO$147=$E511)*(Work_Codes!$AC$155:$AO$155)*(K$340:K$340))</f>
        <v>0</v>
      </c>
      <c r="L511" s="81">
        <f ca="1">SUMPRODUCT((Work_Codes!$AC$147:$AO$147=$E511)*(Work_Codes!$AC$155:$AO$155)*(L$340:L$340))</f>
        <v>0</v>
      </c>
      <c r="M511" s="81">
        <f ca="1">SUMPRODUCT((Work_Codes!$AC$147:$AO$147=$E511)*(Work_Codes!$AC$155:$AO$155)*(M$340:M$340))</f>
        <v>0</v>
      </c>
      <c r="N511" s="81">
        <f ca="1">SUMPRODUCT((Work_Codes!$AC$147:$AO$147=$E511)*(Work_Codes!$AC$155:$AO$155)*(N$340:N$340))</f>
        <v>0</v>
      </c>
      <c r="O511" s="81">
        <f ca="1">SUMPRODUCT((Work_Codes!$AC$147:$AO$147=$E511)*(Work_Codes!$AC$155:$AO$155)*(O$340:O$340))</f>
        <v>0</v>
      </c>
      <c r="P511" s="81">
        <f ca="1">SUMPRODUCT((Work_Codes!$AC$147:$AO$147=$E511)*(Work_Codes!$AC$155:$AO$155)*(P$340:P$340))</f>
        <v>0</v>
      </c>
      <c r="Q511" s="81">
        <f ca="1">SUMPRODUCT((Work_Codes!$AC$147:$AO$147=$E511)*(Work_Codes!$AC$155:$AO$155)*(Q$340:Q$340))</f>
        <v>0</v>
      </c>
      <c r="R511" s="81">
        <f ca="1">SUMPRODUCT((Work_Codes!$AC$147:$AO$147=$E511)*(Work_Codes!$AC$155:$AO$155)*(R$340:R$340))</f>
        <v>0</v>
      </c>
      <c r="S511" s="81">
        <f ca="1">SUMPRODUCT((Work_Codes!$AC$147:$AO$147=$E511)*(Work_Codes!$AC$155:$AO$155)*(S$340:S$340))</f>
        <v>0</v>
      </c>
      <c r="T511" s="81">
        <f ca="1">SUMPRODUCT((Work_Codes!$AC$147:$AO$147=$E511)*(Work_Codes!$AC$155:$AO$155)*(T$340:T$340))</f>
        <v>0</v>
      </c>
    </row>
    <row r="512" spans="4:20" outlineLevel="2">
      <c r="E512" s="247" t="str">
        <f>GC!C73</f>
        <v>Government contributions</v>
      </c>
      <c r="F512" s="247"/>
      <c r="G512" s="247"/>
      <c r="H512" s="247"/>
      <c r="I512" s="247"/>
      <c r="J512" s="81">
        <f ca="1">SUMPRODUCT((Work_Codes!$AC$147:$AO$147=$E512)*(Work_Codes!$AC$155:$AO$155)*(J$340:J$340))</f>
        <v>0</v>
      </c>
      <c r="K512" s="81">
        <f ca="1">SUMPRODUCT((Work_Codes!$AC$147:$AO$147=$E512)*(Work_Codes!$AC$155:$AO$155)*(K$340:K$340))</f>
        <v>0</v>
      </c>
      <c r="L512" s="81">
        <f ca="1">SUMPRODUCT((Work_Codes!$AC$147:$AO$147=$E512)*(Work_Codes!$AC$155:$AO$155)*(L$340:L$340))</f>
        <v>0</v>
      </c>
      <c r="M512" s="81">
        <f ca="1">SUMPRODUCT((Work_Codes!$AC$147:$AO$147=$E512)*(Work_Codes!$AC$155:$AO$155)*(M$340:M$340))</f>
        <v>0</v>
      </c>
      <c r="N512" s="81">
        <f ca="1">SUMPRODUCT((Work_Codes!$AC$147:$AO$147=$E512)*(Work_Codes!$AC$155:$AO$155)*(N$340:N$340))</f>
        <v>0</v>
      </c>
      <c r="O512" s="81">
        <f ca="1">SUMPRODUCT((Work_Codes!$AC$147:$AO$147=$E512)*(Work_Codes!$AC$155:$AO$155)*(O$340:O$340))</f>
        <v>0</v>
      </c>
      <c r="P512" s="81">
        <f ca="1">SUMPRODUCT((Work_Codes!$AC$147:$AO$147=$E512)*(Work_Codes!$AC$155:$AO$155)*(P$340:P$340))</f>
        <v>0</v>
      </c>
      <c r="Q512" s="81">
        <f ca="1">SUMPRODUCT((Work_Codes!$AC$147:$AO$147=$E512)*(Work_Codes!$AC$155:$AO$155)*(Q$340:Q$340))</f>
        <v>0</v>
      </c>
      <c r="R512" s="81">
        <f ca="1">SUMPRODUCT((Work_Codes!$AC$147:$AO$147=$E512)*(Work_Codes!$AC$155:$AO$155)*(R$340:R$340))</f>
        <v>0</v>
      </c>
      <c r="S512" s="81">
        <f ca="1">SUMPRODUCT((Work_Codes!$AC$147:$AO$147=$E512)*(Work_Codes!$AC$155:$AO$155)*(S$340:S$340))</f>
        <v>0</v>
      </c>
      <c r="T512" s="81">
        <f ca="1">SUMPRODUCT((Work_Codes!$AC$147:$AO$147=$E512)*(Work_Codes!$AC$155:$AO$155)*(T$340:T$340))</f>
        <v>0</v>
      </c>
    </row>
    <row r="513" spans="2:20" outlineLevel="2">
      <c r="E513" s="249" t="str">
        <f t="shared" ref="E513" si="49">"Total "&amp;D497</f>
        <v>Total Customer Contributions</v>
      </c>
      <c r="F513" s="249"/>
      <c r="G513" s="249"/>
      <c r="H513" s="249"/>
      <c r="I513" s="249"/>
      <c r="J513" s="82">
        <f t="shared" ref="J513:T513" ca="1" si="50">SUM(J499:J512)</f>
        <v>0</v>
      </c>
      <c r="K513" s="82">
        <f t="shared" ca="1" si="50"/>
        <v>0</v>
      </c>
      <c r="L513" s="82">
        <f t="shared" ca="1" si="50"/>
        <v>0</v>
      </c>
      <c r="M513" s="82">
        <f t="shared" ca="1" si="50"/>
        <v>0</v>
      </c>
      <c r="N513" s="82">
        <f t="shared" ca="1" si="50"/>
        <v>0</v>
      </c>
      <c r="O513" s="82">
        <f t="shared" ca="1" si="50"/>
        <v>0</v>
      </c>
      <c r="P513" s="82">
        <f t="shared" ca="1" si="50"/>
        <v>0</v>
      </c>
      <c r="Q513" s="82">
        <f t="shared" ca="1" si="50"/>
        <v>0</v>
      </c>
      <c r="R513" s="82">
        <f t="shared" ca="1" si="50"/>
        <v>0</v>
      </c>
      <c r="S513" s="82">
        <f t="shared" ca="1" si="50"/>
        <v>0</v>
      </c>
      <c r="T513" s="82">
        <f t="shared" ca="1" si="50"/>
        <v>0</v>
      </c>
    </row>
    <row r="514" spans="2:20" outlineLevel="2">
      <c r="B514" s="12"/>
      <c r="C514" s="12"/>
      <c r="D514" s="12"/>
      <c r="E514" s="12"/>
      <c r="F514" s="12"/>
      <c r="G514" s="12"/>
      <c r="H514" s="12"/>
      <c r="I514" s="12"/>
      <c r="J514" s="12"/>
      <c r="K514" s="12"/>
      <c r="L514" s="12"/>
      <c r="M514" s="12"/>
      <c r="N514" s="12"/>
      <c r="O514" s="12"/>
      <c r="P514" s="12"/>
      <c r="Q514" s="12"/>
      <c r="R514" s="12"/>
      <c r="S514" s="12"/>
      <c r="T514" s="12"/>
    </row>
    <row r="515" spans="2:20" outlineLevel="2"/>
    <row r="516" spans="2:20" outlineLevel="2">
      <c r="C516" s="37" t="s">
        <v>311</v>
      </c>
    </row>
    <row r="517" spans="2:20" ht="5.9" customHeight="1" outlineLevel="2"/>
    <row r="518" spans="2:20" outlineLevel="2">
      <c r="D518" s="37" t="s">
        <v>215</v>
      </c>
    </row>
    <row r="519" spans="2:20" ht="5.9" customHeight="1" outlineLevel="2"/>
    <row r="520" spans="2:20" outlineLevel="2">
      <c r="E520" s="247" t="str">
        <f>GC!C78</f>
        <v>Mains &amp; Services</v>
      </c>
      <c r="F520" s="247"/>
      <c r="G520" s="247"/>
      <c r="H520" s="247"/>
      <c r="I520" s="247"/>
      <c r="J520" s="81">
        <f ca="1">SUMPRODUCT((Work_Codes!$AR$147:$AX$147=$E520)*(Work_Codes!$AR$150:$AX$151)*(J$370:J$371))</f>
        <v>0</v>
      </c>
      <c r="K520" s="81">
        <f ca="1">SUMPRODUCT((Work_Codes!$AR$147:$AX$147=$E520)*(Work_Codes!$AR$150:$AX$151)*(K$370:K$371))</f>
        <v>0</v>
      </c>
      <c r="L520" s="81">
        <f ca="1">SUMPRODUCT((Work_Codes!$AR$147:$AX$147=$E520)*(Work_Codes!$AR$150:$AX$151)*(L$370:L$371))</f>
        <v>0</v>
      </c>
      <c r="M520" s="81">
        <f ca="1">SUMPRODUCT((Work_Codes!$AR$147:$AX$147=$E520)*(Work_Codes!$AR$150:$AX$151)*(M$370:M$371))</f>
        <v>0</v>
      </c>
      <c r="N520" s="81">
        <f ca="1">SUMPRODUCT((Work_Codes!$AR$147:$AX$147=$E520)*(Work_Codes!$AR$150:$AX$151)*(N$370:N$371))</f>
        <v>0</v>
      </c>
      <c r="O520" s="81">
        <f ca="1">SUMPRODUCT((Work_Codes!$AR$147:$AX$147=$E520)*(Work_Codes!$AR$150:$AX$151)*(O$370:O$371))</f>
        <v>0</v>
      </c>
      <c r="P520" s="81">
        <f ca="1">SUMPRODUCT((Work_Codes!$AR$147:$AX$147=$E520)*(Work_Codes!$AR$150:$AX$151)*(P$370:P$371))</f>
        <v>0</v>
      </c>
      <c r="Q520" s="81">
        <f ca="1">SUMPRODUCT((Work_Codes!$AR$147:$AX$147=$E520)*(Work_Codes!$AR$150:$AX$151)*(Q$370:Q$371))</f>
        <v>0</v>
      </c>
      <c r="R520" s="81">
        <f ca="1">SUMPRODUCT((Work_Codes!$AR$147:$AX$147=$E520)*(Work_Codes!$AR$150:$AX$151)*(R$370:R$371))</f>
        <v>0</v>
      </c>
      <c r="S520" s="81">
        <f ca="1">SUMPRODUCT((Work_Codes!$AR$147:$AX$147=$E520)*(Work_Codes!$AR$150:$AX$151)*(S$370:S$371))</f>
        <v>0</v>
      </c>
      <c r="T520" s="81">
        <f ca="1">SUMPRODUCT((Work_Codes!$AR$147:$AX$147=$E520)*(Work_Codes!$AR$150:$AX$151)*(T$370:T$371))</f>
        <v>0</v>
      </c>
    </row>
    <row r="521" spans="2:20" outlineLevel="2">
      <c r="E521" s="247" t="str">
        <f>GC!C79</f>
        <v>Meters Domestic</v>
      </c>
      <c r="F521" s="247"/>
      <c r="G521" s="247"/>
      <c r="H521" s="247"/>
      <c r="I521" s="247"/>
      <c r="J521" s="81">
        <f ca="1">SUMPRODUCT((Work_Codes!$AR$147:$AX$147=$E521)*(Work_Codes!$AR$150:$AX$151)*(J$370:J$371))</f>
        <v>0</v>
      </c>
      <c r="K521" s="81">
        <f ca="1">SUMPRODUCT((Work_Codes!$AR$147:$AX$147=$E521)*(Work_Codes!$AR$150:$AX$151)*(K$370:K$371))</f>
        <v>0</v>
      </c>
      <c r="L521" s="81">
        <f ca="1">SUMPRODUCT((Work_Codes!$AR$147:$AX$147=$E521)*(Work_Codes!$AR$150:$AX$151)*(L$370:L$371))</f>
        <v>0</v>
      </c>
      <c r="M521" s="81">
        <f ca="1">SUMPRODUCT((Work_Codes!$AR$147:$AX$147=$E521)*(Work_Codes!$AR$150:$AX$151)*(M$370:M$371))</f>
        <v>0</v>
      </c>
      <c r="N521" s="81">
        <f ca="1">SUMPRODUCT((Work_Codes!$AR$147:$AX$147=$E521)*(Work_Codes!$AR$150:$AX$151)*(N$370:N$371))</f>
        <v>765787.0358946413</v>
      </c>
      <c r="O521" s="81">
        <f ca="1">SUMPRODUCT((Work_Codes!$AR$147:$AX$147=$E521)*(Work_Codes!$AR$150:$AX$151)*(O$370:O$371))</f>
        <v>378979.69047196896</v>
      </c>
      <c r="P521" s="81">
        <f ca="1">SUMPRODUCT((Work_Codes!$AR$147:$AX$147=$E521)*(Work_Codes!$AR$150:$AX$151)*(P$370:P$371))</f>
        <v>757997.5365358463</v>
      </c>
      <c r="Q521" s="81">
        <f ca="1">SUMPRODUCT((Work_Codes!$AR$147:$AX$147=$E521)*(Work_Codes!$AR$150:$AX$151)*(Q$370:Q$371))</f>
        <v>758057.23875223985</v>
      </c>
      <c r="R521" s="81">
        <f ca="1">SUMPRODUCT((Work_Codes!$AR$147:$AX$147=$E521)*(Work_Codes!$AR$150:$AX$151)*(R$370:R$371))</f>
        <v>758142.18476835557</v>
      </c>
      <c r="S521" s="81">
        <f ca="1">SUMPRODUCT((Work_Codes!$AR$147:$AX$147=$E521)*(Work_Codes!$AR$150:$AX$151)*(S$370:S$371))</f>
        <v>758228.06590828765</v>
      </c>
      <c r="T521" s="81">
        <f ca="1">SUMPRODUCT((Work_Codes!$AR$147:$AX$147=$E521)*(Work_Codes!$AR$150:$AX$151)*(T$370:T$371))</f>
        <v>758314.89246629807</v>
      </c>
    </row>
    <row r="522" spans="2:20" outlineLevel="2">
      <c r="E522" s="247" t="str">
        <f>GC!C80</f>
        <v>Meters Industrial &amp; Commercial</v>
      </c>
      <c r="F522" s="247"/>
      <c r="G522" s="247"/>
      <c r="H522" s="247"/>
      <c r="I522" s="247"/>
      <c r="J522" s="81">
        <f ca="1">SUMPRODUCT((Work_Codes!$AR$147:$AX$147=$E522)*(Work_Codes!$AR$150:$AX$151)*(J$370:J$371))</f>
        <v>0</v>
      </c>
      <c r="K522" s="81">
        <f ca="1">SUMPRODUCT((Work_Codes!$AR$147:$AX$147=$E522)*(Work_Codes!$AR$150:$AX$151)*(K$370:K$371))</f>
        <v>0</v>
      </c>
      <c r="L522" s="81">
        <f ca="1">SUMPRODUCT((Work_Codes!$AR$147:$AX$147=$E522)*(Work_Codes!$AR$150:$AX$151)*(L$370:L$371))</f>
        <v>0</v>
      </c>
      <c r="M522" s="81">
        <f ca="1">SUMPRODUCT((Work_Codes!$AR$147:$AX$147=$E522)*(Work_Codes!$AR$150:$AX$151)*(M$370:M$371))</f>
        <v>0</v>
      </c>
      <c r="N522" s="81">
        <f ca="1">SUMPRODUCT((Work_Codes!$AR$147:$AX$147=$E522)*(Work_Codes!$AR$150:$AX$151)*(N$370:N$371))</f>
        <v>0</v>
      </c>
      <c r="O522" s="81">
        <f ca="1">SUMPRODUCT((Work_Codes!$AR$147:$AX$147=$E522)*(Work_Codes!$AR$150:$AX$151)*(O$370:O$371))</f>
        <v>0</v>
      </c>
      <c r="P522" s="81">
        <f ca="1">SUMPRODUCT((Work_Codes!$AR$147:$AX$147=$E522)*(Work_Codes!$AR$150:$AX$151)*(P$370:P$371))</f>
        <v>0</v>
      </c>
      <c r="Q522" s="81">
        <f ca="1">SUMPRODUCT((Work_Codes!$AR$147:$AX$147=$E522)*(Work_Codes!$AR$150:$AX$151)*(Q$370:Q$371))</f>
        <v>0</v>
      </c>
      <c r="R522" s="81">
        <f ca="1">SUMPRODUCT((Work_Codes!$AR$147:$AX$147=$E522)*(Work_Codes!$AR$150:$AX$151)*(R$370:R$371))</f>
        <v>0</v>
      </c>
      <c r="S522" s="81">
        <f ca="1">SUMPRODUCT((Work_Codes!$AR$147:$AX$147=$E522)*(Work_Codes!$AR$150:$AX$151)*(S$370:S$371))</f>
        <v>0</v>
      </c>
      <c r="T522" s="81">
        <f ca="1">SUMPRODUCT((Work_Codes!$AR$147:$AX$147=$E522)*(Work_Codes!$AR$150:$AX$151)*(T$370:T$371))</f>
        <v>0</v>
      </c>
    </row>
    <row r="523" spans="2:20" outlineLevel="2">
      <c r="E523" s="247" t="str">
        <f>GC!C81</f>
        <v>Buildings</v>
      </c>
      <c r="F523" s="247"/>
      <c r="G523" s="247"/>
      <c r="H523" s="247"/>
      <c r="I523" s="247"/>
      <c r="J523" s="81">
        <f ca="1">SUMPRODUCT((Work_Codes!$AR$147:$AX$147=$E523)*(Work_Codes!$AR$150:$AX$151)*(J$370:J$371))</f>
        <v>0</v>
      </c>
      <c r="K523" s="81">
        <f ca="1">SUMPRODUCT((Work_Codes!$AR$147:$AX$147=$E523)*(Work_Codes!$AR$150:$AX$151)*(K$370:K$371))</f>
        <v>0</v>
      </c>
      <c r="L523" s="81">
        <f ca="1">SUMPRODUCT((Work_Codes!$AR$147:$AX$147=$E523)*(Work_Codes!$AR$150:$AX$151)*(L$370:L$371))</f>
        <v>0</v>
      </c>
      <c r="M523" s="81">
        <f ca="1">SUMPRODUCT((Work_Codes!$AR$147:$AX$147=$E523)*(Work_Codes!$AR$150:$AX$151)*(M$370:M$371))</f>
        <v>0</v>
      </c>
      <c r="N523" s="81">
        <f ca="1">SUMPRODUCT((Work_Codes!$AR$147:$AX$147=$E523)*(Work_Codes!$AR$150:$AX$151)*(N$370:N$371))</f>
        <v>0</v>
      </c>
      <c r="O523" s="81">
        <f ca="1">SUMPRODUCT((Work_Codes!$AR$147:$AX$147=$E523)*(Work_Codes!$AR$150:$AX$151)*(O$370:O$371))</f>
        <v>0</v>
      </c>
      <c r="P523" s="81">
        <f ca="1">SUMPRODUCT((Work_Codes!$AR$147:$AX$147=$E523)*(Work_Codes!$AR$150:$AX$151)*(P$370:P$371))</f>
        <v>0</v>
      </c>
      <c r="Q523" s="81">
        <f ca="1">SUMPRODUCT((Work_Codes!$AR$147:$AX$147=$E523)*(Work_Codes!$AR$150:$AX$151)*(Q$370:Q$371))</f>
        <v>0</v>
      </c>
      <c r="R523" s="81">
        <f ca="1">SUMPRODUCT((Work_Codes!$AR$147:$AX$147=$E523)*(Work_Codes!$AR$150:$AX$151)*(R$370:R$371))</f>
        <v>0</v>
      </c>
      <c r="S523" s="81">
        <f ca="1">SUMPRODUCT((Work_Codes!$AR$147:$AX$147=$E523)*(Work_Codes!$AR$150:$AX$151)*(S$370:S$371))</f>
        <v>0</v>
      </c>
      <c r="T523" s="81">
        <f ca="1">SUMPRODUCT((Work_Codes!$AR$147:$AX$147=$E523)*(Work_Codes!$AR$150:$AX$151)*(T$370:T$371))</f>
        <v>0</v>
      </c>
    </row>
    <row r="524" spans="2:20" outlineLevel="2">
      <c r="E524" s="247" t="str">
        <f>GC!C82</f>
        <v>Other Assets</v>
      </c>
      <c r="F524" s="247"/>
      <c r="G524" s="247"/>
      <c r="H524" s="247"/>
      <c r="I524" s="247"/>
      <c r="J524" s="81">
        <f ca="1">SUMPRODUCT((Work_Codes!$AR$147:$AX$147=$E524)*(Work_Codes!$AR$150:$AX$151)*(J$370:J$371))</f>
        <v>0</v>
      </c>
      <c r="K524" s="81">
        <f ca="1">SUMPRODUCT((Work_Codes!$AR$147:$AX$147=$E524)*(Work_Codes!$AR$150:$AX$151)*(K$370:K$371))</f>
        <v>0</v>
      </c>
      <c r="L524" s="81">
        <f ca="1">SUMPRODUCT((Work_Codes!$AR$147:$AX$147=$E524)*(Work_Codes!$AR$150:$AX$151)*(L$370:L$371))</f>
        <v>0</v>
      </c>
      <c r="M524" s="81">
        <f ca="1">SUMPRODUCT((Work_Codes!$AR$147:$AX$147=$E524)*(Work_Codes!$AR$150:$AX$151)*(M$370:M$371))</f>
        <v>0</v>
      </c>
      <c r="N524" s="81">
        <f ca="1">SUMPRODUCT((Work_Codes!$AR$147:$AX$147=$E524)*(Work_Codes!$AR$150:$AX$151)*(N$370:N$371))</f>
        <v>0</v>
      </c>
      <c r="O524" s="81">
        <f ca="1">SUMPRODUCT((Work_Codes!$AR$147:$AX$147=$E524)*(Work_Codes!$AR$150:$AX$151)*(O$370:O$371))</f>
        <v>0</v>
      </c>
      <c r="P524" s="81">
        <f ca="1">SUMPRODUCT((Work_Codes!$AR$147:$AX$147=$E524)*(Work_Codes!$AR$150:$AX$151)*(P$370:P$371))</f>
        <v>0</v>
      </c>
      <c r="Q524" s="81">
        <f ca="1">SUMPRODUCT((Work_Codes!$AR$147:$AX$147=$E524)*(Work_Codes!$AR$150:$AX$151)*(Q$370:Q$371))</f>
        <v>0</v>
      </c>
      <c r="R524" s="81">
        <f ca="1">SUMPRODUCT((Work_Codes!$AR$147:$AX$147=$E524)*(Work_Codes!$AR$150:$AX$151)*(R$370:R$371))</f>
        <v>0</v>
      </c>
      <c r="S524" s="81">
        <f ca="1">SUMPRODUCT((Work_Codes!$AR$147:$AX$147=$E524)*(Work_Codes!$AR$150:$AX$151)*(S$370:S$371))</f>
        <v>0</v>
      </c>
      <c r="T524" s="81">
        <f ca="1">SUMPRODUCT((Work_Codes!$AR$147:$AX$147=$E524)*(Work_Codes!$AR$150:$AX$151)*(T$370:T$371))</f>
        <v>0</v>
      </c>
    </row>
    <row r="525" spans="2:20" outlineLevel="2">
      <c r="E525" s="247" t="str">
        <f>GC!C83</f>
        <v>Repairs</v>
      </c>
      <c r="F525" s="247"/>
      <c r="G525" s="247"/>
      <c r="H525" s="247"/>
      <c r="I525" s="247"/>
      <c r="J525" s="81">
        <f ca="1">SUMPRODUCT((Work_Codes!$AR$147:$AX$147=$E525)*(Work_Codes!$AR$150:$AX$151)*(J$370:J$371))</f>
        <v>0</v>
      </c>
      <c r="K525" s="81">
        <f ca="1">SUMPRODUCT((Work_Codes!$AR$147:$AX$147=$E525)*(Work_Codes!$AR$150:$AX$151)*(K$370:K$371))</f>
        <v>0</v>
      </c>
      <c r="L525" s="81">
        <f ca="1">SUMPRODUCT((Work_Codes!$AR$147:$AX$147=$E525)*(Work_Codes!$AR$150:$AX$151)*(L$370:L$371))</f>
        <v>0</v>
      </c>
      <c r="M525" s="81">
        <f ca="1">SUMPRODUCT((Work_Codes!$AR$147:$AX$147=$E525)*(Work_Codes!$AR$150:$AX$151)*(M$370:M$371))</f>
        <v>0</v>
      </c>
      <c r="N525" s="81">
        <f ca="1">SUMPRODUCT((Work_Codes!$AR$147:$AX$147=$E525)*(Work_Codes!$AR$150:$AX$151)*(N$370:N$371))</f>
        <v>0</v>
      </c>
      <c r="O525" s="81">
        <f ca="1">SUMPRODUCT((Work_Codes!$AR$147:$AX$147=$E525)*(Work_Codes!$AR$150:$AX$151)*(O$370:O$371))</f>
        <v>0</v>
      </c>
      <c r="P525" s="81">
        <f ca="1">SUMPRODUCT((Work_Codes!$AR$147:$AX$147=$E525)*(Work_Codes!$AR$150:$AX$151)*(P$370:P$371))</f>
        <v>0</v>
      </c>
      <c r="Q525" s="81">
        <f ca="1">SUMPRODUCT((Work_Codes!$AR$147:$AX$147=$E525)*(Work_Codes!$AR$150:$AX$151)*(Q$370:Q$371))</f>
        <v>0</v>
      </c>
      <c r="R525" s="81">
        <f ca="1">SUMPRODUCT((Work_Codes!$AR$147:$AX$147=$E525)*(Work_Codes!$AR$150:$AX$151)*(R$370:R$371))</f>
        <v>0</v>
      </c>
      <c r="S525" s="81">
        <f ca="1">SUMPRODUCT((Work_Codes!$AR$147:$AX$147=$E525)*(Work_Codes!$AR$150:$AX$151)*(S$370:S$371))</f>
        <v>0</v>
      </c>
      <c r="T525" s="81">
        <f ca="1">SUMPRODUCT((Work_Codes!$AR$147:$AX$147=$E525)*(Work_Codes!$AR$150:$AX$151)*(T$370:T$371))</f>
        <v>0</v>
      </c>
    </row>
    <row r="526" spans="2:20" outlineLevel="2">
      <c r="E526" s="247" t="str">
        <f>GC!C84</f>
        <v>Land</v>
      </c>
      <c r="F526" s="247"/>
      <c r="G526" s="247"/>
      <c r="H526" s="247"/>
      <c r="I526" s="247"/>
      <c r="J526" s="81">
        <f ca="1">SUMPRODUCT((Work_Codes!$AR$147:$AX$147=$E526)*(Work_Codes!$AR$150:$AX$151)*(J$370:J$371))</f>
        <v>0</v>
      </c>
      <c r="K526" s="81">
        <f ca="1">SUMPRODUCT((Work_Codes!$AR$147:$AX$147=$E526)*(Work_Codes!$AR$150:$AX$151)*(K$370:K$371))</f>
        <v>0</v>
      </c>
      <c r="L526" s="81">
        <f ca="1">SUMPRODUCT((Work_Codes!$AR$147:$AX$147=$E526)*(Work_Codes!$AR$150:$AX$151)*(L$370:L$371))</f>
        <v>0</v>
      </c>
      <c r="M526" s="81">
        <f ca="1">SUMPRODUCT((Work_Codes!$AR$147:$AX$147=$E526)*(Work_Codes!$AR$150:$AX$151)*(M$370:M$371))</f>
        <v>0</v>
      </c>
      <c r="N526" s="81">
        <f ca="1">SUMPRODUCT((Work_Codes!$AR$147:$AX$147=$E526)*(Work_Codes!$AR$150:$AX$151)*(N$370:N$371))</f>
        <v>0</v>
      </c>
      <c r="O526" s="81">
        <f ca="1">SUMPRODUCT((Work_Codes!$AR$147:$AX$147=$E526)*(Work_Codes!$AR$150:$AX$151)*(O$370:O$371))</f>
        <v>0</v>
      </c>
      <c r="P526" s="81">
        <f ca="1">SUMPRODUCT((Work_Codes!$AR$147:$AX$147=$E526)*(Work_Codes!$AR$150:$AX$151)*(P$370:P$371))</f>
        <v>0</v>
      </c>
      <c r="Q526" s="81">
        <f ca="1">SUMPRODUCT((Work_Codes!$AR$147:$AX$147=$E526)*(Work_Codes!$AR$150:$AX$151)*(Q$370:Q$371))</f>
        <v>0</v>
      </c>
      <c r="R526" s="81">
        <f ca="1">SUMPRODUCT((Work_Codes!$AR$147:$AX$147=$E526)*(Work_Codes!$AR$150:$AX$151)*(R$370:R$371))</f>
        <v>0</v>
      </c>
      <c r="S526" s="81">
        <f ca="1">SUMPRODUCT((Work_Codes!$AR$147:$AX$147=$E526)*(Work_Codes!$AR$150:$AX$151)*(S$370:S$371))</f>
        <v>0</v>
      </c>
      <c r="T526" s="81">
        <f ca="1">SUMPRODUCT((Work_Codes!$AR$147:$AX$147=$E526)*(Work_Codes!$AR$150:$AX$151)*(T$370:T$371))</f>
        <v>0</v>
      </c>
    </row>
    <row r="527" spans="2:20" outlineLevel="2">
      <c r="E527" s="249" t="str">
        <f>"Total "&amp;D518</f>
        <v>Total Direct Costs</v>
      </c>
      <c r="F527" s="249"/>
      <c r="G527" s="249"/>
      <c r="H527" s="249"/>
      <c r="I527" s="249"/>
      <c r="J527" s="82">
        <f t="shared" ref="J527:T527" ca="1" si="51">SUM(J520:J526)</f>
        <v>0</v>
      </c>
      <c r="K527" s="82">
        <f t="shared" ca="1" si="51"/>
        <v>0</v>
      </c>
      <c r="L527" s="82">
        <f t="shared" ca="1" si="51"/>
        <v>0</v>
      </c>
      <c r="M527" s="82">
        <f t="shared" ca="1" si="51"/>
        <v>0</v>
      </c>
      <c r="N527" s="82">
        <f t="shared" ca="1" si="51"/>
        <v>765787.0358946413</v>
      </c>
      <c r="O527" s="82">
        <f t="shared" ca="1" si="51"/>
        <v>378979.69047196896</v>
      </c>
      <c r="P527" s="82">
        <f t="shared" ca="1" si="51"/>
        <v>757997.5365358463</v>
      </c>
      <c r="Q527" s="82">
        <f t="shared" ca="1" si="51"/>
        <v>758057.23875223985</v>
      </c>
      <c r="R527" s="82">
        <f t="shared" ca="1" si="51"/>
        <v>758142.18476835557</v>
      </c>
      <c r="S527" s="82">
        <f t="shared" ca="1" si="51"/>
        <v>758228.06590828765</v>
      </c>
      <c r="T527" s="82">
        <f t="shared" ca="1" si="51"/>
        <v>758314.89246629807</v>
      </c>
    </row>
    <row r="528" spans="2:20" outlineLevel="2"/>
    <row r="529" spans="2:20" outlineLevel="2">
      <c r="D529" s="37" t="s">
        <v>313</v>
      </c>
    </row>
    <row r="530" spans="2:20" ht="5.9" customHeight="1" outlineLevel="2"/>
    <row r="531" spans="2:20" outlineLevel="2">
      <c r="E531" s="247" t="str">
        <f>GC!C78</f>
        <v>Mains &amp; Services</v>
      </c>
      <c r="F531" s="247"/>
      <c r="G531" s="247"/>
      <c r="H531" s="247"/>
      <c r="I531" s="247"/>
      <c r="J531" s="81">
        <f ca="1">J520*(1+INDEX(J$310:J$312,MATCH(Work_Codes!$I$144,$D$310:$D$312,0)))</f>
        <v>0</v>
      </c>
      <c r="K531" s="81">
        <f ca="1">K520*(1+INDEX(K$310:K$312,MATCH(Work_Codes!$I$144,$D$310:$D$312,0)))</f>
        <v>0</v>
      </c>
      <c r="L531" s="81">
        <f ca="1">L520*(1+INDEX(L$310:L$312,MATCH(Work_Codes!$I$144,$D$310:$D$312,0)))</f>
        <v>0</v>
      </c>
      <c r="M531" s="81">
        <f ca="1">M520*(1+INDEX(M$310:M$312,MATCH(Work_Codes!$I$144,$D$310:$D$312,0)))</f>
        <v>0</v>
      </c>
      <c r="N531" s="81">
        <f ca="1">N520*(1+INDEX(N$310:N$312,MATCH(Work_Codes!$I$144,$D$310:$D$312,0)))</f>
        <v>0</v>
      </c>
      <c r="O531" s="81">
        <f ca="1">O520*(1+INDEX(O$310:O$312,MATCH(Work_Codes!$I$144,$D$310:$D$312,0)))</f>
        <v>0</v>
      </c>
      <c r="P531" s="81">
        <f ca="1">P520*(1+INDEX(P$310:P$312,MATCH(Work_Codes!$I$144,$D$310:$D$312,0)))</f>
        <v>0</v>
      </c>
      <c r="Q531" s="81">
        <f ca="1">Q520*(1+INDEX(Q$310:Q$312,MATCH(Work_Codes!$I$144,$D$310:$D$312,0)))</f>
        <v>0</v>
      </c>
      <c r="R531" s="81">
        <f ca="1">R520*(1+INDEX(R$310:R$312,MATCH(Work_Codes!$I$144,$D$310:$D$312,0)))</f>
        <v>0</v>
      </c>
      <c r="S531" s="81">
        <f ca="1">S520*(1+INDEX(S$310:S$312,MATCH(Work_Codes!$I$144,$D$310:$D$312,0)))</f>
        <v>0</v>
      </c>
      <c r="T531" s="81">
        <f ca="1">T520*(1+INDEX(T$310:T$312,MATCH(Work_Codes!$I$144,$D$310:$D$312,0)))</f>
        <v>0</v>
      </c>
    </row>
    <row r="532" spans="2:20" outlineLevel="2">
      <c r="E532" s="247" t="str">
        <f>GC!C79</f>
        <v>Meters Domestic</v>
      </c>
      <c r="F532" s="247"/>
      <c r="G532" s="247"/>
      <c r="H532" s="247"/>
      <c r="I532" s="247"/>
      <c r="J532" s="81">
        <f ca="1">J521*(1+INDEX(J$310:J$312,MATCH(Work_Codes!$I$144,$D$310:$D$312,0)))</f>
        <v>0</v>
      </c>
      <c r="K532" s="81">
        <f ca="1">K521*(1+INDEX(K$310:K$312,MATCH(Work_Codes!$I$144,$D$310:$D$312,0)))</f>
        <v>0</v>
      </c>
      <c r="L532" s="81">
        <f ca="1">L521*(1+INDEX(L$310:L$312,MATCH(Work_Codes!$I$144,$D$310:$D$312,0)))</f>
        <v>0</v>
      </c>
      <c r="M532" s="81">
        <f ca="1">M521*(1+INDEX(M$310:M$312,MATCH(Work_Codes!$I$144,$D$310:$D$312,0)))</f>
        <v>0</v>
      </c>
      <c r="N532" s="81">
        <f ca="1">N521*(1+INDEX(N$310:N$312,MATCH(Work_Codes!$I$144,$D$310:$D$312,0)))</f>
        <v>794665.6364590216</v>
      </c>
      <c r="O532" s="81">
        <f ca="1">O521*(1+INDEX(O$310:O$312,MATCH(Work_Codes!$I$144,$D$310:$D$312,0)))</f>
        <v>391593.63876200037</v>
      </c>
      <c r="P532" s="81">
        <f ca="1">P521*(1+INDEX(P$310:P$312,MATCH(Work_Codes!$I$144,$D$310:$D$312,0)))</f>
        <v>778275.98730081774</v>
      </c>
      <c r="Q532" s="81">
        <f ca="1">Q521*(1+INDEX(Q$310:Q$312,MATCH(Work_Codes!$I$144,$D$310:$D$312,0)))</f>
        <v>777812.65563827974</v>
      </c>
      <c r="R532" s="81">
        <f ca="1">R521*(1+INDEX(R$310:R$312,MATCH(Work_Codes!$I$144,$D$310:$D$312,0)))</f>
        <v>778515.74423907802</v>
      </c>
      <c r="S532" s="81">
        <f ca="1">S521*(1+INDEX(S$310:S$312,MATCH(Work_Codes!$I$144,$D$310:$D$312,0)))</f>
        <v>779872.57994601596</v>
      </c>
      <c r="T532" s="81">
        <f ca="1">T521*(1+INDEX(T$310:T$312,MATCH(Work_Codes!$I$144,$D$310:$D$312,0)))</f>
        <v>781003.96084637765</v>
      </c>
    </row>
    <row r="533" spans="2:20" outlineLevel="2">
      <c r="E533" s="247" t="str">
        <f>GC!C80</f>
        <v>Meters Industrial &amp; Commercial</v>
      </c>
      <c r="F533" s="247"/>
      <c r="G533" s="247"/>
      <c r="H533" s="247"/>
      <c r="I533" s="247"/>
      <c r="J533" s="81">
        <f ca="1">J522*(1+INDEX(J$310:J$312,MATCH(Work_Codes!$I$144,$D$310:$D$312,0)))</f>
        <v>0</v>
      </c>
      <c r="K533" s="81">
        <f ca="1">K522*(1+INDEX(K$310:K$312,MATCH(Work_Codes!$I$144,$D$310:$D$312,0)))</f>
        <v>0</v>
      </c>
      <c r="L533" s="81">
        <f ca="1">L522*(1+INDEX(L$310:L$312,MATCH(Work_Codes!$I$144,$D$310:$D$312,0)))</f>
        <v>0</v>
      </c>
      <c r="M533" s="81">
        <f ca="1">M522*(1+INDEX(M$310:M$312,MATCH(Work_Codes!$I$144,$D$310:$D$312,0)))</f>
        <v>0</v>
      </c>
      <c r="N533" s="81">
        <f ca="1">N522*(1+INDEX(N$310:N$312,MATCH(Work_Codes!$I$144,$D$310:$D$312,0)))</f>
        <v>0</v>
      </c>
      <c r="O533" s="81">
        <f ca="1">O522*(1+INDEX(O$310:O$312,MATCH(Work_Codes!$I$144,$D$310:$D$312,0)))</f>
        <v>0</v>
      </c>
      <c r="P533" s="81">
        <f ca="1">P522*(1+INDEX(P$310:P$312,MATCH(Work_Codes!$I$144,$D$310:$D$312,0)))</f>
        <v>0</v>
      </c>
      <c r="Q533" s="81">
        <f ca="1">Q522*(1+INDEX(Q$310:Q$312,MATCH(Work_Codes!$I$144,$D$310:$D$312,0)))</f>
        <v>0</v>
      </c>
      <c r="R533" s="81">
        <f ca="1">R522*(1+INDEX(R$310:R$312,MATCH(Work_Codes!$I$144,$D$310:$D$312,0)))</f>
        <v>0</v>
      </c>
      <c r="S533" s="81">
        <f ca="1">S522*(1+INDEX(S$310:S$312,MATCH(Work_Codes!$I$144,$D$310:$D$312,0)))</f>
        <v>0</v>
      </c>
      <c r="T533" s="81">
        <f ca="1">T522*(1+INDEX(T$310:T$312,MATCH(Work_Codes!$I$144,$D$310:$D$312,0)))</f>
        <v>0</v>
      </c>
    </row>
    <row r="534" spans="2:20" outlineLevel="2">
      <c r="E534" s="247" t="str">
        <f>GC!C81</f>
        <v>Buildings</v>
      </c>
      <c r="F534" s="247"/>
      <c r="G534" s="247"/>
      <c r="H534" s="247"/>
      <c r="I534" s="247"/>
      <c r="J534" s="81">
        <f ca="1">J523*(1+INDEX(J$310:J$312,MATCH(Work_Codes!$I$144,$D$310:$D$312,0)))</f>
        <v>0</v>
      </c>
      <c r="K534" s="81">
        <f ca="1">K523*(1+INDEX(K$310:K$312,MATCH(Work_Codes!$I$144,$D$310:$D$312,0)))</f>
        <v>0</v>
      </c>
      <c r="L534" s="81">
        <f ca="1">L523*(1+INDEX(L$310:L$312,MATCH(Work_Codes!$I$144,$D$310:$D$312,0)))</f>
        <v>0</v>
      </c>
      <c r="M534" s="81">
        <f ca="1">M523*(1+INDEX(M$310:M$312,MATCH(Work_Codes!$I$144,$D$310:$D$312,0)))</f>
        <v>0</v>
      </c>
      <c r="N534" s="81">
        <f ca="1">N523*(1+INDEX(N$310:N$312,MATCH(Work_Codes!$I$144,$D$310:$D$312,0)))</f>
        <v>0</v>
      </c>
      <c r="O534" s="81">
        <f ca="1">O523*(1+INDEX(O$310:O$312,MATCH(Work_Codes!$I$144,$D$310:$D$312,0)))</f>
        <v>0</v>
      </c>
      <c r="P534" s="81">
        <f ca="1">P523*(1+INDEX(P$310:P$312,MATCH(Work_Codes!$I$144,$D$310:$D$312,0)))</f>
        <v>0</v>
      </c>
      <c r="Q534" s="81">
        <f ca="1">Q523*(1+INDEX(Q$310:Q$312,MATCH(Work_Codes!$I$144,$D$310:$D$312,0)))</f>
        <v>0</v>
      </c>
      <c r="R534" s="81">
        <f ca="1">R523*(1+INDEX(R$310:R$312,MATCH(Work_Codes!$I$144,$D$310:$D$312,0)))</f>
        <v>0</v>
      </c>
      <c r="S534" s="81">
        <f ca="1">S523*(1+INDEX(S$310:S$312,MATCH(Work_Codes!$I$144,$D$310:$D$312,0)))</f>
        <v>0</v>
      </c>
      <c r="T534" s="81">
        <f ca="1">T523*(1+INDEX(T$310:T$312,MATCH(Work_Codes!$I$144,$D$310:$D$312,0)))</f>
        <v>0</v>
      </c>
    </row>
    <row r="535" spans="2:20" outlineLevel="2">
      <c r="E535" s="247" t="str">
        <f>GC!C82</f>
        <v>Other Assets</v>
      </c>
      <c r="F535" s="247"/>
      <c r="G535" s="247"/>
      <c r="H535" s="247"/>
      <c r="I535" s="247"/>
      <c r="J535" s="81">
        <f ca="1">J524*(1+INDEX(J$310:J$312,MATCH(Work_Codes!$I$144,$D$310:$D$312,0)))</f>
        <v>0</v>
      </c>
      <c r="K535" s="81">
        <f ca="1">K524*(1+INDEX(K$310:K$312,MATCH(Work_Codes!$I$144,$D$310:$D$312,0)))</f>
        <v>0</v>
      </c>
      <c r="L535" s="81">
        <f ca="1">L524*(1+INDEX(L$310:L$312,MATCH(Work_Codes!$I$144,$D$310:$D$312,0)))</f>
        <v>0</v>
      </c>
      <c r="M535" s="81">
        <f ca="1">M524*(1+INDEX(M$310:M$312,MATCH(Work_Codes!$I$144,$D$310:$D$312,0)))</f>
        <v>0</v>
      </c>
      <c r="N535" s="81">
        <f ca="1">N524*(1+INDEX(N$310:N$312,MATCH(Work_Codes!$I$144,$D$310:$D$312,0)))</f>
        <v>0</v>
      </c>
      <c r="O535" s="81">
        <f ca="1">O524*(1+INDEX(O$310:O$312,MATCH(Work_Codes!$I$144,$D$310:$D$312,0)))</f>
        <v>0</v>
      </c>
      <c r="P535" s="81">
        <f ca="1">P524*(1+INDEX(P$310:P$312,MATCH(Work_Codes!$I$144,$D$310:$D$312,0)))</f>
        <v>0</v>
      </c>
      <c r="Q535" s="81">
        <f ca="1">Q524*(1+INDEX(Q$310:Q$312,MATCH(Work_Codes!$I$144,$D$310:$D$312,0)))</f>
        <v>0</v>
      </c>
      <c r="R535" s="81">
        <f ca="1">R524*(1+INDEX(R$310:R$312,MATCH(Work_Codes!$I$144,$D$310:$D$312,0)))</f>
        <v>0</v>
      </c>
      <c r="S535" s="81">
        <f ca="1">S524*(1+INDEX(S$310:S$312,MATCH(Work_Codes!$I$144,$D$310:$D$312,0)))</f>
        <v>0</v>
      </c>
      <c r="T535" s="81">
        <f ca="1">T524*(1+INDEX(T$310:T$312,MATCH(Work_Codes!$I$144,$D$310:$D$312,0)))</f>
        <v>0</v>
      </c>
    </row>
    <row r="536" spans="2:20" outlineLevel="2">
      <c r="E536" s="247" t="str">
        <f>GC!C83</f>
        <v>Repairs</v>
      </c>
      <c r="F536" s="247"/>
      <c r="G536" s="247"/>
      <c r="H536" s="247"/>
      <c r="I536" s="247"/>
      <c r="J536" s="81">
        <f ca="1">J525*(1+INDEX(J$310:J$312,MATCH(Work_Codes!$I$144,$D$310:$D$312,0)))</f>
        <v>0</v>
      </c>
      <c r="K536" s="81">
        <f ca="1">K525*(1+INDEX(K$310:K$312,MATCH(Work_Codes!$I$144,$D$310:$D$312,0)))</f>
        <v>0</v>
      </c>
      <c r="L536" s="81">
        <f ca="1">L525*(1+INDEX(L$310:L$312,MATCH(Work_Codes!$I$144,$D$310:$D$312,0)))</f>
        <v>0</v>
      </c>
      <c r="M536" s="81">
        <f ca="1">M525*(1+INDEX(M$310:M$312,MATCH(Work_Codes!$I$144,$D$310:$D$312,0)))</f>
        <v>0</v>
      </c>
      <c r="N536" s="81">
        <f ca="1">N525*(1+INDEX(N$310:N$312,MATCH(Work_Codes!$I$144,$D$310:$D$312,0)))</f>
        <v>0</v>
      </c>
      <c r="O536" s="81">
        <f ca="1">O525*(1+INDEX(O$310:O$312,MATCH(Work_Codes!$I$144,$D$310:$D$312,0)))</f>
        <v>0</v>
      </c>
      <c r="P536" s="81">
        <f ca="1">P525*(1+INDEX(P$310:P$312,MATCH(Work_Codes!$I$144,$D$310:$D$312,0)))</f>
        <v>0</v>
      </c>
      <c r="Q536" s="81">
        <f ca="1">Q525*(1+INDEX(Q$310:Q$312,MATCH(Work_Codes!$I$144,$D$310:$D$312,0)))</f>
        <v>0</v>
      </c>
      <c r="R536" s="81">
        <f ca="1">R525*(1+INDEX(R$310:R$312,MATCH(Work_Codes!$I$144,$D$310:$D$312,0)))</f>
        <v>0</v>
      </c>
      <c r="S536" s="81">
        <f ca="1">S525*(1+INDEX(S$310:S$312,MATCH(Work_Codes!$I$144,$D$310:$D$312,0)))</f>
        <v>0</v>
      </c>
      <c r="T536" s="81">
        <f ca="1">T525*(1+INDEX(T$310:T$312,MATCH(Work_Codes!$I$144,$D$310:$D$312,0)))</f>
        <v>0</v>
      </c>
    </row>
    <row r="537" spans="2:20" outlineLevel="2">
      <c r="E537" s="247" t="str">
        <f>GC!C84</f>
        <v>Land</v>
      </c>
      <c r="F537" s="247"/>
      <c r="G537" s="247"/>
      <c r="H537" s="247"/>
      <c r="I537" s="247"/>
      <c r="J537" s="81">
        <f ca="1">J526*(1+INDEX(J$310:J$312,MATCH(Work_Codes!$I$144,$D$310:$D$312,0)))</f>
        <v>0</v>
      </c>
      <c r="K537" s="81">
        <f ca="1">K526*(1+INDEX(K$310:K$312,MATCH(Work_Codes!$I$144,$D$310:$D$312,0)))</f>
        <v>0</v>
      </c>
      <c r="L537" s="81">
        <f ca="1">L526*(1+INDEX(L$310:L$312,MATCH(Work_Codes!$I$144,$D$310:$D$312,0)))</f>
        <v>0</v>
      </c>
      <c r="M537" s="81">
        <f ca="1">M526*(1+INDEX(M$310:M$312,MATCH(Work_Codes!$I$144,$D$310:$D$312,0)))</f>
        <v>0</v>
      </c>
      <c r="N537" s="81">
        <f ca="1">N526*(1+INDEX(N$310:N$312,MATCH(Work_Codes!$I$144,$D$310:$D$312,0)))</f>
        <v>0</v>
      </c>
      <c r="O537" s="81">
        <f ca="1">O526*(1+INDEX(O$310:O$312,MATCH(Work_Codes!$I$144,$D$310:$D$312,0)))</f>
        <v>0</v>
      </c>
      <c r="P537" s="81">
        <f ca="1">P526*(1+INDEX(P$310:P$312,MATCH(Work_Codes!$I$144,$D$310:$D$312,0)))</f>
        <v>0</v>
      </c>
      <c r="Q537" s="81">
        <f ca="1">Q526*(1+INDEX(Q$310:Q$312,MATCH(Work_Codes!$I$144,$D$310:$D$312,0)))</f>
        <v>0</v>
      </c>
      <c r="R537" s="81">
        <f ca="1">R526*(1+INDEX(R$310:R$312,MATCH(Work_Codes!$I$144,$D$310:$D$312,0)))</f>
        <v>0</v>
      </c>
      <c r="S537" s="81">
        <f ca="1">S526*(1+INDEX(S$310:S$312,MATCH(Work_Codes!$I$144,$D$310:$D$312,0)))</f>
        <v>0</v>
      </c>
      <c r="T537" s="81">
        <f ca="1">T526*(1+INDEX(T$310:T$312,MATCH(Work_Codes!$I$144,$D$310:$D$312,0)))</f>
        <v>0</v>
      </c>
    </row>
    <row r="538" spans="2:20" outlineLevel="2">
      <c r="E538" s="249" t="str">
        <f>"Total "&amp;D529</f>
        <v>Total Direct Costs +  Overheads</v>
      </c>
      <c r="F538" s="249"/>
      <c r="G538" s="249"/>
      <c r="H538" s="249"/>
      <c r="I538" s="249"/>
      <c r="J538" s="82">
        <f t="shared" ref="J538:T538" ca="1" si="52">SUM(J531:J537)</f>
        <v>0</v>
      </c>
      <c r="K538" s="82">
        <f t="shared" ca="1" si="52"/>
        <v>0</v>
      </c>
      <c r="L538" s="82">
        <f t="shared" ca="1" si="52"/>
        <v>0</v>
      </c>
      <c r="M538" s="82">
        <f t="shared" ca="1" si="52"/>
        <v>0</v>
      </c>
      <c r="N538" s="82">
        <f t="shared" ca="1" si="52"/>
        <v>794665.6364590216</v>
      </c>
      <c r="O538" s="82">
        <f t="shared" ca="1" si="52"/>
        <v>391593.63876200037</v>
      </c>
      <c r="P538" s="82">
        <f t="shared" ca="1" si="52"/>
        <v>778275.98730081774</v>
      </c>
      <c r="Q538" s="82">
        <f t="shared" ca="1" si="52"/>
        <v>777812.65563827974</v>
      </c>
      <c r="R538" s="82">
        <f t="shared" ca="1" si="52"/>
        <v>778515.74423907802</v>
      </c>
      <c r="S538" s="82">
        <f t="shared" ca="1" si="52"/>
        <v>779872.57994601596</v>
      </c>
      <c r="T538" s="82">
        <f t="shared" ca="1" si="52"/>
        <v>781003.96084637765</v>
      </c>
    </row>
    <row r="539" spans="2:20" outlineLevel="1">
      <c r="B539" s="12"/>
      <c r="C539" s="12"/>
      <c r="D539" s="12"/>
      <c r="E539" s="12"/>
      <c r="F539" s="12"/>
      <c r="G539" s="12"/>
      <c r="H539" s="12"/>
      <c r="I539" s="12"/>
      <c r="J539" s="12"/>
      <c r="K539" s="12"/>
      <c r="L539" s="12"/>
      <c r="M539" s="12"/>
      <c r="N539" s="12"/>
      <c r="O539" s="12"/>
      <c r="P539" s="12"/>
      <c r="Q539" s="12"/>
      <c r="R539" s="12"/>
      <c r="S539" s="12"/>
      <c r="T539" s="12"/>
    </row>
    <row r="540" spans="2:20" outlineLevel="1"/>
    <row r="541" spans="2:20" outlineLevel="1">
      <c r="C541" s="37" t="s">
        <v>19</v>
      </c>
    </row>
    <row r="542" spans="2:20" ht="5.9" customHeight="1" outlineLevel="1"/>
    <row r="543" spans="2:20" outlineLevel="1">
      <c r="F543" s="51" t="str">
        <f>$B$298&amp;" Work Code v RAB Category Direct Check"</f>
        <v>3008 - Inputs Work Code v RAB Category Direct Check</v>
      </c>
      <c r="I543" s="130">
        <f ca="1">IF(ISERROR(SUM(J543:T543)),1,MIN(SUM(J543:T543),1))</f>
        <v>0</v>
      </c>
      <c r="J543" s="81">
        <f t="shared" ref="J543:T543" ca="1" si="53">J373-J396</f>
        <v>0</v>
      </c>
      <c r="K543" s="81">
        <f t="shared" ca="1" si="53"/>
        <v>0</v>
      </c>
      <c r="L543" s="81">
        <f t="shared" ca="1" si="53"/>
        <v>0</v>
      </c>
      <c r="M543" s="81">
        <f t="shared" ca="1" si="53"/>
        <v>0</v>
      </c>
      <c r="N543" s="81">
        <f t="shared" ca="1" si="53"/>
        <v>0</v>
      </c>
      <c r="O543" s="81">
        <f t="shared" ca="1" si="53"/>
        <v>0</v>
      </c>
      <c r="P543" s="81">
        <f t="shared" ca="1" si="53"/>
        <v>0</v>
      </c>
      <c r="Q543" s="81">
        <f t="shared" ca="1" si="53"/>
        <v>0</v>
      </c>
      <c r="R543" s="81">
        <f t="shared" ca="1" si="53"/>
        <v>0</v>
      </c>
      <c r="S543" s="81">
        <f t="shared" ca="1" si="53"/>
        <v>0</v>
      </c>
      <c r="T543" s="81">
        <f t="shared" ca="1" si="53"/>
        <v>0</v>
      </c>
    </row>
    <row r="544" spans="2:20" outlineLevel="1">
      <c r="F544" s="51" t="str">
        <f>$B$298&amp;" Work Code v RIN Category Direct Check"</f>
        <v>3008 - Inputs Work Code v RIN Category Direct Check</v>
      </c>
      <c r="I544" s="130">
        <f ca="1">IF(ISERROR(SUM(J544:T544)),1,MIN(SUM(J544:T544),1))</f>
        <v>0</v>
      </c>
      <c r="J544" s="81">
        <f t="shared" ref="J544:T544" ca="1" si="54">J373-J477</f>
        <v>0</v>
      </c>
      <c r="K544" s="81">
        <f t="shared" ca="1" si="54"/>
        <v>0</v>
      </c>
      <c r="L544" s="81">
        <f t="shared" ca="1" si="54"/>
        <v>0</v>
      </c>
      <c r="M544" s="81">
        <f t="shared" ca="1" si="54"/>
        <v>0</v>
      </c>
      <c r="N544" s="81">
        <f t="shared" ca="1" si="54"/>
        <v>0</v>
      </c>
      <c r="O544" s="81">
        <f t="shared" ca="1" si="54"/>
        <v>0</v>
      </c>
      <c r="P544" s="81">
        <f t="shared" ca="1" si="54"/>
        <v>0</v>
      </c>
      <c r="Q544" s="81">
        <f t="shared" ca="1" si="54"/>
        <v>0</v>
      </c>
      <c r="R544" s="81">
        <f t="shared" ca="1" si="54"/>
        <v>0</v>
      </c>
      <c r="S544" s="81">
        <f t="shared" ca="1" si="54"/>
        <v>0</v>
      </c>
      <c r="T544" s="81">
        <f t="shared" ca="1" si="54"/>
        <v>0</v>
      </c>
    </row>
    <row r="545" spans="2:20" outlineLevel="1">
      <c r="F545" s="51" t="str">
        <f>$B$298&amp;" Work Code v Tax Category Direct Check"</f>
        <v>3008 - Inputs Work Code v Tax Category Direct Check</v>
      </c>
      <c r="I545" s="130">
        <f ca="1">IF(ISERROR(SUM(J545:T545)),1,MIN(SUM(J545:T545),1))</f>
        <v>0</v>
      </c>
      <c r="J545" s="81">
        <f t="shared" ref="J545:T545" ca="1" si="55">J373-J527</f>
        <v>0</v>
      </c>
      <c r="K545" s="81">
        <f t="shared" ca="1" si="55"/>
        <v>0</v>
      </c>
      <c r="L545" s="81">
        <f t="shared" ca="1" si="55"/>
        <v>0</v>
      </c>
      <c r="M545" s="81">
        <f t="shared" ca="1" si="55"/>
        <v>0</v>
      </c>
      <c r="N545" s="81">
        <f t="shared" ca="1" si="55"/>
        <v>0</v>
      </c>
      <c r="O545" s="81">
        <f t="shared" ca="1" si="55"/>
        <v>0</v>
      </c>
      <c r="P545" s="81">
        <f t="shared" ca="1" si="55"/>
        <v>0</v>
      </c>
      <c r="Q545" s="81">
        <f t="shared" ca="1" si="55"/>
        <v>0</v>
      </c>
      <c r="R545" s="81">
        <f t="shared" ca="1" si="55"/>
        <v>0</v>
      </c>
      <c r="S545" s="81">
        <f t="shared" ca="1" si="55"/>
        <v>0</v>
      </c>
      <c r="T545" s="81">
        <f t="shared" ca="1" si="55"/>
        <v>0</v>
      </c>
    </row>
    <row r="546" spans="2:20" outlineLevel="1">
      <c r="F546" s="51" t="str">
        <f>$B$298&amp;" Customer Contributions v RAB Category Direct Check"</f>
        <v>3008 - Inputs Customer Contributions v RAB Category Direct Check</v>
      </c>
      <c r="I546" s="130">
        <f ca="1">IF(ISERROR(SUM(J546:T546)),1,MIN(SUM(J546:T546),1))</f>
        <v>0</v>
      </c>
      <c r="J546" s="81">
        <f t="shared" ref="J546:T546" ca="1" si="56">J342-J456</f>
        <v>0</v>
      </c>
      <c r="K546" s="81">
        <f t="shared" ca="1" si="56"/>
        <v>0</v>
      </c>
      <c r="L546" s="81">
        <f t="shared" ca="1" si="56"/>
        <v>0</v>
      </c>
      <c r="M546" s="81">
        <f t="shared" ca="1" si="56"/>
        <v>0</v>
      </c>
      <c r="N546" s="81">
        <f t="shared" ca="1" si="56"/>
        <v>0</v>
      </c>
      <c r="O546" s="81">
        <f t="shared" ca="1" si="56"/>
        <v>0</v>
      </c>
      <c r="P546" s="81">
        <f t="shared" ca="1" si="56"/>
        <v>0</v>
      </c>
      <c r="Q546" s="81">
        <f t="shared" ca="1" si="56"/>
        <v>0</v>
      </c>
      <c r="R546" s="81">
        <f t="shared" ca="1" si="56"/>
        <v>0</v>
      </c>
      <c r="S546" s="81">
        <f t="shared" ca="1" si="56"/>
        <v>0</v>
      </c>
      <c r="T546" s="81">
        <f t="shared" ca="1" si="56"/>
        <v>0</v>
      </c>
    </row>
    <row r="547" spans="2:20" ht="5.9" customHeight="1" outlineLevel="1"/>
    <row r="548" spans="2:20" outlineLevel="1">
      <c r="F548" s="51" t="str">
        <f>$B$298&amp;" RAB v RIN Direct + Overhead Check"</f>
        <v>3008 - Inputs RAB v RIN Direct + Overhead Check</v>
      </c>
      <c r="I548" s="130">
        <f ca="1">IF(ISERROR(SUM(J548:T548)),1,MIN(SUM(J548:T548),1))</f>
        <v>0</v>
      </c>
      <c r="J548" s="81">
        <f t="shared" ref="J548:T548" ca="1" si="57">J436-J495</f>
        <v>0</v>
      </c>
      <c r="K548" s="81">
        <f t="shared" ca="1" si="57"/>
        <v>0</v>
      </c>
      <c r="L548" s="81">
        <f t="shared" ca="1" si="57"/>
        <v>0</v>
      </c>
      <c r="M548" s="81">
        <f t="shared" ca="1" si="57"/>
        <v>0</v>
      </c>
      <c r="N548" s="81">
        <f t="shared" ca="1" si="57"/>
        <v>0</v>
      </c>
      <c r="O548" s="81">
        <f t="shared" ca="1" si="57"/>
        <v>0</v>
      </c>
      <c r="P548" s="81">
        <f t="shared" ca="1" si="57"/>
        <v>0</v>
      </c>
      <c r="Q548" s="81">
        <f t="shared" ca="1" si="57"/>
        <v>0</v>
      </c>
      <c r="R548" s="81">
        <f t="shared" ca="1" si="57"/>
        <v>0</v>
      </c>
      <c r="S548" s="81">
        <f t="shared" ca="1" si="57"/>
        <v>0</v>
      </c>
      <c r="T548" s="81">
        <f t="shared" ca="1" si="57"/>
        <v>0</v>
      </c>
    </row>
    <row r="549" spans="2:20" outlineLevel="1">
      <c r="F549" s="51" t="str">
        <f>$B$298&amp;" RAB v Tax Direct + Overhead Check"</f>
        <v>3008 - Inputs RAB v Tax Direct + Overhead Check</v>
      </c>
      <c r="I549" s="130">
        <f ca="1">IF(ISERROR(SUM(J549:T549)),1,MIN(SUM(J549:T549),1))</f>
        <v>0</v>
      </c>
      <c r="J549" s="81">
        <f t="shared" ref="J549:T549" ca="1" si="58">J436-J538</f>
        <v>0</v>
      </c>
      <c r="K549" s="81">
        <f t="shared" ca="1" si="58"/>
        <v>0</v>
      </c>
      <c r="L549" s="81">
        <f t="shared" ca="1" si="58"/>
        <v>0</v>
      </c>
      <c r="M549" s="81">
        <f t="shared" ca="1" si="58"/>
        <v>0</v>
      </c>
      <c r="N549" s="81">
        <f t="shared" ca="1" si="58"/>
        <v>0</v>
      </c>
      <c r="O549" s="81">
        <f t="shared" ca="1" si="58"/>
        <v>0</v>
      </c>
      <c r="P549" s="81">
        <f t="shared" ca="1" si="58"/>
        <v>0</v>
      </c>
      <c r="Q549" s="81">
        <f t="shared" ca="1" si="58"/>
        <v>0</v>
      </c>
      <c r="R549" s="81">
        <f t="shared" ca="1" si="58"/>
        <v>0</v>
      </c>
      <c r="S549" s="81">
        <f t="shared" ca="1" si="58"/>
        <v>0</v>
      </c>
      <c r="T549" s="81">
        <f t="shared" ca="1" si="58"/>
        <v>0</v>
      </c>
    </row>
    <row r="550" spans="2:20" ht="12" outlineLevel="1" thickBot="1">
      <c r="B550" s="94"/>
      <c r="C550" s="94"/>
      <c r="D550" s="94"/>
      <c r="E550" s="94"/>
      <c r="F550" s="94"/>
      <c r="G550" s="94"/>
      <c r="H550" s="94"/>
      <c r="I550" s="94"/>
      <c r="J550" s="94"/>
      <c r="K550" s="94"/>
      <c r="L550" s="94"/>
      <c r="M550" s="94"/>
      <c r="N550" s="94"/>
      <c r="O550" s="94"/>
      <c r="P550" s="94"/>
      <c r="Q550" s="94"/>
      <c r="R550" s="94"/>
      <c r="S550" s="94"/>
      <c r="T550" s="94"/>
    </row>
  </sheetData>
  <sheetProtection formatColumns="0" formatRows="0"/>
  <mergeCells count="271">
    <mergeCell ref="E258:I258"/>
    <mergeCell ref="E513:I513"/>
    <mergeCell ref="E499:I499"/>
    <mergeCell ref="E500:I500"/>
    <mergeCell ref="E501:I501"/>
    <mergeCell ref="E502:I502"/>
    <mergeCell ref="E503:I503"/>
    <mergeCell ref="E504:I504"/>
    <mergeCell ref="E505:I505"/>
    <mergeCell ref="E506:I506"/>
    <mergeCell ref="E507:I507"/>
    <mergeCell ref="E508:I508"/>
    <mergeCell ref="E509:I509"/>
    <mergeCell ref="E510:I510"/>
    <mergeCell ref="E511:I511"/>
    <mergeCell ref="E512:I512"/>
    <mergeCell ref="E456:I456"/>
    <mergeCell ref="E440:I440"/>
    <mergeCell ref="E441:I441"/>
    <mergeCell ref="E442:I442"/>
    <mergeCell ref="E443:I443"/>
    <mergeCell ref="E444:I444"/>
    <mergeCell ref="E445:I445"/>
    <mergeCell ref="E446:I446"/>
    <mergeCell ref="E249:I249"/>
    <mergeCell ref="E250:I250"/>
    <mergeCell ref="E251:I251"/>
    <mergeCell ref="E252:I252"/>
    <mergeCell ref="E253:I253"/>
    <mergeCell ref="E254:I254"/>
    <mergeCell ref="E255:I255"/>
    <mergeCell ref="E256:I256"/>
    <mergeCell ref="E257:I257"/>
    <mergeCell ref="E380:I380"/>
    <mergeCell ref="E447:I447"/>
    <mergeCell ref="E448:I448"/>
    <mergeCell ref="E449:I449"/>
    <mergeCell ref="E450:I450"/>
    <mergeCell ref="E451:I451"/>
    <mergeCell ref="E453:I453"/>
    <mergeCell ref="E454:I454"/>
    <mergeCell ref="E455:I455"/>
    <mergeCell ref="E384:I384"/>
    <mergeCell ref="E434:I434"/>
    <mergeCell ref="E435:I435"/>
    <mergeCell ref="E452:I452"/>
    <mergeCell ref="E428:I428"/>
    <mergeCell ref="E431:I431"/>
    <mergeCell ref="E430:I430"/>
    <mergeCell ref="E427:I427"/>
    <mergeCell ref="E412:I412"/>
    <mergeCell ref="E413:I413"/>
    <mergeCell ref="E414:I414"/>
    <mergeCell ref="E415:I415"/>
    <mergeCell ref="D76:I76"/>
    <mergeCell ref="E172:I172"/>
    <mergeCell ref="E421:I421"/>
    <mergeCell ref="E213:I213"/>
    <mergeCell ref="E214:I214"/>
    <mergeCell ref="E410:I410"/>
    <mergeCell ref="E401:I401"/>
    <mergeCell ref="E426:I426"/>
    <mergeCell ref="E189:I189"/>
    <mergeCell ref="E190:I190"/>
    <mergeCell ref="E191:I191"/>
    <mergeCell ref="E192:I192"/>
    <mergeCell ref="E193:I193"/>
    <mergeCell ref="E220:I220"/>
    <mergeCell ref="E405:I405"/>
    <mergeCell ref="E406:I406"/>
    <mergeCell ref="E411:I411"/>
    <mergeCell ref="E409:I409"/>
    <mergeCell ref="E422:I422"/>
    <mergeCell ref="E423:I423"/>
    <mergeCell ref="E424:I424"/>
    <mergeCell ref="E425:I425"/>
    <mergeCell ref="E182:I182"/>
    <mergeCell ref="E219:I219"/>
    <mergeCell ref="E221:I221"/>
    <mergeCell ref="D70:I70"/>
    <mergeCell ref="D89:I89"/>
    <mergeCell ref="D99:I99"/>
    <mergeCell ref="D109:I109"/>
    <mergeCell ref="D119:I119"/>
    <mergeCell ref="E223:I223"/>
    <mergeCell ref="E209:I209"/>
    <mergeCell ref="E210:I210"/>
    <mergeCell ref="E211:I211"/>
    <mergeCell ref="E212:I212"/>
    <mergeCell ref="E126:I126"/>
    <mergeCell ref="E127:I127"/>
    <mergeCell ref="E128:I128"/>
    <mergeCell ref="E129:I129"/>
    <mergeCell ref="E130:I130"/>
    <mergeCell ref="E131:I131"/>
    <mergeCell ref="E162:I162"/>
    <mergeCell ref="E146:I146"/>
    <mergeCell ref="E147:I147"/>
    <mergeCell ref="E148:I148"/>
    <mergeCell ref="E149:I149"/>
    <mergeCell ref="E217:I217"/>
    <mergeCell ref="E215:I215"/>
    <mergeCell ref="E179:I179"/>
    <mergeCell ref="E180:I180"/>
    <mergeCell ref="E181:I181"/>
    <mergeCell ref="E198:I198"/>
    <mergeCell ref="E199:I199"/>
    <mergeCell ref="E200:I200"/>
    <mergeCell ref="E201:I201"/>
    <mergeCell ref="E202:I202"/>
    <mergeCell ref="E186:I186"/>
    <mergeCell ref="E187:I187"/>
    <mergeCell ref="E188:I188"/>
    <mergeCell ref="E248:I248"/>
    <mergeCell ref="E433:I433"/>
    <mergeCell ref="E178:I178"/>
    <mergeCell ref="E173:I173"/>
    <mergeCell ref="E174:I174"/>
    <mergeCell ref="E432:I432"/>
    <mergeCell ref="E416:I416"/>
    <mergeCell ref="E392:I392"/>
    <mergeCell ref="E393:I393"/>
    <mergeCell ref="E272:I272"/>
    <mergeCell ref="D373:I373"/>
    <mergeCell ref="E284:I284"/>
    <mergeCell ref="E277:I277"/>
    <mergeCell ref="E278:I278"/>
    <mergeCell ref="E279:I279"/>
    <mergeCell ref="E280:I280"/>
    <mergeCell ref="E281:I281"/>
    <mergeCell ref="E227:I227"/>
    <mergeCell ref="E177:I177"/>
    <mergeCell ref="E194:I194"/>
    <mergeCell ref="E195:I195"/>
    <mergeCell ref="E196:I196"/>
    <mergeCell ref="E197:I197"/>
    <mergeCell ref="E216:I216"/>
    <mergeCell ref="E132:I132"/>
    <mergeCell ref="E133:I133"/>
    <mergeCell ref="E134:I134"/>
    <mergeCell ref="E135:I135"/>
    <mergeCell ref="E136:I136"/>
    <mergeCell ref="E175:I175"/>
    <mergeCell ref="E176:I176"/>
    <mergeCell ref="E137:I137"/>
    <mergeCell ref="E408:I408"/>
    <mergeCell ref="E402:I402"/>
    <mergeCell ref="E403:I403"/>
    <mergeCell ref="E228:I228"/>
    <mergeCell ref="E229:I229"/>
    <mergeCell ref="E230:I230"/>
    <mergeCell ref="E231:I231"/>
    <mergeCell ref="E232:I232"/>
    <mergeCell ref="E233:I233"/>
    <mergeCell ref="E234:I234"/>
    <mergeCell ref="E235:I235"/>
    <mergeCell ref="E394:I394"/>
    <mergeCell ref="E138:I138"/>
    <mergeCell ref="E139:I139"/>
    <mergeCell ref="E140:I140"/>
    <mergeCell ref="E141:I141"/>
    <mergeCell ref="E487:I487"/>
    <mergeCell ref="E488:I488"/>
    <mergeCell ref="E489:I489"/>
    <mergeCell ref="E465:I465"/>
    <mergeCell ref="E466:I466"/>
    <mergeCell ref="E467:I467"/>
    <mergeCell ref="E468:I468"/>
    <mergeCell ref="E469:I469"/>
    <mergeCell ref="E470:I470"/>
    <mergeCell ref="E471:I471"/>
    <mergeCell ref="E473:I473"/>
    <mergeCell ref="E474:I474"/>
    <mergeCell ref="E475:I475"/>
    <mergeCell ref="E476:I476"/>
    <mergeCell ref="E491:I491"/>
    <mergeCell ref="E492:I492"/>
    <mergeCell ref="E237:I237"/>
    <mergeCell ref="E238:I238"/>
    <mergeCell ref="E239:I239"/>
    <mergeCell ref="E240:I240"/>
    <mergeCell ref="E481:I481"/>
    <mergeCell ref="E482:I482"/>
    <mergeCell ref="E483:I483"/>
    <mergeCell ref="E484:I484"/>
    <mergeCell ref="E485:I485"/>
    <mergeCell ref="E241:I241"/>
    <mergeCell ref="E273:I273"/>
    <mergeCell ref="E266:I266"/>
    <mergeCell ref="E267:I267"/>
    <mergeCell ref="E268:I268"/>
    <mergeCell ref="E269:I269"/>
    <mergeCell ref="E270:I270"/>
    <mergeCell ref="E271:I271"/>
    <mergeCell ref="E420:I420"/>
    <mergeCell ref="E486:I486"/>
    <mergeCell ref="E477:I477"/>
    <mergeCell ref="E463:I463"/>
    <mergeCell ref="E464:I464"/>
    <mergeCell ref="E495:I495"/>
    <mergeCell ref="E218:I218"/>
    <mergeCell ref="E236:I236"/>
    <mergeCell ref="E472:I472"/>
    <mergeCell ref="E490:I490"/>
    <mergeCell ref="E436:I436"/>
    <mergeCell ref="E538:I538"/>
    <mergeCell ref="E531:I531"/>
    <mergeCell ref="E532:I532"/>
    <mergeCell ref="E533:I533"/>
    <mergeCell ref="E534:I534"/>
    <mergeCell ref="E535:I535"/>
    <mergeCell ref="E536:I536"/>
    <mergeCell ref="E537:I537"/>
    <mergeCell ref="E493:I493"/>
    <mergeCell ref="E494:I494"/>
    <mergeCell ref="E527:I527"/>
    <mergeCell ref="E520:I520"/>
    <mergeCell ref="E521:I521"/>
    <mergeCell ref="E522:I522"/>
    <mergeCell ref="E523:I523"/>
    <mergeCell ref="E524:I524"/>
    <mergeCell ref="E525:I525"/>
    <mergeCell ref="E526:I526"/>
    <mergeCell ref="D366:I366"/>
    <mergeCell ref="E142:I142"/>
    <mergeCell ref="E166:I166"/>
    <mergeCell ref="E167:I167"/>
    <mergeCell ref="E168:I168"/>
    <mergeCell ref="E169:I169"/>
    <mergeCell ref="E153:I153"/>
    <mergeCell ref="E150:I150"/>
    <mergeCell ref="E151:I151"/>
    <mergeCell ref="E152:I152"/>
    <mergeCell ref="E154:I154"/>
    <mergeCell ref="E155:I155"/>
    <mergeCell ref="E156:I156"/>
    <mergeCell ref="E157:I157"/>
    <mergeCell ref="E158:I158"/>
    <mergeCell ref="E159:I159"/>
    <mergeCell ref="E160:I160"/>
    <mergeCell ref="E161:I161"/>
    <mergeCell ref="E170:I170"/>
    <mergeCell ref="E171:I171"/>
    <mergeCell ref="E259:I259"/>
    <mergeCell ref="E245:I245"/>
    <mergeCell ref="E246:I246"/>
    <mergeCell ref="E247:I247"/>
    <mergeCell ref="N2:O2"/>
    <mergeCell ref="E222:I222"/>
    <mergeCell ref="E429:I429"/>
    <mergeCell ref="E396:I396"/>
    <mergeCell ref="E387:I387"/>
    <mergeCell ref="E388:I388"/>
    <mergeCell ref="E389:I389"/>
    <mergeCell ref="E390:I390"/>
    <mergeCell ref="E382:I382"/>
    <mergeCell ref="E383:I383"/>
    <mergeCell ref="E282:I282"/>
    <mergeCell ref="E283:I283"/>
    <mergeCell ref="D342:I342"/>
    <mergeCell ref="E407:I407"/>
    <mergeCell ref="E381:I381"/>
    <mergeCell ref="E385:I385"/>
    <mergeCell ref="E391:I391"/>
    <mergeCell ref="E400:I400"/>
    <mergeCell ref="E395:I395"/>
    <mergeCell ref="E404:I404"/>
    <mergeCell ref="E386:I386"/>
    <mergeCell ref="D336:I336"/>
    <mergeCell ref="D352:I352"/>
    <mergeCell ref="D359:I359"/>
  </mergeCells>
  <conditionalFormatting sqref="I289">
    <cfRule type="cellIs" dxfId="911" priority="1" operator="notEqual">
      <formula>0</formula>
    </cfRule>
  </conditionalFormatting>
  <conditionalFormatting sqref="I543">
    <cfRule type="cellIs" dxfId="910" priority="2" operator="notEqual">
      <formula>0</formula>
    </cfRule>
  </conditionalFormatting>
  <conditionalFormatting sqref="J289:T289">
    <cfRule type="cellIs" dxfId="909" priority="3" operator="notEqual">
      <formula>0</formula>
    </cfRule>
  </conditionalFormatting>
  <conditionalFormatting sqref="J543:T543">
    <cfRule type="cellIs" dxfId="908" priority="4" operator="notEqual">
      <formula>0</formula>
    </cfRule>
  </conditionalFormatting>
  <conditionalFormatting sqref="I290">
    <cfRule type="cellIs" dxfId="907" priority="5" operator="notEqual">
      <formula>0</formula>
    </cfRule>
  </conditionalFormatting>
  <conditionalFormatting sqref="I544">
    <cfRule type="cellIs" dxfId="906" priority="6" operator="notEqual">
      <formula>0</formula>
    </cfRule>
  </conditionalFormatting>
  <conditionalFormatting sqref="J290:T290">
    <cfRule type="cellIs" dxfId="905" priority="7" operator="notEqual">
      <formula>0</formula>
    </cfRule>
  </conditionalFormatting>
  <conditionalFormatting sqref="J544:T544">
    <cfRule type="cellIs" dxfId="904" priority="8" operator="notEqual">
      <formula>0</formula>
    </cfRule>
  </conditionalFormatting>
  <conditionalFormatting sqref="I291">
    <cfRule type="cellIs" dxfId="903" priority="9" operator="notEqual">
      <formula>0</formula>
    </cfRule>
  </conditionalFormatting>
  <conditionalFormatting sqref="I545">
    <cfRule type="cellIs" dxfId="902" priority="10" operator="notEqual">
      <formula>0</formula>
    </cfRule>
  </conditionalFormatting>
  <conditionalFormatting sqref="J291:T291">
    <cfRule type="cellIs" dxfId="901" priority="11" operator="notEqual">
      <formula>0</formula>
    </cfRule>
  </conditionalFormatting>
  <conditionalFormatting sqref="J545:T545">
    <cfRule type="cellIs" dxfId="900" priority="12" operator="notEqual">
      <formula>0</formula>
    </cfRule>
  </conditionalFormatting>
  <conditionalFormatting sqref="I294">
    <cfRule type="cellIs" dxfId="899" priority="13" operator="notEqual">
      <formula>0</formula>
    </cfRule>
  </conditionalFormatting>
  <conditionalFormatting sqref="I548">
    <cfRule type="cellIs" dxfId="898" priority="14" operator="notEqual">
      <formula>0</formula>
    </cfRule>
  </conditionalFormatting>
  <conditionalFormatting sqref="J294:T294">
    <cfRule type="cellIs" dxfId="897" priority="15" operator="notEqual">
      <formula>0</formula>
    </cfRule>
  </conditionalFormatting>
  <conditionalFormatting sqref="J548:T548">
    <cfRule type="cellIs" dxfId="896" priority="16" operator="notEqual">
      <formula>0</formula>
    </cfRule>
  </conditionalFormatting>
  <conditionalFormatting sqref="I295">
    <cfRule type="cellIs" dxfId="895" priority="17" operator="notEqual">
      <formula>0</formula>
    </cfRule>
  </conditionalFormatting>
  <conditionalFormatting sqref="I549">
    <cfRule type="cellIs" dxfId="894" priority="18" operator="notEqual">
      <formula>0</formula>
    </cfRule>
  </conditionalFormatting>
  <conditionalFormatting sqref="J295:T295">
    <cfRule type="cellIs" dxfId="893" priority="19" operator="notEqual">
      <formula>0</formula>
    </cfRule>
  </conditionalFormatting>
  <conditionalFormatting sqref="J549:T549">
    <cfRule type="cellIs" dxfId="892" priority="20" operator="notEqual">
      <formula>0</formula>
    </cfRule>
  </conditionalFormatting>
  <conditionalFormatting sqref="I292">
    <cfRule type="cellIs" dxfId="891" priority="21" operator="notEqual">
      <formula>0</formula>
    </cfRule>
  </conditionalFormatting>
  <conditionalFormatting sqref="I546">
    <cfRule type="cellIs" dxfId="890" priority="22" operator="notEqual">
      <formula>0</formula>
    </cfRule>
  </conditionalFormatting>
  <conditionalFormatting sqref="J292:T292">
    <cfRule type="cellIs" dxfId="889" priority="23" operator="notEqual">
      <formula>0</formula>
    </cfRule>
  </conditionalFormatting>
  <conditionalFormatting sqref="J546:T546">
    <cfRule type="cellIs" dxfId="888" priority="24" operator="notEqual">
      <formula>0</formula>
    </cfRule>
  </conditionalFormatting>
  <dataValidations count="1">
    <dataValidation type="custom" showErrorMessage="1" errorTitle="Invalid Assumption" error="Assumption must be a number." sqref="J54:T58 J44:T48 J326:T327 J319:T320 J340:T340 J74:T74" xr:uid="{0502F18E-488F-4BCB-A57E-8752461F42D9}">
      <formula1>NOT(ISERROR(J44/1))</formula1>
    </dataValidation>
  </dataValidations>
  <hyperlinks>
    <hyperlink ref="A1" location="HL_Home" tooltip="Go to Table of Contents" display="HL_Home" xr:uid="{0E694E0A-EF24-41F0-B33A-E86F7A4A44FD}"/>
    <hyperlink ref="A2" location="HL_Err_Chk" tooltip="Go to Error Checks" display="HL_Err_Chk" xr:uid="{47E645AC-C653-4B84-B057-BCBCC7E59BEC}"/>
  </hyperlinks>
  <pageMargins left="0.39370078740157499" right="0.39370078740157499" top="0.59055118110236204" bottom="0.98425196850393704" header="0" footer="0.31496062992126"/>
  <pageSetup paperSize="9" orientation="landscape" r:id="rId1"/>
  <headerFooter>
    <oddFooter>&amp;L&amp;F
&amp;A
Printed: &amp;T on &amp;D&amp;CPage &amp;P of &amp;N</oddFooter>
  </headerFooter>
  <customProperties>
    <customPr name="EpmWorksheetKeyString_GUID" r:id="rId2"/>
  </customProperties>
  <legacyDrawing r:id="rId3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BECD9C-8F71-453A-A915-6003D19F9F75}">
  <sheetPr>
    <pageSetUpPr autoPageBreaks="0"/>
  </sheetPr>
  <dimension ref="A1:T585"/>
  <sheetViews>
    <sheetView showGridLines="0" zoomScaleNormal="100" workbookViewId="0">
      <pane xSplit="9" ySplit="21" topLeftCell="J22" activePane="bottomRight" state="frozen"/>
      <selection activeCell="N2" sqref="N2:O2"/>
      <selection pane="topRight" activeCell="N2" sqref="N2:O2"/>
      <selection pane="bottomLeft" activeCell="N2" sqref="N2:O2"/>
      <selection pane="bottomRight" activeCell="N2" sqref="N2:O2"/>
    </sheetView>
  </sheetViews>
  <sheetFormatPr defaultColWidth="11.59765625" defaultRowHeight="11.5" outlineLevelRow="3"/>
  <cols>
    <col min="1" max="5" width="3.59765625" customWidth="1"/>
    <col min="6" max="7" width="15.59765625" customWidth="1"/>
  </cols>
  <sheetData>
    <row r="1" spans="1:20" ht="14">
      <c r="A1" s="10" t="s">
        <v>11</v>
      </c>
      <c r="B1" s="6" t="s">
        <v>288</v>
      </c>
    </row>
    <row r="2" spans="1:20" ht="13">
      <c r="A2" s="23" t="s">
        <v>26</v>
      </c>
      <c r="B2" s="7" t="str">
        <f ca="1">Model_Name</f>
        <v>GAAR Capex Forecast</v>
      </c>
      <c r="N2" s="253" t="s">
        <v>493</v>
      </c>
      <c r="O2" s="253"/>
    </row>
    <row r="3" spans="1:20">
      <c r="B3" s="30"/>
      <c r="C3" s="30"/>
      <c r="D3" s="30"/>
      <c r="E3" s="30"/>
      <c r="F3" s="30"/>
      <c r="G3" s="30"/>
      <c r="H3" s="30"/>
      <c r="I3" s="30"/>
      <c r="J3" s="30"/>
      <c r="K3" s="30"/>
      <c r="L3" s="30"/>
      <c r="M3" s="30"/>
      <c r="N3" s="30"/>
      <c r="O3" s="30"/>
      <c r="P3" s="30"/>
      <c r="Q3" s="30"/>
      <c r="R3" s="30"/>
      <c r="S3" s="30"/>
      <c r="T3" s="30"/>
    </row>
    <row r="4" spans="1:20">
      <c r="B4" s="116" t="s">
        <v>74</v>
      </c>
      <c r="C4" s="118"/>
      <c r="D4" s="118"/>
      <c r="E4" s="118"/>
      <c r="F4" s="118"/>
      <c r="G4" s="118"/>
      <c r="H4" s="118"/>
      <c r="I4" s="118"/>
      <c r="J4" s="119">
        <f t="shared" ref="J4:T4" si="0">J8</f>
        <v>43465</v>
      </c>
      <c r="K4" s="119">
        <f t="shared" si="0"/>
        <v>43830</v>
      </c>
      <c r="L4" s="119">
        <f t="shared" si="0"/>
        <v>44196</v>
      </c>
      <c r="M4" s="119">
        <f t="shared" si="0"/>
        <v>44561</v>
      </c>
      <c r="N4" s="119">
        <f t="shared" si="0"/>
        <v>44926</v>
      </c>
      <c r="O4" s="121">
        <f t="shared" si="0"/>
        <v>45107</v>
      </c>
      <c r="P4" s="121">
        <f t="shared" si="0"/>
        <v>45473</v>
      </c>
      <c r="Q4" s="121">
        <f t="shared" si="0"/>
        <v>45838</v>
      </c>
      <c r="R4" s="121">
        <f t="shared" si="0"/>
        <v>46203</v>
      </c>
      <c r="S4" s="121">
        <f t="shared" si="0"/>
        <v>46568</v>
      </c>
      <c r="T4" s="121">
        <f t="shared" si="0"/>
        <v>46934</v>
      </c>
    </row>
    <row r="5" spans="1:20">
      <c r="B5" s="117" t="s">
        <v>100</v>
      </c>
      <c r="C5" s="117"/>
      <c r="D5" s="117"/>
      <c r="E5" s="117"/>
      <c r="F5" s="117"/>
      <c r="G5" s="117"/>
      <c r="H5" s="117"/>
      <c r="I5" s="117"/>
      <c r="J5" s="120">
        <f t="shared" ref="J5:T5" si="1">YEAR(J8)</f>
        <v>2018</v>
      </c>
      <c r="K5" s="120">
        <f t="shared" si="1"/>
        <v>2019</v>
      </c>
      <c r="L5" s="120">
        <f t="shared" si="1"/>
        <v>2020</v>
      </c>
      <c r="M5" s="120">
        <f t="shared" si="1"/>
        <v>2021</v>
      </c>
      <c r="N5" s="120">
        <f t="shared" si="1"/>
        <v>2022</v>
      </c>
      <c r="O5" s="120">
        <f t="shared" si="1"/>
        <v>2023</v>
      </c>
      <c r="P5" s="120">
        <f t="shared" si="1"/>
        <v>2024</v>
      </c>
      <c r="Q5" s="120">
        <f t="shared" si="1"/>
        <v>2025</v>
      </c>
      <c r="R5" s="120">
        <f t="shared" si="1"/>
        <v>2026</v>
      </c>
      <c r="S5" s="120">
        <f t="shared" si="1"/>
        <v>2027</v>
      </c>
      <c r="T5" s="120">
        <f t="shared" si="1"/>
        <v>2028</v>
      </c>
    </row>
    <row r="6" spans="1:20">
      <c r="B6" s="113" t="s">
        <v>91</v>
      </c>
      <c r="C6" s="113"/>
      <c r="D6" s="113"/>
      <c r="E6" s="113"/>
      <c r="F6" s="113"/>
      <c r="G6" s="113"/>
      <c r="H6" s="113"/>
      <c r="I6" s="113"/>
      <c r="J6" s="115" t="str">
        <f t="shared" ref="J6:T6" si="2">IF(J$17,"Actual","Forecast")</f>
        <v>Actual</v>
      </c>
      <c r="K6" s="115" t="str">
        <f t="shared" si="2"/>
        <v>Actual</v>
      </c>
      <c r="L6" s="115" t="str">
        <f t="shared" si="2"/>
        <v>Actual</v>
      </c>
      <c r="M6" s="115" t="str">
        <f t="shared" si="2"/>
        <v>Actual</v>
      </c>
      <c r="N6" s="115" t="str">
        <f t="shared" si="2"/>
        <v>Forecast</v>
      </c>
      <c r="O6" s="114" t="str">
        <f t="shared" si="2"/>
        <v>Forecast</v>
      </c>
      <c r="P6" s="114" t="str">
        <f t="shared" si="2"/>
        <v>Forecast</v>
      </c>
      <c r="Q6" s="114" t="str">
        <f t="shared" si="2"/>
        <v>Forecast</v>
      </c>
      <c r="R6" s="114" t="str">
        <f t="shared" si="2"/>
        <v>Forecast</v>
      </c>
      <c r="S6" s="114" t="str">
        <f t="shared" si="2"/>
        <v>Forecast</v>
      </c>
      <c r="T6" s="114" t="str">
        <f t="shared" si="2"/>
        <v>Forecast</v>
      </c>
    </row>
    <row r="7" spans="1:20" hidden="1" outlineLevel="3">
      <c r="B7" s="30" t="s">
        <v>101</v>
      </c>
      <c r="C7" s="30"/>
      <c r="D7" s="30"/>
      <c r="E7" s="30"/>
      <c r="F7" s="30"/>
      <c r="G7" s="30"/>
      <c r="H7" s="30"/>
      <c r="I7" s="30"/>
      <c r="J7" s="36">
        <f>EDATE(Ts_Start_Date,(J10-1)*Ts_Mths_In_Yr)</f>
        <v>43101</v>
      </c>
      <c r="K7" s="36">
        <f>EDATE(Ts_Start_Date,(K10-1)*Ts_Mths_In_Yr)</f>
        <v>43466</v>
      </c>
      <c r="L7" s="36">
        <f>EDATE(Ts_Start_Date,(L10-1)*Ts_Mths_In_Yr)</f>
        <v>43831</v>
      </c>
      <c r="M7" s="36">
        <f>EDATE(Ts_Start_Date,(M10-1)*Ts_Mths_In_Yr)</f>
        <v>44197</v>
      </c>
      <c r="N7" s="36">
        <f>EDATE(Ts_Start_Date,(N10-1)*Ts_Mths_In_Yr)</f>
        <v>44562</v>
      </c>
      <c r="O7" s="36">
        <f>Ts_Stub_Start_Date</f>
        <v>44927</v>
      </c>
      <c r="P7" s="36">
        <f>EDATE(Ts_Forecast_Reg_Start_Date,(P16-1)*Ts_Mths_In_Yr)</f>
        <v>45108</v>
      </c>
      <c r="Q7" s="36">
        <f>EDATE(Ts_Forecast_Reg_Start_Date,(Q16-1)*Ts_Mths_In_Yr)</f>
        <v>45474</v>
      </c>
      <c r="R7" s="36">
        <f>EDATE(Ts_Forecast_Reg_Start_Date,(R16-1)*Ts_Mths_In_Yr)</f>
        <v>45839</v>
      </c>
      <c r="S7" s="36">
        <f>EDATE(Ts_Forecast_Reg_Start_Date,(S16-1)*Ts_Mths_In_Yr)</f>
        <v>46204</v>
      </c>
      <c r="T7" s="36">
        <f>EDATE(Ts_Forecast_Reg_Start_Date,(T16-1)*Ts_Mths_In_Yr)</f>
        <v>46569</v>
      </c>
    </row>
    <row r="8" spans="1:20" hidden="1" outlineLevel="3">
      <c r="B8" s="30" t="s">
        <v>102</v>
      </c>
      <c r="C8" s="30"/>
      <c r="D8" s="30"/>
      <c r="E8" s="30"/>
      <c r="F8" s="30"/>
      <c r="G8" s="30"/>
      <c r="H8" s="30"/>
      <c r="I8" s="30"/>
      <c r="J8" s="36">
        <f>EOMONTH(J7,Ts_Mths_In_Yr-1)</f>
        <v>43465</v>
      </c>
      <c r="K8" s="36">
        <f>EOMONTH(K7,Ts_Mths_In_Yr-1)</f>
        <v>43830</v>
      </c>
      <c r="L8" s="36">
        <f>EOMONTH(L7,Ts_Mths_In_Yr-1)</f>
        <v>44196</v>
      </c>
      <c r="M8" s="36">
        <f>EOMONTH(M7,Ts_Mths_In_Yr-1)</f>
        <v>44561</v>
      </c>
      <c r="N8" s="36">
        <f>EOMONTH(N7,Ts_Mths_In_Yr-1)</f>
        <v>44926</v>
      </c>
      <c r="O8" s="36">
        <f>EOMONTH(O7,Ts_Stub_Length-1)</f>
        <v>45107</v>
      </c>
      <c r="P8" s="36">
        <f>EOMONTH(P7,Ts_Mths_In_Yr-1)</f>
        <v>45473</v>
      </c>
      <c r="Q8" s="36">
        <f>EOMONTH(Q7,Ts_Mths_In_Yr-1)</f>
        <v>45838</v>
      </c>
      <c r="R8" s="36">
        <f>EOMONTH(R7,Ts_Mths_In_Yr-1)</f>
        <v>46203</v>
      </c>
      <c r="S8" s="36">
        <f>EOMONTH(S7,Ts_Mths_In_Yr-1)</f>
        <v>46568</v>
      </c>
      <c r="T8" s="36">
        <f>EOMONTH(T7,Ts_Mths_In_Yr-1)</f>
        <v>46934</v>
      </c>
    </row>
    <row r="9" spans="1:20" hidden="1" outlineLevel="3">
      <c r="B9" s="30" t="s">
        <v>87</v>
      </c>
      <c r="C9" s="30"/>
      <c r="D9" s="30"/>
      <c r="E9" s="30"/>
      <c r="F9" s="30"/>
      <c r="G9" s="30"/>
      <c r="H9" s="30"/>
      <c r="I9" s="30"/>
      <c r="J9" s="14">
        <f t="shared" ref="J9:T9" si="3">DATEDIF(J7,J8,"m")+1</f>
        <v>12</v>
      </c>
      <c r="K9" s="14">
        <f t="shared" si="3"/>
        <v>12</v>
      </c>
      <c r="L9" s="14">
        <f t="shared" si="3"/>
        <v>12</v>
      </c>
      <c r="M9" s="14">
        <f t="shared" si="3"/>
        <v>12</v>
      </c>
      <c r="N9" s="14">
        <f t="shared" si="3"/>
        <v>12</v>
      </c>
      <c r="O9" s="14">
        <f t="shared" si="3"/>
        <v>6</v>
      </c>
      <c r="P9" s="38">
        <f t="shared" si="3"/>
        <v>12</v>
      </c>
      <c r="Q9" s="38">
        <f t="shared" si="3"/>
        <v>12</v>
      </c>
      <c r="R9" s="38">
        <f t="shared" si="3"/>
        <v>12</v>
      </c>
      <c r="S9" s="38">
        <f t="shared" si="3"/>
        <v>12</v>
      </c>
      <c r="T9" s="38">
        <f t="shared" si="3"/>
        <v>12</v>
      </c>
    </row>
    <row r="10" spans="1:20" hidden="1" outlineLevel="3">
      <c r="B10" s="30" t="s">
        <v>72</v>
      </c>
      <c r="C10" s="30"/>
      <c r="D10" s="30"/>
      <c r="E10" s="30"/>
      <c r="F10" s="30"/>
      <c r="G10" s="30"/>
      <c r="H10" s="30"/>
      <c r="I10" s="30"/>
      <c r="J10" s="40">
        <f>COLUMNS($J$10:J10)</f>
        <v>1</v>
      </c>
      <c r="K10" s="40">
        <f>COLUMNS($J$10:K10)</f>
        <v>2</v>
      </c>
      <c r="L10" s="40">
        <f>COLUMNS($J$10:L10)</f>
        <v>3</v>
      </c>
      <c r="M10" s="40">
        <f>COLUMNS($J$10:M10)</f>
        <v>4</v>
      </c>
      <c r="N10" s="40">
        <f>COLUMNS($J$10:N10)</f>
        <v>5</v>
      </c>
      <c r="O10" s="40">
        <f>COLUMNS($J$10:O10)</f>
        <v>6</v>
      </c>
      <c r="P10" s="40">
        <f>COLUMNS($J$10:P10)</f>
        <v>7</v>
      </c>
      <c r="Q10" s="40">
        <f>COLUMNS($J$10:Q10)</f>
        <v>8</v>
      </c>
      <c r="R10" s="40">
        <f>COLUMNS($J$10:R10)</f>
        <v>9</v>
      </c>
      <c r="S10" s="40">
        <f>COLUMNS($J$10:S10)</f>
        <v>10</v>
      </c>
      <c r="T10" s="40">
        <f>COLUMNS($J$10:T10)</f>
        <v>11</v>
      </c>
    </row>
    <row r="11" spans="1:20" hidden="1" outlineLevel="3">
      <c r="B11" s="30" t="s">
        <v>76</v>
      </c>
      <c r="C11" s="30"/>
      <c r="D11" s="30"/>
      <c r="E11" s="30"/>
      <c r="F11" s="30"/>
      <c r="G11" s="30"/>
      <c r="H11" s="30"/>
      <c r="I11" s="30"/>
      <c r="J11" s="40">
        <f>(J12&lt;&gt;0)*1</f>
        <v>1</v>
      </c>
      <c r="K11" s="40">
        <f>(K12&lt;&gt;0)*1</f>
        <v>1</v>
      </c>
      <c r="L11" s="40">
        <f>(L12&lt;&gt;0)*1</f>
        <v>1</v>
      </c>
      <c r="M11" s="40">
        <f>(M12&lt;&gt;0)*1</f>
        <v>1</v>
      </c>
      <c r="N11" s="40">
        <f>(N12&lt;&gt;0)*1</f>
        <v>1</v>
      </c>
      <c r="O11" s="45">
        <v>0</v>
      </c>
      <c r="P11" s="45">
        <v>0</v>
      </c>
      <c r="Q11" s="45">
        <v>0</v>
      </c>
      <c r="R11" s="45">
        <v>0</v>
      </c>
      <c r="S11" s="45">
        <v>0</v>
      </c>
      <c r="T11" s="45">
        <v>0</v>
      </c>
    </row>
    <row r="12" spans="1:20" hidden="1" outlineLevel="3">
      <c r="B12" s="30" t="s">
        <v>96</v>
      </c>
      <c r="C12" s="30"/>
      <c r="D12" s="30"/>
      <c r="E12" s="30"/>
      <c r="F12" s="30"/>
      <c r="G12" s="30"/>
      <c r="H12" s="30"/>
      <c r="I12" s="30"/>
      <c r="J12" s="40">
        <f>COLUMNS($J$10:J10)</f>
        <v>1</v>
      </c>
      <c r="K12" s="40">
        <f>COLUMNS($J$10:K10)</f>
        <v>2</v>
      </c>
      <c r="L12" s="40">
        <f>COLUMNS($J$10:L10)</f>
        <v>3</v>
      </c>
      <c r="M12" s="40">
        <f>COLUMNS($J$10:M10)</f>
        <v>4</v>
      </c>
      <c r="N12" s="40">
        <f>COLUMNS($J$10:N10)</f>
        <v>5</v>
      </c>
      <c r="O12" s="45">
        <v>0</v>
      </c>
      <c r="P12" s="45">
        <v>0</v>
      </c>
      <c r="Q12" s="45">
        <v>0</v>
      </c>
      <c r="R12" s="45">
        <v>0</v>
      </c>
      <c r="S12" s="45">
        <v>0</v>
      </c>
      <c r="T12" s="45">
        <v>0</v>
      </c>
    </row>
    <row r="13" spans="1:20" hidden="1" outlineLevel="3">
      <c r="B13" s="30" t="s">
        <v>79</v>
      </c>
      <c r="C13" s="30"/>
      <c r="D13" s="30"/>
      <c r="E13" s="30"/>
      <c r="F13" s="30"/>
      <c r="G13" s="30"/>
      <c r="H13" s="30"/>
      <c r="I13" s="30"/>
      <c r="J13" s="45">
        <v>0</v>
      </c>
      <c r="K13" s="45">
        <v>0</v>
      </c>
      <c r="L13" s="45">
        <v>0</v>
      </c>
      <c r="M13" s="45">
        <v>0</v>
      </c>
      <c r="N13" s="45">
        <v>0</v>
      </c>
      <c r="O13" s="40">
        <f>(O14&lt;&gt;0)*1</f>
        <v>1</v>
      </c>
      <c r="P13" s="45">
        <v>0</v>
      </c>
      <c r="Q13" s="45">
        <v>0</v>
      </c>
      <c r="R13" s="45">
        <v>0</v>
      </c>
      <c r="S13" s="45">
        <v>0</v>
      </c>
      <c r="T13" s="45">
        <v>0</v>
      </c>
    </row>
    <row r="14" spans="1:20" hidden="1" outlineLevel="3">
      <c r="B14" s="30" t="s">
        <v>97</v>
      </c>
      <c r="C14" s="30"/>
      <c r="D14" s="30"/>
      <c r="E14" s="30"/>
      <c r="F14" s="30"/>
      <c r="G14" s="30"/>
      <c r="H14" s="30"/>
      <c r="I14" s="30"/>
      <c r="J14" s="45">
        <v>0</v>
      </c>
      <c r="K14" s="45">
        <v>0</v>
      </c>
      <c r="L14" s="45">
        <v>0</v>
      </c>
      <c r="M14" s="45">
        <v>0</v>
      </c>
      <c r="N14" s="45">
        <v>0</v>
      </c>
      <c r="O14" s="40">
        <f>COLUMNS($O$14:O14)</f>
        <v>1</v>
      </c>
      <c r="P14" s="45">
        <v>0</v>
      </c>
      <c r="Q14" s="45">
        <v>0</v>
      </c>
      <c r="R14" s="45">
        <v>0</v>
      </c>
      <c r="S14" s="45">
        <v>0</v>
      </c>
      <c r="T14" s="45">
        <v>0</v>
      </c>
    </row>
    <row r="15" spans="1:20" hidden="1" outlineLevel="3">
      <c r="B15" s="30" t="s">
        <v>82</v>
      </c>
      <c r="C15" s="30"/>
      <c r="D15" s="30"/>
      <c r="E15" s="30"/>
      <c r="F15" s="30"/>
      <c r="G15" s="30"/>
      <c r="H15" s="30"/>
      <c r="I15" s="30"/>
      <c r="J15" s="45">
        <v>0</v>
      </c>
      <c r="K15" s="45">
        <v>0</v>
      </c>
      <c r="L15" s="45">
        <v>0</v>
      </c>
      <c r="M15" s="45">
        <v>0</v>
      </c>
      <c r="N15" s="45">
        <v>0</v>
      </c>
      <c r="O15" s="45">
        <v>0</v>
      </c>
      <c r="P15" s="39">
        <f>(P16&lt;&gt;0)*1</f>
        <v>1</v>
      </c>
      <c r="Q15" s="39">
        <f>(Q16&lt;&gt;0)*1</f>
        <v>1</v>
      </c>
      <c r="R15" s="39">
        <f>(R16&lt;&gt;0)*1</f>
        <v>1</v>
      </c>
      <c r="S15" s="39">
        <f>(S16&lt;&gt;0)*1</f>
        <v>1</v>
      </c>
      <c r="T15" s="39">
        <f>(T16&lt;&gt;0)*1</f>
        <v>1</v>
      </c>
    </row>
    <row r="16" spans="1:20" hidden="1" outlineLevel="3">
      <c r="B16" s="30" t="s">
        <v>98</v>
      </c>
      <c r="C16" s="30"/>
      <c r="D16" s="30"/>
      <c r="E16" s="30"/>
      <c r="F16" s="30"/>
      <c r="G16" s="30"/>
      <c r="H16" s="30"/>
      <c r="I16" s="30"/>
      <c r="J16" s="45">
        <v>0</v>
      </c>
      <c r="K16" s="45">
        <v>0</v>
      </c>
      <c r="L16" s="45">
        <v>0</v>
      </c>
      <c r="M16" s="45">
        <v>0</v>
      </c>
      <c r="N16" s="45">
        <v>0</v>
      </c>
      <c r="O16" s="45">
        <v>0</v>
      </c>
      <c r="P16" s="39">
        <f>COLUMNS($P$16:P16)</f>
        <v>1</v>
      </c>
      <c r="Q16" s="39">
        <f>COLUMNS($P$16:Q16)</f>
        <v>2</v>
      </c>
      <c r="R16" s="39">
        <f>COLUMNS($P$16:R16)</f>
        <v>3</v>
      </c>
      <c r="S16" s="39">
        <f>COLUMNS($P$16:S16)</f>
        <v>4</v>
      </c>
      <c r="T16" s="39">
        <f>COLUMNS($P$16:T16)</f>
        <v>5</v>
      </c>
    </row>
    <row r="17" spans="2:20" hidden="1" outlineLevel="3">
      <c r="B17" s="30" t="s">
        <v>206</v>
      </c>
      <c r="C17" s="30"/>
      <c r="D17" s="30"/>
      <c r="E17" s="30"/>
      <c r="F17" s="30"/>
      <c r="G17" s="30"/>
      <c r="H17" s="30"/>
      <c r="I17" s="30"/>
      <c r="J17" s="39">
        <f t="shared" ref="J17:T17" si="4">IF(J$5&lt;=Ts_Last_Actual_Year,1,0)</f>
        <v>1</v>
      </c>
      <c r="K17" s="39">
        <f t="shared" si="4"/>
        <v>1</v>
      </c>
      <c r="L17" s="39">
        <f t="shared" si="4"/>
        <v>1</v>
      </c>
      <c r="M17" s="39">
        <f t="shared" si="4"/>
        <v>1</v>
      </c>
      <c r="N17" s="39">
        <f t="shared" si="4"/>
        <v>0</v>
      </c>
      <c r="O17" s="39">
        <f t="shared" si="4"/>
        <v>0</v>
      </c>
      <c r="P17" s="39">
        <f t="shared" si="4"/>
        <v>0</v>
      </c>
      <c r="Q17" s="39">
        <f t="shared" si="4"/>
        <v>0</v>
      </c>
      <c r="R17" s="39">
        <f t="shared" si="4"/>
        <v>0</v>
      </c>
      <c r="S17" s="39">
        <f t="shared" si="4"/>
        <v>0</v>
      </c>
      <c r="T17" s="39">
        <f t="shared" si="4"/>
        <v>0</v>
      </c>
    </row>
    <row r="18" spans="2:20" hidden="1" outlineLevel="3">
      <c r="B18" s="30" t="s">
        <v>207</v>
      </c>
      <c r="C18" s="30"/>
      <c r="D18" s="30"/>
      <c r="E18" s="30"/>
      <c r="F18" s="30"/>
      <c r="G18" s="30"/>
      <c r="H18" s="30"/>
      <c r="I18" s="30"/>
      <c r="J18" s="39">
        <f t="shared" ref="J18:T18" si="5">IF(J$5&gt;Ts_Last_Actual_Year,1,0)</f>
        <v>0</v>
      </c>
      <c r="K18" s="39">
        <f t="shared" si="5"/>
        <v>0</v>
      </c>
      <c r="L18" s="39">
        <f t="shared" si="5"/>
        <v>0</v>
      </c>
      <c r="M18" s="39">
        <f t="shared" si="5"/>
        <v>0</v>
      </c>
      <c r="N18" s="39">
        <f t="shared" si="5"/>
        <v>1</v>
      </c>
      <c r="O18" s="40">
        <f t="shared" si="5"/>
        <v>1</v>
      </c>
      <c r="P18" s="40">
        <f t="shared" si="5"/>
        <v>1</v>
      </c>
      <c r="Q18" s="40">
        <f t="shared" si="5"/>
        <v>1</v>
      </c>
      <c r="R18" s="40">
        <f t="shared" si="5"/>
        <v>1</v>
      </c>
      <c r="S18" s="40">
        <f t="shared" si="5"/>
        <v>1</v>
      </c>
      <c r="T18" s="40">
        <f t="shared" si="5"/>
        <v>1</v>
      </c>
    </row>
    <row r="19" spans="2:20" hidden="1" outlineLevel="3">
      <c r="B19" s="30" t="s">
        <v>208</v>
      </c>
      <c r="C19" s="30"/>
      <c r="D19" s="30"/>
      <c r="E19" s="30"/>
      <c r="F19" s="30"/>
      <c r="G19" s="30"/>
      <c r="H19" s="30"/>
      <c r="I19" s="30"/>
      <c r="J19" s="39">
        <f>SUM($J18:J18)</f>
        <v>0</v>
      </c>
      <c r="K19" s="39">
        <f>SUM($J18:K18)</f>
        <v>0</v>
      </c>
      <c r="L19" s="39">
        <f>SUM($J18:L18)</f>
        <v>0</v>
      </c>
      <c r="M19" s="39">
        <f>SUM($J18:M18)</f>
        <v>0</v>
      </c>
      <c r="N19" s="39">
        <f>SUM($J18:N18)</f>
        <v>1</v>
      </c>
      <c r="O19" s="40">
        <f>SUM($J18:O18)</f>
        <v>2</v>
      </c>
      <c r="P19" s="40">
        <f>SUM($J18:P18)</f>
        <v>3</v>
      </c>
      <c r="Q19" s="40">
        <f>SUM($J18:Q18)</f>
        <v>4</v>
      </c>
      <c r="R19" s="40">
        <f>SUM($J18:R18)</f>
        <v>5</v>
      </c>
      <c r="S19" s="40">
        <f>SUM($J18:S18)</f>
        <v>6</v>
      </c>
      <c r="T19" s="40">
        <f>SUM($J18:T18)</f>
        <v>7</v>
      </c>
    </row>
    <row r="20" spans="2:20" hidden="1" outlineLevel="3">
      <c r="B20" s="30" t="s">
        <v>481</v>
      </c>
      <c r="C20" s="30"/>
      <c r="D20" s="30"/>
      <c r="E20" s="30"/>
      <c r="F20" s="30"/>
      <c r="G20" s="30"/>
      <c r="H20" s="30"/>
      <c r="I20" s="30"/>
      <c r="J20" s="38">
        <f t="shared" ref="J20:N20" si="6">J9/12</f>
        <v>1</v>
      </c>
      <c r="K20" s="38">
        <f t="shared" si="6"/>
        <v>1</v>
      </c>
      <c r="L20" s="38">
        <f t="shared" si="6"/>
        <v>1</v>
      </c>
      <c r="M20" s="38">
        <f t="shared" si="6"/>
        <v>1</v>
      </c>
      <c r="N20" s="38">
        <f t="shared" si="6"/>
        <v>1</v>
      </c>
      <c r="O20" s="38">
        <f>O9/12</f>
        <v>0.5</v>
      </c>
      <c r="P20" s="38">
        <f t="shared" ref="P20:T20" si="7">P9/12</f>
        <v>1</v>
      </c>
      <c r="Q20" s="38">
        <f t="shared" si="7"/>
        <v>1</v>
      </c>
      <c r="R20" s="38">
        <f t="shared" si="7"/>
        <v>1</v>
      </c>
      <c r="S20" s="38">
        <f t="shared" si="7"/>
        <v>1</v>
      </c>
      <c r="T20" s="38">
        <f t="shared" si="7"/>
        <v>1</v>
      </c>
    </row>
    <row r="21" spans="2:20" hidden="1" outlineLevel="3">
      <c r="B21" s="30"/>
      <c r="C21" s="30"/>
      <c r="D21" s="30"/>
      <c r="E21" s="30"/>
      <c r="F21" s="30"/>
      <c r="G21" s="30"/>
      <c r="H21" s="30"/>
      <c r="I21" s="30"/>
      <c r="J21" s="30"/>
      <c r="K21" s="30"/>
      <c r="L21" s="30"/>
      <c r="M21" s="30"/>
      <c r="N21" s="30"/>
      <c r="O21" s="30"/>
      <c r="P21" s="30"/>
      <c r="Q21" s="30"/>
      <c r="R21" s="30"/>
      <c r="S21" s="30"/>
      <c r="T21" s="30"/>
    </row>
    <row r="22" spans="2:20" collapsed="1"/>
    <row r="23" spans="2:20" ht="14">
      <c r="B23" s="110" t="s">
        <v>242</v>
      </c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</row>
    <row r="24" spans="2:20" ht="5.9" customHeight="1"/>
    <row r="25" spans="2:20" ht="14">
      <c r="B25" s="56" t="str">
        <f>GC!F16</f>
        <v>Industrial &amp; Commercial Meters - Planned</v>
      </c>
    </row>
    <row r="26" spans="2:20" ht="5.9" customHeight="1" outlineLevel="1"/>
    <row r="27" spans="2:20" hidden="1" outlineLevel="2">
      <c r="C27" s="37" t="s">
        <v>204</v>
      </c>
    </row>
    <row r="28" spans="2:20" ht="5.9" hidden="1" customHeight="1" outlineLevel="2"/>
    <row r="29" spans="2:20" hidden="1" outlineLevel="2">
      <c r="D29" s="51" t="s">
        <v>103</v>
      </c>
      <c r="J29" s="92">
        <f>Rates!J42</f>
        <v>1</v>
      </c>
      <c r="K29" s="92">
        <f>Rates!K42</f>
        <v>1</v>
      </c>
      <c r="L29" s="92">
        <f>Rates!L42</f>
        <v>1</v>
      </c>
      <c r="M29" s="92">
        <f>Rates!M42</f>
        <v>1</v>
      </c>
      <c r="N29" s="92">
        <f>Rates!N42</f>
        <v>1</v>
      </c>
      <c r="O29" s="92">
        <f>Rates!O42</f>
        <v>1.0051959235721353</v>
      </c>
      <c r="P29" s="92">
        <f>Rates!P42</f>
        <v>1.0102301741405761</v>
      </c>
      <c r="Q29" s="92">
        <f>Rates!Q42</f>
        <v>1.0181072873442809</v>
      </c>
      <c r="R29" s="92">
        <f>Rates!R42</f>
        <v>1.0293150686557422</v>
      </c>
      <c r="S29" s="92">
        <f>Rates!S42</f>
        <v>1.040646230246951</v>
      </c>
      <c r="T29" s="92">
        <f>Rates!T42</f>
        <v>1.0521021303433229</v>
      </c>
    </row>
    <row r="30" spans="2:20" hidden="1" outlineLevel="2">
      <c r="D30" s="51" t="s">
        <v>104</v>
      </c>
      <c r="J30" s="92">
        <f>Rates!J43</f>
        <v>1</v>
      </c>
      <c r="K30" s="92">
        <f>Rates!K43</f>
        <v>1</v>
      </c>
      <c r="L30" s="92">
        <f>Rates!L43</f>
        <v>1</v>
      </c>
      <c r="M30" s="92">
        <f>Rates!M43</f>
        <v>1</v>
      </c>
      <c r="N30" s="92">
        <f>Rates!N43</f>
        <v>1</v>
      </c>
      <c r="O30" s="92">
        <f>Rates!O43</f>
        <v>1</v>
      </c>
      <c r="P30" s="92">
        <f>Rates!P43</f>
        <v>1</v>
      </c>
      <c r="Q30" s="92">
        <f>Rates!Q43</f>
        <v>1</v>
      </c>
      <c r="R30" s="92">
        <f>Rates!R43</f>
        <v>1</v>
      </c>
      <c r="S30" s="92">
        <f>Rates!S43</f>
        <v>1</v>
      </c>
      <c r="T30" s="92">
        <f>Rates!T43</f>
        <v>1</v>
      </c>
    </row>
    <row r="31" spans="2:20" hidden="1" outlineLevel="2">
      <c r="D31" s="51" t="s">
        <v>130</v>
      </c>
      <c r="J31" s="92">
        <f>Rates!J45</f>
        <v>1</v>
      </c>
      <c r="K31" s="92">
        <f>Rates!K45</f>
        <v>1</v>
      </c>
      <c r="L31" s="92">
        <f>Rates!L45</f>
        <v>1</v>
      </c>
      <c r="M31" s="92">
        <f>Rates!M45</f>
        <v>1</v>
      </c>
      <c r="N31" s="92">
        <f>Rates!N45</f>
        <v>1</v>
      </c>
      <c r="O31" s="92">
        <f>Rates!O45</f>
        <v>1</v>
      </c>
      <c r="P31" s="92">
        <f>Rates!P45</f>
        <v>1</v>
      </c>
      <c r="Q31" s="92">
        <f>Rates!Q45</f>
        <v>1</v>
      </c>
      <c r="R31" s="92">
        <f>Rates!R45</f>
        <v>1</v>
      </c>
      <c r="S31" s="92">
        <f>Rates!S45</f>
        <v>1</v>
      </c>
      <c r="T31" s="92">
        <f>Rates!T45</f>
        <v>1</v>
      </c>
    </row>
    <row r="32" spans="2:20" ht="5.9" hidden="1" customHeight="1" outlineLevel="2"/>
    <row r="33" spans="3:20" hidden="1" outlineLevel="2">
      <c r="C33" s="37" t="s">
        <v>105</v>
      </c>
    </row>
    <row r="34" spans="3:20" ht="5.9" hidden="1" customHeight="1" outlineLevel="2"/>
    <row r="35" spans="3:20" hidden="1" outlineLevel="2">
      <c r="D35" s="51" t="s">
        <v>106</v>
      </c>
      <c r="J35" s="100">
        <f>Rates!J50</f>
        <v>6.9591273870889495E-2</v>
      </c>
      <c r="K35" s="100">
        <f>Rates!K50</f>
        <v>7.3934468928182201E-2</v>
      </c>
      <c r="L35" s="100">
        <f>Rates!L50</f>
        <v>7.5085976469407303E-2</v>
      </c>
      <c r="M35" s="100">
        <f>Rates!M50</f>
        <v>8.0103391005934096E-2</v>
      </c>
      <c r="N35" s="100">
        <f>Rates!N50</f>
        <v>3.7711007382937055E-2</v>
      </c>
      <c r="O35" s="100">
        <f>Rates!O50</f>
        <v>3.3283969054706777E-2</v>
      </c>
      <c r="P35" s="100">
        <f>Rates!P50</f>
        <v>2.6752660513445464E-2</v>
      </c>
      <c r="Q35" s="100">
        <f>Rates!Q50</f>
        <v>2.6060587348993774E-2</v>
      </c>
      <c r="R35" s="100">
        <f>Rates!R50</f>
        <v>2.6873005987587139E-2</v>
      </c>
      <c r="S35" s="100">
        <f>Rates!S50</f>
        <v>2.8546178928104012E-2</v>
      </c>
      <c r="T35" s="100">
        <f>Rates!T50</f>
        <v>2.9920378203686534E-2</v>
      </c>
    </row>
    <row r="36" spans="3:20" hidden="1" outlineLevel="2">
      <c r="D36" s="51" t="s">
        <v>107</v>
      </c>
      <c r="J36" s="100">
        <f>Rates!J51</f>
        <v>5.5842732834613398E-2</v>
      </c>
      <c r="K36" s="100">
        <f>Rates!K51</f>
        <v>5.16564294790849E-2</v>
      </c>
      <c r="L36" s="100">
        <f>Rates!L51</f>
        <v>6.0535031919173997E-2</v>
      </c>
      <c r="M36" s="100">
        <f>Rates!M51</f>
        <v>7.1630695797579302E-2</v>
      </c>
      <c r="N36" s="100">
        <f>Rates!N51</f>
        <v>7.4343858126268231E-2</v>
      </c>
      <c r="O36" s="100">
        <f>Rates!O51</f>
        <v>7.4059082290758096E-2</v>
      </c>
      <c r="P36" s="100">
        <f>Rates!P51</f>
        <v>2.4388539961794877E-2</v>
      </c>
      <c r="Q36" s="100">
        <f>Rates!Q51</f>
        <v>2.1171310758207256E-2</v>
      </c>
      <c r="R36" s="100">
        <f>Rates!R51</f>
        <v>2.0024144075344485E-2</v>
      </c>
      <c r="S36" s="100">
        <f>Rates!S51</f>
        <v>3.9620009613577346E-2</v>
      </c>
      <c r="T36" s="100">
        <f>Rates!T51</f>
        <v>5.404914337922874E-2</v>
      </c>
    </row>
    <row r="37" spans="3:20" hidden="1" outlineLevel="2">
      <c r="D37" s="51" t="s">
        <v>108</v>
      </c>
      <c r="J37" s="100">
        <f>Rates!J52</f>
        <v>0</v>
      </c>
      <c r="K37" s="100">
        <f>Rates!K52</f>
        <v>0</v>
      </c>
      <c r="L37" s="100">
        <f>Rates!L52</f>
        <v>0</v>
      </c>
      <c r="M37" s="100">
        <f>Rates!M52</f>
        <v>0</v>
      </c>
      <c r="N37" s="100">
        <f>Rates!N52</f>
        <v>0</v>
      </c>
      <c r="O37" s="100">
        <f>Rates!O52</f>
        <v>0</v>
      </c>
      <c r="P37" s="100">
        <f>Rates!P52</f>
        <v>0</v>
      </c>
      <c r="Q37" s="100">
        <f>Rates!Q52</f>
        <v>0</v>
      </c>
      <c r="R37" s="100">
        <f>Rates!R52</f>
        <v>0</v>
      </c>
      <c r="S37" s="100">
        <f>Rates!S52</f>
        <v>0</v>
      </c>
      <c r="T37" s="100">
        <f>Rates!T52</f>
        <v>0</v>
      </c>
    </row>
    <row r="38" spans="3:20" outlineLevel="1" collapsed="1"/>
    <row r="39" spans="3:20" ht="5.9" customHeight="1" outlineLevel="1"/>
    <row r="40" spans="3:20" outlineLevel="1">
      <c r="C40" s="37" t="s">
        <v>118</v>
      </c>
    </row>
    <row r="41" spans="3:20" ht="5.9" customHeight="1" outlineLevel="1"/>
    <row r="42" spans="3:20" outlineLevel="1">
      <c r="D42" s="37" t="s">
        <v>160</v>
      </c>
      <c r="H42" s="107" t="s">
        <v>192</v>
      </c>
    </row>
    <row r="43" spans="3:20" ht="5.9" customHeight="1" outlineLevel="1"/>
    <row r="44" spans="3:20" outlineLevel="1">
      <c r="D44" s="102" t="str">
        <f>Work_Codes!D165</f>
        <v>I &amp; C Time expired</v>
      </c>
      <c r="H44" s="62" t="s">
        <v>198</v>
      </c>
      <c r="J44" s="125"/>
      <c r="K44" s="125"/>
      <c r="L44" s="125"/>
      <c r="M44" s="178"/>
      <c r="N44" s="211"/>
      <c r="O44" s="212"/>
      <c r="P44" s="212"/>
      <c r="Q44" s="212"/>
      <c r="R44" s="212"/>
      <c r="S44" s="212"/>
      <c r="T44" s="212"/>
    </row>
    <row r="45" spans="3:20" outlineLevel="1">
      <c r="D45" s="102" t="str">
        <f>Work_Codes!D166</f>
        <v>Turbine</v>
      </c>
      <c r="H45" s="62" t="s">
        <v>198</v>
      </c>
      <c r="J45" s="125"/>
      <c r="K45" s="125"/>
      <c r="L45" s="125"/>
      <c r="M45" s="178"/>
      <c r="N45" s="211"/>
      <c r="O45" s="212"/>
      <c r="P45" s="212"/>
      <c r="Q45" s="212"/>
      <c r="R45" s="212"/>
      <c r="S45" s="212"/>
      <c r="T45" s="212"/>
    </row>
    <row r="46" spans="3:20" outlineLevel="1">
      <c r="D46" s="174" t="str">
        <f>Work_Codes!D167</f>
        <v>Meter rebuild</v>
      </c>
      <c r="H46" s="63"/>
      <c r="J46" s="125"/>
      <c r="K46" s="125"/>
      <c r="L46" s="125"/>
      <c r="M46" s="125"/>
      <c r="N46" s="212"/>
      <c r="O46" s="212"/>
      <c r="P46" s="212"/>
      <c r="Q46" s="212"/>
      <c r="R46" s="212"/>
      <c r="S46" s="212"/>
      <c r="T46" s="212"/>
    </row>
    <row r="47" spans="3:20" outlineLevel="1">
      <c r="D47" s="174" t="str">
        <f>Work_Codes!D168</f>
        <v>Old Inline Datalogger or Flow Corrector Sites</v>
      </c>
      <c r="H47" s="63"/>
      <c r="J47" s="125"/>
      <c r="K47" s="125"/>
      <c r="L47" s="125"/>
      <c r="M47" s="178"/>
      <c r="N47" s="211"/>
      <c r="O47" s="212"/>
      <c r="P47" s="212"/>
      <c r="Q47" s="212"/>
      <c r="R47" s="212"/>
      <c r="S47" s="212"/>
      <c r="T47" s="212"/>
    </row>
    <row r="48" spans="3:20" outlineLevel="1">
      <c r="D48" s="174" t="str">
        <f>Work_Codes!D169</f>
        <v>Capex Items Category 5</v>
      </c>
      <c r="H48" s="63"/>
      <c r="J48" s="125"/>
      <c r="K48" s="125"/>
      <c r="L48" s="178"/>
      <c r="M48" s="178"/>
      <c r="N48" s="211"/>
      <c r="O48" s="212"/>
      <c r="P48" s="212"/>
      <c r="Q48" s="212"/>
      <c r="R48" s="212"/>
      <c r="S48" s="212"/>
      <c r="T48" s="212"/>
    </row>
    <row r="49" spans="3:20" outlineLevel="1">
      <c r="D49" s="105"/>
      <c r="H49" s="58"/>
      <c r="J49" s="66"/>
      <c r="K49" s="66"/>
      <c r="L49" s="66"/>
      <c r="M49" s="66"/>
      <c r="N49" s="66"/>
      <c r="O49" s="66"/>
      <c r="P49" s="66"/>
      <c r="Q49" s="66"/>
      <c r="R49" s="66"/>
      <c r="S49" s="66"/>
      <c r="T49" s="66"/>
    </row>
    <row r="50" spans="3:20" outlineLevel="1">
      <c r="C50" s="37" t="s">
        <v>119</v>
      </c>
    </row>
    <row r="51" spans="3:20" ht="5.9" customHeight="1" outlineLevel="1"/>
    <row r="52" spans="3:20" outlineLevel="1">
      <c r="D52" s="37" t="str">
        <f>D42</f>
        <v>Capex Category</v>
      </c>
    </row>
    <row r="53" spans="3:20" ht="5.9" customHeight="1" outlineLevel="1"/>
    <row r="54" spans="3:20" outlineLevel="1">
      <c r="D54" s="102" t="str">
        <f>Work_Codes!D165</f>
        <v>I &amp; C Time expired</v>
      </c>
      <c r="J54" s="163"/>
      <c r="K54" s="163"/>
      <c r="L54" s="163"/>
      <c r="M54" s="163"/>
      <c r="N54" s="213"/>
      <c r="O54" s="213"/>
      <c r="P54" s="213"/>
      <c r="Q54" s="213"/>
      <c r="R54" s="213"/>
      <c r="S54" s="213"/>
      <c r="T54" s="213"/>
    </row>
    <row r="55" spans="3:20" outlineLevel="1">
      <c r="D55" s="102" t="str">
        <f>Work_Codes!D166</f>
        <v>Turbine</v>
      </c>
      <c r="J55" s="163"/>
      <c r="K55" s="163"/>
      <c r="L55" s="163"/>
      <c r="M55" s="163"/>
      <c r="N55" s="213"/>
      <c r="O55" s="213"/>
      <c r="P55" s="213"/>
      <c r="Q55" s="213"/>
      <c r="R55" s="213"/>
      <c r="S55" s="213"/>
      <c r="T55" s="213"/>
    </row>
    <row r="56" spans="3:20" outlineLevel="1">
      <c r="D56" s="174" t="str">
        <f>Work_Codes!D167</f>
        <v>Meter rebuild</v>
      </c>
      <c r="J56" s="163"/>
      <c r="K56" s="163"/>
      <c r="L56" s="163"/>
      <c r="M56" s="163"/>
      <c r="N56" s="213"/>
      <c r="O56" s="213"/>
      <c r="P56" s="213"/>
      <c r="Q56" s="213"/>
      <c r="R56" s="213"/>
      <c r="S56" s="213"/>
      <c r="T56" s="213"/>
    </row>
    <row r="57" spans="3:20" outlineLevel="1">
      <c r="D57" s="174" t="str">
        <f>Work_Codes!D168</f>
        <v>Old Inline Datalogger or Flow Corrector Sites</v>
      </c>
      <c r="J57" s="163"/>
      <c r="K57" s="163"/>
      <c r="L57" s="163"/>
      <c r="M57" s="163"/>
      <c r="N57" s="213"/>
      <c r="O57" s="213"/>
      <c r="P57" s="213"/>
      <c r="Q57" s="213"/>
      <c r="R57" s="213"/>
      <c r="S57" s="213"/>
      <c r="T57" s="213"/>
    </row>
    <row r="58" spans="3:20" outlineLevel="1">
      <c r="D58" s="174" t="str">
        <f>Work_Codes!D169</f>
        <v>Capex Items Category 5</v>
      </c>
      <c r="J58" s="163"/>
      <c r="K58" s="163"/>
      <c r="L58" s="163"/>
      <c r="M58" s="163"/>
      <c r="N58" s="213"/>
      <c r="O58" s="213"/>
      <c r="P58" s="213"/>
      <c r="Q58" s="213"/>
      <c r="R58" s="213"/>
      <c r="S58" s="213"/>
      <c r="T58" s="213"/>
    </row>
    <row r="59" spans="3:20" outlineLevel="1"/>
    <row r="60" spans="3:20" outlineLevel="1">
      <c r="C60" s="37" t="s">
        <v>193</v>
      </c>
    </row>
    <row r="61" spans="3:20" ht="5.9" customHeight="1" outlineLevel="1"/>
    <row r="62" spans="3:20" outlineLevel="1">
      <c r="D62" s="37" t="str">
        <f>D42</f>
        <v>Capex Category</v>
      </c>
    </row>
    <row r="63" spans="3:20" ht="5.9" customHeight="1" outlineLevel="1"/>
    <row r="64" spans="3:20" outlineLevel="1">
      <c r="D64" s="102" t="str">
        <f>Work_Codes!D165</f>
        <v>I &amp; C Time expired</v>
      </c>
      <c r="J64" s="81">
        <v>0</v>
      </c>
      <c r="K64" s="81">
        <v>0</v>
      </c>
      <c r="L64" s="81">
        <v>0</v>
      </c>
      <c r="M64" s="81">
        <v>0</v>
      </c>
      <c r="N64" s="81">
        <v>613294.52629291895</v>
      </c>
      <c r="O64" s="81">
        <v>351283</v>
      </c>
      <c r="P64" s="81">
        <v>819783</v>
      </c>
      <c r="Q64" s="81">
        <v>997233</v>
      </c>
      <c r="R64" s="81">
        <v>981454</v>
      </c>
      <c r="S64" s="81">
        <v>915614</v>
      </c>
      <c r="T64" s="81">
        <v>862167</v>
      </c>
    </row>
    <row r="65" spans="3:20" outlineLevel="1">
      <c r="D65" s="102" t="str">
        <f>Work_Codes!D166</f>
        <v>Turbine</v>
      </c>
      <c r="J65" s="81">
        <v>0</v>
      </c>
      <c r="K65" s="81">
        <v>0</v>
      </c>
      <c r="L65" s="81">
        <v>0</v>
      </c>
      <c r="M65" s="81">
        <v>0</v>
      </c>
      <c r="N65" s="81">
        <v>100263.55510471761</v>
      </c>
      <c r="O65" s="81">
        <v>50000</v>
      </c>
      <c r="P65" s="81">
        <v>100000</v>
      </c>
      <c r="Q65" s="81">
        <v>100000</v>
      </c>
      <c r="R65" s="81">
        <v>100000</v>
      </c>
      <c r="S65" s="81">
        <v>75000</v>
      </c>
      <c r="T65" s="81">
        <v>75000</v>
      </c>
    </row>
    <row r="66" spans="3:20" outlineLevel="1">
      <c r="D66" s="174" t="str">
        <f>Work_Codes!D167</f>
        <v>Meter rebuild</v>
      </c>
      <c r="J66" s="81">
        <v>0</v>
      </c>
      <c r="K66" s="81">
        <v>0</v>
      </c>
      <c r="L66" s="81">
        <v>0</v>
      </c>
      <c r="M66" s="81">
        <v>0</v>
      </c>
      <c r="N66" s="81">
        <v>0</v>
      </c>
      <c r="O66" s="81">
        <v>0</v>
      </c>
      <c r="P66" s="81">
        <v>0</v>
      </c>
      <c r="Q66" s="81">
        <v>0</v>
      </c>
      <c r="R66" s="81">
        <v>0</v>
      </c>
      <c r="S66" s="81">
        <v>280000</v>
      </c>
      <c r="T66" s="81">
        <v>0</v>
      </c>
    </row>
    <row r="67" spans="3:20" outlineLevel="1">
      <c r="D67" s="174" t="str">
        <f>Work_Codes!D168</f>
        <v>Old Inline Datalogger or Flow Corrector Sites</v>
      </c>
      <c r="J67" s="81">
        <v>0</v>
      </c>
      <c r="K67" s="81">
        <v>0</v>
      </c>
      <c r="L67" s="81">
        <v>0</v>
      </c>
      <c r="M67" s="81">
        <v>0</v>
      </c>
      <c r="N67" s="81">
        <v>129641.02971143299</v>
      </c>
      <c r="O67" s="81">
        <v>71115</v>
      </c>
      <c r="P67" s="81">
        <v>129300</v>
      </c>
      <c r="Q67" s="81">
        <v>129300</v>
      </c>
      <c r="R67" s="81">
        <v>129300</v>
      </c>
      <c r="S67" s="81">
        <v>129300</v>
      </c>
      <c r="T67" s="81">
        <v>64650</v>
      </c>
    </row>
    <row r="68" spans="3:20" outlineLevel="1">
      <c r="D68" s="174" t="str">
        <f>Work_Codes!D169</f>
        <v>Capex Items Category 5</v>
      </c>
      <c r="J68" s="81">
        <v>0</v>
      </c>
      <c r="K68" s="81">
        <v>0</v>
      </c>
      <c r="L68" s="81">
        <v>0</v>
      </c>
      <c r="M68" s="81">
        <v>0</v>
      </c>
      <c r="N68" s="81">
        <v>0</v>
      </c>
      <c r="O68" s="81">
        <v>0</v>
      </c>
      <c r="P68" s="81">
        <v>0</v>
      </c>
      <c r="Q68" s="81">
        <v>0</v>
      </c>
      <c r="R68" s="81">
        <v>0</v>
      </c>
      <c r="S68" s="81">
        <v>0</v>
      </c>
      <c r="T68" s="81">
        <v>0</v>
      </c>
    </row>
    <row r="69" spans="3:20" ht="5.9" customHeight="1" outlineLevel="1">
      <c r="D69" s="37"/>
      <c r="J69" s="78"/>
      <c r="K69" s="78"/>
      <c r="L69" s="78"/>
      <c r="M69" s="78"/>
      <c r="N69" s="78"/>
      <c r="O69" s="78"/>
      <c r="P69" s="78"/>
      <c r="Q69" s="78"/>
      <c r="R69" s="78"/>
      <c r="S69" s="78"/>
      <c r="T69" s="78"/>
    </row>
    <row r="70" spans="3:20" outlineLevel="1">
      <c r="D70" s="249" t="str">
        <f>"Total "&amp;B25</f>
        <v>Total Industrial &amp; Commercial Meters - Planned</v>
      </c>
      <c r="E70" s="249"/>
      <c r="F70" s="249"/>
      <c r="G70" s="249"/>
      <c r="H70" s="249"/>
      <c r="I70" s="249"/>
      <c r="J70" s="82">
        <f t="shared" ref="J70:T70" si="8">SUM(J64:J69)</f>
        <v>0</v>
      </c>
      <c r="K70" s="82">
        <f t="shared" si="8"/>
        <v>0</v>
      </c>
      <c r="L70" s="82">
        <f t="shared" si="8"/>
        <v>0</v>
      </c>
      <c r="M70" s="82">
        <f t="shared" si="8"/>
        <v>0</v>
      </c>
      <c r="N70" s="82">
        <f t="shared" si="8"/>
        <v>843199.11110906955</v>
      </c>
      <c r="O70" s="82">
        <f t="shared" si="8"/>
        <v>472398</v>
      </c>
      <c r="P70" s="82">
        <f t="shared" si="8"/>
        <v>1049083</v>
      </c>
      <c r="Q70" s="82">
        <f t="shared" si="8"/>
        <v>1226533</v>
      </c>
      <c r="R70" s="82">
        <f t="shared" si="8"/>
        <v>1210754</v>
      </c>
      <c r="S70" s="82">
        <f t="shared" si="8"/>
        <v>1399914</v>
      </c>
      <c r="T70" s="82">
        <f t="shared" si="8"/>
        <v>1001817</v>
      </c>
    </row>
    <row r="71" spans="3:20" outlineLevel="1"/>
    <row r="72" spans="3:20" outlineLevel="1">
      <c r="C72" s="37" t="s">
        <v>286</v>
      </c>
    </row>
    <row r="73" spans="3:20" ht="5.9" customHeight="1" outlineLevel="1"/>
    <row r="74" spans="3:20" outlineLevel="1">
      <c r="D74" s="143" t="str">
        <f>Work_Codes!D173</f>
        <v>Customer Contributions Category 1</v>
      </c>
      <c r="J74" s="148">
        <v>0</v>
      </c>
      <c r="K74" s="148">
        <v>0</v>
      </c>
      <c r="L74" s="148">
        <v>0</v>
      </c>
      <c r="M74" s="148">
        <v>0</v>
      </c>
      <c r="N74" s="148">
        <v>0</v>
      </c>
      <c r="O74" s="148">
        <v>0</v>
      </c>
      <c r="P74" s="148">
        <v>0</v>
      </c>
      <c r="Q74" s="148">
        <v>0</v>
      </c>
      <c r="R74" s="148">
        <v>0</v>
      </c>
      <c r="S74" s="148">
        <v>0</v>
      </c>
      <c r="T74" s="148">
        <v>0</v>
      </c>
    </row>
    <row r="75" spans="3:20" ht="5.9" customHeight="1" outlineLevel="1"/>
    <row r="76" spans="3:20" outlineLevel="1">
      <c r="D76" s="249" t="str">
        <f>"Total "&amp;C72</f>
        <v>Total Customer Connections</v>
      </c>
      <c r="E76" s="249"/>
      <c r="F76" s="249"/>
      <c r="G76" s="249"/>
      <c r="H76" s="249"/>
      <c r="I76" s="249"/>
      <c r="J76" s="82">
        <f t="shared" ref="J76:T76" si="9">SUM(J74:J75)</f>
        <v>0</v>
      </c>
      <c r="K76" s="82">
        <f t="shared" si="9"/>
        <v>0</v>
      </c>
      <c r="L76" s="82">
        <f t="shared" si="9"/>
        <v>0</v>
      </c>
      <c r="M76" s="82">
        <f t="shared" si="9"/>
        <v>0</v>
      </c>
      <c r="N76" s="82">
        <f t="shared" si="9"/>
        <v>0</v>
      </c>
      <c r="O76" s="82">
        <f t="shared" si="9"/>
        <v>0</v>
      </c>
      <c r="P76" s="82">
        <f t="shared" si="9"/>
        <v>0</v>
      </c>
      <c r="Q76" s="82">
        <f t="shared" si="9"/>
        <v>0</v>
      </c>
      <c r="R76" s="82">
        <f t="shared" si="9"/>
        <v>0</v>
      </c>
      <c r="S76" s="82">
        <f t="shared" si="9"/>
        <v>0</v>
      </c>
      <c r="T76" s="82">
        <f t="shared" si="9"/>
        <v>0</v>
      </c>
    </row>
    <row r="77" spans="3:20" outlineLevel="1">
      <c r="C77" s="12"/>
      <c r="D77" s="12"/>
      <c r="E77" s="12"/>
      <c r="F77" s="12"/>
      <c r="G77" s="12"/>
      <c r="H77" s="12"/>
      <c r="I77" s="12"/>
      <c r="J77" s="12"/>
      <c r="K77" s="12"/>
      <c r="L77" s="12"/>
      <c r="M77" s="12"/>
      <c r="N77" s="12"/>
      <c r="O77" s="12"/>
      <c r="P77" s="12"/>
      <c r="Q77" s="12"/>
      <c r="R77" s="12"/>
      <c r="S77" s="12"/>
      <c r="T77" s="12"/>
    </row>
    <row r="78" spans="3:20" outlineLevel="1"/>
    <row r="79" spans="3:20" outlineLevel="1">
      <c r="C79" s="37" t="s">
        <v>213</v>
      </c>
    </row>
    <row r="80" spans="3:20" ht="5.9" hidden="1" customHeight="1" outlineLevel="2"/>
    <row r="81" spans="3:20" hidden="1" outlineLevel="2">
      <c r="C81" s="37" t="s">
        <v>128</v>
      </c>
    </row>
    <row r="82" spans="3:20" ht="5.9" hidden="1" customHeight="1" outlineLevel="2"/>
    <row r="83" spans="3:20" hidden="1" outlineLevel="2">
      <c r="D83" s="102" t="str">
        <f>Work_Codes!D165</f>
        <v>I &amp; C Time expired</v>
      </c>
      <c r="J83" s="81">
        <f>Work_Codes!$I165*J64*J$29</f>
        <v>0</v>
      </c>
      <c r="K83" s="81">
        <f>Work_Codes!$I165*K64*K$29</f>
        <v>0</v>
      </c>
      <c r="L83" s="81">
        <f>Work_Codes!$I165*L64*L$29</f>
        <v>0</v>
      </c>
      <c r="M83" s="81">
        <f>Work_Codes!$I165*M64*M$29</f>
        <v>0</v>
      </c>
      <c r="N83" s="81">
        <f>Work_Codes!$I165*N64*N$29</f>
        <v>6132.94526292919</v>
      </c>
      <c r="O83" s="81">
        <f>Work_Codes!$I165*O64*O$29</f>
        <v>3531.082396201904</v>
      </c>
      <c r="P83" s="81">
        <f>Work_Codes!$I165*P64*P$29</f>
        <v>8281.6952284748386</v>
      </c>
      <c r="Q83" s="81">
        <f>Work_Codes!$I165*Q64*Q$29</f>
        <v>10152.901844801992</v>
      </c>
      <c r="R83" s="81">
        <f>Work_Codes!$I165*R64*R$29</f>
        <v>10102.253913924529</v>
      </c>
      <c r="S83" s="81">
        <f>Work_Codes!$I165*S64*S$29</f>
        <v>9528.3025746133171</v>
      </c>
      <c r="T83" s="81">
        <f>Work_Codes!$I165*T64*T$29</f>
        <v>9070.8773741171171</v>
      </c>
    </row>
    <row r="84" spans="3:20" hidden="1" outlineLevel="2">
      <c r="D84" s="102" t="str">
        <f>Work_Codes!D166</f>
        <v>Turbine</v>
      </c>
      <c r="J84" s="81">
        <f>Work_Codes!$I166*J65*J$29</f>
        <v>0</v>
      </c>
      <c r="K84" s="81">
        <f>Work_Codes!$I166*K65*K$29</f>
        <v>0</v>
      </c>
      <c r="L84" s="81">
        <f>Work_Codes!$I166*L65*L$29</f>
        <v>0</v>
      </c>
      <c r="M84" s="81">
        <f>Work_Codes!$I166*M65*M$29</f>
        <v>0</v>
      </c>
      <c r="N84" s="81">
        <f>Work_Codes!$I166*N65*N$29</f>
        <v>1002.6355510471761</v>
      </c>
      <c r="O84" s="81">
        <f>Work_Codes!$I166*O65*O$29</f>
        <v>502.59796178606763</v>
      </c>
      <c r="P84" s="81">
        <f>Work_Codes!$I166*P65*P$29</f>
        <v>1010.2301741405762</v>
      </c>
      <c r="Q84" s="81">
        <f>Work_Codes!$I166*Q65*Q$29</f>
        <v>1018.107287344281</v>
      </c>
      <c r="R84" s="81">
        <f>Work_Codes!$I166*R65*R$29</f>
        <v>1029.3150686557422</v>
      </c>
      <c r="S84" s="81">
        <f>Work_Codes!$I166*S65*S$29</f>
        <v>780.48467268521324</v>
      </c>
      <c r="T84" s="81">
        <f>Work_Codes!$I166*T65*T$29</f>
        <v>789.07659775749221</v>
      </c>
    </row>
    <row r="85" spans="3:20" hidden="1" outlineLevel="2" collapsed="1">
      <c r="D85" s="174" t="str">
        <f>Work_Codes!D167</f>
        <v>Meter rebuild</v>
      </c>
      <c r="J85" s="81">
        <f>Work_Codes!$I167*J66*J$29</f>
        <v>0</v>
      </c>
      <c r="K85" s="81">
        <f>Work_Codes!$I167*K66*K$29</f>
        <v>0</v>
      </c>
      <c r="L85" s="81">
        <f>Work_Codes!$I167*L66*L$29</f>
        <v>0</v>
      </c>
      <c r="M85" s="81">
        <f>Work_Codes!$I167*M66*M$29</f>
        <v>0</v>
      </c>
      <c r="N85" s="81">
        <f>Work_Codes!$I167*N66*N$29</f>
        <v>0</v>
      </c>
      <c r="O85" s="81">
        <f>Work_Codes!$I167*O66*O$29</f>
        <v>0</v>
      </c>
      <c r="P85" s="81">
        <f>Work_Codes!$I167*P66*P$29</f>
        <v>0</v>
      </c>
      <c r="Q85" s="81">
        <f>Work_Codes!$I167*Q66*Q$29</f>
        <v>0</v>
      </c>
      <c r="R85" s="81">
        <f>Work_Codes!$I167*R66*R$29</f>
        <v>0</v>
      </c>
      <c r="S85" s="81">
        <f>Work_Codes!$I167*S66*S$29</f>
        <v>2913.8094446914629</v>
      </c>
      <c r="T85" s="81">
        <f>Work_Codes!$I167*T66*T$29</f>
        <v>0</v>
      </c>
    </row>
    <row r="86" spans="3:20" hidden="1" outlineLevel="2">
      <c r="D86" s="174" t="str">
        <f>Work_Codes!D168</f>
        <v>Old Inline Datalogger or Flow Corrector Sites</v>
      </c>
      <c r="J86" s="81">
        <f>Work_Codes!$I168*J67*J$29</f>
        <v>0</v>
      </c>
      <c r="K86" s="81">
        <f>Work_Codes!$I168*K67*K$29</f>
        <v>0</v>
      </c>
      <c r="L86" s="81">
        <f>Work_Codes!$I168*L67*L$29</f>
        <v>0</v>
      </c>
      <c r="M86" s="81">
        <f>Work_Codes!$I168*M67*M$29</f>
        <v>0</v>
      </c>
      <c r="N86" s="81">
        <f>Work_Codes!$I168*N67*N$29</f>
        <v>1296.41029711433</v>
      </c>
      <c r="O86" s="81">
        <f>Work_Codes!$I168*O67*O$29</f>
        <v>714.845081048324</v>
      </c>
      <c r="P86" s="81">
        <f>Work_Codes!$I168*P67*P$29</f>
        <v>1306.227615163765</v>
      </c>
      <c r="Q86" s="81">
        <f>Work_Codes!$I168*Q67*Q$29</f>
        <v>1316.4127225361551</v>
      </c>
      <c r="R86" s="81">
        <f>Work_Codes!$I168*R67*R$29</f>
        <v>1330.9043837718746</v>
      </c>
      <c r="S86" s="81">
        <f>Work_Codes!$I168*S67*S$29</f>
        <v>1345.5555757093077</v>
      </c>
      <c r="T86" s="81">
        <f>Work_Codes!$I168*T67*T$29</f>
        <v>680.1840272669582</v>
      </c>
    </row>
    <row r="87" spans="3:20" hidden="1" outlineLevel="2">
      <c r="D87" s="174" t="str">
        <f>Work_Codes!D169</f>
        <v>Capex Items Category 5</v>
      </c>
      <c r="J87" s="81">
        <f>Work_Codes!$I169*J68*J$29</f>
        <v>0</v>
      </c>
      <c r="K87" s="81">
        <f>Work_Codes!$I169*K68*K$29</f>
        <v>0</v>
      </c>
      <c r="L87" s="81">
        <f>Work_Codes!$I169*L68*L$29</f>
        <v>0</v>
      </c>
      <c r="M87" s="81">
        <f>Work_Codes!$I169*M68*M$29</f>
        <v>0</v>
      </c>
      <c r="N87" s="81">
        <f>Work_Codes!$I169*N68*N$29</f>
        <v>0</v>
      </c>
      <c r="O87" s="81">
        <f>Work_Codes!$I169*O68*O$29</f>
        <v>0</v>
      </c>
      <c r="P87" s="81">
        <f>Work_Codes!$I169*P68*P$29</f>
        <v>0</v>
      </c>
      <c r="Q87" s="81">
        <f>Work_Codes!$I169*Q68*Q$29</f>
        <v>0</v>
      </c>
      <c r="R87" s="81">
        <f>Work_Codes!$I169*R68*R$29</f>
        <v>0</v>
      </c>
      <c r="S87" s="81">
        <f>Work_Codes!$I169*S68*S$29</f>
        <v>0</v>
      </c>
      <c r="T87" s="81">
        <f>Work_Codes!$I169*T68*T$29</f>
        <v>0</v>
      </c>
    </row>
    <row r="88" spans="3:20" ht="5.9" hidden="1" customHeight="1" outlineLevel="2"/>
    <row r="89" spans="3:20" hidden="1" outlineLevel="2">
      <c r="D89" s="249" t="str">
        <f>"Total "&amp;C81</f>
        <v>Total Internal Labour</v>
      </c>
      <c r="E89" s="249"/>
      <c r="F89" s="249"/>
      <c r="G89" s="249"/>
      <c r="H89" s="249"/>
      <c r="I89" s="249"/>
      <c r="J89" s="82">
        <f t="shared" ref="J89:T89" si="10">SUM(J83:J88)</f>
        <v>0</v>
      </c>
      <c r="K89" s="82">
        <f t="shared" si="10"/>
        <v>0</v>
      </c>
      <c r="L89" s="82">
        <f t="shared" si="10"/>
        <v>0</v>
      </c>
      <c r="M89" s="82">
        <f t="shared" si="10"/>
        <v>0</v>
      </c>
      <c r="N89" s="82">
        <f t="shared" si="10"/>
        <v>8431.991111090696</v>
      </c>
      <c r="O89" s="82">
        <f t="shared" si="10"/>
        <v>4748.5254390362952</v>
      </c>
      <c r="P89" s="82">
        <f t="shared" si="10"/>
        <v>10598.153017779179</v>
      </c>
      <c r="Q89" s="82">
        <f t="shared" si="10"/>
        <v>12487.421854682429</v>
      </c>
      <c r="R89" s="82">
        <f t="shared" si="10"/>
        <v>12462.473366352146</v>
      </c>
      <c r="S89" s="82">
        <f t="shared" si="10"/>
        <v>14568.152267699303</v>
      </c>
      <c r="T89" s="82">
        <f t="shared" si="10"/>
        <v>10540.137999141567</v>
      </c>
    </row>
    <row r="90" spans="3:20" hidden="1" outlineLevel="2"/>
    <row r="91" spans="3:20" hidden="1" outlineLevel="2">
      <c r="C91" s="37" t="s">
        <v>129</v>
      </c>
    </row>
    <row r="92" spans="3:20" ht="5.9" hidden="1" customHeight="1" outlineLevel="2"/>
    <row r="93" spans="3:20" hidden="1" outlineLevel="2">
      <c r="D93" s="102" t="str">
        <f>Work_Codes!D165</f>
        <v>I &amp; C Time expired</v>
      </c>
      <c r="J93" s="81">
        <f>Work_Codes!$J165*J64*J$30</f>
        <v>0</v>
      </c>
      <c r="K93" s="81">
        <f>Work_Codes!$J165*K64*K$30</f>
        <v>0</v>
      </c>
      <c r="L93" s="81">
        <f>Work_Codes!$J165*L64*L$30</f>
        <v>0</v>
      </c>
      <c r="M93" s="81">
        <f>Work_Codes!$J165*M64*M$30</f>
        <v>0</v>
      </c>
      <c r="N93" s="81">
        <f>Work_Codes!$J165*N64*N$30</f>
        <v>98127.12420686704</v>
      </c>
      <c r="O93" s="81">
        <f>Work_Codes!$J165*O64*O$30</f>
        <v>56205.279999999999</v>
      </c>
      <c r="P93" s="81">
        <f>Work_Codes!$J165*P64*P$30</f>
        <v>131165.28</v>
      </c>
      <c r="Q93" s="81">
        <f>Work_Codes!$J165*Q64*Q$30</f>
        <v>159557.28</v>
      </c>
      <c r="R93" s="81">
        <f>Work_Codes!$J165*R64*R$30</f>
        <v>157032.64000000001</v>
      </c>
      <c r="S93" s="81">
        <f>Work_Codes!$J165*S64*S$30</f>
        <v>146498.23999999999</v>
      </c>
      <c r="T93" s="81">
        <f>Work_Codes!$J165*T64*T$30</f>
        <v>137946.72</v>
      </c>
    </row>
    <row r="94" spans="3:20" hidden="1" outlineLevel="2">
      <c r="D94" s="102" t="str">
        <f>Work_Codes!D166</f>
        <v>Turbine</v>
      </c>
      <c r="J94" s="81">
        <f>Work_Codes!$J166*J65*J$30</f>
        <v>0</v>
      </c>
      <c r="K94" s="81">
        <f>Work_Codes!$J166*K65*K$30</f>
        <v>0</v>
      </c>
      <c r="L94" s="81">
        <f>Work_Codes!$J166*L65*L$30</f>
        <v>0</v>
      </c>
      <c r="M94" s="81">
        <f>Work_Codes!$J166*M65*M$30</f>
        <v>0</v>
      </c>
      <c r="N94" s="81">
        <f>Work_Codes!$J166*N65*N$30</f>
        <v>16042.168816754818</v>
      </c>
      <c r="O94" s="81">
        <f>Work_Codes!$J166*O65*O$30</f>
        <v>8000</v>
      </c>
      <c r="P94" s="81">
        <f>Work_Codes!$J166*P65*P$30</f>
        <v>16000</v>
      </c>
      <c r="Q94" s="81">
        <f>Work_Codes!$J166*Q65*Q$30</f>
        <v>16000</v>
      </c>
      <c r="R94" s="81">
        <f>Work_Codes!$J166*R65*R$30</f>
        <v>16000</v>
      </c>
      <c r="S94" s="81">
        <f>Work_Codes!$J166*S65*S$30</f>
        <v>12000</v>
      </c>
      <c r="T94" s="81">
        <f>Work_Codes!$J166*T65*T$30</f>
        <v>12000</v>
      </c>
    </row>
    <row r="95" spans="3:20" hidden="1" outlineLevel="2">
      <c r="D95" s="174" t="str">
        <f>Work_Codes!D167</f>
        <v>Meter rebuild</v>
      </c>
      <c r="J95" s="81">
        <f>Work_Codes!$J167*J66*J$30</f>
        <v>0</v>
      </c>
      <c r="K95" s="81">
        <f>Work_Codes!$J167*K66*K$30</f>
        <v>0</v>
      </c>
      <c r="L95" s="81">
        <f>Work_Codes!$J167*L66*L$30</f>
        <v>0</v>
      </c>
      <c r="M95" s="81">
        <f>Work_Codes!$J167*M66*M$30</f>
        <v>0</v>
      </c>
      <c r="N95" s="81">
        <f>Work_Codes!$J167*N66*N$30</f>
        <v>0</v>
      </c>
      <c r="O95" s="81">
        <f>Work_Codes!$J167*O66*O$30</f>
        <v>0</v>
      </c>
      <c r="P95" s="81">
        <f>Work_Codes!$J167*P66*P$30</f>
        <v>0</v>
      </c>
      <c r="Q95" s="81">
        <f>Work_Codes!$J167*Q66*Q$30</f>
        <v>0</v>
      </c>
      <c r="R95" s="81">
        <f>Work_Codes!$J167*R66*R$30</f>
        <v>0</v>
      </c>
      <c r="S95" s="81">
        <f>Work_Codes!$J167*S66*S$30</f>
        <v>44800</v>
      </c>
      <c r="T95" s="81">
        <f>Work_Codes!$J167*T66*T$30</f>
        <v>0</v>
      </c>
    </row>
    <row r="96" spans="3:20" hidden="1" outlineLevel="2">
      <c r="D96" s="174" t="str">
        <f>Work_Codes!D168</f>
        <v>Old Inline Datalogger or Flow Corrector Sites</v>
      </c>
      <c r="J96" s="81">
        <f>Work_Codes!$J168*J67*J$30</f>
        <v>0</v>
      </c>
      <c r="K96" s="81">
        <f>Work_Codes!$J168*K67*K$30</f>
        <v>0</v>
      </c>
      <c r="L96" s="81">
        <f>Work_Codes!$J168*L67*L$30</f>
        <v>0</v>
      </c>
      <c r="M96" s="81">
        <f>Work_Codes!$J168*M67*M$30</f>
        <v>0</v>
      </c>
      <c r="N96" s="81">
        <f>Work_Codes!$J168*N67*N$30</f>
        <v>20742.56475382928</v>
      </c>
      <c r="O96" s="81">
        <f>Work_Codes!$J168*O67*O$30</f>
        <v>11378.4</v>
      </c>
      <c r="P96" s="81">
        <f>Work_Codes!$J168*P67*P$30</f>
        <v>20688</v>
      </c>
      <c r="Q96" s="81">
        <f>Work_Codes!$J168*Q67*Q$30</f>
        <v>20688</v>
      </c>
      <c r="R96" s="81">
        <f>Work_Codes!$J168*R67*R$30</f>
        <v>20688</v>
      </c>
      <c r="S96" s="81">
        <f>Work_Codes!$J168*S67*S$30</f>
        <v>20688</v>
      </c>
      <c r="T96" s="81">
        <f>Work_Codes!$J168*T67*T$30</f>
        <v>10344</v>
      </c>
    </row>
    <row r="97" spans="3:20" hidden="1" outlineLevel="2">
      <c r="D97" s="174" t="str">
        <f>Work_Codes!D169</f>
        <v>Capex Items Category 5</v>
      </c>
      <c r="J97" s="81">
        <f>Work_Codes!$J169*J68*J$30</f>
        <v>0</v>
      </c>
      <c r="K97" s="81">
        <f>Work_Codes!$J169*K68*K$30</f>
        <v>0</v>
      </c>
      <c r="L97" s="81">
        <f>Work_Codes!$J169*L68*L$30</f>
        <v>0</v>
      </c>
      <c r="M97" s="81">
        <f>Work_Codes!$J169*M68*M$30</f>
        <v>0</v>
      </c>
      <c r="N97" s="81">
        <f>Work_Codes!$J169*N68*N$30</f>
        <v>0</v>
      </c>
      <c r="O97" s="81">
        <f>Work_Codes!$J169*O68*O$30</f>
        <v>0</v>
      </c>
      <c r="P97" s="81">
        <f>Work_Codes!$J169*P68*P$30</f>
        <v>0</v>
      </c>
      <c r="Q97" s="81">
        <f>Work_Codes!$J169*Q68*Q$30</f>
        <v>0</v>
      </c>
      <c r="R97" s="81">
        <f>Work_Codes!$J169*R68*R$30</f>
        <v>0</v>
      </c>
      <c r="S97" s="81">
        <f>Work_Codes!$J169*S68*S$30</f>
        <v>0</v>
      </c>
      <c r="T97" s="81">
        <f>Work_Codes!$J169*T68*T$30</f>
        <v>0</v>
      </c>
    </row>
    <row r="98" spans="3:20" ht="5.9" hidden="1" customHeight="1" outlineLevel="2"/>
    <row r="99" spans="3:20" hidden="1" outlineLevel="2">
      <c r="D99" s="249" t="str">
        <f>"Total "&amp;C91</f>
        <v>Total External Labour</v>
      </c>
      <c r="E99" s="249"/>
      <c r="F99" s="249"/>
      <c r="G99" s="249"/>
      <c r="H99" s="249"/>
      <c r="I99" s="249"/>
      <c r="J99" s="82">
        <f t="shared" ref="J99:T99" si="11">SUM(J93:J98)</f>
        <v>0</v>
      </c>
      <c r="K99" s="82">
        <f t="shared" si="11"/>
        <v>0</v>
      </c>
      <c r="L99" s="82">
        <f t="shared" si="11"/>
        <v>0</v>
      </c>
      <c r="M99" s="82">
        <f t="shared" si="11"/>
        <v>0</v>
      </c>
      <c r="N99" s="82">
        <f t="shared" si="11"/>
        <v>134911.85777745114</v>
      </c>
      <c r="O99" s="82">
        <f t="shared" si="11"/>
        <v>75583.679999999993</v>
      </c>
      <c r="P99" s="82">
        <f t="shared" si="11"/>
        <v>167853.28</v>
      </c>
      <c r="Q99" s="82">
        <f t="shared" si="11"/>
        <v>196245.28</v>
      </c>
      <c r="R99" s="82">
        <f t="shared" si="11"/>
        <v>193720.64</v>
      </c>
      <c r="S99" s="82">
        <f t="shared" si="11"/>
        <v>223986.24</v>
      </c>
      <c r="T99" s="82">
        <f t="shared" si="11"/>
        <v>160290.72</v>
      </c>
    </row>
    <row r="100" spans="3:20" hidden="1" outlineLevel="2"/>
    <row r="101" spans="3:20" hidden="1" outlineLevel="2">
      <c r="C101" s="37" t="s">
        <v>130</v>
      </c>
    </row>
    <row r="102" spans="3:20" ht="5.9" hidden="1" customHeight="1" outlineLevel="2"/>
    <row r="103" spans="3:20" hidden="1" outlineLevel="2">
      <c r="D103" s="102" t="str">
        <f>Work_Codes!D165</f>
        <v>I &amp; C Time expired</v>
      </c>
      <c r="J103" s="81">
        <f>Work_Codes!$K165*J64*J$31</f>
        <v>0</v>
      </c>
      <c r="K103" s="81">
        <f>Work_Codes!$K165*K64*K$31</f>
        <v>0</v>
      </c>
      <c r="L103" s="81">
        <f>Work_Codes!$K165*L64*L$31</f>
        <v>0</v>
      </c>
      <c r="M103" s="81">
        <f>Work_Codes!$K165*M64*M$31</f>
        <v>0</v>
      </c>
      <c r="N103" s="81">
        <f>Work_Codes!$K165*N64*N$31</f>
        <v>509034.45682312269</v>
      </c>
      <c r="O103" s="81">
        <f>Work_Codes!$K165*O64*O$31</f>
        <v>291564.89</v>
      </c>
      <c r="P103" s="81">
        <f>Work_Codes!$K165*P64*P$31</f>
        <v>680419.89</v>
      </c>
      <c r="Q103" s="81">
        <f>Work_Codes!$K165*Q64*Q$31</f>
        <v>827703.39</v>
      </c>
      <c r="R103" s="81">
        <f>Work_Codes!$K165*R64*R$31</f>
        <v>814606.82</v>
      </c>
      <c r="S103" s="81">
        <f>Work_Codes!$K165*S64*S$31</f>
        <v>759959.62</v>
      </c>
      <c r="T103" s="81">
        <f>Work_Codes!$K165*T64*T$31</f>
        <v>715598.61</v>
      </c>
    </row>
    <row r="104" spans="3:20" hidden="1" outlineLevel="2">
      <c r="D104" s="102" t="str">
        <f>Work_Codes!D166</f>
        <v>Turbine</v>
      </c>
      <c r="J104" s="81">
        <f>Work_Codes!$K166*J65*J$31</f>
        <v>0</v>
      </c>
      <c r="K104" s="81">
        <f>Work_Codes!$K166*K65*K$31</f>
        <v>0</v>
      </c>
      <c r="L104" s="81">
        <f>Work_Codes!$K166*L65*L$31</f>
        <v>0</v>
      </c>
      <c r="M104" s="81">
        <f>Work_Codes!$K166*M65*M$31</f>
        <v>0</v>
      </c>
      <c r="N104" s="81">
        <f>Work_Codes!$K166*N65*N$31</f>
        <v>83218.750736915608</v>
      </c>
      <c r="O104" s="81">
        <f>Work_Codes!$K166*O65*O$31</f>
        <v>41500</v>
      </c>
      <c r="P104" s="81">
        <f>Work_Codes!$K166*P65*P$31</f>
        <v>83000</v>
      </c>
      <c r="Q104" s="81">
        <f>Work_Codes!$K166*Q65*Q$31</f>
        <v>83000</v>
      </c>
      <c r="R104" s="81">
        <f>Work_Codes!$K166*R65*R$31</f>
        <v>83000</v>
      </c>
      <c r="S104" s="81">
        <f>Work_Codes!$K166*S65*S$31</f>
        <v>62250</v>
      </c>
      <c r="T104" s="81">
        <f>Work_Codes!$K166*T65*T$31</f>
        <v>62250</v>
      </c>
    </row>
    <row r="105" spans="3:20" hidden="1" outlineLevel="2">
      <c r="D105" s="174" t="str">
        <f>Work_Codes!D167</f>
        <v>Meter rebuild</v>
      </c>
      <c r="J105" s="81">
        <f>Work_Codes!$K167*J66*J$31</f>
        <v>0</v>
      </c>
      <c r="K105" s="81">
        <f>Work_Codes!$K167*K66*K$31</f>
        <v>0</v>
      </c>
      <c r="L105" s="81">
        <f>Work_Codes!$K167*L66*L$31</f>
        <v>0</v>
      </c>
      <c r="M105" s="81">
        <f>Work_Codes!$K167*M66*M$31</f>
        <v>0</v>
      </c>
      <c r="N105" s="81">
        <f>Work_Codes!$K167*N66*N$31</f>
        <v>0</v>
      </c>
      <c r="O105" s="81">
        <f>Work_Codes!$K167*O66*O$31</f>
        <v>0</v>
      </c>
      <c r="P105" s="81">
        <f>Work_Codes!$K167*P66*P$31</f>
        <v>0</v>
      </c>
      <c r="Q105" s="81">
        <f>Work_Codes!$K167*Q66*Q$31</f>
        <v>0</v>
      </c>
      <c r="R105" s="81">
        <f>Work_Codes!$K167*R66*R$31</f>
        <v>0</v>
      </c>
      <c r="S105" s="81">
        <f>Work_Codes!$K167*S66*S$31</f>
        <v>232400</v>
      </c>
      <c r="T105" s="81">
        <f>Work_Codes!$K167*T66*T$31</f>
        <v>0</v>
      </c>
    </row>
    <row r="106" spans="3:20" hidden="1" outlineLevel="2">
      <c r="D106" s="174" t="str">
        <f>Work_Codes!D168</f>
        <v>Old Inline Datalogger or Flow Corrector Sites</v>
      </c>
      <c r="J106" s="81">
        <f>Work_Codes!$K168*J67*J$31</f>
        <v>0</v>
      </c>
      <c r="K106" s="81">
        <f>Work_Codes!$K168*K67*K$31</f>
        <v>0</v>
      </c>
      <c r="L106" s="81">
        <f>Work_Codes!$K168*L67*L$31</f>
        <v>0</v>
      </c>
      <c r="M106" s="81">
        <f>Work_Codes!$K168*M67*M$31</f>
        <v>0</v>
      </c>
      <c r="N106" s="81">
        <f>Work_Codes!$K168*N67*N$31</f>
        <v>107602.05466048938</v>
      </c>
      <c r="O106" s="81">
        <f>Work_Codes!$K168*O67*O$31</f>
        <v>59025.45</v>
      </c>
      <c r="P106" s="81">
        <f>Work_Codes!$K168*P67*P$31</f>
        <v>107319</v>
      </c>
      <c r="Q106" s="81">
        <f>Work_Codes!$K168*Q67*Q$31</f>
        <v>107319</v>
      </c>
      <c r="R106" s="81">
        <f>Work_Codes!$K168*R67*R$31</f>
        <v>107319</v>
      </c>
      <c r="S106" s="81">
        <f>Work_Codes!$K168*S67*S$31</f>
        <v>107319</v>
      </c>
      <c r="T106" s="81">
        <f>Work_Codes!$K168*T67*T$31</f>
        <v>53659.5</v>
      </c>
    </row>
    <row r="107" spans="3:20" hidden="1" outlineLevel="2">
      <c r="D107" s="174" t="str">
        <f>Work_Codes!D169</f>
        <v>Capex Items Category 5</v>
      </c>
      <c r="J107" s="81">
        <f>Work_Codes!$K169*J68*J$31</f>
        <v>0</v>
      </c>
      <c r="K107" s="81">
        <f>Work_Codes!$K169*K68*K$31</f>
        <v>0</v>
      </c>
      <c r="L107" s="81">
        <f>Work_Codes!$K169*L68*L$31</f>
        <v>0</v>
      </c>
      <c r="M107" s="81">
        <f>Work_Codes!$K169*M68*M$31</f>
        <v>0</v>
      </c>
      <c r="N107" s="81">
        <f>Work_Codes!$K169*N68*N$31</f>
        <v>0</v>
      </c>
      <c r="O107" s="81">
        <f>Work_Codes!$K169*O68*O$31</f>
        <v>0</v>
      </c>
      <c r="P107" s="81">
        <f>Work_Codes!$K169*P68*P$31</f>
        <v>0</v>
      </c>
      <c r="Q107" s="81">
        <f>Work_Codes!$K169*Q68*Q$31</f>
        <v>0</v>
      </c>
      <c r="R107" s="81">
        <f>Work_Codes!$K169*R68*R$31</f>
        <v>0</v>
      </c>
      <c r="S107" s="81">
        <f>Work_Codes!$K169*S68*S$31</f>
        <v>0</v>
      </c>
      <c r="T107" s="81">
        <f>Work_Codes!$K169*T68*T$31</f>
        <v>0</v>
      </c>
    </row>
    <row r="108" spans="3:20" ht="5.9" hidden="1" customHeight="1" outlineLevel="2"/>
    <row r="109" spans="3:20" hidden="1" outlineLevel="2">
      <c r="D109" s="249" t="str">
        <f>"Total "&amp;C101</f>
        <v>Total Materials</v>
      </c>
      <c r="E109" s="249"/>
      <c r="F109" s="249"/>
      <c r="G109" s="249"/>
      <c r="H109" s="249"/>
      <c r="I109" s="249"/>
      <c r="J109" s="82">
        <f t="shared" ref="J109:T109" si="12">SUM(J103:J108)</f>
        <v>0</v>
      </c>
      <c r="K109" s="82">
        <f t="shared" si="12"/>
        <v>0</v>
      </c>
      <c r="L109" s="82">
        <f t="shared" si="12"/>
        <v>0</v>
      </c>
      <c r="M109" s="82">
        <f t="shared" si="12"/>
        <v>0</v>
      </c>
      <c r="N109" s="82">
        <f t="shared" si="12"/>
        <v>699855.26222052774</v>
      </c>
      <c r="O109" s="82">
        <f t="shared" si="12"/>
        <v>392090.34</v>
      </c>
      <c r="P109" s="82">
        <f t="shared" si="12"/>
        <v>870738.89</v>
      </c>
      <c r="Q109" s="82">
        <f t="shared" si="12"/>
        <v>1018022.39</v>
      </c>
      <c r="R109" s="82">
        <f t="shared" si="12"/>
        <v>1004925.82</v>
      </c>
      <c r="S109" s="82">
        <f t="shared" si="12"/>
        <v>1161928.6200000001</v>
      </c>
      <c r="T109" s="82">
        <f t="shared" si="12"/>
        <v>831508.11</v>
      </c>
    </row>
    <row r="110" spans="3:20" outlineLevel="1" collapsed="1"/>
    <row r="111" spans="3:20" outlineLevel="1">
      <c r="C111" s="37" t="s">
        <v>217</v>
      </c>
    </row>
    <row r="112" spans="3:20" ht="5.9" customHeight="1" outlineLevel="1"/>
    <row r="113" spans="2:20" outlineLevel="1">
      <c r="D113" s="102" t="str">
        <f>Work_Codes!D165</f>
        <v>I &amp; C Time expired</v>
      </c>
      <c r="J113" s="81">
        <f t="shared" ref="J113:T113" si="13">J83+J93+J103</f>
        <v>0</v>
      </c>
      <c r="K113" s="81">
        <f t="shared" si="13"/>
        <v>0</v>
      </c>
      <c r="L113" s="81">
        <f t="shared" si="13"/>
        <v>0</v>
      </c>
      <c r="M113" s="81">
        <f t="shared" si="13"/>
        <v>0</v>
      </c>
      <c r="N113" s="81">
        <f t="shared" si="13"/>
        <v>613294.52629291895</v>
      </c>
      <c r="O113" s="81">
        <f t="shared" si="13"/>
        <v>351301.25239620195</v>
      </c>
      <c r="P113" s="81">
        <f t="shared" si="13"/>
        <v>819866.86522847484</v>
      </c>
      <c r="Q113" s="81">
        <f t="shared" si="13"/>
        <v>997413.57184480201</v>
      </c>
      <c r="R113" s="81">
        <f t="shared" si="13"/>
        <v>981741.71391392453</v>
      </c>
      <c r="S113" s="81">
        <f t="shared" si="13"/>
        <v>915986.16257461323</v>
      </c>
      <c r="T113" s="81">
        <f t="shared" si="13"/>
        <v>862616.2073741171</v>
      </c>
    </row>
    <row r="114" spans="2:20" outlineLevel="1">
      <c r="D114" s="102" t="str">
        <f>Work_Codes!D166</f>
        <v>Turbine</v>
      </c>
      <c r="J114" s="81">
        <f t="shared" ref="J114:T114" si="14">J84+J94+J104</f>
        <v>0</v>
      </c>
      <c r="K114" s="81">
        <f t="shared" si="14"/>
        <v>0</v>
      </c>
      <c r="L114" s="81">
        <f t="shared" si="14"/>
        <v>0</v>
      </c>
      <c r="M114" s="81">
        <f t="shared" si="14"/>
        <v>0</v>
      </c>
      <c r="N114" s="81">
        <f t="shared" si="14"/>
        <v>100263.5551047176</v>
      </c>
      <c r="O114" s="81">
        <f t="shared" si="14"/>
        <v>50002.597961786072</v>
      </c>
      <c r="P114" s="81">
        <f t="shared" si="14"/>
        <v>100010.23017414057</v>
      </c>
      <c r="Q114" s="81">
        <f t="shared" si="14"/>
        <v>100018.10728734429</v>
      </c>
      <c r="R114" s="81">
        <f t="shared" si="14"/>
        <v>100029.31506865573</v>
      </c>
      <c r="S114" s="81">
        <f t="shared" si="14"/>
        <v>75030.484672685212</v>
      </c>
      <c r="T114" s="81">
        <f t="shared" si="14"/>
        <v>75039.076597757492</v>
      </c>
    </row>
    <row r="115" spans="2:20" outlineLevel="1">
      <c r="D115" s="174" t="str">
        <f>Work_Codes!D167</f>
        <v>Meter rebuild</v>
      </c>
      <c r="J115" s="81">
        <f t="shared" ref="J115:T115" si="15">J85+J95+J105</f>
        <v>0</v>
      </c>
      <c r="K115" s="81">
        <f t="shared" si="15"/>
        <v>0</v>
      </c>
      <c r="L115" s="81">
        <f t="shared" si="15"/>
        <v>0</v>
      </c>
      <c r="M115" s="81">
        <f t="shared" si="15"/>
        <v>0</v>
      </c>
      <c r="N115" s="81">
        <f t="shared" si="15"/>
        <v>0</v>
      </c>
      <c r="O115" s="81">
        <f t="shared" si="15"/>
        <v>0</v>
      </c>
      <c r="P115" s="81">
        <f t="shared" si="15"/>
        <v>0</v>
      </c>
      <c r="Q115" s="81">
        <f t="shared" si="15"/>
        <v>0</v>
      </c>
      <c r="R115" s="81">
        <f t="shared" si="15"/>
        <v>0</v>
      </c>
      <c r="S115" s="81">
        <f t="shared" si="15"/>
        <v>280113.80944469146</v>
      </c>
      <c r="T115" s="81">
        <f t="shared" si="15"/>
        <v>0</v>
      </c>
    </row>
    <row r="116" spans="2:20" outlineLevel="1">
      <c r="D116" s="174" t="str">
        <f>Work_Codes!D168</f>
        <v>Old Inline Datalogger or Flow Corrector Sites</v>
      </c>
      <c r="J116" s="81">
        <f t="shared" ref="J116:T116" si="16">J86+J96+J106</f>
        <v>0</v>
      </c>
      <c r="K116" s="81">
        <f t="shared" si="16"/>
        <v>0</v>
      </c>
      <c r="L116" s="81">
        <f t="shared" si="16"/>
        <v>0</v>
      </c>
      <c r="M116" s="81">
        <f t="shared" si="16"/>
        <v>0</v>
      </c>
      <c r="N116" s="81">
        <f t="shared" si="16"/>
        <v>129641.02971143299</v>
      </c>
      <c r="O116" s="81">
        <f t="shared" si="16"/>
        <v>71118.695081048325</v>
      </c>
      <c r="P116" s="81">
        <f t="shared" si="16"/>
        <v>129313.22761516376</v>
      </c>
      <c r="Q116" s="81">
        <f t="shared" si="16"/>
        <v>129323.41272253616</v>
      </c>
      <c r="R116" s="81">
        <f t="shared" si="16"/>
        <v>129337.90438377188</v>
      </c>
      <c r="S116" s="81">
        <f t="shared" si="16"/>
        <v>129352.55557570931</v>
      </c>
      <c r="T116" s="81">
        <f t="shared" si="16"/>
        <v>64683.684027266958</v>
      </c>
    </row>
    <row r="117" spans="2:20" outlineLevel="1">
      <c r="D117" s="174" t="str">
        <f>Work_Codes!D169</f>
        <v>Capex Items Category 5</v>
      </c>
      <c r="J117" s="81">
        <f t="shared" ref="J117:T117" si="17">J87+J97+J107</f>
        <v>0</v>
      </c>
      <c r="K117" s="81">
        <f t="shared" si="17"/>
        <v>0</v>
      </c>
      <c r="L117" s="81">
        <f t="shared" si="17"/>
        <v>0</v>
      </c>
      <c r="M117" s="81">
        <f t="shared" si="17"/>
        <v>0</v>
      </c>
      <c r="N117" s="81">
        <f t="shared" si="17"/>
        <v>0</v>
      </c>
      <c r="O117" s="81">
        <f t="shared" si="17"/>
        <v>0</v>
      </c>
      <c r="P117" s="81">
        <f t="shared" si="17"/>
        <v>0</v>
      </c>
      <c r="Q117" s="81">
        <f t="shared" si="17"/>
        <v>0</v>
      </c>
      <c r="R117" s="81">
        <f t="shared" si="17"/>
        <v>0</v>
      </c>
      <c r="S117" s="81">
        <f t="shared" si="17"/>
        <v>0</v>
      </c>
      <c r="T117" s="81">
        <f t="shared" si="17"/>
        <v>0</v>
      </c>
    </row>
    <row r="118" spans="2:20" ht="5.9" customHeight="1" outlineLevel="1"/>
    <row r="119" spans="2:20" outlineLevel="1">
      <c r="D119" s="249" t="str">
        <f>C111</f>
        <v>Total Direct Capex including Escalation (Non CPI)</v>
      </c>
      <c r="E119" s="249"/>
      <c r="F119" s="249"/>
      <c r="G119" s="249"/>
      <c r="H119" s="249"/>
      <c r="I119" s="249"/>
      <c r="J119" s="82">
        <f t="shared" ref="J119:T119" si="18">SUM(J113:J118)</f>
        <v>0</v>
      </c>
      <c r="K119" s="82">
        <f t="shared" si="18"/>
        <v>0</v>
      </c>
      <c r="L119" s="82">
        <f t="shared" si="18"/>
        <v>0</v>
      </c>
      <c r="M119" s="82">
        <f t="shared" si="18"/>
        <v>0</v>
      </c>
      <c r="N119" s="82">
        <f t="shared" si="18"/>
        <v>843199.11110906955</v>
      </c>
      <c r="O119" s="82">
        <f t="shared" si="18"/>
        <v>472422.54543903633</v>
      </c>
      <c r="P119" s="82">
        <f t="shared" si="18"/>
        <v>1049190.323017779</v>
      </c>
      <c r="Q119" s="82">
        <f t="shared" si="18"/>
        <v>1226755.0918546824</v>
      </c>
      <c r="R119" s="82">
        <f t="shared" si="18"/>
        <v>1211108.933366352</v>
      </c>
      <c r="S119" s="82">
        <f t="shared" si="18"/>
        <v>1400483.0122676992</v>
      </c>
      <c r="T119" s="82">
        <f t="shared" si="18"/>
        <v>1002338.9679991415</v>
      </c>
    </row>
    <row r="120" spans="2:20" outlineLevel="1">
      <c r="B120" s="12"/>
      <c r="C120" s="12"/>
      <c r="D120" s="12"/>
      <c r="E120" s="12"/>
      <c r="F120" s="12"/>
      <c r="G120" s="12"/>
      <c r="H120" s="12"/>
      <c r="I120" s="12"/>
      <c r="J120" s="12"/>
      <c r="K120" s="12"/>
      <c r="L120" s="12"/>
      <c r="M120" s="12"/>
      <c r="N120" s="12"/>
      <c r="O120" s="12"/>
      <c r="P120" s="12"/>
      <c r="Q120" s="12"/>
      <c r="R120" s="12"/>
      <c r="S120" s="12"/>
      <c r="T120" s="12"/>
    </row>
    <row r="121" spans="2:20" outlineLevel="1"/>
    <row r="122" spans="2:20" outlineLevel="1">
      <c r="C122" s="37" t="s">
        <v>195</v>
      </c>
    </row>
    <row r="123" spans="2:20" ht="5.9" customHeight="1" outlineLevel="2"/>
    <row r="124" spans="2:20" outlineLevel="2">
      <c r="D124" s="37" t="s">
        <v>215</v>
      </c>
    </row>
    <row r="125" spans="2:20" ht="5.9" customHeight="1" outlineLevel="2"/>
    <row r="126" spans="2:20" ht="11.5" customHeight="1" outlineLevel="2">
      <c r="E126" s="247" t="str">
        <f>GC!C40</f>
        <v>Transmission pipelines</v>
      </c>
      <c r="F126" s="247"/>
      <c r="G126" s="247"/>
      <c r="H126" s="247"/>
      <c r="I126" s="247"/>
      <c r="J126" s="81">
        <f ca="1">SUMPRODUCT((Work_Codes!$N$162:$Y$162=$E126)*(Work_Codes!$N$165:$Y$169)*(J$113:J$117))</f>
        <v>0</v>
      </c>
      <c r="K126" s="81">
        <f ca="1">SUMPRODUCT((Work_Codes!$N$162:$Y$162=$E126)*(Work_Codes!$N$165:$Y$169)*(K$113:K$117))</f>
        <v>0</v>
      </c>
      <c r="L126" s="81">
        <f ca="1">SUMPRODUCT((Work_Codes!$N$162:$Y$162=$E126)*(Work_Codes!$N$165:$Y$169)*(L$113:L$117))</f>
        <v>0</v>
      </c>
      <c r="M126" s="81">
        <f ca="1">SUMPRODUCT((Work_Codes!$N$162:$Y$162=$E126)*(Work_Codes!$N$165:$Y$169)*(M$113:M$117))</f>
        <v>0</v>
      </c>
      <c r="N126" s="81">
        <f ca="1">SUMPRODUCT((Work_Codes!$N$162:$Y$162=$E126)*(Work_Codes!$N$165:$Y$169)*(N$113:N$117))</f>
        <v>0</v>
      </c>
      <c r="O126" s="81">
        <f ca="1">SUMPRODUCT((Work_Codes!$N$162:$Y$162=$E126)*(Work_Codes!$N$165:$Y$169)*(O$113:O$117))</f>
        <v>0</v>
      </c>
      <c r="P126" s="81">
        <f ca="1">SUMPRODUCT((Work_Codes!$N$162:$Y$162=$E126)*(Work_Codes!$N$165:$Y$169)*(P$113:P$117))</f>
        <v>0</v>
      </c>
      <c r="Q126" s="81">
        <f ca="1">SUMPRODUCT((Work_Codes!$N$162:$Y$162=$E126)*(Work_Codes!$N$165:$Y$169)*(Q$113:Q$117))</f>
        <v>0</v>
      </c>
      <c r="R126" s="81">
        <f ca="1">SUMPRODUCT((Work_Codes!$N$162:$Y$162=$E126)*(Work_Codes!$N$165:$Y$169)*(R$113:R$117))</f>
        <v>0</v>
      </c>
      <c r="S126" s="81">
        <f ca="1">SUMPRODUCT((Work_Codes!$N$162:$Y$162=$E126)*(Work_Codes!$N$165:$Y$169)*(S$113:S$117))</f>
        <v>0</v>
      </c>
      <c r="T126" s="81">
        <f ca="1">SUMPRODUCT((Work_Codes!$N$162:$Y$162=$E126)*(Work_Codes!$N$165:$Y$169)*(T$113:T$117))</f>
        <v>0</v>
      </c>
    </row>
    <row r="127" spans="2:20" ht="11.5" customHeight="1" outlineLevel="2">
      <c r="E127" s="247" t="str">
        <f>GC!C41</f>
        <v>Distribution pipelines</v>
      </c>
      <c r="F127" s="247"/>
      <c r="G127" s="247"/>
      <c r="H127" s="247"/>
      <c r="I127" s="247"/>
      <c r="J127" s="81">
        <f ca="1">SUMPRODUCT((Work_Codes!$N$162:$Y$162=$E127)*(Work_Codes!$N$165:$Y$169)*(J$113:J$117))</f>
        <v>0</v>
      </c>
      <c r="K127" s="81">
        <f ca="1">SUMPRODUCT((Work_Codes!$N$162:$Y$162=$E127)*(Work_Codes!$N$165:$Y$169)*(K$113:K$117))</f>
        <v>0</v>
      </c>
      <c r="L127" s="81">
        <f ca="1">SUMPRODUCT((Work_Codes!$N$162:$Y$162=$E127)*(Work_Codes!$N$165:$Y$169)*(L$113:L$117))</f>
        <v>0</v>
      </c>
      <c r="M127" s="81">
        <f ca="1">SUMPRODUCT((Work_Codes!$N$162:$Y$162=$E127)*(Work_Codes!$N$165:$Y$169)*(M$113:M$117))</f>
        <v>0</v>
      </c>
      <c r="N127" s="81">
        <f ca="1">SUMPRODUCT((Work_Codes!$N$162:$Y$162=$E127)*(Work_Codes!$N$165:$Y$169)*(N$113:N$117))</f>
        <v>0</v>
      </c>
      <c r="O127" s="81">
        <f ca="1">SUMPRODUCT((Work_Codes!$N$162:$Y$162=$E127)*(Work_Codes!$N$165:$Y$169)*(O$113:O$117))</f>
        <v>0</v>
      </c>
      <c r="P127" s="81">
        <f ca="1">SUMPRODUCT((Work_Codes!$N$162:$Y$162=$E127)*(Work_Codes!$N$165:$Y$169)*(P$113:P$117))</f>
        <v>0</v>
      </c>
      <c r="Q127" s="81">
        <f ca="1">SUMPRODUCT((Work_Codes!$N$162:$Y$162=$E127)*(Work_Codes!$N$165:$Y$169)*(Q$113:Q$117))</f>
        <v>0</v>
      </c>
      <c r="R127" s="81">
        <f ca="1">SUMPRODUCT((Work_Codes!$N$162:$Y$162=$E127)*(Work_Codes!$N$165:$Y$169)*(R$113:R$117))</f>
        <v>0</v>
      </c>
      <c r="S127" s="81">
        <f ca="1">SUMPRODUCT((Work_Codes!$N$162:$Y$162=$E127)*(Work_Codes!$N$165:$Y$169)*(S$113:S$117))</f>
        <v>0</v>
      </c>
      <c r="T127" s="81">
        <f ca="1">SUMPRODUCT((Work_Codes!$N$162:$Y$162=$E127)*(Work_Codes!$N$165:$Y$169)*(T$113:T$117))</f>
        <v>0</v>
      </c>
    </row>
    <row r="128" spans="2:20" ht="11.5" customHeight="1" outlineLevel="2">
      <c r="E128" s="247" t="str">
        <f>GC!C42</f>
        <v>Service pipes</v>
      </c>
      <c r="F128" s="247"/>
      <c r="G128" s="247"/>
      <c r="H128" s="247"/>
      <c r="I128" s="247"/>
      <c r="J128" s="81">
        <f ca="1">SUMPRODUCT((Work_Codes!$N$162:$Y$162=$E128)*(Work_Codes!$N$165:$Y$169)*(J$113:J$117))</f>
        <v>0</v>
      </c>
      <c r="K128" s="81">
        <f ca="1">SUMPRODUCT((Work_Codes!$N$162:$Y$162=$E128)*(Work_Codes!$N$165:$Y$169)*(K$113:K$117))</f>
        <v>0</v>
      </c>
      <c r="L128" s="81">
        <f ca="1">SUMPRODUCT((Work_Codes!$N$162:$Y$162=$E128)*(Work_Codes!$N$165:$Y$169)*(L$113:L$117))</f>
        <v>0</v>
      </c>
      <c r="M128" s="81">
        <f ca="1">SUMPRODUCT((Work_Codes!$N$162:$Y$162=$E128)*(Work_Codes!$N$165:$Y$169)*(M$113:M$117))</f>
        <v>0</v>
      </c>
      <c r="N128" s="81">
        <f ca="1">SUMPRODUCT((Work_Codes!$N$162:$Y$162=$E128)*(Work_Codes!$N$165:$Y$169)*(N$113:N$117))</f>
        <v>0</v>
      </c>
      <c r="O128" s="81">
        <f ca="1">SUMPRODUCT((Work_Codes!$N$162:$Y$162=$E128)*(Work_Codes!$N$165:$Y$169)*(O$113:O$117))</f>
        <v>0</v>
      </c>
      <c r="P128" s="81">
        <f ca="1">SUMPRODUCT((Work_Codes!$N$162:$Y$162=$E128)*(Work_Codes!$N$165:$Y$169)*(P$113:P$117))</f>
        <v>0</v>
      </c>
      <c r="Q128" s="81">
        <f ca="1">SUMPRODUCT((Work_Codes!$N$162:$Y$162=$E128)*(Work_Codes!$N$165:$Y$169)*(Q$113:Q$117))</f>
        <v>0</v>
      </c>
      <c r="R128" s="81">
        <f ca="1">SUMPRODUCT((Work_Codes!$N$162:$Y$162=$E128)*(Work_Codes!$N$165:$Y$169)*(R$113:R$117))</f>
        <v>0</v>
      </c>
      <c r="S128" s="81">
        <f ca="1">SUMPRODUCT((Work_Codes!$N$162:$Y$162=$E128)*(Work_Codes!$N$165:$Y$169)*(S$113:S$117))</f>
        <v>0</v>
      </c>
      <c r="T128" s="81">
        <f ca="1">SUMPRODUCT((Work_Codes!$N$162:$Y$162=$E128)*(Work_Codes!$N$165:$Y$169)*(T$113:T$117))</f>
        <v>0</v>
      </c>
    </row>
    <row r="129" spans="4:20" ht="11.5" customHeight="1" outlineLevel="2">
      <c r="E129" s="247" t="str">
        <f>GC!C43</f>
        <v>Cathodic protection</v>
      </c>
      <c r="F129" s="247"/>
      <c r="G129" s="247"/>
      <c r="H129" s="247"/>
      <c r="I129" s="247"/>
      <c r="J129" s="81">
        <f ca="1">SUMPRODUCT((Work_Codes!$N$162:$Y$162=$E129)*(Work_Codes!$N$165:$Y$169)*(J$113:J$117))</f>
        <v>0</v>
      </c>
      <c r="K129" s="81">
        <f ca="1">SUMPRODUCT((Work_Codes!$N$162:$Y$162=$E129)*(Work_Codes!$N$165:$Y$169)*(K$113:K$117))</f>
        <v>0</v>
      </c>
      <c r="L129" s="81">
        <f ca="1">SUMPRODUCT((Work_Codes!$N$162:$Y$162=$E129)*(Work_Codes!$N$165:$Y$169)*(L$113:L$117))</f>
        <v>0</v>
      </c>
      <c r="M129" s="81">
        <f ca="1">SUMPRODUCT((Work_Codes!$N$162:$Y$162=$E129)*(Work_Codes!$N$165:$Y$169)*(M$113:M$117))</f>
        <v>0</v>
      </c>
      <c r="N129" s="81">
        <f ca="1">SUMPRODUCT((Work_Codes!$N$162:$Y$162=$E129)*(Work_Codes!$N$165:$Y$169)*(N$113:N$117))</f>
        <v>0</v>
      </c>
      <c r="O129" s="81">
        <f ca="1">SUMPRODUCT((Work_Codes!$N$162:$Y$162=$E129)*(Work_Codes!$N$165:$Y$169)*(O$113:O$117))</f>
        <v>0</v>
      </c>
      <c r="P129" s="81">
        <f ca="1">SUMPRODUCT((Work_Codes!$N$162:$Y$162=$E129)*(Work_Codes!$N$165:$Y$169)*(P$113:P$117))</f>
        <v>0</v>
      </c>
      <c r="Q129" s="81">
        <f ca="1">SUMPRODUCT((Work_Codes!$N$162:$Y$162=$E129)*(Work_Codes!$N$165:$Y$169)*(Q$113:Q$117))</f>
        <v>0</v>
      </c>
      <c r="R129" s="81">
        <f ca="1">SUMPRODUCT((Work_Codes!$N$162:$Y$162=$E129)*(Work_Codes!$N$165:$Y$169)*(R$113:R$117))</f>
        <v>0</v>
      </c>
      <c r="S129" s="81">
        <f ca="1">SUMPRODUCT((Work_Codes!$N$162:$Y$162=$E129)*(Work_Codes!$N$165:$Y$169)*(S$113:S$117))</f>
        <v>0</v>
      </c>
      <c r="T129" s="81">
        <f ca="1">SUMPRODUCT((Work_Codes!$N$162:$Y$162=$E129)*(Work_Codes!$N$165:$Y$169)*(T$113:T$117))</f>
        <v>0</v>
      </c>
    </row>
    <row r="130" spans="4:20" ht="11.5" customHeight="1" outlineLevel="2">
      <c r="E130" s="247" t="str">
        <f>GC!C44</f>
        <v>Supply Regulators / Valve Stations</v>
      </c>
      <c r="F130" s="247"/>
      <c r="G130" s="247"/>
      <c r="H130" s="247"/>
      <c r="I130" s="247"/>
      <c r="J130" s="81">
        <f ca="1">SUMPRODUCT((Work_Codes!$N$162:$Y$162=$E130)*(Work_Codes!$N$165:$Y$169)*(J$113:J$117))</f>
        <v>0</v>
      </c>
      <c r="K130" s="81">
        <f ca="1">SUMPRODUCT((Work_Codes!$N$162:$Y$162=$E130)*(Work_Codes!$N$165:$Y$169)*(K$113:K$117))</f>
        <v>0</v>
      </c>
      <c r="L130" s="81">
        <f ca="1">SUMPRODUCT((Work_Codes!$N$162:$Y$162=$E130)*(Work_Codes!$N$165:$Y$169)*(L$113:L$117))</f>
        <v>0</v>
      </c>
      <c r="M130" s="81">
        <f ca="1">SUMPRODUCT((Work_Codes!$N$162:$Y$162=$E130)*(Work_Codes!$N$165:$Y$169)*(M$113:M$117))</f>
        <v>0</v>
      </c>
      <c r="N130" s="81">
        <f ca="1">SUMPRODUCT((Work_Codes!$N$162:$Y$162=$E130)*(Work_Codes!$N$165:$Y$169)*(N$113:N$117))</f>
        <v>0</v>
      </c>
      <c r="O130" s="81">
        <f ca="1">SUMPRODUCT((Work_Codes!$N$162:$Y$162=$E130)*(Work_Codes!$N$165:$Y$169)*(O$113:O$117))</f>
        <v>0</v>
      </c>
      <c r="P130" s="81">
        <f ca="1">SUMPRODUCT((Work_Codes!$N$162:$Y$162=$E130)*(Work_Codes!$N$165:$Y$169)*(P$113:P$117))</f>
        <v>0</v>
      </c>
      <c r="Q130" s="81">
        <f ca="1">SUMPRODUCT((Work_Codes!$N$162:$Y$162=$E130)*(Work_Codes!$N$165:$Y$169)*(Q$113:Q$117))</f>
        <v>0</v>
      </c>
      <c r="R130" s="81">
        <f ca="1">SUMPRODUCT((Work_Codes!$N$162:$Y$162=$E130)*(Work_Codes!$N$165:$Y$169)*(R$113:R$117))</f>
        <v>0</v>
      </c>
      <c r="S130" s="81">
        <f ca="1">SUMPRODUCT((Work_Codes!$N$162:$Y$162=$E130)*(Work_Codes!$N$165:$Y$169)*(S$113:S$117))</f>
        <v>0</v>
      </c>
      <c r="T130" s="81">
        <f ca="1">SUMPRODUCT((Work_Codes!$N$162:$Y$162=$E130)*(Work_Codes!$N$165:$Y$169)*(T$113:T$117))</f>
        <v>0</v>
      </c>
    </row>
    <row r="131" spans="4:20" ht="11.5" customHeight="1" outlineLevel="2">
      <c r="E131" s="247" t="str">
        <f>GC!C45</f>
        <v>Meters</v>
      </c>
      <c r="F131" s="247"/>
      <c r="G131" s="247"/>
      <c r="H131" s="247"/>
      <c r="I131" s="247"/>
      <c r="J131" s="81">
        <f ca="1">SUMPRODUCT((Work_Codes!$N$162:$Y$162=$E131)*(Work_Codes!$N$165:$Y$169)*(J$113:J$117))</f>
        <v>0</v>
      </c>
      <c r="K131" s="81">
        <f ca="1">SUMPRODUCT((Work_Codes!$N$162:$Y$162=$E131)*(Work_Codes!$N$165:$Y$169)*(K$113:K$117))</f>
        <v>0</v>
      </c>
      <c r="L131" s="81">
        <f ca="1">SUMPRODUCT((Work_Codes!$N$162:$Y$162=$E131)*(Work_Codes!$N$165:$Y$169)*(L$113:L$117))</f>
        <v>0</v>
      </c>
      <c r="M131" s="81">
        <f ca="1">SUMPRODUCT((Work_Codes!$N$162:$Y$162=$E131)*(Work_Codes!$N$165:$Y$169)*(M$113:M$117))</f>
        <v>0</v>
      </c>
      <c r="N131" s="81">
        <f ca="1">SUMPRODUCT((Work_Codes!$N$162:$Y$162=$E131)*(Work_Codes!$N$165:$Y$169)*(N$113:N$117))</f>
        <v>843199.11110906955</v>
      </c>
      <c r="O131" s="81">
        <f ca="1">SUMPRODUCT((Work_Codes!$N$162:$Y$162=$E131)*(Work_Codes!$N$165:$Y$169)*(O$113:O$117))</f>
        <v>472422.54543903633</v>
      </c>
      <c r="P131" s="81">
        <f ca="1">SUMPRODUCT((Work_Codes!$N$162:$Y$162=$E131)*(Work_Codes!$N$165:$Y$169)*(P$113:P$117))</f>
        <v>1049190.323017779</v>
      </c>
      <c r="Q131" s="81">
        <f ca="1">SUMPRODUCT((Work_Codes!$N$162:$Y$162=$E131)*(Work_Codes!$N$165:$Y$169)*(Q$113:Q$117))</f>
        <v>1226755.0918546824</v>
      </c>
      <c r="R131" s="81">
        <f ca="1">SUMPRODUCT((Work_Codes!$N$162:$Y$162=$E131)*(Work_Codes!$N$165:$Y$169)*(R$113:R$117))</f>
        <v>1211108.933366352</v>
      </c>
      <c r="S131" s="81">
        <f ca="1">SUMPRODUCT((Work_Codes!$N$162:$Y$162=$E131)*(Work_Codes!$N$165:$Y$169)*(S$113:S$117))</f>
        <v>1400483.0122676992</v>
      </c>
      <c r="T131" s="81">
        <f ca="1">SUMPRODUCT((Work_Codes!$N$162:$Y$162=$E131)*(Work_Codes!$N$165:$Y$169)*(T$113:T$117))</f>
        <v>1002338.9679991415</v>
      </c>
    </row>
    <row r="132" spans="4:20" ht="11.5" customHeight="1" outlineLevel="2">
      <c r="E132" s="247" t="str">
        <f>GC!C46</f>
        <v>SCADA and remote control</v>
      </c>
      <c r="F132" s="247"/>
      <c r="G132" s="247"/>
      <c r="H132" s="247"/>
      <c r="I132" s="247"/>
      <c r="J132" s="81">
        <f ca="1">SUMPRODUCT((Work_Codes!$N$162:$Y$162=$E132)*(Work_Codes!$N$165:$Y$169)*(J$113:J$117))</f>
        <v>0</v>
      </c>
      <c r="K132" s="81">
        <f ca="1">SUMPRODUCT((Work_Codes!$N$162:$Y$162=$E132)*(Work_Codes!$N$165:$Y$169)*(K$113:K$117))</f>
        <v>0</v>
      </c>
      <c r="L132" s="81">
        <f ca="1">SUMPRODUCT((Work_Codes!$N$162:$Y$162=$E132)*(Work_Codes!$N$165:$Y$169)*(L$113:L$117))</f>
        <v>0</v>
      </c>
      <c r="M132" s="81">
        <f ca="1">SUMPRODUCT((Work_Codes!$N$162:$Y$162=$E132)*(Work_Codes!$N$165:$Y$169)*(M$113:M$117))</f>
        <v>0</v>
      </c>
      <c r="N132" s="81">
        <f ca="1">SUMPRODUCT((Work_Codes!$N$162:$Y$162=$E132)*(Work_Codes!$N$165:$Y$169)*(N$113:N$117))</f>
        <v>0</v>
      </c>
      <c r="O132" s="81">
        <f ca="1">SUMPRODUCT((Work_Codes!$N$162:$Y$162=$E132)*(Work_Codes!$N$165:$Y$169)*(O$113:O$117))</f>
        <v>0</v>
      </c>
      <c r="P132" s="81">
        <f ca="1">SUMPRODUCT((Work_Codes!$N$162:$Y$162=$E132)*(Work_Codes!$N$165:$Y$169)*(P$113:P$117))</f>
        <v>0</v>
      </c>
      <c r="Q132" s="81">
        <f ca="1">SUMPRODUCT((Work_Codes!$N$162:$Y$162=$E132)*(Work_Codes!$N$165:$Y$169)*(Q$113:Q$117))</f>
        <v>0</v>
      </c>
      <c r="R132" s="81">
        <f ca="1">SUMPRODUCT((Work_Codes!$N$162:$Y$162=$E132)*(Work_Codes!$N$165:$Y$169)*(R$113:R$117))</f>
        <v>0</v>
      </c>
      <c r="S132" s="81">
        <f ca="1">SUMPRODUCT((Work_Codes!$N$162:$Y$162=$E132)*(Work_Codes!$N$165:$Y$169)*(S$113:S$117))</f>
        <v>0</v>
      </c>
      <c r="T132" s="81">
        <f ca="1">SUMPRODUCT((Work_Codes!$N$162:$Y$162=$E132)*(Work_Codes!$N$165:$Y$169)*(T$113:T$117))</f>
        <v>0</v>
      </c>
    </row>
    <row r="133" spans="4:20" ht="11.5" customHeight="1" outlineLevel="2">
      <c r="E133" s="247" t="str">
        <f>GC!C47</f>
        <v>Buildings</v>
      </c>
      <c r="F133" s="247"/>
      <c r="G133" s="247"/>
      <c r="H133" s="247"/>
      <c r="I133" s="247"/>
      <c r="J133" s="81">
        <f ca="1">SUMPRODUCT((Work_Codes!$N$162:$Y$162=$E133)*(Work_Codes!$N$165:$Y$169)*(J$113:J$117))</f>
        <v>0</v>
      </c>
      <c r="K133" s="81">
        <f ca="1">SUMPRODUCT((Work_Codes!$N$162:$Y$162=$E133)*(Work_Codes!$N$165:$Y$169)*(K$113:K$117))</f>
        <v>0</v>
      </c>
      <c r="L133" s="81">
        <f ca="1">SUMPRODUCT((Work_Codes!$N$162:$Y$162=$E133)*(Work_Codes!$N$165:$Y$169)*(L$113:L$117))</f>
        <v>0</v>
      </c>
      <c r="M133" s="81">
        <f ca="1">SUMPRODUCT((Work_Codes!$N$162:$Y$162=$E133)*(Work_Codes!$N$165:$Y$169)*(M$113:M$117))</f>
        <v>0</v>
      </c>
      <c r="N133" s="81">
        <f ca="1">SUMPRODUCT((Work_Codes!$N$162:$Y$162=$E133)*(Work_Codes!$N$165:$Y$169)*(N$113:N$117))</f>
        <v>0</v>
      </c>
      <c r="O133" s="81">
        <f ca="1">SUMPRODUCT((Work_Codes!$N$162:$Y$162=$E133)*(Work_Codes!$N$165:$Y$169)*(O$113:O$117))</f>
        <v>0</v>
      </c>
      <c r="P133" s="81">
        <f ca="1">SUMPRODUCT((Work_Codes!$N$162:$Y$162=$E133)*(Work_Codes!$N$165:$Y$169)*(P$113:P$117))</f>
        <v>0</v>
      </c>
      <c r="Q133" s="81">
        <f ca="1">SUMPRODUCT((Work_Codes!$N$162:$Y$162=$E133)*(Work_Codes!$N$165:$Y$169)*(Q$113:Q$117))</f>
        <v>0</v>
      </c>
      <c r="R133" s="81">
        <f ca="1">SUMPRODUCT((Work_Codes!$N$162:$Y$162=$E133)*(Work_Codes!$N$165:$Y$169)*(R$113:R$117))</f>
        <v>0</v>
      </c>
      <c r="S133" s="81">
        <f ca="1">SUMPRODUCT((Work_Codes!$N$162:$Y$162=$E133)*(Work_Codes!$N$165:$Y$169)*(S$113:S$117))</f>
        <v>0</v>
      </c>
      <c r="T133" s="81">
        <f ca="1">SUMPRODUCT((Work_Codes!$N$162:$Y$162=$E133)*(Work_Codes!$N$165:$Y$169)*(T$113:T$117))</f>
        <v>0</v>
      </c>
    </row>
    <row r="134" spans="4:20" ht="11.5" customHeight="1" outlineLevel="2">
      <c r="E134" s="247" t="str">
        <f>GC!C48</f>
        <v>Other - IT</v>
      </c>
      <c r="F134" s="247"/>
      <c r="G134" s="247"/>
      <c r="H134" s="247"/>
      <c r="I134" s="247"/>
      <c r="J134" s="81">
        <f ca="1">SUMPRODUCT((Work_Codes!$N$162:$Y$162=$E134)*(Work_Codes!$N$165:$Y$169)*(J$113:J$117))</f>
        <v>0</v>
      </c>
      <c r="K134" s="81">
        <f ca="1">SUMPRODUCT((Work_Codes!$N$162:$Y$162=$E134)*(Work_Codes!$N$165:$Y$169)*(K$113:K$117))</f>
        <v>0</v>
      </c>
      <c r="L134" s="81">
        <f ca="1">SUMPRODUCT((Work_Codes!$N$162:$Y$162=$E134)*(Work_Codes!$N$165:$Y$169)*(L$113:L$117))</f>
        <v>0</v>
      </c>
      <c r="M134" s="81">
        <f ca="1">SUMPRODUCT((Work_Codes!$N$162:$Y$162=$E134)*(Work_Codes!$N$165:$Y$169)*(M$113:M$117))</f>
        <v>0</v>
      </c>
      <c r="N134" s="81">
        <f ca="1">SUMPRODUCT((Work_Codes!$N$162:$Y$162=$E134)*(Work_Codes!$N$165:$Y$169)*(N$113:N$117))</f>
        <v>0</v>
      </c>
      <c r="O134" s="81">
        <f ca="1">SUMPRODUCT((Work_Codes!$N$162:$Y$162=$E134)*(Work_Codes!$N$165:$Y$169)*(O$113:O$117))</f>
        <v>0</v>
      </c>
      <c r="P134" s="81">
        <f ca="1">SUMPRODUCT((Work_Codes!$N$162:$Y$162=$E134)*(Work_Codes!$N$165:$Y$169)*(P$113:P$117))</f>
        <v>0</v>
      </c>
      <c r="Q134" s="81">
        <f ca="1">SUMPRODUCT((Work_Codes!$N$162:$Y$162=$E134)*(Work_Codes!$N$165:$Y$169)*(Q$113:Q$117))</f>
        <v>0</v>
      </c>
      <c r="R134" s="81">
        <f ca="1">SUMPRODUCT((Work_Codes!$N$162:$Y$162=$E134)*(Work_Codes!$N$165:$Y$169)*(R$113:R$117))</f>
        <v>0</v>
      </c>
      <c r="S134" s="81">
        <f ca="1">SUMPRODUCT((Work_Codes!$N$162:$Y$162=$E134)*(Work_Codes!$N$165:$Y$169)*(S$113:S$117))</f>
        <v>0</v>
      </c>
      <c r="T134" s="81">
        <f ca="1">SUMPRODUCT((Work_Codes!$N$162:$Y$162=$E134)*(Work_Codes!$N$165:$Y$169)*(T$113:T$117))</f>
        <v>0</v>
      </c>
    </row>
    <row r="135" spans="4:20" ht="11.5" customHeight="1" outlineLevel="2">
      <c r="E135" s="247" t="str">
        <f>GC!C49</f>
        <v>Other - non IT</v>
      </c>
      <c r="F135" s="247"/>
      <c r="G135" s="247"/>
      <c r="H135" s="247"/>
      <c r="I135" s="247"/>
      <c r="J135" s="81">
        <f ca="1">SUMPRODUCT((Work_Codes!$N$162:$Y$162=$E135)*(Work_Codes!$N$165:$Y$169)*(J$113:J$117))</f>
        <v>0</v>
      </c>
      <c r="K135" s="81">
        <f ca="1">SUMPRODUCT((Work_Codes!$N$162:$Y$162=$E135)*(Work_Codes!$N$165:$Y$169)*(K$113:K$117))</f>
        <v>0</v>
      </c>
      <c r="L135" s="81">
        <f ca="1">SUMPRODUCT((Work_Codes!$N$162:$Y$162=$E135)*(Work_Codes!$N$165:$Y$169)*(L$113:L$117))</f>
        <v>0</v>
      </c>
      <c r="M135" s="81">
        <f ca="1">SUMPRODUCT((Work_Codes!$N$162:$Y$162=$E135)*(Work_Codes!$N$165:$Y$169)*(M$113:M$117))</f>
        <v>0</v>
      </c>
      <c r="N135" s="81">
        <f ca="1">SUMPRODUCT((Work_Codes!$N$162:$Y$162=$E135)*(Work_Codes!$N$165:$Y$169)*(N$113:N$117))</f>
        <v>0</v>
      </c>
      <c r="O135" s="81">
        <f ca="1">SUMPRODUCT((Work_Codes!$N$162:$Y$162=$E135)*(Work_Codes!$N$165:$Y$169)*(O$113:O$117))</f>
        <v>0</v>
      </c>
      <c r="P135" s="81">
        <f ca="1">SUMPRODUCT((Work_Codes!$N$162:$Y$162=$E135)*(Work_Codes!$N$165:$Y$169)*(P$113:P$117))</f>
        <v>0</v>
      </c>
      <c r="Q135" s="81">
        <f ca="1">SUMPRODUCT((Work_Codes!$N$162:$Y$162=$E135)*(Work_Codes!$N$165:$Y$169)*(Q$113:Q$117))</f>
        <v>0</v>
      </c>
      <c r="R135" s="81">
        <f ca="1">SUMPRODUCT((Work_Codes!$N$162:$Y$162=$E135)*(Work_Codes!$N$165:$Y$169)*(R$113:R$117))</f>
        <v>0</v>
      </c>
      <c r="S135" s="81">
        <f ca="1">SUMPRODUCT((Work_Codes!$N$162:$Y$162=$E135)*(Work_Codes!$N$165:$Y$169)*(S$113:S$117))</f>
        <v>0</v>
      </c>
      <c r="T135" s="81">
        <f ca="1">SUMPRODUCT((Work_Codes!$N$162:$Y$162=$E135)*(Work_Codes!$N$165:$Y$169)*(T$113:T$117))</f>
        <v>0</v>
      </c>
    </row>
    <row r="136" spans="4:20" ht="11.5" customHeight="1" outlineLevel="2">
      <c r="E136" s="247" t="str">
        <f>GC!C50</f>
        <v>Land</v>
      </c>
      <c r="F136" s="247"/>
      <c r="G136" s="247"/>
      <c r="H136" s="247"/>
      <c r="I136" s="247"/>
      <c r="J136" s="81">
        <f ca="1">SUMPRODUCT((Work_Codes!$N$162:$Y$162=$E136)*(Work_Codes!$N$165:$Y$169)*(J$113:J$117))</f>
        <v>0</v>
      </c>
      <c r="K136" s="81">
        <f ca="1">SUMPRODUCT((Work_Codes!$N$162:$Y$162=$E136)*(Work_Codes!$N$165:$Y$169)*(K$113:K$117))</f>
        <v>0</v>
      </c>
      <c r="L136" s="81">
        <f ca="1">SUMPRODUCT((Work_Codes!$N$162:$Y$162=$E136)*(Work_Codes!$N$165:$Y$169)*(L$113:L$117))</f>
        <v>0</v>
      </c>
      <c r="M136" s="81">
        <f ca="1">SUMPRODUCT((Work_Codes!$N$162:$Y$162=$E136)*(Work_Codes!$N$165:$Y$169)*(M$113:M$117))</f>
        <v>0</v>
      </c>
      <c r="N136" s="81">
        <f ca="1">SUMPRODUCT((Work_Codes!$N$162:$Y$162=$E136)*(Work_Codes!$N$165:$Y$169)*(N$113:N$117))</f>
        <v>0</v>
      </c>
      <c r="O136" s="81">
        <f ca="1">SUMPRODUCT((Work_Codes!$N$162:$Y$162=$E136)*(Work_Codes!$N$165:$Y$169)*(O$113:O$117))</f>
        <v>0</v>
      </c>
      <c r="P136" s="81">
        <f ca="1">SUMPRODUCT((Work_Codes!$N$162:$Y$162=$E136)*(Work_Codes!$N$165:$Y$169)*(P$113:P$117))</f>
        <v>0</v>
      </c>
      <c r="Q136" s="81">
        <f ca="1">SUMPRODUCT((Work_Codes!$N$162:$Y$162=$E136)*(Work_Codes!$N$165:$Y$169)*(Q$113:Q$117))</f>
        <v>0</v>
      </c>
      <c r="R136" s="81">
        <f ca="1">SUMPRODUCT((Work_Codes!$N$162:$Y$162=$E136)*(Work_Codes!$N$165:$Y$169)*(R$113:R$117))</f>
        <v>0</v>
      </c>
      <c r="S136" s="81">
        <f ca="1">SUMPRODUCT((Work_Codes!$N$162:$Y$162=$E136)*(Work_Codes!$N$165:$Y$169)*(S$113:S$117))</f>
        <v>0</v>
      </c>
      <c r="T136" s="81">
        <f ca="1">SUMPRODUCT((Work_Codes!$N$162:$Y$162=$E136)*(Work_Codes!$N$165:$Y$169)*(T$113:T$117))</f>
        <v>0</v>
      </c>
    </row>
    <row r="137" spans="4:20" outlineLevel="2">
      <c r="E137" s="247" t="str">
        <f>GC!C51</f>
        <v>Capitalised Leases</v>
      </c>
      <c r="F137" s="247"/>
      <c r="G137" s="247"/>
      <c r="H137" s="247"/>
      <c r="I137" s="247"/>
      <c r="J137" s="81">
        <f ca="1">SUMPRODUCT((Work_Codes!$N$162:$Y$162=$E137)*(Work_Codes!$N$165:$Y$169)*(J$113:J$117))</f>
        <v>0</v>
      </c>
      <c r="K137" s="81">
        <f ca="1">SUMPRODUCT((Work_Codes!$N$162:$Y$162=$E137)*(Work_Codes!$N$165:$Y$169)*(K$113:K$117))</f>
        <v>0</v>
      </c>
      <c r="L137" s="81">
        <f ca="1">SUMPRODUCT((Work_Codes!$N$162:$Y$162=$E137)*(Work_Codes!$N$165:$Y$169)*(L$113:L$117))</f>
        <v>0</v>
      </c>
      <c r="M137" s="81">
        <f ca="1">SUMPRODUCT((Work_Codes!$N$162:$Y$162=$E137)*(Work_Codes!$N$165:$Y$169)*(M$113:M$117))</f>
        <v>0</v>
      </c>
      <c r="N137" s="81">
        <f ca="1">SUMPRODUCT((Work_Codes!$N$162:$Y$162=$E137)*(Work_Codes!$N$165:$Y$169)*(N$113:N$117))</f>
        <v>0</v>
      </c>
      <c r="O137" s="81">
        <f ca="1">SUMPRODUCT((Work_Codes!$N$162:$Y$162=$E137)*(Work_Codes!$N$165:$Y$169)*(O$113:O$117))</f>
        <v>0</v>
      </c>
      <c r="P137" s="81">
        <f ca="1">SUMPRODUCT((Work_Codes!$N$162:$Y$162=$E137)*(Work_Codes!$N$165:$Y$169)*(P$113:P$117))</f>
        <v>0</v>
      </c>
      <c r="Q137" s="81">
        <f ca="1">SUMPRODUCT((Work_Codes!$N$162:$Y$162=$E137)*(Work_Codes!$N$165:$Y$169)*(Q$113:Q$117))</f>
        <v>0</v>
      </c>
      <c r="R137" s="81">
        <f ca="1">SUMPRODUCT((Work_Codes!$N$162:$Y$162=$E137)*(Work_Codes!$N$165:$Y$169)*(R$113:R$117))</f>
        <v>0</v>
      </c>
      <c r="S137" s="81">
        <f ca="1">SUMPRODUCT((Work_Codes!$N$162:$Y$162=$E137)*(Work_Codes!$N$165:$Y$169)*(S$113:S$117))</f>
        <v>0</v>
      </c>
      <c r="T137" s="81">
        <f ca="1">SUMPRODUCT((Work_Codes!$N$162:$Y$162=$E137)*(Work_Codes!$N$165:$Y$169)*(T$113:T$117))</f>
        <v>0</v>
      </c>
    </row>
    <row r="138" spans="4:20" outlineLevel="2">
      <c r="E138" s="247" t="str">
        <f>GC!C52</f>
        <v>Transmission pipelines - post 1998</v>
      </c>
      <c r="F138" s="247"/>
      <c r="G138" s="247"/>
      <c r="H138" s="247"/>
      <c r="I138" s="247"/>
      <c r="J138" s="81">
        <f ca="1">SUMPRODUCT((Work_Codes!$N$162:$Y$162=$E138)*(Work_Codes!$N$165:$Y$169)*(J$113:J$117))</f>
        <v>0</v>
      </c>
      <c r="K138" s="81">
        <f ca="1">SUMPRODUCT((Work_Codes!$N$162:$Y$162=$E138)*(Work_Codes!$N$165:$Y$169)*(K$113:K$117))</f>
        <v>0</v>
      </c>
      <c r="L138" s="81">
        <f ca="1">SUMPRODUCT((Work_Codes!$N$162:$Y$162=$E138)*(Work_Codes!$N$165:$Y$169)*(L$113:L$117))</f>
        <v>0</v>
      </c>
      <c r="M138" s="81">
        <f ca="1">SUMPRODUCT((Work_Codes!$N$162:$Y$162=$E138)*(Work_Codes!$N$165:$Y$169)*(M$113:M$117))</f>
        <v>0</v>
      </c>
      <c r="N138" s="81">
        <f ca="1">SUMPRODUCT((Work_Codes!$N$162:$Y$162=$E138)*(Work_Codes!$N$165:$Y$169)*(N$113:N$117))</f>
        <v>0</v>
      </c>
      <c r="O138" s="81">
        <f ca="1">SUMPRODUCT((Work_Codes!$N$162:$Y$162=$E138)*(Work_Codes!$N$165:$Y$169)*(O$113:O$117))</f>
        <v>0</v>
      </c>
      <c r="P138" s="81">
        <f ca="1">SUMPRODUCT((Work_Codes!$N$162:$Y$162=$E138)*(Work_Codes!$N$165:$Y$169)*(P$113:P$117))</f>
        <v>0</v>
      </c>
      <c r="Q138" s="81">
        <f ca="1">SUMPRODUCT((Work_Codes!$N$162:$Y$162=$E138)*(Work_Codes!$N$165:$Y$169)*(Q$113:Q$117))</f>
        <v>0</v>
      </c>
      <c r="R138" s="81">
        <f ca="1">SUMPRODUCT((Work_Codes!$N$162:$Y$162=$E138)*(Work_Codes!$N$165:$Y$169)*(R$113:R$117))</f>
        <v>0</v>
      </c>
      <c r="S138" s="81">
        <f ca="1">SUMPRODUCT((Work_Codes!$N$162:$Y$162=$E138)*(Work_Codes!$N$165:$Y$169)*(S$113:S$117))</f>
        <v>0</v>
      </c>
      <c r="T138" s="81">
        <f ca="1">SUMPRODUCT((Work_Codes!$N$162:$Y$162=$E138)*(Work_Codes!$N$165:$Y$169)*(T$113:T$117))</f>
        <v>0</v>
      </c>
    </row>
    <row r="139" spans="4:20" outlineLevel="2">
      <c r="E139" s="247" t="str">
        <f>GC!C53</f>
        <v>Distribution pipelines - post 1998</v>
      </c>
      <c r="F139" s="247"/>
      <c r="G139" s="247"/>
      <c r="H139" s="247"/>
      <c r="I139" s="247"/>
      <c r="J139" s="81">
        <f ca="1">SUMPRODUCT((Work_Codes!$N$162:$Y$162=$E139)*(Work_Codes!$N$165:$Y$169)*(J$113:J$117))</f>
        <v>0</v>
      </c>
      <c r="K139" s="81">
        <f ca="1">SUMPRODUCT((Work_Codes!$N$162:$Y$162=$E139)*(Work_Codes!$N$165:$Y$169)*(K$113:K$117))</f>
        <v>0</v>
      </c>
      <c r="L139" s="81">
        <f ca="1">SUMPRODUCT((Work_Codes!$N$162:$Y$162=$E139)*(Work_Codes!$N$165:$Y$169)*(L$113:L$117))</f>
        <v>0</v>
      </c>
      <c r="M139" s="81">
        <f ca="1">SUMPRODUCT((Work_Codes!$N$162:$Y$162=$E139)*(Work_Codes!$N$165:$Y$169)*(M$113:M$117))</f>
        <v>0</v>
      </c>
      <c r="N139" s="81">
        <f ca="1">SUMPRODUCT((Work_Codes!$N$162:$Y$162=$E139)*(Work_Codes!$N$165:$Y$169)*(N$113:N$117))</f>
        <v>0</v>
      </c>
      <c r="O139" s="81">
        <f ca="1">SUMPRODUCT((Work_Codes!$N$162:$Y$162=$E139)*(Work_Codes!$N$165:$Y$169)*(O$113:O$117))</f>
        <v>0</v>
      </c>
      <c r="P139" s="81">
        <f ca="1">SUMPRODUCT((Work_Codes!$N$162:$Y$162=$E139)*(Work_Codes!$N$165:$Y$169)*(P$113:P$117))</f>
        <v>0</v>
      </c>
      <c r="Q139" s="81">
        <f ca="1">SUMPRODUCT((Work_Codes!$N$162:$Y$162=$E139)*(Work_Codes!$N$165:$Y$169)*(Q$113:Q$117))</f>
        <v>0</v>
      </c>
      <c r="R139" s="81">
        <f ca="1">SUMPRODUCT((Work_Codes!$N$162:$Y$162=$E139)*(Work_Codes!$N$165:$Y$169)*(R$113:R$117))</f>
        <v>0</v>
      </c>
      <c r="S139" s="81">
        <f ca="1">SUMPRODUCT((Work_Codes!$N$162:$Y$162=$E139)*(Work_Codes!$N$165:$Y$169)*(S$113:S$117))</f>
        <v>0</v>
      </c>
      <c r="T139" s="81">
        <f ca="1">SUMPRODUCT((Work_Codes!$N$162:$Y$162=$E139)*(Work_Codes!$N$165:$Y$169)*(T$113:T$117))</f>
        <v>0</v>
      </c>
    </row>
    <row r="140" spans="4:20" outlineLevel="2">
      <c r="E140" s="247" t="str">
        <f>GC!C54</f>
        <v>Service pipes - post 1998</v>
      </c>
      <c r="F140" s="247"/>
      <c r="G140" s="247"/>
      <c r="H140" s="247"/>
      <c r="I140" s="247"/>
      <c r="J140" s="81">
        <f ca="1">SUMPRODUCT((Work_Codes!$N$162:$Y$162=$E140)*(Work_Codes!$N$165:$Y$169)*(J$113:J$117))</f>
        <v>0</v>
      </c>
      <c r="K140" s="81">
        <f ca="1">SUMPRODUCT((Work_Codes!$N$162:$Y$162=$E140)*(Work_Codes!$N$165:$Y$169)*(K$113:K$117))</f>
        <v>0</v>
      </c>
      <c r="L140" s="81">
        <f ca="1">SUMPRODUCT((Work_Codes!$N$162:$Y$162=$E140)*(Work_Codes!$N$165:$Y$169)*(L$113:L$117))</f>
        <v>0</v>
      </c>
      <c r="M140" s="81">
        <f ca="1">SUMPRODUCT((Work_Codes!$N$162:$Y$162=$E140)*(Work_Codes!$N$165:$Y$169)*(M$113:M$117))</f>
        <v>0</v>
      </c>
      <c r="N140" s="81">
        <f ca="1">SUMPRODUCT((Work_Codes!$N$162:$Y$162=$E140)*(Work_Codes!$N$165:$Y$169)*(N$113:N$117))</f>
        <v>0</v>
      </c>
      <c r="O140" s="81">
        <f ca="1">SUMPRODUCT((Work_Codes!$N$162:$Y$162=$E140)*(Work_Codes!$N$165:$Y$169)*(O$113:O$117))</f>
        <v>0</v>
      </c>
      <c r="P140" s="81">
        <f ca="1">SUMPRODUCT((Work_Codes!$N$162:$Y$162=$E140)*(Work_Codes!$N$165:$Y$169)*(P$113:P$117))</f>
        <v>0</v>
      </c>
      <c r="Q140" s="81">
        <f ca="1">SUMPRODUCT((Work_Codes!$N$162:$Y$162=$E140)*(Work_Codes!$N$165:$Y$169)*(Q$113:Q$117))</f>
        <v>0</v>
      </c>
      <c r="R140" s="81">
        <f ca="1">SUMPRODUCT((Work_Codes!$N$162:$Y$162=$E140)*(Work_Codes!$N$165:$Y$169)*(R$113:R$117))</f>
        <v>0</v>
      </c>
      <c r="S140" s="81">
        <f ca="1">SUMPRODUCT((Work_Codes!$N$162:$Y$162=$E140)*(Work_Codes!$N$165:$Y$169)*(S$113:S$117))</f>
        <v>0</v>
      </c>
      <c r="T140" s="81">
        <f ca="1">SUMPRODUCT((Work_Codes!$N$162:$Y$162=$E140)*(Work_Codes!$N$165:$Y$169)*(T$113:T$117))</f>
        <v>0</v>
      </c>
    </row>
    <row r="141" spans="4:20" outlineLevel="2">
      <c r="E141" s="247" t="str">
        <f>GC!C55</f>
        <v>Cathodic protection - post 1998</v>
      </c>
      <c r="F141" s="247"/>
      <c r="G141" s="247"/>
      <c r="H141" s="247"/>
      <c r="I141" s="247"/>
      <c r="J141" s="81">
        <f ca="1">SUMPRODUCT((Work_Codes!$N$162:$Y$162=$E141)*(Work_Codes!$N$165:$Y$169)*(J$113:J$117))</f>
        <v>0</v>
      </c>
      <c r="K141" s="81">
        <f ca="1">SUMPRODUCT((Work_Codes!$N$162:$Y$162=$E141)*(Work_Codes!$N$165:$Y$169)*(K$113:K$117))</f>
        <v>0</v>
      </c>
      <c r="L141" s="81">
        <f ca="1">SUMPRODUCT((Work_Codes!$N$162:$Y$162=$E141)*(Work_Codes!$N$165:$Y$169)*(L$113:L$117))</f>
        <v>0</v>
      </c>
      <c r="M141" s="81">
        <f ca="1">SUMPRODUCT((Work_Codes!$N$162:$Y$162=$E141)*(Work_Codes!$N$165:$Y$169)*(M$113:M$117))</f>
        <v>0</v>
      </c>
      <c r="N141" s="81">
        <f ca="1">SUMPRODUCT((Work_Codes!$N$162:$Y$162=$E141)*(Work_Codes!$N$165:$Y$169)*(N$113:N$117))</f>
        <v>0</v>
      </c>
      <c r="O141" s="81">
        <f ca="1">SUMPRODUCT((Work_Codes!$N$162:$Y$162=$E141)*(Work_Codes!$N$165:$Y$169)*(O$113:O$117))</f>
        <v>0</v>
      </c>
      <c r="P141" s="81">
        <f ca="1">SUMPRODUCT((Work_Codes!$N$162:$Y$162=$E141)*(Work_Codes!$N$165:$Y$169)*(P$113:P$117))</f>
        <v>0</v>
      </c>
      <c r="Q141" s="81">
        <f ca="1">SUMPRODUCT((Work_Codes!$N$162:$Y$162=$E141)*(Work_Codes!$N$165:$Y$169)*(Q$113:Q$117))</f>
        <v>0</v>
      </c>
      <c r="R141" s="81">
        <f ca="1">SUMPRODUCT((Work_Codes!$N$162:$Y$162=$E141)*(Work_Codes!$N$165:$Y$169)*(R$113:R$117))</f>
        <v>0</v>
      </c>
      <c r="S141" s="81">
        <f ca="1">SUMPRODUCT((Work_Codes!$N$162:$Y$162=$E141)*(Work_Codes!$N$165:$Y$169)*(S$113:S$117))</f>
        <v>0</v>
      </c>
      <c r="T141" s="81">
        <f ca="1">SUMPRODUCT((Work_Codes!$N$162:$Y$162=$E141)*(Work_Codes!$N$165:$Y$169)*(T$113:T$117))</f>
        <v>0</v>
      </c>
    </row>
    <row r="142" spans="4:20" ht="12" customHeight="1" outlineLevel="2">
      <c r="E142" s="249" t="str">
        <f>"Total "&amp;D124</f>
        <v>Total Direct Costs</v>
      </c>
      <c r="F142" s="249"/>
      <c r="G142" s="249"/>
      <c r="H142" s="249"/>
      <c r="I142" s="249"/>
      <c r="J142" s="82">
        <f t="shared" ref="J142:T142" ca="1" si="19">SUM(J126:J141)</f>
        <v>0</v>
      </c>
      <c r="K142" s="82">
        <f t="shared" ca="1" si="19"/>
        <v>0</v>
      </c>
      <c r="L142" s="82">
        <f t="shared" ca="1" si="19"/>
        <v>0</v>
      </c>
      <c r="M142" s="82">
        <f t="shared" ca="1" si="19"/>
        <v>0</v>
      </c>
      <c r="N142" s="82">
        <f t="shared" ca="1" si="19"/>
        <v>843199.11110906955</v>
      </c>
      <c r="O142" s="82">
        <f t="shared" ca="1" si="19"/>
        <v>472422.54543903633</v>
      </c>
      <c r="P142" s="82">
        <f t="shared" ca="1" si="19"/>
        <v>1049190.323017779</v>
      </c>
      <c r="Q142" s="82">
        <f t="shared" ca="1" si="19"/>
        <v>1226755.0918546824</v>
      </c>
      <c r="R142" s="82">
        <f t="shared" ca="1" si="19"/>
        <v>1211108.933366352</v>
      </c>
      <c r="S142" s="82">
        <f t="shared" ca="1" si="19"/>
        <v>1400483.0122676992</v>
      </c>
      <c r="T142" s="82">
        <f t="shared" ca="1" si="19"/>
        <v>1002338.9679991415</v>
      </c>
    </row>
    <row r="143" spans="4:20" outlineLevel="2"/>
    <row r="144" spans="4:20" outlineLevel="2">
      <c r="D144" s="37" t="s">
        <v>364</v>
      </c>
    </row>
    <row r="145" spans="5:20" ht="5.9" customHeight="1" outlineLevel="2"/>
    <row r="146" spans="5:20" outlineLevel="2">
      <c r="E146" s="247" t="str">
        <f>GC!C40</f>
        <v>Transmission pipelines</v>
      </c>
      <c r="F146" s="247"/>
      <c r="G146" s="247"/>
      <c r="H146" s="247"/>
      <c r="I146" s="247"/>
      <c r="J146" s="81">
        <f ca="1">J126*(INDEX(J$35:J$37,MATCH(Work_Codes!$I$159,$D$35:$D$37,0)))</f>
        <v>0</v>
      </c>
      <c r="K146" s="81">
        <f ca="1">K126*(INDEX(K$35:K$37,MATCH(Work_Codes!$I$159,$D$35:$D$37,0)))</f>
        <v>0</v>
      </c>
      <c r="L146" s="81">
        <f ca="1">L126*(INDEX(L$35:L$37,MATCH(Work_Codes!$I$159,$D$35:$D$37,0)))</f>
        <v>0</v>
      </c>
      <c r="M146" s="81">
        <f ca="1">M126*(INDEX(M$35:M$37,MATCH(Work_Codes!$I$159,$D$35:$D$37,0)))</f>
        <v>0</v>
      </c>
      <c r="N146" s="81">
        <f ca="1">N126*(INDEX(N$35:N$37,MATCH(Work_Codes!$I$159,$D$35:$D$37,0)))</f>
        <v>0</v>
      </c>
      <c r="O146" s="81">
        <f ca="1">O126*(INDEX(O$35:O$37,MATCH(Work_Codes!$I$159,$D$35:$D$37,0)))</f>
        <v>0</v>
      </c>
      <c r="P146" s="81">
        <f ca="1">P126*(INDEX(P$35:P$37,MATCH(Work_Codes!$I$159,$D$35:$D$37,0)))</f>
        <v>0</v>
      </c>
      <c r="Q146" s="81">
        <f ca="1">Q126*(INDEX(Q$35:Q$37,MATCH(Work_Codes!$I$159,$D$35:$D$37,0)))</f>
        <v>0</v>
      </c>
      <c r="R146" s="81">
        <f ca="1">R126*(INDEX(R$35:R$37,MATCH(Work_Codes!$I$159,$D$35:$D$37,0)))</f>
        <v>0</v>
      </c>
      <c r="S146" s="81">
        <f ca="1">S126*(INDEX(S$35:S$37,MATCH(Work_Codes!$I$159,$D$35:$D$37,0)))</f>
        <v>0</v>
      </c>
      <c r="T146" s="81">
        <f ca="1">T126*(INDEX(T$35:T$37,MATCH(Work_Codes!$I$159,$D$35:$D$37,0)))</f>
        <v>0</v>
      </c>
    </row>
    <row r="147" spans="5:20" outlineLevel="2">
      <c r="E147" s="247" t="str">
        <f>GC!C41</f>
        <v>Distribution pipelines</v>
      </c>
      <c r="F147" s="247"/>
      <c r="G147" s="247"/>
      <c r="H147" s="247"/>
      <c r="I147" s="247"/>
      <c r="J147" s="81">
        <f ca="1">J127*(INDEX(J$35:J$37,MATCH(Work_Codes!$I$159,$D$35:$D$37,0)))</f>
        <v>0</v>
      </c>
      <c r="K147" s="81">
        <f ca="1">K127*(INDEX(K$35:K$37,MATCH(Work_Codes!$I$159,$D$35:$D$37,0)))</f>
        <v>0</v>
      </c>
      <c r="L147" s="81">
        <f ca="1">L127*(INDEX(L$35:L$37,MATCH(Work_Codes!$I$159,$D$35:$D$37,0)))</f>
        <v>0</v>
      </c>
      <c r="M147" s="81">
        <f ca="1">M127*(INDEX(M$35:M$37,MATCH(Work_Codes!$I$159,$D$35:$D$37,0)))</f>
        <v>0</v>
      </c>
      <c r="N147" s="81">
        <f ca="1">N127*(INDEX(N$35:N$37,MATCH(Work_Codes!$I$159,$D$35:$D$37,0)))</f>
        <v>0</v>
      </c>
      <c r="O147" s="81">
        <f ca="1">O127*(INDEX(O$35:O$37,MATCH(Work_Codes!$I$159,$D$35:$D$37,0)))</f>
        <v>0</v>
      </c>
      <c r="P147" s="81">
        <f ca="1">P127*(INDEX(P$35:P$37,MATCH(Work_Codes!$I$159,$D$35:$D$37,0)))</f>
        <v>0</v>
      </c>
      <c r="Q147" s="81">
        <f ca="1">Q127*(INDEX(Q$35:Q$37,MATCH(Work_Codes!$I$159,$D$35:$D$37,0)))</f>
        <v>0</v>
      </c>
      <c r="R147" s="81">
        <f ca="1">R127*(INDEX(R$35:R$37,MATCH(Work_Codes!$I$159,$D$35:$D$37,0)))</f>
        <v>0</v>
      </c>
      <c r="S147" s="81">
        <f ca="1">S127*(INDEX(S$35:S$37,MATCH(Work_Codes!$I$159,$D$35:$D$37,0)))</f>
        <v>0</v>
      </c>
      <c r="T147" s="81">
        <f ca="1">T127*(INDEX(T$35:T$37,MATCH(Work_Codes!$I$159,$D$35:$D$37,0)))</f>
        <v>0</v>
      </c>
    </row>
    <row r="148" spans="5:20" outlineLevel="2">
      <c r="E148" s="247" t="str">
        <f>GC!C42</f>
        <v>Service pipes</v>
      </c>
      <c r="F148" s="247"/>
      <c r="G148" s="247"/>
      <c r="H148" s="247"/>
      <c r="I148" s="247"/>
      <c r="J148" s="81">
        <f ca="1">J128*(INDEX(J$35:J$37,MATCH(Work_Codes!$I$159,$D$35:$D$37,0)))</f>
        <v>0</v>
      </c>
      <c r="K148" s="81">
        <f ca="1">K128*(INDEX(K$35:K$37,MATCH(Work_Codes!$I$159,$D$35:$D$37,0)))</f>
        <v>0</v>
      </c>
      <c r="L148" s="81">
        <f ca="1">L128*(INDEX(L$35:L$37,MATCH(Work_Codes!$I$159,$D$35:$D$37,0)))</f>
        <v>0</v>
      </c>
      <c r="M148" s="81">
        <f ca="1">M128*(INDEX(M$35:M$37,MATCH(Work_Codes!$I$159,$D$35:$D$37,0)))</f>
        <v>0</v>
      </c>
      <c r="N148" s="81">
        <f ca="1">N128*(INDEX(N$35:N$37,MATCH(Work_Codes!$I$159,$D$35:$D$37,0)))</f>
        <v>0</v>
      </c>
      <c r="O148" s="81">
        <f ca="1">O128*(INDEX(O$35:O$37,MATCH(Work_Codes!$I$159,$D$35:$D$37,0)))</f>
        <v>0</v>
      </c>
      <c r="P148" s="81">
        <f ca="1">P128*(INDEX(P$35:P$37,MATCH(Work_Codes!$I$159,$D$35:$D$37,0)))</f>
        <v>0</v>
      </c>
      <c r="Q148" s="81">
        <f ca="1">Q128*(INDEX(Q$35:Q$37,MATCH(Work_Codes!$I$159,$D$35:$D$37,0)))</f>
        <v>0</v>
      </c>
      <c r="R148" s="81">
        <f ca="1">R128*(INDEX(R$35:R$37,MATCH(Work_Codes!$I$159,$D$35:$D$37,0)))</f>
        <v>0</v>
      </c>
      <c r="S148" s="81">
        <f ca="1">S128*(INDEX(S$35:S$37,MATCH(Work_Codes!$I$159,$D$35:$D$37,0)))</f>
        <v>0</v>
      </c>
      <c r="T148" s="81">
        <f ca="1">T128*(INDEX(T$35:T$37,MATCH(Work_Codes!$I$159,$D$35:$D$37,0)))</f>
        <v>0</v>
      </c>
    </row>
    <row r="149" spans="5:20" outlineLevel="2">
      <c r="E149" s="247" t="str">
        <f>GC!C43</f>
        <v>Cathodic protection</v>
      </c>
      <c r="F149" s="247"/>
      <c r="G149" s="247"/>
      <c r="H149" s="247"/>
      <c r="I149" s="247"/>
      <c r="J149" s="81">
        <f ca="1">J129*(INDEX(J$35:J$37,MATCH(Work_Codes!$I$159,$D$35:$D$37,0)))</f>
        <v>0</v>
      </c>
      <c r="K149" s="81">
        <f ca="1">K129*(INDEX(K$35:K$37,MATCH(Work_Codes!$I$159,$D$35:$D$37,0)))</f>
        <v>0</v>
      </c>
      <c r="L149" s="81">
        <f ca="1">L129*(INDEX(L$35:L$37,MATCH(Work_Codes!$I$159,$D$35:$D$37,0)))</f>
        <v>0</v>
      </c>
      <c r="M149" s="81">
        <f ca="1">M129*(INDEX(M$35:M$37,MATCH(Work_Codes!$I$159,$D$35:$D$37,0)))</f>
        <v>0</v>
      </c>
      <c r="N149" s="81">
        <f ca="1">N129*(INDEX(N$35:N$37,MATCH(Work_Codes!$I$159,$D$35:$D$37,0)))</f>
        <v>0</v>
      </c>
      <c r="O149" s="81">
        <f ca="1">O129*(INDEX(O$35:O$37,MATCH(Work_Codes!$I$159,$D$35:$D$37,0)))</f>
        <v>0</v>
      </c>
      <c r="P149" s="81">
        <f ca="1">P129*(INDEX(P$35:P$37,MATCH(Work_Codes!$I$159,$D$35:$D$37,0)))</f>
        <v>0</v>
      </c>
      <c r="Q149" s="81">
        <f ca="1">Q129*(INDEX(Q$35:Q$37,MATCH(Work_Codes!$I$159,$D$35:$D$37,0)))</f>
        <v>0</v>
      </c>
      <c r="R149" s="81">
        <f ca="1">R129*(INDEX(R$35:R$37,MATCH(Work_Codes!$I$159,$D$35:$D$37,0)))</f>
        <v>0</v>
      </c>
      <c r="S149" s="81">
        <f ca="1">S129*(INDEX(S$35:S$37,MATCH(Work_Codes!$I$159,$D$35:$D$37,0)))</f>
        <v>0</v>
      </c>
      <c r="T149" s="81">
        <f ca="1">T129*(INDEX(T$35:T$37,MATCH(Work_Codes!$I$159,$D$35:$D$37,0)))</f>
        <v>0</v>
      </c>
    </row>
    <row r="150" spans="5:20" outlineLevel="2">
      <c r="E150" s="247" t="str">
        <f>GC!C44</f>
        <v>Supply Regulators / Valve Stations</v>
      </c>
      <c r="F150" s="247"/>
      <c r="G150" s="247"/>
      <c r="H150" s="247"/>
      <c r="I150" s="247"/>
      <c r="J150" s="81">
        <f ca="1">J130*(INDEX(J$35:J$37,MATCH(Work_Codes!$I$159,$D$35:$D$37,0)))</f>
        <v>0</v>
      </c>
      <c r="K150" s="81">
        <f ca="1">K130*(INDEX(K$35:K$37,MATCH(Work_Codes!$I$159,$D$35:$D$37,0)))</f>
        <v>0</v>
      </c>
      <c r="L150" s="81">
        <f ca="1">L130*(INDEX(L$35:L$37,MATCH(Work_Codes!$I$159,$D$35:$D$37,0)))</f>
        <v>0</v>
      </c>
      <c r="M150" s="81">
        <f ca="1">M130*(INDEX(M$35:M$37,MATCH(Work_Codes!$I$159,$D$35:$D$37,0)))</f>
        <v>0</v>
      </c>
      <c r="N150" s="81">
        <f ca="1">N130*(INDEX(N$35:N$37,MATCH(Work_Codes!$I$159,$D$35:$D$37,0)))</f>
        <v>0</v>
      </c>
      <c r="O150" s="81">
        <f ca="1">O130*(INDEX(O$35:O$37,MATCH(Work_Codes!$I$159,$D$35:$D$37,0)))</f>
        <v>0</v>
      </c>
      <c r="P150" s="81">
        <f ca="1">P130*(INDEX(P$35:P$37,MATCH(Work_Codes!$I$159,$D$35:$D$37,0)))</f>
        <v>0</v>
      </c>
      <c r="Q150" s="81">
        <f ca="1">Q130*(INDEX(Q$35:Q$37,MATCH(Work_Codes!$I$159,$D$35:$D$37,0)))</f>
        <v>0</v>
      </c>
      <c r="R150" s="81">
        <f ca="1">R130*(INDEX(R$35:R$37,MATCH(Work_Codes!$I$159,$D$35:$D$37,0)))</f>
        <v>0</v>
      </c>
      <c r="S150" s="81">
        <f ca="1">S130*(INDEX(S$35:S$37,MATCH(Work_Codes!$I$159,$D$35:$D$37,0)))</f>
        <v>0</v>
      </c>
      <c r="T150" s="81">
        <f ca="1">T130*(INDEX(T$35:T$37,MATCH(Work_Codes!$I$159,$D$35:$D$37,0)))</f>
        <v>0</v>
      </c>
    </row>
    <row r="151" spans="5:20" outlineLevel="2">
      <c r="E151" s="247" t="str">
        <f>GC!C45</f>
        <v>Meters</v>
      </c>
      <c r="F151" s="247"/>
      <c r="G151" s="247"/>
      <c r="H151" s="247"/>
      <c r="I151" s="247"/>
      <c r="J151" s="81">
        <f ca="1">J131*(INDEX(J$35:J$37,MATCH(Work_Codes!$I$159,$D$35:$D$37,0)))</f>
        <v>0</v>
      </c>
      <c r="K151" s="81">
        <f ca="1">K131*(INDEX(K$35:K$37,MATCH(Work_Codes!$I$159,$D$35:$D$37,0)))</f>
        <v>0</v>
      </c>
      <c r="L151" s="81">
        <f ca="1">L131*(INDEX(L$35:L$37,MATCH(Work_Codes!$I$159,$D$35:$D$37,0)))</f>
        <v>0</v>
      </c>
      <c r="M151" s="81">
        <f ca="1">M131*(INDEX(M$35:M$37,MATCH(Work_Codes!$I$159,$D$35:$D$37,0)))</f>
        <v>0</v>
      </c>
      <c r="N151" s="81">
        <f ca="1">N131*(INDEX(N$35:N$37,MATCH(Work_Codes!$I$159,$D$35:$D$37,0)))</f>
        <v>31797.887904320083</v>
      </c>
      <c r="O151" s="81">
        <f ca="1">O131*(INDEX(O$35:O$37,MATCH(Work_Codes!$I$159,$D$35:$D$37,0)))</f>
        <v>15724.097383138691</v>
      </c>
      <c r="P151" s="81">
        <f ca="1">P131*(INDEX(P$35:P$37,MATCH(Work_Codes!$I$159,$D$35:$D$37,0)))</f>
        <v>28068.632525686829</v>
      </c>
      <c r="Q151" s="81">
        <f ca="1">Q131*(INDEX(Q$35:Q$37,MATCH(Work_Codes!$I$159,$D$35:$D$37,0)))</f>
        <v>31969.958227101833</v>
      </c>
      <c r="R151" s="81">
        <f ca="1">R131*(INDEX(R$35:R$37,MATCH(Work_Codes!$I$159,$D$35:$D$37,0)))</f>
        <v>32546.137617974251</v>
      </c>
      <c r="S151" s="81">
        <f ca="1">S131*(INDEX(S$35:S$37,MATCH(Work_Codes!$I$159,$D$35:$D$37,0)))</f>
        <v>39978.438653963829</v>
      </c>
      <c r="T151" s="81">
        <f ca="1">T131*(INDEX(T$35:T$37,MATCH(Work_Codes!$I$159,$D$35:$D$37,0)))</f>
        <v>29990.361010827168</v>
      </c>
    </row>
    <row r="152" spans="5:20" outlineLevel="2">
      <c r="E152" s="247" t="str">
        <f>GC!C46</f>
        <v>SCADA and remote control</v>
      </c>
      <c r="F152" s="247"/>
      <c r="G152" s="247"/>
      <c r="H152" s="247"/>
      <c r="I152" s="247"/>
      <c r="J152" s="81">
        <f ca="1">J132*(INDEX(J$35:J$37,MATCH(Work_Codes!$I$159,$D$35:$D$37,0)))</f>
        <v>0</v>
      </c>
      <c r="K152" s="81">
        <f ca="1">K132*(INDEX(K$35:K$37,MATCH(Work_Codes!$I$159,$D$35:$D$37,0)))</f>
        <v>0</v>
      </c>
      <c r="L152" s="81">
        <f ca="1">L132*(INDEX(L$35:L$37,MATCH(Work_Codes!$I$159,$D$35:$D$37,0)))</f>
        <v>0</v>
      </c>
      <c r="M152" s="81">
        <f ca="1">M132*(INDEX(M$35:M$37,MATCH(Work_Codes!$I$159,$D$35:$D$37,0)))</f>
        <v>0</v>
      </c>
      <c r="N152" s="81">
        <f ca="1">N132*(INDEX(N$35:N$37,MATCH(Work_Codes!$I$159,$D$35:$D$37,0)))</f>
        <v>0</v>
      </c>
      <c r="O152" s="81">
        <f ca="1">O132*(INDEX(O$35:O$37,MATCH(Work_Codes!$I$159,$D$35:$D$37,0)))</f>
        <v>0</v>
      </c>
      <c r="P152" s="81">
        <f ca="1">P132*(INDEX(P$35:P$37,MATCH(Work_Codes!$I$159,$D$35:$D$37,0)))</f>
        <v>0</v>
      </c>
      <c r="Q152" s="81">
        <f ca="1">Q132*(INDEX(Q$35:Q$37,MATCH(Work_Codes!$I$159,$D$35:$D$37,0)))</f>
        <v>0</v>
      </c>
      <c r="R152" s="81">
        <f ca="1">R132*(INDEX(R$35:R$37,MATCH(Work_Codes!$I$159,$D$35:$D$37,0)))</f>
        <v>0</v>
      </c>
      <c r="S152" s="81">
        <f ca="1">S132*(INDEX(S$35:S$37,MATCH(Work_Codes!$I$159,$D$35:$D$37,0)))</f>
        <v>0</v>
      </c>
      <c r="T152" s="81">
        <f ca="1">T132*(INDEX(T$35:T$37,MATCH(Work_Codes!$I$159,$D$35:$D$37,0)))</f>
        <v>0</v>
      </c>
    </row>
    <row r="153" spans="5:20" outlineLevel="2">
      <c r="E153" s="247" t="str">
        <f>GC!C47</f>
        <v>Buildings</v>
      </c>
      <c r="F153" s="247"/>
      <c r="G153" s="247"/>
      <c r="H153" s="247"/>
      <c r="I153" s="247"/>
      <c r="J153" s="81">
        <f ca="1">J133*(INDEX(J$35:J$37,MATCH(Work_Codes!$I$159,$D$35:$D$37,0)))</f>
        <v>0</v>
      </c>
      <c r="K153" s="81">
        <f ca="1">K133*(INDEX(K$35:K$37,MATCH(Work_Codes!$I$159,$D$35:$D$37,0)))</f>
        <v>0</v>
      </c>
      <c r="L153" s="81">
        <f ca="1">L133*(INDEX(L$35:L$37,MATCH(Work_Codes!$I$159,$D$35:$D$37,0)))</f>
        <v>0</v>
      </c>
      <c r="M153" s="81">
        <f ca="1">M133*(INDEX(M$35:M$37,MATCH(Work_Codes!$I$159,$D$35:$D$37,0)))</f>
        <v>0</v>
      </c>
      <c r="N153" s="81">
        <f ca="1">N133*(INDEX(N$35:N$37,MATCH(Work_Codes!$I$159,$D$35:$D$37,0)))</f>
        <v>0</v>
      </c>
      <c r="O153" s="81">
        <f ca="1">O133*(INDEX(O$35:O$37,MATCH(Work_Codes!$I$159,$D$35:$D$37,0)))</f>
        <v>0</v>
      </c>
      <c r="P153" s="81">
        <f ca="1">P133*(INDEX(P$35:P$37,MATCH(Work_Codes!$I$159,$D$35:$D$37,0)))</f>
        <v>0</v>
      </c>
      <c r="Q153" s="81">
        <f ca="1">Q133*(INDEX(Q$35:Q$37,MATCH(Work_Codes!$I$159,$D$35:$D$37,0)))</f>
        <v>0</v>
      </c>
      <c r="R153" s="81">
        <f ca="1">R133*(INDEX(R$35:R$37,MATCH(Work_Codes!$I$159,$D$35:$D$37,0)))</f>
        <v>0</v>
      </c>
      <c r="S153" s="81">
        <f ca="1">S133*(INDEX(S$35:S$37,MATCH(Work_Codes!$I$159,$D$35:$D$37,0)))</f>
        <v>0</v>
      </c>
      <c r="T153" s="81">
        <f ca="1">T133*(INDEX(T$35:T$37,MATCH(Work_Codes!$I$159,$D$35:$D$37,0)))</f>
        <v>0</v>
      </c>
    </row>
    <row r="154" spans="5:20" outlineLevel="2">
      <c r="E154" s="247" t="str">
        <f>GC!C48</f>
        <v>Other - IT</v>
      </c>
      <c r="F154" s="247"/>
      <c r="G154" s="247"/>
      <c r="H154" s="247"/>
      <c r="I154" s="247"/>
      <c r="J154" s="81">
        <f ca="1">J134*(INDEX(J$35:J$37,MATCH(Work_Codes!$I$159,$D$35:$D$37,0)))</f>
        <v>0</v>
      </c>
      <c r="K154" s="81">
        <f ca="1">K134*(INDEX(K$35:K$37,MATCH(Work_Codes!$I$159,$D$35:$D$37,0)))</f>
        <v>0</v>
      </c>
      <c r="L154" s="81">
        <f ca="1">L134*(INDEX(L$35:L$37,MATCH(Work_Codes!$I$159,$D$35:$D$37,0)))</f>
        <v>0</v>
      </c>
      <c r="M154" s="81">
        <f ca="1">M134*(INDEX(M$35:M$37,MATCH(Work_Codes!$I$159,$D$35:$D$37,0)))</f>
        <v>0</v>
      </c>
      <c r="N154" s="81">
        <f ca="1">N134*(INDEX(N$35:N$37,MATCH(Work_Codes!$I$159,$D$35:$D$37,0)))</f>
        <v>0</v>
      </c>
      <c r="O154" s="81">
        <f ca="1">O134*(INDEX(O$35:O$37,MATCH(Work_Codes!$I$159,$D$35:$D$37,0)))</f>
        <v>0</v>
      </c>
      <c r="P154" s="81">
        <f ca="1">P134*(INDEX(P$35:P$37,MATCH(Work_Codes!$I$159,$D$35:$D$37,0)))</f>
        <v>0</v>
      </c>
      <c r="Q154" s="81">
        <f ca="1">Q134*(INDEX(Q$35:Q$37,MATCH(Work_Codes!$I$159,$D$35:$D$37,0)))</f>
        <v>0</v>
      </c>
      <c r="R154" s="81">
        <f ca="1">R134*(INDEX(R$35:R$37,MATCH(Work_Codes!$I$159,$D$35:$D$37,0)))</f>
        <v>0</v>
      </c>
      <c r="S154" s="81">
        <f ca="1">S134*(INDEX(S$35:S$37,MATCH(Work_Codes!$I$159,$D$35:$D$37,0)))</f>
        <v>0</v>
      </c>
      <c r="T154" s="81">
        <f ca="1">T134*(INDEX(T$35:T$37,MATCH(Work_Codes!$I$159,$D$35:$D$37,0)))</f>
        <v>0</v>
      </c>
    </row>
    <row r="155" spans="5:20" outlineLevel="2">
      <c r="E155" s="247" t="str">
        <f>GC!C49</f>
        <v>Other - non IT</v>
      </c>
      <c r="F155" s="247"/>
      <c r="G155" s="247"/>
      <c r="H155" s="247"/>
      <c r="I155" s="247"/>
      <c r="J155" s="81">
        <f ca="1">J135*(INDEX(J$35:J$37,MATCH(Work_Codes!$I$159,$D$35:$D$37,0)))</f>
        <v>0</v>
      </c>
      <c r="K155" s="81">
        <f ca="1">K135*(INDEX(K$35:K$37,MATCH(Work_Codes!$I$159,$D$35:$D$37,0)))</f>
        <v>0</v>
      </c>
      <c r="L155" s="81">
        <f ca="1">L135*(INDEX(L$35:L$37,MATCH(Work_Codes!$I$159,$D$35:$D$37,0)))</f>
        <v>0</v>
      </c>
      <c r="M155" s="81">
        <f ca="1">M135*(INDEX(M$35:M$37,MATCH(Work_Codes!$I$159,$D$35:$D$37,0)))</f>
        <v>0</v>
      </c>
      <c r="N155" s="81">
        <f ca="1">N135*(INDEX(N$35:N$37,MATCH(Work_Codes!$I$159,$D$35:$D$37,0)))</f>
        <v>0</v>
      </c>
      <c r="O155" s="81">
        <f ca="1">O135*(INDEX(O$35:O$37,MATCH(Work_Codes!$I$159,$D$35:$D$37,0)))</f>
        <v>0</v>
      </c>
      <c r="P155" s="81">
        <f ca="1">P135*(INDEX(P$35:P$37,MATCH(Work_Codes!$I$159,$D$35:$D$37,0)))</f>
        <v>0</v>
      </c>
      <c r="Q155" s="81">
        <f ca="1">Q135*(INDEX(Q$35:Q$37,MATCH(Work_Codes!$I$159,$D$35:$D$37,0)))</f>
        <v>0</v>
      </c>
      <c r="R155" s="81">
        <f ca="1">R135*(INDEX(R$35:R$37,MATCH(Work_Codes!$I$159,$D$35:$D$37,0)))</f>
        <v>0</v>
      </c>
      <c r="S155" s="81">
        <f ca="1">S135*(INDEX(S$35:S$37,MATCH(Work_Codes!$I$159,$D$35:$D$37,0)))</f>
        <v>0</v>
      </c>
      <c r="T155" s="81">
        <f ca="1">T135*(INDEX(T$35:T$37,MATCH(Work_Codes!$I$159,$D$35:$D$37,0)))</f>
        <v>0</v>
      </c>
    </row>
    <row r="156" spans="5:20" outlineLevel="2">
      <c r="E156" s="247" t="str">
        <f>GC!C50</f>
        <v>Land</v>
      </c>
      <c r="F156" s="247"/>
      <c r="G156" s="247"/>
      <c r="H156" s="247"/>
      <c r="I156" s="247"/>
      <c r="J156" s="81">
        <f ca="1">J136*(INDEX(J$35:J$37,MATCH(Work_Codes!$I$159,$D$35:$D$37,0)))</f>
        <v>0</v>
      </c>
      <c r="K156" s="81">
        <f ca="1">K136*(INDEX(K$35:K$37,MATCH(Work_Codes!$I$159,$D$35:$D$37,0)))</f>
        <v>0</v>
      </c>
      <c r="L156" s="81">
        <f ca="1">L136*(INDEX(L$35:L$37,MATCH(Work_Codes!$I$159,$D$35:$D$37,0)))</f>
        <v>0</v>
      </c>
      <c r="M156" s="81">
        <f ca="1">M136*(INDEX(M$35:M$37,MATCH(Work_Codes!$I$159,$D$35:$D$37,0)))</f>
        <v>0</v>
      </c>
      <c r="N156" s="81">
        <f ca="1">N136*(INDEX(N$35:N$37,MATCH(Work_Codes!$I$159,$D$35:$D$37,0)))</f>
        <v>0</v>
      </c>
      <c r="O156" s="81">
        <f ca="1">O136*(INDEX(O$35:O$37,MATCH(Work_Codes!$I$159,$D$35:$D$37,0)))</f>
        <v>0</v>
      </c>
      <c r="P156" s="81">
        <f ca="1">P136*(INDEX(P$35:P$37,MATCH(Work_Codes!$I$159,$D$35:$D$37,0)))</f>
        <v>0</v>
      </c>
      <c r="Q156" s="81">
        <f ca="1">Q136*(INDEX(Q$35:Q$37,MATCH(Work_Codes!$I$159,$D$35:$D$37,0)))</f>
        <v>0</v>
      </c>
      <c r="R156" s="81">
        <f ca="1">R136*(INDEX(R$35:R$37,MATCH(Work_Codes!$I$159,$D$35:$D$37,0)))</f>
        <v>0</v>
      </c>
      <c r="S156" s="81">
        <f ca="1">S136*(INDEX(S$35:S$37,MATCH(Work_Codes!$I$159,$D$35:$D$37,0)))</f>
        <v>0</v>
      </c>
      <c r="T156" s="81">
        <f ca="1">T136*(INDEX(T$35:T$37,MATCH(Work_Codes!$I$159,$D$35:$D$37,0)))</f>
        <v>0</v>
      </c>
    </row>
    <row r="157" spans="5:20" outlineLevel="2">
      <c r="E157" s="247" t="str">
        <f>GC!C51</f>
        <v>Capitalised Leases</v>
      </c>
      <c r="F157" s="247"/>
      <c r="G157" s="247"/>
      <c r="H157" s="247"/>
      <c r="I157" s="247"/>
      <c r="J157" s="81">
        <f ca="1">J137*(INDEX(J$35:J$37,MATCH(Work_Codes!$I$159,$D$35:$D$37,0)))</f>
        <v>0</v>
      </c>
      <c r="K157" s="81">
        <f ca="1">K137*(INDEX(K$35:K$37,MATCH(Work_Codes!$I$159,$D$35:$D$37,0)))</f>
        <v>0</v>
      </c>
      <c r="L157" s="81">
        <f ca="1">L137*(INDEX(L$35:L$37,MATCH(Work_Codes!$I$159,$D$35:$D$37,0)))</f>
        <v>0</v>
      </c>
      <c r="M157" s="81">
        <f ca="1">M137*(INDEX(M$35:M$37,MATCH(Work_Codes!$I$159,$D$35:$D$37,0)))</f>
        <v>0</v>
      </c>
      <c r="N157" s="81">
        <f ca="1">N137*(INDEX(N$35:N$37,MATCH(Work_Codes!$I$159,$D$35:$D$37,0)))</f>
        <v>0</v>
      </c>
      <c r="O157" s="81">
        <f ca="1">O137*(INDEX(O$35:O$37,MATCH(Work_Codes!$I$159,$D$35:$D$37,0)))</f>
        <v>0</v>
      </c>
      <c r="P157" s="81">
        <f ca="1">P137*(INDEX(P$35:P$37,MATCH(Work_Codes!$I$159,$D$35:$D$37,0)))</f>
        <v>0</v>
      </c>
      <c r="Q157" s="81">
        <f ca="1">Q137*(INDEX(Q$35:Q$37,MATCH(Work_Codes!$I$159,$D$35:$D$37,0)))</f>
        <v>0</v>
      </c>
      <c r="R157" s="81">
        <f ca="1">R137*(INDEX(R$35:R$37,MATCH(Work_Codes!$I$159,$D$35:$D$37,0)))</f>
        <v>0</v>
      </c>
      <c r="S157" s="81">
        <f ca="1">S137*(INDEX(S$35:S$37,MATCH(Work_Codes!$I$159,$D$35:$D$37,0)))</f>
        <v>0</v>
      </c>
      <c r="T157" s="81">
        <f ca="1">T137*(INDEX(T$35:T$37,MATCH(Work_Codes!$I$159,$D$35:$D$37,0)))</f>
        <v>0</v>
      </c>
    </row>
    <row r="158" spans="5:20" outlineLevel="2">
      <c r="E158" s="247" t="str">
        <f>GC!C52</f>
        <v>Transmission pipelines - post 1998</v>
      </c>
      <c r="F158" s="247"/>
      <c r="G158" s="247"/>
      <c r="H158" s="247"/>
      <c r="I158" s="247"/>
      <c r="J158" s="81">
        <f ca="1">J138*(INDEX(J$35:J$37,MATCH(Work_Codes!$I$159,$D$35:$D$37,0)))</f>
        <v>0</v>
      </c>
      <c r="K158" s="81">
        <f ca="1">K138*(INDEX(K$35:K$37,MATCH(Work_Codes!$I$159,$D$35:$D$37,0)))</f>
        <v>0</v>
      </c>
      <c r="L158" s="81">
        <f ca="1">L138*(INDEX(L$35:L$37,MATCH(Work_Codes!$I$159,$D$35:$D$37,0)))</f>
        <v>0</v>
      </c>
      <c r="M158" s="81">
        <f ca="1">M138*(INDEX(M$35:M$37,MATCH(Work_Codes!$I$159,$D$35:$D$37,0)))</f>
        <v>0</v>
      </c>
      <c r="N158" s="81">
        <f ca="1">N138*(INDEX(N$35:N$37,MATCH(Work_Codes!$I$159,$D$35:$D$37,0)))</f>
        <v>0</v>
      </c>
      <c r="O158" s="81">
        <f ca="1">O138*(INDEX(O$35:O$37,MATCH(Work_Codes!$I$159,$D$35:$D$37,0)))</f>
        <v>0</v>
      </c>
      <c r="P158" s="81">
        <f ca="1">P138*(INDEX(P$35:P$37,MATCH(Work_Codes!$I$159,$D$35:$D$37,0)))</f>
        <v>0</v>
      </c>
      <c r="Q158" s="81">
        <f ca="1">Q138*(INDEX(Q$35:Q$37,MATCH(Work_Codes!$I$159,$D$35:$D$37,0)))</f>
        <v>0</v>
      </c>
      <c r="R158" s="81">
        <f ca="1">R138*(INDEX(R$35:R$37,MATCH(Work_Codes!$I$159,$D$35:$D$37,0)))</f>
        <v>0</v>
      </c>
      <c r="S158" s="81">
        <f ca="1">S138*(INDEX(S$35:S$37,MATCH(Work_Codes!$I$159,$D$35:$D$37,0)))</f>
        <v>0</v>
      </c>
      <c r="T158" s="81">
        <f ca="1">T138*(INDEX(T$35:T$37,MATCH(Work_Codes!$I$159,$D$35:$D$37,0)))</f>
        <v>0</v>
      </c>
    </row>
    <row r="159" spans="5:20" outlineLevel="2">
      <c r="E159" s="247" t="str">
        <f>GC!C53</f>
        <v>Distribution pipelines - post 1998</v>
      </c>
      <c r="F159" s="247"/>
      <c r="G159" s="247"/>
      <c r="H159" s="247"/>
      <c r="I159" s="247"/>
      <c r="J159" s="81">
        <f ca="1">J139*(INDEX(J$35:J$37,MATCH(Work_Codes!$I$159,$D$35:$D$37,0)))</f>
        <v>0</v>
      </c>
      <c r="K159" s="81">
        <f ca="1">K139*(INDEX(K$35:K$37,MATCH(Work_Codes!$I$159,$D$35:$D$37,0)))</f>
        <v>0</v>
      </c>
      <c r="L159" s="81">
        <f ca="1">L139*(INDEX(L$35:L$37,MATCH(Work_Codes!$I$159,$D$35:$D$37,0)))</f>
        <v>0</v>
      </c>
      <c r="M159" s="81">
        <f ca="1">M139*(INDEX(M$35:M$37,MATCH(Work_Codes!$I$159,$D$35:$D$37,0)))</f>
        <v>0</v>
      </c>
      <c r="N159" s="81">
        <f ca="1">N139*(INDEX(N$35:N$37,MATCH(Work_Codes!$I$159,$D$35:$D$37,0)))</f>
        <v>0</v>
      </c>
      <c r="O159" s="81">
        <f ca="1">O139*(INDEX(O$35:O$37,MATCH(Work_Codes!$I$159,$D$35:$D$37,0)))</f>
        <v>0</v>
      </c>
      <c r="P159" s="81">
        <f ca="1">P139*(INDEX(P$35:P$37,MATCH(Work_Codes!$I$159,$D$35:$D$37,0)))</f>
        <v>0</v>
      </c>
      <c r="Q159" s="81">
        <f ca="1">Q139*(INDEX(Q$35:Q$37,MATCH(Work_Codes!$I$159,$D$35:$D$37,0)))</f>
        <v>0</v>
      </c>
      <c r="R159" s="81">
        <f ca="1">R139*(INDEX(R$35:R$37,MATCH(Work_Codes!$I$159,$D$35:$D$37,0)))</f>
        <v>0</v>
      </c>
      <c r="S159" s="81">
        <f ca="1">S139*(INDEX(S$35:S$37,MATCH(Work_Codes!$I$159,$D$35:$D$37,0)))</f>
        <v>0</v>
      </c>
      <c r="T159" s="81">
        <f ca="1">T139*(INDEX(T$35:T$37,MATCH(Work_Codes!$I$159,$D$35:$D$37,0)))</f>
        <v>0</v>
      </c>
    </row>
    <row r="160" spans="5:20" outlineLevel="2">
      <c r="E160" s="247" t="str">
        <f>GC!C54</f>
        <v>Service pipes - post 1998</v>
      </c>
      <c r="F160" s="247"/>
      <c r="G160" s="247"/>
      <c r="H160" s="247"/>
      <c r="I160" s="247"/>
      <c r="J160" s="81">
        <f ca="1">J140*(INDEX(J$35:J$37,MATCH(Work_Codes!$I$159,$D$35:$D$37,0)))</f>
        <v>0</v>
      </c>
      <c r="K160" s="81">
        <f ca="1">K140*(INDEX(K$35:K$37,MATCH(Work_Codes!$I$159,$D$35:$D$37,0)))</f>
        <v>0</v>
      </c>
      <c r="L160" s="81">
        <f ca="1">L140*(INDEX(L$35:L$37,MATCH(Work_Codes!$I$159,$D$35:$D$37,0)))</f>
        <v>0</v>
      </c>
      <c r="M160" s="81">
        <f ca="1">M140*(INDEX(M$35:M$37,MATCH(Work_Codes!$I$159,$D$35:$D$37,0)))</f>
        <v>0</v>
      </c>
      <c r="N160" s="81">
        <f ca="1">N140*(INDEX(N$35:N$37,MATCH(Work_Codes!$I$159,$D$35:$D$37,0)))</f>
        <v>0</v>
      </c>
      <c r="O160" s="81">
        <f ca="1">O140*(INDEX(O$35:O$37,MATCH(Work_Codes!$I$159,$D$35:$D$37,0)))</f>
        <v>0</v>
      </c>
      <c r="P160" s="81">
        <f ca="1">P140*(INDEX(P$35:P$37,MATCH(Work_Codes!$I$159,$D$35:$D$37,0)))</f>
        <v>0</v>
      </c>
      <c r="Q160" s="81">
        <f ca="1">Q140*(INDEX(Q$35:Q$37,MATCH(Work_Codes!$I$159,$D$35:$D$37,0)))</f>
        <v>0</v>
      </c>
      <c r="R160" s="81">
        <f ca="1">R140*(INDEX(R$35:R$37,MATCH(Work_Codes!$I$159,$D$35:$D$37,0)))</f>
        <v>0</v>
      </c>
      <c r="S160" s="81">
        <f ca="1">S140*(INDEX(S$35:S$37,MATCH(Work_Codes!$I$159,$D$35:$D$37,0)))</f>
        <v>0</v>
      </c>
      <c r="T160" s="81">
        <f ca="1">T140*(INDEX(T$35:T$37,MATCH(Work_Codes!$I$159,$D$35:$D$37,0)))</f>
        <v>0</v>
      </c>
    </row>
    <row r="161" spans="4:20" outlineLevel="2">
      <c r="E161" s="247" t="str">
        <f>GC!C55</f>
        <v>Cathodic protection - post 1998</v>
      </c>
      <c r="F161" s="247"/>
      <c r="G161" s="247"/>
      <c r="H161" s="247"/>
      <c r="I161" s="247"/>
      <c r="J161" s="81">
        <f ca="1">J141*(INDEX(J$35:J$37,MATCH(Work_Codes!$I$159,$D$35:$D$37,0)))</f>
        <v>0</v>
      </c>
      <c r="K161" s="81">
        <f ca="1">K141*(INDEX(K$35:K$37,MATCH(Work_Codes!$I$159,$D$35:$D$37,0)))</f>
        <v>0</v>
      </c>
      <c r="L161" s="81">
        <f ca="1">L141*(INDEX(L$35:L$37,MATCH(Work_Codes!$I$159,$D$35:$D$37,0)))</f>
        <v>0</v>
      </c>
      <c r="M161" s="81">
        <f ca="1">M141*(INDEX(M$35:M$37,MATCH(Work_Codes!$I$159,$D$35:$D$37,0)))</f>
        <v>0</v>
      </c>
      <c r="N161" s="81">
        <f ca="1">N141*(INDEX(N$35:N$37,MATCH(Work_Codes!$I$159,$D$35:$D$37,0)))</f>
        <v>0</v>
      </c>
      <c r="O161" s="81">
        <f ca="1">O141*(INDEX(O$35:O$37,MATCH(Work_Codes!$I$159,$D$35:$D$37,0)))</f>
        <v>0</v>
      </c>
      <c r="P161" s="81">
        <f ca="1">P141*(INDEX(P$35:P$37,MATCH(Work_Codes!$I$159,$D$35:$D$37,0)))</f>
        <v>0</v>
      </c>
      <c r="Q161" s="81">
        <f ca="1">Q141*(INDEX(Q$35:Q$37,MATCH(Work_Codes!$I$159,$D$35:$D$37,0)))</f>
        <v>0</v>
      </c>
      <c r="R161" s="81">
        <f ca="1">R141*(INDEX(R$35:R$37,MATCH(Work_Codes!$I$159,$D$35:$D$37,0)))</f>
        <v>0</v>
      </c>
      <c r="S161" s="81">
        <f ca="1">S141*(INDEX(S$35:S$37,MATCH(Work_Codes!$I$159,$D$35:$D$37,0)))</f>
        <v>0</v>
      </c>
      <c r="T161" s="81">
        <f ca="1">T141*(INDEX(T$35:T$37,MATCH(Work_Codes!$I$159,$D$35:$D$37,0)))</f>
        <v>0</v>
      </c>
    </row>
    <row r="162" spans="4:20" outlineLevel="2">
      <c r="E162" s="249" t="str">
        <f>"Total "&amp;D144</f>
        <v>Total Overheads</v>
      </c>
      <c r="F162" s="249"/>
      <c r="G162" s="249"/>
      <c r="H162" s="249"/>
      <c r="I162" s="249"/>
      <c r="J162" s="82">
        <f t="shared" ref="J162:T162" ca="1" si="20">SUM(J146:J161)</f>
        <v>0</v>
      </c>
      <c r="K162" s="82">
        <f t="shared" ca="1" si="20"/>
        <v>0</v>
      </c>
      <c r="L162" s="82">
        <f t="shared" ca="1" si="20"/>
        <v>0</v>
      </c>
      <c r="M162" s="82">
        <f t="shared" ca="1" si="20"/>
        <v>0</v>
      </c>
      <c r="N162" s="82">
        <f t="shared" ca="1" si="20"/>
        <v>31797.887904320083</v>
      </c>
      <c r="O162" s="82">
        <f t="shared" ca="1" si="20"/>
        <v>15724.097383138691</v>
      </c>
      <c r="P162" s="82">
        <f t="shared" ca="1" si="20"/>
        <v>28068.632525686829</v>
      </c>
      <c r="Q162" s="82">
        <f t="shared" ca="1" si="20"/>
        <v>31969.958227101833</v>
      </c>
      <c r="R162" s="82">
        <f t="shared" ca="1" si="20"/>
        <v>32546.137617974251</v>
      </c>
      <c r="S162" s="82">
        <f t="shared" ca="1" si="20"/>
        <v>39978.438653963829</v>
      </c>
      <c r="T162" s="82">
        <f t="shared" ca="1" si="20"/>
        <v>29990.361010827168</v>
      </c>
    </row>
    <row r="163" spans="4:20" outlineLevel="2"/>
    <row r="164" spans="4:20" outlineLevel="2">
      <c r="D164" s="37" t="s">
        <v>216</v>
      </c>
    </row>
    <row r="165" spans="4:20" ht="5.9" customHeight="1" outlineLevel="2"/>
    <row r="166" spans="4:20" ht="11.5" customHeight="1" outlineLevel="2">
      <c r="E166" s="247" t="str">
        <f>GC!C40</f>
        <v>Transmission pipelines</v>
      </c>
      <c r="F166" s="247"/>
      <c r="G166" s="247"/>
      <c r="H166" s="247"/>
      <c r="I166" s="247"/>
      <c r="J166" s="81">
        <f ca="1">J126*(1+INDEX(J$35:J$37,MATCH(Work_Codes!$I$159,$D$35:$D$37,0)))</f>
        <v>0</v>
      </c>
      <c r="K166" s="81">
        <f ca="1">K126*(1+INDEX(K$35:K$37,MATCH(Work_Codes!$I$159,$D$35:$D$37,0)))</f>
        <v>0</v>
      </c>
      <c r="L166" s="81">
        <f ca="1">L126*(1+INDEX(L$35:L$37,MATCH(Work_Codes!$I$159,$D$35:$D$37,0)))</f>
        <v>0</v>
      </c>
      <c r="M166" s="81">
        <f ca="1">M126*(1+INDEX(M$35:M$37,MATCH(Work_Codes!$I$159,$D$35:$D$37,0)))</f>
        <v>0</v>
      </c>
      <c r="N166" s="81">
        <f ca="1">N126*(1+INDEX(N$35:N$37,MATCH(Work_Codes!$I$159,$D$35:$D$37,0)))</f>
        <v>0</v>
      </c>
      <c r="O166" s="81">
        <f ca="1">O126*(1+INDEX(O$35:O$37,MATCH(Work_Codes!$I$159,$D$35:$D$37,0)))</f>
        <v>0</v>
      </c>
      <c r="P166" s="81">
        <f ca="1">P126*(1+INDEX(P$35:P$37,MATCH(Work_Codes!$I$159,$D$35:$D$37,0)))</f>
        <v>0</v>
      </c>
      <c r="Q166" s="81">
        <f ca="1">Q126*(1+INDEX(Q$35:Q$37,MATCH(Work_Codes!$I$159,$D$35:$D$37,0)))</f>
        <v>0</v>
      </c>
      <c r="R166" s="81">
        <f ca="1">R126*(1+INDEX(R$35:R$37,MATCH(Work_Codes!$I$159,$D$35:$D$37,0)))</f>
        <v>0</v>
      </c>
      <c r="S166" s="81">
        <f ca="1">S126*(1+INDEX(S$35:S$37,MATCH(Work_Codes!$I$159,$D$35:$D$37,0)))</f>
        <v>0</v>
      </c>
      <c r="T166" s="81">
        <f ca="1">T126*(1+INDEX(T$35:T$37,MATCH(Work_Codes!$I$159,$D$35:$D$37,0)))</f>
        <v>0</v>
      </c>
    </row>
    <row r="167" spans="4:20" ht="11.5" customHeight="1" outlineLevel="2">
      <c r="E167" s="247" t="str">
        <f>GC!C41</f>
        <v>Distribution pipelines</v>
      </c>
      <c r="F167" s="247"/>
      <c r="G167" s="247"/>
      <c r="H167" s="247"/>
      <c r="I167" s="247"/>
      <c r="J167" s="81">
        <f ca="1">J127*(1+INDEX(J$35:J$37,MATCH(Work_Codes!$I$159,$D$35:$D$37,0)))</f>
        <v>0</v>
      </c>
      <c r="K167" s="81">
        <f ca="1">K127*(1+INDEX(K$35:K$37,MATCH(Work_Codes!$I$159,$D$35:$D$37,0)))</f>
        <v>0</v>
      </c>
      <c r="L167" s="81">
        <f ca="1">L127*(1+INDEX(L$35:L$37,MATCH(Work_Codes!$I$159,$D$35:$D$37,0)))</f>
        <v>0</v>
      </c>
      <c r="M167" s="81">
        <f ca="1">M127*(1+INDEX(M$35:M$37,MATCH(Work_Codes!$I$159,$D$35:$D$37,0)))</f>
        <v>0</v>
      </c>
      <c r="N167" s="81">
        <f ca="1">N127*(1+INDEX(N$35:N$37,MATCH(Work_Codes!$I$159,$D$35:$D$37,0)))</f>
        <v>0</v>
      </c>
      <c r="O167" s="81">
        <f ca="1">O127*(1+INDEX(O$35:O$37,MATCH(Work_Codes!$I$159,$D$35:$D$37,0)))</f>
        <v>0</v>
      </c>
      <c r="P167" s="81">
        <f ca="1">P127*(1+INDEX(P$35:P$37,MATCH(Work_Codes!$I$159,$D$35:$D$37,0)))</f>
        <v>0</v>
      </c>
      <c r="Q167" s="81">
        <f ca="1">Q127*(1+INDEX(Q$35:Q$37,MATCH(Work_Codes!$I$159,$D$35:$D$37,0)))</f>
        <v>0</v>
      </c>
      <c r="R167" s="81">
        <f ca="1">R127*(1+INDEX(R$35:R$37,MATCH(Work_Codes!$I$159,$D$35:$D$37,0)))</f>
        <v>0</v>
      </c>
      <c r="S167" s="81">
        <f ca="1">S127*(1+INDEX(S$35:S$37,MATCH(Work_Codes!$I$159,$D$35:$D$37,0)))</f>
        <v>0</v>
      </c>
      <c r="T167" s="81">
        <f ca="1">T127*(1+INDEX(T$35:T$37,MATCH(Work_Codes!$I$159,$D$35:$D$37,0)))</f>
        <v>0</v>
      </c>
    </row>
    <row r="168" spans="4:20" ht="11.5" customHeight="1" outlineLevel="2">
      <c r="E168" s="247" t="str">
        <f>GC!C42</f>
        <v>Service pipes</v>
      </c>
      <c r="F168" s="247"/>
      <c r="G168" s="247"/>
      <c r="H168" s="247"/>
      <c r="I168" s="247"/>
      <c r="J168" s="81">
        <f ca="1">J128*(1+INDEX(J$35:J$37,MATCH(Work_Codes!$I$159,$D$35:$D$37,0)))</f>
        <v>0</v>
      </c>
      <c r="K168" s="81">
        <f ca="1">K128*(1+INDEX(K$35:K$37,MATCH(Work_Codes!$I$159,$D$35:$D$37,0)))</f>
        <v>0</v>
      </c>
      <c r="L168" s="81">
        <f ca="1">L128*(1+INDEX(L$35:L$37,MATCH(Work_Codes!$I$159,$D$35:$D$37,0)))</f>
        <v>0</v>
      </c>
      <c r="M168" s="81">
        <f ca="1">M128*(1+INDEX(M$35:M$37,MATCH(Work_Codes!$I$159,$D$35:$D$37,0)))</f>
        <v>0</v>
      </c>
      <c r="N168" s="81">
        <f ca="1">N128*(1+INDEX(N$35:N$37,MATCH(Work_Codes!$I$159,$D$35:$D$37,0)))</f>
        <v>0</v>
      </c>
      <c r="O168" s="81">
        <f ca="1">O128*(1+INDEX(O$35:O$37,MATCH(Work_Codes!$I$159,$D$35:$D$37,0)))</f>
        <v>0</v>
      </c>
      <c r="P168" s="81">
        <f ca="1">P128*(1+INDEX(P$35:P$37,MATCH(Work_Codes!$I$159,$D$35:$D$37,0)))</f>
        <v>0</v>
      </c>
      <c r="Q168" s="81">
        <f ca="1">Q128*(1+INDEX(Q$35:Q$37,MATCH(Work_Codes!$I$159,$D$35:$D$37,0)))</f>
        <v>0</v>
      </c>
      <c r="R168" s="81">
        <f ca="1">R128*(1+INDEX(R$35:R$37,MATCH(Work_Codes!$I$159,$D$35:$D$37,0)))</f>
        <v>0</v>
      </c>
      <c r="S168" s="81">
        <f ca="1">S128*(1+INDEX(S$35:S$37,MATCH(Work_Codes!$I$159,$D$35:$D$37,0)))</f>
        <v>0</v>
      </c>
      <c r="T168" s="81">
        <f ca="1">T128*(1+INDEX(T$35:T$37,MATCH(Work_Codes!$I$159,$D$35:$D$37,0)))</f>
        <v>0</v>
      </c>
    </row>
    <row r="169" spans="4:20" ht="11.5" customHeight="1" outlineLevel="2">
      <c r="E169" s="247" t="str">
        <f>GC!C43</f>
        <v>Cathodic protection</v>
      </c>
      <c r="F169" s="247"/>
      <c r="G169" s="247"/>
      <c r="H169" s="247"/>
      <c r="I169" s="247"/>
      <c r="J169" s="81">
        <f ca="1">J129*(1+INDEX(J$35:J$37,MATCH(Work_Codes!$I$159,$D$35:$D$37,0)))</f>
        <v>0</v>
      </c>
      <c r="K169" s="81">
        <f ca="1">K129*(1+INDEX(K$35:K$37,MATCH(Work_Codes!$I$159,$D$35:$D$37,0)))</f>
        <v>0</v>
      </c>
      <c r="L169" s="81">
        <f ca="1">L129*(1+INDEX(L$35:L$37,MATCH(Work_Codes!$I$159,$D$35:$D$37,0)))</f>
        <v>0</v>
      </c>
      <c r="M169" s="81">
        <f ca="1">M129*(1+INDEX(M$35:M$37,MATCH(Work_Codes!$I$159,$D$35:$D$37,0)))</f>
        <v>0</v>
      </c>
      <c r="N169" s="81">
        <f ca="1">N129*(1+INDEX(N$35:N$37,MATCH(Work_Codes!$I$159,$D$35:$D$37,0)))</f>
        <v>0</v>
      </c>
      <c r="O169" s="81">
        <f ca="1">O129*(1+INDEX(O$35:O$37,MATCH(Work_Codes!$I$159,$D$35:$D$37,0)))</f>
        <v>0</v>
      </c>
      <c r="P169" s="81">
        <f ca="1">P129*(1+INDEX(P$35:P$37,MATCH(Work_Codes!$I$159,$D$35:$D$37,0)))</f>
        <v>0</v>
      </c>
      <c r="Q169" s="81">
        <f ca="1">Q129*(1+INDEX(Q$35:Q$37,MATCH(Work_Codes!$I$159,$D$35:$D$37,0)))</f>
        <v>0</v>
      </c>
      <c r="R169" s="81">
        <f ca="1">R129*(1+INDEX(R$35:R$37,MATCH(Work_Codes!$I$159,$D$35:$D$37,0)))</f>
        <v>0</v>
      </c>
      <c r="S169" s="81">
        <f ca="1">S129*(1+INDEX(S$35:S$37,MATCH(Work_Codes!$I$159,$D$35:$D$37,0)))</f>
        <v>0</v>
      </c>
      <c r="T169" s="81">
        <f ca="1">T129*(1+INDEX(T$35:T$37,MATCH(Work_Codes!$I$159,$D$35:$D$37,0)))</f>
        <v>0</v>
      </c>
    </row>
    <row r="170" spans="4:20" ht="11.5" customHeight="1" outlineLevel="2">
      <c r="E170" s="247" t="str">
        <f>GC!C44</f>
        <v>Supply Regulators / Valve Stations</v>
      </c>
      <c r="F170" s="247"/>
      <c r="G170" s="247"/>
      <c r="H170" s="247"/>
      <c r="I170" s="247"/>
      <c r="J170" s="81">
        <f ca="1">J130*(1+INDEX(J$35:J$37,MATCH(Work_Codes!$I$159,$D$35:$D$37,0)))</f>
        <v>0</v>
      </c>
      <c r="K170" s="81">
        <f ca="1">K130*(1+INDEX(K$35:K$37,MATCH(Work_Codes!$I$159,$D$35:$D$37,0)))</f>
        <v>0</v>
      </c>
      <c r="L170" s="81">
        <f ca="1">L130*(1+INDEX(L$35:L$37,MATCH(Work_Codes!$I$159,$D$35:$D$37,0)))</f>
        <v>0</v>
      </c>
      <c r="M170" s="81">
        <f ca="1">M130*(1+INDEX(M$35:M$37,MATCH(Work_Codes!$I$159,$D$35:$D$37,0)))</f>
        <v>0</v>
      </c>
      <c r="N170" s="81">
        <f ca="1">N130*(1+INDEX(N$35:N$37,MATCH(Work_Codes!$I$159,$D$35:$D$37,0)))</f>
        <v>0</v>
      </c>
      <c r="O170" s="81">
        <f ca="1">O130*(1+INDEX(O$35:O$37,MATCH(Work_Codes!$I$159,$D$35:$D$37,0)))</f>
        <v>0</v>
      </c>
      <c r="P170" s="81">
        <f ca="1">P130*(1+INDEX(P$35:P$37,MATCH(Work_Codes!$I$159,$D$35:$D$37,0)))</f>
        <v>0</v>
      </c>
      <c r="Q170" s="81">
        <f ca="1">Q130*(1+INDEX(Q$35:Q$37,MATCH(Work_Codes!$I$159,$D$35:$D$37,0)))</f>
        <v>0</v>
      </c>
      <c r="R170" s="81">
        <f ca="1">R130*(1+INDEX(R$35:R$37,MATCH(Work_Codes!$I$159,$D$35:$D$37,0)))</f>
        <v>0</v>
      </c>
      <c r="S170" s="81">
        <f ca="1">S130*(1+INDEX(S$35:S$37,MATCH(Work_Codes!$I$159,$D$35:$D$37,0)))</f>
        <v>0</v>
      </c>
      <c r="T170" s="81">
        <f ca="1">T130*(1+INDEX(T$35:T$37,MATCH(Work_Codes!$I$159,$D$35:$D$37,0)))</f>
        <v>0</v>
      </c>
    </row>
    <row r="171" spans="4:20" ht="11.5" customHeight="1" outlineLevel="2">
      <c r="E171" s="247" t="str">
        <f>GC!C45</f>
        <v>Meters</v>
      </c>
      <c r="F171" s="247"/>
      <c r="G171" s="247"/>
      <c r="H171" s="247"/>
      <c r="I171" s="247"/>
      <c r="J171" s="81">
        <f ca="1">J131*(1+INDEX(J$35:J$37,MATCH(Work_Codes!$I$159,$D$35:$D$37,0)))</f>
        <v>0</v>
      </c>
      <c r="K171" s="81">
        <f ca="1">K131*(1+INDEX(K$35:K$37,MATCH(Work_Codes!$I$159,$D$35:$D$37,0)))</f>
        <v>0</v>
      </c>
      <c r="L171" s="81">
        <f ca="1">L131*(1+INDEX(L$35:L$37,MATCH(Work_Codes!$I$159,$D$35:$D$37,0)))</f>
        <v>0</v>
      </c>
      <c r="M171" s="81">
        <f ca="1">M131*(1+INDEX(M$35:M$37,MATCH(Work_Codes!$I$159,$D$35:$D$37,0)))</f>
        <v>0</v>
      </c>
      <c r="N171" s="81">
        <f ca="1">N131*(1+INDEX(N$35:N$37,MATCH(Work_Codes!$I$159,$D$35:$D$37,0)))</f>
        <v>874996.99901338958</v>
      </c>
      <c r="O171" s="81">
        <f ca="1">O131*(1+INDEX(O$35:O$37,MATCH(Work_Codes!$I$159,$D$35:$D$37,0)))</f>
        <v>488146.64282217505</v>
      </c>
      <c r="P171" s="81">
        <f ca="1">P131*(1+INDEX(P$35:P$37,MATCH(Work_Codes!$I$159,$D$35:$D$37,0)))</f>
        <v>1077258.9555434657</v>
      </c>
      <c r="Q171" s="81">
        <f ca="1">Q131*(1+INDEX(Q$35:Q$37,MATCH(Work_Codes!$I$159,$D$35:$D$37,0)))</f>
        <v>1258725.0500817844</v>
      </c>
      <c r="R171" s="81">
        <f ca="1">R131*(1+INDEX(R$35:R$37,MATCH(Work_Codes!$I$159,$D$35:$D$37,0)))</f>
        <v>1243655.0709843263</v>
      </c>
      <c r="S171" s="81">
        <f ca="1">S131*(1+INDEX(S$35:S$37,MATCH(Work_Codes!$I$159,$D$35:$D$37,0)))</f>
        <v>1440461.4509216631</v>
      </c>
      <c r="T171" s="81">
        <f ca="1">T131*(1+INDEX(T$35:T$37,MATCH(Work_Codes!$I$159,$D$35:$D$37,0)))</f>
        <v>1032329.3290099687</v>
      </c>
    </row>
    <row r="172" spans="4:20" ht="11.5" customHeight="1" outlineLevel="2">
      <c r="E172" s="247" t="str">
        <f>GC!C46</f>
        <v>SCADA and remote control</v>
      </c>
      <c r="F172" s="247"/>
      <c r="G172" s="247"/>
      <c r="H172" s="247"/>
      <c r="I172" s="247"/>
      <c r="J172" s="81">
        <f ca="1">J132*(1+INDEX(J$35:J$37,MATCH(Work_Codes!$I$159,$D$35:$D$37,0)))</f>
        <v>0</v>
      </c>
      <c r="K172" s="81">
        <f ca="1">K132*(1+INDEX(K$35:K$37,MATCH(Work_Codes!$I$159,$D$35:$D$37,0)))</f>
        <v>0</v>
      </c>
      <c r="L172" s="81">
        <f ca="1">L132*(1+INDEX(L$35:L$37,MATCH(Work_Codes!$I$159,$D$35:$D$37,0)))</f>
        <v>0</v>
      </c>
      <c r="M172" s="81">
        <f ca="1">M132*(1+INDEX(M$35:M$37,MATCH(Work_Codes!$I$159,$D$35:$D$37,0)))</f>
        <v>0</v>
      </c>
      <c r="N172" s="81">
        <f ca="1">N132*(1+INDEX(N$35:N$37,MATCH(Work_Codes!$I$159,$D$35:$D$37,0)))</f>
        <v>0</v>
      </c>
      <c r="O172" s="81">
        <f ca="1">O132*(1+INDEX(O$35:O$37,MATCH(Work_Codes!$I$159,$D$35:$D$37,0)))</f>
        <v>0</v>
      </c>
      <c r="P172" s="81">
        <f ca="1">P132*(1+INDEX(P$35:P$37,MATCH(Work_Codes!$I$159,$D$35:$D$37,0)))</f>
        <v>0</v>
      </c>
      <c r="Q172" s="81">
        <f ca="1">Q132*(1+INDEX(Q$35:Q$37,MATCH(Work_Codes!$I$159,$D$35:$D$37,0)))</f>
        <v>0</v>
      </c>
      <c r="R172" s="81">
        <f ca="1">R132*(1+INDEX(R$35:R$37,MATCH(Work_Codes!$I$159,$D$35:$D$37,0)))</f>
        <v>0</v>
      </c>
      <c r="S172" s="81">
        <f ca="1">S132*(1+INDEX(S$35:S$37,MATCH(Work_Codes!$I$159,$D$35:$D$37,0)))</f>
        <v>0</v>
      </c>
      <c r="T172" s="81">
        <f ca="1">T132*(1+INDEX(T$35:T$37,MATCH(Work_Codes!$I$159,$D$35:$D$37,0)))</f>
        <v>0</v>
      </c>
    </row>
    <row r="173" spans="4:20" ht="11.5" customHeight="1" outlineLevel="2">
      <c r="E173" s="247" t="str">
        <f>GC!C47</f>
        <v>Buildings</v>
      </c>
      <c r="F173" s="247"/>
      <c r="G173" s="247"/>
      <c r="H173" s="247"/>
      <c r="I173" s="247"/>
      <c r="J173" s="81">
        <f ca="1">J133*(1+INDEX(J$35:J$37,MATCH(Work_Codes!$I$159,$D$35:$D$37,0)))</f>
        <v>0</v>
      </c>
      <c r="K173" s="81">
        <f ca="1">K133*(1+INDEX(K$35:K$37,MATCH(Work_Codes!$I$159,$D$35:$D$37,0)))</f>
        <v>0</v>
      </c>
      <c r="L173" s="81">
        <f ca="1">L133*(1+INDEX(L$35:L$37,MATCH(Work_Codes!$I$159,$D$35:$D$37,0)))</f>
        <v>0</v>
      </c>
      <c r="M173" s="81">
        <f ca="1">M133*(1+INDEX(M$35:M$37,MATCH(Work_Codes!$I$159,$D$35:$D$37,0)))</f>
        <v>0</v>
      </c>
      <c r="N173" s="81">
        <f ca="1">N133*(1+INDEX(N$35:N$37,MATCH(Work_Codes!$I$159,$D$35:$D$37,0)))</f>
        <v>0</v>
      </c>
      <c r="O173" s="81">
        <f ca="1">O133*(1+INDEX(O$35:O$37,MATCH(Work_Codes!$I$159,$D$35:$D$37,0)))</f>
        <v>0</v>
      </c>
      <c r="P173" s="81">
        <f ca="1">P133*(1+INDEX(P$35:P$37,MATCH(Work_Codes!$I$159,$D$35:$D$37,0)))</f>
        <v>0</v>
      </c>
      <c r="Q173" s="81">
        <f ca="1">Q133*(1+INDEX(Q$35:Q$37,MATCH(Work_Codes!$I$159,$D$35:$D$37,0)))</f>
        <v>0</v>
      </c>
      <c r="R173" s="81">
        <f ca="1">R133*(1+INDEX(R$35:R$37,MATCH(Work_Codes!$I$159,$D$35:$D$37,0)))</f>
        <v>0</v>
      </c>
      <c r="S173" s="81">
        <f ca="1">S133*(1+INDEX(S$35:S$37,MATCH(Work_Codes!$I$159,$D$35:$D$37,0)))</f>
        <v>0</v>
      </c>
      <c r="T173" s="81">
        <f ca="1">T133*(1+INDEX(T$35:T$37,MATCH(Work_Codes!$I$159,$D$35:$D$37,0)))</f>
        <v>0</v>
      </c>
    </row>
    <row r="174" spans="4:20" ht="11.5" customHeight="1" outlineLevel="2">
      <c r="E174" s="247" t="str">
        <f>GC!C48</f>
        <v>Other - IT</v>
      </c>
      <c r="F174" s="247"/>
      <c r="G174" s="247"/>
      <c r="H174" s="247"/>
      <c r="I174" s="247"/>
      <c r="J174" s="81">
        <f ca="1">J134*(1+INDEX(J$35:J$37,MATCH(Work_Codes!$I$159,$D$35:$D$37,0)))</f>
        <v>0</v>
      </c>
      <c r="K174" s="81">
        <f ca="1">K134*(1+INDEX(K$35:K$37,MATCH(Work_Codes!$I$159,$D$35:$D$37,0)))</f>
        <v>0</v>
      </c>
      <c r="L174" s="81">
        <f ca="1">L134*(1+INDEX(L$35:L$37,MATCH(Work_Codes!$I$159,$D$35:$D$37,0)))</f>
        <v>0</v>
      </c>
      <c r="M174" s="81">
        <f ca="1">M134*(1+INDEX(M$35:M$37,MATCH(Work_Codes!$I$159,$D$35:$D$37,0)))</f>
        <v>0</v>
      </c>
      <c r="N174" s="81">
        <f ca="1">N134*(1+INDEX(N$35:N$37,MATCH(Work_Codes!$I$159,$D$35:$D$37,0)))</f>
        <v>0</v>
      </c>
      <c r="O174" s="81">
        <f ca="1">O134*(1+INDEX(O$35:O$37,MATCH(Work_Codes!$I$159,$D$35:$D$37,0)))</f>
        <v>0</v>
      </c>
      <c r="P174" s="81">
        <f ca="1">P134*(1+INDEX(P$35:P$37,MATCH(Work_Codes!$I$159,$D$35:$D$37,0)))</f>
        <v>0</v>
      </c>
      <c r="Q174" s="81">
        <f ca="1">Q134*(1+INDEX(Q$35:Q$37,MATCH(Work_Codes!$I$159,$D$35:$D$37,0)))</f>
        <v>0</v>
      </c>
      <c r="R174" s="81">
        <f ca="1">R134*(1+INDEX(R$35:R$37,MATCH(Work_Codes!$I$159,$D$35:$D$37,0)))</f>
        <v>0</v>
      </c>
      <c r="S174" s="81">
        <f ca="1">S134*(1+INDEX(S$35:S$37,MATCH(Work_Codes!$I$159,$D$35:$D$37,0)))</f>
        <v>0</v>
      </c>
      <c r="T174" s="81">
        <f ca="1">T134*(1+INDEX(T$35:T$37,MATCH(Work_Codes!$I$159,$D$35:$D$37,0)))</f>
        <v>0</v>
      </c>
    </row>
    <row r="175" spans="4:20" ht="11.5" customHeight="1" outlineLevel="2">
      <c r="E175" s="247" t="str">
        <f>GC!C49</f>
        <v>Other - non IT</v>
      </c>
      <c r="F175" s="247"/>
      <c r="G175" s="247"/>
      <c r="H175" s="247"/>
      <c r="I175" s="247"/>
      <c r="J175" s="81">
        <f ca="1">J135*(1+INDEX(J$35:J$37,MATCH(Work_Codes!$I$159,$D$35:$D$37,0)))</f>
        <v>0</v>
      </c>
      <c r="K175" s="81">
        <f ca="1">K135*(1+INDEX(K$35:K$37,MATCH(Work_Codes!$I$159,$D$35:$D$37,0)))</f>
        <v>0</v>
      </c>
      <c r="L175" s="81">
        <f ca="1">L135*(1+INDEX(L$35:L$37,MATCH(Work_Codes!$I$159,$D$35:$D$37,0)))</f>
        <v>0</v>
      </c>
      <c r="M175" s="81">
        <f ca="1">M135*(1+INDEX(M$35:M$37,MATCH(Work_Codes!$I$159,$D$35:$D$37,0)))</f>
        <v>0</v>
      </c>
      <c r="N175" s="81">
        <f ca="1">N135*(1+INDEX(N$35:N$37,MATCH(Work_Codes!$I$159,$D$35:$D$37,0)))</f>
        <v>0</v>
      </c>
      <c r="O175" s="81">
        <f ca="1">O135*(1+INDEX(O$35:O$37,MATCH(Work_Codes!$I$159,$D$35:$D$37,0)))</f>
        <v>0</v>
      </c>
      <c r="P175" s="81">
        <f ca="1">P135*(1+INDEX(P$35:P$37,MATCH(Work_Codes!$I$159,$D$35:$D$37,0)))</f>
        <v>0</v>
      </c>
      <c r="Q175" s="81">
        <f ca="1">Q135*(1+INDEX(Q$35:Q$37,MATCH(Work_Codes!$I$159,$D$35:$D$37,0)))</f>
        <v>0</v>
      </c>
      <c r="R175" s="81">
        <f ca="1">R135*(1+INDEX(R$35:R$37,MATCH(Work_Codes!$I$159,$D$35:$D$37,0)))</f>
        <v>0</v>
      </c>
      <c r="S175" s="81">
        <f ca="1">S135*(1+INDEX(S$35:S$37,MATCH(Work_Codes!$I$159,$D$35:$D$37,0)))</f>
        <v>0</v>
      </c>
      <c r="T175" s="81">
        <f ca="1">T135*(1+INDEX(T$35:T$37,MATCH(Work_Codes!$I$159,$D$35:$D$37,0)))</f>
        <v>0</v>
      </c>
    </row>
    <row r="176" spans="4:20" ht="11.5" customHeight="1" outlineLevel="2">
      <c r="E176" s="247" t="str">
        <f>GC!C50</f>
        <v>Land</v>
      </c>
      <c r="F176" s="247"/>
      <c r="G176" s="247"/>
      <c r="H176" s="247"/>
      <c r="I176" s="247"/>
      <c r="J176" s="81">
        <f ca="1">J136*(1+INDEX(J$35:J$37,MATCH(Work_Codes!$I$159,$D$35:$D$37,0)))</f>
        <v>0</v>
      </c>
      <c r="K176" s="81">
        <f ca="1">K136*(1+INDEX(K$35:K$37,MATCH(Work_Codes!$I$159,$D$35:$D$37,0)))</f>
        <v>0</v>
      </c>
      <c r="L176" s="81">
        <f ca="1">L136*(1+INDEX(L$35:L$37,MATCH(Work_Codes!$I$159,$D$35:$D$37,0)))</f>
        <v>0</v>
      </c>
      <c r="M176" s="81">
        <f ca="1">M136*(1+INDEX(M$35:M$37,MATCH(Work_Codes!$I$159,$D$35:$D$37,0)))</f>
        <v>0</v>
      </c>
      <c r="N176" s="81">
        <f ca="1">N136*(1+INDEX(N$35:N$37,MATCH(Work_Codes!$I$159,$D$35:$D$37,0)))</f>
        <v>0</v>
      </c>
      <c r="O176" s="81">
        <f ca="1">O136*(1+INDEX(O$35:O$37,MATCH(Work_Codes!$I$159,$D$35:$D$37,0)))</f>
        <v>0</v>
      </c>
      <c r="P176" s="81">
        <f ca="1">P136*(1+INDEX(P$35:P$37,MATCH(Work_Codes!$I$159,$D$35:$D$37,0)))</f>
        <v>0</v>
      </c>
      <c r="Q176" s="81">
        <f ca="1">Q136*(1+INDEX(Q$35:Q$37,MATCH(Work_Codes!$I$159,$D$35:$D$37,0)))</f>
        <v>0</v>
      </c>
      <c r="R176" s="81">
        <f ca="1">R136*(1+INDEX(R$35:R$37,MATCH(Work_Codes!$I$159,$D$35:$D$37,0)))</f>
        <v>0</v>
      </c>
      <c r="S176" s="81">
        <f ca="1">S136*(1+INDEX(S$35:S$37,MATCH(Work_Codes!$I$159,$D$35:$D$37,0)))</f>
        <v>0</v>
      </c>
      <c r="T176" s="81">
        <f ca="1">T136*(1+INDEX(T$35:T$37,MATCH(Work_Codes!$I$159,$D$35:$D$37,0)))</f>
        <v>0</v>
      </c>
    </row>
    <row r="177" spans="4:20" outlineLevel="2">
      <c r="E177" s="247" t="str">
        <f>GC!C51</f>
        <v>Capitalised Leases</v>
      </c>
      <c r="F177" s="247"/>
      <c r="G177" s="247"/>
      <c r="H177" s="247"/>
      <c r="I177" s="247"/>
      <c r="J177" s="81">
        <f ca="1">J137*(1+INDEX(J$35:J$37,MATCH(Work_Codes!$I$159,$D$35:$D$37,0)))</f>
        <v>0</v>
      </c>
      <c r="K177" s="81">
        <f ca="1">K137*(1+INDEX(K$35:K$37,MATCH(Work_Codes!$I$159,$D$35:$D$37,0)))</f>
        <v>0</v>
      </c>
      <c r="L177" s="81">
        <f ca="1">L137*(1+INDEX(L$35:L$37,MATCH(Work_Codes!$I$159,$D$35:$D$37,0)))</f>
        <v>0</v>
      </c>
      <c r="M177" s="81">
        <f ca="1">M137*(1+INDEX(M$35:M$37,MATCH(Work_Codes!$I$159,$D$35:$D$37,0)))</f>
        <v>0</v>
      </c>
      <c r="N177" s="81">
        <f ca="1">N137*(1+INDEX(N$35:N$37,MATCH(Work_Codes!$I$159,$D$35:$D$37,0)))</f>
        <v>0</v>
      </c>
      <c r="O177" s="81">
        <f ca="1">O137*(1+INDEX(O$35:O$37,MATCH(Work_Codes!$I$159,$D$35:$D$37,0)))</f>
        <v>0</v>
      </c>
      <c r="P177" s="81">
        <f ca="1">P137*(1+INDEX(P$35:P$37,MATCH(Work_Codes!$I$159,$D$35:$D$37,0)))</f>
        <v>0</v>
      </c>
      <c r="Q177" s="81">
        <f ca="1">Q137*(1+INDEX(Q$35:Q$37,MATCH(Work_Codes!$I$159,$D$35:$D$37,0)))</f>
        <v>0</v>
      </c>
      <c r="R177" s="81">
        <f ca="1">R137*(1+INDEX(R$35:R$37,MATCH(Work_Codes!$I$159,$D$35:$D$37,0)))</f>
        <v>0</v>
      </c>
      <c r="S177" s="81">
        <f ca="1">S137*(1+INDEX(S$35:S$37,MATCH(Work_Codes!$I$159,$D$35:$D$37,0)))</f>
        <v>0</v>
      </c>
      <c r="T177" s="81">
        <f ca="1">T137*(1+INDEX(T$35:T$37,MATCH(Work_Codes!$I$159,$D$35:$D$37,0)))</f>
        <v>0</v>
      </c>
    </row>
    <row r="178" spans="4:20" outlineLevel="2">
      <c r="E178" s="247" t="str">
        <f>GC!C52</f>
        <v>Transmission pipelines - post 1998</v>
      </c>
      <c r="F178" s="247"/>
      <c r="G178" s="247"/>
      <c r="H178" s="247"/>
      <c r="I178" s="247"/>
      <c r="J178" s="81">
        <f ca="1">J138*(1+INDEX(J$35:J$37,MATCH(Work_Codes!$I$159,$D$35:$D$37,0)))</f>
        <v>0</v>
      </c>
      <c r="K178" s="81">
        <f ca="1">K138*(1+INDEX(K$35:K$37,MATCH(Work_Codes!$I$159,$D$35:$D$37,0)))</f>
        <v>0</v>
      </c>
      <c r="L178" s="81">
        <f ca="1">L138*(1+INDEX(L$35:L$37,MATCH(Work_Codes!$I$159,$D$35:$D$37,0)))</f>
        <v>0</v>
      </c>
      <c r="M178" s="81">
        <f ca="1">M138*(1+INDEX(M$35:M$37,MATCH(Work_Codes!$I$159,$D$35:$D$37,0)))</f>
        <v>0</v>
      </c>
      <c r="N178" s="81">
        <f ca="1">N138*(1+INDEX(N$35:N$37,MATCH(Work_Codes!$I$159,$D$35:$D$37,0)))</f>
        <v>0</v>
      </c>
      <c r="O178" s="81">
        <f ca="1">O138*(1+INDEX(O$35:O$37,MATCH(Work_Codes!$I$159,$D$35:$D$37,0)))</f>
        <v>0</v>
      </c>
      <c r="P178" s="81">
        <f ca="1">P138*(1+INDEX(P$35:P$37,MATCH(Work_Codes!$I$159,$D$35:$D$37,0)))</f>
        <v>0</v>
      </c>
      <c r="Q178" s="81">
        <f ca="1">Q138*(1+INDEX(Q$35:Q$37,MATCH(Work_Codes!$I$159,$D$35:$D$37,0)))</f>
        <v>0</v>
      </c>
      <c r="R178" s="81">
        <f ca="1">R138*(1+INDEX(R$35:R$37,MATCH(Work_Codes!$I$159,$D$35:$D$37,0)))</f>
        <v>0</v>
      </c>
      <c r="S178" s="81">
        <f ca="1">S138*(1+INDEX(S$35:S$37,MATCH(Work_Codes!$I$159,$D$35:$D$37,0)))</f>
        <v>0</v>
      </c>
      <c r="T178" s="81">
        <f ca="1">T138*(1+INDEX(T$35:T$37,MATCH(Work_Codes!$I$159,$D$35:$D$37,0)))</f>
        <v>0</v>
      </c>
    </row>
    <row r="179" spans="4:20" outlineLevel="2">
      <c r="E179" s="247" t="str">
        <f>GC!C53</f>
        <v>Distribution pipelines - post 1998</v>
      </c>
      <c r="F179" s="247"/>
      <c r="G179" s="247"/>
      <c r="H179" s="247"/>
      <c r="I179" s="247"/>
      <c r="J179" s="81">
        <f ca="1">J139*(1+INDEX(J$35:J$37,MATCH(Work_Codes!$I$159,$D$35:$D$37,0)))</f>
        <v>0</v>
      </c>
      <c r="K179" s="81">
        <f ca="1">K139*(1+INDEX(K$35:K$37,MATCH(Work_Codes!$I$159,$D$35:$D$37,0)))</f>
        <v>0</v>
      </c>
      <c r="L179" s="81">
        <f ca="1">L139*(1+INDEX(L$35:L$37,MATCH(Work_Codes!$I$159,$D$35:$D$37,0)))</f>
        <v>0</v>
      </c>
      <c r="M179" s="81">
        <f ca="1">M139*(1+INDEX(M$35:M$37,MATCH(Work_Codes!$I$159,$D$35:$D$37,0)))</f>
        <v>0</v>
      </c>
      <c r="N179" s="81">
        <f ca="1">N139*(1+INDEX(N$35:N$37,MATCH(Work_Codes!$I$159,$D$35:$D$37,0)))</f>
        <v>0</v>
      </c>
      <c r="O179" s="81">
        <f ca="1">O139*(1+INDEX(O$35:O$37,MATCH(Work_Codes!$I$159,$D$35:$D$37,0)))</f>
        <v>0</v>
      </c>
      <c r="P179" s="81">
        <f ca="1">P139*(1+INDEX(P$35:P$37,MATCH(Work_Codes!$I$159,$D$35:$D$37,0)))</f>
        <v>0</v>
      </c>
      <c r="Q179" s="81">
        <f ca="1">Q139*(1+INDEX(Q$35:Q$37,MATCH(Work_Codes!$I$159,$D$35:$D$37,0)))</f>
        <v>0</v>
      </c>
      <c r="R179" s="81">
        <f ca="1">R139*(1+INDEX(R$35:R$37,MATCH(Work_Codes!$I$159,$D$35:$D$37,0)))</f>
        <v>0</v>
      </c>
      <c r="S179" s="81">
        <f ca="1">S139*(1+INDEX(S$35:S$37,MATCH(Work_Codes!$I$159,$D$35:$D$37,0)))</f>
        <v>0</v>
      </c>
      <c r="T179" s="81">
        <f ca="1">T139*(1+INDEX(T$35:T$37,MATCH(Work_Codes!$I$159,$D$35:$D$37,0)))</f>
        <v>0</v>
      </c>
    </row>
    <row r="180" spans="4:20" outlineLevel="2">
      <c r="E180" s="247" t="str">
        <f>GC!C54</f>
        <v>Service pipes - post 1998</v>
      </c>
      <c r="F180" s="247"/>
      <c r="G180" s="247"/>
      <c r="H180" s="247"/>
      <c r="I180" s="247"/>
      <c r="J180" s="81">
        <f ca="1">J140*(1+INDEX(J$35:J$37,MATCH(Work_Codes!$I$159,$D$35:$D$37,0)))</f>
        <v>0</v>
      </c>
      <c r="K180" s="81">
        <f ca="1">K140*(1+INDEX(K$35:K$37,MATCH(Work_Codes!$I$159,$D$35:$D$37,0)))</f>
        <v>0</v>
      </c>
      <c r="L180" s="81">
        <f ca="1">L140*(1+INDEX(L$35:L$37,MATCH(Work_Codes!$I$159,$D$35:$D$37,0)))</f>
        <v>0</v>
      </c>
      <c r="M180" s="81">
        <f ca="1">M140*(1+INDEX(M$35:M$37,MATCH(Work_Codes!$I$159,$D$35:$D$37,0)))</f>
        <v>0</v>
      </c>
      <c r="N180" s="81">
        <f ca="1">N140*(1+INDEX(N$35:N$37,MATCH(Work_Codes!$I$159,$D$35:$D$37,0)))</f>
        <v>0</v>
      </c>
      <c r="O180" s="81">
        <f ca="1">O140*(1+INDEX(O$35:O$37,MATCH(Work_Codes!$I$159,$D$35:$D$37,0)))</f>
        <v>0</v>
      </c>
      <c r="P180" s="81">
        <f ca="1">P140*(1+INDEX(P$35:P$37,MATCH(Work_Codes!$I$159,$D$35:$D$37,0)))</f>
        <v>0</v>
      </c>
      <c r="Q180" s="81">
        <f ca="1">Q140*(1+INDEX(Q$35:Q$37,MATCH(Work_Codes!$I$159,$D$35:$D$37,0)))</f>
        <v>0</v>
      </c>
      <c r="R180" s="81">
        <f ca="1">R140*(1+INDEX(R$35:R$37,MATCH(Work_Codes!$I$159,$D$35:$D$37,0)))</f>
        <v>0</v>
      </c>
      <c r="S180" s="81">
        <f ca="1">S140*(1+INDEX(S$35:S$37,MATCH(Work_Codes!$I$159,$D$35:$D$37,0)))</f>
        <v>0</v>
      </c>
      <c r="T180" s="81">
        <f ca="1">T140*(1+INDEX(T$35:T$37,MATCH(Work_Codes!$I$159,$D$35:$D$37,0)))</f>
        <v>0</v>
      </c>
    </row>
    <row r="181" spans="4:20" outlineLevel="2">
      <c r="E181" s="247" t="str">
        <f>GC!C55</f>
        <v>Cathodic protection - post 1998</v>
      </c>
      <c r="F181" s="247"/>
      <c r="G181" s="247"/>
      <c r="H181" s="247"/>
      <c r="I181" s="247"/>
      <c r="J181" s="81">
        <f ca="1">J141*(1+INDEX(J$35:J$37,MATCH(Work_Codes!$I$159,$D$35:$D$37,0)))</f>
        <v>0</v>
      </c>
      <c r="K181" s="81">
        <f ca="1">K141*(1+INDEX(K$35:K$37,MATCH(Work_Codes!$I$159,$D$35:$D$37,0)))</f>
        <v>0</v>
      </c>
      <c r="L181" s="81">
        <f ca="1">L141*(1+INDEX(L$35:L$37,MATCH(Work_Codes!$I$159,$D$35:$D$37,0)))</f>
        <v>0</v>
      </c>
      <c r="M181" s="81">
        <f ca="1">M141*(1+INDEX(M$35:M$37,MATCH(Work_Codes!$I$159,$D$35:$D$37,0)))</f>
        <v>0</v>
      </c>
      <c r="N181" s="81">
        <f ca="1">N141*(1+INDEX(N$35:N$37,MATCH(Work_Codes!$I$159,$D$35:$D$37,0)))</f>
        <v>0</v>
      </c>
      <c r="O181" s="81">
        <f ca="1">O141*(1+INDEX(O$35:O$37,MATCH(Work_Codes!$I$159,$D$35:$D$37,0)))</f>
        <v>0</v>
      </c>
      <c r="P181" s="81">
        <f ca="1">P141*(1+INDEX(P$35:P$37,MATCH(Work_Codes!$I$159,$D$35:$D$37,0)))</f>
        <v>0</v>
      </c>
      <c r="Q181" s="81">
        <f ca="1">Q141*(1+INDEX(Q$35:Q$37,MATCH(Work_Codes!$I$159,$D$35:$D$37,0)))</f>
        <v>0</v>
      </c>
      <c r="R181" s="81">
        <f ca="1">R141*(1+INDEX(R$35:R$37,MATCH(Work_Codes!$I$159,$D$35:$D$37,0)))</f>
        <v>0</v>
      </c>
      <c r="S181" s="81">
        <f ca="1">S141*(1+INDEX(S$35:S$37,MATCH(Work_Codes!$I$159,$D$35:$D$37,0)))</f>
        <v>0</v>
      </c>
      <c r="T181" s="81">
        <f ca="1">T141*(1+INDEX(T$35:T$37,MATCH(Work_Codes!$I$159,$D$35:$D$37,0)))</f>
        <v>0</v>
      </c>
    </row>
    <row r="182" spans="4:20" ht="12" customHeight="1" outlineLevel="2">
      <c r="E182" s="249" t="str">
        <f>"Total "&amp;D164</f>
        <v>Total Direct Costs + Overheads</v>
      </c>
      <c r="F182" s="249"/>
      <c r="G182" s="249"/>
      <c r="H182" s="249"/>
      <c r="I182" s="249"/>
      <c r="J182" s="82">
        <f t="shared" ref="J182:T182" ca="1" si="21">SUM(J166:J181)</f>
        <v>0</v>
      </c>
      <c r="K182" s="82">
        <f t="shared" ca="1" si="21"/>
        <v>0</v>
      </c>
      <c r="L182" s="82">
        <f t="shared" ca="1" si="21"/>
        <v>0</v>
      </c>
      <c r="M182" s="82">
        <f t="shared" ca="1" si="21"/>
        <v>0</v>
      </c>
      <c r="N182" s="82">
        <f t="shared" ca="1" si="21"/>
        <v>874996.99901338958</v>
      </c>
      <c r="O182" s="82">
        <f t="shared" ca="1" si="21"/>
        <v>488146.64282217505</v>
      </c>
      <c r="P182" s="82">
        <f t="shared" ca="1" si="21"/>
        <v>1077258.9555434657</v>
      </c>
      <c r="Q182" s="82">
        <f t="shared" ca="1" si="21"/>
        <v>1258725.0500817844</v>
      </c>
      <c r="R182" s="82">
        <f t="shared" ca="1" si="21"/>
        <v>1243655.0709843263</v>
      </c>
      <c r="S182" s="82">
        <f t="shared" ca="1" si="21"/>
        <v>1440461.4509216631</v>
      </c>
      <c r="T182" s="82">
        <f t="shared" ca="1" si="21"/>
        <v>1032329.3290099687</v>
      </c>
    </row>
    <row r="183" spans="4:20" outlineLevel="2"/>
    <row r="184" spans="4:20" outlineLevel="2">
      <c r="D184" s="37" t="s">
        <v>367</v>
      </c>
    </row>
    <row r="185" spans="4:20" ht="5.9" customHeight="1" outlineLevel="2"/>
    <row r="186" spans="4:20" outlineLevel="2">
      <c r="E186" s="247" t="str">
        <f>GC!C40</f>
        <v>Transmission pipelines</v>
      </c>
      <c r="F186" s="247"/>
      <c r="G186" s="247"/>
      <c r="H186" s="247"/>
      <c r="I186" s="247"/>
      <c r="J186" s="81">
        <f ca="1">SUMPRODUCT((Work_Codes!$N$162:$Y$162=$E186)*(Work_Codes!$N$173:$Y$173)*(J$74:J$74))</f>
        <v>0</v>
      </c>
      <c r="K186" s="81">
        <f ca="1">SUMPRODUCT((Work_Codes!$N$162:$Y$162=$E186)*(Work_Codes!$N$173:$Y$173)*(K$74:K$74))</f>
        <v>0</v>
      </c>
      <c r="L186" s="81">
        <f ca="1">SUMPRODUCT((Work_Codes!$N$162:$Y$162=$E186)*(Work_Codes!$N$173:$Y$173)*(L$74:L$74))</f>
        <v>0</v>
      </c>
      <c r="M186" s="81">
        <f ca="1">SUMPRODUCT((Work_Codes!$N$162:$Y$162=$E186)*(Work_Codes!$N$173:$Y$173)*(M$74:M$74))</f>
        <v>0</v>
      </c>
      <c r="N186" s="81">
        <f ca="1">SUMPRODUCT((Work_Codes!$N$162:$Y$162=$E186)*(Work_Codes!$N$173:$Y$173)*(N$74:N$74))</f>
        <v>0</v>
      </c>
      <c r="O186" s="81">
        <f ca="1">SUMPRODUCT((Work_Codes!$N$162:$Y$162=$E186)*(Work_Codes!$N$173:$Y$173)*(O$74:O$74))</f>
        <v>0</v>
      </c>
      <c r="P186" s="81">
        <f ca="1">SUMPRODUCT((Work_Codes!$N$162:$Y$162=$E186)*(Work_Codes!$N$173:$Y$173)*(P$74:P$74))</f>
        <v>0</v>
      </c>
      <c r="Q186" s="81">
        <f ca="1">SUMPRODUCT((Work_Codes!$N$162:$Y$162=$E186)*(Work_Codes!$N$173:$Y$173)*(Q$74:Q$74))</f>
        <v>0</v>
      </c>
      <c r="R186" s="81">
        <f ca="1">SUMPRODUCT((Work_Codes!$N$162:$Y$162=$E186)*(Work_Codes!$N$173:$Y$173)*(R$74:R$74))</f>
        <v>0</v>
      </c>
      <c r="S186" s="81">
        <f ca="1">SUMPRODUCT((Work_Codes!$N$162:$Y$162=$E186)*(Work_Codes!$N$173:$Y$173)*(S$74:S$74))</f>
        <v>0</v>
      </c>
      <c r="T186" s="81">
        <f ca="1">SUMPRODUCT((Work_Codes!$N$162:$Y$162=$E186)*(Work_Codes!$N$173:$Y$173)*(T$74:T$74))</f>
        <v>0</v>
      </c>
    </row>
    <row r="187" spans="4:20" outlineLevel="2">
      <c r="E187" s="247" t="str">
        <f>GC!C41</f>
        <v>Distribution pipelines</v>
      </c>
      <c r="F187" s="247"/>
      <c r="G187" s="247"/>
      <c r="H187" s="247"/>
      <c r="I187" s="247"/>
      <c r="J187" s="81">
        <f ca="1">SUMPRODUCT((Work_Codes!$N$162:$Y$162=$E187)*(Work_Codes!$N$173:$Y$173)*(J$74:J$74))</f>
        <v>0</v>
      </c>
      <c r="K187" s="81">
        <f ca="1">SUMPRODUCT((Work_Codes!$N$162:$Y$162=$E187)*(Work_Codes!$N$173:$Y$173)*(K$74:K$74))</f>
        <v>0</v>
      </c>
      <c r="L187" s="81">
        <f ca="1">SUMPRODUCT((Work_Codes!$N$162:$Y$162=$E187)*(Work_Codes!$N$173:$Y$173)*(L$74:L$74))</f>
        <v>0</v>
      </c>
      <c r="M187" s="81">
        <f ca="1">SUMPRODUCT((Work_Codes!$N$162:$Y$162=$E187)*(Work_Codes!$N$173:$Y$173)*(M$74:M$74))</f>
        <v>0</v>
      </c>
      <c r="N187" s="81">
        <f ca="1">SUMPRODUCT((Work_Codes!$N$162:$Y$162=$E187)*(Work_Codes!$N$173:$Y$173)*(N$74:N$74))</f>
        <v>0</v>
      </c>
      <c r="O187" s="81">
        <f ca="1">SUMPRODUCT((Work_Codes!$N$162:$Y$162=$E187)*(Work_Codes!$N$173:$Y$173)*(O$74:O$74))</f>
        <v>0</v>
      </c>
      <c r="P187" s="81">
        <f ca="1">SUMPRODUCT((Work_Codes!$N$162:$Y$162=$E187)*(Work_Codes!$N$173:$Y$173)*(P$74:P$74))</f>
        <v>0</v>
      </c>
      <c r="Q187" s="81">
        <f ca="1">SUMPRODUCT((Work_Codes!$N$162:$Y$162=$E187)*(Work_Codes!$N$173:$Y$173)*(Q$74:Q$74))</f>
        <v>0</v>
      </c>
      <c r="R187" s="81">
        <f ca="1">SUMPRODUCT((Work_Codes!$N$162:$Y$162=$E187)*(Work_Codes!$N$173:$Y$173)*(R$74:R$74))</f>
        <v>0</v>
      </c>
      <c r="S187" s="81">
        <f ca="1">SUMPRODUCT((Work_Codes!$N$162:$Y$162=$E187)*(Work_Codes!$N$173:$Y$173)*(S$74:S$74))</f>
        <v>0</v>
      </c>
      <c r="T187" s="81">
        <f ca="1">SUMPRODUCT((Work_Codes!$N$162:$Y$162=$E187)*(Work_Codes!$N$173:$Y$173)*(T$74:T$74))</f>
        <v>0</v>
      </c>
    </row>
    <row r="188" spans="4:20" outlineLevel="2">
      <c r="E188" s="247" t="str">
        <f>GC!C42</f>
        <v>Service pipes</v>
      </c>
      <c r="F188" s="247"/>
      <c r="G188" s="247"/>
      <c r="H188" s="247"/>
      <c r="I188" s="247"/>
      <c r="J188" s="81">
        <f ca="1">SUMPRODUCT((Work_Codes!$N$162:$Y$162=$E188)*(Work_Codes!$N$173:$Y$173)*(J$74:J$74))</f>
        <v>0</v>
      </c>
      <c r="K188" s="81">
        <f ca="1">SUMPRODUCT((Work_Codes!$N$162:$Y$162=$E188)*(Work_Codes!$N$173:$Y$173)*(K$74:K$74))</f>
        <v>0</v>
      </c>
      <c r="L188" s="81">
        <f ca="1">SUMPRODUCT((Work_Codes!$N$162:$Y$162=$E188)*(Work_Codes!$N$173:$Y$173)*(L$74:L$74))</f>
        <v>0</v>
      </c>
      <c r="M188" s="81">
        <f ca="1">SUMPRODUCT((Work_Codes!$N$162:$Y$162=$E188)*(Work_Codes!$N$173:$Y$173)*(M$74:M$74))</f>
        <v>0</v>
      </c>
      <c r="N188" s="81">
        <f ca="1">SUMPRODUCT((Work_Codes!$N$162:$Y$162=$E188)*(Work_Codes!$N$173:$Y$173)*(N$74:N$74))</f>
        <v>0</v>
      </c>
      <c r="O188" s="81">
        <f ca="1">SUMPRODUCT((Work_Codes!$N$162:$Y$162=$E188)*(Work_Codes!$N$173:$Y$173)*(O$74:O$74))</f>
        <v>0</v>
      </c>
      <c r="P188" s="81">
        <f ca="1">SUMPRODUCT((Work_Codes!$N$162:$Y$162=$E188)*(Work_Codes!$N$173:$Y$173)*(P$74:P$74))</f>
        <v>0</v>
      </c>
      <c r="Q188" s="81">
        <f ca="1">SUMPRODUCT((Work_Codes!$N$162:$Y$162=$E188)*(Work_Codes!$N$173:$Y$173)*(Q$74:Q$74))</f>
        <v>0</v>
      </c>
      <c r="R188" s="81">
        <f ca="1">SUMPRODUCT((Work_Codes!$N$162:$Y$162=$E188)*(Work_Codes!$N$173:$Y$173)*(R$74:R$74))</f>
        <v>0</v>
      </c>
      <c r="S188" s="81">
        <f ca="1">SUMPRODUCT((Work_Codes!$N$162:$Y$162=$E188)*(Work_Codes!$N$173:$Y$173)*(S$74:S$74))</f>
        <v>0</v>
      </c>
      <c r="T188" s="81">
        <f ca="1">SUMPRODUCT((Work_Codes!$N$162:$Y$162=$E188)*(Work_Codes!$N$173:$Y$173)*(T$74:T$74))</f>
        <v>0</v>
      </c>
    </row>
    <row r="189" spans="4:20" outlineLevel="2">
      <c r="E189" s="247" t="str">
        <f>GC!C43</f>
        <v>Cathodic protection</v>
      </c>
      <c r="F189" s="247"/>
      <c r="G189" s="247"/>
      <c r="H189" s="247"/>
      <c r="I189" s="247"/>
      <c r="J189" s="81">
        <f ca="1">SUMPRODUCT((Work_Codes!$N$162:$Y$162=$E189)*(Work_Codes!$N$173:$Y$173)*(J$74:J$74))</f>
        <v>0</v>
      </c>
      <c r="K189" s="81">
        <f ca="1">SUMPRODUCT((Work_Codes!$N$162:$Y$162=$E189)*(Work_Codes!$N$173:$Y$173)*(K$74:K$74))</f>
        <v>0</v>
      </c>
      <c r="L189" s="81">
        <f ca="1">SUMPRODUCT((Work_Codes!$N$162:$Y$162=$E189)*(Work_Codes!$N$173:$Y$173)*(L$74:L$74))</f>
        <v>0</v>
      </c>
      <c r="M189" s="81">
        <f ca="1">SUMPRODUCT((Work_Codes!$N$162:$Y$162=$E189)*(Work_Codes!$N$173:$Y$173)*(M$74:M$74))</f>
        <v>0</v>
      </c>
      <c r="N189" s="81">
        <f ca="1">SUMPRODUCT((Work_Codes!$N$162:$Y$162=$E189)*(Work_Codes!$N$173:$Y$173)*(N$74:N$74))</f>
        <v>0</v>
      </c>
      <c r="O189" s="81">
        <f ca="1">SUMPRODUCT((Work_Codes!$N$162:$Y$162=$E189)*(Work_Codes!$N$173:$Y$173)*(O$74:O$74))</f>
        <v>0</v>
      </c>
      <c r="P189" s="81">
        <f ca="1">SUMPRODUCT((Work_Codes!$N$162:$Y$162=$E189)*(Work_Codes!$N$173:$Y$173)*(P$74:P$74))</f>
        <v>0</v>
      </c>
      <c r="Q189" s="81">
        <f ca="1">SUMPRODUCT((Work_Codes!$N$162:$Y$162=$E189)*(Work_Codes!$N$173:$Y$173)*(Q$74:Q$74))</f>
        <v>0</v>
      </c>
      <c r="R189" s="81">
        <f ca="1">SUMPRODUCT((Work_Codes!$N$162:$Y$162=$E189)*(Work_Codes!$N$173:$Y$173)*(R$74:R$74))</f>
        <v>0</v>
      </c>
      <c r="S189" s="81">
        <f ca="1">SUMPRODUCT((Work_Codes!$N$162:$Y$162=$E189)*(Work_Codes!$N$173:$Y$173)*(S$74:S$74))</f>
        <v>0</v>
      </c>
      <c r="T189" s="81">
        <f ca="1">SUMPRODUCT((Work_Codes!$N$162:$Y$162=$E189)*(Work_Codes!$N$173:$Y$173)*(T$74:T$74))</f>
        <v>0</v>
      </c>
    </row>
    <row r="190" spans="4:20" outlineLevel="2">
      <c r="E190" s="247" t="str">
        <f>GC!C44</f>
        <v>Supply Regulators / Valve Stations</v>
      </c>
      <c r="F190" s="247"/>
      <c r="G190" s="247"/>
      <c r="H190" s="247"/>
      <c r="I190" s="247"/>
      <c r="J190" s="81">
        <f ca="1">SUMPRODUCT((Work_Codes!$N$162:$Y$162=$E190)*(Work_Codes!$N$173:$Y$173)*(J$74:J$74))</f>
        <v>0</v>
      </c>
      <c r="K190" s="81">
        <f ca="1">SUMPRODUCT((Work_Codes!$N$162:$Y$162=$E190)*(Work_Codes!$N$173:$Y$173)*(K$74:K$74))</f>
        <v>0</v>
      </c>
      <c r="L190" s="81">
        <f ca="1">SUMPRODUCT((Work_Codes!$N$162:$Y$162=$E190)*(Work_Codes!$N$173:$Y$173)*(L$74:L$74))</f>
        <v>0</v>
      </c>
      <c r="M190" s="81">
        <f ca="1">SUMPRODUCT((Work_Codes!$N$162:$Y$162=$E190)*(Work_Codes!$N$173:$Y$173)*(M$74:M$74))</f>
        <v>0</v>
      </c>
      <c r="N190" s="81">
        <f ca="1">SUMPRODUCT((Work_Codes!$N$162:$Y$162=$E190)*(Work_Codes!$N$173:$Y$173)*(N$74:N$74))</f>
        <v>0</v>
      </c>
      <c r="O190" s="81">
        <f ca="1">SUMPRODUCT((Work_Codes!$N$162:$Y$162=$E190)*(Work_Codes!$N$173:$Y$173)*(O$74:O$74))</f>
        <v>0</v>
      </c>
      <c r="P190" s="81">
        <f ca="1">SUMPRODUCT((Work_Codes!$N$162:$Y$162=$E190)*(Work_Codes!$N$173:$Y$173)*(P$74:P$74))</f>
        <v>0</v>
      </c>
      <c r="Q190" s="81">
        <f ca="1">SUMPRODUCT((Work_Codes!$N$162:$Y$162=$E190)*(Work_Codes!$N$173:$Y$173)*(Q$74:Q$74))</f>
        <v>0</v>
      </c>
      <c r="R190" s="81">
        <f ca="1">SUMPRODUCT((Work_Codes!$N$162:$Y$162=$E190)*(Work_Codes!$N$173:$Y$173)*(R$74:R$74))</f>
        <v>0</v>
      </c>
      <c r="S190" s="81">
        <f ca="1">SUMPRODUCT((Work_Codes!$N$162:$Y$162=$E190)*(Work_Codes!$N$173:$Y$173)*(S$74:S$74))</f>
        <v>0</v>
      </c>
      <c r="T190" s="81">
        <f ca="1">SUMPRODUCT((Work_Codes!$N$162:$Y$162=$E190)*(Work_Codes!$N$173:$Y$173)*(T$74:T$74))</f>
        <v>0</v>
      </c>
    </row>
    <row r="191" spans="4:20" outlineLevel="2">
      <c r="E191" s="247" t="str">
        <f>GC!C45</f>
        <v>Meters</v>
      </c>
      <c r="F191" s="247"/>
      <c r="G191" s="247"/>
      <c r="H191" s="247"/>
      <c r="I191" s="247"/>
      <c r="J191" s="81">
        <f ca="1">SUMPRODUCT((Work_Codes!$N$162:$Y$162=$E191)*(Work_Codes!$N$173:$Y$173)*(J$74:J$74))</f>
        <v>0</v>
      </c>
      <c r="K191" s="81">
        <f ca="1">SUMPRODUCT((Work_Codes!$N$162:$Y$162=$E191)*(Work_Codes!$N$173:$Y$173)*(K$74:K$74))</f>
        <v>0</v>
      </c>
      <c r="L191" s="81">
        <f ca="1">SUMPRODUCT((Work_Codes!$N$162:$Y$162=$E191)*(Work_Codes!$N$173:$Y$173)*(L$74:L$74))</f>
        <v>0</v>
      </c>
      <c r="M191" s="81">
        <f ca="1">SUMPRODUCT((Work_Codes!$N$162:$Y$162=$E191)*(Work_Codes!$N$173:$Y$173)*(M$74:M$74))</f>
        <v>0</v>
      </c>
      <c r="N191" s="81">
        <f ca="1">SUMPRODUCT((Work_Codes!$N$162:$Y$162=$E191)*(Work_Codes!$N$173:$Y$173)*(N$74:N$74))</f>
        <v>0</v>
      </c>
      <c r="O191" s="81">
        <f ca="1">SUMPRODUCT((Work_Codes!$N$162:$Y$162=$E191)*(Work_Codes!$N$173:$Y$173)*(O$74:O$74))</f>
        <v>0</v>
      </c>
      <c r="P191" s="81">
        <f ca="1">SUMPRODUCT((Work_Codes!$N$162:$Y$162=$E191)*(Work_Codes!$N$173:$Y$173)*(P$74:P$74))</f>
        <v>0</v>
      </c>
      <c r="Q191" s="81">
        <f ca="1">SUMPRODUCT((Work_Codes!$N$162:$Y$162=$E191)*(Work_Codes!$N$173:$Y$173)*(Q$74:Q$74))</f>
        <v>0</v>
      </c>
      <c r="R191" s="81">
        <f ca="1">SUMPRODUCT((Work_Codes!$N$162:$Y$162=$E191)*(Work_Codes!$N$173:$Y$173)*(R$74:R$74))</f>
        <v>0</v>
      </c>
      <c r="S191" s="81">
        <f ca="1">SUMPRODUCT((Work_Codes!$N$162:$Y$162=$E191)*(Work_Codes!$N$173:$Y$173)*(S$74:S$74))</f>
        <v>0</v>
      </c>
      <c r="T191" s="81">
        <f ca="1">SUMPRODUCT((Work_Codes!$N$162:$Y$162=$E191)*(Work_Codes!$N$173:$Y$173)*(T$74:T$74))</f>
        <v>0</v>
      </c>
    </row>
    <row r="192" spans="4:20" outlineLevel="2">
      <c r="E192" s="247" t="str">
        <f>GC!C46</f>
        <v>SCADA and remote control</v>
      </c>
      <c r="F192" s="247"/>
      <c r="G192" s="247"/>
      <c r="H192" s="247"/>
      <c r="I192" s="247"/>
      <c r="J192" s="81">
        <f ca="1">SUMPRODUCT((Work_Codes!$N$162:$Y$162=$E192)*(Work_Codes!$N$173:$Y$173)*(J$74:J$74))</f>
        <v>0</v>
      </c>
      <c r="K192" s="81">
        <f ca="1">SUMPRODUCT((Work_Codes!$N$162:$Y$162=$E192)*(Work_Codes!$N$173:$Y$173)*(K$74:K$74))</f>
        <v>0</v>
      </c>
      <c r="L192" s="81">
        <f ca="1">SUMPRODUCT((Work_Codes!$N$162:$Y$162=$E192)*(Work_Codes!$N$173:$Y$173)*(L$74:L$74))</f>
        <v>0</v>
      </c>
      <c r="M192" s="81">
        <f ca="1">SUMPRODUCT((Work_Codes!$N$162:$Y$162=$E192)*(Work_Codes!$N$173:$Y$173)*(M$74:M$74))</f>
        <v>0</v>
      </c>
      <c r="N192" s="81">
        <f ca="1">SUMPRODUCT((Work_Codes!$N$162:$Y$162=$E192)*(Work_Codes!$N$173:$Y$173)*(N$74:N$74))</f>
        <v>0</v>
      </c>
      <c r="O192" s="81">
        <f ca="1">SUMPRODUCT((Work_Codes!$N$162:$Y$162=$E192)*(Work_Codes!$N$173:$Y$173)*(O$74:O$74))</f>
        <v>0</v>
      </c>
      <c r="P192" s="81">
        <f ca="1">SUMPRODUCT((Work_Codes!$N$162:$Y$162=$E192)*(Work_Codes!$N$173:$Y$173)*(P$74:P$74))</f>
        <v>0</v>
      </c>
      <c r="Q192" s="81">
        <f ca="1">SUMPRODUCT((Work_Codes!$N$162:$Y$162=$E192)*(Work_Codes!$N$173:$Y$173)*(Q$74:Q$74))</f>
        <v>0</v>
      </c>
      <c r="R192" s="81">
        <f ca="1">SUMPRODUCT((Work_Codes!$N$162:$Y$162=$E192)*(Work_Codes!$N$173:$Y$173)*(R$74:R$74))</f>
        <v>0</v>
      </c>
      <c r="S192" s="81">
        <f ca="1">SUMPRODUCT((Work_Codes!$N$162:$Y$162=$E192)*(Work_Codes!$N$173:$Y$173)*(S$74:S$74))</f>
        <v>0</v>
      </c>
      <c r="T192" s="81">
        <f ca="1">SUMPRODUCT((Work_Codes!$N$162:$Y$162=$E192)*(Work_Codes!$N$173:$Y$173)*(T$74:T$74))</f>
        <v>0</v>
      </c>
    </row>
    <row r="193" spans="2:20" outlineLevel="2">
      <c r="E193" s="247" t="str">
        <f>GC!C47</f>
        <v>Buildings</v>
      </c>
      <c r="F193" s="247"/>
      <c r="G193" s="247"/>
      <c r="H193" s="247"/>
      <c r="I193" s="247"/>
      <c r="J193" s="81">
        <f ca="1">SUMPRODUCT((Work_Codes!$N$162:$Y$162=$E193)*(Work_Codes!$N$173:$Y$173)*(J$74:J$74))</f>
        <v>0</v>
      </c>
      <c r="K193" s="81">
        <f ca="1">SUMPRODUCT((Work_Codes!$N$162:$Y$162=$E193)*(Work_Codes!$N$173:$Y$173)*(K$74:K$74))</f>
        <v>0</v>
      </c>
      <c r="L193" s="81">
        <f ca="1">SUMPRODUCT((Work_Codes!$N$162:$Y$162=$E193)*(Work_Codes!$N$173:$Y$173)*(L$74:L$74))</f>
        <v>0</v>
      </c>
      <c r="M193" s="81">
        <f ca="1">SUMPRODUCT((Work_Codes!$N$162:$Y$162=$E193)*(Work_Codes!$N$173:$Y$173)*(M$74:M$74))</f>
        <v>0</v>
      </c>
      <c r="N193" s="81">
        <f ca="1">SUMPRODUCT((Work_Codes!$N$162:$Y$162=$E193)*(Work_Codes!$N$173:$Y$173)*(N$74:N$74))</f>
        <v>0</v>
      </c>
      <c r="O193" s="81">
        <f ca="1">SUMPRODUCT((Work_Codes!$N$162:$Y$162=$E193)*(Work_Codes!$N$173:$Y$173)*(O$74:O$74))</f>
        <v>0</v>
      </c>
      <c r="P193" s="81">
        <f ca="1">SUMPRODUCT((Work_Codes!$N$162:$Y$162=$E193)*(Work_Codes!$N$173:$Y$173)*(P$74:P$74))</f>
        <v>0</v>
      </c>
      <c r="Q193" s="81">
        <f ca="1">SUMPRODUCT((Work_Codes!$N$162:$Y$162=$E193)*(Work_Codes!$N$173:$Y$173)*(Q$74:Q$74))</f>
        <v>0</v>
      </c>
      <c r="R193" s="81">
        <f ca="1">SUMPRODUCT((Work_Codes!$N$162:$Y$162=$E193)*(Work_Codes!$N$173:$Y$173)*(R$74:R$74))</f>
        <v>0</v>
      </c>
      <c r="S193" s="81">
        <f ca="1">SUMPRODUCT((Work_Codes!$N$162:$Y$162=$E193)*(Work_Codes!$N$173:$Y$173)*(S$74:S$74))</f>
        <v>0</v>
      </c>
      <c r="T193" s="81">
        <f ca="1">SUMPRODUCT((Work_Codes!$N$162:$Y$162=$E193)*(Work_Codes!$N$173:$Y$173)*(T$74:T$74))</f>
        <v>0</v>
      </c>
    </row>
    <row r="194" spans="2:20" outlineLevel="2">
      <c r="E194" s="247" t="str">
        <f>GC!C48</f>
        <v>Other - IT</v>
      </c>
      <c r="F194" s="247"/>
      <c r="G194" s="247"/>
      <c r="H194" s="247"/>
      <c r="I194" s="247"/>
      <c r="J194" s="81">
        <f ca="1">SUMPRODUCT((Work_Codes!$N$162:$Y$162=$E194)*(Work_Codes!$N$173:$Y$173)*(J$74:J$74))</f>
        <v>0</v>
      </c>
      <c r="K194" s="81">
        <f ca="1">SUMPRODUCT((Work_Codes!$N$162:$Y$162=$E194)*(Work_Codes!$N$173:$Y$173)*(K$74:K$74))</f>
        <v>0</v>
      </c>
      <c r="L194" s="81">
        <f ca="1">SUMPRODUCT((Work_Codes!$N$162:$Y$162=$E194)*(Work_Codes!$N$173:$Y$173)*(L$74:L$74))</f>
        <v>0</v>
      </c>
      <c r="M194" s="81">
        <f ca="1">SUMPRODUCT((Work_Codes!$N$162:$Y$162=$E194)*(Work_Codes!$N$173:$Y$173)*(M$74:M$74))</f>
        <v>0</v>
      </c>
      <c r="N194" s="81">
        <f ca="1">SUMPRODUCT((Work_Codes!$N$162:$Y$162=$E194)*(Work_Codes!$N$173:$Y$173)*(N$74:N$74))</f>
        <v>0</v>
      </c>
      <c r="O194" s="81">
        <f ca="1">SUMPRODUCT((Work_Codes!$N$162:$Y$162=$E194)*(Work_Codes!$N$173:$Y$173)*(O$74:O$74))</f>
        <v>0</v>
      </c>
      <c r="P194" s="81">
        <f ca="1">SUMPRODUCT((Work_Codes!$N$162:$Y$162=$E194)*(Work_Codes!$N$173:$Y$173)*(P$74:P$74))</f>
        <v>0</v>
      </c>
      <c r="Q194" s="81">
        <f ca="1">SUMPRODUCT((Work_Codes!$N$162:$Y$162=$E194)*(Work_Codes!$N$173:$Y$173)*(Q$74:Q$74))</f>
        <v>0</v>
      </c>
      <c r="R194" s="81">
        <f ca="1">SUMPRODUCT((Work_Codes!$N$162:$Y$162=$E194)*(Work_Codes!$N$173:$Y$173)*(R$74:R$74))</f>
        <v>0</v>
      </c>
      <c r="S194" s="81">
        <f ca="1">SUMPRODUCT((Work_Codes!$N$162:$Y$162=$E194)*(Work_Codes!$N$173:$Y$173)*(S$74:S$74))</f>
        <v>0</v>
      </c>
      <c r="T194" s="81">
        <f ca="1">SUMPRODUCT((Work_Codes!$N$162:$Y$162=$E194)*(Work_Codes!$N$173:$Y$173)*(T$74:T$74))</f>
        <v>0</v>
      </c>
    </row>
    <row r="195" spans="2:20" outlineLevel="2">
      <c r="E195" s="247" t="str">
        <f>GC!C49</f>
        <v>Other - non IT</v>
      </c>
      <c r="F195" s="247"/>
      <c r="G195" s="247"/>
      <c r="H195" s="247"/>
      <c r="I195" s="247"/>
      <c r="J195" s="81">
        <f ca="1">SUMPRODUCT((Work_Codes!$N$162:$Y$162=$E195)*(Work_Codes!$N$173:$Y$173)*(J$74:J$74))</f>
        <v>0</v>
      </c>
      <c r="K195" s="81">
        <f ca="1">SUMPRODUCT((Work_Codes!$N$162:$Y$162=$E195)*(Work_Codes!$N$173:$Y$173)*(K$74:K$74))</f>
        <v>0</v>
      </c>
      <c r="L195" s="81">
        <f ca="1">SUMPRODUCT((Work_Codes!$N$162:$Y$162=$E195)*(Work_Codes!$N$173:$Y$173)*(L$74:L$74))</f>
        <v>0</v>
      </c>
      <c r="M195" s="81">
        <f ca="1">SUMPRODUCT((Work_Codes!$N$162:$Y$162=$E195)*(Work_Codes!$N$173:$Y$173)*(M$74:M$74))</f>
        <v>0</v>
      </c>
      <c r="N195" s="81">
        <f ca="1">SUMPRODUCT((Work_Codes!$N$162:$Y$162=$E195)*(Work_Codes!$N$173:$Y$173)*(N$74:N$74))</f>
        <v>0</v>
      </c>
      <c r="O195" s="81">
        <f ca="1">SUMPRODUCT((Work_Codes!$N$162:$Y$162=$E195)*(Work_Codes!$N$173:$Y$173)*(O$74:O$74))</f>
        <v>0</v>
      </c>
      <c r="P195" s="81">
        <f ca="1">SUMPRODUCT((Work_Codes!$N$162:$Y$162=$E195)*(Work_Codes!$N$173:$Y$173)*(P$74:P$74))</f>
        <v>0</v>
      </c>
      <c r="Q195" s="81">
        <f ca="1">SUMPRODUCT((Work_Codes!$N$162:$Y$162=$E195)*(Work_Codes!$N$173:$Y$173)*(Q$74:Q$74))</f>
        <v>0</v>
      </c>
      <c r="R195" s="81">
        <f ca="1">SUMPRODUCT((Work_Codes!$N$162:$Y$162=$E195)*(Work_Codes!$N$173:$Y$173)*(R$74:R$74))</f>
        <v>0</v>
      </c>
      <c r="S195" s="81">
        <f ca="1">SUMPRODUCT((Work_Codes!$N$162:$Y$162=$E195)*(Work_Codes!$N$173:$Y$173)*(S$74:S$74))</f>
        <v>0</v>
      </c>
      <c r="T195" s="81">
        <f ca="1">SUMPRODUCT((Work_Codes!$N$162:$Y$162=$E195)*(Work_Codes!$N$173:$Y$173)*(T$74:T$74))</f>
        <v>0</v>
      </c>
    </row>
    <row r="196" spans="2:20" outlineLevel="2">
      <c r="E196" s="247" t="str">
        <f>GC!C50</f>
        <v>Land</v>
      </c>
      <c r="F196" s="247"/>
      <c r="G196" s="247"/>
      <c r="H196" s="247"/>
      <c r="I196" s="247"/>
      <c r="J196" s="81">
        <f ca="1">SUMPRODUCT((Work_Codes!$N$162:$Y$162=$E196)*(Work_Codes!$N$173:$Y$173)*(J$74:J$74))</f>
        <v>0</v>
      </c>
      <c r="K196" s="81">
        <f ca="1">SUMPRODUCT((Work_Codes!$N$162:$Y$162=$E196)*(Work_Codes!$N$173:$Y$173)*(K$74:K$74))</f>
        <v>0</v>
      </c>
      <c r="L196" s="81">
        <f ca="1">SUMPRODUCT((Work_Codes!$N$162:$Y$162=$E196)*(Work_Codes!$N$173:$Y$173)*(L$74:L$74))</f>
        <v>0</v>
      </c>
      <c r="M196" s="81">
        <f ca="1">SUMPRODUCT((Work_Codes!$N$162:$Y$162=$E196)*(Work_Codes!$N$173:$Y$173)*(M$74:M$74))</f>
        <v>0</v>
      </c>
      <c r="N196" s="81">
        <f ca="1">SUMPRODUCT((Work_Codes!$N$162:$Y$162=$E196)*(Work_Codes!$N$173:$Y$173)*(N$74:N$74))</f>
        <v>0</v>
      </c>
      <c r="O196" s="81">
        <f ca="1">SUMPRODUCT((Work_Codes!$N$162:$Y$162=$E196)*(Work_Codes!$N$173:$Y$173)*(O$74:O$74))</f>
        <v>0</v>
      </c>
      <c r="P196" s="81">
        <f ca="1">SUMPRODUCT((Work_Codes!$N$162:$Y$162=$E196)*(Work_Codes!$N$173:$Y$173)*(P$74:P$74))</f>
        <v>0</v>
      </c>
      <c r="Q196" s="81">
        <f ca="1">SUMPRODUCT((Work_Codes!$N$162:$Y$162=$E196)*(Work_Codes!$N$173:$Y$173)*(Q$74:Q$74))</f>
        <v>0</v>
      </c>
      <c r="R196" s="81">
        <f ca="1">SUMPRODUCT((Work_Codes!$N$162:$Y$162=$E196)*(Work_Codes!$N$173:$Y$173)*(R$74:R$74))</f>
        <v>0</v>
      </c>
      <c r="S196" s="81">
        <f ca="1">SUMPRODUCT((Work_Codes!$N$162:$Y$162=$E196)*(Work_Codes!$N$173:$Y$173)*(S$74:S$74))</f>
        <v>0</v>
      </c>
      <c r="T196" s="81">
        <f ca="1">SUMPRODUCT((Work_Codes!$N$162:$Y$162=$E196)*(Work_Codes!$N$173:$Y$173)*(T$74:T$74))</f>
        <v>0</v>
      </c>
    </row>
    <row r="197" spans="2:20" outlineLevel="2">
      <c r="E197" s="247" t="str">
        <f>GC!C51</f>
        <v>Capitalised Leases</v>
      </c>
      <c r="F197" s="247"/>
      <c r="G197" s="247"/>
      <c r="H197" s="247"/>
      <c r="I197" s="247"/>
      <c r="J197" s="81">
        <f ca="1">SUMPRODUCT((Work_Codes!$N$162:$Y$162=$E197)*(Work_Codes!$N$173:$Y$173)*(J$74:J$74))</f>
        <v>0</v>
      </c>
      <c r="K197" s="81">
        <f ca="1">SUMPRODUCT((Work_Codes!$N$162:$Y$162=$E197)*(Work_Codes!$N$173:$Y$173)*(K$74:K$74))</f>
        <v>0</v>
      </c>
      <c r="L197" s="81">
        <f ca="1">SUMPRODUCT((Work_Codes!$N$162:$Y$162=$E197)*(Work_Codes!$N$173:$Y$173)*(L$74:L$74))</f>
        <v>0</v>
      </c>
      <c r="M197" s="81">
        <f ca="1">SUMPRODUCT((Work_Codes!$N$162:$Y$162=$E197)*(Work_Codes!$N$173:$Y$173)*(M$74:M$74))</f>
        <v>0</v>
      </c>
      <c r="N197" s="81">
        <f ca="1">SUMPRODUCT((Work_Codes!$N$162:$Y$162=$E197)*(Work_Codes!$N$173:$Y$173)*(N$74:N$74))</f>
        <v>0</v>
      </c>
      <c r="O197" s="81">
        <f ca="1">SUMPRODUCT((Work_Codes!$N$162:$Y$162=$E197)*(Work_Codes!$N$173:$Y$173)*(O$74:O$74))</f>
        <v>0</v>
      </c>
      <c r="P197" s="81">
        <f ca="1">SUMPRODUCT((Work_Codes!$N$162:$Y$162=$E197)*(Work_Codes!$N$173:$Y$173)*(P$74:P$74))</f>
        <v>0</v>
      </c>
      <c r="Q197" s="81">
        <f ca="1">SUMPRODUCT((Work_Codes!$N$162:$Y$162=$E197)*(Work_Codes!$N$173:$Y$173)*(Q$74:Q$74))</f>
        <v>0</v>
      </c>
      <c r="R197" s="81">
        <f ca="1">SUMPRODUCT((Work_Codes!$N$162:$Y$162=$E197)*(Work_Codes!$N$173:$Y$173)*(R$74:R$74))</f>
        <v>0</v>
      </c>
      <c r="S197" s="81">
        <f ca="1">SUMPRODUCT((Work_Codes!$N$162:$Y$162=$E197)*(Work_Codes!$N$173:$Y$173)*(S$74:S$74))</f>
        <v>0</v>
      </c>
      <c r="T197" s="81">
        <f ca="1">SUMPRODUCT((Work_Codes!$N$162:$Y$162=$E197)*(Work_Codes!$N$173:$Y$173)*(T$74:T$74))</f>
        <v>0</v>
      </c>
    </row>
    <row r="198" spans="2:20" outlineLevel="2">
      <c r="E198" s="247" t="str">
        <f>GC!C52</f>
        <v>Transmission pipelines - post 1998</v>
      </c>
      <c r="F198" s="247"/>
      <c r="G198" s="247"/>
      <c r="H198" s="247"/>
      <c r="I198" s="247"/>
      <c r="J198" s="81">
        <f ca="1">SUMPRODUCT((Work_Codes!$N$162:$Y$162=$E198)*(Work_Codes!$N$173:$Y$173)*(J$74:J$74))</f>
        <v>0</v>
      </c>
      <c r="K198" s="81">
        <f ca="1">SUMPRODUCT((Work_Codes!$N$162:$Y$162=$E198)*(Work_Codes!$N$173:$Y$173)*(K$74:K$74))</f>
        <v>0</v>
      </c>
      <c r="L198" s="81">
        <f ca="1">SUMPRODUCT((Work_Codes!$N$162:$Y$162=$E198)*(Work_Codes!$N$173:$Y$173)*(L$74:L$74))</f>
        <v>0</v>
      </c>
      <c r="M198" s="81">
        <f ca="1">SUMPRODUCT((Work_Codes!$N$162:$Y$162=$E198)*(Work_Codes!$N$173:$Y$173)*(M$74:M$74))</f>
        <v>0</v>
      </c>
      <c r="N198" s="81">
        <f ca="1">SUMPRODUCT((Work_Codes!$N$162:$Y$162=$E198)*(Work_Codes!$N$173:$Y$173)*(N$74:N$74))</f>
        <v>0</v>
      </c>
      <c r="O198" s="81">
        <f ca="1">SUMPRODUCT((Work_Codes!$N$162:$Y$162=$E198)*(Work_Codes!$N$173:$Y$173)*(O$74:O$74))</f>
        <v>0</v>
      </c>
      <c r="P198" s="81">
        <f ca="1">SUMPRODUCT((Work_Codes!$N$162:$Y$162=$E198)*(Work_Codes!$N$173:$Y$173)*(P$74:P$74))</f>
        <v>0</v>
      </c>
      <c r="Q198" s="81">
        <f ca="1">SUMPRODUCT((Work_Codes!$N$162:$Y$162=$E198)*(Work_Codes!$N$173:$Y$173)*(Q$74:Q$74))</f>
        <v>0</v>
      </c>
      <c r="R198" s="81">
        <f ca="1">SUMPRODUCT((Work_Codes!$N$162:$Y$162=$E198)*(Work_Codes!$N$173:$Y$173)*(R$74:R$74))</f>
        <v>0</v>
      </c>
      <c r="S198" s="81">
        <f ca="1">SUMPRODUCT((Work_Codes!$N$162:$Y$162=$E198)*(Work_Codes!$N$173:$Y$173)*(S$74:S$74))</f>
        <v>0</v>
      </c>
      <c r="T198" s="81">
        <f ca="1">SUMPRODUCT((Work_Codes!$N$162:$Y$162=$E198)*(Work_Codes!$N$173:$Y$173)*(T$74:T$74))</f>
        <v>0</v>
      </c>
    </row>
    <row r="199" spans="2:20" outlineLevel="2">
      <c r="E199" s="247" t="str">
        <f>GC!C53</f>
        <v>Distribution pipelines - post 1998</v>
      </c>
      <c r="F199" s="247"/>
      <c r="G199" s="247"/>
      <c r="H199" s="247"/>
      <c r="I199" s="247"/>
      <c r="J199" s="81">
        <f ca="1">SUMPRODUCT((Work_Codes!$N$162:$Y$162=$E199)*(Work_Codes!$N$173:$Y$173)*(J$74:J$74))</f>
        <v>0</v>
      </c>
      <c r="K199" s="81">
        <f ca="1">SUMPRODUCT((Work_Codes!$N$162:$Y$162=$E199)*(Work_Codes!$N$173:$Y$173)*(K$74:K$74))</f>
        <v>0</v>
      </c>
      <c r="L199" s="81">
        <f ca="1">SUMPRODUCT((Work_Codes!$N$162:$Y$162=$E199)*(Work_Codes!$N$173:$Y$173)*(L$74:L$74))</f>
        <v>0</v>
      </c>
      <c r="M199" s="81">
        <f ca="1">SUMPRODUCT((Work_Codes!$N$162:$Y$162=$E199)*(Work_Codes!$N$173:$Y$173)*(M$74:M$74))</f>
        <v>0</v>
      </c>
      <c r="N199" s="81">
        <f ca="1">SUMPRODUCT((Work_Codes!$N$162:$Y$162=$E199)*(Work_Codes!$N$173:$Y$173)*(N$74:N$74))</f>
        <v>0</v>
      </c>
      <c r="O199" s="81">
        <f ca="1">SUMPRODUCT((Work_Codes!$N$162:$Y$162=$E199)*(Work_Codes!$N$173:$Y$173)*(O$74:O$74))</f>
        <v>0</v>
      </c>
      <c r="P199" s="81">
        <f ca="1">SUMPRODUCT((Work_Codes!$N$162:$Y$162=$E199)*(Work_Codes!$N$173:$Y$173)*(P$74:P$74))</f>
        <v>0</v>
      </c>
      <c r="Q199" s="81">
        <f ca="1">SUMPRODUCT((Work_Codes!$N$162:$Y$162=$E199)*(Work_Codes!$N$173:$Y$173)*(Q$74:Q$74))</f>
        <v>0</v>
      </c>
      <c r="R199" s="81">
        <f ca="1">SUMPRODUCT((Work_Codes!$N$162:$Y$162=$E199)*(Work_Codes!$N$173:$Y$173)*(R$74:R$74))</f>
        <v>0</v>
      </c>
      <c r="S199" s="81">
        <f ca="1">SUMPRODUCT((Work_Codes!$N$162:$Y$162=$E199)*(Work_Codes!$N$173:$Y$173)*(S$74:S$74))</f>
        <v>0</v>
      </c>
      <c r="T199" s="81">
        <f ca="1">SUMPRODUCT((Work_Codes!$N$162:$Y$162=$E199)*(Work_Codes!$N$173:$Y$173)*(T$74:T$74))</f>
        <v>0</v>
      </c>
    </row>
    <row r="200" spans="2:20" outlineLevel="2">
      <c r="E200" s="247" t="str">
        <f>GC!C54</f>
        <v>Service pipes - post 1998</v>
      </c>
      <c r="F200" s="247"/>
      <c r="G200" s="247"/>
      <c r="H200" s="247"/>
      <c r="I200" s="247"/>
      <c r="J200" s="81">
        <f ca="1">SUMPRODUCT((Work_Codes!$N$162:$Y$162=$E200)*(Work_Codes!$N$173:$Y$173)*(J$74:J$74))</f>
        <v>0</v>
      </c>
      <c r="K200" s="81">
        <f ca="1">SUMPRODUCT((Work_Codes!$N$162:$Y$162=$E200)*(Work_Codes!$N$173:$Y$173)*(K$74:K$74))</f>
        <v>0</v>
      </c>
      <c r="L200" s="81">
        <f ca="1">SUMPRODUCT((Work_Codes!$N$162:$Y$162=$E200)*(Work_Codes!$N$173:$Y$173)*(L$74:L$74))</f>
        <v>0</v>
      </c>
      <c r="M200" s="81">
        <f ca="1">SUMPRODUCT((Work_Codes!$N$162:$Y$162=$E200)*(Work_Codes!$N$173:$Y$173)*(M$74:M$74))</f>
        <v>0</v>
      </c>
      <c r="N200" s="81">
        <f ca="1">SUMPRODUCT((Work_Codes!$N$162:$Y$162=$E200)*(Work_Codes!$N$173:$Y$173)*(N$74:N$74))</f>
        <v>0</v>
      </c>
      <c r="O200" s="81">
        <f ca="1">SUMPRODUCT((Work_Codes!$N$162:$Y$162=$E200)*(Work_Codes!$N$173:$Y$173)*(O$74:O$74))</f>
        <v>0</v>
      </c>
      <c r="P200" s="81">
        <f ca="1">SUMPRODUCT((Work_Codes!$N$162:$Y$162=$E200)*(Work_Codes!$N$173:$Y$173)*(P$74:P$74))</f>
        <v>0</v>
      </c>
      <c r="Q200" s="81">
        <f ca="1">SUMPRODUCT((Work_Codes!$N$162:$Y$162=$E200)*(Work_Codes!$N$173:$Y$173)*(Q$74:Q$74))</f>
        <v>0</v>
      </c>
      <c r="R200" s="81">
        <f ca="1">SUMPRODUCT((Work_Codes!$N$162:$Y$162=$E200)*(Work_Codes!$N$173:$Y$173)*(R$74:R$74))</f>
        <v>0</v>
      </c>
      <c r="S200" s="81">
        <f ca="1">SUMPRODUCT((Work_Codes!$N$162:$Y$162=$E200)*(Work_Codes!$N$173:$Y$173)*(S$74:S$74))</f>
        <v>0</v>
      </c>
      <c r="T200" s="81">
        <f ca="1">SUMPRODUCT((Work_Codes!$N$162:$Y$162=$E200)*(Work_Codes!$N$173:$Y$173)*(T$74:T$74))</f>
        <v>0</v>
      </c>
    </row>
    <row r="201" spans="2:20" outlineLevel="2">
      <c r="E201" s="247" t="str">
        <f>GC!C55</f>
        <v>Cathodic protection - post 1998</v>
      </c>
      <c r="F201" s="247"/>
      <c r="G201" s="247"/>
      <c r="H201" s="247"/>
      <c r="I201" s="247"/>
      <c r="J201" s="81">
        <f ca="1">SUMPRODUCT((Work_Codes!$N$162:$Y$162=$E201)*(Work_Codes!$N$173:$Y$173)*(J$74:J$74))</f>
        <v>0</v>
      </c>
      <c r="K201" s="81">
        <f ca="1">SUMPRODUCT((Work_Codes!$N$162:$Y$162=$E201)*(Work_Codes!$N$173:$Y$173)*(K$74:K$74))</f>
        <v>0</v>
      </c>
      <c r="L201" s="81">
        <f ca="1">SUMPRODUCT((Work_Codes!$N$162:$Y$162=$E201)*(Work_Codes!$N$173:$Y$173)*(L$74:L$74))</f>
        <v>0</v>
      </c>
      <c r="M201" s="81">
        <f ca="1">SUMPRODUCT((Work_Codes!$N$162:$Y$162=$E201)*(Work_Codes!$N$173:$Y$173)*(M$74:M$74))</f>
        <v>0</v>
      </c>
      <c r="N201" s="81">
        <f ca="1">SUMPRODUCT((Work_Codes!$N$162:$Y$162=$E201)*(Work_Codes!$N$173:$Y$173)*(N$74:N$74))</f>
        <v>0</v>
      </c>
      <c r="O201" s="81">
        <f ca="1">SUMPRODUCT((Work_Codes!$N$162:$Y$162=$E201)*(Work_Codes!$N$173:$Y$173)*(O$74:O$74))</f>
        <v>0</v>
      </c>
      <c r="P201" s="81">
        <f ca="1">SUMPRODUCT((Work_Codes!$N$162:$Y$162=$E201)*(Work_Codes!$N$173:$Y$173)*(P$74:P$74))</f>
        <v>0</v>
      </c>
      <c r="Q201" s="81">
        <f ca="1">SUMPRODUCT((Work_Codes!$N$162:$Y$162=$E201)*(Work_Codes!$N$173:$Y$173)*(Q$74:Q$74))</f>
        <v>0</v>
      </c>
      <c r="R201" s="81">
        <f ca="1">SUMPRODUCT((Work_Codes!$N$162:$Y$162=$E201)*(Work_Codes!$N$173:$Y$173)*(R$74:R$74))</f>
        <v>0</v>
      </c>
      <c r="S201" s="81">
        <f ca="1">SUMPRODUCT((Work_Codes!$N$162:$Y$162=$E201)*(Work_Codes!$N$173:$Y$173)*(S$74:S$74))</f>
        <v>0</v>
      </c>
      <c r="T201" s="81">
        <f ca="1">SUMPRODUCT((Work_Codes!$N$162:$Y$162=$E201)*(Work_Codes!$N$173:$Y$173)*(T$74:T$74))</f>
        <v>0</v>
      </c>
    </row>
    <row r="202" spans="2:20" outlineLevel="2">
      <c r="E202" s="249" t="str">
        <f>"Total "&amp;D184</f>
        <v>Total Customer Contributions</v>
      </c>
      <c r="F202" s="249"/>
      <c r="G202" s="249"/>
      <c r="H202" s="249"/>
      <c r="I202" s="249"/>
      <c r="J202" s="82">
        <f t="shared" ref="J202:T202" ca="1" si="22">SUM(J186:J201)</f>
        <v>0</v>
      </c>
      <c r="K202" s="82">
        <f t="shared" ca="1" si="22"/>
        <v>0</v>
      </c>
      <c r="L202" s="82">
        <f t="shared" ca="1" si="22"/>
        <v>0</v>
      </c>
      <c r="M202" s="82">
        <f t="shared" ca="1" si="22"/>
        <v>0</v>
      </c>
      <c r="N202" s="82">
        <f t="shared" ca="1" si="22"/>
        <v>0</v>
      </c>
      <c r="O202" s="82">
        <f t="shared" ca="1" si="22"/>
        <v>0</v>
      </c>
      <c r="P202" s="82">
        <f t="shared" ca="1" si="22"/>
        <v>0</v>
      </c>
      <c r="Q202" s="82">
        <f t="shared" ca="1" si="22"/>
        <v>0</v>
      </c>
      <c r="R202" s="82">
        <f t="shared" ca="1" si="22"/>
        <v>0</v>
      </c>
      <c r="S202" s="82">
        <f t="shared" ca="1" si="22"/>
        <v>0</v>
      </c>
      <c r="T202" s="82">
        <f t="shared" ca="1" si="22"/>
        <v>0</v>
      </c>
    </row>
    <row r="203" spans="2:20" outlineLevel="1">
      <c r="B203" s="12"/>
      <c r="C203" s="12"/>
      <c r="D203" s="12"/>
      <c r="E203" s="12"/>
      <c r="F203" s="12"/>
      <c r="G203" s="12"/>
      <c r="H203" s="12"/>
      <c r="I203" s="12"/>
      <c r="J203" s="12"/>
      <c r="K203" s="12"/>
      <c r="L203" s="12"/>
      <c r="M203" s="12"/>
      <c r="N203" s="12"/>
      <c r="O203" s="12"/>
      <c r="P203" s="12"/>
      <c r="Q203" s="12"/>
      <c r="R203" s="12"/>
      <c r="S203" s="12"/>
      <c r="T203" s="12"/>
    </row>
    <row r="204" spans="2:20" outlineLevel="1"/>
    <row r="205" spans="2:20" outlineLevel="1">
      <c r="C205" s="37" t="s">
        <v>196</v>
      </c>
    </row>
    <row r="206" spans="2:20" ht="5.9" customHeight="1" outlineLevel="2"/>
    <row r="207" spans="2:20" outlineLevel="2">
      <c r="D207" s="37" t="s">
        <v>215</v>
      </c>
    </row>
    <row r="208" spans="2:20" ht="5.9" customHeight="1" outlineLevel="2"/>
    <row r="209" spans="5:20" ht="12" customHeight="1" outlineLevel="2">
      <c r="E209" s="247" t="str">
        <f>GC!C60</f>
        <v>Mains replacement</v>
      </c>
      <c r="F209" s="247"/>
      <c r="G209" s="247"/>
      <c r="H209" s="247"/>
      <c r="I209" s="247"/>
      <c r="J209" s="81">
        <f ca="1">SUMPRODUCT((Work_Codes!$AC$162:$AO$162=$E209)*(Work_Codes!$AC$165:$AO$169)*(J$113:J$117))</f>
        <v>0</v>
      </c>
      <c r="K209" s="81">
        <f ca="1">SUMPRODUCT((Work_Codes!$AC$162:$AO$162=$E209)*(Work_Codes!$AC$165:$AO$169)*(K$113:K$117))</f>
        <v>0</v>
      </c>
      <c r="L209" s="81">
        <f ca="1">SUMPRODUCT((Work_Codes!$AC$162:$AO$162=$E209)*(Work_Codes!$AC$165:$AO$169)*(L$113:L$117))</f>
        <v>0</v>
      </c>
      <c r="M209" s="81">
        <f ca="1">SUMPRODUCT((Work_Codes!$AC$162:$AO$162=$E209)*(Work_Codes!$AC$165:$AO$169)*(M$113:M$117))</f>
        <v>0</v>
      </c>
      <c r="N209" s="81">
        <f ca="1">SUMPRODUCT((Work_Codes!$AC$162:$AO$162=$E209)*(Work_Codes!$AC$165:$AO$169)*(N$113:N$117))</f>
        <v>0</v>
      </c>
      <c r="O209" s="81">
        <f ca="1">SUMPRODUCT((Work_Codes!$AC$162:$AO$162=$E209)*(Work_Codes!$AC$165:$AO$169)*(O$113:O$117))</f>
        <v>0</v>
      </c>
      <c r="P209" s="81">
        <f ca="1">SUMPRODUCT((Work_Codes!$AC$162:$AO$162=$E209)*(Work_Codes!$AC$165:$AO$169)*(P$113:P$117))</f>
        <v>0</v>
      </c>
      <c r="Q209" s="81">
        <f ca="1">SUMPRODUCT((Work_Codes!$AC$162:$AO$162=$E209)*(Work_Codes!$AC$165:$AO$169)*(Q$113:Q$117))</f>
        <v>0</v>
      </c>
      <c r="R209" s="81">
        <f ca="1">SUMPRODUCT((Work_Codes!$AC$162:$AO$162=$E209)*(Work_Codes!$AC$165:$AO$169)*(R$113:R$117))</f>
        <v>0</v>
      </c>
      <c r="S209" s="81">
        <f ca="1">SUMPRODUCT((Work_Codes!$AC$162:$AO$162=$E209)*(Work_Codes!$AC$165:$AO$169)*(S$113:S$117))</f>
        <v>0</v>
      </c>
      <c r="T209" s="81">
        <f ca="1">SUMPRODUCT((Work_Codes!$AC$162:$AO$162=$E209)*(Work_Codes!$AC$165:$AO$169)*(T$113:T$117))</f>
        <v>0</v>
      </c>
    </row>
    <row r="210" spans="5:20" ht="12" customHeight="1" outlineLevel="2">
      <c r="E210" s="247" t="str">
        <f>GC!C61</f>
        <v>Residential new customer connections</v>
      </c>
      <c r="F210" s="247"/>
      <c r="G210" s="247"/>
      <c r="H210" s="247"/>
      <c r="I210" s="247"/>
      <c r="J210" s="81">
        <f ca="1">SUMPRODUCT((Work_Codes!$AC$162:$AO$162=$E210)*(Work_Codes!$AC$165:$AO$169)*(J$113:J$117))</f>
        <v>0</v>
      </c>
      <c r="K210" s="81">
        <f ca="1">SUMPRODUCT((Work_Codes!$AC$162:$AO$162=$E210)*(Work_Codes!$AC$165:$AO$169)*(K$113:K$117))</f>
        <v>0</v>
      </c>
      <c r="L210" s="81">
        <f ca="1">SUMPRODUCT((Work_Codes!$AC$162:$AO$162=$E210)*(Work_Codes!$AC$165:$AO$169)*(L$113:L$117))</f>
        <v>0</v>
      </c>
      <c r="M210" s="81">
        <f ca="1">SUMPRODUCT((Work_Codes!$AC$162:$AO$162=$E210)*(Work_Codes!$AC$165:$AO$169)*(M$113:M$117))</f>
        <v>0</v>
      </c>
      <c r="N210" s="81">
        <f ca="1">SUMPRODUCT((Work_Codes!$AC$162:$AO$162=$E210)*(Work_Codes!$AC$165:$AO$169)*(N$113:N$117))</f>
        <v>0</v>
      </c>
      <c r="O210" s="81">
        <f ca="1">SUMPRODUCT((Work_Codes!$AC$162:$AO$162=$E210)*(Work_Codes!$AC$165:$AO$169)*(O$113:O$117))</f>
        <v>0</v>
      </c>
      <c r="P210" s="81">
        <f ca="1">SUMPRODUCT((Work_Codes!$AC$162:$AO$162=$E210)*(Work_Codes!$AC$165:$AO$169)*(P$113:P$117))</f>
        <v>0</v>
      </c>
      <c r="Q210" s="81">
        <f ca="1">SUMPRODUCT((Work_Codes!$AC$162:$AO$162=$E210)*(Work_Codes!$AC$165:$AO$169)*(Q$113:Q$117))</f>
        <v>0</v>
      </c>
      <c r="R210" s="81">
        <f ca="1">SUMPRODUCT((Work_Codes!$AC$162:$AO$162=$E210)*(Work_Codes!$AC$165:$AO$169)*(R$113:R$117))</f>
        <v>0</v>
      </c>
      <c r="S210" s="81">
        <f ca="1">SUMPRODUCT((Work_Codes!$AC$162:$AO$162=$E210)*(Work_Codes!$AC$165:$AO$169)*(S$113:S$117))</f>
        <v>0</v>
      </c>
      <c r="T210" s="81">
        <f ca="1">SUMPRODUCT((Work_Codes!$AC$162:$AO$162=$E210)*(Work_Codes!$AC$165:$AO$169)*(T$113:T$117))</f>
        <v>0</v>
      </c>
    </row>
    <row r="211" spans="5:20" ht="12" customHeight="1" outlineLevel="2">
      <c r="E211" s="247" t="str">
        <f>GC!C62</f>
        <v>Commercial and industrial new customer connections</v>
      </c>
      <c r="F211" s="247"/>
      <c r="G211" s="247"/>
      <c r="H211" s="247"/>
      <c r="I211" s="247"/>
      <c r="J211" s="81">
        <f ca="1">SUMPRODUCT((Work_Codes!$AC$162:$AO$162=$E211)*(Work_Codes!$AC$165:$AO$169)*(J$113:J$117))</f>
        <v>0</v>
      </c>
      <c r="K211" s="81">
        <f ca="1">SUMPRODUCT((Work_Codes!$AC$162:$AO$162=$E211)*(Work_Codes!$AC$165:$AO$169)*(K$113:K$117))</f>
        <v>0</v>
      </c>
      <c r="L211" s="81">
        <f ca="1">SUMPRODUCT((Work_Codes!$AC$162:$AO$162=$E211)*(Work_Codes!$AC$165:$AO$169)*(L$113:L$117))</f>
        <v>0</v>
      </c>
      <c r="M211" s="81">
        <f ca="1">SUMPRODUCT((Work_Codes!$AC$162:$AO$162=$E211)*(Work_Codes!$AC$165:$AO$169)*(M$113:M$117))</f>
        <v>0</v>
      </c>
      <c r="N211" s="81">
        <f ca="1">SUMPRODUCT((Work_Codes!$AC$162:$AO$162=$E211)*(Work_Codes!$AC$165:$AO$169)*(N$113:N$117))</f>
        <v>0</v>
      </c>
      <c r="O211" s="81">
        <f ca="1">SUMPRODUCT((Work_Codes!$AC$162:$AO$162=$E211)*(Work_Codes!$AC$165:$AO$169)*(O$113:O$117))</f>
        <v>0</v>
      </c>
      <c r="P211" s="81">
        <f ca="1">SUMPRODUCT((Work_Codes!$AC$162:$AO$162=$E211)*(Work_Codes!$AC$165:$AO$169)*(P$113:P$117))</f>
        <v>0</v>
      </c>
      <c r="Q211" s="81">
        <f ca="1">SUMPRODUCT((Work_Codes!$AC$162:$AO$162=$E211)*(Work_Codes!$AC$165:$AO$169)*(Q$113:Q$117))</f>
        <v>0</v>
      </c>
      <c r="R211" s="81">
        <f ca="1">SUMPRODUCT((Work_Codes!$AC$162:$AO$162=$E211)*(Work_Codes!$AC$165:$AO$169)*(R$113:R$117))</f>
        <v>0</v>
      </c>
      <c r="S211" s="81">
        <f ca="1">SUMPRODUCT((Work_Codes!$AC$162:$AO$162=$E211)*(Work_Codes!$AC$165:$AO$169)*(S$113:S$117))</f>
        <v>0</v>
      </c>
      <c r="T211" s="81">
        <f ca="1">SUMPRODUCT((Work_Codes!$AC$162:$AO$162=$E211)*(Work_Codes!$AC$165:$AO$169)*(T$113:T$117))</f>
        <v>0</v>
      </c>
    </row>
    <row r="212" spans="5:20" ht="12" customHeight="1" outlineLevel="2">
      <c r="E212" s="247" t="str">
        <f>GC!C63</f>
        <v>Residential meter replacement</v>
      </c>
      <c r="F212" s="247"/>
      <c r="G212" s="247"/>
      <c r="H212" s="247"/>
      <c r="I212" s="247"/>
      <c r="J212" s="81">
        <f ca="1">SUMPRODUCT((Work_Codes!$AC$162:$AO$162=$E212)*(Work_Codes!$AC$165:$AO$169)*(J$113:J$117))</f>
        <v>0</v>
      </c>
      <c r="K212" s="81">
        <f ca="1">SUMPRODUCT((Work_Codes!$AC$162:$AO$162=$E212)*(Work_Codes!$AC$165:$AO$169)*(K$113:K$117))</f>
        <v>0</v>
      </c>
      <c r="L212" s="81">
        <f ca="1">SUMPRODUCT((Work_Codes!$AC$162:$AO$162=$E212)*(Work_Codes!$AC$165:$AO$169)*(L$113:L$117))</f>
        <v>0</v>
      </c>
      <c r="M212" s="81">
        <f ca="1">SUMPRODUCT((Work_Codes!$AC$162:$AO$162=$E212)*(Work_Codes!$AC$165:$AO$169)*(M$113:M$117))</f>
        <v>0</v>
      </c>
      <c r="N212" s="81">
        <f ca="1">SUMPRODUCT((Work_Codes!$AC$162:$AO$162=$E212)*(Work_Codes!$AC$165:$AO$169)*(N$113:N$117))</f>
        <v>0</v>
      </c>
      <c r="O212" s="81">
        <f ca="1">SUMPRODUCT((Work_Codes!$AC$162:$AO$162=$E212)*(Work_Codes!$AC$165:$AO$169)*(O$113:O$117))</f>
        <v>0</v>
      </c>
      <c r="P212" s="81">
        <f ca="1">SUMPRODUCT((Work_Codes!$AC$162:$AO$162=$E212)*(Work_Codes!$AC$165:$AO$169)*(P$113:P$117))</f>
        <v>0</v>
      </c>
      <c r="Q212" s="81">
        <f ca="1">SUMPRODUCT((Work_Codes!$AC$162:$AO$162=$E212)*(Work_Codes!$AC$165:$AO$169)*(Q$113:Q$117))</f>
        <v>0</v>
      </c>
      <c r="R212" s="81">
        <f ca="1">SUMPRODUCT((Work_Codes!$AC$162:$AO$162=$E212)*(Work_Codes!$AC$165:$AO$169)*(R$113:R$117))</f>
        <v>0</v>
      </c>
      <c r="S212" s="81">
        <f ca="1">SUMPRODUCT((Work_Codes!$AC$162:$AO$162=$E212)*(Work_Codes!$AC$165:$AO$169)*(S$113:S$117))</f>
        <v>0</v>
      </c>
      <c r="T212" s="81">
        <f ca="1">SUMPRODUCT((Work_Codes!$AC$162:$AO$162=$E212)*(Work_Codes!$AC$165:$AO$169)*(T$113:T$117))</f>
        <v>0</v>
      </c>
    </row>
    <row r="213" spans="5:20" ht="12" customHeight="1" outlineLevel="2">
      <c r="E213" s="247" t="str">
        <f>GC!C64</f>
        <v>Commercial and industrial meter replacement</v>
      </c>
      <c r="F213" s="247"/>
      <c r="G213" s="247"/>
      <c r="H213" s="247"/>
      <c r="I213" s="247"/>
      <c r="J213" s="81">
        <f ca="1">SUMPRODUCT((Work_Codes!$AC$162:$AO$162=$E213)*(Work_Codes!$AC$165:$AO$169)*(J$113:J$117))</f>
        <v>0</v>
      </c>
      <c r="K213" s="81">
        <f ca="1">SUMPRODUCT((Work_Codes!$AC$162:$AO$162=$E213)*(Work_Codes!$AC$165:$AO$169)*(K$113:K$117))</f>
        <v>0</v>
      </c>
      <c r="L213" s="81">
        <f ca="1">SUMPRODUCT((Work_Codes!$AC$162:$AO$162=$E213)*(Work_Codes!$AC$165:$AO$169)*(L$113:L$117))</f>
        <v>0</v>
      </c>
      <c r="M213" s="81">
        <f ca="1">SUMPRODUCT((Work_Codes!$AC$162:$AO$162=$E213)*(Work_Codes!$AC$165:$AO$169)*(M$113:M$117))</f>
        <v>0</v>
      </c>
      <c r="N213" s="81">
        <f ca="1">SUMPRODUCT((Work_Codes!$AC$162:$AO$162=$E213)*(Work_Codes!$AC$165:$AO$169)*(N$113:N$117))</f>
        <v>843199.11110906955</v>
      </c>
      <c r="O213" s="81">
        <f ca="1">SUMPRODUCT((Work_Codes!$AC$162:$AO$162=$E213)*(Work_Codes!$AC$165:$AO$169)*(O$113:O$117))</f>
        <v>472422.54543903633</v>
      </c>
      <c r="P213" s="81">
        <f ca="1">SUMPRODUCT((Work_Codes!$AC$162:$AO$162=$E213)*(Work_Codes!$AC$165:$AO$169)*(P$113:P$117))</f>
        <v>1049190.323017779</v>
      </c>
      <c r="Q213" s="81">
        <f ca="1">SUMPRODUCT((Work_Codes!$AC$162:$AO$162=$E213)*(Work_Codes!$AC$165:$AO$169)*(Q$113:Q$117))</f>
        <v>1226755.0918546824</v>
      </c>
      <c r="R213" s="81">
        <f ca="1">SUMPRODUCT((Work_Codes!$AC$162:$AO$162=$E213)*(Work_Codes!$AC$165:$AO$169)*(R$113:R$117))</f>
        <v>1211108.933366352</v>
      </c>
      <c r="S213" s="81">
        <f ca="1">SUMPRODUCT((Work_Codes!$AC$162:$AO$162=$E213)*(Work_Codes!$AC$165:$AO$169)*(S$113:S$117))</f>
        <v>1400483.0122676992</v>
      </c>
      <c r="T213" s="81">
        <f ca="1">SUMPRODUCT((Work_Codes!$AC$162:$AO$162=$E213)*(Work_Codes!$AC$165:$AO$169)*(T$113:T$117))</f>
        <v>1002338.9679991415</v>
      </c>
    </row>
    <row r="214" spans="5:20" ht="12" customHeight="1" outlineLevel="2">
      <c r="E214" s="247" t="str">
        <f>GC!C65</f>
        <v>Augmentation</v>
      </c>
      <c r="F214" s="247"/>
      <c r="G214" s="247"/>
      <c r="H214" s="247"/>
      <c r="I214" s="247"/>
      <c r="J214" s="81">
        <f ca="1">SUMPRODUCT((Work_Codes!$AC$162:$AO$162=$E214)*(Work_Codes!$AC$165:$AO$169)*(J$113:J$117))</f>
        <v>0</v>
      </c>
      <c r="K214" s="81">
        <f ca="1">SUMPRODUCT((Work_Codes!$AC$162:$AO$162=$E214)*(Work_Codes!$AC$165:$AO$169)*(K$113:K$117))</f>
        <v>0</v>
      </c>
      <c r="L214" s="81">
        <f ca="1">SUMPRODUCT((Work_Codes!$AC$162:$AO$162=$E214)*(Work_Codes!$AC$165:$AO$169)*(L$113:L$117))</f>
        <v>0</v>
      </c>
      <c r="M214" s="81">
        <f ca="1">SUMPRODUCT((Work_Codes!$AC$162:$AO$162=$E214)*(Work_Codes!$AC$165:$AO$169)*(M$113:M$117))</f>
        <v>0</v>
      </c>
      <c r="N214" s="81">
        <f ca="1">SUMPRODUCT((Work_Codes!$AC$162:$AO$162=$E214)*(Work_Codes!$AC$165:$AO$169)*(N$113:N$117))</f>
        <v>0</v>
      </c>
      <c r="O214" s="81">
        <f ca="1">SUMPRODUCT((Work_Codes!$AC$162:$AO$162=$E214)*(Work_Codes!$AC$165:$AO$169)*(O$113:O$117))</f>
        <v>0</v>
      </c>
      <c r="P214" s="81">
        <f ca="1">SUMPRODUCT((Work_Codes!$AC$162:$AO$162=$E214)*(Work_Codes!$AC$165:$AO$169)*(P$113:P$117))</f>
        <v>0</v>
      </c>
      <c r="Q214" s="81">
        <f ca="1">SUMPRODUCT((Work_Codes!$AC$162:$AO$162=$E214)*(Work_Codes!$AC$165:$AO$169)*(Q$113:Q$117))</f>
        <v>0</v>
      </c>
      <c r="R214" s="81">
        <f ca="1">SUMPRODUCT((Work_Codes!$AC$162:$AO$162=$E214)*(Work_Codes!$AC$165:$AO$169)*(R$113:R$117))</f>
        <v>0</v>
      </c>
      <c r="S214" s="81">
        <f ca="1">SUMPRODUCT((Work_Codes!$AC$162:$AO$162=$E214)*(Work_Codes!$AC$165:$AO$169)*(S$113:S$117))</f>
        <v>0</v>
      </c>
      <c r="T214" s="81">
        <f ca="1">SUMPRODUCT((Work_Codes!$AC$162:$AO$162=$E214)*(Work_Codes!$AC$165:$AO$169)*(T$113:T$117))</f>
        <v>0</v>
      </c>
    </row>
    <row r="215" spans="5:20" ht="12" customHeight="1" outlineLevel="2">
      <c r="E215" s="247" t="str">
        <f>GC!C66</f>
        <v>IT capex</v>
      </c>
      <c r="F215" s="247"/>
      <c r="G215" s="247"/>
      <c r="H215" s="247"/>
      <c r="I215" s="247"/>
      <c r="J215" s="81">
        <f ca="1">SUMPRODUCT((Work_Codes!$AC$162:$AO$162=$E215)*(Work_Codes!$AC$165:$AO$169)*(J$113:J$117))</f>
        <v>0</v>
      </c>
      <c r="K215" s="81">
        <f ca="1">SUMPRODUCT((Work_Codes!$AC$162:$AO$162=$E215)*(Work_Codes!$AC$165:$AO$169)*(K$113:K$117))</f>
        <v>0</v>
      </c>
      <c r="L215" s="81">
        <f ca="1">SUMPRODUCT((Work_Codes!$AC$162:$AO$162=$E215)*(Work_Codes!$AC$165:$AO$169)*(L$113:L$117))</f>
        <v>0</v>
      </c>
      <c r="M215" s="81">
        <f ca="1">SUMPRODUCT((Work_Codes!$AC$162:$AO$162=$E215)*(Work_Codes!$AC$165:$AO$169)*(M$113:M$117))</f>
        <v>0</v>
      </c>
      <c r="N215" s="81">
        <f ca="1">SUMPRODUCT((Work_Codes!$AC$162:$AO$162=$E215)*(Work_Codes!$AC$165:$AO$169)*(N$113:N$117))</f>
        <v>0</v>
      </c>
      <c r="O215" s="81">
        <f ca="1">SUMPRODUCT((Work_Codes!$AC$162:$AO$162=$E215)*(Work_Codes!$AC$165:$AO$169)*(O$113:O$117))</f>
        <v>0</v>
      </c>
      <c r="P215" s="81">
        <f ca="1">SUMPRODUCT((Work_Codes!$AC$162:$AO$162=$E215)*(Work_Codes!$AC$165:$AO$169)*(P$113:P$117))</f>
        <v>0</v>
      </c>
      <c r="Q215" s="81">
        <f ca="1">SUMPRODUCT((Work_Codes!$AC$162:$AO$162=$E215)*(Work_Codes!$AC$165:$AO$169)*(Q$113:Q$117))</f>
        <v>0</v>
      </c>
      <c r="R215" s="81">
        <f ca="1">SUMPRODUCT((Work_Codes!$AC$162:$AO$162=$E215)*(Work_Codes!$AC$165:$AO$169)*(R$113:R$117))</f>
        <v>0</v>
      </c>
      <c r="S215" s="81">
        <f ca="1">SUMPRODUCT((Work_Codes!$AC$162:$AO$162=$E215)*(Work_Codes!$AC$165:$AO$169)*(S$113:S$117))</f>
        <v>0</v>
      </c>
      <c r="T215" s="81">
        <f ca="1">SUMPRODUCT((Work_Codes!$AC$162:$AO$162=$E215)*(Work_Codes!$AC$165:$AO$169)*(T$113:T$117))</f>
        <v>0</v>
      </c>
    </row>
    <row r="216" spans="5:20" ht="12" customHeight="1" outlineLevel="2">
      <c r="E216" s="247" t="str">
        <f>GC!C67</f>
        <v>SCADA</v>
      </c>
      <c r="F216" s="247"/>
      <c r="G216" s="247"/>
      <c r="H216" s="247"/>
      <c r="I216" s="247"/>
      <c r="J216" s="81">
        <f ca="1">SUMPRODUCT((Work_Codes!$AC$162:$AO$162=$E216)*(Work_Codes!$AC$165:$AO$169)*(J$113:J$117))</f>
        <v>0</v>
      </c>
      <c r="K216" s="81">
        <f ca="1">SUMPRODUCT((Work_Codes!$AC$162:$AO$162=$E216)*(Work_Codes!$AC$165:$AO$169)*(K$113:K$117))</f>
        <v>0</v>
      </c>
      <c r="L216" s="81">
        <f ca="1">SUMPRODUCT((Work_Codes!$AC$162:$AO$162=$E216)*(Work_Codes!$AC$165:$AO$169)*(L$113:L$117))</f>
        <v>0</v>
      </c>
      <c r="M216" s="81">
        <f ca="1">SUMPRODUCT((Work_Codes!$AC$162:$AO$162=$E216)*(Work_Codes!$AC$165:$AO$169)*(M$113:M$117))</f>
        <v>0</v>
      </c>
      <c r="N216" s="81">
        <f ca="1">SUMPRODUCT((Work_Codes!$AC$162:$AO$162=$E216)*(Work_Codes!$AC$165:$AO$169)*(N$113:N$117))</f>
        <v>0</v>
      </c>
      <c r="O216" s="81">
        <f ca="1">SUMPRODUCT((Work_Codes!$AC$162:$AO$162=$E216)*(Work_Codes!$AC$165:$AO$169)*(O$113:O$117))</f>
        <v>0</v>
      </c>
      <c r="P216" s="81">
        <f ca="1">SUMPRODUCT((Work_Codes!$AC$162:$AO$162=$E216)*(Work_Codes!$AC$165:$AO$169)*(P$113:P$117))</f>
        <v>0</v>
      </c>
      <c r="Q216" s="81">
        <f ca="1">SUMPRODUCT((Work_Codes!$AC$162:$AO$162=$E216)*(Work_Codes!$AC$165:$AO$169)*(Q$113:Q$117))</f>
        <v>0</v>
      </c>
      <c r="R216" s="81">
        <f ca="1">SUMPRODUCT((Work_Codes!$AC$162:$AO$162=$E216)*(Work_Codes!$AC$165:$AO$169)*(R$113:R$117))</f>
        <v>0</v>
      </c>
      <c r="S216" s="81">
        <f ca="1">SUMPRODUCT((Work_Codes!$AC$162:$AO$162=$E216)*(Work_Codes!$AC$165:$AO$169)*(S$113:S$117))</f>
        <v>0</v>
      </c>
      <c r="T216" s="81">
        <f ca="1">SUMPRODUCT((Work_Codes!$AC$162:$AO$162=$E216)*(Work_Codes!$AC$165:$AO$169)*(T$113:T$117))</f>
        <v>0</v>
      </c>
    </row>
    <row r="217" spans="5:20" ht="12" customHeight="1" outlineLevel="2">
      <c r="E217" s="247" t="str">
        <f>GC!C68</f>
        <v>Other</v>
      </c>
      <c r="F217" s="247"/>
      <c r="G217" s="247"/>
      <c r="H217" s="247"/>
      <c r="I217" s="247"/>
      <c r="J217" s="81">
        <f ca="1">SUMPRODUCT((Work_Codes!$AC$162:$AO$162=$E217)*(Work_Codes!$AC$165:$AO$169)*(J$113:J$117))</f>
        <v>0</v>
      </c>
      <c r="K217" s="81">
        <f ca="1">SUMPRODUCT((Work_Codes!$AC$162:$AO$162=$E217)*(Work_Codes!$AC$165:$AO$169)*(K$113:K$117))</f>
        <v>0</v>
      </c>
      <c r="L217" s="81">
        <f ca="1">SUMPRODUCT((Work_Codes!$AC$162:$AO$162=$E217)*(Work_Codes!$AC$165:$AO$169)*(L$113:L$117))</f>
        <v>0</v>
      </c>
      <c r="M217" s="81">
        <f ca="1">SUMPRODUCT((Work_Codes!$AC$162:$AO$162=$E217)*(Work_Codes!$AC$165:$AO$169)*(M$113:M$117))</f>
        <v>0</v>
      </c>
      <c r="N217" s="81">
        <f ca="1">SUMPRODUCT((Work_Codes!$AC$162:$AO$162=$E217)*(Work_Codes!$AC$165:$AO$169)*(N$113:N$117))</f>
        <v>0</v>
      </c>
      <c r="O217" s="81">
        <f ca="1">SUMPRODUCT((Work_Codes!$AC$162:$AO$162=$E217)*(Work_Codes!$AC$165:$AO$169)*(O$113:O$117))</f>
        <v>0</v>
      </c>
      <c r="P217" s="81">
        <f ca="1">SUMPRODUCT((Work_Codes!$AC$162:$AO$162=$E217)*(Work_Codes!$AC$165:$AO$169)*(P$113:P$117))</f>
        <v>0</v>
      </c>
      <c r="Q217" s="81">
        <f ca="1">SUMPRODUCT((Work_Codes!$AC$162:$AO$162=$E217)*(Work_Codes!$AC$165:$AO$169)*(Q$113:Q$117))</f>
        <v>0</v>
      </c>
      <c r="R217" s="81">
        <f ca="1">SUMPRODUCT((Work_Codes!$AC$162:$AO$162=$E217)*(Work_Codes!$AC$165:$AO$169)*(R$113:R$117))</f>
        <v>0</v>
      </c>
      <c r="S217" s="81">
        <f ca="1">SUMPRODUCT((Work_Codes!$AC$162:$AO$162=$E217)*(Work_Codes!$AC$165:$AO$169)*(S$113:S$117))</f>
        <v>0</v>
      </c>
      <c r="T217" s="81">
        <f ca="1">SUMPRODUCT((Work_Codes!$AC$162:$AO$162=$E217)*(Work_Codes!$AC$165:$AO$169)*(T$113:T$117))</f>
        <v>0</v>
      </c>
    </row>
    <row r="218" spans="5:20" outlineLevel="2">
      <c r="E218" s="247" t="str">
        <f>GC!C69</f>
        <v>Capitalised Leases</v>
      </c>
      <c r="F218" s="247"/>
      <c r="G218" s="247"/>
      <c r="H218" s="247"/>
      <c r="I218" s="247"/>
      <c r="J218" s="81">
        <f ca="1">SUMPRODUCT((Work_Codes!$AC$162:$AO$162=$E218)*(Work_Codes!$AC$165:$AO$169)*(J$113:J$117))</f>
        <v>0</v>
      </c>
      <c r="K218" s="81">
        <f ca="1">SUMPRODUCT((Work_Codes!$AC$162:$AO$162=$E218)*(Work_Codes!$AC$165:$AO$169)*(K$113:K$117))</f>
        <v>0</v>
      </c>
      <c r="L218" s="81">
        <f ca="1">SUMPRODUCT((Work_Codes!$AC$162:$AO$162=$E218)*(Work_Codes!$AC$165:$AO$169)*(L$113:L$117))</f>
        <v>0</v>
      </c>
      <c r="M218" s="81">
        <f ca="1">SUMPRODUCT((Work_Codes!$AC$162:$AO$162=$E218)*(Work_Codes!$AC$165:$AO$169)*(M$113:M$117))</f>
        <v>0</v>
      </c>
      <c r="N218" s="81">
        <f ca="1">SUMPRODUCT((Work_Codes!$AC$162:$AO$162=$E218)*(Work_Codes!$AC$165:$AO$169)*(N$113:N$117))</f>
        <v>0</v>
      </c>
      <c r="O218" s="81">
        <f ca="1">SUMPRODUCT((Work_Codes!$AC$162:$AO$162=$E218)*(Work_Codes!$AC$165:$AO$169)*(O$113:O$117))</f>
        <v>0</v>
      </c>
      <c r="P218" s="81">
        <f ca="1">SUMPRODUCT((Work_Codes!$AC$162:$AO$162=$E218)*(Work_Codes!$AC$165:$AO$169)*(P$113:P$117))</f>
        <v>0</v>
      </c>
      <c r="Q218" s="81">
        <f ca="1">SUMPRODUCT((Work_Codes!$AC$162:$AO$162=$E218)*(Work_Codes!$AC$165:$AO$169)*(Q$113:Q$117))</f>
        <v>0</v>
      </c>
      <c r="R218" s="81">
        <f ca="1">SUMPRODUCT((Work_Codes!$AC$162:$AO$162=$E218)*(Work_Codes!$AC$165:$AO$169)*(R$113:R$117))</f>
        <v>0</v>
      </c>
      <c r="S218" s="81">
        <f ca="1">SUMPRODUCT((Work_Codes!$AC$162:$AO$162=$E218)*(Work_Codes!$AC$165:$AO$169)*(S$113:S$117))</f>
        <v>0</v>
      </c>
      <c r="T218" s="81">
        <f ca="1">SUMPRODUCT((Work_Codes!$AC$162:$AO$162=$E218)*(Work_Codes!$AC$165:$AO$169)*(T$113:T$117))</f>
        <v>0</v>
      </c>
    </row>
    <row r="219" spans="5:20" ht="12" customHeight="1" outlineLevel="2">
      <c r="E219" s="247" t="str">
        <f>GC!C70</f>
        <v>Gas Extensions - Energy for the Regions</v>
      </c>
      <c r="F219" s="247"/>
      <c r="G219" s="247"/>
      <c r="H219" s="247"/>
      <c r="I219" s="247"/>
      <c r="J219" s="81">
        <f ca="1">SUMPRODUCT((Work_Codes!$AC$162:$AO$162=$E219)*(Work_Codes!$AC$165:$AO$169)*(J$113:J$117))</f>
        <v>0</v>
      </c>
      <c r="K219" s="81">
        <f ca="1">SUMPRODUCT((Work_Codes!$AC$162:$AO$162=$E219)*(Work_Codes!$AC$165:$AO$169)*(K$113:K$117))</f>
        <v>0</v>
      </c>
      <c r="L219" s="81">
        <f ca="1">SUMPRODUCT((Work_Codes!$AC$162:$AO$162=$E219)*(Work_Codes!$AC$165:$AO$169)*(L$113:L$117))</f>
        <v>0</v>
      </c>
      <c r="M219" s="81">
        <f ca="1">SUMPRODUCT((Work_Codes!$AC$162:$AO$162=$E219)*(Work_Codes!$AC$165:$AO$169)*(M$113:M$117))</f>
        <v>0</v>
      </c>
      <c r="N219" s="81">
        <f ca="1">SUMPRODUCT((Work_Codes!$AC$162:$AO$162=$E219)*(Work_Codes!$AC$165:$AO$169)*(N$113:N$117))</f>
        <v>0</v>
      </c>
      <c r="O219" s="81">
        <f ca="1">SUMPRODUCT((Work_Codes!$AC$162:$AO$162=$E219)*(Work_Codes!$AC$165:$AO$169)*(O$113:O$117))</f>
        <v>0</v>
      </c>
      <c r="P219" s="81">
        <f ca="1">SUMPRODUCT((Work_Codes!$AC$162:$AO$162=$E219)*(Work_Codes!$AC$165:$AO$169)*(P$113:P$117))</f>
        <v>0</v>
      </c>
      <c r="Q219" s="81">
        <f ca="1">SUMPRODUCT((Work_Codes!$AC$162:$AO$162=$E219)*(Work_Codes!$AC$165:$AO$169)*(Q$113:Q$117))</f>
        <v>0</v>
      </c>
      <c r="R219" s="81">
        <f ca="1">SUMPRODUCT((Work_Codes!$AC$162:$AO$162=$E219)*(Work_Codes!$AC$165:$AO$169)*(R$113:R$117))</f>
        <v>0</v>
      </c>
      <c r="S219" s="81">
        <f ca="1">SUMPRODUCT((Work_Codes!$AC$162:$AO$162=$E219)*(Work_Codes!$AC$165:$AO$169)*(S$113:S$117))</f>
        <v>0</v>
      </c>
      <c r="T219" s="81">
        <f ca="1">SUMPRODUCT((Work_Codes!$AC$162:$AO$162=$E219)*(Work_Codes!$AC$165:$AO$169)*(T$113:T$117))</f>
        <v>0</v>
      </c>
    </row>
    <row r="220" spans="5:20" ht="12" customHeight="1" outlineLevel="2">
      <c r="E220" s="247" t="str">
        <f>GC!C71</f>
        <v>Gas Extensions - Other</v>
      </c>
      <c r="F220" s="247"/>
      <c r="G220" s="247"/>
      <c r="H220" s="247"/>
      <c r="I220" s="247"/>
      <c r="J220" s="81">
        <f ca="1">SUMPRODUCT((Work_Codes!$AC$162:$AO$162=$E220)*(Work_Codes!$AC$165:$AO$169)*(J$113:J$117))</f>
        <v>0</v>
      </c>
      <c r="K220" s="81">
        <f ca="1">SUMPRODUCT((Work_Codes!$AC$162:$AO$162=$E220)*(Work_Codes!$AC$165:$AO$169)*(K$113:K$117))</f>
        <v>0</v>
      </c>
      <c r="L220" s="81">
        <f ca="1">SUMPRODUCT((Work_Codes!$AC$162:$AO$162=$E220)*(Work_Codes!$AC$165:$AO$169)*(L$113:L$117))</f>
        <v>0</v>
      </c>
      <c r="M220" s="81">
        <f ca="1">SUMPRODUCT((Work_Codes!$AC$162:$AO$162=$E220)*(Work_Codes!$AC$165:$AO$169)*(M$113:M$117))</f>
        <v>0</v>
      </c>
      <c r="N220" s="81">
        <f ca="1">SUMPRODUCT((Work_Codes!$AC$162:$AO$162=$E220)*(Work_Codes!$AC$165:$AO$169)*(N$113:N$117))</f>
        <v>0</v>
      </c>
      <c r="O220" s="81">
        <f ca="1">SUMPRODUCT((Work_Codes!$AC$162:$AO$162=$E220)*(Work_Codes!$AC$165:$AO$169)*(O$113:O$117))</f>
        <v>0</v>
      </c>
      <c r="P220" s="81">
        <f ca="1">SUMPRODUCT((Work_Codes!$AC$162:$AO$162=$E220)*(Work_Codes!$AC$165:$AO$169)*(P$113:P$117))</f>
        <v>0</v>
      </c>
      <c r="Q220" s="81">
        <f ca="1">SUMPRODUCT((Work_Codes!$AC$162:$AO$162=$E220)*(Work_Codes!$AC$165:$AO$169)*(Q$113:Q$117))</f>
        <v>0</v>
      </c>
      <c r="R220" s="81">
        <f ca="1">SUMPRODUCT((Work_Codes!$AC$162:$AO$162=$E220)*(Work_Codes!$AC$165:$AO$169)*(R$113:R$117))</f>
        <v>0</v>
      </c>
      <c r="S220" s="81">
        <f ca="1">SUMPRODUCT((Work_Codes!$AC$162:$AO$162=$E220)*(Work_Codes!$AC$165:$AO$169)*(S$113:S$117))</f>
        <v>0</v>
      </c>
      <c r="T220" s="81">
        <f ca="1">SUMPRODUCT((Work_Codes!$AC$162:$AO$162=$E220)*(Work_Codes!$AC$165:$AO$169)*(T$113:T$117))</f>
        <v>0</v>
      </c>
    </row>
    <row r="221" spans="5:20" ht="12" customHeight="1" outlineLevel="2">
      <c r="E221" s="247" t="str">
        <f>GC!C72</f>
        <v>Customer contributions</v>
      </c>
      <c r="F221" s="247"/>
      <c r="G221" s="247"/>
      <c r="H221" s="247"/>
      <c r="I221" s="247"/>
      <c r="J221" s="81">
        <f ca="1">SUMPRODUCT((Work_Codes!$AC$162:$AO$162=$E221)*(Work_Codes!$AC$165:$AO$169)*(J$113:J$117))</f>
        <v>0</v>
      </c>
      <c r="K221" s="81">
        <f ca="1">SUMPRODUCT((Work_Codes!$AC$162:$AO$162=$E221)*(Work_Codes!$AC$165:$AO$169)*(K$113:K$117))</f>
        <v>0</v>
      </c>
      <c r="L221" s="81">
        <f ca="1">SUMPRODUCT((Work_Codes!$AC$162:$AO$162=$E221)*(Work_Codes!$AC$165:$AO$169)*(L$113:L$117))</f>
        <v>0</v>
      </c>
      <c r="M221" s="81">
        <f ca="1">SUMPRODUCT((Work_Codes!$AC$162:$AO$162=$E221)*(Work_Codes!$AC$165:$AO$169)*(M$113:M$117))</f>
        <v>0</v>
      </c>
      <c r="N221" s="81">
        <f ca="1">SUMPRODUCT((Work_Codes!$AC$162:$AO$162=$E221)*(Work_Codes!$AC$165:$AO$169)*(N$113:N$117))</f>
        <v>0</v>
      </c>
      <c r="O221" s="81">
        <f ca="1">SUMPRODUCT((Work_Codes!$AC$162:$AO$162=$E221)*(Work_Codes!$AC$165:$AO$169)*(O$113:O$117))</f>
        <v>0</v>
      </c>
      <c r="P221" s="81">
        <f ca="1">SUMPRODUCT((Work_Codes!$AC$162:$AO$162=$E221)*(Work_Codes!$AC$165:$AO$169)*(P$113:P$117))</f>
        <v>0</v>
      </c>
      <c r="Q221" s="81">
        <f ca="1">SUMPRODUCT((Work_Codes!$AC$162:$AO$162=$E221)*(Work_Codes!$AC$165:$AO$169)*(Q$113:Q$117))</f>
        <v>0</v>
      </c>
      <c r="R221" s="81">
        <f ca="1">SUMPRODUCT((Work_Codes!$AC$162:$AO$162=$E221)*(Work_Codes!$AC$165:$AO$169)*(R$113:R$117))</f>
        <v>0</v>
      </c>
      <c r="S221" s="81">
        <f ca="1">SUMPRODUCT((Work_Codes!$AC$162:$AO$162=$E221)*(Work_Codes!$AC$165:$AO$169)*(S$113:S$117))</f>
        <v>0</v>
      </c>
      <c r="T221" s="81">
        <f ca="1">SUMPRODUCT((Work_Codes!$AC$162:$AO$162=$E221)*(Work_Codes!$AC$165:$AO$169)*(T$113:T$117))</f>
        <v>0</v>
      </c>
    </row>
    <row r="222" spans="5:20" ht="12" customHeight="1" outlineLevel="2">
      <c r="E222" s="247" t="str">
        <f>GC!C73</f>
        <v>Government contributions</v>
      </c>
      <c r="F222" s="247"/>
      <c r="G222" s="247"/>
      <c r="H222" s="247"/>
      <c r="I222" s="247"/>
      <c r="J222" s="81">
        <f ca="1">SUMPRODUCT((Work_Codes!$AC$162:$AO$162=$E222)*(Work_Codes!$AC$165:$AO$169)*(J$113:J$117))</f>
        <v>0</v>
      </c>
      <c r="K222" s="81">
        <f ca="1">SUMPRODUCT((Work_Codes!$AC$162:$AO$162=$E222)*(Work_Codes!$AC$165:$AO$169)*(K$113:K$117))</f>
        <v>0</v>
      </c>
      <c r="L222" s="81">
        <f ca="1">SUMPRODUCT((Work_Codes!$AC$162:$AO$162=$E222)*(Work_Codes!$AC$165:$AO$169)*(L$113:L$117))</f>
        <v>0</v>
      </c>
      <c r="M222" s="81">
        <f ca="1">SUMPRODUCT((Work_Codes!$AC$162:$AO$162=$E222)*(Work_Codes!$AC$165:$AO$169)*(M$113:M$117))</f>
        <v>0</v>
      </c>
      <c r="N222" s="81">
        <f ca="1">SUMPRODUCT((Work_Codes!$AC$162:$AO$162=$E222)*(Work_Codes!$AC$165:$AO$169)*(N$113:N$117))</f>
        <v>0</v>
      </c>
      <c r="O222" s="81">
        <f ca="1">SUMPRODUCT((Work_Codes!$AC$162:$AO$162=$E222)*(Work_Codes!$AC$165:$AO$169)*(O$113:O$117))</f>
        <v>0</v>
      </c>
      <c r="P222" s="81">
        <f ca="1">SUMPRODUCT((Work_Codes!$AC$162:$AO$162=$E222)*(Work_Codes!$AC$165:$AO$169)*(P$113:P$117))</f>
        <v>0</v>
      </c>
      <c r="Q222" s="81">
        <f ca="1">SUMPRODUCT((Work_Codes!$AC$162:$AO$162=$E222)*(Work_Codes!$AC$165:$AO$169)*(Q$113:Q$117))</f>
        <v>0</v>
      </c>
      <c r="R222" s="81">
        <f ca="1">SUMPRODUCT((Work_Codes!$AC$162:$AO$162=$E222)*(Work_Codes!$AC$165:$AO$169)*(R$113:R$117))</f>
        <v>0</v>
      </c>
      <c r="S222" s="81">
        <f ca="1">SUMPRODUCT((Work_Codes!$AC$162:$AO$162=$E222)*(Work_Codes!$AC$165:$AO$169)*(S$113:S$117))</f>
        <v>0</v>
      </c>
      <c r="T222" s="81">
        <f ca="1">SUMPRODUCT((Work_Codes!$AC$162:$AO$162=$E222)*(Work_Codes!$AC$165:$AO$169)*(T$113:T$117))</f>
        <v>0</v>
      </c>
    </row>
    <row r="223" spans="5:20" ht="12" customHeight="1" outlineLevel="2">
      <c r="E223" s="249" t="str">
        <f>"Total "&amp;D207</f>
        <v>Total Direct Costs</v>
      </c>
      <c r="F223" s="249"/>
      <c r="G223" s="249"/>
      <c r="H223" s="249"/>
      <c r="I223" s="249"/>
      <c r="J223" s="82">
        <f t="shared" ref="J223:T223" ca="1" si="23">SUM(J209:J222)</f>
        <v>0</v>
      </c>
      <c r="K223" s="82">
        <f t="shared" ca="1" si="23"/>
        <v>0</v>
      </c>
      <c r="L223" s="82">
        <f t="shared" ca="1" si="23"/>
        <v>0</v>
      </c>
      <c r="M223" s="82">
        <f t="shared" ca="1" si="23"/>
        <v>0</v>
      </c>
      <c r="N223" s="82">
        <f t="shared" ca="1" si="23"/>
        <v>843199.11110906955</v>
      </c>
      <c r="O223" s="82">
        <f t="shared" ca="1" si="23"/>
        <v>472422.54543903633</v>
      </c>
      <c r="P223" s="82">
        <f t="shared" ca="1" si="23"/>
        <v>1049190.323017779</v>
      </c>
      <c r="Q223" s="82">
        <f t="shared" ca="1" si="23"/>
        <v>1226755.0918546824</v>
      </c>
      <c r="R223" s="82">
        <f t="shared" ca="1" si="23"/>
        <v>1211108.933366352</v>
      </c>
      <c r="S223" s="82">
        <f t="shared" ca="1" si="23"/>
        <v>1400483.0122676992</v>
      </c>
      <c r="T223" s="82">
        <f t="shared" ca="1" si="23"/>
        <v>1002338.9679991415</v>
      </c>
    </row>
    <row r="224" spans="5:20" outlineLevel="2"/>
    <row r="225" spans="4:20" outlineLevel="2">
      <c r="D225" s="37" t="s">
        <v>216</v>
      </c>
    </row>
    <row r="226" spans="4:20" ht="5.9" customHeight="1" outlineLevel="2"/>
    <row r="227" spans="4:20" ht="12" customHeight="1" outlineLevel="2">
      <c r="E227" s="247" t="str">
        <f>GC!C60</f>
        <v>Mains replacement</v>
      </c>
      <c r="F227" s="247"/>
      <c r="G227" s="247"/>
      <c r="H227" s="247"/>
      <c r="I227" s="247"/>
      <c r="J227" s="81">
        <f ca="1">J209*(1+INDEX(J$35:J$37,MATCH(Work_Codes!$I$159,$D$35:$D$37,0)))</f>
        <v>0</v>
      </c>
      <c r="K227" s="81">
        <f ca="1">K209*(1+INDEX(K$35:K$37,MATCH(Work_Codes!$I$159,$D$35:$D$37,0)))</f>
        <v>0</v>
      </c>
      <c r="L227" s="81">
        <f ca="1">L209*(1+INDEX(L$35:L$37,MATCH(Work_Codes!$I$159,$D$35:$D$37,0)))</f>
        <v>0</v>
      </c>
      <c r="M227" s="81">
        <f ca="1">M209*(1+INDEX(M$35:M$37,MATCH(Work_Codes!$I$159,$D$35:$D$37,0)))</f>
        <v>0</v>
      </c>
      <c r="N227" s="81">
        <f ca="1">N209*(1+INDEX(N$35:N$37,MATCH(Work_Codes!$I$159,$D$35:$D$37,0)))</f>
        <v>0</v>
      </c>
      <c r="O227" s="81">
        <f ca="1">O209*(1+INDEX(O$35:O$37,MATCH(Work_Codes!$I$159,$D$35:$D$37,0)))</f>
        <v>0</v>
      </c>
      <c r="P227" s="81">
        <f ca="1">P209*(1+INDEX(P$35:P$37,MATCH(Work_Codes!$I$159,$D$35:$D$37,0)))</f>
        <v>0</v>
      </c>
      <c r="Q227" s="81">
        <f ca="1">Q209*(1+INDEX(Q$35:Q$37,MATCH(Work_Codes!$I$159,$D$35:$D$37,0)))</f>
        <v>0</v>
      </c>
      <c r="R227" s="81">
        <f ca="1">R209*(1+INDEX(R$35:R$37,MATCH(Work_Codes!$I$159,$D$35:$D$37,0)))</f>
        <v>0</v>
      </c>
      <c r="S227" s="81">
        <f ca="1">S209*(1+INDEX(S$35:S$37,MATCH(Work_Codes!$I$159,$D$35:$D$37,0)))</f>
        <v>0</v>
      </c>
      <c r="T227" s="81">
        <f ca="1">T209*(1+INDEX(T$35:T$37,MATCH(Work_Codes!$I$159,$D$35:$D$37,0)))</f>
        <v>0</v>
      </c>
    </row>
    <row r="228" spans="4:20" ht="12" customHeight="1" outlineLevel="2">
      <c r="E228" s="247" t="str">
        <f>GC!C61</f>
        <v>Residential new customer connections</v>
      </c>
      <c r="F228" s="247"/>
      <c r="G228" s="247"/>
      <c r="H228" s="247"/>
      <c r="I228" s="247"/>
      <c r="J228" s="81">
        <f ca="1">J210*(1+INDEX(J$35:J$37,MATCH(Work_Codes!$I$159,$D$35:$D$37,0)))</f>
        <v>0</v>
      </c>
      <c r="K228" s="81">
        <f ca="1">K210*(1+INDEX(K$35:K$37,MATCH(Work_Codes!$I$159,$D$35:$D$37,0)))</f>
        <v>0</v>
      </c>
      <c r="L228" s="81">
        <f ca="1">L210*(1+INDEX(L$35:L$37,MATCH(Work_Codes!$I$159,$D$35:$D$37,0)))</f>
        <v>0</v>
      </c>
      <c r="M228" s="81">
        <f ca="1">M210*(1+INDEX(M$35:M$37,MATCH(Work_Codes!$I$159,$D$35:$D$37,0)))</f>
        <v>0</v>
      </c>
      <c r="N228" s="81">
        <f ca="1">N210*(1+INDEX(N$35:N$37,MATCH(Work_Codes!$I$159,$D$35:$D$37,0)))</f>
        <v>0</v>
      </c>
      <c r="O228" s="81">
        <f ca="1">O210*(1+INDEX(O$35:O$37,MATCH(Work_Codes!$I$159,$D$35:$D$37,0)))</f>
        <v>0</v>
      </c>
      <c r="P228" s="81">
        <f ca="1">P210*(1+INDEX(P$35:P$37,MATCH(Work_Codes!$I$159,$D$35:$D$37,0)))</f>
        <v>0</v>
      </c>
      <c r="Q228" s="81">
        <f ca="1">Q210*(1+INDEX(Q$35:Q$37,MATCH(Work_Codes!$I$159,$D$35:$D$37,0)))</f>
        <v>0</v>
      </c>
      <c r="R228" s="81">
        <f ca="1">R210*(1+INDEX(R$35:R$37,MATCH(Work_Codes!$I$159,$D$35:$D$37,0)))</f>
        <v>0</v>
      </c>
      <c r="S228" s="81">
        <f ca="1">S210*(1+INDEX(S$35:S$37,MATCH(Work_Codes!$I$159,$D$35:$D$37,0)))</f>
        <v>0</v>
      </c>
      <c r="T228" s="81">
        <f ca="1">T210*(1+INDEX(T$35:T$37,MATCH(Work_Codes!$I$159,$D$35:$D$37,0)))</f>
        <v>0</v>
      </c>
    </row>
    <row r="229" spans="4:20" ht="12" customHeight="1" outlineLevel="2">
      <c r="E229" s="247" t="str">
        <f>GC!C62</f>
        <v>Commercial and industrial new customer connections</v>
      </c>
      <c r="F229" s="247"/>
      <c r="G229" s="247"/>
      <c r="H229" s="247"/>
      <c r="I229" s="247"/>
      <c r="J229" s="81">
        <f ca="1">J211*(1+INDEX(J$35:J$37,MATCH(Work_Codes!$I$159,$D$35:$D$37,0)))</f>
        <v>0</v>
      </c>
      <c r="K229" s="81">
        <f ca="1">K211*(1+INDEX(K$35:K$37,MATCH(Work_Codes!$I$159,$D$35:$D$37,0)))</f>
        <v>0</v>
      </c>
      <c r="L229" s="81">
        <f ca="1">L211*(1+INDEX(L$35:L$37,MATCH(Work_Codes!$I$159,$D$35:$D$37,0)))</f>
        <v>0</v>
      </c>
      <c r="M229" s="81">
        <f ca="1">M211*(1+INDEX(M$35:M$37,MATCH(Work_Codes!$I$159,$D$35:$D$37,0)))</f>
        <v>0</v>
      </c>
      <c r="N229" s="81">
        <f ca="1">N211*(1+INDEX(N$35:N$37,MATCH(Work_Codes!$I$159,$D$35:$D$37,0)))</f>
        <v>0</v>
      </c>
      <c r="O229" s="81">
        <f ca="1">O211*(1+INDEX(O$35:O$37,MATCH(Work_Codes!$I$159,$D$35:$D$37,0)))</f>
        <v>0</v>
      </c>
      <c r="P229" s="81">
        <f ca="1">P211*(1+INDEX(P$35:P$37,MATCH(Work_Codes!$I$159,$D$35:$D$37,0)))</f>
        <v>0</v>
      </c>
      <c r="Q229" s="81">
        <f ca="1">Q211*(1+INDEX(Q$35:Q$37,MATCH(Work_Codes!$I$159,$D$35:$D$37,0)))</f>
        <v>0</v>
      </c>
      <c r="R229" s="81">
        <f ca="1">R211*(1+INDEX(R$35:R$37,MATCH(Work_Codes!$I$159,$D$35:$D$37,0)))</f>
        <v>0</v>
      </c>
      <c r="S229" s="81">
        <f ca="1">S211*(1+INDEX(S$35:S$37,MATCH(Work_Codes!$I$159,$D$35:$D$37,0)))</f>
        <v>0</v>
      </c>
      <c r="T229" s="81">
        <f ca="1">T211*(1+INDEX(T$35:T$37,MATCH(Work_Codes!$I$159,$D$35:$D$37,0)))</f>
        <v>0</v>
      </c>
    </row>
    <row r="230" spans="4:20" ht="12" customHeight="1" outlineLevel="2">
      <c r="E230" s="247" t="str">
        <f>GC!C63</f>
        <v>Residential meter replacement</v>
      </c>
      <c r="F230" s="247"/>
      <c r="G230" s="247"/>
      <c r="H230" s="247"/>
      <c r="I230" s="247"/>
      <c r="J230" s="81">
        <f ca="1">J212*(1+INDEX(J$35:J$37,MATCH(Work_Codes!$I$159,$D$35:$D$37,0)))</f>
        <v>0</v>
      </c>
      <c r="K230" s="81">
        <f ca="1">K212*(1+INDEX(K$35:K$37,MATCH(Work_Codes!$I$159,$D$35:$D$37,0)))</f>
        <v>0</v>
      </c>
      <c r="L230" s="81">
        <f ca="1">L212*(1+INDEX(L$35:L$37,MATCH(Work_Codes!$I$159,$D$35:$D$37,0)))</f>
        <v>0</v>
      </c>
      <c r="M230" s="81">
        <f ca="1">M212*(1+INDEX(M$35:M$37,MATCH(Work_Codes!$I$159,$D$35:$D$37,0)))</f>
        <v>0</v>
      </c>
      <c r="N230" s="81">
        <f ca="1">N212*(1+INDEX(N$35:N$37,MATCH(Work_Codes!$I$159,$D$35:$D$37,0)))</f>
        <v>0</v>
      </c>
      <c r="O230" s="81">
        <f ca="1">O212*(1+INDEX(O$35:O$37,MATCH(Work_Codes!$I$159,$D$35:$D$37,0)))</f>
        <v>0</v>
      </c>
      <c r="P230" s="81">
        <f ca="1">P212*(1+INDEX(P$35:P$37,MATCH(Work_Codes!$I$159,$D$35:$D$37,0)))</f>
        <v>0</v>
      </c>
      <c r="Q230" s="81">
        <f ca="1">Q212*(1+INDEX(Q$35:Q$37,MATCH(Work_Codes!$I$159,$D$35:$D$37,0)))</f>
        <v>0</v>
      </c>
      <c r="R230" s="81">
        <f ca="1">R212*(1+INDEX(R$35:R$37,MATCH(Work_Codes!$I$159,$D$35:$D$37,0)))</f>
        <v>0</v>
      </c>
      <c r="S230" s="81">
        <f ca="1">S212*(1+INDEX(S$35:S$37,MATCH(Work_Codes!$I$159,$D$35:$D$37,0)))</f>
        <v>0</v>
      </c>
      <c r="T230" s="81">
        <f ca="1">T212*(1+INDEX(T$35:T$37,MATCH(Work_Codes!$I$159,$D$35:$D$37,0)))</f>
        <v>0</v>
      </c>
    </row>
    <row r="231" spans="4:20" ht="12" customHeight="1" outlineLevel="2">
      <c r="E231" s="247" t="str">
        <f>GC!C64</f>
        <v>Commercial and industrial meter replacement</v>
      </c>
      <c r="F231" s="247"/>
      <c r="G231" s="247"/>
      <c r="H231" s="247"/>
      <c r="I231" s="247"/>
      <c r="J231" s="81">
        <f ca="1">J213*(1+INDEX(J$35:J$37,MATCH(Work_Codes!$I$159,$D$35:$D$37,0)))</f>
        <v>0</v>
      </c>
      <c r="K231" s="81">
        <f ca="1">K213*(1+INDEX(K$35:K$37,MATCH(Work_Codes!$I$159,$D$35:$D$37,0)))</f>
        <v>0</v>
      </c>
      <c r="L231" s="81">
        <f ca="1">L213*(1+INDEX(L$35:L$37,MATCH(Work_Codes!$I$159,$D$35:$D$37,0)))</f>
        <v>0</v>
      </c>
      <c r="M231" s="81">
        <f ca="1">M213*(1+INDEX(M$35:M$37,MATCH(Work_Codes!$I$159,$D$35:$D$37,0)))</f>
        <v>0</v>
      </c>
      <c r="N231" s="81">
        <f ca="1">N213*(1+INDEX(N$35:N$37,MATCH(Work_Codes!$I$159,$D$35:$D$37,0)))</f>
        <v>874996.99901338958</v>
      </c>
      <c r="O231" s="81">
        <f ca="1">O213*(1+INDEX(O$35:O$37,MATCH(Work_Codes!$I$159,$D$35:$D$37,0)))</f>
        <v>488146.64282217505</v>
      </c>
      <c r="P231" s="81">
        <f ca="1">P213*(1+INDEX(P$35:P$37,MATCH(Work_Codes!$I$159,$D$35:$D$37,0)))</f>
        <v>1077258.9555434657</v>
      </c>
      <c r="Q231" s="81">
        <f ca="1">Q213*(1+INDEX(Q$35:Q$37,MATCH(Work_Codes!$I$159,$D$35:$D$37,0)))</f>
        <v>1258725.0500817844</v>
      </c>
      <c r="R231" s="81">
        <f ca="1">R213*(1+INDEX(R$35:R$37,MATCH(Work_Codes!$I$159,$D$35:$D$37,0)))</f>
        <v>1243655.0709843263</v>
      </c>
      <c r="S231" s="81">
        <f ca="1">S213*(1+INDEX(S$35:S$37,MATCH(Work_Codes!$I$159,$D$35:$D$37,0)))</f>
        <v>1440461.4509216631</v>
      </c>
      <c r="T231" s="81">
        <f ca="1">T213*(1+INDEX(T$35:T$37,MATCH(Work_Codes!$I$159,$D$35:$D$37,0)))</f>
        <v>1032329.3290099687</v>
      </c>
    </row>
    <row r="232" spans="4:20" ht="12" customHeight="1" outlineLevel="2">
      <c r="E232" s="247" t="str">
        <f>GC!C65</f>
        <v>Augmentation</v>
      </c>
      <c r="F232" s="247"/>
      <c r="G232" s="247"/>
      <c r="H232" s="247"/>
      <c r="I232" s="247"/>
      <c r="J232" s="81">
        <f ca="1">J214*(1+INDEX(J$35:J$37,MATCH(Work_Codes!$I$159,$D$35:$D$37,0)))</f>
        <v>0</v>
      </c>
      <c r="K232" s="81">
        <f ca="1">K214*(1+INDEX(K$35:K$37,MATCH(Work_Codes!$I$159,$D$35:$D$37,0)))</f>
        <v>0</v>
      </c>
      <c r="L232" s="81">
        <f ca="1">L214*(1+INDEX(L$35:L$37,MATCH(Work_Codes!$I$159,$D$35:$D$37,0)))</f>
        <v>0</v>
      </c>
      <c r="M232" s="81">
        <f ca="1">M214*(1+INDEX(M$35:M$37,MATCH(Work_Codes!$I$159,$D$35:$D$37,0)))</f>
        <v>0</v>
      </c>
      <c r="N232" s="81">
        <f ca="1">N214*(1+INDEX(N$35:N$37,MATCH(Work_Codes!$I$159,$D$35:$D$37,0)))</f>
        <v>0</v>
      </c>
      <c r="O232" s="81">
        <f ca="1">O214*(1+INDEX(O$35:O$37,MATCH(Work_Codes!$I$159,$D$35:$D$37,0)))</f>
        <v>0</v>
      </c>
      <c r="P232" s="81">
        <f ca="1">P214*(1+INDEX(P$35:P$37,MATCH(Work_Codes!$I$159,$D$35:$D$37,0)))</f>
        <v>0</v>
      </c>
      <c r="Q232" s="81">
        <f ca="1">Q214*(1+INDEX(Q$35:Q$37,MATCH(Work_Codes!$I$159,$D$35:$D$37,0)))</f>
        <v>0</v>
      </c>
      <c r="R232" s="81">
        <f ca="1">R214*(1+INDEX(R$35:R$37,MATCH(Work_Codes!$I$159,$D$35:$D$37,0)))</f>
        <v>0</v>
      </c>
      <c r="S232" s="81">
        <f ca="1">S214*(1+INDEX(S$35:S$37,MATCH(Work_Codes!$I$159,$D$35:$D$37,0)))</f>
        <v>0</v>
      </c>
      <c r="T232" s="81">
        <f ca="1">T214*(1+INDEX(T$35:T$37,MATCH(Work_Codes!$I$159,$D$35:$D$37,0)))</f>
        <v>0</v>
      </c>
    </row>
    <row r="233" spans="4:20" ht="12" customHeight="1" outlineLevel="2">
      <c r="E233" s="247" t="str">
        <f>GC!C66</f>
        <v>IT capex</v>
      </c>
      <c r="F233" s="247"/>
      <c r="G233" s="247"/>
      <c r="H233" s="247"/>
      <c r="I233" s="247"/>
      <c r="J233" s="81">
        <f ca="1">J215*(1+INDEX(J$35:J$37,MATCH(Work_Codes!$I$159,$D$35:$D$37,0)))</f>
        <v>0</v>
      </c>
      <c r="K233" s="81">
        <f ca="1">K215*(1+INDEX(K$35:K$37,MATCH(Work_Codes!$I$159,$D$35:$D$37,0)))</f>
        <v>0</v>
      </c>
      <c r="L233" s="81">
        <f ca="1">L215*(1+INDEX(L$35:L$37,MATCH(Work_Codes!$I$159,$D$35:$D$37,0)))</f>
        <v>0</v>
      </c>
      <c r="M233" s="81">
        <f ca="1">M215*(1+INDEX(M$35:M$37,MATCH(Work_Codes!$I$159,$D$35:$D$37,0)))</f>
        <v>0</v>
      </c>
      <c r="N233" s="81">
        <f ca="1">N215*(1+INDEX(N$35:N$37,MATCH(Work_Codes!$I$159,$D$35:$D$37,0)))</f>
        <v>0</v>
      </c>
      <c r="O233" s="81">
        <f ca="1">O215*(1+INDEX(O$35:O$37,MATCH(Work_Codes!$I$159,$D$35:$D$37,0)))</f>
        <v>0</v>
      </c>
      <c r="P233" s="81">
        <f ca="1">P215*(1+INDEX(P$35:P$37,MATCH(Work_Codes!$I$159,$D$35:$D$37,0)))</f>
        <v>0</v>
      </c>
      <c r="Q233" s="81">
        <f ca="1">Q215*(1+INDEX(Q$35:Q$37,MATCH(Work_Codes!$I$159,$D$35:$D$37,0)))</f>
        <v>0</v>
      </c>
      <c r="R233" s="81">
        <f ca="1">R215*(1+INDEX(R$35:R$37,MATCH(Work_Codes!$I$159,$D$35:$D$37,0)))</f>
        <v>0</v>
      </c>
      <c r="S233" s="81">
        <f ca="1">S215*(1+INDEX(S$35:S$37,MATCH(Work_Codes!$I$159,$D$35:$D$37,0)))</f>
        <v>0</v>
      </c>
      <c r="T233" s="81">
        <f ca="1">T215*(1+INDEX(T$35:T$37,MATCH(Work_Codes!$I$159,$D$35:$D$37,0)))</f>
        <v>0</v>
      </c>
    </row>
    <row r="234" spans="4:20" ht="12" customHeight="1" outlineLevel="2">
      <c r="E234" s="247" t="str">
        <f>GC!C67</f>
        <v>SCADA</v>
      </c>
      <c r="F234" s="247"/>
      <c r="G234" s="247"/>
      <c r="H234" s="247"/>
      <c r="I234" s="247"/>
      <c r="J234" s="81">
        <f ca="1">J216*(1+INDEX(J$35:J$37,MATCH(Work_Codes!$I$159,$D$35:$D$37,0)))</f>
        <v>0</v>
      </c>
      <c r="K234" s="81">
        <f ca="1">K216*(1+INDEX(K$35:K$37,MATCH(Work_Codes!$I$159,$D$35:$D$37,0)))</f>
        <v>0</v>
      </c>
      <c r="L234" s="81">
        <f ca="1">L216*(1+INDEX(L$35:L$37,MATCH(Work_Codes!$I$159,$D$35:$D$37,0)))</f>
        <v>0</v>
      </c>
      <c r="M234" s="81">
        <f ca="1">M216*(1+INDEX(M$35:M$37,MATCH(Work_Codes!$I$159,$D$35:$D$37,0)))</f>
        <v>0</v>
      </c>
      <c r="N234" s="81">
        <f ca="1">N216*(1+INDEX(N$35:N$37,MATCH(Work_Codes!$I$159,$D$35:$D$37,0)))</f>
        <v>0</v>
      </c>
      <c r="O234" s="81">
        <f ca="1">O216*(1+INDEX(O$35:O$37,MATCH(Work_Codes!$I$159,$D$35:$D$37,0)))</f>
        <v>0</v>
      </c>
      <c r="P234" s="81">
        <f ca="1">P216*(1+INDEX(P$35:P$37,MATCH(Work_Codes!$I$159,$D$35:$D$37,0)))</f>
        <v>0</v>
      </c>
      <c r="Q234" s="81">
        <f ca="1">Q216*(1+INDEX(Q$35:Q$37,MATCH(Work_Codes!$I$159,$D$35:$D$37,0)))</f>
        <v>0</v>
      </c>
      <c r="R234" s="81">
        <f ca="1">R216*(1+INDEX(R$35:R$37,MATCH(Work_Codes!$I$159,$D$35:$D$37,0)))</f>
        <v>0</v>
      </c>
      <c r="S234" s="81">
        <f ca="1">S216*(1+INDEX(S$35:S$37,MATCH(Work_Codes!$I$159,$D$35:$D$37,0)))</f>
        <v>0</v>
      </c>
      <c r="T234" s="81">
        <f ca="1">T216*(1+INDEX(T$35:T$37,MATCH(Work_Codes!$I$159,$D$35:$D$37,0)))</f>
        <v>0</v>
      </c>
    </row>
    <row r="235" spans="4:20" ht="12" customHeight="1" outlineLevel="2">
      <c r="E235" s="247" t="str">
        <f>GC!C68</f>
        <v>Other</v>
      </c>
      <c r="F235" s="247"/>
      <c r="G235" s="247"/>
      <c r="H235" s="247"/>
      <c r="I235" s="247"/>
      <c r="J235" s="81">
        <f ca="1">J217*(1+INDEX(J$35:J$37,MATCH(Work_Codes!$I$159,$D$35:$D$37,0)))</f>
        <v>0</v>
      </c>
      <c r="K235" s="81">
        <f ca="1">K217*(1+INDEX(K$35:K$37,MATCH(Work_Codes!$I$159,$D$35:$D$37,0)))</f>
        <v>0</v>
      </c>
      <c r="L235" s="81">
        <f ca="1">L217*(1+INDEX(L$35:L$37,MATCH(Work_Codes!$I$159,$D$35:$D$37,0)))</f>
        <v>0</v>
      </c>
      <c r="M235" s="81">
        <f ca="1">M217*(1+INDEX(M$35:M$37,MATCH(Work_Codes!$I$159,$D$35:$D$37,0)))</f>
        <v>0</v>
      </c>
      <c r="N235" s="81">
        <f ca="1">N217*(1+INDEX(N$35:N$37,MATCH(Work_Codes!$I$159,$D$35:$D$37,0)))</f>
        <v>0</v>
      </c>
      <c r="O235" s="81">
        <f ca="1">O217*(1+INDEX(O$35:O$37,MATCH(Work_Codes!$I$159,$D$35:$D$37,0)))</f>
        <v>0</v>
      </c>
      <c r="P235" s="81">
        <f ca="1">P217*(1+INDEX(P$35:P$37,MATCH(Work_Codes!$I$159,$D$35:$D$37,0)))</f>
        <v>0</v>
      </c>
      <c r="Q235" s="81">
        <f ca="1">Q217*(1+INDEX(Q$35:Q$37,MATCH(Work_Codes!$I$159,$D$35:$D$37,0)))</f>
        <v>0</v>
      </c>
      <c r="R235" s="81">
        <f ca="1">R217*(1+INDEX(R$35:R$37,MATCH(Work_Codes!$I$159,$D$35:$D$37,0)))</f>
        <v>0</v>
      </c>
      <c r="S235" s="81">
        <f ca="1">S217*(1+INDEX(S$35:S$37,MATCH(Work_Codes!$I$159,$D$35:$D$37,0)))</f>
        <v>0</v>
      </c>
      <c r="T235" s="81">
        <f ca="1">T217*(1+INDEX(T$35:T$37,MATCH(Work_Codes!$I$159,$D$35:$D$37,0)))</f>
        <v>0</v>
      </c>
    </row>
    <row r="236" spans="4:20" outlineLevel="2">
      <c r="E236" s="247" t="str">
        <f>GC!C69</f>
        <v>Capitalised Leases</v>
      </c>
      <c r="F236" s="247"/>
      <c r="G236" s="247"/>
      <c r="H236" s="247"/>
      <c r="I236" s="247"/>
      <c r="J236" s="81">
        <f ca="1">J218*(1+INDEX(J$35:J$37,MATCH(Work_Codes!$I$159,$D$35:$D$37,0)))</f>
        <v>0</v>
      </c>
      <c r="K236" s="81">
        <f ca="1">K218*(1+INDEX(K$35:K$37,MATCH(Work_Codes!$I$159,$D$35:$D$37,0)))</f>
        <v>0</v>
      </c>
      <c r="L236" s="81">
        <f ca="1">L218*(1+INDEX(L$35:L$37,MATCH(Work_Codes!$I$159,$D$35:$D$37,0)))</f>
        <v>0</v>
      </c>
      <c r="M236" s="81">
        <f ca="1">M218*(1+INDEX(M$35:M$37,MATCH(Work_Codes!$I$159,$D$35:$D$37,0)))</f>
        <v>0</v>
      </c>
      <c r="N236" s="81">
        <f ca="1">N218*(1+INDEX(N$35:N$37,MATCH(Work_Codes!$I$159,$D$35:$D$37,0)))</f>
        <v>0</v>
      </c>
      <c r="O236" s="81">
        <f ca="1">O218*(1+INDEX(O$35:O$37,MATCH(Work_Codes!$I$159,$D$35:$D$37,0)))</f>
        <v>0</v>
      </c>
      <c r="P236" s="81">
        <f ca="1">P218*(1+INDEX(P$35:P$37,MATCH(Work_Codes!$I$159,$D$35:$D$37,0)))</f>
        <v>0</v>
      </c>
      <c r="Q236" s="81">
        <f ca="1">Q218*(1+INDEX(Q$35:Q$37,MATCH(Work_Codes!$I$159,$D$35:$D$37,0)))</f>
        <v>0</v>
      </c>
      <c r="R236" s="81">
        <f ca="1">R218*(1+INDEX(R$35:R$37,MATCH(Work_Codes!$I$159,$D$35:$D$37,0)))</f>
        <v>0</v>
      </c>
      <c r="S236" s="81">
        <f ca="1">S218*(1+INDEX(S$35:S$37,MATCH(Work_Codes!$I$159,$D$35:$D$37,0)))</f>
        <v>0</v>
      </c>
      <c r="T236" s="81">
        <f ca="1">T218*(1+INDEX(T$35:T$37,MATCH(Work_Codes!$I$159,$D$35:$D$37,0)))</f>
        <v>0</v>
      </c>
    </row>
    <row r="237" spans="4:20" ht="12" customHeight="1" outlineLevel="2">
      <c r="E237" s="247" t="str">
        <f>GC!C70</f>
        <v>Gas Extensions - Energy for the Regions</v>
      </c>
      <c r="F237" s="247"/>
      <c r="G237" s="247"/>
      <c r="H237" s="247"/>
      <c r="I237" s="247"/>
      <c r="J237" s="81">
        <f ca="1">J219*(1+INDEX(J$35:J$37,MATCH(Work_Codes!$I$159,$D$35:$D$37,0)))</f>
        <v>0</v>
      </c>
      <c r="K237" s="81">
        <f ca="1">K219*(1+INDEX(K$35:K$37,MATCH(Work_Codes!$I$159,$D$35:$D$37,0)))</f>
        <v>0</v>
      </c>
      <c r="L237" s="81">
        <f ca="1">L219*(1+INDEX(L$35:L$37,MATCH(Work_Codes!$I$159,$D$35:$D$37,0)))</f>
        <v>0</v>
      </c>
      <c r="M237" s="81">
        <f ca="1">M219*(1+INDEX(M$35:M$37,MATCH(Work_Codes!$I$159,$D$35:$D$37,0)))</f>
        <v>0</v>
      </c>
      <c r="N237" s="81">
        <f ca="1">N219*(1+INDEX(N$35:N$37,MATCH(Work_Codes!$I$159,$D$35:$D$37,0)))</f>
        <v>0</v>
      </c>
      <c r="O237" s="81">
        <f ca="1">O219*(1+INDEX(O$35:O$37,MATCH(Work_Codes!$I$159,$D$35:$D$37,0)))</f>
        <v>0</v>
      </c>
      <c r="P237" s="81">
        <f ca="1">P219*(1+INDEX(P$35:P$37,MATCH(Work_Codes!$I$159,$D$35:$D$37,0)))</f>
        <v>0</v>
      </c>
      <c r="Q237" s="81">
        <f ca="1">Q219*(1+INDEX(Q$35:Q$37,MATCH(Work_Codes!$I$159,$D$35:$D$37,0)))</f>
        <v>0</v>
      </c>
      <c r="R237" s="81">
        <f ca="1">R219*(1+INDEX(R$35:R$37,MATCH(Work_Codes!$I$159,$D$35:$D$37,0)))</f>
        <v>0</v>
      </c>
      <c r="S237" s="81">
        <f ca="1">S219*(1+INDEX(S$35:S$37,MATCH(Work_Codes!$I$159,$D$35:$D$37,0)))</f>
        <v>0</v>
      </c>
      <c r="T237" s="81">
        <f ca="1">T219*(1+INDEX(T$35:T$37,MATCH(Work_Codes!$I$159,$D$35:$D$37,0)))</f>
        <v>0</v>
      </c>
    </row>
    <row r="238" spans="4:20" ht="12" customHeight="1" outlineLevel="2">
      <c r="E238" s="247" t="str">
        <f>GC!C71</f>
        <v>Gas Extensions - Other</v>
      </c>
      <c r="F238" s="247"/>
      <c r="G238" s="247"/>
      <c r="H238" s="247"/>
      <c r="I238" s="247"/>
      <c r="J238" s="81">
        <f ca="1">J220*(1+INDEX(J$35:J$37,MATCH(Work_Codes!$I$159,$D$35:$D$37,0)))</f>
        <v>0</v>
      </c>
      <c r="K238" s="81">
        <f ca="1">K220*(1+INDEX(K$35:K$37,MATCH(Work_Codes!$I$159,$D$35:$D$37,0)))</f>
        <v>0</v>
      </c>
      <c r="L238" s="81">
        <f ca="1">L220*(1+INDEX(L$35:L$37,MATCH(Work_Codes!$I$159,$D$35:$D$37,0)))</f>
        <v>0</v>
      </c>
      <c r="M238" s="81">
        <f ca="1">M220*(1+INDEX(M$35:M$37,MATCH(Work_Codes!$I$159,$D$35:$D$37,0)))</f>
        <v>0</v>
      </c>
      <c r="N238" s="81">
        <f ca="1">N220*(1+INDEX(N$35:N$37,MATCH(Work_Codes!$I$159,$D$35:$D$37,0)))</f>
        <v>0</v>
      </c>
      <c r="O238" s="81">
        <f ca="1">O220*(1+INDEX(O$35:O$37,MATCH(Work_Codes!$I$159,$D$35:$D$37,0)))</f>
        <v>0</v>
      </c>
      <c r="P238" s="81">
        <f ca="1">P220*(1+INDEX(P$35:P$37,MATCH(Work_Codes!$I$159,$D$35:$D$37,0)))</f>
        <v>0</v>
      </c>
      <c r="Q238" s="81">
        <f ca="1">Q220*(1+INDEX(Q$35:Q$37,MATCH(Work_Codes!$I$159,$D$35:$D$37,0)))</f>
        <v>0</v>
      </c>
      <c r="R238" s="81">
        <f ca="1">R220*(1+INDEX(R$35:R$37,MATCH(Work_Codes!$I$159,$D$35:$D$37,0)))</f>
        <v>0</v>
      </c>
      <c r="S238" s="81">
        <f ca="1">S220*(1+INDEX(S$35:S$37,MATCH(Work_Codes!$I$159,$D$35:$D$37,0)))</f>
        <v>0</v>
      </c>
      <c r="T238" s="81">
        <f ca="1">T220*(1+INDEX(T$35:T$37,MATCH(Work_Codes!$I$159,$D$35:$D$37,0)))</f>
        <v>0</v>
      </c>
    </row>
    <row r="239" spans="4:20" ht="12" customHeight="1" outlineLevel="2">
      <c r="E239" s="247" t="str">
        <f>GC!C72</f>
        <v>Customer contributions</v>
      </c>
      <c r="F239" s="247"/>
      <c r="G239" s="247"/>
      <c r="H239" s="247"/>
      <c r="I239" s="247"/>
      <c r="J239" s="81">
        <f ca="1">J221*(1+INDEX(J$35:J$37,MATCH(Work_Codes!$I$159,$D$35:$D$37,0)))</f>
        <v>0</v>
      </c>
      <c r="K239" s="81">
        <f ca="1">K221*(1+INDEX(K$35:K$37,MATCH(Work_Codes!$I$159,$D$35:$D$37,0)))</f>
        <v>0</v>
      </c>
      <c r="L239" s="81">
        <f ca="1">L221*(1+INDEX(L$35:L$37,MATCH(Work_Codes!$I$159,$D$35:$D$37,0)))</f>
        <v>0</v>
      </c>
      <c r="M239" s="81">
        <f ca="1">M221*(1+INDEX(M$35:M$37,MATCH(Work_Codes!$I$159,$D$35:$D$37,0)))</f>
        <v>0</v>
      </c>
      <c r="N239" s="81">
        <f ca="1">N221*(1+INDEX(N$35:N$37,MATCH(Work_Codes!$I$159,$D$35:$D$37,0)))</f>
        <v>0</v>
      </c>
      <c r="O239" s="81">
        <f ca="1">O221*(1+INDEX(O$35:O$37,MATCH(Work_Codes!$I$159,$D$35:$D$37,0)))</f>
        <v>0</v>
      </c>
      <c r="P239" s="81">
        <f ca="1">P221*(1+INDEX(P$35:P$37,MATCH(Work_Codes!$I$159,$D$35:$D$37,0)))</f>
        <v>0</v>
      </c>
      <c r="Q239" s="81">
        <f ca="1">Q221*(1+INDEX(Q$35:Q$37,MATCH(Work_Codes!$I$159,$D$35:$D$37,0)))</f>
        <v>0</v>
      </c>
      <c r="R239" s="81">
        <f ca="1">R221*(1+INDEX(R$35:R$37,MATCH(Work_Codes!$I$159,$D$35:$D$37,0)))</f>
        <v>0</v>
      </c>
      <c r="S239" s="81">
        <f ca="1">S221*(1+INDEX(S$35:S$37,MATCH(Work_Codes!$I$159,$D$35:$D$37,0)))</f>
        <v>0</v>
      </c>
      <c r="T239" s="81">
        <f ca="1">T221*(1+INDEX(T$35:T$37,MATCH(Work_Codes!$I$159,$D$35:$D$37,0)))</f>
        <v>0</v>
      </c>
    </row>
    <row r="240" spans="4:20" ht="12" customHeight="1" outlineLevel="2">
      <c r="E240" s="247" t="str">
        <f>GC!C73</f>
        <v>Government contributions</v>
      </c>
      <c r="F240" s="247"/>
      <c r="G240" s="247"/>
      <c r="H240" s="247"/>
      <c r="I240" s="247"/>
      <c r="J240" s="81">
        <f ca="1">J222*(1+INDEX(J$35:J$37,MATCH(Work_Codes!$I$159,$D$35:$D$37,0)))</f>
        <v>0</v>
      </c>
      <c r="K240" s="81">
        <f ca="1">K222*(1+INDEX(K$35:K$37,MATCH(Work_Codes!$I$159,$D$35:$D$37,0)))</f>
        <v>0</v>
      </c>
      <c r="L240" s="81">
        <f ca="1">L222*(1+INDEX(L$35:L$37,MATCH(Work_Codes!$I$159,$D$35:$D$37,0)))</f>
        <v>0</v>
      </c>
      <c r="M240" s="81">
        <f ca="1">M222*(1+INDEX(M$35:M$37,MATCH(Work_Codes!$I$159,$D$35:$D$37,0)))</f>
        <v>0</v>
      </c>
      <c r="N240" s="81">
        <f ca="1">N222*(1+INDEX(N$35:N$37,MATCH(Work_Codes!$I$159,$D$35:$D$37,0)))</f>
        <v>0</v>
      </c>
      <c r="O240" s="81">
        <f ca="1">O222*(1+INDEX(O$35:O$37,MATCH(Work_Codes!$I$159,$D$35:$D$37,0)))</f>
        <v>0</v>
      </c>
      <c r="P240" s="81">
        <f ca="1">P222*(1+INDEX(P$35:P$37,MATCH(Work_Codes!$I$159,$D$35:$D$37,0)))</f>
        <v>0</v>
      </c>
      <c r="Q240" s="81">
        <f ca="1">Q222*(1+INDEX(Q$35:Q$37,MATCH(Work_Codes!$I$159,$D$35:$D$37,0)))</f>
        <v>0</v>
      </c>
      <c r="R240" s="81">
        <f ca="1">R222*(1+INDEX(R$35:R$37,MATCH(Work_Codes!$I$159,$D$35:$D$37,0)))</f>
        <v>0</v>
      </c>
      <c r="S240" s="81">
        <f ca="1">S222*(1+INDEX(S$35:S$37,MATCH(Work_Codes!$I$159,$D$35:$D$37,0)))</f>
        <v>0</v>
      </c>
      <c r="T240" s="81">
        <f ca="1">T222*(1+INDEX(T$35:T$37,MATCH(Work_Codes!$I$159,$D$35:$D$37,0)))</f>
        <v>0</v>
      </c>
    </row>
    <row r="241" spans="4:20" ht="12" customHeight="1" outlineLevel="2">
      <c r="E241" s="249" t="str">
        <f>"Total "&amp;D225</f>
        <v>Total Direct Costs + Overheads</v>
      </c>
      <c r="F241" s="249"/>
      <c r="G241" s="249"/>
      <c r="H241" s="249"/>
      <c r="I241" s="249"/>
      <c r="J241" s="82">
        <f t="shared" ref="J241:T241" ca="1" si="24">SUM(J227:J240)</f>
        <v>0</v>
      </c>
      <c r="K241" s="82">
        <f t="shared" ca="1" si="24"/>
        <v>0</v>
      </c>
      <c r="L241" s="82">
        <f t="shared" ca="1" si="24"/>
        <v>0</v>
      </c>
      <c r="M241" s="82">
        <f t="shared" ca="1" si="24"/>
        <v>0</v>
      </c>
      <c r="N241" s="82">
        <f t="shared" ca="1" si="24"/>
        <v>874996.99901338958</v>
      </c>
      <c r="O241" s="82">
        <f t="shared" ca="1" si="24"/>
        <v>488146.64282217505</v>
      </c>
      <c r="P241" s="82">
        <f t="shared" ca="1" si="24"/>
        <v>1077258.9555434657</v>
      </c>
      <c r="Q241" s="82">
        <f t="shared" ca="1" si="24"/>
        <v>1258725.0500817844</v>
      </c>
      <c r="R241" s="82">
        <f t="shared" ca="1" si="24"/>
        <v>1243655.0709843263</v>
      </c>
      <c r="S241" s="82">
        <f t="shared" ca="1" si="24"/>
        <v>1440461.4509216631</v>
      </c>
      <c r="T241" s="82">
        <f t="shared" ca="1" si="24"/>
        <v>1032329.3290099687</v>
      </c>
    </row>
    <row r="242" spans="4:20" outlineLevel="2"/>
    <row r="243" spans="4:20" outlineLevel="2">
      <c r="D243" s="37" t="s">
        <v>367</v>
      </c>
    </row>
    <row r="244" spans="4:20" ht="5.75" customHeight="1" outlineLevel="2"/>
    <row r="245" spans="4:20" outlineLevel="2">
      <c r="E245" s="247" t="str">
        <f>GC!C60</f>
        <v>Mains replacement</v>
      </c>
      <c r="F245" s="247"/>
      <c r="G245" s="247"/>
      <c r="H245" s="247"/>
      <c r="I245" s="247"/>
      <c r="J245" s="81">
        <f ca="1">SUMPRODUCT((Work_Codes!$AC$162:$AO$162=$E245)*(Work_Codes!$AC$173:$AO$173)*(J$74:J$74))</f>
        <v>0</v>
      </c>
      <c r="K245" s="81">
        <f ca="1">SUMPRODUCT((Work_Codes!$AC$162:$AO$162=$E245)*(Work_Codes!$AC$173:$AO$173)*(K$74:K$74))</f>
        <v>0</v>
      </c>
      <c r="L245" s="81">
        <f ca="1">SUMPRODUCT((Work_Codes!$AC$162:$AO$162=$E245)*(Work_Codes!$AC$173:$AO$173)*(L$74:L$74))</f>
        <v>0</v>
      </c>
      <c r="M245" s="81">
        <f ca="1">SUMPRODUCT((Work_Codes!$AC$162:$AO$162=$E245)*(Work_Codes!$AC$173:$AO$173)*(M$74:M$74))</f>
        <v>0</v>
      </c>
      <c r="N245" s="81">
        <f ca="1">SUMPRODUCT((Work_Codes!$AC$162:$AO$162=$E245)*(Work_Codes!$AC$173:$AO$173)*(N$74:N$74))</f>
        <v>0</v>
      </c>
      <c r="O245" s="81">
        <f ca="1">SUMPRODUCT((Work_Codes!$AC$162:$AO$162=$E245)*(Work_Codes!$AC$173:$AO$173)*(O$74:O$74))</f>
        <v>0</v>
      </c>
      <c r="P245" s="81">
        <f ca="1">SUMPRODUCT((Work_Codes!$AC$162:$AO$162=$E245)*(Work_Codes!$AC$173:$AO$173)*(P$74:P$74))</f>
        <v>0</v>
      </c>
      <c r="Q245" s="81">
        <f ca="1">SUMPRODUCT((Work_Codes!$AC$162:$AO$162=$E245)*(Work_Codes!$AC$173:$AO$173)*(Q$74:Q$74))</f>
        <v>0</v>
      </c>
      <c r="R245" s="81">
        <f ca="1">SUMPRODUCT((Work_Codes!$AC$162:$AO$162=$E245)*(Work_Codes!$AC$173:$AO$173)*(R$74:R$74))</f>
        <v>0</v>
      </c>
      <c r="S245" s="81">
        <f ca="1">SUMPRODUCT((Work_Codes!$AC$162:$AO$162=$E245)*(Work_Codes!$AC$173:$AO$173)*(S$74:S$74))</f>
        <v>0</v>
      </c>
      <c r="T245" s="81">
        <f ca="1">SUMPRODUCT((Work_Codes!$AC$162:$AO$162=$E245)*(Work_Codes!$AC$173:$AO$173)*(T$74:T$74))</f>
        <v>0</v>
      </c>
    </row>
    <row r="246" spans="4:20" outlineLevel="2">
      <c r="E246" s="247" t="str">
        <f>GC!C61</f>
        <v>Residential new customer connections</v>
      </c>
      <c r="F246" s="247"/>
      <c r="G246" s="247"/>
      <c r="H246" s="247"/>
      <c r="I246" s="247"/>
      <c r="J246" s="81">
        <f ca="1">SUMPRODUCT((Work_Codes!$AC$162:$AO$162=$E246)*(Work_Codes!$AC$173:$AO$173)*(J$74:J$74))</f>
        <v>0</v>
      </c>
      <c r="K246" s="81">
        <f ca="1">SUMPRODUCT((Work_Codes!$AC$162:$AO$162=$E246)*(Work_Codes!$AC$173:$AO$173)*(K$74:K$74))</f>
        <v>0</v>
      </c>
      <c r="L246" s="81">
        <f ca="1">SUMPRODUCT((Work_Codes!$AC$162:$AO$162=$E246)*(Work_Codes!$AC$173:$AO$173)*(L$74:L$74))</f>
        <v>0</v>
      </c>
      <c r="M246" s="81">
        <f ca="1">SUMPRODUCT((Work_Codes!$AC$162:$AO$162=$E246)*(Work_Codes!$AC$173:$AO$173)*(M$74:M$74))</f>
        <v>0</v>
      </c>
      <c r="N246" s="81">
        <f ca="1">SUMPRODUCT((Work_Codes!$AC$162:$AO$162=$E246)*(Work_Codes!$AC$173:$AO$173)*(N$74:N$74))</f>
        <v>0</v>
      </c>
      <c r="O246" s="81">
        <f ca="1">SUMPRODUCT((Work_Codes!$AC$162:$AO$162=$E246)*(Work_Codes!$AC$173:$AO$173)*(O$74:O$74))</f>
        <v>0</v>
      </c>
      <c r="P246" s="81">
        <f ca="1">SUMPRODUCT((Work_Codes!$AC$162:$AO$162=$E246)*(Work_Codes!$AC$173:$AO$173)*(P$74:P$74))</f>
        <v>0</v>
      </c>
      <c r="Q246" s="81">
        <f ca="1">SUMPRODUCT((Work_Codes!$AC$162:$AO$162=$E246)*(Work_Codes!$AC$173:$AO$173)*(Q$74:Q$74))</f>
        <v>0</v>
      </c>
      <c r="R246" s="81">
        <f ca="1">SUMPRODUCT((Work_Codes!$AC$162:$AO$162=$E246)*(Work_Codes!$AC$173:$AO$173)*(R$74:R$74))</f>
        <v>0</v>
      </c>
      <c r="S246" s="81">
        <f ca="1">SUMPRODUCT((Work_Codes!$AC$162:$AO$162=$E246)*(Work_Codes!$AC$173:$AO$173)*(S$74:S$74))</f>
        <v>0</v>
      </c>
      <c r="T246" s="81">
        <f ca="1">SUMPRODUCT((Work_Codes!$AC$162:$AO$162=$E246)*(Work_Codes!$AC$173:$AO$173)*(T$74:T$74))</f>
        <v>0</v>
      </c>
    </row>
    <row r="247" spans="4:20" outlineLevel="2">
      <c r="E247" s="247" t="str">
        <f>GC!C62</f>
        <v>Commercial and industrial new customer connections</v>
      </c>
      <c r="F247" s="247"/>
      <c r="G247" s="247"/>
      <c r="H247" s="247"/>
      <c r="I247" s="247"/>
      <c r="J247" s="81">
        <f ca="1">SUMPRODUCT((Work_Codes!$AC$162:$AO$162=$E247)*(Work_Codes!$AC$173:$AO$173)*(J$74:J$74))</f>
        <v>0</v>
      </c>
      <c r="K247" s="81">
        <f ca="1">SUMPRODUCT((Work_Codes!$AC$162:$AO$162=$E247)*(Work_Codes!$AC$173:$AO$173)*(K$74:K$74))</f>
        <v>0</v>
      </c>
      <c r="L247" s="81">
        <f ca="1">SUMPRODUCT((Work_Codes!$AC$162:$AO$162=$E247)*(Work_Codes!$AC$173:$AO$173)*(L$74:L$74))</f>
        <v>0</v>
      </c>
      <c r="M247" s="81">
        <f ca="1">SUMPRODUCT((Work_Codes!$AC$162:$AO$162=$E247)*(Work_Codes!$AC$173:$AO$173)*(M$74:M$74))</f>
        <v>0</v>
      </c>
      <c r="N247" s="81">
        <f ca="1">SUMPRODUCT((Work_Codes!$AC$162:$AO$162=$E247)*(Work_Codes!$AC$173:$AO$173)*(N$74:N$74))</f>
        <v>0</v>
      </c>
      <c r="O247" s="81">
        <f ca="1">SUMPRODUCT((Work_Codes!$AC$162:$AO$162=$E247)*(Work_Codes!$AC$173:$AO$173)*(O$74:O$74))</f>
        <v>0</v>
      </c>
      <c r="P247" s="81">
        <f ca="1">SUMPRODUCT((Work_Codes!$AC$162:$AO$162=$E247)*(Work_Codes!$AC$173:$AO$173)*(P$74:P$74))</f>
        <v>0</v>
      </c>
      <c r="Q247" s="81">
        <f ca="1">SUMPRODUCT((Work_Codes!$AC$162:$AO$162=$E247)*(Work_Codes!$AC$173:$AO$173)*(Q$74:Q$74))</f>
        <v>0</v>
      </c>
      <c r="R247" s="81">
        <f ca="1">SUMPRODUCT((Work_Codes!$AC$162:$AO$162=$E247)*(Work_Codes!$AC$173:$AO$173)*(R$74:R$74))</f>
        <v>0</v>
      </c>
      <c r="S247" s="81">
        <f ca="1">SUMPRODUCT((Work_Codes!$AC$162:$AO$162=$E247)*(Work_Codes!$AC$173:$AO$173)*(S$74:S$74))</f>
        <v>0</v>
      </c>
      <c r="T247" s="81">
        <f ca="1">SUMPRODUCT((Work_Codes!$AC$162:$AO$162=$E247)*(Work_Codes!$AC$173:$AO$173)*(T$74:T$74))</f>
        <v>0</v>
      </c>
    </row>
    <row r="248" spans="4:20" outlineLevel="2">
      <c r="E248" s="247" t="str">
        <f>GC!C63</f>
        <v>Residential meter replacement</v>
      </c>
      <c r="F248" s="247"/>
      <c r="G248" s="247"/>
      <c r="H248" s="247"/>
      <c r="I248" s="247"/>
      <c r="J248" s="81">
        <f ca="1">SUMPRODUCT((Work_Codes!$AC$162:$AO$162=$E248)*(Work_Codes!$AC$173:$AO$173)*(J$74:J$74))</f>
        <v>0</v>
      </c>
      <c r="K248" s="81">
        <f ca="1">SUMPRODUCT((Work_Codes!$AC$162:$AO$162=$E248)*(Work_Codes!$AC$173:$AO$173)*(K$74:K$74))</f>
        <v>0</v>
      </c>
      <c r="L248" s="81">
        <f ca="1">SUMPRODUCT((Work_Codes!$AC$162:$AO$162=$E248)*(Work_Codes!$AC$173:$AO$173)*(L$74:L$74))</f>
        <v>0</v>
      </c>
      <c r="M248" s="81">
        <f ca="1">SUMPRODUCT((Work_Codes!$AC$162:$AO$162=$E248)*(Work_Codes!$AC$173:$AO$173)*(M$74:M$74))</f>
        <v>0</v>
      </c>
      <c r="N248" s="81">
        <f ca="1">SUMPRODUCT((Work_Codes!$AC$162:$AO$162=$E248)*(Work_Codes!$AC$173:$AO$173)*(N$74:N$74))</f>
        <v>0</v>
      </c>
      <c r="O248" s="81">
        <f ca="1">SUMPRODUCT((Work_Codes!$AC$162:$AO$162=$E248)*(Work_Codes!$AC$173:$AO$173)*(O$74:O$74))</f>
        <v>0</v>
      </c>
      <c r="P248" s="81">
        <f ca="1">SUMPRODUCT((Work_Codes!$AC$162:$AO$162=$E248)*(Work_Codes!$AC$173:$AO$173)*(P$74:P$74))</f>
        <v>0</v>
      </c>
      <c r="Q248" s="81">
        <f ca="1">SUMPRODUCT((Work_Codes!$AC$162:$AO$162=$E248)*(Work_Codes!$AC$173:$AO$173)*(Q$74:Q$74))</f>
        <v>0</v>
      </c>
      <c r="R248" s="81">
        <f ca="1">SUMPRODUCT((Work_Codes!$AC$162:$AO$162=$E248)*(Work_Codes!$AC$173:$AO$173)*(R$74:R$74))</f>
        <v>0</v>
      </c>
      <c r="S248" s="81">
        <f ca="1">SUMPRODUCT((Work_Codes!$AC$162:$AO$162=$E248)*(Work_Codes!$AC$173:$AO$173)*(S$74:S$74))</f>
        <v>0</v>
      </c>
      <c r="T248" s="81">
        <f ca="1">SUMPRODUCT((Work_Codes!$AC$162:$AO$162=$E248)*(Work_Codes!$AC$173:$AO$173)*(T$74:T$74))</f>
        <v>0</v>
      </c>
    </row>
    <row r="249" spans="4:20" outlineLevel="2">
      <c r="E249" s="247" t="str">
        <f>GC!C64</f>
        <v>Commercial and industrial meter replacement</v>
      </c>
      <c r="F249" s="247"/>
      <c r="G249" s="247"/>
      <c r="H249" s="247"/>
      <c r="I249" s="247"/>
      <c r="J249" s="81">
        <f ca="1">SUMPRODUCT((Work_Codes!$AC$162:$AO$162=$E249)*(Work_Codes!$AC$173:$AO$173)*(J$74:J$74))</f>
        <v>0</v>
      </c>
      <c r="K249" s="81">
        <f ca="1">SUMPRODUCT((Work_Codes!$AC$162:$AO$162=$E249)*(Work_Codes!$AC$173:$AO$173)*(K$74:K$74))</f>
        <v>0</v>
      </c>
      <c r="L249" s="81">
        <f ca="1">SUMPRODUCT((Work_Codes!$AC$162:$AO$162=$E249)*(Work_Codes!$AC$173:$AO$173)*(L$74:L$74))</f>
        <v>0</v>
      </c>
      <c r="M249" s="81">
        <f ca="1">SUMPRODUCT((Work_Codes!$AC$162:$AO$162=$E249)*(Work_Codes!$AC$173:$AO$173)*(M$74:M$74))</f>
        <v>0</v>
      </c>
      <c r="N249" s="81">
        <f ca="1">SUMPRODUCT((Work_Codes!$AC$162:$AO$162=$E249)*(Work_Codes!$AC$173:$AO$173)*(N$74:N$74))</f>
        <v>0</v>
      </c>
      <c r="O249" s="81">
        <f ca="1">SUMPRODUCT((Work_Codes!$AC$162:$AO$162=$E249)*(Work_Codes!$AC$173:$AO$173)*(O$74:O$74))</f>
        <v>0</v>
      </c>
      <c r="P249" s="81">
        <f ca="1">SUMPRODUCT((Work_Codes!$AC$162:$AO$162=$E249)*(Work_Codes!$AC$173:$AO$173)*(P$74:P$74))</f>
        <v>0</v>
      </c>
      <c r="Q249" s="81">
        <f ca="1">SUMPRODUCT((Work_Codes!$AC$162:$AO$162=$E249)*(Work_Codes!$AC$173:$AO$173)*(Q$74:Q$74))</f>
        <v>0</v>
      </c>
      <c r="R249" s="81">
        <f ca="1">SUMPRODUCT((Work_Codes!$AC$162:$AO$162=$E249)*(Work_Codes!$AC$173:$AO$173)*(R$74:R$74))</f>
        <v>0</v>
      </c>
      <c r="S249" s="81">
        <f ca="1">SUMPRODUCT((Work_Codes!$AC$162:$AO$162=$E249)*(Work_Codes!$AC$173:$AO$173)*(S$74:S$74))</f>
        <v>0</v>
      </c>
      <c r="T249" s="81">
        <f ca="1">SUMPRODUCT((Work_Codes!$AC$162:$AO$162=$E249)*(Work_Codes!$AC$173:$AO$173)*(T$74:T$74))</f>
        <v>0</v>
      </c>
    </row>
    <row r="250" spans="4:20" outlineLevel="2">
      <c r="E250" s="247" t="str">
        <f>GC!C65</f>
        <v>Augmentation</v>
      </c>
      <c r="F250" s="247"/>
      <c r="G250" s="247"/>
      <c r="H250" s="247"/>
      <c r="I250" s="247"/>
      <c r="J250" s="81">
        <f ca="1">SUMPRODUCT((Work_Codes!$AC$162:$AO$162=$E250)*(Work_Codes!$AC$173:$AO$173)*(J$74:J$74))</f>
        <v>0</v>
      </c>
      <c r="K250" s="81">
        <f ca="1">SUMPRODUCT((Work_Codes!$AC$162:$AO$162=$E250)*(Work_Codes!$AC$173:$AO$173)*(K$74:K$74))</f>
        <v>0</v>
      </c>
      <c r="L250" s="81">
        <f ca="1">SUMPRODUCT((Work_Codes!$AC$162:$AO$162=$E250)*(Work_Codes!$AC$173:$AO$173)*(L$74:L$74))</f>
        <v>0</v>
      </c>
      <c r="M250" s="81">
        <f ca="1">SUMPRODUCT((Work_Codes!$AC$162:$AO$162=$E250)*(Work_Codes!$AC$173:$AO$173)*(M$74:M$74))</f>
        <v>0</v>
      </c>
      <c r="N250" s="81">
        <f ca="1">SUMPRODUCT((Work_Codes!$AC$162:$AO$162=$E250)*(Work_Codes!$AC$173:$AO$173)*(N$74:N$74))</f>
        <v>0</v>
      </c>
      <c r="O250" s="81">
        <f ca="1">SUMPRODUCT((Work_Codes!$AC$162:$AO$162=$E250)*(Work_Codes!$AC$173:$AO$173)*(O$74:O$74))</f>
        <v>0</v>
      </c>
      <c r="P250" s="81">
        <f ca="1">SUMPRODUCT((Work_Codes!$AC$162:$AO$162=$E250)*(Work_Codes!$AC$173:$AO$173)*(P$74:P$74))</f>
        <v>0</v>
      </c>
      <c r="Q250" s="81">
        <f ca="1">SUMPRODUCT((Work_Codes!$AC$162:$AO$162=$E250)*(Work_Codes!$AC$173:$AO$173)*(Q$74:Q$74))</f>
        <v>0</v>
      </c>
      <c r="R250" s="81">
        <f ca="1">SUMPRODUCT((Work_Codes!$AC$162:$AO$162=$E250)*(Work_Codes!$AC$173:$AO$173)*(R$74:R$74))</f>
        <v>0</v>
      </c>
      <c r="S250" s="81">
        <f ca="1">SUMPRODUCT((Work_Codes!$AC$162:$AO$162=$E250)*(Work_Codes!$AC$173:$AO$173)*(S$74:S$74))</f>
        <v>0</v>
      </c>
      <c r="T250" s="81">
        <f ca="1">SUMPRODUCT((Work_Codes!$AC$162:$AO$162=$E250)*(Work_Codes!$AC$173:$AO$173)*(T$74:T$74))</f>
        <v>0</v>
      </c>
    </row>
    <row r="251" spans="4:20" outlineLevel="2">
      <c r="E251" s="247" t="str">
        <f>GC!C66</f>
        <v>IT capex</v>
      </c>
      <c r="F251" s="247"/>
      <c r="G251" s="247"/>
      <c r="H251" s="247"/>
      <c r="I251" s="247"/>
      <c r="J251" s="81">
        <f ca="1">SUMPRODUCT((Work_Codes!$AC$162:$AO$162=$E251)*(Work_Codes!$AC$173:$AO$173)*(J$74:J$74))</f>
        <v>0</v>
      </c>
      <c r="K251" s="81">
        <f ca="1">SUMPRODUCT((Work_Codes!$AC$162:$AO$162=$E251)*(Work_Codes!$AC$173:$AO$173)*(K$74:K$74))</f>
        <v>0</v>
      </c>
      <c r="L251" s="81">
        <f ca="1">SUMPRODUCT((Work_Codes!$AC$162:$AO$162=$E251)*(Work_Codes!$AC$173:$AO$173)*(L$74:L$74))</f>
        <v>0</v>
      </c>
      <c r="M251" s="81">
        <f ca="1">SUMPRODUCT((Work_Codes!$AC$162:$AO$162=$E251)*(Work_Codes!$AC$173:$AO$173)*(M$74:M$74))</f>
        <v>0</v>
      </c>
      <c r="N251" s="81">
        <f ca="1">SUMPRODUCT((Work_Codes!$AC$162:$AO$162=$E251)*(Work_Codes!$AC$173:$AO$173)*(N$74:N$74))</f>
        <v>0</v>
      </c>
      <c r="O251" s="81">
        <f ca="1">SUMPRODUCT((Work_Codes!$AC$162:$AO$162=$E251)*(Work_Codes!$AC$173:$AO$173)*(O$74:O$74))</f>
        <v>0</v>
      </c>
      <c r="P251" s="81">
        <f ca="1">SUMPRODUCT((Work_Codes!$AC$162:$AO$162=$E251)*(Work_Codes!$AC$173:$AO$173)*(P$74:P$74))</f>
        <v>0</v>
      </c>
      <c r="Q251" s="81">
        <f ca="1">SUMPRODUCT((Work_Codes!$AC$162:$AO$162=$E251)*(Work_Codes!$AC$173:$AO$173)*(Q$74:Q$74))</f>
        <v>0</v>
      </c>
      <c r="R251" s="81">
        <f ca="1">SUMPRODUCT((Work_Codes!$AC$162:$AO$162=$E251)*(Work_Codes!$AC$173:$AO$173)*(R$74:R$74))</f>
        <v>0</v>
      </c>
      <c r="S251" s="81">
        <f ca="1">SUMPRODUCT((Work_Codes!$AC$162:$AO$162=$E251)*(Work_Codes!$AC$173:$AO$173)*(S$74:S$74))</f>
        <v>0</v>
      </c>
      <c r="T251" s="81">
        <f ca="1">SUMPRODUCT((Work_Codes!$AC$162:$AO$162=$E251)*(Work_Codes!$AC$173:$AO$173)*(T$74:T$74))</f>
        <v>0</v>
      </c>
    </row>
    <row r="252" spans="4:20" outlineLevel="2">
      <c r="E252" s="247" t="str">
        <f>GC!C67</f>
        <v>SCADA</v>
      </c>
      <c r="F252" s="247"/>
      <c r="G252" s="247"/>
      <c r="H252" s="247"/>
      <c r="I252" s="247"/>
      <c r="J252" s="81">
        <f ca="1">SUMPRODUCT((Work_Codes!$AC$162:$AO$162=$E252)*(Work_Codes!$AC$173:$AO$173)*(J$74:J$74))</f>
        <v>0</v>
      </c>
      <c r="K252" s="81">
        <f ca="1">SUMPRODUCT((Work_Codes!$AC$162:$AO$162=$E252)*(Work_Codes!$AC$173:$AO$173)*(K$74:K$74))</f>
        <v>0</v>
      </c>
      <c r="L252" s="81">
        <f ca="1">SUMPRODUCT((Work_Codes!$AC$162:$AO$162=$E252)*(Work_Codes!$AC$173:$AO$173)*(L$74:L$74))</f>
        <v>0</v>
      </c>
      <c r="M252" s="81">
        <f ca="1">SUMPRODUCT((Work_Codes!$AC$162:$AO$162=$E252)*(Work_Codes!$AC$173:$AO$173)*(M$74:M$74))</f>
        <v>0</v>
      </c>
      <c r="N252" s="81">
        <f ca="1">SUMPRODUCT((Work_Codes!$AC$162:$AO$162=$E252)*(Work_Codes!$AC$173:$AO$173)*(N$74:N$74))</f>
        <v>0</v>
      </c>
      <c r="O252" s="81">
        <f ca="1">SUMPRODUCT((Work_Codes!$AC$162:$AO$162=$E252)*(Work_Codes!$AC$173:$AO$173)*(O$74:O$74))</f>
        <v>0</v>
      </c>
      <c r="P252" s="81">
        <f ca="1">SUMPRODUCT((Work_Codes!$AC$162:$AO$162=$E252)*(Work_Codes!$AC$173:$AO$173)*(P$74:P$74))</f>
        <v>0</v>
      </c>
      <c r="Q252" s="81">
        <f ca="1">SUMPRODUCT((Work_Codes!$AC$162:$AO$162=$E252)*(Work_Codes!$AC$173:$AO$173)*(Q$74:Q$74))</f>
        <v>0</v>
      </c>
      <c r="R252" s="81">
        <f ca="1">SUMPRODUCT((Work_Codes!$AC$162:$AO$162=$E252)*(Work_Codes!$AC$173:$AO$173)*(R$74:R$74))</f>
        <v>0</v>
      </c>
      <c r="S252" s="81">
        <f ca="1">SUMPRODUCT((Work_Codes!$AC$162:$AO$162=$E252)*(Work_Codes!$AC$173:$AO$173)*(S$74:S$74))</f>
        <v>0</v>
      </c>
      <c r="T252" s="81">
        <f ca="1">SUMPRODUCT((Work_Codes!$AC$162:$AO$162=$E252)*(Work_Codes!$AC$173:$AO$173)*(T$74:T$74))</f>
        <v>0</v>
      </c>
    </row>
    <row r="253" spans="4:20" outlineLevel="2">
      <c r="E253" s="247" t="str">
        <f>GC!C68</f>
        <v>Other</v>
      </c>
      <c r="F253" s="247"/>
      <c r="G253" s="247"/>
      <c r="H253" s="247"/>
      <c r="I253" s="247"/>
      <c r="J253" s="81">
        <f ca="1">SUMPRODUCT((Work_Codes!$AC$162:$AO$162=$E253)*(Work_Codes!$AC$173:$AO$173)*(J$74:J$74))</f>
        <v>0</v>
      </c>
      <c r="K253" s="81">
        <f ca="1">SUMPRODUCT((Work_Codes!$AC$162:$AO$162=$E253)*(Work_Codes!$AC$173:$AO$173)*(K$74:K$74))</f>
        <v>0</v>
      </c>
      <c r="L253" s="81">
        <f ca="1">SUMPRODUCT((Work_Codes!$AC$162:$AO$162=$E253)*(Work_Codes!$AC$173:$AO$173)*(L$74:L$74))</f>
        <v>0</v>
      </c>
      <c r="M253" s="81">
        <f ca="1">SUMPRODUCT((Work_Codes!$AC$162:$AO$162=$E253)*(Work_Codes!$AC$173:$AO$173)*(M$74:M$74))</f>
        <v>0</v>
      </c>
      <c r="N253" s="81">
        <f ca="1">SUMPRODUCT((Work_Codes!$AC$162:$AO$162=$E253)*(Work_Codes!$AC$173:$AO$173)*(N$74:N$74))</f>
        <v>0</v>
      </c>
      <c r="O253" s="81">
        <f ca="1">SUMPRODUCT((Work_Codes!$AC$162:$AO$162=$E253)*(Work_Codes!$AC$173:$AO$173)*(O$74:O$74))</f>
        <v>0</v>
      </c>
      <c r="P253" s="81">
        <f ca="1">SUMPRODUCT((Work_Codes!$AC$162:$AO$162=$E253)*(Work_Codes!$AC$173:$AO$173)*(P$74:P$74))</f>
        <v>0</v>
      </c>
      <c r="Q253" s="81">
        <f ca="1">SUMPRODUCT((Work_Codes!$AC$162:$AO$162=$E253)*(Work_Codes!$AC$173:$AO$173)*(Q$74:Q$74))</f>
        <v>0</v>
      </c>
      <c r="R253" s="81">
        <f ca="1">SUMPRODUCT((Work_Codes!$AC$162:$AO$162=$E253)*(Work_Codes!$AC$173:$AO$173)*(R$74:R$74))</f>
        <v>0</v>
      </c>
      <c r="S253" s="81">
        <f ca="1">SUMPRODUCT((Work_Codes!$AC$162:$AO$162=$E253)*(Work_Codes!$AC$173:$AO$173)*(S$74:S$74))</f>
        <v>0</v>
      </c>
      <c r="T253" s="81">
        <f ca="1">SUMPRODUCT((Work_Codes!$AC$162:$AO$162=$E253)*(Work_Codes!$AC$173:$AO$173)*(T$74:T$74))</f>
        <v>0</v>
      </c>
    </row>
    <row r="254" spans="4:20" outlineLevel="2">
      <c r="E254" s="247" t="str">
        <f>GC!C69</f>
        <v>Capitalised Leases</v>
      </c>
      <c r="F254" s="247"/>
      <c r="G254" s="247"/>
      <c r="H254" s="247"/>
      <c r="I254" s="247"/>
      <c r="J254" s="81">
        <f ca="1">SUMPRODUCT((Work_Codes!$AC$162:$AO$162=$E254)*(Work_Codes!$AC$173:$AO$173)*(J$74:J$74))</f>
        <v>0</v>
      </c>
      <c r="K254" s="81">
        <f ca="1">SUMPRODUCT((Work_Codes!$AC$162:$AO$162=$E254)*(Work_Codes!$AC$173:$AO$173)*(K$74:K$74))</f>
        <v>0</v>
      </c>
      <c r="L254" s="81">
        <f ca="1">SUMPRODUCT((Work_Codes!$AC$162:$AO$162=$E254)*(Work_Codes!$AC$173:$AO$173)*(L$74:L$74))</f>
        <v>0</v>
      </c>
      <c r="M254" s="81">
        <f ca="1">SUMPRODUCT((Work_Codes!$AC$162:$AO$162=$E254)*(Work_Codes!$AC$173:$AO$173)*(M$74:M$74))</f>
        <v>0</v>
      </c>
      <c r="N254" s="81">
        <f ca="1">SUMPRODUCT((Work_Codes!$AC$162:$AO$162=$E254)*(Work_Codes!$AC$173:$AO$173)*(N$74:N$74))</f>
        <v>0</v>
      </c>
      <c r="O254" s="81">
        <f ca="1">SUMPRODUCT((Work_Codes!$AC$162:$AO$162=$E254)*(Work_Codes!$AC$173:$AO$173)*(O$74:O$74))</f>
        <v>0</v>
      </c>
      <c r="P254" s="81">
        <f ca="1">SUMPRODUCT((Work_Codes!$AC$162:$AO$162=$E254)*(Work_Codes!$AC$173:$AO$173)*(P$74:P$74))</f>
        <v>0</v>
      </c>
      <c r="Q254" s="81">
        <f ca="1">SUMPRODUCT((Work_Codes!$AC$162:$AO$162=$E254)*(Work_Codes!$AC$173:$AO$173)*(Q$74:Q$74))</f>
        <v>0</v>
      </c>
      <c r="R254" s="81">
        <f ca="1">SUMPRODUCT((Work_Codes!$AC$162:$AO$162=$E254)*(Work_Codes!$AC$173:$AO$173)*(R$74:R$74))</f>
        <v>0</v>
      </c>
      <c r="S254" s="81">
        <f ca="1">SUMPRODUCT((Work_Codes!$AC$162:$AO$162=$E254)*(Work_Codes!$AC$173:$AO$173)*(S$74:S$74))</f>
        <v>0</v>
      </c>
      <c r="T254" s="81">
        <f ca="1">SUMPRODUCT((Work_Codes!$AC$162:$AO$162=$E254)*(Work_Codes!$AC$173:$AO$173)*(T$74:T$74))</f>
        <v>0</v>
      </c>
    </row>
    <row r="255" spans="4:20" outlineLevel="2">
      <c r="E255" s="247" t="str">
        <f>GC!C70</f>
        <v>Gas Extensions - Energy for the Regions</v>
      </c>
      <c r="F255" s="247"/>
      <c r="G255" s="247"/>
      <c r="H255" s="247"/>
      <c r="I255" s="247"/>
      <c r="J255" s="81">
        <f ca="1">SUMPRODUCT((Work_Codes!$AC$162:$AO$162=$E255)*(Work_Codes!$AC$173:$AO$173)*(J$74:J$74))</f>
        <v>0</v>
      </c>
      <c r="K255" s="81">
        <f ca="1">SUMPRODUCT((Work_Codes!$AC$162:$AO$162=$E255)*(Work_Codes!$AC$173:$AO$173)*(K$74:K$74))</f>
        <v>0</v>
      </c>
      <c r="L255" s="81">
        <f ca="1">SUMPRODUCT((Work_Codes!$AC$162:$AO$162=$E255)*(Work_Codes!$AC$173:$AO$173)*(L$74:L$74))</f>
        <v>0</v>
      </c>
      <c r="M255" s="81">
        <f ca="1">SUMPRODUCT((Work_Codes!$AC$162:$AO$162=$E255)*(Work_Codes!$AC$173:$AO$173)*(M$74:M$74))</f>
        <v>0</v>
      </c>
      <c r="N255" s="81">
        <f ca="1">SUMPRODUCT((Work_Codes!$AC$162:$AO$162=$E255)*(Work_Codes!$AC$173:$AO$173)*(N$74:N$74))</f>
        <v>0</v>
      </c>
      <c r="O255" s="81">
        <f ca="1">SUMPRODUCT((Work_Codes!$AC$162:$AO$162=$E255)*(Work_Codes!$AC$173:$AO$173)*(O$74:O$74))</f>
        <v>0</v>
      </c>
      <c r="P255" s="81">
        <f ca="1">SUMPRODUCT((Work_Codes!$AC$162:$AO$162=$E255)*(Work_Codes!$AC$173:$AO$173)*(P$74:P$74))</f>
        <v>0</v>
      </c>
      <c r="Q255" s="81">
        <f ca="1">SUMPRODUCT((Work_Codes!$AC$162:$AO$162=$E255)*(Work_Codes!$AC$173:$AO$173)*(Q$74:Q$74))</f>
        <v>0</v>
      </c>
      <c r="R255" s="81">
        <f ca="1">SUMPRODUCT((Work_Codes!$AC$162:$AO$162=$E255)*(Work_Codes!$AC$173:$AO$173)*(R$74:R$74))</f>
        <v>0</v>
      </c>
      <c r="S255" s="81">
        <f ca="1">SUMPRODUCT((Work_Codes!$AC$162:$AO$162=$E255)*(Work_Codes!$AC$173:$AO$173)*(S$74:S$74))</f>
        <v>0</v>
      </c>
      <c r="T255" s="81">
        <f ca="1">SUMPRODUCT((Work_Codes!$AC$162:$AO$162=$E255)*(Work_Codes!$AC$173:$AO$173)*(T$74:T$74))</f>
        <v>0</v>
      </c>
    </row>
    <row r="256" spans="4:20" outlineLevel="2">
      <c r="E256" s="247" t="str">
        <f>GC!C71</f>
        <v>Gas Extensions - Other</v>
      </c>
      <c r="F256" s="247"/>
      <c r="G256" s="247"/>
      <c r="H256" s="247"/>
      <c r="I256" s="247"/>
      <c r="J256" s="81">
        <f ca="1">SUMPRODUCT((Work_Codes!$AC$162:$AO$162=$E256)*(Work_Codes!$AC$173:$AO$173)*(J$74:J$74))</f>
        <v>0</v>
      </c>
      <c r="K256" s="81">
        <f ca="1">SUMPRODUCT((Work_Codes!$AC$162:$AO$162=$E256)*(Work_Codes!$AC$173:$AO$173)*(K$74:K$74))</f>
        <v>0</v>
      </c>
      <c r="L256" s="81">
        <f ca="1">SUMPRODUCT((Work_Codes!$AC$162:$AO$162=$E256)*(Work_Codes!$AC$173:$AO$173)*(L$74:L$74))</f>
        <v>0</v>
      </c>
      <c r="M256" s="81">
        <f ca="1">SUMPRODUCT((Work_Codes!$AC$162:$AO$162=$E256)*(Work_Codes!$AC$173:$AO$173)*(M$74:M$74))</f>
        <v>0</v>
      </c>
      <c r="N256" s="81">
        <f ca="1">SUMPRODUCT((Work_Codes!$AC$162:$AO$162=$E256)*(Work_Codes!$AC$173:$AO$173)*(N$74:N$74))</f>
        <v>0</v>
      </c>
      <c r="O256" s="81">
        <f ca="1">SUMPRODUCT((Work_Codes!$AC$162:$AO$162=$E256)*(Work_Codes!$AC$173:$AO$173)*(O$74:O$74))</f>
        <v>0</v>
      </c>
      <c r="P256" s="81">
        <f ca="1">SUMPRODUCT((Work_Codes!$AC$162:$AO$162=$E256)*(Work_Codes!$AC$173:$AO$173)*(P$74:P$74))</f>
        <v>0</v>
      </c>
      <c r="Q256" s="81">
        <f ca="1">SUMPRODUCT((Work_Codes!$AC$162:$AO$162=$E256)*(Work_Codes!$AC$173:$AO$173)*(Q$74:Q$74))</f>
        <v>0</v>
      </c>
      <c r="R256" s="81">
        <f ca="1">SUMPRODUCT((Work_Codes!$AC$162:$AO$162=$E256)*(Work_Codes!$AC$173:$AO$173)*(R$74:R$74))</f>
        <v>0</v>
      </c>
      <c r="S256" s="81">
        <f ca="1">SUMPRODUCT((Work_Codes!$AC$162:$AO$162=$E256)*(Work_Codes!$AC$173:$AO$173)*(S$74:S$74))</f>
        <v>0</v>
      </c>
      <c r="T256" s="81">
        <f ca="1">SUMPRODUCT((Work_Codes!$AC$162:$AO$162=$E256)*(Work_Codes!$AC$173:$AO$173)*(T$74:T$74))</f>
        <v>0</v>
      </c>
    </row>
    <row r="257" spans="2:20" outlineLevel="2">
      <c r="E257" s="247" t="str">
        <f>GC!C72</f>
        <v>Customer contributions</v>
      </c>
      <c r="F257" s="247"/>
      <c r="G257" s="247"/>
      <c r="H257" s="247"/>
      <c r="I257" s="247"/>
      <c r="J257" s="81">
        <f ca="1">SUMPRODUCT((Work_Codes!$AC$162:$AO$162=$E257)*(Work_Codes!$AC$173:$AO$173)*(J$74:J$74))</f>
        <v>0</v>
      </c>
      <c r="K257" s="81">
        <f ca="1">SUMPRODUCT((Work_Codes!$AC$162:$AO$162=$E257)*(Work_Codes!$AC$173:$AO$173)*(K$74:K$74))</f>
        <v>0</v>
      </c>
      <c r="L257" s="81">
        <f ca="1">SUMPRODUCT((Work_Codes!$AC$162:$AO$162=$E257)*(Work_Codes!$AC$173:$AO$173)*(L$74:L$74))</f>
        <v>0</v>
      </c>
      <c r="M257" s="81">
        <f ca="1">SUMPRODUCT((Work_Codes!$AC$162:$AO$162=$E257)*(Work_Codes!$AC$173:$AO$173)*(M$74:M$74))</f>
        <v>0</v>
      </c>
      <c r="N257" s="81">
        <f ca="1">SUMPRODUCT((Work_Codes!$AC$162:$AO$162=$E257)*(Work_Codes!$AC$173:$AO$173)*(N$74:N$74))</f>
        <v>0</v>
      </c>
      <c r="O257" s="81">
        <f ca="1">SUMPRODUCT((Work_Codes!$AC$162:$AO$162=$E257)*(Work_Codes!$AC$173:$AO$173)*(O$74:O$74))</f>
        <v>0</v>
      </c>
      <c r="P257" s="81">
        <f ca="1">SUMPRODUCT((Work_Codes!$AC$162:$AO$162=$E257)*(Work_Codes!$AC$173:$AO$173)*(P$74:P$74))</f>
        <v>0</v>
      </c>
      <c r="Q257" s="81">
        <f ca="1">SUMPRODUCT((Work_Codes!$AC$162:$AO$162=$E257)*(Work_Codes!$AC$173:$AO$173)*(Q$74:Q$74))</f>
        <v>0</v>
      </c>
      <c r="R257" s="81">
        <f ca="1">SUMPRODUCT((Work_Codes!$AC$162:$AO$162=$E257)*(Work_Codes!$AC$173:$AO$173)*(R$74:R$74))</f>
        <v>0</v>
      </c>
      <c r="S257" s="81">
        <f ca="1">SUMPRODUCT((Work_Codes!$AC$162:$AO$162=$E257)*(Work_Codes!$AC$173:$AO$173)*(S$74:S$74))</f>
        <v>0</v>
      </c>
      <c r="T257" s="81">
        <f ca="1">SUMPRODUCT((Work_Codes!$AC$162:$AO$162=$E257)*(Work_Codes!$AC$173:$AO$173)*(T$74:T$74))</f>
        <v>0</v>
      </c>
    </row>
    <row r="258" spans="2:20" outlineLevel="2">
      <c r="E258" s="247" t="str">
        <f>GC!C73</f>
        <v>Government contributions</v>
      </c>
      <c r="F258" s="247"/>
      <c r="G258" s="247"/>
      <c r="H258" s="247"/>
      <c r="I258" s="247"/>
      <c r="J258" s="81">
        <f ca="1">SUMPRODUCT((Work_Codes!$AC$162:$AO$162=$E258)*(Work_Codes!$AC$173:$AO$173)*(J$74:J$74))</f>
        <v>0</v>
      </c>
      <c r="K258" s="81">
        <f ca="1">SUMPRODUCT((Work_Codes!$AC$162:$AO$162=$E258)*(Work_Codes!$AC$173:$AO$173)*(K$74:K$74))</f>
        <v>0</v>
      </c>
      <c r="L258" s="81">
        <f ca="1">SUMPRODUCT((Work_Codes!$AC$162:$AO$162=$E258)*(Work_Codes!$AC$173:$AO$173)*(L$74:L$74))</f>
        <v>0</v>
      </c>
      <c r="M258" s="81">
        <f ca="1">SUMPRODUCT((Work_Codes!$AC$162:$AO$162=$E258)*(Work_Codes!$AC$173:$AO$173)*(M$74:M$74))</f>
        <v>0</v>
      </c>
      <c r="N258" s="81">
        <f ca="1">SUMPRODUCT((Work_Codes!$AC$162:$AO$162=$E258)*(Work_Codes!$AC$173:$AO$173)*(N$74:N$74))</f>
        <v>0</v>
      </c>
      <c r="O258" s="81">
        <f ca="1">SUMPRODUCT((Work_Codes!$AC$162:$AO$162=$E258)*(Work_Codes!$AC$173:$AO$173)*(O$74:O$74))</f>
        <v>0</v>
      </c>
      <c r="P258" s="81">
        <f ca="1">SUMPRODUCT((Work_Codes!$AC$162:$AO$162=$E258)*(Work_Codes!$AC$173:$AO$173)*(P$74:P$74))</f>
        <v>0</v>
      </c>
      <c r="Q258" s="81">
        <f ca="1">SUMPRODUCT((Work_Codes!$AC$162:$AO$162=$E258)*(Work_Codes!$AC$173:$AO$173)*(Q$74:Q$74))</f>
        <v>0</v>
      </c>
      <c r="R258" s="81">
        <f ca="1">SUMPRODUCT((Work_Codes!$AC$162:$AO$162=$E258)*(Work_Codes!$AC$173:$AO$173)*(R$74:R$74))</f>
        <v>0</v>
      </c>
      <c r="S258" s="81">
        <f ca="1">SUMPRODUCT((Work_Codes!$AC$162:$AO$162=$E258)*(Work_Codes!$AC$173:$AO$173)*(S$74:S$74))</f>
        <v>0</v>
      </c>
      <c r="T258" s="81">
        <f ca="1">SUMPRODUCT((Work_Codes!$AC$162:$AO$162=$E258)*(Work_Codes!$AC$173:$AO$173)*(T$74:T$74))</f>
        <v>0</v>
      </c>
    </row>
    <row r="259" spans="2:20" outlineLevel="2">
      <c r="E259" s="249" t="str">
        <f t="shared" ref="E259" si="25">"Total "&amp;D243</f>
        <v>Total Customer Contributions</v>
      </c>
      <c r="F259" s="249"/>
      <c r="G259" s="249"/>
      <c r="H259" s="249"/>
      <c r="I259" s="249"/>
      <c r="J259" s="82">
        <f t="shared" ref="J259:T259" ca="1" si="26">SUM(J245:J258)</f>
        <v>0</v>
      </c>
      <c r="K259" s="82">
        <f t="shared" ca="1" si="26"/>
        <v>0</v>
      </c>
      <c r="L259" s="82">
        <f t="shared" ca="1" si="26"/>
        <v>0</v>
      </c>
      <c r="M259" s="82">
        <f t="shared" ca="1" si="26"/>
        <v>0</v>
      </c>
      <c r="N259" s="82">
        <f t="shared" ca="1" si="26"/>
        <v>0</v>
      </c>
      <c r="O259" s="82">
        <f t="shared" ca="1" si="26"/>
        <v>0</v>
      </c>
      <c r="P259" s="82">
        <f t="shared" ca="1" si="26"/>
        <v>0</v>
      </c>
      <c r="Q259" s="82">
        <f t="shared" ca="1" si="26"/>
        <v>0</v>
      </c>
      <c r="R259" s="82">
        <f t="shared" ca="1" si="26"/>
        <v>0</v>
      </c>
      <c r="S259" s="82">
        <f t="shared" ca="1" si="26"/>
        <v>0</v>
      </c>
      <c r="T259" s="82">
        <f t="shared" ca="1" si="26"/>
        <v>0</v>
      </c>
    </row>
    <row r="260" spans="2:20" outlineLevel="2">
      <c r="B260" s="12"/>
      <c r="C260" s="12"/>
      <c r="D260" s="12"/>
      <c r="E260" s="12"/>
      <c r="F260" s="12"/>
      <c r="G260" s="12"/>
      <c r="H260" s="12"/>
      <c r="I260" s="12"/>
      <c r="J260" s="12"/>
      <c r="K260" s="12"/>
      <c r="L260" s="12"/>
      <c r="M260" s="12"/>
      <c r="N260" s="12"/>
      <c r="O260" s="12"/>
      <c r="P260" s="12"/>
      <c r="Q260" s="12"/>
      <c r="R260" s="12"/>
      <c r="S260" s="12"/>
      <c r="T260" s="12"/>
    </row>
    <row r="261" spans="2:20" outlineLevel="2"/>
    <row r="262" spans="2:20" outlineLevel="2">
      <c r="C262" s="37" t="s">
        <v>311</v>
      </c>
    </row>
    <row r="263" spans="2:20" ht="5.9" customHeight="1" outlineLevel="2"/>
    <row r="264" spans="2:20" outlineLevel="2">
      <c r="D264" s="37" t="s">
        <v>215</v>
      </c>
    </row>
    <row r="265" spans="2:20" ht="5.9" customHeight="1" outlineLevel="2"/>
    <row r="266" spans="2:20" outlineLevel="2">
      <c r="E266" s="247" t="str">
        <f>GC!C78</f>
        <v>Mains &amp; Services</v>
      </c>
      <c r="F266" s="247"/>
      <c r="G266" s="247"/>
      <c r="H266" s="247"/>
      <c r="I266" s="247"/>
      <c r="J266" s="81">
        <f ca="1">SUMPRODUCT((Work_Codes!$AR$162:$AX$162=$E266)*(Work_Codes!$AR$165:$AX$169)*(J$113:J$117))</f>
        <v>0</v>
      </c>
      <c r="K266" s="81">
        <f ca="1">SUMPRODUCT((Work_Codes!$AR$162:$AX$162=$E266)*(Work_Codes!$AR$165:$AX$169)*(K$113:K$117))</f>
        <v>0</v>
      </c>
      <c r="L266" s="81">
        <f ca="1">SUMPRODUCT((Work_Codes!$AR$162:$AX$162=$E266)*(Work_Codes!$AR$165:$AX$169)*(L$113:L$117))</f>
        <v>0</v>
      </c>
      <c r="M266" s="81">
        <f ca="1">SUMPRODUCT((Work_Codes!$AR$162:$AX$162=$E266)*(Work_Codes!$AR$165:$AX$169)*(M$113:M$117))</f>
        <v>0</v>
      </c>
      <c r="N266" s="81">
        <f ca="1">SUMPRODUCT((Work_Codes!$AR$162:$AX$162=$E266)*(Work_Codes!$AR$165:$AX$169)*(N$113:N$117))</f>
        <v>0</v>
      </c>
      <c r="O266" s="81">
        <f ca="1">SUMPRODUCT((Work_Codes!$AR$162:$AX$162=$E266)*(Work_Codes!$AR$165:$AX$169)*(O$113:O$117))</f>
        <v>0</v>
      </c>
      <c r="P266" s="81">
        <f ca="1">SUMPRODUCT((Work_Codes!$AR$162:$AX$162=$E266)*(Work_Codes!$AR$165:$AX$169)*(P$113:P$117))</f>
        <v>0</v>
      </c>
      <c r="Q266" s="81">
        <f ca="1">SUMPRODUCT((Work_Codes!$AR$162:$AX$162=$E266)*(Work_Codes!$AR$165:$AX$169)*(Q$113:Q$117))</f>
        <v>0</v>
      </c>
      <c r="R266" s="81">
        <f ca="1">SUMPRODUCT((Work_Codes!$AR$162:$AX$162=$E266)*(Work_Codes!$AR$165:$AX$169)*(R$113:R$117))</f>
        <v>0</v>
      </c>
      <c r="S266" s="81">
        <f ca="1">SUMPRODUCT((Work_Codes!$AR$162:$AX$162=$E266)*(Work_Codes!$AR$165:$AX$169)*(S$113:S$117))</f>
        <v>0</v>
      </c>
      <c r="T266" s="81">
        <f ca="1">SUMPRODUCT((Work_Codes!$AR$162:$AX$162=$E266)*(Work_Codes!$AR$165:$AX$169)*(T$113:T$117))</f>
        <v>0</v>
      </c>
    </row>
    <row r="267" spans="2:20" outlineLevel="2">
      <c r="E267" s="247" t="str">
        <f>GC!C79</f>
        <v>Meters Domestic</v>
      </c>
      <c r="F267" s="247"/>
      <c r="G267" s="247"/>
      <c r="H267" s="247"/>
      <c r="I267" s="247"/>
      <c r="J267" s="81">
        <f ca="1">SUMPRODUCT((Work_Codes!$AR$162:$AX$162=$E267)*(Work_Codes!$AR$165:$AX$169)*(J$113:J$117))</f>
        <v>0</v>
      </c>
      <c r="K267" s="81">
        <f ca="1">SUMPRODUCT((Work_Codes!$AR$162:$AX$162=$E267)*(Work_Codes!$AR$165:$AX$169)*(K$113:K$117))</f>
        <v>0</v>
      </c>
      <c r="L267" s="81">
        <f ca="1">SUMPRODUCT((Work_Codes!$AR$162:$AX$162=$E267)*(Work_Codes!$AR$165:$AX$169)*(L$113:L$117))</f>
        <v>0</v>
      </c>
      <c r="M267" s="81">
        <f ca="1">SUMPRODUCT((Work_Codes!$AR$162:$AX$162=$E267)*(Work_Codes!$AR$165:$AX$169)*(M$113:M$117))</f>
        <v>0</v>
      </c>
      <c r="N267" s="81">
        <f ca="1">SUMPRODUCT((Work_Codes!$AR$162:$AX$162=$E267)*(Work_Codes!$AR$165:$AX$169)*(N$113:N$117))</f>
        <v>0</v>
      </c>
      <c r="O267" s="81">
        <f ca="1">SUMPRODUCT((Work_Codes!$AR$162:$AX$162=$E267)*(Work_Codes!$AR$165:$AX$169)*(O$113:O$117))</f>
        <v>0</v>
      </c>
      <c r="P267" s="81">
        <f ca="1">SUMPRODUCT((Work_Codes!$AR$162:$AX$162=$E267)*(Work_Codes!$AR$165:$AX$169)*(P$113:P$117))</f>
        <v>0</v>
      </c>
      <c r="Q267" s="81">
        <f ca="1">SUMPRODUCT((Work_Codes!$AR$162:$AX$162=$E267)*(Work_Codes!$AR$165:$AX$169)*(Q$113:Q$117))</f>
        <v>0</v>
      </c>
      <c r="R267" s="81">
        <f ca="1">SUMPRODUCT((Work_Codes!$AR$162:$AX$162=$E267)*(Work_Codes!$AR$165:$AX$169)*(R$113:R$117))</f>
        <v>0</v>
      </c>
      <c r="S267" s="81">
        <f ca="1">SUMPRODUCT((Work_Codes!$AR$162:$AX$162=$E267)*(Work_Codes!$AR$165:$AX$169)*(S$113:S$117))</f>
        <v>0</v>
      </c>
      <c r="T267" s="81">
        <f ca="1">SUMPRODUCT((Work_Codes!$AR$162:$AX$162=$E267)*(Work_Codes!$AR$165:$AX$169)*(T$113:T$117))</f>
        <v>0</v>
      </c>
    </row>
    <row r="268" spans="2:20" outlineLevel="2">
      <c r="E268" s="247" t="str">
        <f>GC!C80</f>
        <v>Meters Industrial &amp; Commercial</v>
      </c>
      <c r="F268" s="247"/>
      <c r="G268" s="247"/>
      <c r="H268" s="247"/>
      <c r="I268" s="247"/>
      <c r="J268" s="81">
        <f ca="1">SUMPRODUCT((Work_Codes!$AR$162:$AX$162=$E268)*(Work_Codes!$AR$165:$AX$169)*(J$113:J$117))</f>
        <v>0</v>
      </c>
      <c r="K268" s="81">
        <f ca="1">SUMPRODUCT((Work_Codes!$AR$162:$AX$162=$E268)*(Work_Codes!$AR$165:$AX$169)*(K$113:K$117))</f>
        <v>0</v>
      </c>
      <c r="L268" s="81">
        <f ca="1">SUMPRODUCT((Work_Codes!$AR$162:$AX$162=$E268)*(Work_Codes!$AR$165:$AX$169)*(L$113:L$117))</f>
        <v>0</v>
      </c>
      <c r="M268" s="81">
        <f ca="1">SUMPRODUCT((Work_Codes!$AR$162:$AX$162=$E268)*(Work_Codes!$AR$165:$AX$169)*(M$113:M$117))</f>
        <v>0</v>
      </c>
      <c r="N268" s="81">
        <f ca="1">SUMPRODUCT((Work_Codes!$AR$162:$AX$162=$E268)*(Work_Codes!$AR$165:$AX$169)*(N$113:N$117))</f>
        <v>843199.11110906955</v>
      </c>
      <c r="O268" s="81">
        <f ca="1">SUMPRODUCT((Work_Codes!$AR$162:$AX$162=$E268)*(Work_Codes!$AR$165:$AX$169)*(O$113:O$117))</f>
        <v>472422.54543903633</v>
      </c>
      <c r="P268" s="81">
        <f ca="1">SUMPRODUCT((Work_Codes!$AR$162:$AX$162=$E268)*(Work_Codes!$AR$165:$AX$169)*(P$113:P$117))</f>
        <v>1049190.323017779</v>
      </c>
      <c r="Q268" s="81">
        <f ca="1">SUMPRODUCT((Work_Codes!$AR$162:$AX$162=$E268)*(Work_Codes!$AR$165:$AX$169)*(Q$113:Q$117))</f>
        <v>1226755.0918546824</v>
      </c>
      <c r="R268" s="81">
        <f ca="1">SUMPRODUCT((Work_Codes!$AR$162:$AX$162=$E268)*(Work_Codes!$AR$165:$AX$169)*(R$113:R$117))</f>
        <v>1211108.933366352</v>
      </c>
      <c r="S268" s="81">
        <f ca="1">SUMPRODUCT((Work_Codes!$AR$162:$AX$162=$E268)*(Work_Codes!$AR$165:$AX$169)*(S$113:S$117))</f>
        <v>1400483.0122676992</v>
      </c>
      <c r="T268" s="81">
        <f ca="1">SUMPRODUCT((Work_Codes!$AR$162:$AX$162=$E268)*(Work_Codes!$AR$165:$AX$169)*(T$113:T$117))</f>
        <v>1002338.9679991415</v>
      </c>
    </row>
    <row r="269" spans="2:20" outlineLevel="2">
      <c r="E269" s="247" t="str">
        <f>GC!C81</f>
        <v>Buildings</v>
      </c>
      <c r="F269" s="247"/>
      <c r="G269" s="247"/>
      <c r="H269" s="247"/>
      <c r="I269" s="247"/>
      <c r="J269" s="81">
        <f ca="1">SUMPRODUCT((Work_Codes!$AR$162:$AX$162=$E269)*(Work_Codes!$AR$165:$AX$169)*(J$113:J$117))</f>
        <v>0</v>
      </c>
      <c r="K269" s="81">
        <f ca="1">SUMPRODUCT((Work_Codes!$AR$162:$AX$162=$E269)*(Work_Codes!$AR$165:$AX$169)*(K$113:K$117))</f>
        <v>0</v>
      </c>
      <c r="L269" s="81">
        <f ca="1">SUMPRODUCT((Work_Codes!$AR$162:$AX$162=$E269)*(Work_Codes!$AR$165:$AX$169)*(L$113:L$117))</f>
        <v>0</v>
      </c>
      <c r="M269" s="81">
        <f ca="1">SUMPRODUCT((Work_Codes!$AR$162:$AX$162=$E269)*(Work_Codes!$AR$165:$AX$169)*(M$113:M$117))</f>
        <v>0</v>
      </c>
      <c r="N269" s="81">
        <f ca="1">SUMPRODUCT((Work_Codes!$AR$162:$AX$162=$E269)*(Work_Codes!$AR$165:$AX$169)*(N$113:N$117))</f>
        <v>0</v>
      </c>
      <c r="O269" s="81">
        <f ca="1">SUMPRODUCT((Work_Codes!$AR$162:$AX$162=$E269)*(Work_Codes!$AR$165:$AX$169)*(O$113:O$117))</f>
        <v>0</v>
      </c>
      <c r="P269" s="81">
        <f ca="1">SUMPRODUCT((Work_Codes!$AR$162:$AX$162=$E269)*(Work_Codes!$AR$165:$AX$169)*(P$113:P$117))</f>
        <v>0</v>
      </c>
      <c r="Q269" s="81">
        <f ca="1">SUMPRODUCT((Work_Codes!$AR$162:$AX$162=$E269)*(Work_Codes!$AR$165:$AX$169)*(Q$113:Q$117))</f>
        <v>0</v>
      </c>
      <c r="R269" s="81">
        <f ca="1">SUMPRODUCT((Work_Codes!$AR$162:$AX$162=$E269)*(Work_Codes!$AR$165:$AX$169)*(R$113:R$117))</f>
        <v>0</v>
      </c>
      <c r="S269" s="81">
        <f ca="1">SUMPRODUCT((Work_Codes!$AR$162:$AX$162=$E269)*(Work_Codes!$AR$165:$AX$169)*(S$113:S$117))</f>
        <v>0</v>
      </c>
      <c r="T269" s="81">
        <f ca="1">SUMPRODUCT((Work_Codes!$AR$162:$AX$162=$E269)*(Work_Codes!$AR$165:$AX$169)*(T$113:T$117))</f>
        <v>0</v>
      </c>
    </row>
    <row r="270" spans="2:20" outlineLevel="2">
      <c r="E270" s="247" t="str">
        <f>GC!C82</f>
        <v>Other Assets</v>
      </c>
      <c r="F270" s="247"/>
      <c r="G270" s="247"/>
      <c r="H270" s="247"/>
      <c r="I270" s="247"/>
      <c r="J270" s="81">
        <f ca="1">SUMPRODUCT((Work_Codes!$AR$162:$AX$162=$E270)*(Work_Codes!$AR$165:$AX$169)*(J$113:J$117))</f>
        <v>0</v>
      </c>
      <c r="K270" s="81">
        <f ca="1">SUMPRODUCT((Work_Codes!$AR$162:$AX$162=$E270)*(Work_Codes!$AR$165:$AX$169)*(K$113:K$117))</f>
        <v>0</v>
      </c>
      <c r="L270" s="81">
        <f ca="1">SUMPRODUCT((Work_Codes!$AR$162:$AX$162=$E270)*(Work_Codes!$AR$165:$AX$169)*(L$113:L$117))</f>
        <v>0</v>
      </c>
      <c r="M270" s="81">
        <f ca="1">SUMPRODUCT((Work_Codes!$AR$162:$AX$162=$E270)*(Work_Codes!$AR$165:$AX$169)*(M$113:M$117))</f>
        <v>0</v>
      </c>
      <c r="N270" s="81">
        <f ca="1">SUMPRODUCT((Work_Codes!$AR$162:$AX$162=$E270)*(Work_Codes!$AR$165:$AX$169)*(N$113:N$117))</f>
        <v>0</v>
      </c>
      <c r="O270" s="81">
        <f ca="1">SUMPRODUCT((Work_Codes!$AR$162:$AX$162=$E270)*(Work_Codes!$AR$165:$AX$169)*(O$113:O$117))</f>
        <v>0</v>
      </c>
      <c r="P270" s="81">
        <f ca="1">SUMPRODUCT((Work_Codes!$AR$162:$AX$162=$E270)*(Work_Codes!$AR$165:$AX$169)*(P$113:P$117))</f>
        <v>0</v>
      </c>
      <c r="Q270" s="81">
        <f ca="1">SUMPRODUCT((Work_Codes!$AR$162:$AX$162=$E270)*(Work_Codes!$AR$165:$AX$169)*(Q$113:Q$117))</f>
        <v>0</v>
      </c>
      <c r="R270" s="81">
        <f ca="1">SUMPRODUCT((Work_Codes!$AR$162:$AX$162=$E270)*(Work_Codes!$AR$165:$AX$169)*(R$113:R$117))</f>
        <v>0</v>
      </c>
      <c r="S270" s="81">
        <f ca="1">SUMPRODUCT((Work_Codes!$AR$162:$AX$162=$E270)*(Work_Codes!$AR$165:$AX$169)*(S$113:S$117))</f>
        <v>0</v>
      </c>
      <c r="T270" s="81">
        <f ca="1">SUMPRODUCT((Work_Codes!$AR$162:$AX$162=$E270)*(Work_Codes!$AR$165:$AX$169)*(T$113:T$117))</f>
        <v>0</v>
      </c>
    </row>
    <row r="271" spans="2:20" outlineLevel="2">
      <c r="E271" s="247" t="str">
        <f>GC!C83</f>
        <v>Repairs</v>
      </c>
      <c r="F271" s="247"/>
      <c r="G271" s="247"/>
      <c r="H271" s="247"/>
      <c r="I271" s="247"/>
      <c r="J271" s="81">
        <f ca="1">SUMPRODUCT((Work_Codes!$AR$162:$AX$162=$E271)*(Work_Codes!$AR$165:$AX$169)*(J$113:J$117))</f>
        <v>0</v>
      </c>
      <c r="K271" s="81">
        <f ca="1">SUMPRODUCT((Work_Codes!$AR$162:$AX$162=$E271)*(Work_Codes!$AR$165:$AX$169)*(K$113:K$117))</f>
        <v>0</v>
      </c>
      <c r="L271" s="81">
        <f ca="1">SUMPRODUCT((Work_Codes!$AR$162:$AX$162=$E271)*(Work_Codes!$AR$165:$AX$169)*(L$113:L$117))</f>
        <v>0</v>
      </c>
      <c r="M271" s="81">
        <f ca="1">SUMPRODUCT((Work_Codes!$AR$162:$AX$162=$E271)*(Work_Codes!$AR$165:$AX$169)*(M$113:M$117))</f>
        <v>0</v>
      </c>
      <c r="N271" s="81">
        <f ca="1">SUMPRODUCT((Work_Codes!$AR$162:$AX$162=$E271)*(Work_Codes!$AR$165:$AX$169)*(N$113:N$117))</f>
        <v>0</v>
      </c>
      <c r="O271" s="81">
        <f ca="1">SUMPRODUCT((Work_Codes!$AR$162:$AX$162=$E271)*(Work_Codes!$AR$165:$AX$169)*(O$113:O$117))</f>
        <v>0</v>
      </c>
      <c r="P271" s="81">
        <f ca="1">SUMPRODUCT((Work_Codes!$AR$162:$AX$162=$E271)*(Work_Codes!$AR$165:$AX$169)*(P$113:P$117))</f>
        <v>0</v>
      </c>
      <c r="Q271" s="81">
        <f ca="1">SUMPRODUCT((Work_Codes!$AR$162:$AX$162=$E271)*(Work_Codes!$AR$165:$AX$169)*(Q$113:Q$117))</f>
        <v>0</v>
      </c>
      <c r="R271" s="81">
        <f ca="1">SUMPRODUCT((Work_Codes!$AR$162:$AX$162=$E271)*(Work_Codes!$AR$165:$AX$169)*(R$113:R$117))</f>
        <v>0</v>
      </c>
      <c r="S271" s="81">
        <f ca="1">SUMPRODUCT((Work_Codes!$AR$162:$AX$162=$E271)*(Work_Codes!$AR$165:$AX$169)*(S$113:S$117))</f>
        <v>0</v>
      </c>
      <c r="T271" s="81">
        <f ca="1">SUMPRODUCT((Work_Codes!$AR$162:$AX$162=$E271)*(Work_Codes!$AR$165:$AX$169)*(T$113:T$117))</f>
        <v>0</v>
      </c>
    </row>
    <row r="272" spans="2:20" outlineLevel="2">
      <c r="E272" s="247" t="str">
        <f>GC!C84</f>
        <v>Land</v>
      </c>
      <c r="F272" s="247"/>
      <c r="G272" s="247"/>
      <c r="H272" s="247"/>
      <c r="I272" s="247"/>
      <c r="J272" s="81">
        <f ca="1">SUMPRODUCT((Work_Codes!$AR$162:$AX$162=$E272)*(Work_Codes!$AR$165:$AX$169)*(J$113:J$117))</f>
        <v>0</v>
      </c>
      <c r="K272" s="81">
        <f ca="1">SUMPRODUCT((Work_Codes!$AR$162:$AX$162=$E272)*(Work_Codes!$AR$165:$AX$169)*(K$113:K$117))</f>
        <v>0</v>
      </c>
      <c r="L272" s="81">
        <f ca="1">SUMPRODUCT((Work_Codes!$AR$162:$AX$162=$E272)*(Work_Codes!$AR$165:$AX$169)*(L$113:L$117))</f>
        <v>0</v>
      </c>
      <c r="M272" s="81">
        <f ca="1">SUMPRODUCT((Work_Codes!$AR$162:$AX$162=$E272)*(Work_Codes!$AR$165:$AX$169)*(M$113:M$117))</f>
        <v>0</v>
      </c>
      <c r="N272" s="81">
        <f ca="1">SUMPRODUCT((Work_Codes!$AR$162:$AX$162=$E272)*(Work_Codes!$AR$165:$AX$169)*(N$113:N$117))</f>
        <v>0</v>
      </c>
      <c r="O272" s="81">
        <f ca="1">SUMPRODUCT((Work_Codes!$AR$162:$AX$162=$E272)*(Work_Codes!$AR$165:$AX$169)*(O$113:O$117))</f>
        <v>0</v>
      </c>
      <c r="P272" s="81">
        <f ca="1">SUMPRODUCT((Work_Codes!$AR$162:$AX$162=$E272)*(Work_Codes!$AR$165:$AX$169)*(P$113:P$117))</f>
        <v>0</v>
      </c>
      <c r="Q272" s="81">
        <f ca="1">SUMPRODUCT((Work_Codes!$AR$162:$AX$162=$E272)*(Work_Codes!$AR$165:$AX$169)*(Q$113:Q$117))</f>
        <v>0</v>
      </c>
      <c r="R272" s="81">
        <f ca="1">SUMPRODUCT((Work_Codes!$AR$162:$AX$162=$E272)*(Work_Codes!$AR$165:$AX$169)*(R$113:R$117))</f>
        <v>0</v>
      </c>
      <c r="S272" s="81">
        <f ca="1">SUMPRODUCT((Work_Codes!$AR$162:$AX$162=$E272)*(Work_Codes!$AR$165:$AX$169)*(S$113:S$117))</f>
        <v>0</v>
      </c>
      <c r="T272" s="81">
        <f ca="1">SUMPRODUCT((Work_Codes!$AR$162:$AX$162=$E272)*(Work_Codes!$AR$165:$AX$169)*(T$113:T$117))</f>
        <v>0</v>
      </c>
    </row>
    <row r="273" spans="2:20" outlineLevel="2">
      <c r="E273" s="249" t="str">
        <f>"Total "&amp;D264</f>
        <v>Total Direct Costs</v>
      </c>
      <c r="F273" s="249"/>
      <c r="G273" s="249"/>
      <c r="H273" s="249"/>
      <c r="I273" s="249"/>
      <c r="J273" s="82">
        <f t="shared" ref="J273:T273" ca="1" si="27">SUM(J266:J272)</f>
        <v>0</v>
      </c>
      <c r="K273" s="82">
        <f t="shared" ca="1" si="27"/>
        <v>0</v>
      </c>
      <c r="L273" s="82">
        <f t="shared" ca="1" si="27"/>
        <v>0</v>
      </c>
      <c r="M273" s="82">
        <f t="shared" ca="1" si="27"/>
        <v>0</v>
      </c>
      <c r="N273" s="82">
        <f t="shared" ca="1" si="27"/>
        <v>843199.11110906955</v>
      </c>
      <c r="O273" s="82">
        <f t="shared" ca="1" si="27"/>
        <v>472422.54543903633</v>
      </c>
      <c r="P273" s="82">
        <f t="shared" ca="1" si="27"/>
        <v>1049190.323017779</v>
      </c>
      <c r="Q273" s="82">
        <f t="shared" ca="1" si="27"/>
        <v>1226755.0918546824</v>
      </c>
      <c r="R273" s="82">
        <f t="shared" ca="1" si="27"/>
        <v>1211108.933366352</v>
      </c>
      <c r="S273" s="82">
        <f t="shared" ca="1" si="27"/>
        <v>1400483.0122676992</v>
      </c>
      <c r="T273" s="82">
        <f t="shared" ca="1" si="27"/>
        <v>1002338.9679991415</v>
      </c>
    </row>
    <row r="274" spans="2:20" outlineLevel="2"/>
    <row r="275" spans="2:20" outlineLevel="2">
      <c r="D275" s="37" t="s">
        <v>313</v>
      </c>
    </row>
    <row r="276" spans="2:20" ht="5.9" customHeight="1" outlineLevel="2"/>
    <row r="277" spans="2:20" outlineLevel="2">
      <c r="E277" s="247" t="str">
        <f>GC!C78</f>
        <v>Mains &amp; Services</v>
      </c>
      <c r="F277" s="247"/>
      <c r="G277" s="247"/>
      <c r="H277" s="247"/>
      <c r="I277" s="247"/>
      <c r="J277" s="81">
        <f ca="1">J266*(1+INDEX(J$35:J$37,MATCH(Work_Codes!$I$159,$D$35:$D$37,0)))</f>
        <v>0</v>
      </c>
      <c r="K277" s="81">
        <f ca="1">K266*(1+INDEX(K$35:K$37,MATCH(Work_Codes!$I$159,$D$35:$D$37,0)))</f>
        <v>0</v>
      </c>
      <c r="L277" s="81">
        <f ca="1">L266*(1+INDEX(L$35:L$37,MATCH(Work_Codes!$I$159,$D$35:$D$37,0)))</f>
        <v>0</v>
      </c>
      <c r="M277" s="81">
        <f ca="1">M266*(1+INDEX(M$35:M$37,MATCH(Work_Codes!$I$159,$D$35:$D$37,0)))</f>
        <v>0</v>
      </c>
      <c r="N277" s="81">
        <f ca="1">N266*(1+INDEX(N$35:N$37,MATCH(Work_Codes!$I$159,$D$35:$D$37,0)))</f>
        <v>0</v>
      </c>
      <c r="O277" s="81">
        <f ca="1">O266*(1+INDEX(O$35:O$37,MATCH(Work_Codes!$I$159,$D$35:$D$37,0)))</f>
        <v>0</v>
      </c>
      <c r="P277" s="81">
        <f ca="1">P266*(1+INDEX(P$35:P$37,MATCH(Work_Codes!$I$159,$D$35:$D$37,0)))</f>
        <v>0</v>
      </c>
      <c r="Q277" s="81">
        <f ca="1">Q266*(1+INDEX(Q$35:Q$37,MATCH(Work_Codes!$I$159,$D$35:$D$37,0)))</f>
        <v>0</v>
      </c>
      <c r="R277" s="81">
        <f ca="1">R266*(1+INDEX(R$35:R$37,MATCH(Work_Codes!$I$159,$D$35:$D$37,0)))</f>
        <v>0</v>
      </c>
      <c r="S277" s="81">
        <f ca="1">S266*(1+INDEX(S$35:S$37,MATCH(Work_Codes!$I$159,$D$35:$D$37,0)))</f>
        <v>0</v>
      </c>
      <c r="T277" s="81">
        <f ca="1">T266*(1+INDEX(T$35:T$37,MATCH(Work_Codes!$I$159,$D$35:$D$37,0)))</f>
        <v>0</v>
      </c>
    </row>
    <row r="278" spans="2:20" outlineLevel="2">
      <c r="E278" s="247" t="str">
        <f>GC!C79</f>
        <v>Meters Domestic</v>
      </c>
      <c r="F278" s="247"/>
      <c r="G278" s="247"/>
      <c r="H278" s="247"/>
      <c r="I278" s="247"/>
      <c r="J278" s="81">
        <f ca="1">J267*(1+INDEX(J$35:J$37,MATCH(Work_Codes!$I$159,$D$35:$D$37,0)))</f>
        <v>0</v>
      </c>
      <c r="K278" s="81">
        <f ca="1">K267*(1+INDEX(K$35:K$37,MATCH(Work_Codes!$I$159,$D$35:$D$37,0)))</f>
        <v>0</v>
      </c>
      <c r="L278" s="81">
        <f ca="1">L267*(1+INDEX(L$35:L$37,MATCH(Work_Codes!$I$159,$D$35:$D$37,0)))</f>
        <v>0</v>
      </c>
      <c r="M278" s="81">
        <f ca="1">M267*(1+INDEX(M$35:M$37,MATCH(Work_Codes!$I$159,$D$35:$D$37,0)))</f>
        <v>0</v>
      </c>
      <c r="N278" s="81">
        <f ca="1">N267*(1+INDEX(N$35:N$37,MATCH(Work_Codes!$I$159,$D$35:$D$37,0)))</f>
        <v>0</v>
      </c>
      <c r="O278" s="81">
        <f ca="1">O267*(1+INDEX(O$35:O$37,MATCH(Work_Codes!$I$159,$D$35:$D$37,0)))</f>
        <v>0</v>
      </c>
      <c r="P278" s="81">
        <f ca="1">P267*(1+INDEX(P$35:P$37,MATCH(Work_Codes!$I$159,$D$35:$D$37,0)))</f>
        <v>0</v>
      </c>
      <c r="Q278" s="81">
        <f ca="1">Q267*(1+INDEX(Q$35:Q$37,MATCH(Work_Codes!$I$159,$D$35:$D$37,0)))</f>
        <v>0</v>
      </c>
      <c r="R278" s="81">
        <f ca="1">R267*(1+INDEX(R$35:R$37,MATCH(Work_Codes!$I$159,$D$35:$D$37,0)))</f>
        <v>0</v>
      </c>
      <c r="S278" s="81">
        <f ca="1">S267*(1+INDEX(S$35:S$37,MATCH(Work_Codes!$I$159,$D$35:$D$37,0)))</f>
        <v>0</v>
      </c>
      <c r="T278" s="81">
        <f ca="1">T267*(1+INDEX(T$35:T$37,MATCH(Work_Codes!$I$159,$D$35:$D$37,0)))</f>
        <v>0</v>
      </c>
    </row>
    <row r="279" spans="2:20" outlineLevel="2">
      <c r="E279" s="247" t="str">
        <f>GC!C80</f>
        <v>Meters Industrial &amp; Commercial</v>
      </c>
      <c r="F279" s="247"/>
      <c r="G279" s="247"/>
      <c r="H279" s="247"/>
      <c r="I279" s="247"/>
      <c r="J279" s="81">
        <f ca="1">J268*(1+INDEX(J$35:J$37,MATCH(Work_Codes!$I$159,$D$35:$D$37,0)))</f>
        <v>0</v>
      </c>
      <c r="K279" s="81">
        <f ca="1">K268*(1+INDEX(K$35:K$37,MATCH(Work_Codes!$I$159,$D$35:$D$37,0)))</f>
        <v>0</v>
      </c>
      <c r="L279" s="81">
        <f ca="1">L268*(1+INDEX(L$35:L$37,MATCH(Work_Codes!$I$159,$D$35:$D$37,0)))</f>
        <v>0</v>
      </c>
      <c r="M279" s="81">
        <f ca="1">M268*(1+INDEX(M$35:M$37,MATCH(Work_Codes!$I$159,$D$35:$D$37,0)))</f>
        <v>0</v>
      </c>
      <c r="N279" s="81">
        <f ca="1">N268*(1+INDEX(N$35:N$37,MATCH(Work_Codes!$I$159,$D$35:$D$37,0)))</f>
        <v>874996.99901338958</v>
      </c>
      <c r="O279" s="81">
        <f ca="1">O268*(1+INDEX(O$35:O$37,MATCH(Work_Codes!$I$159,$D$35:$D$37,0)))</f>
        <v>488146.64282217505</v>
      </c>
      <c r="P279" s="81">
        <f ca="1">P268*(1+INDEX(P$35:P$37,MATCH(Work_Codes!$I$159,$D$35:$D$37,0)))</f>
        <v>1077258.9555434657</v>
      </c>
      <c r="Q279" s="81">
        <f ca="1">Q268*(1+INDEX(Q$35:Q$37,MATCH(Work_Codes!$I$159,$D$35:$D$37,0)))</f>
        <v>1258725.0500817844</v>
      </c>
      <c r="R279" s="81">
        <f ca="1">R268*(1+INDEX(R$35:R$37,MATCH(Work_Codes!$I$159,$D$35:$D$37,0)))</f>
        <v>1243655.0709843263</v>
      </c>
      <c r="S279" s="81">
        <f ca="1">S268*(1+INDEX(S$35:S$37,MATCH(Work_Codes!$I$159,$D$35:$D$37,0)))</f>
        <v>1440461.4509216631</v>
      </c>
      <c r="T279" s="81">
        <f ca="1">T268*(1+INDEX(T$35:T$37,MATCH(Work_Codes!$I$159,$D$35:$D$37,0)))</f>
        <v>1032329.3290099687</v>
      </c>
    </row>
    <row r="280" spans="2:20" outlineLevel="2">
      <c r="E280" s="247" t="str">
        <f>GC!C81</f>
        <v>Buildings</v>
      </c>
      <c r="F280" s="247"/>
      <c r="G280" s="247"/>
      <c r="H280" s="247"/>
      <c r="I280" s="247"/>
      <c r="J280" s="81">
        <f ca="1">J269*(1+INDEX(J$35:J$37,MATCH(Work_Codes!$I$159,$D$35:$D$37,0)))</f>
        <v>0</v>
      </c>
      <c r="K280" s="81">
        <f ca="1">K269*(1+INDEX(K$35:K$37,MATCH(Work_Codes!$I$159,$D$35:$D$37,0)))</f>
        <v>0</v>
      </c>
      <c r="L280" s="81">
        <f ca="1">L269*(1+INDEX(L$35:L$37,MATCH(Work_Codes!$I$159,$D$35:$D$37,0)))</f>
        <v>0</v>
      </c>
      <c r="M280" s="81">
        <f ca="1">M269*(1+INDEX(M$35:M$37,MATCH(Work_Codes!$I$159,$D$35:$D$37,0)))</f>
        <v>0</v>
      </c>
      <c r="N280" s="81">
        <f ca="1">N269*(1+INDEX(N$35:N$37,MATCH(Work_Codes!$I$159,$D$35:$D$37,0)))</f>
        <v>0</v>
      </c>
      <c r="O280" s="81">
        <f ca="1">O269*(1+INDEX(O$35:O$37,MATCH(Work_Codes!$I$159,$D$35:$D$37,0)))</f>
        <v>0</v>
      </c>
      <c r="P280" s="81">
        <f ca="1">P269*(1+INDEX(P$35:P$37,MATCH(Work_Codes!$I$159,$D$35:$D$37,0)))</f>
        <v>0</v>
      </c>
      <c r="Q280" s="81">
        <f ca="1">Q269*(1+INDEX(Q$35:Q$37,MATCH(Work_Codes!$I$159,$D$35:$D$37,0)))</f>
        <v>0</v>
      </c>
      <c r="R280" s="81">
        <f ca="1">R269*(1+INDEX(R$35:R$37,MATCH(Work_Codes!$I$159,$D$35:$D$37,0)))</f>
        <v>0</v>
      </c>
      <c r="S280" s="81">
        <f ca="1">S269*(1+INDEX(S$35:S$37,MATCH(Work_Codes!$I$159,$D$35:$D$37,0)))</f>
        <v>0</v>
      </c>
      <c r="T280" s="81">
        <f ca="1">T269*(1+INDEX(T$35:T$37,MATCH(Work_Codes!$I$159,$D$35:$D$37,0)))</f>
        <v>0</v>
      </c>
    </row>
    <row r="281" spans="2:20" outlineLevel="2">
      <c r="E281" s="247" t="str">
        <f>GC!C82</f>
        <v>Other Assets</v>
      </c>
      <c r="F281" s="247"/>
      <c r="G281" s="247"/>
      <c r="H281" s="247"/>
      <c r="I281" s="247"/>
      <c r="J281" s="81">
        <f ca="1">J270*(1+INDEX(J$35:J$37,MATCH(Work_Codes!$I$159,$D$35:$D$37,0)))</f>
        <v>0</v>
      </c>
      <c r="K281" s="81">
        <f ca="1">K270*(1+INDEX(K$35:K$37,MATCH(Work_Codes!$I$159,$D$35:$D$37,0)))</f>
        <v>0</v>
      </c>
      <c r="L281" s="81">
        <f ca="1">L270*(1+INDEX(L$35:L$37,MATCH(Work_Codes!$I$159,$D$35:$D$37,0)))</f>
        <v>0</v>
      </c>
      <c r="M281" s="81">
        <f ca="1">M270*(1+INDEX(M$35:M$37,MATCH(Work_Codes!$I$159,$D$35:$D$37,0)))</f>
        <v>0</v>
      </c>
      <c r="N281" s="81">
        <f ca="1">N270*(1+INDEX(N$35:N$37,MATCH(Work_Codes!$I$159,$D$35:$D$37,0)))</f>
        <v>0</v>
      </c>
      <c r="O281" s="81">
        <f ca="1">O270*(1+INDEX(O$35:O$37,MATCH(Work_Codes!$I$159,$D$35:$D$37,0)))</f>
        <v>0</v>
      </c>
      <c r="P281" s="81">
        <f ca="1">P270*(1+INDEX(P$35:P$37,MATCH(Work_Codes!$I$159,$D$35:$D$37,0)))</f>
        <v>0</v>
      </c>
      <c r="Q281" s="81">
        <f ca="1">Q270*(1+INDEX(Q$35:Q$37,MATCH(Work_Codes!$I$159,$D$35:$D$37,0)))</f>
        <v>0</v>
      </c>
      <c r="R281" s="81">
        <f ca="1">R270*(1+INDEX(R$35:R$37,MATCH(Work_Codes!$I$159,$D$35:$D$37,0)))</f>
        <v>0</v>
      </c>
      <c r="S281" s="81">
        <f ca="1">S270*(1+INDEX(S$35:S$37,MATCH(Work_Codes!$I$159,$D$35:$D$37,0)))</f>
        <v>0</v>
      </c>
      <c r="T281" s="81">
        <f ca="1">T270*(1+INDEX(T$35:T$37,MATCH(Work_Codes!$I$159,$D$35:$D$37,0)))</f>
        <v>0</v>
      </c>
    </row>
    <row r="282" spans="2:20" outlineLevel="2">
      <c r="E282" s="247" t="str">
        <f>GC!C83</f>
        <v>Repairs</v>
      </c>
      <c r="F282" s="247"/>
      <c r="G282" s="247"/>
      <c r="H282" s="247"/>
      <c r="I282" s="247"/>
      <c r="J282" s="81">
        <f ca="1">J271*(1+INDEX(J$35:J$37,MATCH(Work_Codes!$I$159,$D$35:$D$37,0)))</f>
        <v>0</v>
      </c>
      <c r="K282" s="81">
        <f ca="1">K271*(1+INDEX(K$35:K$37,MATCH(Work_Codes!$I$159,$D$35:$D$37,0)))</f>
        <v>0</v>
      </c>
      <c r="L282" s="81">
        <f ca="1">L271*(1+INDEX(L$35:L$37,MATCH(Work_Codes!$I$159,$D$35:$D$37,0)))</f>
        <v>0</v>
      </c>
      <c r="M282" s="81">
        <f ca="1">M271*(1+INDEX(M$35:M$37,MATCH(Work_Codes!$I$159,$D$35:$D$37,0)))</f>
        <v>0</v>
      </c>
      <c r="N282" s="81">
        <f ca="1">N271*(1+INDEX(N$35:N$37,MATCH(Work_Codes!$I$159,$D$35:$D$37,0)))</f>
        <v>0</v>
      </c>
      <c r="O282" s="81">
        <f ca="1">O271*(1+INDEX(O$35:O$37,MATCH(Work_Codes!$I$159,$D$35:$D$37,0)))</f>
        <v>0</v>
      </c>
      <c r="P282" s="81">
        <f ca="1">P271*(1+INDEX(P$35:P$37,MATCH(Work_Codes!$I$159,$D$35:$D$37,0)))</f>
        <v>0</v>
      </c>
      <c r="Q282" s="81">
        <f ca="1">Q271*(1+INDEX(Q$35:Q$37,MATCH(Work_Codes!$I$159,$D$35:$D$37,0)))</f>
        <v>0</v>
      </c>
      <c r="R282" s="81">
        <f ca="1">R271*(1+INDEX(R$35:R$37,MATCH(Work_Codes!$I$159,$D$35:$D$37,0)))</f>
        <v>0</v>
      </c>
      <c r="S282" s="81">
        <f ca="1">S271*(1+INDEX(S$35:S$37,MATCH(Work_Codes!$I$159,$D$35:$D$37,0)))</f>
        <v>0</v>
      </c>
      <c r="T282" s="81">
        <f ca="1">T271*(1+INDEX(T$35:T$37,MATCH(Work_Codes!$I$159,$D$35:$D$37,0)))</f>
        <v>0</v>
      </c>
    </row>
    <row r="283" spans="2:20" outlineLevel="2">
      <c r="E283" s="247" t="str">
        <f>GC!C84</f>
        <v>Land</v>
      </c>
      <c r="F283" s="247"/>
      <c r="G283" s="247"/>
      <c r="H283" s="247"/>
      <c r="I283" s="247"/>
      <c r="J283" s="81">
        <f ca="1">J272*(1+INDEX(J$35:J$37,MATCH(Work_Codes!$I$159,$D$35:$D$37,0)))</f>
        <v>0</v>
      </c>
      <c r="K283" s="81">
        <f ca="1">K272*(1+INDEX(K$35:K$37,MATCH(Work_Codes!$I$159,$D$35:$D$37,0)))</f>
        <v>0</v>
      </c>
      <c r="L283" s="81">
        <f ca="1">L272*(1+INDEX(L$35:L$37,MATCH(Work_Codes!$I$159,$D$35:$D$37,0)))</f>
        <v>0</v>
      </c>
      <c r="M283" s="81">
        <f ca="1">M272*(1+INDEX(M$35:M$37,MATCH(Work_Codes!$I$159,$D$35:$D$37,0)))</f>
        <v>0</v>
      </c>
      <c r="N283" s="81">
        <f ca="1">N272*(1+INDEX(N$35:N$37,MATCH(Work_Codes!$I$159,$D$35:$D$37,0)))</f>
        <v>0</v>
      </c>
      <c r="O283" s="81">
        <f ca="1">O272*(1+INDEX(O$35:O$37,MATCH(Work_Codes!$I$159,$D$35:$D$37,0)))</f>
        <v>0</v>
      </c>
      <c r="P283" s="81">
        <f ca="1">P272*(1+INDEX(P$35:P$37,MATCH(Work_Codes!$I$159,$D$35:$D$37,0)))</f>
        <v>0</v>
      </c>
      <c r="Q283" s="81">
        <f ca="1">Q272*(1+INDEX(Q$35:Q$37,MATCH(Work_Codes!$I$159,$D$35:$D$37,0)))</f>
        <v>0</v>
      </c>
      <c r="R283" s="81">
        <f ca="1">R272*(1+INDEX(R$35:R$37,MATCH(Work_Codes!$I$159,$D$35:$D$37,0)))</f>
        <v>0</v>
      </c>
      <c r="S283" s="81">
        <f ca="1">S272*(1+INDEX(S$35:S$37,MATCH(Work_Codes!$I$159,$D$35:$D$37,0)))</f>
        <v>0</v>
      </c>
      <c r="T283" s="81">
        <f ca="1">T272*(1+INDEX(T$35:T$37,MATCH(Work_Codes!$I$159,$D$35:$D$37,0)))</f>
        <v>0</v>
      </c>
    </row>
    <row r="284" spans="2:20" outlineLevel="2">
      <c r="E284" s="249" t="str">
        <f>"Total "&amp;D275</f>
        <v>Total Direct Costs +  Overheads</v>
      </c>
      <c r="F284" s="249"/>
      <c r="G284" s="249"/>
      <c r="H284" s="249"/>
      <c r="I284" s="249"/>
      <c r="J284" s="82">
        <f t="shared" ref="J284:T284" ca="1" si="28">SUM(J277:J283)</f>
        <v>0</v>
      </c>
      <c r="K284" s="82">
        <f t="shared" ca="1" si="28"/>
        <v>0</v>
      </c>
      <c r="L284" s="82">
        <f t="shared" ca="1" si="28"/>
        <v>0</v>
      </c>
      <c r="M284" s="82">
        <f t="shared" ca="1" si="28"/>
        <v>0</v>
      </c>
      <c r="N284" s="82">
        <f t="shared" ca="1" si="28"/>
        <v>874996.99901338958</v>
      </c>
      <c r="O284" s="82">
        <f t="shared" ca="1" si="28"/>
        <v>488146.64282217505</v>
      </c>
      <c r="P284" s="82">
        <f t="shared" ca="1" si="28"/>
        <v>1077258.9555434657</v>
      </c>
      <c r="Q284" s="82">
        <f t="shared" ca="1" si="28"/>
        <v>1258725.0500817844</v>
      </c>
      <c r="R284" s="82">
        <f t="shared" ca="1" si="28"/>
        <v>1243655.0709843263</v>
      </c>
      <c r="S284" s="82">
        <f t="shared" ca="1" si="28"/>
        <v>1440461.4509216631</v>
      </c>
      <c r="T284" s="82">
        <f t="shared" ca="1" si="28"/>
        <v>1032329.3290099687</v>
      </c>
    </row>
    <row r="285" spans="2:20" outlineLevel="1">
      <c r="B285" s="12"/>
      <c r="C285" s="12"/>
      <c r="D285" s="12"/>
      <c r="E285" s="12"/>
      <c r="F285" s="12"/>
      <c r="G285" s="12"/>
      <c r="H285" s="12"/>
      <c r="I285" s="12"/>
      <c r="J285" s="12"/>
      <c r="K285" s="12"/>
      <c r="L285" s="12"/>
      <c r="M285" s="12"/>
      <c r="N285" s="12"/>
      <c r="O285" s="12"/>
      <c r="P285" s="12"/>
      <c r="Q285" s="12"/>
      <c r="R285" s="12"/>
      <c r="S285" s="12"/>
      <c r="T285" s="12"/>
    </row>
    <row r="286" spans="2:20" outlineLevel="1"/>
    <row r="287" spans="2:20" outlineLevel="1">
      <c r="C287" s="37" t="s">
        <v>19</v>
      </c>
    </row>
    <row r="288" spans="2:20" ht="5.9" customHeight="1" outlineLevel="1"/>
    <row r="289" spans="2:20" outlineLevel="1">
      <c r="F289" s="51" t="str">
        <f>$B$23&amp;" Work Code v RAB Category Direct Check"</f>
        <v>3009 - Inputs Work Code v RAB Category Direct Check</v>
      </c>
      <c r="I289" s="130">
        <f ca="1">IF(ISERROR(SUM(J289:T289)),1,MIN(SUM(J289:T289),1))</f>
        <v>0</v>
      </c>
      <c r="J289" s="81">
        <f t="shared" ref="J289:T289" ca="1" si="29">J119-J142</f>
        <v>0</v>
      </c>
      <c r="K289" s="81">
        <f t="shared" ca="1" si="29"/>
        <v>0</v>
      </c>
      <c r="L289" s="81">
        <f t="shared" ca="1" si="29"/>
        <v>0</v>
      </c>
      <c r="M289" s="81">
        <f t="shared" ca="1" si="29"/>
        <v>0</v>
      </c>
      <c r="N289" s="81">
        <f t="shared" ca="1" si="29"/>
        <v>0</v>
      </c>
      <c r="O289" s="81">
        <f t="shared" ca="1" si="29"/>
        <v>0</v>
      </c>
      <c r="P289" s="81">
        <f t="shared" ca="1" si="29"/>
        <v>0</v>
      </c>
      <c r="Q289" s="81">
        <f t="shared" ca="1" si="29"/>
        <v>0</v>
      </c>
      <c r="R289" s="81">
        <f t="shared" ca="1" si="29"/>
        <v>0</v>
      </c>
      <c r="S289" s="81">
        <f t="shared" ca="1" si="29"/>
        <v>0</v>
      </c>
      <c r="T289" s="81">
        <f t="shared" ca="1" si="29"/>
        <v>0</v>
      </c>
    </row>
    <row r="290" spans="2:20" outlineLevel="1">
      <c r="F290" s="51" t="str">
        <f>$B$23&amp;" Work Code v RIN Category Direct Check"</f>
        <v>3009 - Inputs Work Code v RIN Category Direct Check</v>
      </c>
      <c r="I290" s="130">
        <f ca="1">IF(ISERROR(SUM(J290:T290)),1,MIN(SUM(J290:T290),1))</f>
        <v>0</v>
      </c>
      <c r="J290" s="81">
        <f t="shared" ref="J290:T290" ca="1" si="30">J119-J223</f>
        <v>0</v>
      </c>
      <c r="K290" s="81">
        <f t="shared" ca="1" si="30"/>
        <v>0</v>
      </c>
      <c r="L290" s="81">
        <f t="shared" ca="1" si="30"/>
        <v>0</v>
      </c>
      <c r="M290" s="81">
        <f t="shared" ca="1" si="30"/>
        <v>0</v>
      </c>
      <c r="N290" s="81">
        <f t="shared" ca="1" si="30"/>
        <v>0</v>
      </c>
      <c r="O290" s="81">
        <f t="shared" ca="1" si="30"/>
        <v>0</v>
      </c>
      <c r="P290" s="81">
        <f t="shared" ca="1" si="30"/>
        <v>0</v>
      </c>
      <c r="Q290" s="81">
        <f t="shared" ca="1" si="30"/>
        <v>0</v>
      </c>
      <c r="R290" s="81">
        <f t="shared" ca="1" si="30"/>
        <v>0</v>
      </c>
      <c r="S290" s="81">
        <f t="shared" ca="1" si="30"/>
        <v>0</v>
      </c>
      <c r="T290" s="81">
        <f t="shared" ca="1" si="30"/>
        <v>0</v>
      </c>
    </row>
    <row r="291" spans="2:20" outlineLevel="1">
      <c r="F291" s="51" t="str">
        <f>$B$23&amp;" Work Code v Tax Category Direct Check"</f>
        <v>3009 - Inputs Work Code v Tax Category Direct Check</v>
      </c>
      <c r="I291" s="130">
        <f ca="1">IF(ISERROR(SUM(J291:T291)),1,MIN(SUM(J291:T291),1))</f>
        <v>0</v>
      </c>
      <c r="J291" s="81">
        <f t="shared" ref="J291:T291" ca="1" si="31">J119-J273</f>
        <v>0</v>
      </c>
      <c r="K291" s="81">
        <f t="shared" ca="1" si="31"/>
        <v>0</v>
      </c>
      <c r="L291" s="81">
        <f t="shared" ca="1" si="31"/>
        <v>0</v>
      </c>
      <c r="M291" s="81">
        <f t="shared" ca="1" si="31"/>
        <v>0</v>
      </c>
      <c r="N291" s="81">
        <f t="shared" ca="1" si="31"/>
        <v>0</v>
      </c>
      <c r="O291" s="81">
        <f t="shared" ca="1" si="31"/>
        <v>0</v>
      </c>
      <c r="P291" s="81">
        <f t="shared" ca="1" si="31"/>
        <v>0</v>
      </c>
      <c r="Q291" s="81">
        <f t="shared" ca="1" si="31"/>
        <v>0</v>
      </c>
      <c r="R291" s="81">
        <f t="shared" ca="1" si="31"/>
        <v>0</v>
      </c>
      <c r="S291" s="81">
        <f t="shared" ca="1" si="31"/>
        <v>0</v>
      </c>
      <c r="T291" s="81">
        <f t="shared" ca="1" si="31"/>
        <v>0</v>
      </c>
    </row>
    <row r="292" spans="2:20" outlineLevel="1">
      <c r="F292" s="51" t="str">
        <f>$B$23&amp;" Customer Contributions v RAB Category Direct Check"</f>
        <v>3009 - Inputs Customer Contributions v RAB Category Direct Check</v>
      </c>
      <c r="I292" s="130">
        <f ca="1">IF(ISERROR(SUM(J292:T292)),1,MIN(SUM(J292:T292),1))</f>
        <v>0</v>
      </c>
      <c r="J292" s="81">
        <f t="shared" ref="J292:T292" ca="1" si="32">J76-J202</f>
        <v>0</v>
      </c>
      <c r="K292" s="81">
        <f t="shared" ca="1" si="32"/>
        <v>0</v>
      </c>
      <c r="L292" s="81">
        <f t="shared" ca="1" si="32"/>
        <v>0</v>
      </c>
      <c r="M292" s="81">
        <f t="shared" ca="1" si="32"/>
        <v>0</v>
      </c>
      <c r="N292" s="81">
        <f t="shared" ca="1" si="32"/>
        <v>0</v>
      </c>
      <c r="O292" s="81">
        <f t="shared" ca="1" si="32"/>
        <v>0</v>
      </c>
      <c r="P292" s="81">
        <f t="shared" ca="1" si="32"/>
        <v>0</v>
      </c>
      <c r="Q292" s="81">
        <f t="shared" ca="1" si="32"/>
        <v>0</v>
      </c>
      <c r="R292" s="81">
        <f t="shared" ca="1" si="32"/>
        <v>0</v>
      </c>
      <c r="S292" s="81">
        <f t="shared" ca="1" si="32"/>
        <v>0</v>
      </c>
      <c r="T292" s="81">
        <f t="shared" ca="1" si="32"/>
        <v>0</v>
      </c>
    </row>
    <row r="293" spans="2:20" ht="5.9" customHeight="1" outlineLevel="1"/>
    <row r="294" spans="2:20" outlineLevel="1">
      <c r="F294" s="51" t="str">
        <f>$B$23&amp;" RAB v RIN Direct + Overhead Check"</f>
        <v>3009 - Inputs RAB v RIN Direct + Overhead Check</v>
      </c>
      <c r="I294" s="130">
        <f ca="1">IF(ISERROR(SUM(J294:T294)),1,MIN(SUM(J294:T294),1))</f>
        <v>0</v>
      </c>
      <c r="J294" s="81">
        <f t="shared" ref="J294:T294" ca="1" si="33">J182-J241</f>
        <v>0</v>
      </c>
      <c r="K294" s="81">
        <f t="shared" ca="1" si="33"/>
        <v>0</v>
      </c>
      <c r="L294" s="81">
        <f t="shared" ca="1" si="33"/>
        <v>0</v>
      </c>
      <c r="M294" s="81">
        <f t="shared" ca="1" si="33"/>
        <v>0</v>
      </c>
      <c r="N294" s="81">
        <f t="shared" ca="1" si="33"/>
        <v>0</v>
      </c>
      <c r="O294" s="81">
        <f t="shared" ca="1" si="33"/>
        <v>0</v>
      </c>
      <c r="P294" s="81">
        <f t="shared" ca="1" si="33"/>
        <v>0</v>
      </c>
      <c r="Q294" s="81">
        <f t="shared" ca="1" si="33"/>
        <v>0</v>
      </c>
      <c r="R294" s="81">
        <f t="shared" ca="1" si="33"/>
        <v>0</v>
      </c>
      <c r="S294" s="81">
        <f t="shared" ca="1" si="33"/>
        <v>0</v>
      </c>
      <c r="T294" s="81">
        <f t="shared" ca="1" si="33"/>
        <v>0</v>
      </c>
    </row>
    <row r="295" spans="2:20" outlineLevel="1">
      <c r="F295" s="51" t="str">
        <f>$B$23&amp;" RAB v Tax Direct + Overhead Check"</f>
        <v>3009 - Inputs RAB v Tax Direct + Overhead Check</v>
      </c>
      <c r="I295" s="130">
        <f ca="1">IF(ISERROR(SUM(J295:T295)),1,MIN(SUM(J295:T295),1))</f>
        <v>0</v>
      </c>
      <c r="J295" s="81">
        <f t="shared" ref="J295:T295" ca="1" si="34">J182-J284</f>
        <v>0</v>
      </c>
      <c r="K295" s="81">
        <f t="shared" ca="1" si="34"/>
        <v>0</v>
      </c>
      <c r="L295" s="81">
        <f t="shared" ca="1" si="34"/>
        <v>0</v>
      </c>
      <c r="M295" s="81">
        <f t="shared" ca="1" si="34"/>
        <v>0</v>
      </c>
      <c r="N295" s="81">
        <f t="shared" ca="1" si="34"/>
        <v>0</v>
      </c>
      <c r="O295" s="81">
        <f t="shared" ca="1" si="34"/>
        <v>0</v>
      </c>
      <c r="P295" s="81">
        <f t="shared" ca="1" si="34"/>
        <v>0</v>
      </c>
      <c r="Q295" s="81">
        <f t="shared" ca="1" si="34"/>
        <v>0</v>
      </c>
      <c r="R295" s="81">
        <f t="shared" ca="1" si="34"/>
        <v>0</v>
      </c>
      <c r="S295" s="81">
        <f t="shared" ca="1" si="34"/>
        <v>0</v>
      </c>
      <c r="T295" s="81">
        <f t="shared" ca="1" si="34"/>
        <v>0</v>
      </c>
    </row>
    <row r="296" spans="2:20" ht="12" outlineLevel="1" thickBot="1">
      <c r="B296" s="94"/>
      <c r="C296" s="94"/>
      <c r="D296" s="94"/>
      <c r="E296" s="94"/>
      <c r="F296" s="94"/>
      <c r="G296" s="94"/>
      <c r="H296" s="94"/>
      <c r="I296" s="94"/>
      <c r="J296" s="94"/>
      <c r="K296" s="94"/>
      <c r="L296" s="94"/>
      <c r="M296" s="94"/>
      <c r="N296" s="94"/>
      <c r="O296" s="94"/>
      <c r="P296" s="94"/>
      <c r="Q296" s="94"/>
      <c r="R296" s="94"/>
      <c r="S296" s="94"/>
      <c r="T296" s="94"/>
    </row>
    <row r="297" spans="2:20" s="41" customFormat="1"/>
    <row r="298" spans="2:20" s="41" customFormat="1" ht="14">
      <c r="B298" s="111" t="s">
        <v>244</v>
      </c>
      <c r="C298" s="47"/>
      <c r="D298" s="47"/>
      <c r="E298" s="47"/>
      <c r="F298" s="47"/>
      <c r="G298" s="47"/>
      <c r="H298" s="47"/>
      <c r="I298" s="47"/>
      <c r="J298" s="47"/>
      <c r="K298" s="47"/>
      <c r="L298" s="47"/>
      <c r="M298" s="47"/>
      <c r="N298" s="47"/>
      <c r="O298" s="47"/>
      <c r="P298" s="47"/>
      <c r="Q298" s="47"/>
      <c r="R298" s="47"/>
      <c r="S298" s="47"/>
      <c r="T298" s="47"/>
    </row>
    <row r="299" spans="2:20" s="41" customFormat="1" ht="5.9" customHeight="1"/>
    <row r="300" spans="2:20" s="41" customFormat="1" ht="14">
      <c r="B300" s="60" t="str">
        <f>GC!F17</f>
        <v>Industrial &amp; Commercial Meters - Ad Hoc</v>
      </c>
    </row>
    <row r="301" spans="2:20" s="41" customFormat="1" ht="5.9" customHeight="1" outlineLevel="1"/>
    <row r="302" spans="2:20" s="41" customFormat="1" hidden="1" outlineLevel="2">
      <c r="C302" s="50" t="s">
        <v>204</v>
      </c>
    </row>
    <row r="303" spans="2:20" s="41" customFormat="1" ht="5.9" hidden="1" customHeight="1" outlineLevel="2"/>
    <row r="304" spans="2:20" s="41" customFormat="1" hidden="1" outlineLevel="2">
      <c r="D304" s="52" t="s">
        <v>103</v>
      </c>
      <c r="J304" s="91">
        <f>Rates!J42</f>
        <v>1</v>
      </c>
      <c r="K304" s="91">
        <f>Rates!K42</f>
        <v>1</v>
      </c>
      <c r="L304" s="91">
        <f>Rates!L42</f>
        <v>1</v>
      </c>
      <c r="M304" s="91">
        <f>Rates!M42</f>
        <v>1</v>
      </c>
      <c r="N304" s="91">
        <f>Rates!N42</f>
        <v>1</v>
      </c>
      <c r="O304" s="91">
        <f>Rates!O42</f>
        <v>1.0051959235721353</v>
      </c>
      <c r="P304" s="91">
        <f>Rates!P42</f>
        <v>1.0102301741405761</v>
      </c>
      <c r="Q304" s="91">
        <f>Rates!Q42</f>
        <v>1.0181072873442809</v>
      </c>
      <c r="R304" s="91">
        <f>Rates!R42</f>
        <v>1.0293150686557422</v>
      </c>
      <c r="S304" s="91">
        <f>Rates!S42</f>
        <v>1.040646230246951</v>
      </c>
      <c r="T304" s="91">
        <f>Rates!T42</f>
        <v>1.0521021303433229</v>
      </c>
    </row>
    <row r="305" spans="3:20" s="41" customFormat="1" hidden="1" outlineLevel="2">
      <c r="D305" s="52" t="s">
        <v>104</v>
      </c>
      <c r="J305" s="91">
        <f>Rates!J43</f>
        <v>1</v>
      </c>
      <c r="K305" s="91">
        <f>Rates!K43</f>
        <v>1</v>
      </c>
      <c r="L305" s="91">
        <f>Rates!L43</f>
        <v>1</v>
      </c>
      <c r="M305" s="91">
        <f>Rates!M43</f>
        <v>1</v>
      </c>
      <c r="N305" s="91">
        <f>Rates!N43</f>
        <v>1</v>
      </c>
      <c r="O305" s="91">
        <f>Rates!O43</f>
        <v>1</v>
      </c>
      <c r="P305" s="91">
        <f>Rates!P43</f>
        <v>1</v>
      </c>
      <c r="Q305" s="91">
        <f>Rates!Q43</f>
        <v>1</v>
      </c>
      <c r="R305" s="91">
        <f>Rates!R43</f>
        <v>1</v>
      </c>
      <c r="S305" s="91">
        <f>Rates!S43</f>
        <v>1</v>
      </c>
      <c r="T305" s="91">
        <f>Rates!T43</f>
        <v>1</v>
      </c>
    </row>
    <row r="306" spans="3:20" s="41" customFormat="1" hidden="1" outlineLevel="2">
      <c r="D306" s="52" t="s">
        <v>130</v>
      </c>
      <c r="J306" s="91">
        <f>Rates!J45</f>
        <v>1</v>
      </c>
      <c r="K306" s="91">
        <f>Rates!K45</f>
        <v>1</v>
      </c>
      <c r="L306" s="91">
        <f>Rates!L45</f>
        <v>1</v>
      </c>
      <c r="M306" s="91">
        <f>Rates!M45</f>
        <v>1</v>
      </c>
      <c r="N306" s="91">
        <f>Rates!N45</f>
        <v>1</v>
      </c>
      <c r="O306" s="91">
        <f>Rates!O45</f>
        <v>1</v>
      </c>
      <c r="P306" s="91">
        <f>Rates!P45</f>
        <v>1</v>
      </c>
      <c r="Q306" s="91">
        <f>Rates!Q45</f>
        <v>1</v>
      </c>
      <c r="R306" s="91">
        <f>Rates!R45</f>
        <v>1</v>
      </c>
      <c r="S306" s="91">
        <f>Rates!S45</f>
        <v>1</v>
      </c>
      <c r="T306" s="91">
        <f>Rates!T45</f>
        <v>1</v>
      </c>
    </row>
    <row r="307" spans="3:20" s="41" customFormat="1" ht="5.9" hidden="1" customHeight="1" outlineLevel="2"/>
    <row r="308" spans="3:20" s="41" customFormat="1" hidden="1" outlineLevel="2">
      <c r="C308" s="50" t="s">
        <v>105</v>
      </c>
    </row>
    <row r="309" spans="3:20" s="41" customFormat="1" ht="5.9" hidden="1" customHeight="1" outlineLevel="2"/>
    <row r="310" spans="3:20" s="41" customFormat="1" hidden="1" outlineLevel="2">
      <c r="D310" s="52" t="s">
        <v>106</v>
      </c>
      <c r="J310" s="122">
        <f>Rates!J50</f>
        <v>6.9591273870889495E-2</v>
      </c>
      <c r="K310" s="122">
        <f>Rates!K50</f>
        <v>7.3934468928182201E-2</v>
      </c>
      <c r="L310" s="122">
        <f>Rates!L50</f>
        <v>7.5085976469407303E-2</v>
      </c>
      <c r="M310" s="122">
        <f>Rates!M50</f>
        <v>8.0103391005934096E-2</v>
      </c>
      <c r="N310" s="122">
        <f>Rates!N50</f>
        <v>3.7711007382937055E-2</v>
      </c>
      <c r="O310" s="122">
        <f>Rates!O50</f>
        <v>3.3283969054706777E-2</v>
      </c>
      <c r="P310" s="122">
        <f>Rates!P50</f>
        <v>2.6752660513445464E-2</v>
      </c>
      <c r="Q310" s="122">
        <f>Rates!Q50</f>
        <v>2.6060587348993774E-2</v>
      </c>
      <c r="R310" s="122">
        <f>Rates!R50</f>
        <v>2.6873005987587139E-2</v>
      </c>
      <c r="S310" s="122">
        <f>Rates!S50</f>
        <v>2.8546178928104012E-2</v>
      </c>
      <c r="T310" s="122">
        <f>Rates!T50</f>
        <v>2.9920378203686534E-2</v>
      </c>
    </row>
    <row r="311" spans="3:20" s="41" customFormat="1" hidden="1" outlineLevel="2">
      <c r="D311" s="52" t="s">
        <v>107</v>
      </c>
      <c r="J311" s="122">
        <f>Rates!J51</f>
        <v>5.5842732834613398E-2</v>
      </c>
      <c r="K311" s="122">
        <f>Rates!K51</f>
        <v>5.16564294790849E-2</v>
      </c>
      <c r="L311" s="122">
        <f>Rates!L51</f>
        <v>6.0535031919173997E-2</v>
      </c>
      <c r="M311" s="122">
        <f>Rates!M51</f>
        <v>7.1630695797579302E-2</v>
      </c>
      <c r="N311" s="122">
        <f>Rates!N51</f>
        <v>7.4343858126268231E-2</v>
      </c>
      <c r="O311" s="122">
        <f>Rates!O51</f>
        <v>7.4059082290758096E-2</v>
      </c>
      <c r="P311" s="122">
        <f>Rates!P51</f>
        <v>2.4388539961794877E-2</v>
      </c>
      <c r="Q311" s="122">
        <f>Rates!Q51</f>
        <v>2.1171310758207256E-2</v>
      </c>
      <c r="R311" s="122">
        <f>Rates!R51</f>
        <v>2.0024144075344485E-2</v>
      </c>
      <c r="S311" s="122">
        <f>Rates!S51</f>
        <v>3.9620009613577346E-2</v>
      </c>
      <c r="T311" s="122">
        <f>Rates!T51</f>
        <v>5.404914337922874E-2</v>
      </c>
    </row>
    <row r="312" spans="3:20" s="41" customFormat="1" hidden="1" outlineLevel="2">
      <c r="D312" s="52" t="s">
        <v>108</v>
      </c>
      <c r="J312" s="122">
        <f>Rates!J52</f>
        <v>0</v>
      </c>
      <c r="K312" s="122">
        <f>Rates!K52</f>
        <v>0</v>
      </c>
      <c r="L312" s="122">
        <f>Rates!L52</f>
        <v>0</v>
      </c>
      <c r="M312" s="122">
        <f>Rates!M52</f>
        <v>0</v>
      </c>
      <c r="N312" s="122">
        <f>Rates!N52</f>
        <v>0</v>
      </c>
      <c r="O312" s="122">
        <f>Rates!O52</f>
        <v>0</v>
      </c>
      <c r="P312" s="122">
        <f>Rates!P52</f>
        <v>0</v>
      </c>
      <c r="Q312" s="122">
        <f>Rates!Q52</f>
        <v>0</v>
      </c>
      <c r="R312" s="122">
        <f>Rates!R52</f>
        <v>0</v>
      </c>
      <c r="S312" s="122">
        <f>Rates!S52</f>
        <v>0</v>
      </c>
      <c r="T312" s="122">
        <f>Rates!T52</f>
        <v>0</v>
      </c>
    </row>
    <row r="313" spans="3:20" s="41" customFormat="1" outlineLevel="1" collapsed="1"/>
    <row r="314" spans="3:20" s="41" customFormat="1" ht="5.9" customHeight="1" outlineLevel="1"/>
    <row r="315" spans="3:20" s="41" customFormat="1" outlineLevel="1">
      <c r="C315" s="50" t="s">
        <v>118</v>
      </c>
    </row>
    <row r="316" spans="3:20" s="41" customFormat="1" ht="5.9" customHeight="1" outlineLevel="1"/>
    <row r="317" spans="3:20" s="41" customFormat="1" outlineLevel="1">
      <c r="D317" s="50" t="s">
        <v>160</v>
      </c>
      <c r="H317" s="123" t="s">
        <v>192</v>
      </c>
    </row>
    <row r="318" spans="3:20" s="41" customFormat="1" ht="5.9" customHeight="1" outlineLevel="1"/>
    <row r="319" spans="3:20" s="41" customFormat="1" outlineLevel="1">
      <c r="D319" s="103" t="str">
        <f>Work_Codes!D183</f>
        <v>Turbine</v>
      </c>
      <c r="H319" s="84" t="s">
        <v>198</v>
      </c>
      <c r="J319" s="126"/>
      <c r="K319" s="126"/>
      <c r="L319" s="126"/>
      <c r="M319" s="126"/>
      <c r="N319" s="212"/>
      <c r="O319" s="212"/>
      <c r="P319" s="218"/>
      <c r="Q319" s="218"/>
      <c r="R319" s="218"/>
      <c r="S319" s="218"/>
      <c r="T319" s="218"/>
    </row>
    <row r="320" spans="3:20" s="41" customFormat="1" outlineLevel="1">
      <c r="D320" s="103" t="str">
        <f>Work_Codes!D184</f>
        <v>Rotary Meters</v>
      </c>
      <c r="H320" s="84" t="s">
        <v>198</v>
      </c>
      <c r="J320" s="126"/>
      <c r="K320" s="126"/>
      <c r="L320" s="126"/>
      <c r="M320" s="126"/>
      <c r="N320" s="212"/>
      <c r="O320" s="212"/>
      <c r="P320" s="218"/>
      <c r="Q320" s="218"/>
      <c r="R320" s="218"/>
      <c r="S320" s="218"/>
      <c r="T320" s="218"/>
    </row>
    <row r="321" spans="3:20" outlineLevel="1">
      <c r="D321" s="174" t="str">
        <f>Work_Codes!D185</f>
        <v>Large Diaphragm Meters (AL2300 and AL5000)</v>
      </c>
      <c r="H321" s="63"/>
      <c r="J321" s="125"/>
      <c r="K321" s="125"/>
      <c r="L321" s="125"/>
      <c r="M321" s="125"/>
      <c r="N321" s="212"/>
      <c r="O321" s="212"/>
      <c r="P321" s="218"/>
      <c r="Q321" s="218"/>
      <c r="R321" s="218"/>
      <c r="S321" s="218"/>
      <c r="T321" s="218"/>
    </row>
    <row r="322" spans="3:20" outlineLevel="1">
      <c r="D322" s="174" t="str">
        <f>Work_Codes!D186</f>
        <v>Other Diaphragm Meters</v>
      </c>
      <c r="H322" s="63"/>
      <c r="J322" s="125"/>
      <c r="K322" s="125"/>
      <c r="L322" s="125"/>
      <c r="M322" s="125"/>
      <c r="N322" s="212"/>
      <c r="O322" s="212"/>
      <c r="P322" s="218"/>
      <c r="Q322" s="218"/>
      <c r="R322" s="218"/>
      <c r="S322" s="218"/>
      <c r="T322" s="218"/>
    </row>
    <row r="323" spans="3:20" outlineLevel="1">
      <c r="D323" s="174" t="str">
        <f>Work_Codes!D187</f>
        <v>Datalogger Sites</v>
      </c>
      <c r="H323" s="63"/>
      <c r="J323" s="125"/>
      <c r="K323" s="125"/>
      <c r="L323" s="125"/>
      <c r="M323" s="125"/>
      <c r="N323" s="212"/>
      <c r="O323" s="212"/>
      <c r="P323" s="218"/>
      <c r="Q323" s="218"/>
      <c r="R323" s="218"/>
      <c r="S323" s="218"/>
      <c r="T323" s="218"/>
    </row>
    <row r="324" spans="3:20" outlineLevel="1">
      <c r="D324" s="174" t="str">
        <f>Work_Codes!D188</f>
        <v>Flow Corrector Sites</v>
      </c>
      <c r="H324" s="63"/>
      <c r="J324" s="125"/>
      <c r="K324" s="125"/>
      <c r="L324" s="125"/>
      <c r="M324" s="125"/>
      <c r="N324" s="212"/>
      <c r="O324" s="212"/>
      <c r="P324" s="218"/>
      <c r="Q324" s="218"/>
      <c r="R324" s="218"/>
      <c r="S324" s="218"/>
      <c r="T324" s="218"/>
    </row>
    <row r="325" spans="3:20" outlineLevel="1">
      <c r="D325" s="174" t="str">
        <f>Work_Codes!D189</f>
        <v>Capex Items Category 7</v>
      </c>
      <c r="H325" s="63"/>
      <c r="J325" s="125"/>
      <c r="K325" s="125"/>
      <c r="L325" s="125"/>
      <c r="M325" s="125"/>
      <c r="N325" s="212"/>
      <c r="O325" s="212"/>
      <c r="P325" s="212"/>
      <c r="Q325" s="212"/>
      <c r="R325" s="212"/>
      <c r="S325" s="212"/>
      <c r="T325" s="212"/>
    </row>
    <row r="326" spans="3:20" s="41" customFormat="1" outlineLevel="1">
      <c r="D326" s="43"/>
      <c r="H326" s="86"/>
      <c r="J326" s="124"/>
      <c r="K326" s="124"/>
      <c r="L326" s="124"/>
      <c r="M326" s="124"/>
      <c r="N326" s="124"/>
      <c r="O326" s="124"/>
      <c r="P326" s="124"/>
      <c r="Q326" s="124"/>
      <c r="R326" s="124"/>
      <c r="S326" s="124"/>
      <c r="T326" s="124"/>
    </row>
    <row r="327" spans="3:20" s="41" customFormat="1" outlineLevel="1">
      <c r="C327" s="50" t="s">
        <v>119</v>
      </c>
    </row>
    <row r="328" spans="3:20" s="41" customFormat="1" ht="5.9" customHeight="1" outlineLevel="1"/>
    <row r="329" spans="3:20" s="41" customFormat="1" outlineLevel="1">
      <c r="D329" s="50" t="str">
        <f>D317</f>
        <v>Capex Category</v>
      </c>
    </row>
    <row r="330" spans="3:20" s="41" customFormat="1" ht="5.9" customHeight="1" outlineLevel="1"/>
    <row r="331" spans="3:20" s="41" customFormat="1" outlineLevel="1">
      <c r="D331" s="103" t="str">
        <f>Work_Codes!D183</f>
        <v>Turbine</v>
      </c>
      <c r="J331" s="163"/>
      <c r="K331" s="163"/>
      <c r="L331" s="163"/>
      <c r="M331" s="163"/>
      <c r="N331" s="213"/>
      <c r="O331" s="213"/>
      <c r="P331" s="213"/>
      <c r="Q331" s="213"/>
      <c r="R331" s="213"/>
      <c r="S331" s="213"/>
      <c r="T331" s="213"/>
    </row>
    <row r="332" spans="3:20" s="41" customFormat="1" outlineLevel="1">
      <c r="D332" s="103" t="str">
        <f>Work_Codes!D184</f>
        <v>Rotary Meters</v>
      </c>
      <c r="J332" s="163"/>
      <c r="K332" s="163"/>
      <c r="L332" s="163"/>
      <c r="M332" s="163"/>
      <c r="N332" s="213"/>
      <c r="O332" s="213"/>
      <c r="P332" s="213"/>
      <c r="Q332" s="213"/>
      <c r="R332" s="213"/>
      <c r="S332" s="213"/>
      <c r="T332" s="213"/>
    </row>
    <row r="333" spans="3:20" outlineLevel="1">
      <c r="D333" s="174" t="str">
        <f>Work_Codes!D185</f>
        <v>Large Diaphragm Meters (AL2300 and AL5000)</v>
      </c>
      <c r="J333" s="163"/>
      <c r="K333" s="163"/>
      <c r="L333" s="163"/>
      <c r="M333" s="163"/>
      <c r="N333" s="213"/>
      <c r="O333" s="213"/>
      <c r="P333" s="213"/>
      <c r="Q333" s="213"/>
      <c r="R333" s="213"/>
      <c r="S333" s="213"/>
      <c r="T333" s="213"/>
    </row>
    <row r="334" spans="3:20" outlineLevel="1">
      <c r="D334" s="174" t="str">
        <f>Work_Codes!D186</f>
        <v>Other Diaphragm Meters</v>
      </c>
      <c r="J334" s="163"/>
      <c r="K334" s="163"/>
      <c r="L334" s="163"/>
      <c r="M334" s="163"/>
      <c r="N334" s="213"/>
      <c r="O334" s="213"/>
      <c r="P334" s="213"/>
      <c r="Q334" s="213"/>
      <c r="R334" s="213"/>
      <c r="S334" s="213"/>
      <c r="T334" s="213"/>
    </row>
    <row r="335" spans="3:20" outlineLevel="1">
      <c r="D335" s="174" t="str">
        <f>Work_Codes!D187</f>
        <v>Datalogger Sites</v>
      </c>
      <c r="J335" s="163"/>
      <c r="K335" s="163"/>
      <c r="L335" s="163"/>
      <c r="M335" s="163"/>
      <c r="N335" s="213"/>
      <c r="O335" s="213"/>
      <c r="P335" s="213"/>
      <c r="Q335" s="213"/>
      <c r="R335" s="213"/>
      <c r="S335" s="213"/>
      <c r="T335" s="213"/>
    </row>
    <row r="336" spans="3:20" outlineLevel="1">
      <c r="D336" s="174" t="str">
        <f>Work_Codes!D188</f>
        <v>Flow Corrector Sites</v>
      </c>
      <c r="J336" s="163"/>
      <c r="K336" s="163"/>
      <c r="L336" s="163"/>
      <c r="M336" s="163"/>
      <c r="N336" s="213"/>
      <c r="O336" s="213"/>
      <c r="P336" s="213"/>
      <c r="Q336" s="213"/>
      <c r="R336" s="213"/>
      <c r="S336" s="213"/>
      <c r="T336" s="213"/>
    </row>
    <row r="337" spans="3:20" outlineLevel="1">
      <c r="D337" s="174" t="str">
        <f>Work_Codes!D189</f>
        <v>Capex Items Category 7</v>
      </c>
      <c r="J337" s="163"/>
      <c r="K337" s="163"/>
      <c r="L337" s="163"/>
      <c r="M337" s="163"/>
      <c r="N337" s="213"/>
      <c r="O337" s="213"/>
      <c r="P337" s="213"/>
      <c r="Q337" s="213"/>
      <c r="R337" s="213"/>
      <c r="S337" s="213"/>
      <c r="T337" s="213"/>
    </row>
    <row r="338" spans="3:20" s="41" customFormat="1" outlineLevel="1"/>
    <row r="339" spans="3:20" s="41" customFormat="1" outlineLevel="1">
      <c r="C339" s="50" t="s">
        <v>193</v>
      </c>
    </row>
    <row r="340" spans="3:20" s="41" customFormat="1" ht="5.9" customHeight="1" outlineLevel="1"/>
    <row r="341" spans="3:20" s="41" customFormat="1" outlineLevel="1">
      <c r="D341" s="50" t="str">
        <f>D317</f>
        <v>Capex Category</v>
      </c>
    </row>
    <row r="342" spans="3:20" s="41" customFormat="1" ht="5.9" customHeight="1" outlineLevel="1"/>
    <row r="343" spans="3:20" s="41" customFormat="1" outlineLevel="1">
      <c r="D343" s="103" t="str">
        <f>Work_Codes!D183</f>
        <v>Turbine</v>
      </c>
      <c r="J343" s="80">
        <v>0</v>
      </c>
      <c r="K343" s="80">
        <v>0</v>
      </c>
      <c r="L343" s="80">
        <v>0</v>
      </c>
      <c r="M343" s="80">
        <v>0</v>
      </c>
      <c r="N343" s="80">
        <v>0</v>
      </c>
      <c r="O343" s="80">
        <v>25000</v>
      </c>
      <c r="P343" s="80">
        <v>75000</v>
      </c>
      <c r="Q343" s="80">
        <v>75000</v>
      </c>
      <c r="R343" s="80">
        <v>75000</v>
      </c>
      <c r="S343" s="80">
        <v>75000</v>
      </c>
      <c r="T343" s="80">
        <v>75000</v>
      </c>
    </row>
    <row r="344" spans="3:20" s="41" customFormat="1" outlineLevel="1">
      <c r="D344" s="103" t="str">
        <f>Work_Codes!D184</f>
        <v>Rotary Meters</v>
      </c>
      <c r="J344" s="80">
        <v>0</v>
      </c>
      <c r="K344" s="80">
        <v>0</v>
      </c>
      <c r="L344" s="80">
        <v>0</v>
      </c>
      <c r="M344" s="80">
        <v>0</v>
      </c>
      <c r="N344" s="80">
        <v>0</v>
      </c>
      <c r="O344" s="80">
        <v>5000</v>
      </c>
      <c r="P344" s="80">
        <v>10000</v>
      </c>
      <c r="Q344" s="80">
        <v>10000</v>
      </c>
      <c r="R344" s="80">
        <v>10000</v>
      </c>
      <c r="S344" s="80">
        <v>10000</v>
      </c>
      <c r="T344" s="80">
        <v>10000</v>
      </c>
    </row>
    <row r="345" spans="3:20" outlineLevel="1">
      <c r="D345" s="174" t="str">
        <f>Work_Codes!D185</f>
        <v>Large Diaphragm Meters (AL2300 and AL5000)</v>
      </c>
      <c r="J345" s="81">
        <v>0</v>
      </c>
      <c r="K345" s="81">
        <v>0</v>
      </c>
      <c r="L345" s="81">
        <v>0</v>
      </c>
      <c r="M345" s="81">
        <v>0</v>
      </c>
      <c r="N345" s="81">
        <v>0</v>
      </c>
      <c r="O345" s="81">
        <v>12000</v>
      </c>
      <c r="P345" s="81">
        <v>20000</v>
      </c>
      <c r="Q345" s="81">
        <v>20000</v>
      </c>
      <c r="R345" s="81">
        <v>20000</v>
      </c>
      <c r="S345" s="81">
        <v>20000</v>
      </c>
      <c r="T345" s="81">
        <v>20000</v>
      </c>
    </row>
    <row r="346" spans="3:20" outlineLevel="1">
      <c r="D346" s="174" t="str">
        <f>Work_Codes!D186</f>
        <v>Other Diaphragm Meters</v>
      </c>
      <c r="J346" s="81">
        <v>0</v>
      </c>
      <c r="K346" s="81">
        <v>0</v>
      </c>
      <c r="L346" s="81">
        <v>0</v>
      </c>
      <c r="M346" s="81">
        <v>0</v>
      </c>
      <c r="N346" s="81">
        <v>0</v>
      </c>
      <c r="O346" s="81">
        <v>62500</v>
      </c>
      <c r="P346" s="81">
        <v>125000</v>
      </c>
      <c r="Q346" s="81">
        <v>125000</v>
      </c>
      <c r="R346" s="81">
        <v>125000</v>
      </c>
      <c r="S346" s="81">
        <v>125000</v>
      </c>
      <c r="T346" s="81">
        <v>125000</v>
      </c>
    </row>
    <row r="347" spans="3:20" outlineLevel="1">
      <c r="D347" s="174" t="str">
        <f>Work_Codes!D187</f>
        <v>Datalogger Sites</v>
      </c>
      <c r="J347" s="81">
        <v>0</v>
      </c>
      <c r="K347" s="81">
        <v>0</v>
      </c>
      <c r="L347" s="81">
        <v>0</v>
      </c>
      <c r="M347" s="81">
        <v>0</v>
      </c>
      <c r="N347" s="81">
        <v>0</v>
      </c>
      <c r="O347" s="81">
        <v>10545</v>
      </c>
      <c r="P347" s="81">
        <v>21090</v>
      </c>
      <c r="Q347" s="81">
        <v>17575</v>
      </c>
      <c r="R347" s="81">
        <v>14060</v>
      </c>
      <c r="S347" s="81">
        <v>10545</v>
      </c>
      <c r="T347" s="81">
        <v>10545</v>
      </c>
    </row>
    <row r="348" spans="3:20" outlineLevel="1">
      <c r="D348" s="174" t="str">
        <f>Work_Codes!D188</f>
        <v>Flow Corrector Sites</v>
      </c>
      <c r="J348" s="81">
        <v>0</v>
      </c>
      <c r="K348" s="81">
        <v>0</v>
      </c>
      <c r="L348" s="81">
        <v>0</v>
      </c>
      <c r="M348" s="81">
        <v>0</v>
      </c>
      <c r="N348" s="81">
        <v>0</v>
      </c>
      <c r="O348" s="81">
        <v>31110</v>
      </c>
      <c r="P348" s="81">
        <v>62220</v>
      </c>
      <c r="Q348" s="81">
        <v>51850</v>
      </c>
      <c r="R348" s="81">
        <v>41480</v>
      </c>
      <c r="S348" s="81">
        <v>31110</v>
      </c>
      <c r="T348" s="81">
        <v>20740</v>
      </c>
    </row>
    <row r="349" spans="3:20" outlineLevel="1">
      <c r="D349" s="174" t="str">
        <f>Work_Codes!D189</f>
        <v>Capex Items Category 7</v>
      </c>
      <c r="J349" s="81">
        <v>0</v>
      </c>
      <c r="K349" s="81">
        <v>0</v>
      </c>
      <c r="L349" s="81">
        <v>0</v>
      </c>
      <c r="M349" s="81">
        <v>0</v>
      </c>
      <c r="N349" s="81">
        <v>0</v>
      </c>
      <c r="O349" s="81">
        <v>0</v>
      </c>
      <c r="P349" s="81">
        <v>0</v>
      </c>
      <c r="Q349" s="81">
        <v>0</v>
      </c>
      <c r="R349" s="81">
        <v>280000</v>
      </c>
      <c r="S349" s="81">
        <v>0</v>
      </c>
      <c r="T349" s="81">
        <v>0</v>
      </c>
    </row>
    <row r="350" spans="3:20" s="41" customFormat="1" ht="5.9" customHeight="1" outlineLevel="1">
      <c r="D350" s="50"/>
      <c r="J350" s="79"/>
      <c r="K350" s="79"/>
      <c r="L350" s="79"/>
      <c r="M350" s="79"/>
      <c r="N350" s="79"/>
      <c r="O350" s="79"/>
      <c r="P350" s="79"/>
      <c r="Q350" s="79"/>
      <c r="R350" s="79"/>
      <c r="S350" s="79"/>
      <c r="T350" s="79"/>
    </row>
    <row r="351" spans="3:20" s="41" customFormat="1" outlineLevel="1">
      <c r="D351" s="250" t="str">
        <f>"Total "&amp;B300</f>
        <v>Total Industrial &amp; Commercial Meters - Ad Hoc</v>
      </c>
      <c r="E351" s="250"/>
      <c r="F351" s="250"/>
      <c r="G351" s="250"/>
      <c r="H351" s="250"/>
      <c r="I351" s="250"/>
      <c r="J351" s="101">
        <f t="shared" ref="J351:T351" si="35">SUM(J343:J350)</f>
        <v>0</v>
      </c>
      <c r="K351" s="101">
        <f t="shared" si="35"/>
        <v>0</v>
      </c>
      <c r="L351" s="101">
        <f t="shared" si="35"/>
        <v>0</v>
      </c>
      <c r="M351" s="101">
        <f t="shared" si="35"/>
        <v>0</v>
      </c>
      <c r="N351" s="101">
        <f t="shared" si="35"/>
        <v>0</v>
      </c>
      <c r="O351" s="101">
        <f t="shared" si="35"/>
        <v>146155</v>
      </c>
      <c r="P351" s="101">
        <f t="shared" si="35"/>
        <v>313310</v>
      </c>
      <c r="Q351" s="101">
        <f t="shared" si="35"/>
        <v>299425</v>
      </c>
      <c r="R351" s="101">
        <f t="shared" si="35"/>
        <v>565540</v>
      </c>
      <c r="S351" s="101">
        <f t="shared" si="35"/>
        <v>271655</v>
      </c>
      <c r="T351" s="101">
        <f t="shared" si="35"/>
        <v>261285</v>
      </c>
    </row>
    <row r="352" spans="3:20" outlineLevel="1"/>
    <row r="353" spans="3:20" outlineLevel="1">
      <c r="C353" s="37" t="s">
        <v>286</v>
      </c>
    </row>
    <row r="354" spans="3:20" ht="5.9" customHeight="1" outlineLevel="1"/>
    <row r="355" spans="3:20" outlineLevel="1">
      <c r="D355" s="143" t="str">
        <f>Work_Codes!D193</f>
        <v>Customer Contributions Category 1</v>
      </c>
      <c r="J355" s="148">
        <v>0</v>
      </c>
      <c r="K355" s="148">
        <v>0</v>
      </c>
      <c r="L355" s="148">
        <v>0</v>
      </c>
      <c r="M355" s="148">
        <v>0</v>
      </c>
      <c r="N355" s="148">
        <v>0</v>
      </c>
      <c r="O355" s="148">
        <v>0</v>
      </c>
      <c r="P355" s="148">
        <v>0</v>
      </c>
      <c r="Q355" s="148">
        <v>0</v>
      </c>
      <c r="R355" s="148">
        <v>0</v>
      </c>
      <c r="S355" s="148">
        <v>0</v>
      </c>
      <c r="T355" s="148">
        <v>0</v>
      </c>
    </row>
    <row r="356" spans="3:20" ht="5.9" customHeight="1" outlineLevel="1"/>
    <row r="357" spans="3:20" outlineLevel="1">
      <c r="D357" s="249" t="str">
        <f>"Total "&amp;C353</f>
        <v>Total Customer Connections</v>
      </c>
      <c r="E357" s="249"/>
      <c r="F357" s="249"/>
      <c r="G357" s="249"/>
      <c r="H357" s="249"/>
      <c r="I357" s="249"/>
      <c r="J357" s="82">
        <f t="shared" ref="J357:T357" si="36">SUM(J355:J356)</f>
        <v>0</v>
      </c>
      <c r="K357" s="82">
        <f t="shared" si="36"/>
        <v>0</v>
      </c>
      <c r="L357" s="82">
        <f t="shared" si="36"/>
        <v>0</v>
      </c>
      <c r="M357" s="82">
        <f t="shared" si="36"/>
        <v>0</v>
      </c>
      <c r="N357" s="82">
        <f t="shared" si="36"/>
        <v>0</v>
      </c>
      <c r="O357" s="82">
        <f t="shared" si="36"/>
        <v>0</v>
      </c>
      <c r="P357" s="82">
        <f t="shared" si="36"/>
        <v>0</v>
      </c>
      <c r="Q357" s="82">
        <f t="shared" si="36"/>
        <v>0</v>
      </c>
      <c r="R357" s="82">
        <f t="shared" si="36"/>
        <v>0</v>
      </c>
      <c r="S357" s="82">
        <f t="shared" si="36"/>
        <v>0</v>
      </c>
      <c r="T357" s="82">
        <f t="shared" si="36"/>
        <v>0</v>
      </c>
    </row>
    <row r="358" spans="3:20" s="41" customFormat="1" outlineLevel="1">
      <c r="C358" s="109"/>
      <c r="D358" s="109"/>
      <c r="E358" s="109"/>
      <c r="F358" s="109"/>
      <c r="G358" s="109"/>
      <c r="H358" s="109"/>
      <c r="I358" s="109"/>
      <c r="J358" s="109"/>
      <c r="K358" s="109"/>
      <c r="L358" s="109"/>
      <c r="M358" s="109"/>
      <c r="N358" s="109"/>
      <c r="O358" s="109"/>
      <c r="P358" s="109"/>
      <c r="Q358" s="109"/>
      <c r="R358" s="109"/>
      <c r="S358" s="109"/>
      <c r="T358" s="109"/>
    </row>
    <row r="359" spans="3:20" s="41" customFormat="1" outlineLevel="1"/>
    <row r="360" spans="3:20" s="41" customFormat="1" outlineLevel="1">
      <c r="C360" s="50" t="s">
        <v>213</v>
      </c>
    </row>
    <row r="361" spans="3:20" s="41" customFormat="1" ht="5.9" hidden="1" customHeight="1" outlineLevel="2"/>
    <row r="362" spans="3:20" s="41" customFormat="1" hidden="1" outlineLevel="2">
      <c r="C362" s="50" t="s">
        <v>128</v>
      </c>
    </row>
    <row r="363" spans="3:20" s="41" customFormat="1" ht="5.9" hidden="1" customHeight="1" outlineLevel="2"/>
    <row r="364" spans="3:20" s="41" customFormat="1" hidden="1" outlineLevel="2">
      <c r="D364" s="103" t="str">
        <f>Work_Codes!D183</f>
        <v>Turbine</v>
      </c>
      <c r="J364" s="80">
        <f>Work_Codes!$I183*J343*J$304</f>
        <v>0</v>
      </c>
      <c r="K364" s="80">
        <f>Work_Codes!$I183*K343*K$304</f>
        <v>0</v>
      </c>
      <c r="L364" s="80">
        <f>Work_Codes!$I183*L343*L$304</f>
        <v>0</v>
      </c>
      <c r="M364" s="80">
        <f>Work_Codes!$I183*M343*M$304</f>
        <v>0</v>
      </c>
      <c r="N364" s="80">
        <f>Work_Codes!$I183*N343*N$304</f>
        <v>0</v>
      </c>
      <c r="O364" s="80">
        <f>Work_Codes!$I183*O343*O$304</f>
        <v>251.29898089303381</v>
      </c>
      <c r="P364" s="80">
        <f>Work_Codes!$I183*P343*P$304</f>
        <v>757.67263060543212</v>
      </c>
      <c r="Q364" s="80">
        <f>Work_Codes!$I183*Q343*Q$304</f>
        <v>763.58046550821064</v>
      </c>
      <c r="R364" s="80">
        <f>Work_Codes!$I183*R343*R$304</f>
        <v>771.98630149180667</v>
      </c>
      <c r="S364" s="80">
        <f>Work_Codes!$I183*S343*S$304</f>
        <v>780.48467268521324</v>
      </c>
      <c r="T364" s="80">
        <f>Work_Codes!$I183*T343*T$304</f>
        <v>789.07659775749221</v>
      </c>
    </row>
    <row r="365" spans="3:20" s="41" customFormat="1" hidden="1" outlineLevel="2">
      <c r="D365" s="103" t="str">
        <f>Work_Codes!D184</f>
        <v>Rotary Meters</v>
      </c>
      <c r="J365" s="80">
        <f>Work_Codes!$I184*J344*J$304</f>
        <v>0</v>
      </c>
      <c r="K365" s="80">
        <f>Work_Codes!$I184*K344*K$304</f>
        <v>0</v>
      </c>
      <c r="L365" s="80">
        <f>Work_Codes!$I184*L344*L$304</f>
        <v>0</v>
      </c>
      <c r="M365" s="80">
        <f>Work_Codes!$I184*M344*M$304</f>
        <v>0</v>
      </c>
      <c r="N365" s="80">
        <f>Work_Codes!$I184*N344*N$304</f>
        <v>0</v>
      </c>
      <c r="O365" s="80">
        <f>Work_Codes!$I184*O344*O$304</f>
        <v>50.259796178606763</v>
      </c>
      <c r="P365" s="80">
        <f>Work_Codes!$I184*P344*P$304</f>
        <v>101.02301741405762</v>
      </c>
      <c r="Q365" s="80">
        <f>Work_Codes!$I184*Q344*Q$304</f>
        <v>101.8107287344281</v>
      </c>
      <c r="R365" s="80">
        <f>Work_Codes!$I184*R344*R$304</f>
        <v>102.93150686557422</v>
      </c>
      <c r="S365" s="80">
        <f>Work_Codes!$I184*S344*S$304</f>
        <v>104.06462302469509</v>
      </c>
      <c r="T365" s="80">
        <f>Work_Codes!$I184*T344*T$304</f>
        <v>105.21021303433228</v>
      </c>
    </row>
    <row r="366" spans="3:20" hidden="1" outlineLevel="2" collapsed="1">
      <c r="D366" s="174" t="str">
        <f>Work_Codes!D185</f>
        <v>Large Diaphragm Meters (AL2300 and AL5000)</v>
      </c>
      <c r="J366" s="81">
        <f>Work_Codes!$I185*J345*J$304</f>
        <v>0</v>
      </c>
      <c r="K366" s="81">
        <f>Work_Codes!$I185*K345*K$304</f>
        <v>0</v>
      </c>
      <c r="L366" s="81">
        <f>Work_Codes!$I185*L345*L$304</f>
        <v>0</v>
      </c>
      <c r="M366" s="81">
        <f>Work_Codes!$I185*M345*M$304</f>
        <v>0</v>
      </c>
      <c r="N366" s="81">
        <f>Work_Codes!$I185*N345*N$304</f>
        <v>0</v>
      </c>
      <c r="O366" s="81">
        <f>Work_Codes!$I185*O345*O$304</f>
        <v>120.62351082865624</v>
      </c>
      <c r="P366" s="81">
        <f>Work_Codes!$I185*P345*P$304</f>
        <v>202.04603482811524</v>
      </c>
      <c r="Q366" s="81">
        <f>Work_Codes!$I185*Q345*Q$304</f>
        <v>203.62145746885619</v>
      </c>
      <c r="R366" s="81">
        <f>Work_Codes!$I185*R345*R$304</f>
        <v>205.86301373114844</v>
      </c>
      <c r="S366" s="81">
        <f>Work_Codes!$I185*S345*S$304</f>
        <v>208.12924604939019</v>
      </c>
      <c r="T366" s="81">
        <f>Work_Codes!$I185*T345*T$304</f>
        <v>210.42042606866457</v>
      </c>
    </row>
    <row r="367" spans="3:20" hidden="1" outlineLevel="2">
      <c r="D367" s="174" t="str">
        <f>Work_Codes!D186</f>
        <v>Other Diaphragm Meters</v>
      </c>
      <c r="J367" s="81">
        <f>Work_Codes!$I186*J346*J$304</f>
        <v>0</v>
      </c>
      <c r="K367" s="81">
        <f>Work_Codes!$I186*K346*K$304</f>
        <v>0</v>
      </c>
      <c r="L367" s="81">
        <f>Work_Codes!$I186*L346*L$304</f>
        <v>0</v>
      </c>
      <c r="M367" s="81">
        <f>Work_Codes!$I186*M346*M$304</f>
        <v>0</v>
      </c>
      <c r="N367" s="81">
        <f>Work_Codes!$I186*N346*N$304</f>
        <v>0</v>
      </c>
      <c r="O367" s="81">
        <f>Work_Codes!$I186*O346*O$304</f>
        <v>628.24745223258458</v>
      </c>
      <c r="P367" s="81">
        <f>Work_Codes!$I186*P346*P$304</f>
        <v>1262.7877176757202</v>
      </c>
      <c r="Q367" s="81">
        <f>Work_Codes!$I186*Q346*Q$304</f>
        <v>1272.6341091803511</v>
      </c>
      <c r="R367" s="81">
        <f>Work_Codes!$I186*R346*R$304</f>
        <v>1286.6438358196776</v>
      </c>
      <c r="S367" s="81">
        <f>Work_Codes!$I186*S346*S$304</f>
        <v>1300.8077878086888</v>
      </c>
      <c r="T367" s="81">
        <f>Work_Codes!$I186*T346*T$304</f>
        <v>1315.1276629291535</v>
      </c>
    </row>
    <row r="368" spans="3:20" hidden="1" outlineLevel="2">
      <c r="D368" s="174" t="str">
        <f>Work_Codes!D187</f>
        <v>Datalogger Sites</v>
      </c>
      <c r="J368" s="81">
        <f>Work_Codes!$I187*J347*J$304</f>
        <v>0</v>
      </c>
      <c r="K368" s="81">
        <f>Work_Codes!$I187*K347*K$304</f>
        <v>0</v>
      </c>
      <c r="L368" s="81">
        <f>Work_Codes!$I187*L347*L$304</f>
        <v>0</v>
      </c>
      <c r="M368" s="81">
        <f>Work_Codes!$I187*M347*M$304</f>
        <v>0</v>
      </c>
      <c r="N368" s="81">
        <f>Work_Codes!$I187*N347*N$304</f>
        <v>0</v>
      </c>
      <c r="O368" s="81">
        <f>Work_Codes!$I187*O347*O$304</f>
        <v>105.99791014068167</v>
      </c>
      <c r="P368" s="81">
        <f>Work_Codes!$I187*P347*P$304</f>
        <v>213.0575437262475</v>
      </c>
      <c r="Q368" s="81">
        <f>Work_Codes!$I187*Q347*Q$304</f>
        <v>178.93235575075738</v>
      </c>
      <c r="R368" s="81">
        <f>Work_Codes!$I187*R347*R$304</f>
        <v>144.72169865299733</v>
      </c>
      <c r="S368" s="81">
        <f>Work_Codes!$I187*S347*S$304</f>
        <v>109.73614497954098</v>
      </c>
      <c r="T368" s="81">
        <f>Work_Codes!$I187*T347*T$304</f>
        <v>110.94416964470341</v>
      </c>
    </row>
    <row r="369" spans="3:20" hidden="1" outlineLevel="2">
      <c r="D369" s="174" t="str">
        <f>Work_Codes!D188</f>
        <v>Flow Corrector Sites</v>
      </c>
      <c r="J369" s="81">
        <f>Work_Codes!$I188*J348*J$304</f>
        <v>0</v>
      </c>
      <c r="K369" s="81">
        <f>Work_Codes!$I188*K348*K$304</f>
        <v>0</v>
      </c>
      <c r="L369" s="81">
        <f>Work_Codes!$I188*L348*L$304</f>
        <v>0</v>
      </c>
      <c r="M369" s="81">
        <f>Work_Codes!$I188*M348*M$304</f>
        <v>0</v>
      </c>
      <c r="N369" s="81">
        <f>Work_Codes!$I188*N348*N$304</f>
        <v>0</v>
      </c>
      <c r="O369" s="81">
        <f>Work_Codes!$I188*O348*O$304</f>
        <v>312.71645182329132</v>
      </c>
      <c r="P369" s="81">
        <f>Work_Codes!$I188*P348*P$304</f>
        <v>628.5652143502665</v>
      </c>
      <c r="Q369" s="81">
        <f>Work_Codes!$I188*Q348*Q$304</f>
        <v>527.88862848800966</v>
      </c>
      <c r="R369" s="81">
        <f>Work_Codes!$I188*R348*R$304</f>
        <v>426.95989047840186</v>
      </c>
      <c r="S369" s="81">
        <f>Work_Codes!$I188*S348*S$304</f>
        <v>323.74504222982648</v>
      </c>
      <c r="T369" s="81">
        <f>Work_Codes!$I188*T348*T$304</f>
        <v>218.20598183320519</v>
      </c>
    </row>
    <row r="370" spans="3:20" hidden="1" outlineLevel="2">
      <c r="D370" s="174" t="str">
        <f>Work_Codes!D189</f>
        <v>Capex Items Category 7</v>
      </c>
      <c r="J370" s="81">
        <f>Work_Codes!$I189*J349*J$304</f>
        <v>0</v>
      </c>
      <c r="K370" s="81">
        <f>Work_Codes!$I189*K349*K$304</f>
        <v>0</v>
      </c>
      <c r="L370" s="81">
        <f>Work_Codes!$I189*L349*L$304</f>
        <v>0</v>
      </c>
      <c r="M370" s="81">
        <f>Work_Codes!$I189*M349*M$304</f>
        <v>0</v>
      </c>
      <c r="N370" s="81">
        <f>Work_Codes!$I189*N349*N$304</f>
        <v>0</v>
      </c>
      <c r="O370" s="81">
        <f>Work_Codes!$I189*O349*O$304</f>
        <v>0</v>
      </c>
      <c r="P370" s="81">
        <f>Work_Codes!$I189*P349*P$304</f>
        <v>0</v>
      </c>
      <c r="Q370" s="81">
        <f>Work_Codes!$I189*Q349*Q$304</f>
        <v>0</v>
      </c>
      <c r="R370" s="81">
        <f>Work_Codes!$I189*R349*R$304</f>
        <v>2882.0821922360783</v>
      </c>
      <c r="S370" s="81">
        <f>Work_Codes!$I189*S349*S$304</f>
        <v>0</v>
      </c>
      <c r="T370" s="81">
        <f>Work_Codes!$I189*T349*T$304</f>
        <v>0</v>
      </c>
    </row>
    <row r="371" spans="3:20" s="41" customFormat="1" ht="5.9" hidden="1" customHeight="1" outlineLevel="2"/>
    <row r="372" spans="3:20" s="41" customFormat="1" hidden="1" outlineLevel="2">
      <c r="D372" s="250" t="str">
        <f>"Total "&amp;C362</f>
        <v>Total Internal Labour</v>
      </c>
      <c r="E372" s="250"/>
      <c r="F372" s="250"/>
      <c r="G372" s="250"/>
      <c r="H372" s="250"/>
      <c r="I372" s="250"/>
      <c r="J372" s="101">
        <f t="shared" ref="J372:T372" si="37">SUM(J364:J371)</f>
        <v>0</v>
      </c>
      <c r="K372" s="101">
        <f t="shared" si="37"/>
        <v>0</v>
      </c>
      <c r="L372" s="101">
        <f t="shared" si="37"/>
        <v>0</v>
      </c>
      <c r="M372" s="101">
        <f t="shared" si="37"/>
        <v>0</v>
      </c>
      <c r="N372" s="101">
        <f t="shared" si="37"/>
        <v>0</v>
      </c>
      <c r="O372" s="101">
        <f t="shared" si="37"/>
        <v>1469.1441020968541</v>
      </c>
      <c r="P372" s="101">
        <f t="shared" si="37"/>
        <v>3165.1521585998389</v>
      </c>
      <c r="Q372" s="101">
        <f t="shared" si="37"/>
        <v>3048.4677451306129</v>
      </c>
      <c r="R372" s="101">
        <f t="shared" si="37"/>
        <v>5821.1884392756847</v>
      </c>
      <c r="S372" s="101">
        <f t="shared" si="37"/>
        <v>2826.9675167773548</v>
      </c>
      <c r="T372" s="101">
        <f t="shared" si="37"/>
        <v>2748.9850512675512</v>
      </c>
    </row>
    <row r="373" spans="3:20" s="41" customFormat="1" hidden="1" outlineLevel="2"/>
    <row r="374" spans="3:20" s="41" customFormat="1" hidden="1" outlineLevel="2">
      <c r="C374" s="50" t="s">
        <v>129</v>
      </c>
    </row>
    <row r="375" spans="3:20" s="41" customFormat="1" ht="5.9" hidden="1" customHeight="1" outlineLevel="2"/>
    <row r="376" spans="3:20" s="41" customFormat="1" hidden="1" outlineLevel="2">
      <c r="D376" s="103" t="str">
        <f>Work_Codes!D183</f>
        <v>Turbine</v>
      </c>
      <c r="J376" s="80">
        <f>Work_Codes!$J183*J343*J$305</f>
        <v>0</v>
      </c>
      <c r="K376" s="80">
        <f>Work_Codes!$J183*K343*K$305</f>
        <v>0</v>
      </c>
      <c r="L376" s="80">
        <f>Work_Codes!$J183*L343*L$305</f>
        <v>0</v>
      </c>
      <c r="M376" s="80">
        <f>Work_Codes!$J183*M343*M$305</f>
        <v>0</v>
      </c>
      <c r="N376" s="80">
        <f>Work_Codes!$J183*N343*N$305</f>
        <v>0</v>
      </c>
      <c r="O376" s="80">
        <f>Work_Codes!$J183*O343*O$305</f>
        <v>6250</v>
      </c>
      <c r="P376" s="80">
        <f>Work_Codes!$J183*P343*P$305</f>
        <v>18750</v>
      </c>
      <c r="Q376" s="80">
        <f>Work_Codes!$J183*Q343*Q$305</f>
        <v>18750</v>
      </c>
      <c r="R376" s="80">
        <f>Work_Codes!$J183*R343*R$305</f>
        <v>18750</v>
      </c>
      <c r="S376" s="80">
        <f>Work_Codes!$J183*S343*S$305</f>
        <v>18750</v>
      </c>
      <c r="T376" s="80">
        <f>Work_Codes!$J183*T343*T$305</f>
        <v>18750</v>
      </c>
    </row>
    <row r="377" spans="3:20" s="41" customFormat="1" hidden="1" outlineLevel="2">
      <c r="D377" s="103" t="str">
        <f>Work_Codes!D184</f>
        <v>Rotary Meters</v>
      </c>
      <c r="J377" s="80">
        <f>Work_Codes!$J184*J344*J$305</f>
        <v>0</v>
      </c>
      <c r="K377" s="80">
        <f>Work_Codes!$J184*K344*K$305</f>
        <v>0</v>
      </c>
      <c r="L377" s="80">
        <f>Work_Codes!$J184*L344*L$305</f>
        <v>0</v>
      </c>
      <c r="M377" s="80">
        <f>Work_Codes!$J184*M344*M$305</f>
        <v>0</v>
      </c>
      <c r="N377" s="80">
        <f>Work_Codes!$J184*N344*N$305</f>
        <v>0</v>
      </c>
      <c r="O377" s="80">
        <f>Work_Codes!$J184*O344*O$305</f>
        <v>1250</v>
      </c>
      <c r="P377" s="80">
        <f>Work_Codes!$J184*P344*P$305</f>
        <v>2500</v>
      </c>
      <c r="Q377" s="80">
        <f>Work_Codes!$J184*Q344*Q$305</f>
        <v>2500</v>
      </c>
      <c r="R377" s="80">
        <f>Work_Codes!$J184*R344*R$305</f>
        <v>2500</v>
      </c>
      <c r="S377" s="80">
        <f>Work_Codes!$J184*S344*S$305</f>
        <v>2500</v>
      </c>
      <c r="T377" s="80">
        <f>Work_Codes!$J184*T344*T$305</f>
        <v>2500</v>
      </c>
    </row>
    <row r="378" spans="3:20" hidden="1" outlineLevel="2">
      <c r="D378" s="174" t="str">
        <f>Work_Codes!D185</f>
        <v>Large Diaphragm Meters (AL2300 and AL5000)</v>
      </c>
      <c r="J378" s="81">
        <f>Work_Codes!$J185*J345*J$305</f>
        <v>0</v>
      </c>
      <c r="K378" s="81">
        <f>Work_Codes!$J185*K345*K$305</f>
        <v>0</v>
      </c>
      <c r="L378" s="81">
        <f>Work_Codes!$J185*L345*L$305</f>
        <v>0</v>
      </c>
      <c r="M378" s="81">
        <f>Work_Codes!$J185*M345*M$305</f>
        <v>0</v>
      </c>
      <c r="N378" s="81">
        <f>Work_Codes!$J185*N345*N$305</f>
        <v>0</v>
      </c>
      <c r="O378" s="81">
        <f>Work_Codes!$J185*O345*O$305</f>
        <v>3000</v>
      </c>
      <c r="P378" s="81">
        <f>Work_Codes!$J185*P345*P$305</f>
        <v>5000</v>
      </c>
      <c r="Q378" s="81">
        <f>Work_Codes!$J185*Q345*Q$305</f>
        <v>5000</v>
      </c>
      <c r="R378" s="81">
        <f>Work_Codes!$J185*R345*R$305</f>
        <v>5000</v>
      </c>
      <c r="S378" s="81">
        <f>Work_Codes!$J185*S345*S$305</f>
        <v>5000</v>
      </c>
      <c r="T378" s="81">
        <f>Work_Codes!$J185*T345*T$305</f>
        <v>5000</v>
      </c>
    </row>
    <row r="379" spans="3:20" hidden="1" outlineLevel="2">
      <c r="D379" s="174" t="str">
        <f>Work_Codes!D186</f>
        <v>Other Diaphragm Meters</v>
      </c>
      <c r="J379" s="81">
        <f>Work_Codes!$J186*J346*J$305</f>
        <v>0</v>
      </c>
      <c r="K379" s="81">
        <f>Work_Codes!$J186*K346*K$305</f>
        <v>0</v>
      </c>
      <c r="L379" s="81">
        <f>Work_Codes!$J186*L346*L$305</f>
        <v>0</v>
      </c>
      <c r="M379" s="81">
        <f>Work_Codes!$J186*M346*M$305</f>
        <v>0</v>
      </c>
      <c r="N379" s="81">
        <f>Work_Codes!$J186*N346*N$305</f>
        <v>0</v>
      </c>
      <c r="O379" s="81">
        <f>Work_Codes!$J186*O346*O$305</f>
        <v>15625</v>
      </c>
      <c r="P379" s="81">
        <f>Work_Codes!$J186*P346*P$305</f>
        <v>31250</v>
      </c>
      <c r="Q379" s="81">
        <f>Work_Codes!$J186*Q346*Q$305</f>
        <v>31250</v>
      </c>
      <c r="R379" s="81">
        <f>Work_Codes!$J186*R346*R$305</f>
        <v>31250</v>
      </c>
      <c r="S379" s="81">
        <f>Work_Codes!$J186*S346*S$305</f>
        <v>31250</v>
      </c>
      <c r="T379" s="81">
        <f>Work_Codes!$J186*T346*T$305</f>
        <v>31250</v>
      </c>
    </row>
    <row r="380" spans="3:20" hidden="1" outlineLevel="2">
      <c r="D380" s="174" t="str">
        <f>Work_Codes!D187</f>
        <v>Datalogger Sites</v>
      </c>
      <c r="J380" s="81">
        <f>Work_Codes!$J187*J347*J$305</f>
        <v>0</v>
      </c>
      <c r="K380" s="81">
        <f>Work_Codes!$J187*K347*K$305</f>
        <v>0</v>
      </c>
      <c r="L380" s="81">
        <f>Work_Codes!$J187*L347*L$305</f>
        <v>0</v>
      </c>
      <c r="M380" s="81">
        <f>Work_Codes!$J187*M347*M$305</f>
        <v>0</v>
      </c>
      <c r="N380" s="81">
        <f>Work_Codes!$J187*N347*N$305</f>
        <v>0</v>
      </c>
      <c r="O380" s="81">
        <f>Work_Codes!$J187*O347*O$305</f>
        <v>2636.25</v>
      </c>
      <c r="P380" s="81">
        <f>Work_Codes!$J187*P347*P$305</f>
        <v>5272.5</v>
      </c>
      <c r="Q380" s="81">
        <f>Work_Codes!$J187*Q347*Q$305</f>
        <v>4393.75</v>
      </c>
      <c r="R380" s="81">
        <f>Work_Codes!$J187*R347*R$305</f>
        <v>3515</v>
      </c>
      <c r="S380" s="81">
        <f>Work_Codes!$J187*S347*S$305</f>
        <v>2636.25</v>
      </c>
      <c r="T380" s="81">
        <f>Work_Codes!$J187*T347*T$305</f>
        <v>2636.25</v>
      </c>
    </row>
    <row r="381" spans="3:20" hidden="1" outlineLevel="2">
      <c r="D381" s="174" t="str">
        <f>Work_Codes!D188</f>
        <v>Flow Corrector Sites</v>
      </c>
      <c r="J381" s="81">
        <f>Work_Codes!$J188*J348*J$305</f>
        <v>0</v>
      </c>
      <c r="K381" s="81">
        <f>Work_Codes!$J188*K348*K$305</f>
        <v>0</v>
      </c>
      <c r="L381" s="81">
        <f>Work_Codes!$J188*L348*L$305</f>
        <v>0</v>
      </c>
      <c r="M381" s="81">
        <f>Work_Codes!$J188*M348*M$305</f>
        <v>0</v>
      </c>
      <c r="N381" s="81">
        <f>Work_Codes!$J188*N348*N$305</f>
        <v>0</v>
      </c>
      <c r="O381" s="81">
        <f>Work_Codes!$J188*O348*O$305</f>
        <v>7777.5</v>
      </c>
      <c r="P381" s="81">
        <f>Work_Codes!$J188*P348*P$305</f>
        <v>15555</v>
      </c>
      <c r="Q381" s="81">
        <f>Work_Codes!$J188*Q348*Q$305</f>
        <v>12962.5</v>
      </c>
      <c r="R381" s="81">
        <f>Work_Codes!$J188*R348*R$305</f>
        <v>10370</v>
      </c>
      <c r="S381" s="81">
        <f>Work_Codes!$J188*S348*S$305</f>
        <v>7777.5</v>
      </c>
      <c r="T381" s="81">
        <f>Work_Codes!$J188*T348*T$305</f>
        <v>5185</v>
      </c>
    </row>
    <row r="382" spans="3:20" hidden="1" outlineLevel="2">
      <c r="D382" s="174" t="str">
        <f>Work_Codes!D189</f>
        <v>Capex Items Category 7</v>
      </c>
      <c r="J382" s="81">
        <f>Work_Codes!$J189*J349*J$305</f>
        <v>0</v>
      </c>
      <c r="K382" s="81">
        <f>Work_Codes!$J189*K349*K$305</f>
        <v>0</v>
      </c>
      <c r="L382" s="81">
        <f>Work_Codes!$J189*L349*L$305</f>
        <v>0</v>
      </c>
      <c r="M382" s="81">
        <f>Work_Codes!$J189*M349*M$305</f>
        <v>0</v>
      </c>
      <c r="N382" s="81">
        <f>Work_Codes!$J189*N349*N$305</f>
        <v>0</v>
      </c>
      <c r="O382" s="81">
        <f>Work_Codes!$J189*O349*O$305</f>
        <v>0</v>
      </c>
      <c r="P382" s="81">
        <f>Work_Codes!$J189*P349*P$305</f>
        <v>0</v>
      </c>
      <c r="Q382" s="81">
        <f>Work_Codes!$J189*Q349*Q$305</f>
        <v>0</v>
      </c>
      <c r="R382" s="81">
        <f>Work_Codes!$J189*R349*R$305</f>
        <v>70000</v>
      </c>
      <c r="S382" s="81">
        <f>Work_Codes!$J189*S349*S$305</f>
        <v>0</v>
      </c>
      <c r="T382" s="81">
        <f>Work_Codes!$J189*T349*T$305</f>
        <v>0</v>
      </c>
    </row>
    <row r="383" spans="3:20" ht="5.9" hidden="1" customHeight="1" outlineLevel="2"/>
    <row r="384" spans="3:20" hidden="1" outlineLevel="2">
      <c r="D384" s="249" t="str">
        <f>"Total "&amp;C374</f>
        <v>Total External Labour</v>
      </c>
      <c r="E384" s="249"/>
      <c r="F384" s="249"/>
      <c r="G384" s="249"/>
      <c r="H384" s="249"/>
      <c r="I384" s="249"/>
      <c r="J384" s="82">
        <f t="shared" ref="J384:T384" si="38">SUM(J376:J383)</f>
        <v>0</v>
      </c>
      <c r="K384" s="82">
        <f t="shared" si="38"/>
        <v>0</v>
      </c>
      <c r="L384" s="82">
        <f t="shared" si="38"/>
        <v>0</v>
      </c>
      <c r="M384" s="82">
        <f t="shared" si="38"/>
        <v>0</v>
      </c>
      <c r="N384" s="82">
        <f t="shared" si="38"/>
        <v>0</v>
      </c>
      <c r="O384" s="82">
        <f t="shared" si="38"/>
        <v>36538.75</v>
      </c>
      <c r="P384" s="82">
        <f t="shared" si="38"/>
        <v>78327.5</v>
      </c>
      <c r="Q384" s="82">
        <f t="shared" si="38"/>
        <v>74856.25</v>
      </c>
      <c r="R384" s="82">
        <f t="shared" si="38"/>
        <v>141385</v>
      </c>
      <c r="S384" s="82">
        <f t="shared" si="38"/>
        <v>67913.75</v>
      </c>
      <c r="T384" s="82">
        <f t="shared" si="38"/>
        <v>65321.25</v>
      </c>
    </row>
    <row r="385" spans="3:20" hidden="1" outlineLevel="2"/>
    <row r="386" spans="3:20" hidden="1" outlineLevel="2">
      <c r="C386" s="37" t="s">
        <v>130</v>
      </c>
    </row>
    <row r="387" spans="3:20" ht="5.9" hidden="1" customHeight="1" outlineLevel="2"/>
    <row r="388" spans="3:20" hidden="1" outlineLevel="2">
      <c r="D388" s="102" t="str">
        <f>Work_Codes!D183</f>
        <v>Turbine</v>
      </c>
      <c r="J388" s="81">
        <f>Work_Codes!$K183*J343*J$306</f>
        <v>0</v>
      </c>
      <c r="K388" s="81">
        <f>Work_Codes!$K183*K343*K$306</f>
        <v>0</v>
      </c>
      <c r="L388" s="81">
        <f>Work_Codes!$K183*L343*L$306</f>
        <v>0</v>
      </c>
      <c r="M388" s="81">
        <f>Work_Codes!$K183*M343*M$306</f>
        <v>0</v>
      </c>
      <c r="N388" s="81">
        <f>Work_Codes!$K183*N343*N$306</f>
        <v>0</v>
      </c>
      <c r="O388" s="81">
        <f>Work_Codes!$K183*O343*O$306</f>
        <v>18500</v>
      </c>
      <c r="P388" s="81">
        <f>Work_Codes!$K183*P343*P$306</f>
        <v>55500</v>
      </c>
      <c r="Q388" s="81">
        <f>Work_Codes!$K183*Q343*Q$306</f>
        <v>55500</v>
      </c>
      <c r="R388" s="81">
        <f>Work_Codes!$K183*R343*R$306</f>
        <v>55500</v>
      </c>
      <c r="S388" s="81">
        <f>Work_Codes!$K183*S343*S$306</f>
        <v>55500</v>
      </c>
      <c r="T388" s="81">
        <f>Work_Codes!$K183*T343*T$306</f>
        <v>55500</v>
      </c>
    </row>
    <row r="389" spans="3:20" hidden="1" outlineLevel="2">
      <c r="D389" s="102" t="str">
        <f>Work_Codes!D184</f>
        <v>Rotary Meters</v>
      </c>
      <c r="J389" s="81">
        <f>Work_Codes!$K184*J344*J$306</f>
        <v>0</v>
      </c>
      <c r="K389" s="81">
        <f>Work_Codes!$K184*K344*K$306</f>
        <v>0</v>
      </c>
      <c r="L389" s="81">
        <f>Work_Codes!$K184*L344*L$306</f>
        <v>0</v>
      </c>
      <c r="M389" s="81">
        <f>Work_Codes!$K184*M344*M$306</f>
        <v>0</v>
      </c>
      <c r="N389" s="81">
        <f>Work_Codes!$K184*N344*N$306</f>
        <v>0</v>
      </c>
      <c r="O389" s="81">
        <f>Work_Codes!$K184*O344*O$306</f>
        <v>3700</v>
      </c>
      <c r="P389" s="81">
        <f>Work_Codes!$K184*P344*P$306</f>
        <v>7400</v>
      </c>
      <c r="Q389" s="81">
        <f>Work_Codes!$K184*Q344*Q$306</f>
        <v>7400</v>
      </c>
      <c r="R389" s="81">
        <f>Work_Codes!$K184*R344*R$306</f>
        <v>7400</v>
      </c>
      <c r="S389" s="81">
        <f>Work_Codes!$K184*S344*S$306</f>
        <v>7400</v>
      </c>
      <c r="T389" s="81">
        <f>Work_Codes!$K184*T344*T$306</f>
        <v>7400</v>
      </c>
    </row>
    <row r="390" spans="3:20" hidden="1" outlineLevel="2">
      <c r="D390" s="174" t="str">
        <f>Work_Codes!D185</f>
        <v>Large Diaphragm Meters (AL2300 and AL5000)</v>
      </c>
      <c r="J390" s="81">
        <f>Work_Codes!$K185*J345*J$306</f>
        <v>0</v>
      </c>
      <c r="K390" s="81">
        <f>Work_Codes!$K185*K345*K$306</f>
        <v>0</v>
      </c>
      <c r="L390" s="81">
        <f>Work_Codes!$K185*L345*L$306</f>
        <v>0</v>
      </c>
      <c r="M390" s="81">
        <f>Work_Codes!$K185*M345*M$306</f>
        <v>0</v>
      </c>
      <c r="N390" s="81">
        <f>Work_Codes!$K185*N345*N$306</f>
        <v>0</v>
      </c>
      <c r="O390" s="81">
        <f>Work_Codes!$K185*O345*O$306</f>
        <v>8880</v>
      </c>
      <c r="P390" s="81">
        <f>Work_Codes!$K185*P345*P$306</f>
        <v>14800</v>
      </c>
      <c r="Q390" s="81">
        <f>Work_Codes!$K185*Q345*Q$306</f>
        <v>14800</v>
      </c>
      <c r="R390" s="81">
        <f>Work_Codes!$K185*R345*R$306</f>
        <v>14800</v>
      </c>
      <c r="S390" s="81">
        <f>Work_Codes!$K185*S345*S$306</f>
        <v>14800</v>
      </c>
      <c r="T390" s="81">
        <f>Work_Codes!$K185*T345*T$306</f>
        <v>14800</v>
      </c>
    </row>
    <row r="391" spans="3:20" hidden="1" outlineLevel="2">
      <c r="D391" s="174" t="str">
        <f>Work_Codes!D186</f>
        <v>Other Diaphragm Meters</v>
      </c>
      <c r="J391" s="81">
        <f>Work_Codes!$K186*J346*J$306</f>
        <v>0</v>
      </c>
      <c r="K391" s="81">
        <f>Work_Codes!$K186*K346*K$306</f>
        <v>0</v>
      </c>
      <c r="L391" s="81">
        <f>Work_Codes!$K186*L346*L$306</f>
        <v>0</v>
      </c>
      <c r="M391" s="81">
        <f>Work_Codes!$K186*M346*M$306</f>
        <v>0</v>
      </c>
      <c r="N391" s="81">
        <f>Work_Codes!$K186*N346*N$306</f>
        <v>0</v>
      </c>
      <c r="O391" s="81">
        <f>Work_Codes!$K186*O346*O$306</f>
        <v>46250</v>
      </c>
      <c r="P391" s="81">
        <f>Work_Codes!$K186*P346*P$306</f>
        <v>92500</v>
      </c>
      <c r="Q391" s="81">
        <f>Work_Codes!$K186*Q346*Q$306</f>
        <v>92500</v>
      </c>
      <c r="R391" s="81">
        <f>Work_Codes!$K186*R346*R$306</f>
        <v>92500</v>
      </c>
      <c r="S391" s="81">
        <f>Work_Codes!$K186*S346*S$306</f>
        <v>92500</v>
      </c>
      <c r="T391" s="81">
        <f>Work_Codes!$K186*T346*T$306</f>
        <v>92500</v>
      </c>
    </row>
    <row r="392" spans="3:20" hidden="1" outlineLevel="2">
      <c r="D392" s="174" t="str">
        <f>Work_Codes!D187</f>
        <v>Datalogger Sites</v>
      </c>
      <c r="J392" s="81">
        <f>Work_Codes!$K187*J347*J$306</f>
        <v>0</v>
      </c>
      <c r="K392" s="81">
        <f>Work_Codes!$K187*K347*K$306</f>
        <v>0</v>
      </c>
      <c r="L392" s="81">
        <f>Work_Codes!$K187*L347*L$306</f>
        <v>0</v>
      </c>
      <c r="M392" s="81">
        <f>Work_Codes!$K187*M347*M$306</f>
        <v>0</v>
      </c>
      <c r="N392" s="81">
        <f>Work_Codes!$K187*N347*N$306</f>
        <v>0</v>
      </c>
      <c r="O392" s="81">
        <f>Work_Codes!$K187*O347*O$306</f>
        <v>7803.3</v>
      </c>
      <c r="P392" s="81">
        <f>Work_Codes!$K187*P347*P$306</f>
        <v>15606.6</v>
      </c>
      <c r="Q392" s="81">
        <f>Work_Codes!$K187*Q347*Q$306</f>
        <v>13005.5</v>
      </c>
      <c r="R392" s="81">
        <f>Work_Codes!$K187*R347*R$306</f>
        <v>10404.4</v>
      </c>
      <c r="S392" s="81">
        <f>Work_Codes!$K187*S347*S$306</f>
        <v>7803.3</v>
      </c>
      <c r="T392" s="81">
        <f>Work_Codes!$K187*T347*T$306</f>
        <v>7803.3</v>
      </c>
    </row>
    <row r="393" spans="3:20" hidden="1" outlineLevel="2">
      <c r="D393" s="174" t="str">
        <f>Work_Codes!D188</f>
        <v>Flow Corrector Sites</v>
      </c>
      <c r="J393" s="81">
        <f>Work_Codes!$K188*J348*J$306</f>
        <v>0</v>
      </c>
      <c r="K393" s="81">
        <f>Work_Codes!$K188*K348*K$306</f>
        <v>0</v>
      </c>
      <c r="L393" s="81">
        <f>Work_Codes!$K188*L348*L$306</f>
        <v>0</v>
      </c>
      <c r="M393" s="81">
        <f>Work_Codes!$K188*M348*M$306</f>
        <v>0</v>
      </c>
      <c r="N393" s="81">
        <f>Work_Codes!$K188*N348*N$306</f>
        <v>0</v>
      </c>
      <c r="O393" s="81">
        <f>Work_Codes!$K188*O348*O$306</f>
        <v>23021.4</v>
      </c>
      <c r="P393" s="81">
        <f>Work_Codes!$K188*P348*P$306</f>
        <v>46042.8</v>
      </c>
      <c r="Q393" s="81">
        <f>Work_Codes!$K188*Q348*Q$306</f>
        <v>38369</v>
      </c>
      <c r="R393" s="81">
        <f>Work_Codes!$K188*R348*R$306</f>
        <v>30695.200000000001</v>
      </c>
      <c r="S393" s="81">
        <f>Work_Codes!$K188*S348*S$306</f>
        <v>23021.4</v>
      </c>
      <c r="T393" s="81">
        <f>Work_Codes!$K188*T348*T$306</f>
        <v>15347.6</v>
      </c>
    </row>
    <row r="394" spans="3:20" hidden="1" outlineLevel="2">
      <c r="D394" s="174" t="str">
        <f>Work_Codes!D189</f>
        <v>Capex Items Category 7</v>
      </c>
      <c r="J394" s="81">
        <f>Work_Codes!$K189*J349*J$306</f>
        <v>0</v>
      </c>
      <c r="K394" s="81">
        <f>Work_Codes!$K189*K349*K$306</f>
        <v>0</v>
      </c>
      <c r="L394" s="81">
        <f>Work_Codes!$K189*L349*L$306</f>
        <v>0</v>
      </c>
      <c r="M394" s="81">
        <f>Work_Codes!$K189*M349*M$306</f>
        <v>0</v>
      </c>
      <c r="N394" s="81">
        <f>Work_Codes!$K189*N349*N$306</f>
        <v>0</v>
      </c>
      <c r="O394" s="81">
        <f>Work_Codes!$K189*O349*O$306</f>
        <v>0</v>
      </c>
      <c r="P394" s="81">
        <f>Work_Codes!$K189*P349*P$306</f>
        <v>0</v>
      </c>
      <c r="Q394" s="81">
        <f>Work_Codes!$K189*Q349*Q$306</f>
        <v>0</v>
      </c>
      <c r="R394" s="81">
        <f>Work_Codes!$K189*R349*R$306</f>
        <v>207200</v>
      </c>
      <c r="S394" s="81">
        <f>Work_Codes!$K189*S349*S$306</f>
        <v>0</v>
      </c>
      <c r="T394" s="81">
        <f>Work_Codes!$K189*T349*T$306</f>
        <v>0</v>
      </c>
    </row>
    <row r="395" spans="3:20" ht="5.9" hidden="1" customHeight="1" outlineLevel="2"/>
    <row r="396" spans="3:20" hidden="1" outlineLevel="2">
      <c r="D396" s="249" t="str">
        <f>"Total "&amp;C386</f>
        <v>Total Materials</v>
      </c>
      <c r="E396" s="249"/>
      <c r="F396" s="249"/>
      <c r="G396" s="249"/>
      <c r="H396" s="249"/>
      <c r="I396" s="249"/>
      <c r="J396" s="82">
        <f t="shared" ref="J396:T396" si="39">SUM(J388:J395)</f>
        <v>0</v>
      </c>
      <c r="K396" s="82">
        <f t="shared" si="39"/>
        <v>0</v>
      </c>
      <c r="L396" s="82">
        <f t="shared" si="39"/>
        <v>0</v>
      </c>
      <c r="M396" s="82">
        <f t="shared" si="39"/>
        <v>0</v>
      </c>
      <c r="N396" s="82">
        <f t="shared" si="39"/>
        <v>0</v>
      </c>
      <c r="O396" s="82">
        <f t="shared" si="39"/>
        <v>108154.70000000001</v>
      </c>
      <c r="P396" s="82">
        <f t="shared" si="39"/>
        <v>231849.40000000002</v>
      </c>
      <c r="Q396" s="82">
        <f t="shared" si="39"/>
        <v>221574.5</v>
      </c>
      <c r="R396" s="82">
        <f t="shared" si="39"/>
        <v>418499.6</v>
      </c>
      <c r="S396" s="82">
        <f t="shared" si="39"/>
        <v>201024.69999999998</v>
      </c>
      <c r="T396" s="82">
        <f t="shared" si="39"/>
        <v>193350.9</v>
      </c>
    </row>
    <row r="397" spans="3:20" outlineLevel="1" collapsed="1"/>
    <row r="398" spans="3:20" outlineLevel="1">
      <c r="C398" s="37" t="s">
        <v>217</v>
      </c>
    </row>
    <row r="399" spans="3:20" ht="5.9" customHeight="1" outlineLevel="1"/>
    <row r="400" spans="3:20" outlineLevel="1">
      <c r="D400" s="102" t="str">
        <f>Work_Codes!D183</f>
        <v>Turbine</v>
      </c>
      <c r="J400" s="81">
        <f t="shared" ref="J400:T400" si="40">J364+J376+J388</f>
        <v>0</v>
      </c>
      <c r="K400" s="81">
        <f t="shared" si="40"/>
        <v>0</v>
      </c>
      <c r="L400" s="81">
        <f t="shared" si="40"/>
        <v>0</v>
      </c>
      <c r="M400" s="81">
        <f t="shared" si="40"/>
        <v>0</v>
      </c>
      <c r="N400" s="81">
        <f t="shared" si="40"/>
        <v>0</v>
      </c>
      <c r="O400" s="81">
        <f t="shared" si="40"/>
        <v>25001.298980893036</v>
      </c>
      <c r="P400" s="81">
        <f t="shared" si="40"/>
        <v>75007.672630605433</v>
      </c>
      <c r="Q400" s="81">
        <f t="shared" si="40"/>
        <v>75013.580465508217</v>
      </c>
      <c r="R400" s="81">
        <f t="shared" si="40"/>
        <v>75021.986301491808</v>
      </c>
      <c r="S400" s="81">
        <f t="shared" si="40"/>
        <v>75030.484672685212</v>
      </c>
      <c r="T400" s="81">
        <f t="shared" si="40"/>
        <v>75039.076597757492</v>
      </c>
    </row>
    <row r="401" spans="2:20" outlineLevel="1">
      <c r="D401" s="102" t="str">
        <f>Work_Codes!D184</f>
        <v>Rotary Meters</v>
      </c>
      <c r="J401" s="81">
        <f t="shared" ref="J401:T401" si="41">J365+J377+J389</f>
        <v>0</v>
      </c>
      <c r="K401" s="81">
        <f t="shared" si="41"/>
        <v>0</v>
      </c>
      <c r="L401" s="81">
        <f t="shared" si="41"/>
        <v>0</v>
      </c>
      <c r="M401" s="81">
        <f t="shared" si="41"/>
        <v>0</v>
      </c>
      <c r="N401" s="81">
        <f t="shared" si="41"/>
        <v>0</v>
      </c>
      <c r="O401" s="81">
        <f t="shared" si="41"/>
        <v>5000.2597961786068</v>
      </c>
      <c r="P401" s="81">
        <f t="shared" si="41"/>
        <v>10001.023017414058</v>
      </c>
      <c r="Q401" s="81">
        <f t="shared" si="41"/>
        <v>10001.810728734428</v>
      </c>
      <c r="R401" s="81">
        <f t="shared" si="41"/>
        <v>10002.931506865574</v>
      </c>
      <c r="S401" s="81">
        <f t="shared" si="41"/>
        <v>10004.064623024695</v>
      </c>
      <c r="T401" s="81">
        <f t="shared" si="41"/>
        <v>10005.210213034332</v>
      </c>
    </row>
    <row r="402" spans="2:20" outlineLevel="1">
      <c r="D402" s="174" t="str">
        <f>Work_Codes!D185</f>
        <v>Large Diaphragm Meters (AL2300 and AL5000)</v>
      </c>
      <c r="J402" s="81">
        <f t="shared" ref="J402:T402" si="42">J366+J378+J390</f>
        <v>0</v>
      </c>
      <c r="K402" s="81">
        <f t="shared" si="42"/>
        <v>0</v>
      </c>
      <c r="L402" s="81">
        <f t="shared" si="42"/>
        <v>0</v>
      </c>
      <c r="M402" s="81">
        <f t="shared" si="42"/>
        <v>0</v>
      </c>
      <c r="N402" s="81">
        <f t="shared" si="42"/>
        <v>0</v>
      </c>
      <c r="O402" s="81">
        <f t="shared" si="42"/>
        <v>12000.623510828656</v>
      </c>
      <c r="P402" s="81">
        <f t="shared" si="42"/>
        <v>20002.046034828116</v>
      </c>
      <c r="Q402" s="81">
        <f t="shared" si="42"/>
        <v>20003.621457468857</v>
      </c>
      <c r="R402" s="81">
        <f t="shared" si="42"/>
        <v>20005.863013731148</v>
      </c>
      <c r="S402" s="81">
        <f t="shared" si="42"/>
        <v>20008.12924604939</v>
      </c>
      <c r="T402" s="81">
        <f t="shared" si="42"/>
        <v>20010.420426068664</v>
      </c>
    </row>
    <row r="403" spans="2:20" outlineLevel="1">
      <c r="D403" s="174" t="str">
        <f>Work_Codes!D186</f>
        <v>Other Diaphragm Meters</v>
      </c>
      <c r="J403" s="81">
        <f t="shared" ref="J403:T403" si="43">J367+J379+J391</f>
        <v>0</v>
      </c>
      <c r="K403" s="81">
        <f t="shared" si="43"/>
        <v>0</v>
      </c>
      <c r="L403" s="81">
        <f t="shared" si="43"/>
        <v>0</v>
      </c>
      <c r="M403" s="81">
        <f t="shared" si="43"/>
        <v>0</v>
      </c>
      <c r="N403" s="81">
        <f t="shared" si="43"/>
        <v>0</v>
      </c>
      <c r="O403" s="81">
        <f t="shared" si="43"/>
        <v>62503.247452232587</v>
      </c>
      <c r="P403" s="81">
        <f t="shared" si="43"/>
        <v>125012.78771767572</v>
      </c>
      <c r="Q403" s="81">
        <f t="shared" si="43"/>
        <v>125022.63410918035</v>
      </c>
      <c r="R403" s="81">
        <f t="shared" si="43"/>
        <v>125036.64383581968</v>
      </c>
      <c r="S403" s="81">
        <f t="shared" si="43"/>
        <v>125050.80778780869</v>
      </c>
      <c r="T403" s="81">
        <f t="shared" si="43"/>
        <v>125065.12766292915</v>
      </c>
    </row>
    <row r="404" spans="2:20" outlineLevel="1">
      <c r="D404" s="174" t="str">
        <f>Work_Codes!D187</f>
        <v>Datalogger Sites</v>
      </c>
      <c r="J404" s="81">
        <f t="shared" ref="J404:T404" si="44">J368+J380+J392</f>
        <v>0</v>
      </c>
      <c r="K404" s="81">
        <f t="shared" si="44"/>
        <v>0</v>
      </c>
      <c r="L404" s="81">
        <f t="shared" si="44"/>
        <v>0</v>
      </c>
      <c r="M404" s="81">
        <f t="shared" si="44"/>
        <v>0</v>
      </c>
      <c r="N404" s="81">
        <f t="shared" si="44"/>
        <v>0</v>
      </c>
      <c r="O404" s="81">
        <f t="shared" si="44"/>
        <v>10545.547910140682</v>
      </c>
      <c r="P404" s="81">
        <f t="shared" si="44"/>
        <v>21092.157543726247</v>
      </c>
      <c r="Q404" s="81">
        <f t="shared" si="44"/>
        <v>17578.18235575076</v>
      </c>
      <c r="R404" s="81">
        <f t="shared" si="44"/>
        <v>14064.121698652998</v>
      </c>
      <c r="S404" s="81">
        <f t="shared" si="44"/>
        <v>10549.286144979542</v>
      </c>
      <c r="T404" s="81">
        <f t="shared" si="44"/>
        <v>10550.494169644704</v>
      </c>
    </row>
    <row r="405" spans="2:20" outlineLevel="1">
      <c r="D405" s="174" t="str">
        <f>Work_Codes!D188</f>
        <v>Flow Corrector Sites</v>
      </c>
      <c r="J405" s="81">
        <f t="shared" ref="J405:T405" si="45">J369+J381+J393</f>
        <v>0</v>
      </c>
      <c r="K405" s="81">
        <f t="shared" si="45"/>
        <v>0</v>
      </c>
      <c r="L405" s="81">
        <f t="shared" si="45"/>
        <v>0</v>
      </c>
      <c r="M405" s="81">
        <f t="shared" si="45"/>
        <v>0</v>
      </c>
      <c r="N405" s="81">
        <f t="shared" si="45"/>
        <v>0</v>
      </c>
      <c r="O405" s="81">
        <f t="shared" si="45"/>
        <v>31111.616451823291</v>
      </c>
      <c r="P405" s="81">
        <f t="shared" si="45"/>
        <v>62226.36521435027</v>
      </c>
      <c r="Q405" s="81">
        <f t="shared" si="45"/>
        <v>51859.388628488014</v>
      </c>
      <c r="R405" s="81">
        <f t="shared" si="45"/>
        <v>41492.159890478404</v>
      </c>
      <c r="S405" s="81">
        <f t="shared" si="45"/>
        <v>31122.645042229829</v>
      </c>
      <c r="T405" s="81">
        <f t="shared" si="45"/>
        <v>20750.805981833204</v>
      </c>
    </row>
    <row r="406" spans="2:20" outlineLevel="1">
      <c r="D406" s="174" t="str">
        <f>Work_Codes!D189</f>
        <v>Capex Items Category 7</v>
      </c>
      <c r="J406" s="81">
        <f t="shared" ref="J406:T406" si="46">J370+J382+J394</f>
        <v>0</v>
      </c>
      <c r="K406" s="81">
        <f t="shared" si="46"/>
        <v>0</v>
      </c>
      <c r="L406" s="81">
        <f t="shared" si="46"/>
        <v>0</v>
      </c>
      <c r="M406" s="81">
        <f t="shared" si="46"/>
        <v>0</v>
      </c>
      <c r="N406" s="81">
        <f t="shared" si="46"/>
        <v>0</v>
      </c>
      <c r="O406" s="81">
        <f t="shared" si="46"/>
        <v>0</v>
      </c>
      <c r="P406" s="81">
        <f t="shared" si="46"/>
        <v>0</v>
      </c>
      <c r="Q406" s="81">
        <f t="shared" si="46"/>
        <v>0</v>
      </c>
      <c r="R406" s="81">
        <f t="shared" si="46"/>
        <v>280082.08219223609</v>
      </c>
      <c r="S406" s="81">
        <f t="shared" si="46"/>
        <v>0</v>
      </c>
      <c r="T406" s="81">
        <f t="shared" si="46"/>
        <v>0</v>
      </c>
    </row>
    <row r="407" spans="2:20" ht="5.9" customHeight="1" outlineLevel="1"/>
    <row r="408" spans="2:20" outlineLevel="1">
      <c r="D408" s="249" t="str">
        <f>C398</f>
        <v>Total Direct Capex including Escalation (Non CPI)</v>
      </c>
      <c r="E408" s="249"/>
      <c r="F408" s="249"/>
      <c r="G408" s="249"/>
      <c r="H408" s="249"/>
      <c r="I408" s="249"/>
      <c r="J408" s="82">
        <f t="shared" ref="J408:T408" si="47">SUM(J400:J407)</f>
        <v>0</v>
      </c>
      <c r="K408" s="82">
        <f t="shared" si="47"/>
        <v>0</v>
      </c>
      <c r="L408" s="82">
        <f t="shared" si="47"/>
        <v>0</v>
      </c>
      <c r="M408" s="82">
        <f t="shared" si="47"/>
        <v>0</v>
      </c>
      <c r="N408" s="82">
        <f t="shared" si="47"/>
        <v>0</v>
      </c>
      <c r="O408" s="82">
        <f t="shared" si="47"/>
        <v>146162.59410209686</v>
      </c>
      <c r="P408" s="82">
        <f t="shared" si="47"/>
        <v>313342.05215859984</v>
      </c>
      <c r="Q408" s="82">
        <f t="shared" si="47"/>
        <v>299479.21774513059</v>
      </c>
      <c r="R408" s="82">
        <f t="shared" si="47"/>
        <v>565705.7884392757</v>
      </c>
      <c r="S408" s="82">
        <f t="shared" si="47"/>
        <v>271765.41751677735</v>
      </c>
      <c r="T408" s="82">
        <f t="shared" si="47"/>
        <v>261421.13505126754</v>
      </c>
    </row>
    <row r="409" spans="2:20" outlineLevel="1">
      <c r="B409" s="12"/>
      <c r="C409" s="12"/>
      <c r="D409" s="12"/>
      <c r="E409" s="12"/>
      <c r="F409" s="12"/>
      <c r="G409" s="12"/>
      <c r="H409" s="12"/>
      <c r="I409" s="12"/>
      <c r="J409" s="12"/>
      <c r="K409" s="12"/>
      <c r="L409" s="12"/>
      <c r="M409" s="12"/>
      <c r="N409" s="12"/>
      <c r="O409" s="12"/>
      <c r="P409" s="12"/>
      <c r="Q409" s="12"/>
      <c r="R409" s="12"/>
      <c r="S409" s="12"/>
      <c r="T409" s="12"/>
    </row>
    <row r="410" spans="2:20" outlineLevel="1"/>
    <row r="411" spans="2:20" outlineLevel="1">
      <c r="C411" s="37" t="s">
        <v>195</v>
      </c>
    </row>
    <row r="412" spans="2:20" ht="5.9" customHeight="1" outlineLevel="2"/>
    <row r="413" spans="2:20" outlineLevel="2">
      <c r="D413" s="37" t="s">
        <v>215</v>
      </c>
    </row>
    <row r="414" spans="2:20" ht="5.9" customHeight="1" outlineLevel="2"/>
    <row r="415" spans="2:20" ht="11.5" customHeight="1" outlineLevel="2">
      <c r="E415" s="247" t="str">
        <f>GC!C40</f>
        <v>Transmission pipelines</v>
      </c>
      <c r="F415" s="247"/>
      <c r="G415" s="247"/>
      <c r="H415" s="247"/>
      <c r="I415" s="247"/>
      <c r="J415" s="81">
        <f ca="1">SUMPRODUCT((Work_Codes!$N$180:$Y$180=$E415)*(Work_Codes!$N$183:$Y$189)*(J$400:J$406))</f>
        <v>0</v>
      </c>
      <c r="K415" s="81">
        <f ca="1">SUMPRODUCT((Work_Codes!$N$180:$Y$180=$E415)*(Work_Codes!$N$183:$Y$189)*(K$400:K$406))</f>
        <v>0</v>
      </c>
      <c r="L415" s="81">
        <f ca="1">SUMPRODUCT((Work_Codes!$N$180:$Y$180=$E415)*(Work_Codes!$N$183:$Y$189)*(L$400:L$406))</f>
        <v>0</v>
      </c>
      <c r="M415" s="81">
        <f ca="1">SUMPRODUCT((Work_Codes!$N$180:$Y$180=$E415)*(Work_Codes!$N$183:$Y$189)*(M$400:M$406))</f>
        <v>0</v>
      </c>
      <c r="N415" s="81">
        <f ca="1">SUMPRODUCT((Work_Codes!$N$180:$Y$180=$E415)*(Work_Codes!$N$183:$Y$189)*(N$400:N$406))</f>
        <v>0</v>
      </c>
      <c r="O415" s="81">
        <f ca="1">SUMPRODUCT((Work_Codes!$N$180:$Y$180=$E415)*(Work_Codes!$N$183:$Y$189)*(O$400:O$406))</f>
        <v>0</v>
      </c>
      <c r="P415" s="81">
        <f ca="1">SUMPRODUCT((Work_Codes!$N$180:$Y$180=$E415)*(Work_Codes!$N$183:$Y$189)*(P$400:P$406))</f>
        <v>0</v>
      </c>
      <c r="Q415" s="81">
        <f ca="1">SUMPRODUCT((Work_Codes!$N$180:$Y$180=$E415)*(Work_Codes!$N$183:$Y$189)*(Q$400:Q$406))</f>
        <v>0</v>
      </c>
      <c r="R415" s="81">
        <f ca="1">SUMPRODUCT((Work_Codes!$N$180:$Y$180=$E415)*(Work_Codes!$N$183:$Y$189)*(R$400:R$406))</f>
        <v>0</v>
      </c>
      <c r="S415" s="81">
        <f ca="1">SUMPRODUCT((Work_Codes!$N$180:$Y$180=$E415)*(Work_Codes!$N$183:$Y$189)*(S$400:S$406))</f>
        <v>0</v>
      </c>
      <c r="T415" s="81">
        <f ca="1">SUMPRODUCT((Work_Codes!$N$180:$Y$180=$E415)*(Work_Codes!$N$183:$Y$189)*(T$400:T$406))</f>
        <v>0</v>
      </c>
    </row>
    <row r="416" spans="2:20" ht="11.5" customHeight="1" outlineLevel="2">
      <c r="E416" s="247" t="str">
        <f>GC!C41</f>
        <v>Distribution pipelines</v>
      </c>
      <c r="F416" s="247"/>
      <c r="G416" s="247"/>
      <c r="H416" s="247"/>
      <c r="I416" s="247"/>
      <c r="J416" s="81">
        <f ca="1">SUMPRODUCT((Work_Codes!$N$180:$Y$180=$E416)*(Work_Codes!$N$183:$Y$189)*(J$400:J$406))</f>
        <v>0</v>
      </c>
      <c r="K416" s="81">
        <f ca="1">SUMPRODUCT((Work_Codes!$N$180:$Y$180=$E416)*(Work_Codes!$N$183:$Y$189)*(K$400:K$406))</f>
        <v>0</v>
      </c>
      <c r="L416" s="81">
        <f ca="1">SUMPRODUCT((Work_Codes!$N$180:$Y$180=$E416)*(Work_Codes!$N$183:$Y$189)*(L$400:L$406))</f>
        <v>0</v>
      </c>
      <c r="M416" s="81">
        <f ca="1">SUMPRODUCT((Work_Codes!$N$180:$Y$180=$E416)*(Work_Codes!$N$183:$Y$189)*(M$400:M$406))</f>
        <v>0</v>
      </c>
      <c r="N416" s="81">
        <f ca="1">SUMPRODUCT((Work_Codes!$N$180:$Y$180=$E416)*(Work_Codes!$N$183:$Y$189)*(N$400:N$406))</f>
        <v>0</v>
      </c>
      <c r="O416" s="81">
        <f ca="1">SUMPRODUCT((Work_Codes!$N$180:$Y$180=$E416)*(Work_Codes!$N$183:$Y$189)*(O$400:O$406))</f>
        <v>0</v>
      </c>
      <c r="P416" s="81">
        <f ca="1">SUMPRODUCT((Work_Codes!$N$180:$Y$180=$E416)*(Work_Codes!$N$183:$Y$189)*(P$400:P$406))</f>
        <v>0</v>
      </c>
      <c r="Q416" s="81">
        <f ca="1">SUMPRODUCT((Work_Codes!$N$180:$Y$180=$E416)*(Work_Codes!$N$183:$Y$189)*(Q$400:Q$406))</f>
        <v>0</v>
      </c>
      <c r="R416" s="81">
        <f ca="1">SUMPRODUCT((Work_Codes!$N$180:$Y$180=$E416)*(Work_Codes!$N$183:$Y$189)*(R$400:R$406))</f>
        <v>0</v>
      </c>
      <c r="S416" s="81">
        <f ca="1">SUMPRODUCT((Work_Codes!$N$180:$Y$180=$E416)*(Work_Codes!$N$183:$Y$189)*(S$400:S$406))</f>
        <v>0</v>
      </c>
      <c r="T416" s="81">
        <f ca="1">SUMPRODUCT((Work_Codes!$N$180:$Y$180=$E416)*(Work_Codes!$N$183:$Y$189)*(T$400:T$406))</f>
        <v>0</v>
      </c>
    </row>
    <row r="417" spans="5:20" ht="11.5" customHeight="1" outlineLevel="2">
      <c r="E417" s="247" t="str">
        <f>GC!C42</f>
        <v>Service pipes</v>
      </c>
      <c r="F417" s="247"/>
      <c r="G417" s="247"/>
      <c r="H417" s="247"/>
      <c r="I417" s="247"/>
      <c r="J417" s="81">
        <f ca="1">SUMPRODUCT((Work_Codes!$N$180:$Y$180=$E417)*(Work_Codes!$N$183:$Y$189)*(J$400:J$406))</f>
        <v>0</v>
      </c>
      <c r="K417" s="81">
        <f ca="1">SUMPRODUCT((Work_Codes!$N$180:$Y$180=$E417)*(Work_Codes!$N$183:$Y$189)*(K$400:K$406))</f>
        <v>0</v>
      </c>
      <c r="L417" s="81">
        <f ca="1">SUMPRODUCT((Work_Codes!$N$180:$Y$180=$E417)*(Work_Codes!$N$183:$Y$189)*(L$400:L$406))</f>
        <v>0</v>
      </c>
      <c r="M417" s="81">
        <f ca="1">SUMPRODUCT((Work_Codes!$N$180:$Y$180=$E417)*(Work_Codes!$N$183:$Y$189)*(M$400:M$406))</f>
        <v>0</v>
      </c>
      <c r="N417" s="81">
        <f ca="1">SUMPRODUCT((Work_Codes!$N$180:$Y$180=$E417)*(Work_Codes!$N$183:$Y$189)*(N$400:N$406))</f>
        <v>0</v>
      </c>
      <c r="O417" s="81">
        <f ca="1">SUMPRODUCT((Work_Codes!$N$180:$Y$180=$E417)*(Work_Codes!$N$183:$Y$189)*(O$400:O$406))</f>
        <v>0</v>
      </c>
      <c r="P417" s="81">
        <f ca="1">SUMPRODUCT((Work_Codes!$N$180:$Y$180=$E417)*(Work_Codes!$N$183:$Y$189)*(P$400:P$406))</f>
        <v>0</v>
      </c>
      <c r="Q417" s="81">
        <f ca="1">SUMPRODUCT((Work_Codes!$N$180:$Y$180=$E417)*(Work_Codes!$N$183:$Y$189)*(Q$400:Q$406))</f>
        <v>0</v>
      </c>
      <c r="R417" s="81">
        <f ca="1">SUMPRODUCT((Work_Codes!$N$180:$Y$180=$E417)*(Work_Codes!$N$183:$Y$189)*(R$400:R$406))</f>
        <v>0</v>
      </c>
      <c r="S417" s="81">
        <f ca="1">SUMPRODUCT((Work_Codes!$N$180:$Y$180=$E417)*(Work_Codes!$N$183:$Y$189)*(S$400:S$406))</f>
        <v>0</v>
      </c>
      <c r="T417" s="81">
        <f ca="1">SUMPRODUCT((Work_Codes!$N$180:$Y$180=$E417)*(Work_Codes!$N$183:$Y$189)*(T$400:T$406))</f>
        <v>0</v>
      </c>
    </row>
    <row r="418" spans="5:20" ht="11.5" customHeight="1" outlineLevel="2">
      <c r="E418" s="247" t="str">
        <f>GC!C43</f>
        <v>Cathodic protection</v>
      </c>
      <c r="F418" s="247"/>
      <c r="G418" s="247"/>
      <c r="H418" s="247"/>
      <c r="I418" s="247"/>
      <c r="J418" s="81">
        <f ca="1">SUMPRODUCT((Work_Codes!$N$180:$Y$180=$E418)*(Work_Codes!$N$183:$Y$189)*(J$400:J$406))</f>
        <v>0</v>
      </c>
      <c r="K418" s="81">
        <f ca="1">SUMPRODUCT((Work_Codes!$N$180:$Y$180=$E418)*(Work_Codes!$N$183:$Y$189)*(K$400:K$406))</f>
        <v>0</v>
      </c>
      <c r="L418" s="81">
        <f ca="1">SUMPRODUCT((Work_Codes!$N$180:$Y$180=$E418)*(Work_Codes!$N$183:$Y$189)*(L$400:L$406))</f>
        <v>0</v>
      </c>
      <c r="M418" s="81">
        <f ca="1">SUMPRODUCT((Work_Codes!$N$180:$Y$180=$E418)*(Work_Codes!$N$183:$Y$189)*(M$400:M$406))</f>
        <v>0</v>
      </c>
      <c r="N418" s="81">
        <f ca="1">SUMPRODUCT((Work_Codes!$N$180:$Y$180=$E418)*(Work_Codes!$N$183:$Y$189)*(N$400:N$406))</f>
        <v>0</v>
      </c>
      <c r="O418" s="81">
        <f ca="1">SUMPRODUCT((Work_Codes!$N$180:$Y$180=$E418)*(Work_Codes!$N$183:$Y$189)*(O$400:O$406))</f>
        <v>0</v>
      </c>
      <c r="P418" s="81">
        <f ca="1">SUMPRODUCT((Work_Codes!$N$180:$Y$180=$E418)*(Work_Codes!$N$183:$Y$189)*(P$400:P$406))</f>
        <v>0</v>
      </c>
      <c r="Q418" s="81">
        <f ca="1">SUMPRODUCT((Work_Codes!$N$180:$Y$180=$E418)*(Work_Codes!$N$183:$Y$189)*(Q$400:Q$406))</f>
        <v>0</v>
      </c>
      <c r="R418" s="81">
        <f ca="1">SUMPRODUCT((Work_Codes!$N$180:$Y$180=$E418)*(Work_Codes!$N$183:$Y$189)*(R$400:R$406))</f>
        <v>0</v>
      </c>
      <c r="S418" s="81">
        <f ca="1">SUMPRODUCT((Work_Codes!$N$180:$Y$180=$E418)*(Work_Codes!$N$183:$Y$189)*(S$400:S$406))</f>
        <v>0</v>
      </c>
      <c r="T418" s="81">
        <f ca="1">SUMPRODUCT((Work_Codes!$N$180:$Y$180=$E418)*(Work_Codes!$N$183:$Y$189)*(T$400:T$406))</f>
        <v>0</v>
      </c>
    </row>
    <row r="419" spans="5:20" ht="11.5" customHeight="1" outlineLevel="2">
      <c r="E419" s="247" t="str">
        <f>GC!C44</f>
        <v>Supply Regulators / Valve Stations</v>
      </c>
      <c r="F419" s="247"/>
      <c r="G419" s="247"/>
      <c r="H419" s="247"/>
      <c r="I419" s="247"/>
      <c r="J419" s="81">
        <f ca="1">SUMPRODUCT((Work_Codes!$N$180:$Y$180=$E419)*(Work_Codes!$N$183:$Y$189)*(J$400:J$406))</f>
        <v>0</v>
      </c>
      <c r="K419" s="81">
        <f ca="1">SUMPRODUCT((Work_Codes!$N$180:$Y$180=$E419)*(Work_Codes!$N$183:$Y$189)*(K$400:K$406))</f>
        <v>0</v>
      </c>
      <c r="L419" s="81">
        <f ca="1">SUMPRODUCT((Work_Codes!$N$180:$Y$180=$E419)*(Work_Codes!$N$183:$Y$189)*(L$400:L$406))</f>
        <v>0</v>
      </c>
      <c r="M419" s="81">
        <f ca="1">SUMPRODUCT((Work_Codes!$N$180:$Y$180=$E419)*(Work_Codes!$N$183:$Y$189)*(M$400:M$406))</f>
        <v>0</v>
      </c>
      <c r="N419" s="81">
        <f ca="1">SUMPRODUCT((Work_Codes!$N$180:$Y$180=$E419)*(Work_Codes!$N$183:$Y$189)*(N$400:N$406))</f>
        <v>0</v>
      </c>
      <c r="O419" s="81">
        <f ca="1">SUMPRODUCT((Work_Codes!$N$180:$Y$180=$E419)*(Work_Codes!$N$183:$Y$189)*(O$400:O$406))</f>
        <v>0</v>
      </c>
      <c r="P419" s="81">
        <f ca="1">SUMPRODUCT((Work_Codes!$N$180:$Y$180=$E419)*(Work_Codes!$N$183:$Y$189)*(P$400:P$406))</f>
        <v>0</v>
      </c>
      <c r="Q419" s="81">
        <f ca="1">SUMPRODUCT((Work_Codes!$N$180:$Y$180=$E419)*(Work_Codes!$N$183:$Y$189)*(Q$400:Q$406))</f>
        <v>0</v>
      </c>
      <c r="R419" s="81">
        <f ca="1">SUMPRODUCT((Work_Codes!$N$180:$Y$180=$E419)*(Work_Codes!$N$183:$Y$189)*(R$400:R$406))</f>
        <v>0</v>
      </c>
      <c r="S419" s="81">
        <f ca="1">SUMPRODUCT((Work_Codes!$N$180:$Y$180=$E419)*(Work_Codes!$N$183:$Y$189)*(S$400:S$406))</f>
        <v>0</v>
      </c>
      <c r="T419" s="81">
        <f ca="1">SUMPRODUCT((Work_Codes!$N$180:$Y$180=$E419)*(Work_Codes!$N$183:$Y$189)*(T$400:T$406))</f>
        <v>0</v>
      </c>
    </row>
    <row r="420" spans="5:20" ht="11.5" customHeight="1" outlineLevel="2">
      <c r="E420" s="247" t="str">
        <f>GC!C45</f>
        <v>Meters</v>
      </c>
      <c r="F420" s="247"/>
      <c r="G420" s="247"/>
      <c r="H420" s="247"/>
      <c r="I420" s="247"/>
      <c r="J420" s="81">
        <f ca="1">SUMPRODUCT((Work_Codes!$N$180:$Y$180=$E420)*(Work_Codes!$N$183:$Y$189)*(J$400:J$406))</f>
        <v>0</v>
      </c>
      <c r="K420" s="81">
        <f ca="1">SUMPRODUCT((Work_Codes!$N$180:$Y$180=$E420)*(Work_Codes!$N$183:$Y$189)*(K$400:K$406))</f>
        <v>0</v>
      </c>
      <c r="L420" s="81">
        <f ca="1">SUMPRODUCT((Work_Codes!$N$180:$Y$180=$E420)*(Work_Codes!$N$183:$Y$189)*(L$400:L$406))</f>
        <v>0</v>
      </c>
      <c r="M420" s="81">
        <f ca="1">SUMPRODUCT((Work_Codes!$N$180:$Y$180=$E420)*(Work_Codes!$N$183:$Y$189)*(M$400:M$406))</f>
        <v>0</v>
      </c>
      <c r="N420" s="81">
        <f ca="1">SUMPRODUCT((Work_Codes!$N$180:$Y$180=$E420)*(Work_Codes!$N$183:$Y$189)*(N$400:N$406))</f>
        <v>0</v>
      </c>
      <c r="O420" s="81">
        <f ca="1">SUMPRODUCT((Work_Codes!$N$180:$Y$180=$E420)*(Work_Codes!$N$183:$Y$189)*(O$400:O$406))</f>
        <v>146162.59410209686</v>
      </c>
      <c r="P420" s="81">
        <f ca="1">SUMPRODUCT((Work_Codes!$N$180:$Y$180=$E420)*(Work_Codes!$N$183:$Y$189)*(P$400:P$406))</f>
        <v>313342.05215859984</v>
      </c>
      <c r="Q420" s="81">
        <f ca="1">SUMPRODUCT((Work_Codes!$N$180:$Y$180=$E420)*(Work_Codes!$N$183:$Y$189)*(Q$400:Q$406))</f>
        <v>299479.21774513059</v>
      </c>
      <c r="R420" s="81">
        <f ca="1">SUMPRODUCT((Work_Codes!$N$180:$Y$180=$E420)*(Work_Codes!$N$183:$Y$189)*(R$400:R$406))</f>
        <v>565705.7884392757</v>
      </c>
      <c r="S420" s="81">
        <f ca="1">SUMPRODUCT((Work_Codes!$N$180:$Y$180=$E420)*(Work_Codes!$N$183:$Y$189)*(S$400:S$406))</f>
        <v>271765.41751677735</v>
      </c>
      <c r="T420" s="81">
        <f ca="1">SUMPRODUCT((Work_Codes!$N$180:$Y$180=$E420)*(Work_Codes!$N$183:$Y$189)*(T$400:T$406))</f>
        <v>261421.13505126754</v>
      </c>
    </row>
    <row r="421" spans="5:20" ht="11.5" customHeight="1" outlineLevel="2">
      <c r="E421" s="247" t="str">
        <f>GC!C46</f>
        <v>SCADA and remote control</v>
      </c>
      <c r="F421" s="247"/>
      <c r="G421" s="247"/>
      <c r="H421" s="247"/>
      <c r="I421" s="247"/>
      <c r="J421" s="81">
        <f ca="1">SUMPRODUCT((Work_Codes!$N$180:$Y$180=$E421)*(Work_Codes!$N$183:$Y$189)*(J$400:J$406))</f>
        <v>0</v>
      </c>
      <c r="K421" s="81">
        <f ca="1">SUMPRODUCT((Work_Codes!$N$180:$Y$180=$E421)*(Work_Codes!$N$183:$Y$189)*(K$400:K$406))</f>
        <v>0</v>
      </c>
      <c r="L421" s="81">
        <f ca="1">SUMPRODUCT((Work_Codes!$N$180:$Y$180=$E421)*(Work_Codes!$N$183:$Y$189)*(L$400:L$406))</f>
        <v>0</v>
      </c>
      <c r="M421" s="81">
        <f ca="1">SUMPRODUCT((Work_Codes!$N$180:$Y$180=$E421)*(Work_Codes!$N$183:$Y$189)*(M$400:M$406))</f>
        <v>0</v>
      </c>
      <c r="N421" s="81">
        <f ca="1">SUMPRODUCT((Work_Codes!$N$180:$Y$180=$E421)*(Work_Codes!$N$183:$Y$189)*(N$400:N$406))</f>
        <v>0</v>
      </c>
      <c r="O421" s="81">
        <f ca="1">SUMPRODUCT((Work_Codes!$N$180:$Y$180=$E421)*(Work_Codes!$N$183:$Y$189)*(O$400:O$406))</f>
        <v>0</v>
      </c>
      <c r="P421" s="81">
        <f ca="1">SUMPRODUCT((Work_Codes!$N$180:$Y$180=$E421)*(Work_Codes!$N$183:$Y$189)*(P$400:P$406))</f>
        <v>0</v>
      </c>
      <c r="Q421" s="81">
        <f ca="1">SUMPRODUCT((Work_Codes!$N$180:$Y$180=$E421)*(Work_Codes!$N$183:$Y$189)*(Q$400:Q$406))</f>
        <v>0</v>
      </c>
      <c r="R421" s="81">
        <f ca="1">SUMPRODUCT((Work_Codes!$N$180:$Y$180=$E421)*(Work_Codes!$N$183:$Y$189)*(R$400:R$406))</f>
        <v>0</v>
      </c>
      <c r="S421" s="81">
        <f ca="1">SUMPRODUCT((Work_Codes!$N$180:$Y$180=$E421)*(Work_Codes!$N$183:$Y$189)*(S$400:S$406))</f>
        <v>0</v>
      </c>
      <c r="T421" s="81">
        <f ca="1">SUMPRODUCT((Work_Codes!$N$180:$Y$180=$E421)*(Work_Codes!$N$183:$Y$189)*(T$400:T$406))</f>
        <v>0</v>
      </c>
    </row>
    <row r="422" spans="5:20" ht="11.5" customHeight="1" outlineLevel="2">
      <c r="E422" s="247" t="str">
        <f>GC!C47</f>
        <v>Buildings</v>
      </c>
      <c r="F422" s="247"/>
      <c r="G422" s="247"/>
      <c r="H422" s="247"/>
      <c r="I422" s="247"/>
      <c r="J422" s="81">
        <f ca="1">SUMPRODUCT((Work_Codes!$N$180:$Y$180=$E422)*(Work_Codes!$N$183:$Y$189)*(J$400:J$406))</f>
        <v>0</v>
      </c>
      <c r="K422" s="81">
        <f ca="1">SUMPRODUCT((Work_Codes!$N$180:$Y$180=$E422)*(Work_Codes!$N$183:$Y$189)*(K$400:K$406))</f>
        <v>0</v>
      </c>
      <c r="L422" s="81">
        <f ca="1">SUMPRODUCT((Work_Codes!$N$180:$Y$180=$E422)*(Work_Codes!$N$183:$Y$189)*(L$400:L$406))</f>
        <v>0</v>
      </c>
      <c r="M422" s="81">
        <f ca="1">SUMPRODUCT((Work_Codes!$N$180:$Y$180=$E422)*(Work_Codes!$N$183:$Y$189)*(M$400:M$406))</f>
        <v>0</v>
      </c>
      <c r="N422" s="81">
        <f ca="1">SUMPRODUCT((Work_Codes!$N$180:$Y$180=$E422)*(Work_Codes!$N$183:$Y$189)*(N$400:N$406))</f>
        <v>0</v>
      </c>
      <c r="O422" s="81">
        <f ca="1">SUMPRODUCT((Work_Codes!$N$180:$Y$180=$E422)*(Work_Codes!$N$183:$Y$189)*(O$400:O$406))</f>
        <v>0</v>
      </c>
      <c r="P422" s="81">
        <f ca="1">SUMPRODUCT((Work_Codes!$N$180:$Y$180=$E422)*(Work_Codes!$N$183:$Y$189)*(P$400:P$406))</f>
        <v>0</v>
      </c>
      <c r="Q422" s="81">
        <f ca="1">SUMPRODUCT((Work_Codes!$N$180:$Y$180=$E422)*(Work_Codes!$N$183:$Y$189)*(Q$400:Q$406))</f>
        <v>0</v>
      </c>
      <c r="R422" s="81">
        <f ca="1">SUMPRODUCT((Work_Codes!$N$180:$Y$180=$E422)*(Work_Codes!$N$183:$Y$189)*(R$400:R$406))</f>
        <v>0</v>
      </c>
      <c r="S422" s="81">
        <f ca="1">SUMPRODUCT((Work_Codes!$N$180:$Y$180=$E422)*(Work_Codes!$N$183:$Y$189)*(S$400:S$406))</f>
        <v>0</v>
      </c>
      <c r="T422" s="81">
        <f ca="1">SUMPRODUCT((Work_Codes!$N$180:$Y$180=$E422)*(Work_Codes!$N$183:$Y$189)*(T$400:T$406))</f>
        <v>0</v>
      </c>
    </row>
    <row r="423" spans="5:20" ht="11.5" customHeight="1" outlineLevel="2">
      <c r="E423" s="247" t="str">
        <f>GC!C48</f>
        <v>Other - IT</v>
      </c>
      <c r="F423" s="247"/>
      <c r="G423" s="247"/>
      <c r="H423" s="247"/>
      <c r="I423" s="247"/>
      <c r="J423" s="81">
        <f ca="1">SUMPRODUCT((Work_Codes!$N$180:$Y$180=$E423)*(Work_Codes!$N$183:$Y$189)*(J$400:J$406))</f>
        <v>0</v>
      </c>
      <c r="K423" s="81">
        <f ca="1">SUMPRODUCT((Work_Codes!$N$180:$Y$180=$E423)*(Work_Codes!$N$183:$Y$189)*(K$400:K$406))</f>
        <v>0</v>
      </c>
      <c r="L423" s="81">
        <f ca="1">SUMPRODUCT((Work_Codes!$N$180:$Y$180=$E423)*(Work_Codes!$N$183:$Y$189)*(L$400:L$406))</f>
        <v>0</v>
      </c>
      <c r="M423" s="81">
        <f ca="1">SUMPRODUCT((Work_Codes!$N$180:$Y$180=$E423)*(Work_Codes!$N$183:$Y$189)*(M$400:M$406))</f>
        <v>0</v>
      </c>
      <c r="N423" s="81">
        <f ca="1">SUMPRODUCT((Work_Codes!$N$180:$Y$180=$E423)*(Work_Codes!$N$183:$Y$189)*(N$400:N$406))</f>
        <v>0</v>
      </c>
      <c r="O423" s="81">
        <f ca="1">SUMPRODUCT((Work_Codes!$N$180:$Y$180=$E423)*(Work_Codes!$N$183:$Y$189)*(O$400:O$406))</f>
        <v>0</v>
      </c>
      <c r="P423" s="81">
        <f ca="1">SUMPRODUCT((Work_Codes!$N$180:$Y$180=$E423)*(Work_Codes!$N$183:$Y$189)*(P$400:P$406))</f>
        <v>0</v>
      </c>
      <c r="Q423" s="81">
        <f ca="1">SUMPRODUCT((Work_Codes!$N$180:$Y$180=$E423)*(Work_Codes!$N$183:$Y$189)*(Q$400:Q$406))</f>
        <v>0</v>
      </c>
      <c r="R423" s="81">
        <f ca="1">SUMPRODUCT((Work_Codes!$N$180:$Y$180=$E423)*(Work_Codes!$N$183:$Y$189)*(R$400:R$406))</f>
        <v>0</v>
      </c>
      <c r="S423" s="81">
        <f ca="1">SUMPRODUCT((Work_Codes!$N$180:$Y$180=$E423)*(Work_Codes!$N$183:$Y$189)*(S$400:S$406))</f>
        <v>0</v>
      </c>
      <c r="T423" s="81">
        <f ca="1">SUMPRODUCT((Work_Codes!$N$180:$Y$180=$E423)*(Work_Codes!$N$183:$Y$189)*(T$400:T$406))</f>
        <v>0</v>
      </c>
    </row>
    <row r="424" spans="5:20" ht="11.5" customHeight="1" outlineLevel="2">
      <c r="E424" s="247" t="str">
        <f>GC!C49</f>
        <v>Other - non IT</v>
      </c>
      <c r="F424" s="247"/>
      <c r="G424" s="247"/>
      <c r="H424" s="247"/>
      <c r="I424" s="247"/>
      <c r="J424" s="81">
        <f ca="1">SUMPRODUCT((Work_Codes!$N$180:$Y$180=$E424)*(Work_Codes!$N$183:$Y$189)*(J$400:J$406))</f>
        <v>0</v>
      </c>
      <c r="K424" s="81">
        <f ca="1">SUMPRODUCT((Work_Codes!$N$180:$Y$180=$E424)*(Work_Codes!$N$183:$Y$189)*(K$400:K$406))</f>
        <v>0</v>
      </c>
      <c r="L424" s="81">
        <f ca="1">SUMPRODUCT((Work_Codes!$N$180:$Y$180=$E424)*(Work_Codes!$N$183:$Y$189)*(L$400:L$406))</f>
        <v>0</v>
      </c>
      <c r="M424" s="81">
        <f ca="1">SUMPRODUCT((Work_Codes!$N$180:$Y$180=$E424)*(Work_Codes!$N$183:$Y$189)*(M$400:M$406))</f>
        <v>0</v>
      </c>
      <c r="N424" s="81">
        <f ca="1">SUMPRODUCT((Work_Codes!$N$180:$Y$180=$E424)*(Work_Codes!$N$183:$Y$189)*(N$400:N$406))</f>
        <v>0</v>
      </c>
      <c r="O424" s="81">
        <f ca="1">SUMPRODUCT((Work_Codes!$N$180:$Y$180=$E424)*(Work_Codes!$N$183:$Y$189)*(O$400:O$406))</f>
        <v>0</v>
      </c>
      <c r="P424" s="81">
        <f ca="1">SUMPRODUCT((Work_Codes!$N$180:$Y$180=$E424)*(Work_Codes!$N$183:$Y$189)*(P$400:P$406))</f>
        <v>0</v>
      </c>
      <c r="Q424" s="81">
        <f ca="1">SUMPRODUCT((Work_Codes!$N$180:$Y$180=$E424)*(Work_Codes!$N$183:$Y$189)*(Q$400:Q$406))</f>
        <v>0</v>
      </c>
      <c r="R424" s="81">
        <f ca="1">SUMPRODUCT((Work_Codes!$N$180:$Y$180=$E424)*(Work_Codes!$N$183:$Y$189)*(R$400:R$406))</f>
        <v>0</v>
      </c>
      <c r="S424" s="81">
        <f ca="1">SUMPRODUCT((Work_Codes!$N$180:$Y$180=$E424)*(Work_Codes!$N$183:$Y$189)*(S$400:S$406))</f>
        <v>0</v>
      </c>
      <c r="T424" s="81">
        <f ca="1">SUMPRODUCT((Work_Codes!$N$180:$Y$180=$E424)*(Work_Codes!$N$183:$Y$189)*(T$400:T$406))</f>
        <v>0</v>
      </c>
    </row>
    <row r="425" spans="5:20" ht="11.5" customHeight="1" outlineLevel="2">
      <c r="E425" s="247" t="str">
        <f>GC!C50</f>
        <v>Land</v>
      </c>
      <c r="F425" s="247"/>
      <c r="G425" s="247"/>
      <c r="H425" s="247"/>
      <c r="I425" s="247"/>
      <c r="J425" s="81">
        <f ca="1">SUMPRODUCT((Work_Codes!$N$180:$Y$180=$E425)*(Work_Codes!$N$183:$Y$189)*(J$400:J$406))</f>
        <v>0</v>
      </c>
      <c r="K425" s="81">
        <f ca="1">SUMPRODUCT((Work_Codes!$N$180:$Y$180=$E425)*(Work_Codes!$N$183:$Y$189)*(K$400:K$406))</f>
        <v>0</v>
      </c>
      <c r="L425" s="81">
        <f ca="1">SUMPRODUCT((Work_Codes!$N$180:$Y$180=$E425)*(Work_Codes!$N$183:$Y$189)*(L$400:L$406))</f>
        <v>0</v>
      </c>
      <c r="M425" s="81">
        <f ca="1">SUMPRODUCT((Work_Codes!$N$180:$Y$180=$E425)*(Work_Codes!$N$183:$Y$189)*(M$400:M$406))</f>
        <v>0</v>
      </c>
      <c r="N425" s="81">
        <f ca="1">SUMPRODUCT((Work_Codes!$N$180:$Y$180=$E425)*(Work_Codes!$N$183:$Y$189)*(N$400:N$406))</f>
        <v>0</v>
      </c>
      <c r="O425" s="81">
        <f ca="1">SUMPRODUCT((Work_Codes!$N$180:$Y$180=$E425)*(Work_Codes!$N$183:$Y$189)*(O$400:O$406))</f>
        <v>0</v>
      </c>
      <c r="P425" s="81">
        <f ca="1">SUMPRODUCT((Work_Codes!$N$180:$Y$180=$E425)*(Work_Codes!$N$183:$Y$189)*(P$400:P$406))</f>
        <v>0</v>
      </c>
      <c r="Q425" s="81">
        <f ca="1">SUMPRODUCT((Work_Codes!$N$180:$Y$180=$E425)*(Work_Codes!$N$183:$Y$189)*(Q$400:Q$406))</f>
        <v>0</v>
      </c>
      <c r="R425" s="81">
        <f ca="1">SUMPRODUCT((Work_Codes!$N$180:$Y$180=$E425)*(Work_Codes!$N$183:$Y$189)*(R$400:R$406))</f>
        <v>0</v>
      </c>
      <c r="S425" s="81">
        <f ca="1">SUMPRODUCT((Work_Codes!$N$180:$Y$180=$E425)*(Work_Codes!$N$183:$Y$189)*(S$400:S$406))</f>
        <v>0</v>
      </c>
      <c r="T425" s="81">
        <f ca="1">SUMPRODUCT((Work_Codes!$N$180:$Y$180=$E425)*(Work_Codes!$N$183:$Y$189)*(T$400:T$406))</f>
        <v>0</v>
      </c>
    </row>
    <row r="426" spans="5:20" outlineLevel="2">
      <c r="E426" s="247" t="str">
        <f>GC!C51</f>
        <v>Capitalised Leases</v>
      </c>
      <c r="F426" s="247"/>
      <c r="G426" s="247"/>
      <c r="H426" s="247"/>
      <c r="I426" s="247"/>
      <c r="J426" s="81">
        <f ca="1">SUMPRODUCT((Work_Codes!$N$180:$Y$180=$E426)*(Work_Codes!$N$183:$Y$189)*(J$400:J$406))</f>
        <v>0</v>
      </c>
      <c r="K426" s="81">
        <f ca="1">SUMPRODUCT((Work_Codes!$N$180:$Y$180=$E426)*(Work_Codes!$N$183:$Y$189)*(K$400:K$406))</f>
        <v>0</v>
      </c>
      <c r="L426" s="81">
        <f ca="1">SUMPRODUCT((Work_Codes!$N$180:$Y$180=$E426)*(Work_Codes!$N$183:$Y$189)*(L$400:L$406))</f>
        <v>0</v>
      </c>
      <c r="M426" s="81">
        <f ca="1">SUMPRODUCT((Work_Codes!$N$180:$Y$180=$E426)*(Work_Codes!$N$183:$Y$189)*(M$400:M$406))</f>
        <v>0</v>
      </c>
      <c r="N426" s="81">
        <f ca="1">SUMPRODUCT((Work_Codes!$N$180:$Y$180=$E426)*(Work_Codes!$N$183:$Y$189)*(N$400:N$406))</f>
        <v>0</v>
      </c>
      <c r="O426" s="81">
        <f ca="1">SUMPRODUCT((Work_Codes!$N$180:$Y$180=$E426)*(Work_Codes!$N$183:$Y$189)*(O$400:O$406))</f>
        <v>0</v>
      </c>
      <c r="P426" s="81">
        <f ca="1">SUMPRODUCT((Work_Codes!$N$180:$Y$180=$E426)*(Work_Codes!$N$183:$Y$189)*(P$400:P$406))</f>
        <v>0</v>
      </c>
      <c r="Q426" s="81">
        <f ca="1">SUMPRODUCT((Work_Codes!$N$180:$Y$180=$E426)*(Work_Codes!$N$183:$Y$189)*(Q$400:Q$406))</f>
        <v>0</v>
      </c>
      <c r="R426" s="81">
        <f ca="1">SUMPRODUCT((Work_Codes!$N$180:$Y$180=$E426)*(Work_Codes!$N$183:$Y$189)*(R$400:R$406))</f>
        <v>0</v>
      </c>
      <c r="S426" s="81">
        <f ca="1">SUMPRODUCT((Work_Codes!$N$180:$Y$180=$E426)*(Work_Codes!$N$183:$Y$189)*(S$400:S$406))</f>
        <v>0</v>
      </c>
      <c r="T426" s="81">
        <f ca="1">SUMPRODUCT((Work_Codes!$N$180:$Y$180=$E426)*(Work_Codes!$N$183:$Y$189)*(T$400:T$406))</f>
        <v>0</v>
      </c>
    </row>
    <row r="427" spans="5:20" outlineLevel="2">
      <c r="E427" s="247" t="str">
        <f>GC!C52</f>
        <v>Transmission pipelines - post 1998</v>
      </c>
      <c r="F427" s="247"/>
      <c r="G427" s="247"/>
      <c r="H427" s="247"/>
      <c r="I427" s="247"/>
      <c r="J427" s="81">
        <f ca="1">SUMPRODUCT((Work_Codes!$N$180:$Y$180=$E427)*(Work_Codes!$N$183:$Y$189)*(J$400:J$406))</f>
        <v>0</v>
      </c>
      <c r="K427" s="81">
        <f ca="1">SUMPRODUCT((Work_Codes!$N$180:$Y$180=$E427)*(Work_Codes!$N$183:$Y$189)*(K$400:K$406))</f>
        <v>0</v>
      </c>
      <c r="L427" s="81">
        <f ca="1">SUMPRODUCT((Work_Codes!$N$180:$Y$180=$E427)*(Work_Codes!$N$183:$Y$189)*(L$400:L$406))</f>
        <v>0</v>
      </c>
      <c r="M427" s="81">
        <f ca="1">SUMPRODUCT((Work_Codes!$N$180:$Y$180=$E427)*(Work_Codes!$N$183:$Y$189)*(M$400:M$406))</f>
        <v>0</v>
      </c>
      <c r="N427" s="81">
        <f ca="1">SUMPRODUCT((Work_Codes!$N$180:$Y$180=$E427)*(Work_Codes!$N$183:$Y$189)*(N$400:N$406))</f>
        <v>0</v>
      </c>
      <c r="O427" s="81">
        <f ca="1">SUMPRODUCT((Work_Codes!$N$180:$Y$180=$E427)*(Work_Codes!$N$183:$Y$189)*(O$400:O$406))</f>
        <v>0</v>
      </c>
      <c r="P427" s="81">
        <f ca="1">SUMPRODUCT((Work_Codes!$N$180:$Y$180=$E427)*(Work_Codes!$N$183:$Y$189)*(P$400:P$406))</f>
        <v>0</v>
      </c>
      <c r="Q427" s="81">
        <f ca="1">SUMPRODUCT((Work_Codes!$N$180:$Y$180=$E427)*(Work_Codes!$N$183:$Y$189)*(Q$400:Q$406))</f>
        <v>0</v>
      </c>
      <c r="R427" s="81">
        <f ca="1">SUMPRODUCT((Work_Codes!$N$180:$Y$180=$E427)*(Work_Codes!$N$183:$Y$189)*(R$400:R$406))</f>
        <v>0</v>
      </c>
      <c r="S427" s="81">
        <f ca="1">SUMPRODUCT((Work_Codes!$N$180:$Y$180=$E427)*(Work_Codes!$N$183:$Y$189)*(S$400:S$406))</f>
        <v>0</v>
      </c>
      <c r="T427" s="81">
        <f ca="1">SUMPRODUCT((Work_Codes!$N$180:$Y$180=$E427)*(Work_Codes!$N$183:$Y$189)*(T$400:T$406))</f>
        <v>0</v>
      </c>
    </row>
    <row r="428" spans="5:20" outlineLevel="2">
      <c r="E428" s="247" t="str">
        <f>GC!C53</f>
        <v>Distribution pipelines - post 1998</v>
      </c>
      <c r="F428" s="247"/>
      <c r="G428" s="247"/>
      <c r="H428" s="247"/>
      <c r="I428" s="247"/>
      <c r="J428" s="81">
        <f ca="1">SUMPRODUCT((Work_Codes!$N$180:$Y$180=$E428)*(Work_Codes!$N$183:$Y$189)*(J$400:J$406))</f>
        <v>0</v>
      </c>
      <c r="K428" s="81">
        <f ca="1">SUMPRODUCT((Work_Codes!$N$180:$Y$180=$E428)*(Work_Codes!$N$183:$Y$189)*(K$400:K$406))</f>
        <v>0</v>
      </c>
      <c r="L428" s="81">
        <f ca="1">SUMPRODUCT((Work_Codes!$N$180:$Y$180=$E428)*(Work_Codes!$N$183:$Y$189)*(L$400:L$406))</f>
        <v>0</v>
      </c>
      <c r="M428" s="81">
        <f ca="1">SUMPRODUCT((Work_Codes!$N$180:$Y$180=$E428)*(Work_Codes!$N$183:$Y$189)*(M$400:M$406))</f>
        <v>0</v>
      </c>
      <c r="N428" s="81">
        <f ca="1">SUMPRODUCT((Work_Codes!$N$180:$Y$180=$E428)*(Work_Codes!$N$183:$Y$189)*(N$400:N$406))</f>
        <v>0</v>
      </c>
      <c r="O428" s="81">
        <f ca="1">SUMPRODUCT((Work_Codes!$N$180:$Y$180=$E428)*(Work_Codes!$N$183:$Y$189)*(O$400:O$406))</f>
        <v>0</v>
      </c>
      <c r="P428" s="81">
        <f ca="1">SUMPRODUCT((Work_Codes!$N$180:$Y$180=$E428)*(Work_Codes!$N$183:$Y$189)*(P$400:P$406))</f>
        <v>0</v>
      </c>
      <c r="Q428" s="81">
        <f ca="1">SUMPRODUCT((Work_Codes!$N$180:$Y$180=$E428)*(Work_Codes!$N$183:$Y$189)*(Q$400:Q$406))</f>
        <v>0</v>
      </c>
      <c r="R428" s="81">
        <f ca="1">SUMPRODUCT((Work_Codes!$N$180:$Y$180=$E428)*(Work_Codes!$N$183:$Y$189)*(R$400:R$406))</f>
        <v>0</v>
      </c>
      <c r="S428" s="81">
        <f ca="1">SUMPRODUCT((Work_Codes!$N$180:$Y$180=$E428)*(Work_Codes!$N$183:$Y$189)*(S$400:S$406))</f>
        <v>0</v>
      </c>
      <c r="T428" s="81">
        <f ca="1">SUMPRODUCT((Work_Codes!$N$180:$Y$180=$E428)*(Work_Codes!$N$183:$Y$189)*(T$400:T$406))</f>
        <v>0</v>
      </c>
    </row>
    <row r="429" spans="5:20" outlineLevel="2">
      <c r="E429" s="247" t="str">
        <f>GC!C54</f>
        <v>Service pipes - post 1998</v>
      </c>
      <c r="F429" s="247"/>
      <c r="G429" s="247"/>
      <c r="H429" s="247"/>
      <c r="I429" s="247"/>
      <c r="J429" s="81">
        <f ca="1">SUMPRODUCT((Work_Codes!$N$180:$Y$180=$E429)*(Work_Codes!$N$183:$Y$189)*(J$400:J$406))</f>
        <v>0</v>
      </c>
      <c r="K429" s="81">
        <f ca="1">SUMPRODUCT((Work_Codes!$N$180:$Y$180=$E429)*(Work_Codes!$N$183:$Y$189)*(K$400:K$406))</f>
        <v>0</v>
      </c>
      <c r="L429" s="81">
        <f ca="1">SUMPRODUCT((Work_Codes!$N$180:$Y$180=$E429)*(Work_Codes!$N$183:$Y$189)*(L$400:L$406))</f>
        <v>0</v>
      </c>
      <c r="M429" s="81">
        <f ca="1">SUMPRODUCT((Work_Codes!$N$180:$Y$180=$E429)*(Work_Codes!$N$183:$Y$189)*(M$400:M$406))</f>
        <v>0</v>
      </c>
      <c r="N429" s="81">
        <f ca="1">SUMPRODUCT((Work_Codes!$N$180:$Y$180=$E429)*(Work_Codes!$N$183:$Y$189)*(N$400:N$406))</f>
        <v>0</v>
      </c>
      <c r="O429" s="81">
        <f ca="1">SUMPRODUCT((Work_Codes!$N$180:$Y$180=$E429)*(Work_Codes!$N$183:$Y$189)*(O$400:O$406))</f>
        <v>0</v>
      </c>
      <c r="P429" s="81">
        <f ca="1">SUMPRODUCT((Work_Codes!$N$180:$Y$180=$E429)*(Work_Codes!$N$183:$Y$189)*(P$400:P$406))</f>
        <v>0</v>
      </c>
      <c r="Q429" s="81">
        <f ca="1">SUMPRODUCT((Work_Codes!$N$180:$Y$180=$E429)*(Work_Codes!$N$183:$Y$189)*(Q$400:Q$406))</f>
        <v>0</v>
      </c>
      <c r="R429" s="81">
        <f ca="1">SUMPRODUCT((Work_Codes!$N$180:$Y$180=$E429)*(Work_Codes!$N$183:$Y$189)*(R$400:R$406))</f>
        <v>0</v>
      </c>
      <c r="S429" s="81">
        <f ca="1">SUMPRODUCT((Work_Codes!$N$180:$Y$180=$E429)*(Work_Codes!$N$183:$Y$189)*(S$400:S$406))</f>
        <v>0</v>
      </c>
      <c r="T429" s="81">
        <f ca="1">SUMPRODUCT((Work_Codes!$N$180:$Y$180=$E429)*(Work_Codes!$N$183:$Y$189)*(T$400:T$406))</f>
        <v>0</v>
      </c>
    </row>
    <row r="430" spans="5:20" outlineLevel="2">
      <c r="E430" s="247" t="str">
        <f>GC!C55</f>
        <v>Cathodic protection - post 1998</v>
      </c>
      <c r="F430" s="247"/>
      <c r="G430" s="247"/>
      <c r="H430" s="247"/>
      <c r="I430" s="247"/>
      <c r="J430" s="81">
        <f ca="1">SUMPRODUCT((Work_Codes!$N$180:$Y$180=$E430)*(Work_Codes!$N$183:$Y$189)*(J$400:J$406))</f>
        <v>0</v>
      </c>
      <c r="K430" s="81">
        <f ca="1">SUMPRODUCT((Work_Codes!$N$180:$Y$180=$E430)*(Work_Codes!$N$183:$Y$189)*(K$400:K$406))</f>
        <v>0</v>
      </c>
      <c r="L430" s="81">
        <f ca="1">SUMPRODUCT((Work_Codes!$N$180:$Y$180=$E430)*(Work_Codes!$N$183:$Y$189)*(L$400:L$406))</f>
        <v>0</v>
      </c>
      <c r="M430" s="81">
        <f ca="1">SUMPRODUCT((Work_Codes!$N$180:$Y$180=$E430)*(Work_Codes!$N$183:$Y$189)*(M$400:M$406))</f>
        <v>0</v>
      </c>
      <c r="N430" s="81">
        <f ca="1">SUMPRODUCT((Work_Codes!$N$180:$Y$180=$E430)*(Work_Codes!$N$183:$Y$189)*(N$400:N$406))</f>
        <v>0</v>
      </c>
      <c r="O430" s="81">
        <f ca="1">SUMPRODUCT((Work_Codes!$N$180:$Y$180=$E430)*(Work_Codes!$N$183:$Y$189)*(O$400:O$406))</f>
        <v>0</v>
      </c>
      <c r="P430" s="81">
        <f ca="1">SUMPRODUCT((Work_Codes!$N$180:$Y$180=$E430)*(Work_Codes!$N$183:$Y$189)*(P$400:P$406))</f>
        <v>0</v>
      </c>
      <c r="Q430" s="81">
        <f ca="1">SUMPRODUCT((Work_Codes!$N$180:$Y$180=$E430)*(Work_Codes!$N$183:$Y$189)*(Q$400:Q$406))</f>
        <v>0</v>
      </c>
      <c r="R430" s="81">
        <f ca="1">SUMPRODUCT((Work_Codes!$N$180:$Y$180=$E430)*(Work_Codes!$N$183:$Y$189)*(R$400:R$406))</f>
        <v>0</v>
      </c>
      <c r="S430" s="81">
        <f ca="1">SUMPRODUCT((Work_Codes!$N$180:$Y$180=$E430)*(Work_Codes!$N$183:$Y$189)*(S$400:S$406))</f>
        <v>0</v>
      </c>
      <c r="T430" s="81">
        <f ca="1">SUMPRODUCT((Work_Codes!$N$180:$Y$180=$E430)*(Work_Codes!$N$183:$Y$189)*(T$400:T$406))</f>
        <v>0</v>
      </c>
    </row>
    <row r="431" spans="5:20" ht="12" customHeight="1" outlineLevel="2">
      <c r="E431" s="249" t="str">
        <f>"Total "&amp;D413</f>
        <v>Total Direct Costs</v>
      </c>
      <c r="F431" s="249"/>
      <c r="G431" s="249"/>
      <c r="H431" s="249"/>
      <c r="I431" s="249"/>
      <c r="J431" s="82">
        <f t="shared" ref="J431:T431" ca="1" si="48">SUM(J415:J430)</f>
        <v>0</v>
      </c>
      <c r="K431" s="82">
        <f t="shared" ca="1" si="48"/>
        <v>0</v>
      </c>
      <c r="L431" s="82">
        <f t="shared" ca="1" si="48"/>
        <v>0</v>
      </c>
      <c r="M431" s="82">
        <f t="shared" ca="1" si="48"/>
        <v>0</v>
      </c>
      <c r="N431" s="82">
        <f t="shared" ca="1" si="48"/>
        <v>0</v>
      </c>
      <c r="O431" s="82">
        <f t="shared" ca="1" si="48"/>
        <v>146162.59410209686</v>
      </c>
      <c r="P431" s="82">
        <f t="shared" ca="1" si="48"/>
        <v>313342.05215859984</v>
      </c>
      <c r="Q431" s="82">
        <f t="shared" ca="1" si="48"/>
        <v>299479.21774513059</v>
      </c>
      <c r="R431" s="82">
        <f t="shared" ca="1" si="48"/>
        <v>565705.7884392757</v>
      </c>
      <c r="S431" s="82">
        <f t="shared" ca="1" si="48"/>
        <v>271765.41751677735</v>
      </c>
      <c r="T431" s="82">
        <f t="shared" ca="1" si="48"/>
        <v>261421.13505126754</v>
      </c>
    </row>
    <row r="432" spans="5:20" outlineLevel="2"/>
    <row r="433" spans="4:20" outlineLevel="2">
      <c r="D433" s="37" t="s">
        <v>364</v>
      </c>
    </row>
    <row r="434" spans="4:20" ht="5.9" customHeight="1" outlineLevel="2"/>
    <row r="435" spans="4:20" outlineLevel="2">
      <c r="E435" s="247" t="str">
        <f>GC!C40</f>
        <v>Transmission pipelines</v>
      </c>
      <c r="F435" s="247"/>
      <c r="G435" s="247"/>
      <c r="H435" s="247"/>
      <c r="I435" s="247"/>
      <c r="J435" s="81">
        <f ca="1">J415*(INDEX(J$310:J$312,MATCH(Work_Codes!$I$177,$D$310:$D$312,0)))</f>
        <v>0</v>
      </c>
      <c r="K435" s="81">
        <f ca="1">K415*(INDEX(K$310:K$312,MATCH(Work_Codes!$I$177,$D$310:$D$312,0)))</f>
        <v>0</v>
      </c>
      <c r="L435" s="81">
        <f ca="1">L415*(INDEX(L$310:L$312,MATCH(Work_Codes!$I$177,$D$310:$D$312,0)))</f>
        <v>0</v>
      </c>
      <c r="M435" s="81">
        <f ca="1">M415*(INDEX(M$310:M$312,MATCH(Work_Codes!$I$177,$D$310:$D$312,0)))</f>
        <v>0</v>
      </c>
      <c r="N435" s="81">
        <f ca="1">N415*(INDEX(N$310:N$312,MATCH(Work_Codes!$I$177,$D$310:$D$312,0)))</f>
        <v>0</v>
      </c>
      <c r="O435" s="81">
        <f ca="1">O415*(INDEX(O$310:O$312,MATCH(Work_Codes!$I$177,$D$310:$D$312,0)))</f>
        <v>0</v>
      </c>
      <c r="P435" s="81">
        <f ca="1">P415*(INDEX(P$310:P$312,MATCH(Work_Codes!$I$177,$D$310:$D$312,0)))</f>
        <v>0</v>
      </c>
      <c r="Q435" s="81">
        <f ca="1">Q415*(INDEX(Q$310:Q$312,MATCH(Work_Codes!$I$177,$D$310:$D$312,0)))</f>
        <v>0</v>
      </c>
      <c r="R435" s="81">
        <f ca="1">R415*(INDEX(R$310:R$312,MATCH(Work_Codes!$I$177,$D$310:$D$312,0)))</f>
        <v>0</v>
      </c>
      <c r="S435" s="81">
        <f ca="1">S415*(INDEX(S$310:S$312,MATCH(Work_Codes!$I$177,$D$310:$D$312,0)))</f>
        <v>0</v>
      </c>
      <c r="T435" s="81">
        <f ca="1">T415*(INDEX(T$310:T$312,MATCH(Work_Codes!$I$177,$D$310:$D$312,0)))</f>
        <v>0</v>
      </c>
    </row>
    <row r="436" spans="4:20" outlineLevel="2">
      <c r="E436" s="247" t="str">
        <f>GC!C41</f>
        <v>Distribution pipelines</v>
      </c>
      <c r="F436" s="247"/>
      <c r="G436" s="247"/>
      <c r="H436" s="247"/>
      <c r="I436" s="247"/>
      <c r="J436" s="81">
        <f ca="1">J416*(INDEX(J$310:J$312,MATCH(Work_Codes!$I$177,$D$310:$D$312,0)))</f>
        <v>0</v>
      </c>
      <c r="K436" s="81">
        <f ca="1">K416*(INDEX(K$310:K$312,MATCH(Work_Codes!$I$177,$D$310:$D$312,0)))</f>
        <v>0</v>
      </c>
      <c r="L436" s="81">
        <f ca="1">L416*(INDEX(L$310:L$312,MATCH(Work_Codes!$I$177,$D$310:$D$312,0)))</f>
        <v>0</v>
      </c>
      <c r="M436" s="81">
        <f ca="1">M416*(INDEX(M$310:M$312,MATCH(Work_Codes!$I$177,$D$310:$D$312,0)))</f>
        <v>0</v>
      </c>
      <c r="N436" s="81">
        <f ca="1">N416*(INDEX(N$310:N$312,MATCH(Work_Codes!$I$177,$D$310:$D$312,0)))</f>
        <v>0</v>
      </c>
      <c r="O436" s="81">
        <f ca="1">O416*(INDEX(O$310:O$312,MATCH(Work_Codes!$I$177,$D$310:$D$312,0)))</f>
        <v>0</v>
      </c>
      <c r="P436" s="81">
        <f ca="1">P416*(INDEX(P$310:P$312,MATCH(Work_Codes!$I$177,$D$310:$D$312,0)))</f>
        <v>0</v>
      </c>
      <c r="Q436" s="81">
        <f ca="1">Q416*(INDEX(Q$310:Q$312,MATCH(Work_Codes!$I$177,$D$310:$D$312,0)))</f>
        <v>0</v>
      </c>
      <c r="R436" s="81">
        <f ca="1">R416*(INDEX(R$310:R$312,MATCH(Work_Codes!$I$177,$D$310:$D$312,0)))</f>
        <v>0</v>
      </c>
      <c r="S436" s="81">
        <f ca="1">S416*(INDEX(S$310:S$312,MATCH(Work_Codes!$I$177,$D$310:$D$312,0)))</f>
        <v>0</v>
      </c>
      <c r="T436" s="81">
        <f ca="1">T416*(INDEX(T$310:T$312,MATCH(Work_Codes!$I$177,$D$310:$D$312,0)))</f>
        <v>0</v>
      </c>
    </row>
    <row r="437" spans="4:20" outlineLevel="2">
      <c r="E437" s="247" t="str">
        <f>GC!C42</f>
        <v>Service pipes</v>
      </c>
      <c r="F437" s="247"/>
      <c r="G437" s="247"/>
      <c r="H437" s="247"/>
      <c r="I437" s="247"/>
      <c r="J437" s="81">
        <f ca="1">J417*(INDEX(J$310:J$312,MATCH(Work_Codes!$I$177,$D$310:$D$312,0)))</f>
        <v>0</v>
      </c>
      <c r="K437" s="81">
        <f ca="1">K417*(INDEX(K$310:K$312,MATCH(Work_Codes!$I$177,$D$310:$D$312,0)))</f>
        <v>0</v>
      </c>
      <c r="L437" s="81">
        <f ca="1">L417*(INDEX(L$310:L$312,MATCH(Work_Codes!$I$177,$D$310:$D$312,0)))</f>
        <v>0</v>
      </c>
      <c r="M437" s="81">
        <f ca="1">M417*(INDEX(M$310:M$312,MATCH(Work_Codes!$I$177,$D$310:$D$312,0)))</f>
        <v>0</v>
      </c>
      <c r="N437" s="81">
        <f ca="1">N417*(INDEX(N$310:N$312,MATCH(Work_Codes!$I$177,$D$310:$D$312,0)))</f>
        <v>0</v>
      </c>
      <c r="O437" s="81">
        <f ca="1">O417*(INDEX(O$310:O$312,MATCH(Work_Codes!$I$177,$D$310:$D$312,0)))</f>
        <v>0</v>
      </c>
      <c r="P437" s="81">
        <f ca="1">P417*(INDEX(P$310:P$312,MATCH(Work_Codes!$I$177,$D$310:$D$312,0)))</f>
        <v>0</v>
      </c>
      <c r="Q437" s="81">
        <f ca="1">Q417*(INDEX(Q$310:Q$312,MATCH(Work_Codes!$I$177,$D$310:$D$312,0)))</f>
        <v>0</v>
      </c>
      <c r="R437" s="81">
        <f ca="1">R417*(INDEX(R$310:R$312,MATCH(Work_Codes!$I$177,$D$310:$D$312,0)))</f>
        <v>0</v>
      </c>
      <c r="S437" s="81">
        <f ca="1">S417*(INDEX(S$310:S$312,MATCH(Work_Codes!$I$177,$D$310:$D$312,0)))</f>
        <v>0</v>
      </c>
      <c r="T437" s="81">
        <f ca="1">T417*(INDEX(T$310:T$312,MATCH(Work_Codes!$I$177,$D$310:$D$312,0)))</f>
        <v>0</v>
      </c>
    </row>
    <row r="438" spans="4:20" outlineLevel="2">
      <c r="E438" s="247" t="str">
        <f>GC!C43</f>
        <v>Cathodic protection</v>
      </c>
      <c r="F438" s="247"/>
      <c r="G438" s="247"/>
      <c r="H438" s="247"/>
      <c r="I438" s="247"/>
      <c r="J438" s="81">
        <f ca="1">J418*(INDEX(J$310:J$312,MATCH(Work_Codes!$I$177,$D$310:$D$312,0)))</f>
        <v>0</v>
      </c>
      <c r="K438" s="81">
        <f ca="1">K418*(INDEX(K$310:K$312,MATCH(Work_Codes!$I$177,$D$310:$D$312,0)))</f>
        <v>0</v>
      </c>
      <c r="L438" s="81">
        <f ca="1">L418*(INDEX(L$310:L$312,MATCH(Work_Codes!$I$177,$D$310:$D$312,0)))</f>
        <v>0</v>
      </c>
      <c r="M438" s="81">
        <f ca="1">M418*(INDEX(M$310:M$312,MATCH(Work_Codes!$I$177,$D$310:$D$312,0)))</f>
        <v>0</v>
      </c>
      <c r="N438" s="81">
        <f ca="1">N418*(INDEX(N$310:N$312,MATCH(Work_Codes!$I$177,$D$310:$D$312,0)))</f>
        <v>0</v>
      </c>
      <c r="O438" s="81">
        <f ca="1">O418*(INDEX(O$310:O$312,MATCH(Work_Codes!$I$177,$D$310:$D$312,0)))</f>
        <v>0</v>
      </c>
      <c r="P438" s="81">
        <f ca="1">P418*(INDEX(P$310:P$312,MATCH(Work_Codes!$I$177,$D$310:$D$312,0)))</f>
        <v>0</v>
      </c>
      <c r="Q438" s="81">
        <f ca="1">Q418*(INDEX(Q$310:Q$312,MATCH(Work_Codes!$I$177,$D$310:$D$312,0)))</f>
        <v>0</v>
      </c>
      <c r="R438" s="81">
        <f ca="1">R418*(INDEX(R$310:R$312,MATCH(Work_Codes!$I$177,$D$310:$D$312,0)))</f>
        <v>0</v>
      </c>
      <c r="S438" s="81">
        <f ca="1">S418*(INDEX(S$310:S$312,MATCH(Work_Codes!$I$177,$D$310:$D$312,0)))</f>
        <v>0</v>
      </c>
      <c r="T438" s="81">
        <f ca="1">T418*(INDEX(T$310:T$312,MATCH(Work_Codes!$I$177,$D$310:$D$312,0)))</f>
        <v>0</v>
      </c>
    </row>
    <row r="439" spans="4:20" outlineLevel="2">
      <c r="E439" s="247" t="str">
        <f>GC!C44</f>
        <v>Supply Regulators / Valve Stations</v>
      </c>
      <c r="F439" s="247"/>
      <c r="G439" s="247"/>
      <c r="H439" s="247"/>
      <c r="I439" s="247"/>
      <c r="J439" s="81">
        <f ca="1">J419*(INDEX(J$310:J$312,MATCH(Work_Codes!$I$177,$D$310:$D$312,0)))</f>
        <v>0</v>
      </c>
      <c r="K439" s="81">
        <f ca="1">K419*(INDEX(K$310:K$312,MATCH(Work_Codes!$I$177,$D$310:$D$312,0)))</f>
        <v>0</v>
      </c>
      <c r="L439" s="81">
        <f ca="1">L419*(INDEX(L$310:L$312,MATCH(Work_Codes!$I$177,$D$310:$D$312,0)))</f>
        <v>0</v>
      </c>
      <c r="M439" s="81">
        <f ca="1">M419*(INDEX(M$310:M$312,MATCH(Work_Codes!$I$177,$D$310:$D$312,0)))</f>
        <v>0</v>
      </c>
      <c r="N439" s="81">
        <f ca="1">N419*(INDEX(N$310:N$312,MATCH(Work_Codes!$I$177,$D$310:$D$312,0)))</f>
        <v>0</v>
      </c>
      <c r="O439" s="81">
        <f ca="1">O419*(INDEX(O$310:O$312,MATCH(Work_Codes!$I$177,$D$310:$D$312,0)))</f>
        <v>0</v>
      </c>
      <c r="P439" s="81">
        <f ca="1">P419*(INDEX(P$310:P$312,MATCH(Work_Codes!$I$177,$D$310:$D$312,0)))</f>
        <v>0</v>
      </c>
      <c r="Q439" s="81">
        <f ca="1">Q419*(INDEX(Q$310:Q$312,MATCH(Work_Codes!$I$177,$D$310:$D$312,0)))</f>
        <v>0</v>
      </c>
      <c r="R439" s="81">
        <f ca="1">R419*(INDEX(R$310:R$312,MATCH(Work_Codes!$I$177,$D$310:$D$312,0)))</f>
        <v>0</v>
      </c>
      <c r="S439" s="81">
        <f ca="1">S419*(INDEX(S$310:S$312,MATCH(Work_Codes!$I$177,$D$310:$D$312,0)))</f>
        <v>0</v>
      </c>
      <c r="T439" s="81">
        <f ca="1">T419*(INDEX(T$310:T$312,MATCH(Work_Codes!$I$177,$D$310:$D$312,0)))</f>
        <v>0</v>
      </c>
    </row>
    <row r="440" spans="4:20" outlineLevel="2">
      <c r="E440" s="247" t="str">
        <f>GC!C45</f>
        <v>Meters</v>
      </c>
      <c r="F440" s="247"/>
      <c r="G440" s="247"/>
      <c r="H440" s="247"/>
      <c r="I440" s="247"/>
      <c r="J440" s="81">
        <f ca="1">J420*(INDEX(J$310:J$312,MATCH(Work_Codes!$I$177,$D$310:$D$312,0)))</f>
        <v>0</v>
      </c>
      <c r="K440" s="81">
        <f ca="1">K420*(INDEX(K$310:K$312,MATCH(Work_Codes!$I$177,$D$310:$D$312,0)))</f>
        <v>0</v>
      </c>
      <c r="L440" s="81">
        <f ca="1">L420*(INDEX(L$310:L$312,MATCH(Work_Codes!$I$177,$D$310:$D$312,0)))</f>
        <v>0</v>
      </c>
      <c r="M440" s="81">
        <f ca="1">M420*(INDEX(M$310:M$312,MATCH(Work_Codes!$I$177,$D$310:$D$312,0)))</f>
        <v>0</v>
      </c>
      <c r="N440" s="81">
        <f ca="1">N420*(INDEX(N$310:N$312,MATCH(Work_Codes!$I$177,$D$310:$D$312,0)))</f>
        <v>0</v>
      </c>
      <c r="O440" s="81">
        <f ca="1">O420*(INDEX(O$310:O$312,MATCH(Work_Codes!$I$177,$D$310:$D$312,0)))</f>
        <v>4864.871259049859</v>
      </c>
      <c r="P440" s="81">
        <f ca="1">P420*(INDEX(P$310:P$312,MATCH(Work_Codes!$I$177,$D$310:$D$312,0)))</f>
        <v>8382.7335459853421</v>
      </c>
      <c r="Q440" s="81">
        <f ca="1">Q420*(INDEX(Q$310:Q$312,MATCH(Work_Codes!$I$177,$D$310:$D$312,0)))</f>
        <v>7804.6043132553023</v>
      </c>
      <c r="R440" s="81">
        <f ca="1">R420*(INDEX(R$310:R$312,MATCH(Work_Codes!$I$177,$D$310:$D$312,0)))</f>
        <v>15202.215039941359</v>
      </c>
      <c r="S440" s="81">
        <f ca="1">S420*(INDEX(S$310:S$312,MATCH(Work_Codes!$I$177,$D$310:$D$312,0)))</f>
        <v>7757.8642349048187</v>
      </c>
      <c r="T440" s="81">
        <f ca="1">T420*(INDEX(T$310:T$312,MATCH(Work_Codes!$I$177,$D$310:$D$312,0)))</f>
        <v>7821.819231170939</v>
      </c>
    </row>
    <row r="441" spans="4:20" outlineLevel="2">
      <c r="E441" s="247" t="str">
        <f>GC!C46</f>
        <v>SCADA and remote control</v>
      </c>
      <c r="F441" s="247"/>
      <c r="G441" s="247"/>
      <c r="H441" s="247"/>
      <c r="I441" s="247"/>
      <c r="J441" s="81">
        <f ca="1">J421*(INDEX(J$310:J$312,MATCH(Work_Codes!$I$177,$D$310:$D$312,0)))</f>
        <v>0</v>
      </c>
      <c r="K441" s="81">
        <f ca="1">K421*(INDEX(K$310:K$312,MATCH(Work_Codes!$I$177,$D$310:$D$312,0)))</f>
        <v>0</v>
      </c>
      <c r="L441" s="81">
        <f ca="1">L421*(INDEX(L$310:L$312,MATCH(Work_Codes!$I$177,$D$310:$D$312,0)))</f>
        <v>0</v>
      </c>
      <c r="M441" s="81">
        <f ca="1">M421*(INDEX(M$310:M$312,MATCH(Work_Codes!$I$177,$D$310:$D$312,0)))</f>
        <v>0</v>
      </c>
      <c r="N441" s="81">
        <f ca="1">N421*(INDEX(N$310:N$312,MATCH(Work_Codes!$I$177,$D$310:$D$312,0)))</f>
        <v>0</v>
      </c>
      <c r="O441" s="81">
        <f ca="1">O421*(INDEX(O$310:O$312,MATCH(Work_Codes!$I$177,$D$310:$D$312,0)))</f>
        <v>0</v>
      </c>
      <c r="P441" s="81">
        <f ca="1">P421*(INDEX(P$310:P$312,MATCH(Work_Codes!$I$177,$D$310:$D$312,0)))</f>
        <v>0</v>
      </c>
      <c r="Q441" s="81">
        <f ca="1">Q421*(INDEX(Q$310:Q$312,MATCH(Work_Codes!$I$177,$D$310:$D$312,0)))</f>
        <v>0</v>
      </c>
      <c r="R441" s="81">
        <f ca="1">R421*(INDEX(R$310:R$312,MATCH(Work_Codes!$I$177,$D$310:$D$312,0)))</f>
        <v>0</v>
      </c>
      <c r="S441" s="81">
        <f ca="1">S421*(INDEX(S$310:S$312,MATCH(Work_Codes!$I$177,$D$310:$D$312,0)))</f>
        <v>0</v>
      </c>
      <c r="T441" s="81">
        <f ca="1">T421*(INDEX(T$310:T$312,MATCH(Work_Codes!$I$177,$D$310:$D$312,0)))</f>
        <v>0</v>
      </c>
    </row>
    <row r="442" spans="4:20" outlineLevel="2">
      <c r="E442" s="247" t="str">
        <f>GC!C47</f>
        <v>Buildings</v>
      </c>
      <c r="F442" s="247"/>
      <c r="G442" s="247"/>
      <c r="H442" s="247"/>
      <c r="I442" s="247"/>
      <c r="J442" s="81">
        <f ca="1">J422*(INDEX(J$310:J$312,MATCH(Work_Codes!$I$177,$D$310:$D$312,0)))</f>
        <v>0</v>
      </c>
      <c r="K442" s="81">
        <f ca="1">K422*(INDEX(K$310:K$312,MATCH(Work_Codes!$I$177,$D$310:$D$312,0)))</f>
        <v>0</v>
      </c>
      <c r="L442" s="81">
        <f ca="1">L422*(INDEX(L$310:L$312,MATCH(Work_Codes!$I$177,$D$310:$D$312,0)))</f>
        <v>0</v>
      </c>
      <c r="M442" s="81">
        <f ca="1">M422*(INDEX(M$310:M$312,MATCH(Work_Codes!$I$177,$D$310:$D$312,0)))</f>
        <v>0</v>
      </c>
      <c r="N442" s="81">
        <f ca="1">N422*(INDEX(N$310:N$312,MATCH(Work_Codes!$I$177,$D$310:$D$312,0)))</f>
        <v>0</v>
      </c>
      <c r="O442" s="81">
        <f ca="1">O422*(INDEX(O$310:O$312,MATCH(Work_Codes!$I$177,$D$310:$D$312,0)))</f>
        <v>0</v>
      </c>
      <c r="P442" s="81">
        <f ca="1">P422*(INDEX(P$310:P$312,MATCH(Work_Codes!$I$177,$D$310:$D$312,0)))</f>
        <v>0</v>
      </c>
      <c r="Q442" s="81">
        <f ca="1">Q422*(INDEX(Q$310:Q$312,MATCH(Work_Codes!$I$177,$D$310:$D$312,0)))</f>
        <v>0</v>
      </c>
      <c r="R442" s="81">
        <f ca="1">R422*(INDEX(R$310:R$312,MATCH(Work_Codes!$I$177,$D$310:$D$312,0)))</f>
        <v>0</v>
      </c>
      <c r="S442" s="81">
        <f ca="1">S422*(INDEX(S$310:S$312,MATCH(Work_Codes!$I$177,$D$310:$D$312,0)))</f>
        <v>0</v>
      </c>
      <c r="T442" s="81">
        <f ca="1">T422*(INDEX(T$310:T$312,MATCH(Work_Codes!$I$177,$D$310:$D$312,0)))</f>
        <v>0</v>
      </c>
    </row>
    <row r="443" spans="4:20" outlineLevel="2">
      <c r="E443" s="247" t="str">
        <f>GC!C48</f>
        <v>Other - IT</v>
      </c>
      <c r="F443" s="247"/>
      <c r="G443" s="247"/>
      <c r="H443" s="247"/>
      <c r="I443" s="247"/>
      <c r="J443" s="81">
        <f ca="1">J423*(INDEX(J$310:J$312,MATCH(Work_Codes!$I$177,$D$310:$D$312,0)))</f>
        <v>0</v>
      </c>
      <c r="K443" s="81">
        <f ca="1">K423*(INDEX(K$310:K$312,MATCH(Work_Codes!$I$177,$D$310:$D$312,0)))</f>
        <v>0</v>
      </c>
      <c r="L443" s="81">
        <f ca="1">L423*(INDEX(L$310:L$312,MATCH(Work_Codes!$I$177,$D$310:$D$312,0)))</f>
        <v>0</v>
      </c>
      <c r="M443" s="81">
        <f ca="1">M423*(INDEX(M$310:M$312,MATCH(Work_Codes!$I$177,$D$310:$D$312,0)))</f>
        <v>0</v>
      </c>
      <c r="N443" s="81">
        <f ca="1">N423*(INDEX(N$310:N$312,MATCH(Work_Codes!$I$177,$D$310:$D$312,0)))</f>
        <v>0</v>
      </c>
      <c r="O443" s="81">
        <f ca="1">O423*(INDEX(O$310:O$312,MATCH(Work_Codes!$I$177,$D$310:$D$312,0)))</f>
        <v>0</v>
      </c>
      <c r="P443" s="81">
        <f ca="1">P423*(INDEX(P$310:P$312,MATCH(Work_Codes!$I$177,$D$310:$D$312,0)))</f>
        <v>0</v>
      </c>
      <c r="Q443" s="81">
        <f ca="1">Q423*(INDEX(Q$310:Q$312,MATCH(Work_Codes!$I$177,$D$310:$D$312,0)))</f>
        <v>0</v>
      </c>
      <c r="R443" s="81">
        <f ca="1">R423*(INDEX(R$310:R$312,MATCH(Work_Codes!$I$177,$D$310:$D$312,0)))</f>
        <v>0</v>
      </c>
      <c r="S443" s="81">
        <f ca="1">S423*(INDEX(S$310:S$312,MATCH(Work_Codes!$I$177,$D$310:$D$312,0)))</f>
        <v>0</v>
      </c>
      <c r="T443" s="81">
        <f ca="1">T423*(INDEX(T$310:T$312,MATCH(Work_Codes!$I$177,$D$310:$D$312,0)))</f>
        <v>0</v>
      </c>
    </row>
    <row r="444" spans="4:20" outlineLevel="2">
      <c r="E444" s="247" t="str">
        <f>GC!C49</f>
        <v>Other - non IT</v>
      </c>
      <c r="F444" s="247"/>
      <c r="G444" s="247"/>
      <c r="H444" s="247"/>
      <c r="I444" s="247"/>
      <c r="J444" s="81">
        <f ca="1">J424*(INDEX(J$310:J$312,MATCH(Work_Codes!$I$177,$D$310:$D$312,0)))</f>
        <v>0</v>
      </c>
      <c r="K444" s="81">
        <f ca="1">K424*(INDEX(K$310:K$312,MATCH(Work_Codes!$I$177,$D$310:$D$312,0)))</f>
        <v>0</v>
      </c>
      <c r="L444" s="81">
        <f ca="1">L424*(INDEX(L$310:L$312,MATCH(Work_Codes!$I$177,$D$310:$D$312,0)))</f>
        <v>0</v>
      </c>
      <c r="M444" s="81">
        <f ca="1">M424*(INDEX(M$310:M$312,MATCH(Work_Codes!$I$177,$D$310:$D$312,0)))</f>
        <v>0</v>
      </c>
      <c r="N444" s="81">
        <f ca="1">N424*(INDEX(N$310:N$312,MATCH(Work_Codes!$I$177,$D$310:$D$312,0)))</f>
        <v>0</v>
      </c>
      <c r="O444" s="81">
        <f ca="1">O424*(INDEX(O$310:O$312,MATCH(Work_Codes!$I$177,$D$310:$D$312,0)))</f>
        <v>0</v>
      </c>
      <c r="P444" s="81">
        <f ca="1">P424*(INDEX(P$310:P$312,MATCH(Work_Codes!$I$177,$D$310:$D$312,0)))</f>
        <v>0</v>
      </c>
      <c r="Q444" s="81">
        <f ca="1">Q424*(INDEX(Q$310:Q$312,MATCH(Work_Codes!$I$177,$D$310:$D$312,0)))</f>
        <v>0</v>
      </c>
      <c r="R444" s="81">
        <f ca="1">R424*(INDEX(R$310:R$312,MATCH(Work_Codes!$I$177,$D$310:$D$312,0)))</f>
        <v>0</v>
      </c>
      <c r="S444" s="81">
        <f ca="1">S424*(INDEX(S$310:S$312,MATCH(Work_Codes!$I$177,$D$310:$D$312,0)))</f>
        <v>0</v>
      </c>
      <c r="T444" s="81">
        <f ca="1">T424*(INDEX(T$310:T$312,MATCH(Work_Codes!$I$177,$D$310:$D$312,0)))</f>
        <v>0</v>
      </c>
    </row>
    <row r="445" spans="4:20" outlineLevel="2">
      <c r="E445" s="247" t="str">
        <f>GC!C50</f>
        <v>Land</v>
      </c>
      <c r="F445" s="247"/>
      <c r="G445" s="247"/>
      <c r="H445" s="247"/>
      <c r="I445" s="247"/>
      <c r="J445" s="81">
        <f ca="1">J425*(INDEX(J$310:J$312,MATCH(Work_Codes!$I$177,$D$310:$D$312,0)))</f>
        <v>0</v>
      </c>
      <c r="K445" s="81">
        <f ca="1">K425*(INDEX(K$310:K$312,MATCH(Work_Codes!$I$177,$D$310:$D$312,0)))</f>
        <v>0</v>
      </c>
      <c r="L445" s="81">
        <f ca="1">L425*(INDEX(L$310:L$312,MATCH(Work_Codes!$I$177,$D$310:$D$312,0)))</f>
        <v>0</v>
      </c>
      <c r="M445" s="81">
        <f ca="1">M425*(INDEX(M$310:M$312,MATCH(Work_Codes!$I$177,$D$310:$D$312,0)))</f>
        <v>0</v>
      </c>
      <c r="N445" s="81">
        <f ca="1">N425*(INDEX(N$310:N$312,MATCH(Work_Codes!$I$177,$D$310:$D$312,0)))</f>
        <v>0</v>
      </c>
      <c r="O445" s="81">
        <f ca="1">O425*(INDEX(O$310:O$312,MATCH(Work_Codes!$I$177,$D$310:$D$312,0)))</f>
        <v>0</v>
      </c>
      <c r="P445" s="81">
        <f ca="1">P425*(INDEX(P$310:P$312,MATCH(Work_Codes!$I$177,$D$310:$D$312,0)))</f>
        <v>0</v>
      </c>
      <c r="Q445" s="81">
        <f ca="1">Q425*(INDEX(Q$310:Q$312,MATCH(Work_Codes!$I$177,$D$310:$D$312,0)))</f>
        <v>0</v>
      </c>
      <c r="R445" s="81">
        <f ca="1">R425*(INDEX(R$310:R$312,MATCH(Work_Codes!$I$177,$D$310:$D$312,0)))</f>
        <v>0</v>
      </c>
      <c r="S445" s="81">
        <f ca="1">S425*(INDEX(S$310:S$312,MATCH(Work_Codes!$I$177,$D$310:$D$312,0)))</f>
        <v>0</v>
      </c>
      <c r="T445" s="81">
        <f ca="1">T425*(INDEX(T$310:T$312,MATCH(Work_Codes!$I$177,$D$310:$D$312,0)))</f>
        <v>0</v>
      </c>
    </row>
    <row r="446" spans="4:20" outlineLevel="2">
      <c r="E446" s="247" t="str">
        <f>GC!C51</f>
        <v>Capitalised Leases</v>
      </c>
      <c r="F446" s="247"/>
      <c r="G446" s="247"/>
      <c r="H446" s="247"/>
      <c r="I446" s="247"/>
      <c r="J446" s="81">
        <f ca="1">J426*(INDEX(J$310:J$312,MATCH(Work_Codes!$I$177,$D$310:$D$312,0)))</f>
        <v>0</v>
      </c>
      <c r="K446" s="81">
        <f ca="1">K426*(INDEX(K$310:K$312,MATCH(Work_Codes!$I$177,$D$310:$D$312,0)))</f>
        <v>0</v>
      </c>
      <c r="L446" s="81">
        <f ca="1">L426*(INDEX(L$310:L$312,MATCH(Work_Codes!$I$177,$D$310:$D$312,0)))</f>
        <v>0</v>
      </c>
      <c r="M446" s="81">
        <f ca="1">M426*(INDEX(M$310:M$312,MATCH(Work_Codes!$I$177,$D$310:$D$312,0)))</f>
        <v>0</v>
      </c>
      <c r="N446" s="81">
        <f ca="1">N426*(INDEX(N$310:N$312,MATCH(Work_Codes!$I$177,$D$310:$D$312,0)))</f>
        <v>0</v>
      </c>
      <c r="O446" s="81">
        <f ca="1">O426*(INDEX(O$310:O$312,MATCH(Work_Codes!$I$177,$D$310:$D$312,0)))</f>
        <v>0</v>
      </c>
      <c r="P446" s="81">
        <f ca="1">P426*(INDEX(P$310:P$312,MATCH(Work_Codes!$I$177,$D$310:$D$312,0)))</f>
        <v>0</v>
      </c>
      <c r="Q446" s="81">
        <f ca="1">Q426*(INDEX(Q$310:Q$312,MATCH(Work_Codes!$I$177,$D$310:$D$312,0)))</f>
        <v>0</v>
      </c>
      <c r="R446" s="81">
        <f ca="1">R426*(INDEX(R$310:R$312,MATCH(Work_Codes!$I$177,$D$310:$D$312,0)))</f>
        <v>0</v>
      </c>
      <c r="S446" s="81">
        <f ca="1">S426*(INDEX(S$310:S$312,MATCH(Work_Codes!$I$177,$D$310:$D$312,0)))</f>
        <v>0</v>
      </c>
      <c r="T446" s="81">
        <f ca="1">T426*(INDEX(T$310:T$312,MATCH(Work_Codes!$I$177,$D$310:$D$312,0)))</f>
        <v>0</v>
      </c>
    </row>
    <row r="447" spans="4:20" outlineLevel="2">
      <c r="E447" s="247" t="str">
        <f>GC!C52</f>
        <v>Transmission pipelines - post 1998</v>
      </c>
      <c r="F447" s="247"/>
      <c r="G447" s="247"/>
      <c r="H447" s="247"/>
      <c r="I447" s="247"/>
      <c r="J447" s="81">
        <f ca="1">J427*(INDEX(J$310:J$312,MATCH(Work_Codes!$I$177,$D$310:$D$312,0)))</f>
        <v>0</v>
      </c>
      <c r="K447" s="81">
        <f ca="1">K427*(INDEX(K$310:K$312,MATCH(Work_Codes!$I$177,$D$310:$D$312,0)))</f>
        <v>0</v>
      </c>
      <c r="L447" s="81">
        <f ca="1">L427*(INDEX(L$310:L$312,MATCH(Work_Codes!$I$177,$D$310:$D$312,0)))</f>
        <v>0</v>
      </c>
      <c r="M447" s="81">
        <f ca="1">M427*(INDEX(M$310:M$312,MATCH(Work_Codes!$I$177,$D$310:$D$312,0)))</f>
        <v>0</v>
      </c>
      <c r="N447" s="81">
        <f ca="1">N427*(INDEX(N$310:N$312,MATCH(Work_Codes!$I$177,$D$310:$D$312,0)))</f>
        <v>0</v>
      </c>
      <c r="O447" s="81">
        <f ca="1">O427*(INDEX(O$310:O$312,MATCH(Work_Codes!$I$177,$D$310:$D$312,0)))</f>
        <v>0</v>
      </c>
      <c r="P447" s="81">
        <f ca="1">P427*(INDEX(P$310:P$312,MATCH(Work_Codes!$I$177,$D$310:$D$312,0)))</f>
        <v>0</v>
      </c>
      <c r="Q447" s="81">
        <f ca="1">Q427*(INDEX(Q$310:Q$312,MATCH(Work_Codes!$I$177,$D$310:$D$312,0)))</f>
        <v>0</v>
      </c>
      <c r="R447" s="81">
        <f ca="1">R427*(INDEX(R$310:R$312,MATCH(Work_Codes!$I$177,$D$310:$D$312,0)))</f>
        <v>0</v>
      </c>
      <c r="S447" s="81">
        <f ca="1">S427*(INDEX(S$310:S$312,MATCH(Work_Codes!$I$177,$D$310:$D$312,0)))</f>
        <v>0</v>
      </c>
      <c r="T447" s="81">
        <f ca="1">T427*(INDEX(T$310:T$312,MATCH(Work_Codes!$I$177,$D$310:$D$312,0)))</f>
        <v>0</v>
      </c>
    </row>
    <row r="448" spans="4:20" outlineLevel="2">
      <c r="E448" s="247" t="str">
        <f>GC!C53</f>
        <v>Distribution pipelines - post 1998</v>
      </c>
      <c r="F448" s="247"/>
      <c r="G448" s="247"/>
      <c r="H448" s="247"/>
      <c r="I448" s="247"/>
      <c r="J448" s="81">
        <f ca="1">J428*(INDEX(J$310:J$312,MATCH(Work_Codes!$I$177,$D$310:$D$312,0)))</f>
        <v>0</v>
      </c>
      <c r="K448" s="81">
        <f ca="1">K428*(INDEX(K$310:K$312,MATCH(Work_Codes!$I$177,$D$310:$D$312,0)))</f>
        <v>0</v>
      </c>
      <c r="L448" s="81">
        <f ca="1">L428*(INDEX(L$310:L$312,MATCH(Work_Codes!$I$177,$D$310:$D$312,0)))</f>
        <v>0</v>
      </c>
      <c r="M448" s="81">
        <f ca="1">M428*(INDEX(M$310:M$312,MATCH(Work_Codes!$I$177,$D$310:$D$312,0)))</f>
        <v>0</v>
      </c>
      <c r="N448" s="81">
        <f ca="1">N428*(INDEX(N$310:N$312,MATCH(Work_Codes!$I$177,$D$310:$D$312,0)))</f>
        <v>0</v>
      </c>
      <c r="O448" s="81">
        <f ca="1">O428*(INDEX(O$310:O$312,MATCH(Work_Codes!$I$177,$D$310:$D$312,0)))</f>
        <v>0</v>
      </c>
      <c r="P448" s="81">
        <f ca="1">P428*(INDEX(P$310:P$312,MATCH(Work_Codes!$I$177,$D$310:$D$312,0)))</f>
        <v>0</v>
      </c>
      <c r="Q448" s="81">
        <f ca="1">Q428*(INDEX(Q$310:Q$312,MATCH(Work_Codes!$I$177,$D$310:$D$312,0)))</f>
        <v>0</v>
      </c>
      <c r="R448" s="81">
        <f ca="1">R428*(INDEX(R$310:R$312,MATCH(Work_Codes!$I$177,$D$310:$D$312,0)))</f>
        <v>0</v>
      </c>
      <c r="S448" s="81">
        <f ca="1">S428*(INDEX(S$310:S$312,MATCH(Work_Codes!$I$177,$D$310:$D$312,0)))</f>
        <v>0</v>
      </c>
      <c r="T448" s="81">
        <f ca="1">T428*(INDEX(T$310:T$312,MATCH(Work_Codes!$I$177,$D$310:$D$312,0)))</f>
        <v>0</v>
      </c>
    </row>
    <row r="449" spans="4:20" outlineLevel="2">
      <c r="E449" s="247" t="str">
        <f>GC!C54</f>
        <v>Service pipes - post 1998</v>
      </c>
      <c r="F449" s="247"/>
      <c r="G449" s="247"/>
      <c r="H449" s="247"/>
      <c r="I449" s="247"/>
      <c r="J449" s="81">
        <f ca="1">J429*(INDEX(J$310:J$312,MATCH(Work_Codes!$I$177,$D$310:$D$312,0)))</f>
        <v>0</v>
      </c>
      <c r="K449" s="81">
        <f ca="1">K429*(INDEX(K$310:K$312,MATCH(Work_Codes!$I$177,$D$310:$D$312,0)))</f>
        <v>0</v>
      </c>
      <c r="L449" s="81">
        <f ca="1">L429*(INDEX(L$310:L$312,MATCH(Work_Codes!$I$177,$D$310:$D$312,0)))</f>
        <v>0</v>
      </c>
      <c r="M449" s="81">
        <f ca="1">M429*(INDEX(M$310:M$312,MATCH(Work_Codes!$I$177,$D$310:$D$312,0)))</f>
        <v>0</v>
      </c>
      <c r="N449" s="81">
        <f ca="1">N429*(INDEX(N$310:N$312,MATCH(Work_Codes!$I$177,$D$310:$D$312,0)))</f>
        <v>0</v>
      </c>
      <c r="O449" s="81">
        <f ca="1">O429*(INDEX(O$310:O$312,MATCH(Work_Codes!$I$177,$D$310:$D$312,0)))</f>
        <v>0</v>
      </c>
      <c r="P449" s="81">
        <f ca="1">P429*(INDEX(P$310:P$312,MATCH(Work_Codes!$I$177,$D$310:$D$312,0)))</f>
        <v>0</v>
      </c>
      <c r="Q449" s="81">
        <f ca="1">Q429*(INDEX(Q$310:Q$312,MATCH(Work_Codes!$I$177,$D$310:$D$312,0)))</f>
        <v>0</v>
      </c>
      <c r="R449" s="81">
        <f ca="1">R429*(INDEX(R$310:R$312,MATCH(Work_Codes!$I$177,$D$310:$D$312,0)))</f>
        <v>0</v>
      </c>
      <c r="S449" s="81">
        <f ca="1">S429*(INDEX(S$310:S$312,MATCH(Work_Codes!$I$177,$D$310:$D$312,0)))</f>
        <v>0</v>
      </c>
      <c r="T449" s="81">
        <f ca="1">T429*(INDEX(T$310:T$312,MATCH(Work_Codes!$I$177,$D$310:$D$312,0)))</f>
        <v>0</v>
      </c>
    </row>
    <row r="450" spans="4:20" outlineLevel="2">
      <c r="E450" s="247" t="str">
        <f>GC!C55</f>
        <v>Cathodic protection - post 1998</v>
      </c>
      <c r="F450" s="247"/>
      <c r="G450" s="247"/>
      <c r="H450" s="247"/>
      <c r="I450" s="247"/>
      <c r="J450" s="81">
        <f ca="1">J430*(INDEX(J$310:J$312,MATCH(Work_Codes!$I$177,$D$310:$D$312,0)))</f>
        <v>0</v>
      </c>
      <c r="K450" s="81">
        <f ca="1">K430*(INDEX(K$310:K$312,MATCH(Work_Codes!$I$177,$D$310:$D$312,0)))</f>
        <v>0</v>
      </c>
      <c r="L450" s="81">
        <f ca="1">L430*(INDEX(L$310:L$312,MATCH(Work_Codes!$I$177,$D$310:$D$312,0)))</f>
        <v>0</v>
      </c>
      <c r="M450" s="81">
        <f ca="1">M430*(INDEX(M$310:M$312,MATCH(Work_Codes!$I$177,$D$310:$D$312,0)))</f>
        <v>0</v>
      </c>
      <c r="N450" s="81">
        <f ca="1">N430*(INDEX(N$310:N$312,MATCH(Work_Codes!$I$177,$D$310:$D$312,0)))</f>
        <v>0</v>
      </c>
      <c r="O450" s="81">
        <f ca="1">O430*(INDEX(O$310:O$312,MATCH(Work_Codes!$I$177,$D$310:$D$312,0)))</f>
        <v>0</v>
      </c>
      <c r="P450" s="81">
        <f ca="1">P430*(INDEX(P$310:P$312,MATCH(Work_Codes!$I$177,$D$310:$D$312,0)))</f>
        <v>0</v>
      </c>
      <c r="Q450" s="81">
        <f ca="1">Q430*(INDEX(Q$310:Q$312,MATCH(Work_Codes!$I$177,$D$310:$D$312,0)))</f>
        <v>0</v>
      </c>
      <c r="R450" s="81">
        <f ca="1">R430*(INDEX(R$310:R$312,MATCH(Work_Codes!$I$177,$D$310:$D$312,0)))</f>
        <v>0</v>
      </c>
      <c r="S450" s="81">
        <f ca="1">S430*(INDEX(S$310:S$312,MATCH(Work_Codes!$I$177,$D$310:$D$312,0)))</f>
        <v>0</v>
      </c>
      <c r="T450" s="81">
        <f ca="1">T430*(INDEX(T$310:T$312,MATCH(Work_Codes!$I$177,$D$310:$D$312,0)))</f>
        <v>0</v>
      </c>
    </row>
    <row r="451" spans="4:20" outlineLevel="2">
      <c r="E451" s="249" t="str">
        <f>"Total "&amp;D433</f>
        <v>Total Overheads</v>
      </c>
      <c r="F451" s="249"/>
      <c r="G451" s="249"/>
      <c r="H451" s="249"/>
      <c r="I451" s="249"/>
      <c r="J451" s="82">
        <f t="shared" ref="J451:T451" ca="1" si="49">SUM(J435:J450)</f>
        <v>0</v>
      </c>
      <c r="K451" s="82">
        <f t="shared" ca="1" si="49"/>
        <v>0</v>
      </c>
      <c r="L451" s="82">
        <f t="shared" ca="1" si="49"/>
        <v>0</v>
      </c>
      <c r="M451" s="82">
        <f t="shared" ca="1" si="49"/>
        <v>0</v>
      </c>
      <c r="N451" s="82">
        <f t="shared" ca="1" si="49"/>
        <v>0</v>
      </c>
      <c r="O451" s="82">
        <f t="shared" ca="1" si="49"/>
        <v>4864.871259049859</v>
      </c>
      <c r="P451" s="82">
        <f t="shared" ca="1" si="49"/>
        <v>8382.7335459853421</v>
      </c>
      <c r="Q451" s="82">
        <f t="shared" ca="1" si="49"/>
        <v>7804.6043132553023</v>
      </c>
      <c r="R451" s="82">
        <f t="shared" ca="1" si="49"/>
        <v>15202.215039941359</v>
      </c>
      <c r="S451" s="82">
        <f t="shared" ca="1" si="49"/>
        <v>7757.8642349048187</v>
      </c>
      <c r="T451" s="82">
        <f t="shared" ca="1" si="49"/>
        <v>7821.819231170939</v>
      </c>
    </row>
    <row r="452" spans="4:20" outlineLevel="2"/>
    <row r="453" spans="4:20" outlineLevel="2">
      <c r="D453" s="37" t="s">
        <v>216</v>
      </c>
    </row>
    <row r="454" spans="4:20" ht="5.9" customHeight="1" outlineLevel="2"/>
    <row r="455" spans="4:20" ht="11.5" customHeight="1" outlineLevel="2">
      <c r="E455" s="247" t="str">
        <f>GC!C40</f>
        <v>Transmission pipelines</v>
      </c>
      <c r="F455" s="247"/>
      <c r="G455" s="247"/>
      <c r="H455" s="247"/>
      <c r="I455" s="247"/>
      <c r="J455" s="81">
        <f ca="1">J415*(1+INDEX(J$310:J$312,MATCH(Work_Codes!$I$177,$D$310:$D$312,0)))</f>
        <v>0</v>
      </c>
      <c r="K455" s="81">
        <f ca="1">K415*(1+INDEX(K$310:K$312,MATCH(Work_Codes!$I$177,$D$310:$D$312,0)))</f>
        <v>0</v>
      </c>
      <c r="L455" s="81">
        <f ca="1">L415*(1+INDEX(L$310:L$312,MATCH(Work_Codes!$I$177,$D$310:$D$312,0)))</f>
        <v>0</v>
      </c>
      <c r="M455" s="81">
        <f ca="1">M415*(1+INDEX(M$310:M$312,MATCH(Work_Codes!$I$177,$D$310:$D$312,0)))</f>
        <v>0</v>
      </c>
      <c r="N455" s="81">
        <f ca="1">N415*(1+INDEX(N$310:N$312,MATCH(Work_Codes!$I$177,$D$310:$D$312,0)))</f>
        <v>0</v>
      </c>
      <c r="O455" s="81">
        <f ca="1">O415*(1+INDEX(O$310:O$312,MATCH(Work_Codes!$I$177,$D$310:$D$312,0)))</f>
        <v>0</v>
      </c>
      <c r="P455" s="81">
        <f ca="1">P415*(1+INDEX(P$310:P$312,MATCH(Work_Codes!$I$177,$D$310:$D$312,0)))</f>
        <v>0</v>
      </c>
      <c r="Q455" s="81">
        <f ca="1">Q415*(1+INDEX(Q$310:Q$312,MATCH(Work_Codes!$I$177,$D$310:$D$312,0)))</f>
        <v>0</v>
      </c>
      <c r="R455" s="81">
        <f ca="1">R415*(1+INDEX(R$310:R$312,MATCH(Work_Codes!$I$177,$D$310:$D$312,0)))</f>
        <v>0</v>
      </c>
      <c r="S455" s="81">
        <f ca="1">S415*(1+INDEX(S$310:S$312,MATCH(Work_Codes!$I$177,$D$310:$D$312,0)))</f>
        <v>0</v>
      </c>
      <c r="T455" s="81">
        <f ca="1">T415*(1+INDEX(T$310:T$312,MATCH(Work_Codes!$I$177,$D$310:$D$312,0)))</f>
        <v>0</v>
      </c>
    </row>
    <row r="456" spans="4:20" ht="11.5" customHeight="1" outlineLevel="2">
      <c r="E456" s="247" t="str">
        <f>GC!C41</f>
        <v>Distribution pipelines</v>
      </c>
      <c r="F456" s="247"/>
      <c r="G456" s="247"/>
      <c r="H456" s="247"/>
      <c r="I456" s="247"/>
      <c r="J456" s="81">
        <f ca="1">J416*(1+INDEX(J$310:J$312,MATCH(Work_Codes!$I$177,$D$310:$D$312,0)))</f>
        <v>0</v>
      </c>
      <c r="K456" s="81">
        <f ca="1">K416*(1+INDEX(K$310:K$312,MATCH(Work_Codes!$I$177,$D$310:$D$312,0)))</f>
        <v>0</v>
      </c>
      <c r="L456" s="81">
        <f ca="1">L416*(1+INDEX(L$310:L$312,MATCH(Work_Codes!$I$177,$D$310:$D$312,0)))</f>
        <v>0</v>
      </c>
      <c r="M456" s="81">
        <f ca="1">M416*(1+INDEX(M$310:M$312,MATCH(Work_Codes!$I$177,$D$310:$D$312,0)))</f>
        <v>0</v>
      </c>
      <c r="N456" s="81">
        <f ca="1">N416*(1+INDEX(N$310:N$312,MATCH(Work_Codes!$I$177,$D$310:$D$312,0)))</f>
        <v>0</v>
      </c>
      <c r="O456" s="81">
        <f ca="1">O416*(1+INDEX(O$310:O$312,MATCH(Work_Codes!$I$177,$D$310:$D$312,0)))</f>
        <v>0</v>
      </c>
      <c r="P456" s="81">
        <f ca="1">P416*(1+INDEX(P$310:P$312,MATCH(Work_Codes!$I$177,$D$310:$D$312,0)))</f>
        <v>0</v>
      </c>
      <c r="Q456" s="81">
        <f ca="1">Q416*(1+INDEX(Q$310:Q$312,MATCH(Work_Codes!$I$177,$D$310:$D$312,0)))</f>
        <v>0</v>
      </c>
      <c r="R456" s="81">
        <f ca="1">R416*(1+INDEX(R$310:R$312,MATCH(Work_Codes!$I$177,$D$310:$D$312,0)))</f>
        <v>0</v>
      </c>
      <c r="S456" s="81">
        <f ca="1">S416*(1+INDEX(S$310:S$312,MATCH(Work_Codes!$I$177,$D$310:$D$312,0)))</f>
        <v>0</v>
      </c>
      <c r="T456" s="81">
        <f ca="1">T416*(1+INDEX(T$310:T$312,MATCH(Work_Codes!$I$177,$D$310:$D$312,0)))</f>
        <v>0</v>
      </c>
    </row>
    <row r="457" spans="4:20" ht="11.5" customHeight="1" outlineLevel="2">
      <c r="E457" s="247" t="str">
        <f>GC!C42</f>
        <v>Service pipes</v>
      </c>
      <c r="F457" s="247"/>
      <c r="G457" s="247"/>
      <c r="H457" s="247"/>
      <c r="I457" s="247"/>
      <c r="J457" s="81">
        <f ca="1">J417*(1+INDEX(J$310:J$312,MATCH(Work_Codes!$I$177,$D$310:$D$312,0)))</f>
        <v>0</v>
      </c>
      <c r="K457" s="81">
        <f ca="1">K417*(1+INDEX(K$310:K$312,MATCH(Work_Codes!$I$177,$D$310:$D$312,0)))</f>
        <v>0</v>
      </c>
      <c r="L457" s="81">
        <f ca="1">L417*(1+INDEX(L$310:L$312,MATCH(Work_Codes!$I$177,$D$310:$D$312,0)))</f>
        <v>0</v>
      </c>
      <c r="M457" s="81">
        <f ca="1">M417*(1+INDEX(M$310:M$312,MATCH(Work_Codes!$I$177,$D$310:$D$312,0)))</f>
        <v>0</v>
      </c>
      <c r="N457" s="81">
        <f ca="1">N417*(1+INDEX(N$310:N$312,MATCH(Work_Codes!$I$177,$D$310:$D$312,0)))</f>
        <v>0</v>
      </c>
      <c r="O457" s="81">
        <f ca="1">O417*(1+INDEX(O$310:O$312,MATCH(Work_Codes!$I$177,$D$310:$D$312,0)))</f>
        <v>0</v>
      </c>
      <c r="P457" s="81">
        <f ca="1">P417*(1+INDEX(P$310:P$312,MATCH(Work_Codes!$I$177,$D$310:$D$312,0)))</f>
        <v>0</v>
      </c>
      <c r="Q457" s="81">
        <f ca="1">Q417*(1+INDEX(Q$310:Q$312,MATCH(Work_Codes!$I$177,$D$310:$D$312,0)))</f>
        <v>0</v>
      </c>
      <c r="R457" s="81">
        <f ca="1">R417*(1+INDEX(R$310:R$312,MATCH(Work_Codes!$I$177,$D$310:$D$312,0)))</f>
        <v>0</v>
      </c>
      <c r="S457" s="81">
        <f ca="1">S417*(1+INDEX(S$310:S$312,MATCH(Work_Codes!$I$177,$D$310:$D$312,0)))</f>
        <v>0</v>
      </c>
      <c r="T457" s="81">
        <f ca="1">T417*(1+INDEX(T$310:T$312,MATCH(Work_Codes!$I$177,$D$310:$D$312,0)))</f>
        <v>0</v>
      </c>
    </row>
    <row r="458" spans="4:20" ht="11.5" customHeight="1" outlineLevel="2">
      <c r="E458" s="247" t="str">
        <f>GC!C43</f>
        <v>Cathodic protection</v>
      </c>
      <c r="F458" s="247"/>
      <c r="G458" s="247"/>
      <c r="H458" s="247"/>
      <c r="I458" s="247"/>
      <c r="J458" s="81">
        <f ca="1">J418*(1+INDEX(J$310:J$312,MATCH(Work_Codes!$I$177,$D$310:$D$312,0)))</f>
        <v>0</v>
      </c>
      <c r="K458" s="81">
        <f ca="1">K418*(1+INDEX(K$310:K$312,MATCH(Work_Codes!$I$177,$D$310:$D$312,0)))</f>
        <v>0</v>
      </c>
      <c r="L458" s="81">
        <f ca="1">L418*(1+INDEX(L$310:L$312,MATCH(Work_Codes!$I$177,$D$310:$D$312,0)))</f>
        <v>0</v>
      </c>
      <c r="M458" s="81">
        <f ca="1">M418*(1+INDEX(M$310:M$312,MATCH(Work_Codes!$I$177,$D$310:$D$312,0)))</f>
        <v>0</v>
      </c>
      <c r="N458" s="81">
        <f ca="1">N418*(1+INDEX(N$310:N$312,MATCH(Work_Codes!$I$177,$D$310:$D$312,0)))</f>
        <v>0</v>
      </c>
      <c r="O458" s="81">
        <f ca="1">O418*(1+INDEX(O$310:O$312,MATCH(Work_Codes!$I$177,$D$310:$D$312,0)))</f>
        <v>0</v>
      </c>
      <c r="P458" s="81">
        <f ca="1">P418*(1+INDEX(P$310:P$312,MATCH(Work_Codes!$I$177,$D$310:$D$312,0)))</f>
        <v>0</v>
      </c>
      <c r="Q458" s="81">
        <f ca="1">Q418*(1+INDEX(Q$310:Q$312,MATCH(Work_Codes!$I$177,$D$310:$D$312,0)))</f>
        <v>0</v>
      </c>
      <c r="R458" s="81">
        <f ca="1">R418*(1+INDEX(R$310:R$312,MATCH(Work_Codes!$I$177,$D$310:$D$312,0)))</f>
        <v>0</v>
      </c>
      <c r="S458" s="81">
        <f ca="1">S418*(1+INDEX(S$310:S$312,MATCH(Work_Codes!$I$177,$D$310:$D$312,0)))</f>
        <v>0</v>
      </c>
      <c r="T458" s="81">
        <f ca="1">T418*(1+INDEX(T$310:T$312,MATCH(Work_Codes!$I$177,$D$310:$D$312,0)))</f>
        <v>0</v>
      </c>
    </row>
    <row r="459" spans="4:20" ht="11.5" customHeight="1" outlineLevel="2">
      <c r="E459" s="247" t="str">
        <f>GC!C44</f>
        <v>Supply Regulators / Valve Stations</v>
      </c>
      <c r="F459" s="247"/>
      <c r="G459" s="247"/>
      <c r="H459" s="247"/>
      <c r="I459" s="247"/>
      <c r="J459" s="81">
        <f ca="1">J419*(1+INDEX(J$310:J$312,MATCH(Work_Codes!$I$177,$D$310:$D$312,0)))</f>
        <v>0</v>
      </c>
      <c r="K459" s="81">
        <f ca="1">K419*(1+INDEX(K$310:K$312,MATCH(Work_Codes!$I$177,$D$310:$D$312,0)))</f>
        <v>0</v>
      </c>
      <c r="L459" s="81">
        <f ca="1">L419*(1+INDEX(L$310:L$312,MATCH(Work_Codes!$I$177,$D$310:$D$312,0)))</f>
        <v>0</v>
      </c>
      <c r="M459" s="81">
        <f ca="1">M419*(1+INDEX(M$310:M$312,MATCH(Work_Codes!$I$177,$D$310:$D$312,0)))</f>
        <v>0</v>
      </c>
      <c r="N459" s="81">
        <f ca="1">N419*(1+INDEX(N$310:N$312,MATCH(Work_Codes!$I$177,$D$310:$D$312,0)))</f>
        <v>0</v>
      </c>
      <c r="O459" s="81">
        <f ca="1">O419*(1+INDEX(O$310:O$312,MATCH(Work_Codes!$I$177,$D$310:$D$312,0)))</f>
        <v>0</v>
      </c>
      <c r="P459" s="81">
        <f ca="1">P419*(1+INDEX(P$310:P$312,MATCH(Work_Codes!$I$177,$D$310:$D$312,0)))</f>
        <v>0</v>
      </c>
      <c r="Q459" s="81">
        <f ca="1">Q419*(1+INDEX(Q$310:Q$312,MATCH(Work_Codes!$I$177,$D$310:$D$312,0)))</f>
        <v>0</v>
      </c>
      <c r="R459" s="81">
        <f ca="1">R419*(1+INDEX(R$310:R$312,MATCH(Work_Codes!$I$177,$D$310:$D$312,0)))</f>
        <v>0</v>
      </c>
      <c r="S459" s="81">
        <f ca="1">S419*(1+INDEX(S$310:S$312,MATCH(Work_Codes!$I$177,$D$310:$D$312,0)))</f>
        <v>0</v>
      </c>
      <c r="T459" s="81">
        <f ca="1">T419*(1+INDEX(T$310:T$312,MATCH(Work_Codes!$I$177,$D$310:$D$312,0)))</f>
        <v>0</v>
      </c>
    </row>
    <row r="460" spans="4:20" ht="11.5" customHeight="1" outlineLevel="2">
      <c r="E460" s="247" t="str">
        <f>GC!C45</f>
        <v>Meters</v>
      </c>
      <c r="F460" s="247"/>
      <c r="G460" s="247"/>
      <c r="H460" s="247"/>
      <c r="I460" s="247"/>
      <c r="J460" s="81">
        <f ca="1">J420*(1+INDEX(J$310:J$312,MATCH(Work_Codes!$I$177,$D$310:$D$312,0)))</f>
        <v>0</v>
      </c>
      <c r="K460" s="81">
        <f ca="1">K420*(1+INDEX(K$310:K$312,MATCH(Work_Codes!$I$177,$D$310:$D$312,0)))</f>
        <v>0</v>
      </c>
      <c r="L460" s="81">
        <f ca="1">L420*(1+INDEX(L$310:L$312,MATCH(Work_Codes!$I$177,$D$310:$D$312,0)))</f>
        <v>0</v>
      </c>
      <c r="M460" s="81">
        <f ca="1">M420*(1+INDEX(M$310:M$312,MATCH(Work_Codes!$I$177,$D$310:$D$312,0)))</f>
        <v>0</v>
      </c>
      <c r="N460" s="81">
        <f ca="1">N420*(1+INDEX(N$310:N$312,MATCH(Work_Codes!$I$177,$D$310:$D$312,0)))</f>
        <v>0</v>
      </c>
      <c r="O460" s="81">
        <f ca="1">O420*(1+INDEX(O$310:O$312,MATCH(Work_Codes!$I$177,$D$310:$D$312,0)))</f>
        <v>151027.46536114672</v>
      </c>
      <c r="P460" s="81">
        <f ca="1">P420*(1+INDEX(P$310:P$312,MATCH(Work_Codes!$I$177,$D$310:$D$312,0)))</f>
        <v>321724.78570458514</v>
      </c>
      <c r="Q460" s="81">
        <f ca="1">Q420*(1+INDEX(Q$310:Q$312,MATCH(Work_Codes!$I$177,$D$310:$D$312,0)))</f>
        <v>307283.82205838594</v>
      </c>
      <c r="R460" s="81">
        <f ca="1">R420*(1+INDEX(R$310:R$312,MATCH(Work_Codes!$I$177,$D$310:$D$312,0)))</f>
        <v>580908.00347921706</v>
      </c>
      <c r="S460" s="81">
        <f ca="1">S420*(1+INDEX(S$310:S$312,MATCH(Work_Codes!$I$177,$D$310:$D$312,0)))</f>
        <v>279523.28175168217</v>
      </c>
      <c r="T460" s="81">
        <f ca="1">T420*(1+INDEX(T$310:T$312,MATCH(Work_Codes!$I$177,$D$310:$D$312,0)))</f>
        <v>269242.9542824385</v>
      </c>
    </row>
    <row r="461" spans="4:20" ht="11.5" customHeight="1" outlineLevel="2">
      <c r="E461" s="247" t="str">
        <f>GC!C46</f>
        <v>SCADA and remote control</v>
      </c>
      <c r="F461" s="247"/>
      <c r="G461" s="247"/>
      <c r="H461" s="247"/>
      <c r="I461" s="247"/>
      <c r="J461" s="81">
        <f ca="1">J421*(1+INDEX(J$310:J$312,MATCH(Work_Codes!$I$177,$D$310:$D$312,0)))</f>
        <v>0</v>
      </c>
      <c r="K461" s="81">
        <f ca="1">K421*(1+INDEX(K$310:K$312,MATCH(Work_Codes!$I$177,$D$310:$D$312,0)))</f>
        <v>0</v>
      </c>
      <c r="L461" s="81">
        <f ca="1">L421*(1+INDEX(L$310:L$312,MATCH(Work_Codes!$I$177,$D$310:$D$312,0)))</f>
        <v>0</v>
      </c>
      <c r="M461" s="81">
        <f ca="1">M421*(1+INDEX(M$310:M$312,MATCH(Work_Codes!$I$177,$D$310:$D$312,0)))</f>
        <v>0</v>
      </c>
      <c r="N461" s="81">
        <f ca="1">N421*(1+INDEX(N$310:N$312,MATCH(Work_Codes!$I$177,$D$310:$D$312,0)))</f>
        <v>0</v>
      </c>
      <c r="O461" s="81">
        <f ca="1">O421*(1+INDEX(O$310:O$312,MATCH(Work_Codes!$I$177,$D$310:$D$312,0)))</f>
        <v>0</v>
      </c>
      <c r="P461" s="81">
        <f ca="1">P421*(1+INDEX(P$310:P$312,MATCH(Work_Codes!$I$177,$D$310:$D$312,0)))</f>
        <v>0</v>
      </c>
      <c r="Q461" s="81">
        <f ca="1">Q421*(1+INDEX(Q$310:Q$312,MATCH(Work_Codes!$I$177,$D$310:$D$312,0)))</f>
        <v>0</v>
      </c>
      <c r="R461" s="81">
        <f ca="1">R421*(1+INDEX(R$310:R$312,MATCH(Work_Codes!$I$177,$D$310:$D$312,0)))</f>
        <v>0</v>
      </c>
      <c r="S461" s="81">
        <f ca="1">S421*(1+INDEX(S$310:S$312,MATCH(Work_Codes!$I$177,$D$310:$D$312,0)))</f>
        <v>0</v>
      </c>
      <c r="T461" s="81">
        <f ca="1">T421*(1+INDEX(T$310:T$312,MATCH(Work_Codes!$I$177,$D$310:$D$312,0)))</f>
        <v>0</v>
      </c>
    </row>
    <row r="462" spans="4:20" ht="11.5" customHeight="1" outlineLevel="2">
      <c r="E462" s="247" t="str">
        <f>GC!C47</f>
        <v>Buildings</v>
      </c>
      <c r="F462" s="247"/>
      <c r="G462" s="247"/>
      <c r="H462" s="247"/>
      <c r="I462" s="247"/>
      <c r="J462" s="81">
        <f ca="1">J422*(1+INDEX(J$310:J$312,MATCH(Work_Codes!$I$177,$D$310:$D$312,0)))</f>
        <v>0</v>
      </c>
      <c r="K462" s="81">
        <f ca="1">K422*(1+INDEX(K$310:K$312,MATCH(Work_Codes!$I$177,$D$310:$D$312,0)))</f>
        <v>0</v>
      </c>
      <c r="L462" s="81">
        <f ca="1">L422*(1+INDEX(L$310:L$312,MATCH(Work_Codes!$I$177,$D$310:$D$312,0)))</f>
        <v>0</v>
      </c>
      <c r="M462" s="81">
        <f ca="1">M422*(1+INDEX(M$310:M$312,MATCH(Work_Codes!$I$177,$D$310:$D$312,0)))</f>
        <v>0</v>
      </c>
      <c r="N462" s="81">
        <f ca="1">N422*(1+INDEX(N$310:N$312,MATCH(Work_Codes!$I$177,$D$310:$D$312,0)))</f>
        <v>0</v>
      </c>
      <c r="O462" s="81">
        <f ca="1">O422*(1+INDEX(O$310:O$312,MATCH(Work_Codes!$I$177,$D$310:$D$312,0)))</f>
        <v>0</v>
      </c>
      <c r="P462" s="81">
        <f ca="1">P422*(1+INDEX(P$310:P$312,MATCH(Work_Codes!$I$177,$D$310:$D$312,0)))</f>
        <v>0</v>
      </c>
      <c r="Q462" s="81">
        <f ca="1">Q422*(1+INDEX(Q$310:Q$312,MATCH(Work_Codes!$I$177,$D$310:$D$312,0)))</f>
        <v>0</v>
      </c>
      <c r="R462" s="81">
        <f ca="1">R422*(1+INDEX(R$310:R$312,MATCH(Work_Codes!$I$177,$D$310:$D$312,0)))</f>
        <v>0</v>
      </c>
      <c r="S462" s="81">
        <f ca="1">S422*(1+INDEX(S$310:S$312,MATCH(Work_Codes!$I$177,$D$310:$D$312,0)))</f>
        <v>0</v>
      </c>
      <c r="T462" s="81">
        <f ca="1">T422*(1+INDEX(T$310:T$312,MATCH(Work_Codes!$I$177,$D$310:$D$312,0)))</f>
        <v>0</v>
      </c>
    </row>
    <row r="463" spans="4:20" ht="11.5" customHeight="1" outlineLevel="2">
      <c r="E463" s="247" t="str">
        <f>GC!C48</f>
        <v>Other - IT</v>
      </c>
      <c r="F463" s="247"/>
      <c r="G463" s="247"/>
      <c r="H463" s="247"/>
      <c r="I463" s="247"/>
      <c r="J463" s="81">
        <f ca="1">J423*(1+INDEX(J$310:J$312,MATCH(Work_Codes!$I$177,$D$310:$D$312,0)))</f>
        <v>0</v>
      </c>
      <c r="K463" s="81">
        <f ca="1">K423*(1+INDEX(K$310:K$312,MATCH(Work_Codes!$I$177,$D$310:$D$312,0)))</f>
        <v>0</v>
      </c>
      <c r="L463" s="81">
        <f ca="1">L423*(1+INDEX(L$310:L$312,MATCH(Work_Codes!$I$177,$D$310:$D$312,0)))</f>
        <v>0</v>
      </c>
      <c r="M463" s="81">
        <f ca="1">M423*(1+INDEX(M$310:M$312,MATCH(Work_Codes!$I$177,$D$310:$D$312,0)))</f>
        <v>0</v>
      </c>
      <c r="N463" s="81">
        <f ca="1">N423*(1+INDEX(N$310:N$312,MATCH(Work_Codes!$I$177,$D$310:$D$312,0)))</f>
        <v>0</v>
      </c>
      <c r="O463" s="81">
        <f ca="1">O423*(1+INDEX(O$310:O$312,MATCH(Work_Codes!$I$177,$D$310:$D$312,0)))</f>
        <v>0</v>
      </c>
      <c r="P463" s="81">
        <f ca="1">P423*(1+INDEX(P$310:P$312,MATCH(Work_Codes!$I$177,$D$310:$D$312,0)))</f>
        <v>0</v>
      </c>
      <c r="Q463" s="81">
        <f ca="1">Q423*(1+INDEX(Q$310:Q$312,MATCH(Work_Codes!$I$177,$D$310:$D$312,0)))</f>
        <v>0</v>
      </c>
      <c r="R463" s="81">
        <f ca="1">R423*(1+INDEX(R$310:R$312,MATCH(Work_Codes!$I$177,$D$310:$D$312,0)))</f>
        <v>0</v>
      </c>
      <c r="S463" s="81">
        <f ca="1">S423*(1+INDEX(S$310:S$312,MATCH(Work_Codes!$I$177,$D$310:$D$312,0)))</f>
        <v>0</v>
      </c>
      <c r="T463" s="81">
        <f ca="1">T423*(1+INDEX(T$310:T$312,MATCH(Work_Codes!$I$177,$D$310:$D$312,0)))</f>
        <v>0</v>
      </c>
    </row>
    <row r="464" spans="4:20" ht="11.5" customHeight="1" outlineLevel="2">
      <c r="E464" s="247" t="str">
        <f>GC!C49</f>
        <v>Other - non IT</v>
      </c>
      <c r="F464" s="247"/>
      <c r="G464" s="247"/>
      <c r="H464" s="247"/>
      <c r="I464" s="247"/>
      <c r="J464" s="81">
        <f ca="1">J424*(1+INDEX(J$310:J$312,MATCH(Work_Codes!$I$177,$D$310:$D$312,0)))</f>
        <v>0</v>
      </c>
      <c r="K464" s="81">
        <f ca="1">K424*(1+INDEX(K$310:K$312,MATCH(Work_Codes!$I$177,$D$310:$D$312,0)))</f>
        <v>0</v>
      </c>
      <c r="L464" s="81">
        <f ca="1">L424*(1+INDEX(L$310:L$312,MATCH(Work_Codes!$I$177,$D$310:$D$312,0)))</f>
        <v>0</v>
      </c>
      <c r="M464" s="81">
        <f ca="1">M424*(1+INDEX(M$310:M$312,MATCH(Work_Codes!$I$177,$D$310:$D$312,0)))</f>
        <v>0</v>
      </c>
      <c r="N464" s="81">
        <f ca="1">N424*(1+INDEX(N$310:N$312,MATCH(Work_Codes!$I$177,$D$310:$D$312,0)))</f>
        <v>0</v>
      </c>
      <c r="O464" s="81">
        <f ca="1">O424*(1+INDEX(O$310:O$312,MATCH(Work_Codes!$I$177,$D$310:$D$312,0)))</f>
        <v>0</v>
      </c>
      <c r="P464" s="81">
        <f ca="1">P424*(1+INDEX(P$310:P$312,MATCH(Work_Codes!$I$177,$D$310:$D$312,0)))</f>
        <v>0</v>
      </c>
      <c r="Q464" s="81">
        <f ca="1">Q424*(1+INDEX(Q$310:Q$312,MATCH(Work_Codes!$I$177,$D$310:$D$312,0)))</f>
        <v>0</v>
      </c>
      <c r="R464" s="81">
        <f ca="1">R424*(1+INDEX(R$310:R$312,MATCH(Work_Codes!$I$177,$D$310:$D$312,0)))</f>
        <v>0</v>
      </c>
      <c r="S464" s="81">
        <f ca="1">S424*(1+INDEX(S$310:S$312,MATCH(Work_Codes!$I$177,$D$310:$D$312,0)))</f>
        <v>0</v>
      </c>
      <c r="T464" s="81">
        <f ca="1">T424*(1+INDEX(T$310:T$312,MATCH(Work_Codes!$I$177,$D$310:$D$312,0)))</f>
        <v>0</v>
      </c>
    </row>
    <row r="465" spans="4:20" ht="11.5" customHeight="1" outlineLevel="2">
      <c r="E465" s="247" t="str">
        <f>GC!C50</f>
        <v>Land</v>
      </c>
      <c r="F465" s="247"/>
      <c r="G465" s="247"/>
      <c r="H465" s="247"/>
      <c r="I465" s="247"/>
      <c r="J465" s="81">
        <f ca="1">J425*(1+INDEX(J$310:J$312,MATCH(Work_Codes!$I$177,$D$310:$D$312,0)))</f>
        <v>0</v>
      </c>
      <c r="K465" s="81">
        <f ca="1">K425*(1+INDEX(K$310:K$312,MATCH(Work_Codes!$I$177,$D$310:$D$312,0)))</f>
        <v>0</v>
      </c>
      <c r="L465" s="81">
        <f ca="1">L425*(1+INDEX(L$310:L$312,MATCH(Work_Codes!$I$177,$D$310:$D$312,0)))</f>
        <v>0</v>
      </c>
      <c r="M465" s="81">
        <f ca="1">M425*(1+INDEX(M$310:M$312,MATCH(Work_Codes!$I$177,$D$310:$D$312,0)))</f>
        <v>0</v>
      </c>
      <c r="N465" s="81">
        <f ca="1">N425*(1+INDEX(N$310:N$312,MATCH(Work_Codes!$I$177,$D$310:$D$312,0)))</f>
        <v>0</v>
      </c>
      <c r="O465" s="81">
        <f ca="1">O425*(1+INDEX(O$310:O$312,MATCH(Work_Codes!$I$177,$D$310:$D$312,0)))</f>
        <v>0</v>
      </c>
      <c r="P465" s="81">
        <f ca="1">P425*(1+INDEX(P$310:P$312,MATCH(Work_Codes!$I$177,$D$310:$D$312,0)))</f>
        <v>0</v>
      </c>
      <c r="Q465" s="81">
        <f ca="1">Q425*(1+INDEX(Q$310:Q$312,MATCH(Work_Codes!$I$177,$D$310:$D$312,0)))</f>
        <v>0</v>
      </c>
      <c r="R465" s="81">
        <f ca="1">R425*(1+INDEX(R$310:R$312,MATCH(Work_Codes!$I$177,$D$310:$D$312,0)))</f>
        <v>0</v>
      </c>
      <c r="S465" s="81">
        <f ca="1">S425*(1+INDEX(S$310:S$312,MATCH(Work_Codes!$I$177,$D$310:$D$312,0)))</f>
        <v>0</v>
      </c>
      <c r="T465" s="81">
        <f ca="1">T425*(1+INDEX(T$310:T$312,MATCH(Work_Codes!$I$177,$D$310:$D$312,0)))</f>
        <v>0</v>
      </c>
    </row>
    <row r="466" spans="4:20" outlineLevel="2">
      <c r="E466" s="247" t="str">
        <f>GC!C51</f>
        <v>Capitalised Leases</v>
      </c>
      <c r="F466" s="247"/>
      <c r="G466" s="247"/>
      <c r="H466" s="247"/>
      <c r="I466" s="247"/>
      <c r="J466" s="81">
        <f ca="1">J426*(1+INDEX(J$310:J$312,MATCH(Work_Codes!$I$177,$D$310:$D$312,0)))</f>
        <v>0</v>
      </c>
      <c r="K466" s="81">
        <f ca="1">K426*(1+INDEX(K$310:K$312,MATCH(Work_Codes!$I$177,$D$310:$D$312,0)))</f>
        <v>0</v>
      </c>
      <c r="L466" s="81">
        <f ca="1">L426*(1+INDEX(L$310:L$312,MATCH(Work_Codes!$I$177,$D$310:$D$312,0)))</f>
        <v>0</v>
      </c>
      <c r="M466" s="81">
        <f ca="1">M426*(1+INDEX(M$310:M$312,MATCH(Work_Codes!$I$177,$D$310:$D$312,0)))</f>
        <v>0</v>
      </c>
      <c r="N466" s="81">
        <f ca="1">N426*(1+INDEX(N$310:N$312,MATCH(Work_Codes!$I$177,$D$310:$D$312,0)))</f>
        <v>0</v>
      </c>
      <c r="O466" s="81">
        <f ca="1">O426*(1+INDEX(O$310:O$312,MATCH(Work_Codes!$I$177,$D$310:$D$312,0)))</f>
        <v>0</v>
      </c>
      <c r="P466" s="81">
        <f ca="1">P426*(1+INDEX(P$310:P$312,MATCH(Work_Codes!$I$177,$D$310:$D$312,0)))</f>
        <v>0</v>
      </c>
      <c r="Q466" s="81">
        <f ca="1">Q426*(1+INDEX(Q$310:Q$312,MATCH(Work_Codes!$I$177,$D$310:$D$312,0)))</f>
        <v>0</v>
      </c>
      <c r="R466" s="81">
        <f ca="1">R426*(1+INDEX(R$310:R$312,MATCH(Work_Codes!$I$177,$D$310:$D$312,0)))</f>
        <v>0</v>
      </c>
      <c r="S466" s="81">
        <f ca="1">S426*(1+INDEX(S$310:S$312,MATCH(Work_Codes!$I$177,$D$310:$D$312,0)))</f>
        <v>0</v>
      </c>
      <c r="T466" s="81">
        <f ca="1">T426*(1+INDEX(T$310:T$312,MATCH(Work_Codes!$I$177,$D$310:$D$312,0)))</f>
        <v>0</v>
      </c>
    </row>
    <row r="467" spans="4:20" outlineLevel="2">
      <c r="E467" s="247" t="str">
        <f>GC!C52</f>
        <v>Transmission pipelines - post 1998</v>
      </c>
      <c r="F467" s="247"/>
      <c r="G467" s="247"/>
      <c r="H467" s="247"/>
      <c r="I467" s="247"/>
      <c r="J467" s="81">
        <f ca="1">J427*(1+INDEX(J$310:J$312,MATCH(Work_Codes!$I$177,$D$310:$D$312,0)))</f>
        <v>0</v>
      </c>
      <c r="K467" s="81">
        <f ca="1">K427*(1+INDEX(K$310:K$312,MATCH(Work_Codes!$I$177,$D$310:$D$312,0)))</f>
        <v>0</v>
      </c>
      <c r="L467" s="81">
        <f ca="1">L427*(1+INDEX(L$310:L$312,MATCH(Work_Codes!$I$177,$D$310:$D$312,0)))</f>
        <v>0</v>
      </c>
      <c r="M467" s="81">
        <f ca="1">M427*(1+INDEX(M$310:M$312,MATCH(Work_Codes!$I$177,$D$310:$D$312,0)))</f>
        <v>0</v>
      </c>
      <c r="N467" s="81">
        <f ca="1">N427*(1+INDEX(N$310:N$312,MATCH(Work_Codes!$I$177,$D$310:$D$312,0)))</f>
        <v>0</v>
      </c>
      <c r="O467" s="81">
        <f ca="1">O427*(1+INDEX(O$310:O$312,MATCH(Work_Codes!$I$177,$D$310:$D$312,0)))</f>
        <v>0</v>
      </c>
      <c r="P467" s="81">
        <f ca="1">P427*(1+INDEX(P$310:P$312,MATCH(Work_Codes!$I$177,$D$310:$D$312,0)))</f>
        <v>0</v>
      </c>
      <c r="Q467" s="81">
        <f ca="1">Q427*(1+INDEX(Q$310:Q$312,MATCH(Work_Codes!$I$177,$D$310:$D$312,0)))</f>
        <v>0</v>
      </c>
      <c r="R467" s="81">
        <f ca="1">R427*(1+INDEX(R$310:R$312,MATCH(Work_Codes!$I$177,$D$310:$D$312,0)))</f>
        <v>0</v>
      </c>
      <c r="S467" s="81">
        <f ca="1">S427*(1+INDEX(S$310:S$312,MATCH(Work_Codes!$I$177,$D$310:$D$312,0)))</f>
        <v>0</v>
      </c>
      <c r="T467" s="81">
        <f ca="1">T427*(1+INDEX(T$310:T$312,MATCH(Work_Codes!$I$177,$D$310:$D$312,0)))</f>
        <v>0</v>
      </c>
    </row>
    <row r="468" spans="4:20" outlineLevel="2">
      <c r="E468" s="247" t="str">
        <f>GC!C53</f>
        <v>Distribution pipelines - post 1998</v>
      </c>
      <c r="F468" s="247"/>
      <c r="G468" s="247"/>
      <c r="H468" s="247"/>
      <c r="I468" s="247"/>
      <c r="J468" s="81">
        <f ca="1">J428*(1+INDEX(J$310:J$312,MATCH(Work_Codes!$I$177,$D$310:$D$312,0)))</f>
        <v>0</v>
      </c>
      <c r="K468" s="81">
        <f ca="1">K428*(1+INDEX(K$310:K$312,MATCH(Work_Codes!$I$177,$D$310:$D$312,0)))</f>
        <v>0</v>
      </c>
      <c r="L468" s="81">
        <f ca="1">L428*(1+INDEX(L$310:L$312,MATCH(Work_Codes!$I$177,$D$310:$D$312,0)))</f>
        <v>0</v>
      </c>
      <c r="M468" s="81">
        <f ca="1">M428*(1+INDEX(M$310:M$312,MATCH(Work_Codes!$I$177,$D$310:$D$312,0)))</f>
        <v>0</v>
      </c>
      <c r="N468" s="81">
        <f ca="1">N428*(1+INDEX(N$310:N$312,MATCH(Work_Codes!$I$177,$D$310:$D$312,0)))</f>
        <v>0</v>
      </c>
      <c r="O468" s="81">
        <f ca="1">O428*(1+INDEX(O$310:O$312,MATCH(Work_Codes!$I$177,$D$310:$D$312,0)))</f>
        <v>0</v>
      </c>
      <c r="P468" s="81">
        <f ca="1">P428*(1+INDEX(P$310:P$312,MATCH(Work_Codes!$I$177,$D$310:$D$312,0)))</f>
        <v>0</v>
      </c>
      <c r="Q468" s="81">
        <f ca="1">Q428*(1+INDEX(Q$310:Q$312,MATCH(Work_Codes!$I$177,$D$310:$D$312,0)))</f>
        <v>0</v>
      </c>
      <c r="R468" s="81">
        <f ca="1">R428*(1+INDEX(R$310:R$312,MATCH(Work_Codes!$I$177,$D$310:$D$312,0)))</f>
        <v>0</v>
      </c>
      <c r="S468" s="81">
        <f ca="1">S428*(1+INDEX(S$310:S$312,MATCH(Work_Codes!$I$177,$D$310:$D$312,0)))</f>
        <v>0</v>
      </c>
      <c r="T468" s="81">
        <f ca="1">T428*(1+INDEX(T$310:T$312,MATCH(Work_Codes!$I$177,$D$310:$D$312,0)))</f>
        <v>0</v>
      </c>
    </row>
    <row r="469" spans="4:20" outlineLevel="2">
      <c r="E469" s="247" t="str">
        <f>GC!C54</f>
        <v>Service pipes - post 1998</v>
      </c>
      <c r="F469" s="247"/>
      <c r="G469" s="247"/>
      <c r="H469" s="247"/>
      <c r="I469" s="247"/>
      <c r="J469" s="81">
        <f ca="1">J429*(1+INDEX(J$310:J$312,MATCH(Work_Codes!$I$177,$D$310:$D$312,0)))</f>
        <v>0</v>
      </c>
      <c r="K469" s="81">
        <f ca="1">K429*(1+INDEX(K$310:K$312,MATCH(Work_Codes!$I$177,$D$310:$D$312,0)))</f>
        <v>0</v>
      </c>
      <c r="L469" s="81">
        <f ca="1">L429*(1+INDEX(L$310:L$312,MATCH(Work_Codes!$I$177,$D$310:$D$312,0)))</f>
        <v>0</v>
      </c>
      <c r="M469" s="81">
        <f ca="1">M429*(1+INDEX(M$310:M$312,MATCH(Work_Codes!$I$177,$D$310:$D$312,0)))</f>
        <v>0</v>
      </c>
      <c r="N469" s="81">
        <f ca="1">N429*(1+INDEX(N$310:N$312,MATCH(Work_Codes!$I$177,$D$310:$D$312,0)))</f>
        <v>0</v>
      </c>
      <c r="O469" s="81">
        <f ca="1">O429*(1+INDEX(O$310:O$312,MATCH(Work_Codes!$I$177,$D$310:$D$312,0)))</f>
        <v>0</v>
      </c>
      <c r="P469" s="81">
        <f ca="1">P429*(1+INDEX(P$310:P$312,MATCH(Work_Codes!$I$177,$D$310:$D$312,0)))</f>
        <v>0</v>
      </c>
      <c r="Q469" s="81">
        <f ca="1">Q429*(1+INDEX(Q$310:Q$312,MATCH(Work_Codes!$I$177,$D$310:$D$312,0)))</f>
        <v>0</v>
      </c>
      <c r="R469" s="81">
        <f ca="1">R429*(1+INDEX(R$310:R$312,MATCH(Work_Codes!$I$177,$D$310:$D$312,0)))</f>
        <v>0</v>
      </c>
      <c r="S469" s="81">
        <f ca="1">S429*(1+INDEX(S$310:S$312,MATCH(Work_Codes!$I$177,$D$310:$D$312,0)))</f>
        <v>0</v>
      </c>
      <c r="T469" s="81">
        <f ca="1">T429*(1+INDEX(T$310:T$312,MATCH(Work_Codes!$I$177,$D$310:$D$312,0)))</f>
        <v>0</v>
      </c>
    </row>
    <row r="470" spans="4:20" outlineLevel="2">
      <c r="E470" s="247" t="str">
        <f>GC!C55</f>
        <v>Cathodic protection - post 1998</v>
      </c>
      <c r="F470" s="247"/>
      <c r="G470" s="247"/>
      <c r="H470" s="247"/>
      <c r="I470" s="247"/>
      <c r="J470" s="81">
        <f ca="1">J430*(1+INDEX(J$310:J$312,MATCH(Work_Codes!$I$177,$D$310:$D$312,0)))</f>
        <v>0</v>
      </c>
      <c r="K470" s="81">
        <f ca="1">K430*(1+INDEX(K$310:K$312,MATCH(Work_Codes!$I$177,$D$310:$D$312,0)))</f>
        <v>0</v>
      </c>
      <c r="L470" s="81">
        <f ca="1">L430*(1+INDEX(L$310:L$312,MATCH(Work_Codes!$I$177,$D$310:$D$312,0)))</f>
        <v>0</v>
      </c>
      <c r="M470" s="81">
        <f ca="1">M430*(1+INDEX(M$310:M$312,MATCH(Work_Codes!$I$177,$D$310:$D$312,0)))</f>
        <v>0</v>
      </c>
      <c r="N470" s="81">
        <f ca="1">N430*(1+INDEX(N$310:N$312,MATCH(Work_Codes!$I$177,$D$310:$D$312,0)))</f>
        <v>0</v>
      </c>
      <c r="O470" s="81">
        <f ca="1">O430*(1+INDEX(O$310:O$312,MATCH(Work_Codes!$I$177,$D$310:$D$312,0)))</f>
        <v>0</v>
      </c>
      <c r="P470" s="81">
        <f ca="1">P430*(1+INDEX(P$310:P$312,MATCH(Work_Codes!$I$177,$D$310:$D$312,0)))</f>
        <v>0</v>
      </c>
      <c r="Q470" s="81">
        <f ca="1">Q430*(1+INDEX(Q$310:Q$312,MATCH(Work_Codes!$I$177,$D$310:$D$312,0)))</f>
        <v>0</v>
      </c>
      <c r="R470" s="81">
        <f ca="1">R430*(1+INDEX(R$310:R$312,MATCH(Work_Codes!$I$177,$D$310:$D$312,0)))</f>
        <v>0</v>
      </c>
      <c r="S470" s="81">
        <f ca="1">S430*(1+INDEX(S$310:S$312,MATCH(Work_Codes!$I$177,$D$310:$D$312,0)))</f>
        <v>0</v>
      </c>
      <c r="T470" s="81">
        <f ca="1">T430*(1+INDEX(T$310:T$312,MATCH(Work_Codes!$I$177,$D$310:$D$312,0)))</f>
        <v>0</v>
      </c>
    </row>
    <row r="471" spans="4:20" ht="12" customHeight="1" outlineLevel="2">
      <c r="E471" s="249" t="str">
        <f>"Total "&amp;D453</f>
        <v>Total Direct Costs + Overheads</v>
      </c>
      <c r="F471" s="249"/>
      <c r="G471" s="249"/>
      <c r="H471" s="249"/>
      <c r="I471" s="249"/>
      <c r="J471" s="82">
        <f t="shared" ref="J471:T471" ca="1" si="50">SUM(J455:J470)</f>
        <v>0</v>
      </c>
      <c r="K471" s="82">
        <f t="shared" ca="1" si="50"/>
        <v>0</v>
      </c>
      <c r="L471" s="82">
        <f t="shared" ca="1" si="50"/>
        <v>0</v>
      </c>
      <c r="M471" s="82">
        <f t="shared" ca="1" si="50"/>
        <v>0</v>
      </c>
      <c r="N471" s="82">
        <f t="shared" ca="1" si="50"/>
        <v>0</v>
      </c>
      <c r="O471" s="82">
        <f t="shared" ca="1" si="50"/>
        <v>151027.46536114672</v>
      </c>
      <c r="P471" s="82">
        <f t="shared" ca="1" si="50"/>
        <v>321724.78570458514</v>
      </c>
      <c r="Q471" s="82">
        <f t="shared" ca="1" si="50"/>
        <v>307283.82205838594</v>
      </c>
      <c r="R471" s="82">
        <f t="shared" ca="1" si="50"/>
        <v>580908.00347921706</v>
      </c>
      <c r="S471" s="82">
        <f t="shared" ca="1" si="50"/>
        <v>279523.28175168217</v>
      </c>
      <c r="T471" s="82">
        <f t="shared" ca="1" si="50"/>
        <v>269242.9542824385</v>
      </c>
    </row>
    <row r="472" spans="4:20" outlineLevel="2"/>
    <row r="473" spans="4:20" outlineLevel="2">
      <c r="D473" s="37" t="s">
        <v>367</v>
      </c>
    </row>
    <row r="474" spans="4:20" ht="5.9" customHeight="1" outlineLevel="2"/>
    <row r="475" spans="4:20" outlineLevel="2">
      <c r="E475" s="247" t="str">
        <f>GC!C40</f>
        <v>Transmission pipelines</v>
      </c>
      <c r="F475" s="247"/>
      <c r="G475" s="247"/>
      <c r="H475" s="247"/>
      <c r="I475" s="247"/>
      <c r="J475" s="81">
        <f ca="1">SUMPRODUCT((Work_Codes!$N$180:$Y$180=$E475)*(Work_Codes!$N$193:$Y$193)*(J$355:J$355))</f>
        <v>0</v>
      </c>
      <c r="K475" s="81">
        <f ca="1">SUMPRODUCT((Work_Codes!$N$180:$Y$180=$E475)*(Work_Codes!$N$193:$Y$193)*(K$355:K$355))</f>
        <v>0</v>
      </c>
      <c r="L475" s="81">
        <f ca="1">SUMPRODUCT((Work_Codes!$N$180:$Y$180=$E475)*(Work_Codes!$N$193:$Y$193)*(L$355:L$355))</f>
        <v>0</v>
      </c>
      <c r="M475" s="81">
        <f ca="1">SUMPRODUCT((Work_Codes!$N$180:$Y$180=$E475)*(Work_Codes!$N$193:$Y$193)*(M$355:M$355))</f>
        <v>0</v>
      </c>
      <c r="N475" s="81">
        <f ca="1">SUMPRODUCT((Work_Codes!$N$180:$Y$180=$E475)*(Work_Codes!$N$193:$Y$193)*(N$355:N$355))</f>
        <v>0</v>
      </c>
      <c r="O475" s="81">
        <f ca="1">SUMPRODUCT((Work_Codes!$N$180:$Y$180=$E475)*(Work_Codes!$N$193:$Y$193)*(O$355:O$355))</f>
        <v>0</v>
      </c>
      <c r="P475" s="81">
        <f ca="1">SUMPRODUCT((Work_Codes!$N$180:$Y$180=$E475)*(Work_Codes!$N$193:$Y$193)*(P$355:P$355))</f>
        <v>0</v>
      </c>
      <c r="Q475" s="81">
        <f ca="1">SUMPRODUCT((Work_Codes!$N$180:$Y$180=$E475)*(Work_Codes!$N$193:$Y$193)*(Q$355:Q$355))</f>
        <v>0</v>
      </c>
      <c r="R475" s="81">
        <f ca="1">SUMPRODUCT((Work_Codes!$N$180:$Y$180=$E475)*(Work_Codes!$N$193:$Y$193)*(R$355:R$355))</f>
        <v>0</v>
      </c>
      <c r="S475" s="81">
        <f ca="1">SUMPRODUCT((Work_Codes!$N$180:$Y$180=$E475)*(Work_Codes!$N$193:$Y$193)*(S$355:S$355))</f>
        <v>0</v>
      </c>
      <c r="T475" s="81">
        <f ca="1">SUMPRODUCT((Work_Codes!$N$180:$Y$180=$E475)*(Work_Codes!$N$193:$Y$193)*(T$355:T$355))</f>
        <v>0</v>
      </c>
    </row>
    <row r="476" spans="4:20" outlineLevel="2">
      <c r="E476" s="247" t="str">
        <f>GC!C41</f>
        <v>Distribution pipelines</v>
      </c>
      <c r="F476" s="247"/>
      <c r="G476" s="247"/>
      <c r="H476" s="247"/>
      <c r="I476" s="247"/>
      <c r="J476" s="81">
        <f ca="1">SUMPRODUCT((Work_Codes!$N$180:$Y$180=$E476)*(Work_Codes!$N$193:$Y$193)*(J$355:J$355))</f>
        <v>0</v>
      </c>
      <c r="K476" s="81">
        <f ca="1">SUMPRODUCT((Work_Codes!$N$180:$Y$180=$E476)*(Work_Codes!$N$193:$Y$193)*(K$355:K$355))</f>
        <v>0</v>
      </c>
      <c r="L476" s="81">
        <f ca="1">SUMPRODUCT((Work_Codes!$N$180:$Y$180=$E476)*(Work_Codes!$N$193:$Y$193)*(L$355:L$355))</f>
        <v>0</v>
      </c>
      <c r="M476" s="81">
        <f ca="1">SUMPRODUCT((Work_Codes!$N$180:$Y$180=$E476)*(Work_Codes!$N$193:$Y$193)*(M$355:M$355))</f>
        <v>0</v>
      </c>
      <c r="N476" s="81">
        <f ca="1">SUMPRODUCT((Work_Codes!$N$180:$Y$180=$E476)*(Work_Codes!$N$193:$Y$193)*(N$355:N$355))</f>
        <v>0</v>
      </c>
      <c r="O476" s="81">
        <f ca="1">SUMPRODUCT((Work_Codes!$N$180:$Y$180=$E476)*(Work_Codes!$N$193:$Y$193)*(O$355:O$355))</f>
        <v>0</v>
      </c>
      <c r="P476" s="81">
        <f ca="1">SUMPRODUCT((Work_Codes!$N$180:$Y$180=$E476)*(Work_Codes!$N$193:$Y$193)*(P$355:P$355))</f>
        <v>0</v>
      </c>
      <c r="Q476" s="81">
        <f ca="1">SUMPRODUCT((Work_Codes!$N$180:$Y$180=$E476)*(Work_Codes!$N$193:$Y$193)*(Q$355:Q$355))</f>
        <v>0</v>
      </c>
      <c r="R476" s="81">
        <f ca="1">SUMPRODUCT((Work_Codes!$N$180:$Y$180=$E476)*(Work_Codes!$N$193:$Y$193)*(R$355:R$355))</f>
        <v>0</v>
      </c>
      <c r="S476" s="81">
        <f ca="1">SUMPRODUCT((Work_Codes!$N$180:$Y$180=$E476)*(Work_Codes!$N$193:$Y$193)*(S$355:S$355))</f>
        <v>0</v>
      </c>
      <c r="T476" s="81">
        <f ca="1">SUMPRODUCT((Work_Codes!$N$180:$Y$180=$E476)*(Work_Codes!$N$193:$Y$193)*(T$355:T$355))</f>
        <v>0</v>
      </c>
    </row>
    <row r="477" spans="4:20" outlineLevel="2">
      <c r="E477" s="247" t="str">
        <f>GC!C42</f>
        <v>Service pipes</v>
      </c>
      <c r="F477" s="247"/>
      <c r="G477" s="247"/>
      <c r="H477" s="247"/>
      <c r="I477" s="247"/>
      <c r="J477" s="81">
        <f ca="1">SUMPRODUCT((Work_Codes!$N$180:$Y$180=$E477)*(Work_Codes!$N$193:$Y$193)*(J$355:J$355))</f>
        <v>0</v>
      </c>
      <c r="K477" s="81">
        <f ca="1">SUMPRODUCT((Work_Codes!$N$180:$Y$180=$E477)*(Work_Codes!$N$193:$Y$193)*(K$355:K$355))</f>
        <v>0</v>
      </c>
      <c r="L477" s="81">
        <f ca="1">SUMPRODUCT((Work_Codes!$N$180:$Y$180=$E477)*(Work_Codes!$N$193:$Y$193)*(L$355:L$355))</f>
        <v>0</v>
      </c>
      <c r="M477" s="81">
        <f ca="1">SUMPRODUCT((Work_Codes!$N$180:$Y$180=$E477)*(Work_Codes!$N$193:$Y$193)*(M$355:M$355))</f>
        <v>0</v>
      </c>
      <c r="N477" s="81">
        <f ca="1">SUMPRODUCT((Work_Codes!$N$180:$Y$180=$E477)*(Work_Codes!$N$193:$Y$193)*(N$355:N$355))</f>
        <v>0</v>
      </c>
      <c r="O477" s="81">
        <f ca="1">SUMPRODUCT((Work_Codes!$N$180:$Y$180=$E477)*(Work_Codes!$N$193:$Y$193)*(O$355:O$355))</f>
        <v>0</v>
      </c>
      <c r="P477" s="81">
        <f ca="1">SUMPRODUCT((Work_Codes!$N$180:$Y$180=$E477)*(Work_Codes!$N$193:$Y$193)*(P$355:P$355))</f>
        <v>0</v>
      </c>
      <c r="Q477" s="81">
        <f ca="1">SUMPRODUCT((Work_Codes!$N$180:$Y$180=$E477)*(Work_Codes!$N$193:$Y$193)*(Q$355:Q$355))</f>
        <v>0</v>
      </c>
      <c r="R477" s="81">
        <f ca="1">SUMPRODUCT((Work_Codes!$N$180:$Y$180=$E477)*(Work_Codes!$N$193:$Y$193)*(R$355:R$355))</f>
        <v>0</v>
      </c>
      <c r="S477" s="81">
        <f ca="1">SUMPRODUCT((Work_Codes!$N$180:$Y$180=$E477)*(Work_Codes!$N$193:$Y$193)*(S$355:S$355))</f>
        <v>0</v>
      </c>
      <c r="T477" s="81">
        <f ca="1">SUMPRODUCT((Work_Codes!$N$180:$Y$180=$E477)*(Work_Codes!$N$193:$Y$193)*(T$355:T$355))</f>
        <v>0</v>
      </c>
    </row>
    <row r="478" spans="4:20" outlineLevel="2">
      <c r="E478" s="247" t="str">
        <f>GC!C43</f>
        <v>Cathodic protection</v>
      </c>
      <c r="F478" s="247"/>
      <c r="G478" s="247"/>
      <c r="H478" s="247"/>
      <c r="I478" s="247"/>
      <c r="J478" s="81">
        <f ca="1">SUMPRODUCT((Work_Codes!$N$180:$Y$180=$E478)*(Work_Codes!$N$193:$Y$193)*(J$355:J$355))</f>
        <v>0</v>
      </c>
      <c r="K478" s="81">
        <f ca="1">SUMPRODUCT((Work_Codes!$N$180:$Y$180=$E478)*(Work_Codes!$N$193:$Y$193)*(K$355:K$355))</f>
        <v>0</v>
      </c>
      <c r="L478" s="81">
        <f ca="1">SUMPRODUCT((Work_Codes!$N$180:$Y$180=$E478)*(Work_Codes!$N$193:$Y$193)*(L$355:L$355))</f>
        <v>0</v>
      </c>
      <c r="M478" s="81">
        <f ca="1">SUMPRODUCT((Work_Codes!$N$180:$Y$180=$E478)*(Work_Codes!$N$193:$Y$193)*(M$355:M$355))</f>
        <v>0</v>
      </c>
      <c r="N478" s="81">
        <f ca="1">SUMPRODUCT((Work_Codes!$N$180:$Y$180=$E478)*(Work_Codes!$N$193:$Y$193)*(N$355:N$355))</f>
        <v>0</v>
      </c>
      <c r="O478" s="81">
        <f ca="1">SUMPRODUCT((Work_Codes!$N$180:$Y$180=$E478)*(Work_Codes!$N$193:$Y$193)*(O$355:O$355))</f>
        <v>0</v>
      </c>
      <c r="P478" s="81">
        <f ca="1">SUMPRODUCT((Work_Codes!$N$180:$Y$180=$E478)*(Work_Codes!$N$193:$Y$193)*(P$355:P$355))</f>
        <v>0</v>
      </c>
      <c r="Q478" s="81">
        <f ca="1">SUMPRODUCT((Work_Codes!$N$180:$Y$180=$E478)*(Work_Codes!$N$193:$Y$193)*(Q$355:Q$355))</f>
        <v>0</v>
      </c>
      <c r="R478" s="81">
        <f ca="1">SUMPRODUCT((Work_Codes!$N$180:$Y$180=$E478)*(Work_Codes!$N$193:$Y$193)*(R$355:R$355))</f>
        <v>0</v>
      </c>
      <c r="S478" s="81">
        <f ca="1">SUMPRODUCT((Work_Codes!$N$180:$Y$180=$E478)*(Work_Codes!$N$193:$Y$193)*(S$355:S$355))</f>
        <v>0</v>
      </c>
      <c r="T478" s="81">
        <f ca="1">SUMPRODUCT((Work_Codes!$N$180:$Y$180=$E478)*(Work_Codes!$N$193:$Y$193)*(T$355:T$355))</f>
        <v>0</v>
      </c>
    </row>
    <row r="479" spans="4:20" outlineLevel="2">
      <c r="E479" s="247" t="str">
        <f>GC!C44</f>
        <v>Supply Regulators / Valve Stations</v>
      </c>
      <c r="F479" s="247"/>
      <c r="G479" s="247"/>
      <c r="H479" s="247"/>
      <c r="I479" s="247"/>
      <c r="J479" s="81">
        <f ca="1">SUMPRODUCT((Work_Codes!$N$180:$Y$180=$E479)*(Work_Codes!$N$193:$Y$193)*(J$355:J$355))</f>
        <v>0</v>
      </c>
      <c r="K479" s="81">
        <f ca="1">SUMPRODUCT((Work_Codes!$N$180:$Y$180=$E479)*(Work_Codes!$N$193:$Y$193)*(K$355:K$355))</f>
        <v>0</v>
      </c>
      <c r="L479" s="81">
        <f ca="1">SUMPRODUCT((Work_Codes!$N$180:$Y$180=$E479)*(Work_Codes!$N$193:$Y$193)*(L$355:L$355))</f>
        <v>0</v>
      </c>
      <c r="M479" s="81">
        <f ca="1">SUMPRODUCT((Work_Codes!$N$180:$Y$180=$E479)*(Work_Codes!$N$193:$Y$193)*(M$355:M$355))</f>
        <v>0</v>
      </c>
      <c r="N479" s="81">
        <f ca="1">SUMPRODUCT((Work_Codes!$N$180:$Y$180=$E479)*(Work_Codes!$N$193:$Y$193)*(N$355:N$355))</f>
        <v>0</v>
      </c>
      <c r="O479" s="81">
        <f ca="1">SUMPRODUCT((Work_Codes!$N$180:$Y$180=$E479)*(Work_Codes!$N$193:$Y$193)*(O$355:O$355))</f>
        <v>0</v>
      </c>
      <c r="P479" s="81">
        <f ca="1">SUMPRODUCT((Work_Codes!$N$180:$Y$180=$E479)*(Work_Codes!$N$193:$Y$193)*(P$355:P$355))</f>
        <v>0</v>
      </c>
      <c r="Q479" s="81">
        <f ca="1">SUMPRODUCT((Work_Codes!$N$180:$Y$180=$E479)*(Work_Codes!$N$193:$Y$193)*(Q$355:Q$355))</f>
        <v>0</v>
      </c>
      <c r="R479" s="81">
        <f ca="1">SUMPRODUCT((Work_Codes!$N$180:$Y$180=$E479)*(Work_Codes!$N$193:$Y$193)*(R$355:R$355))</f>
        <v>0</v>
      </c>
      <c r="S479" s="81">
        <f ca="1">SUMPRODUCT((Work_Codes!$N$180:$Y$180=$E479)*(Work_Codes!$N$193:$Y$193)*(S$355:S$355))</f>
        <v>0</v>
      </c>
      <c r="T479" s="81">
        <f ca="1">SUMPRODUCT((Work_Codes!$N$180:$Y$180=$E479)*(Work_Codes!$N$193:$Y$193)*(T$355:T$355))</f>
        <v>0</v>
      </c>
    </row>
    <row r="480" spans="4:20" outlineLevel="2">
      <c r="E480" s="247" t="str">
        <f>GC!C45</f>
        <v>Meters</v>
      </c>
      <c r="F480" s="247"/>
      <c r="G480" s="247"/>
      <c r="H480" s="247"/>
      <c r="I480" s="247"/>
      <c r="J480" s="81">
        <f ca="1">SUMPRODUCT((Work_Codes!$N$180:$Y$180=$E480)*(Work_Codes!$N$193:$Y$193)*(J$355:J$355))</f>
        <v>0</v>
      </c>
      <c r="K480" s="81">
        <f ca="1">SUMPRODUCT((Work_Codes!$N$180:$Y$180=$E480)*(Work_Codes!$N$193:$Y$193)*(K$355:K$355))</f>
        <v>0</v>
      </c>
      <c r="L480" s="81">
        <f ca="1">SUMPRODUCT((Work_Codes!$N$180:$Y$180=$E480)*(Work_Codes!$N$193:$Y$193)*(L$355:L$355))</f>
        <v>0</v>
      </c>
      <c r="M480" s="81">
        <f ca="1">SUMPRODUCT((Work_Codes!$N$180:$Y$180=$E480)*(Work_Codes!$N$193:$Y$193)*(M$355:M$355))</f>
        <v>0</v>
      </c>
      <c r="N480" s="81">
        <f ca="1">SUMPRODUCT((Work_Codes!$N$180:$Y$180=$E480)*(Work_Codes!$N$193:$Y$193)*(N$355:N$355))</f>
        <v>0</v>
      </c>
      <c r="O480" s="81">
        <f ca="1">SUMPRODUCT((Work_Codes!$N$180:$Y$180=$E480)*(Work_Codes!$N$193:$Y$193)*(O$355:O$355))</f>
        <v>0</v>
      </c>
      <c r="P480" s="81">
        <f ca="1">SUMPRODUCT((Work_Codes!$N$180:$Y$180=$E480)*(Work_Codes!$N$193:$Y$193)*(P$355:P$355))</f>
        <v>0</v>
      </c>
      <c r="Q480" s="81">
        <f ca="1">SUMPRODUCT((Work_Codes!$N$180:$Y$180=$E480)*(Work_Codes!$N$193:$Y$193)*(Q$355:Q$355))</f>
        <v>0</v>
      </c>
      <c r="R480" s="81">
        <f ca="1">SUMPRODUCT((Work_Codes!$N$180:$Y$180=$E480)*(Work_Codes!$N$193:$Y$193)*(R$355:R$355))</f>
        <v>0</v>
      </c>
      <c r="S480" s="81">
        <f ca="1">SUMPRODUCT((Work_Codes!$N$180:$Y$180=$E480)*(Work_Codes!$N$193:$Y$193)*(S$355:S$355))</f>
        <v>0</v>
      </c>
      <c r="T480" s="81">
        <f ca="1">SUMPRODUCT((Work_Codes!$N$180:$Y$180=$E480)*(Work_Codes!$N$193:$Y$193)*(T$355:T$355))</f>
        <v>0</v>
      </c>
    </row>
    <row r="481" spans="2:20" outlineLevel="2">
      <c r="E481" s="247" t="str">
        <f>GC!C46</f>
        <v>SCADA and remote control</v>
      </c>
      <c r="F481" s="247"/>
      <c r="G481" s="247"/>
      <c r="H481" s="247"/>
      <c r="I481" s="247"/>
      <c r="J481" s="81">
        <f ca="1">SUMPRODUCT((Work_Codes!$N$180:$Y$180=$E481)*(Work_Codes!$N$193:$Y$193)*(J$355:J$355))</f>
        <v>0</v>
      </c>
      <c r="K481" s="81">
        <f ca="1">SUMPRODUCT((Work_Codes!$N$180:$Y$180=$E481)*(Work_Codes!$N$193:$Y$193)*(K$355:K$355))</f>
        <v>0</v>
      </c>
      <c r="L481" s="81">
        <f ca="1">SUMPRODUCT((Work_Codes!$N$180:$Y$180=$E481)*(Work_Codes!$N$193:$Y$193)*(L$355:L$355))</f>
        <v>0</v>
      </c>
      <c r="M481" s="81">
        <f ca="1">SUMPRODUCT((Work_Codes!$N$180:$Y$180=$E481)*(Work_Codes!$N$193:$Y$193)*(M$355:M$355))</f>
        <v>0</v>
      </c>
      <c r="N481" s="81">
        <f ca="1">SUMPRODUCT((Work_Codes!$N$180:$Y$180=$E481)*(Work_Codes!$N$193:$Y$193)*(N$355:N$355))</f>
        <v>0</v>
      </c>
      <c r="O481" s="81">
        <f ca="1">SUMPRODUCT((Work_Codes!$N$180:$Y$180=$E481)*(Work_Codes!$N$193:$Y$193)*(O$355:O$355))</f>
        <v>0</v>
      </c>
      <c r="P481" s="81">
        <f ca="1">SUMPRODUCT((Work_Codes!$N$180:$Y$180=$E481)*(Work_Codes!$N$193:$Y$193)*(P$355:P$355))</f>
        <v>0</v>
      </c>
      <c r="Q481" s="81">
        <f ca="1">SUMPRODUCT((Work_Codes!$N$180:$Y$180=$E481)*(Work_Codes!$N$193:$Y$193)*(Q$355:Q$355))</f>
        <v>0</v>
      </c>
      <c r="R481" s="81">
        <f ca="1">SUMPRODUCT((Work_Codes!$N$180:$Y$180=$E481)*(Work_Codes!$N$193:$Y$193)*(R$355:R$355))</f>
        <v>0</v>
      </c>
      <c r="S481" s="81">
        <f ca="1">SUMPRODUCT((Work_Codes!$N$180:$Y$180=$E481)*(Work_Codes!$N$193:$Y$193)*(S$355:S$355))</f>
        <v>0</v>
      </c>
      <c r="T481" s="81">
        <f ca="1">SUMPRODUCT((Work_Codes!$N$180:$Y$180=$E481)*(Work_Codes!$N$193:$Y$193)*(T$355:T$355))</f>
        <v>0</v>
      </c>
    </row>
    <row r="482" spans="2:20" outlineLevel="2">
      <c r="E482" s="247" t="str">
        <f>GC!C47</f>
        <v>Buildings</v>
      </c>
      <c r="F482" s="247"/>
      <c r="G482" s="247"/>
      <c r="H482" s="247"/>
      <c r="I482" s="247"/>
      <c r="J482" s="81">
        <f ca="1">SUMPRODUCT((Work_Codes!$N$180:$Y$180=$E482)*(Work_Codes!$N$193:$Y$193)*(J$355:J$355))</f>
        <v>0</v>
      </c>
      <c r="K482" s="81">
        <f ca="1">SUMPRODUCT((Work_Codes!$N$180:$Y$180=$E482)*(Work_Codes!$N$193:$Y$193)*(K$355:K$355))</f>
        <v>0</v>
      </c>
      <c r="L482" s="81">
        <f ca="1">SUMPRODUCT((Work_Codes!$N$180:$Y$180=$E482)*(Work_Codes!$N$193:$Y$193)*(L$355:L$355))</f>
        <v>0</v>
      </c>
      <c r="M482" s="81">
        <f ca="1">SUMPRODUCT((Work_Codes!$N$180:$Y$180=$E482)*(Work_Codes!$N$193:$Y$193)*(M$355:M$355))</f>
        <v>0</v>
      </c>
      <c r="N482" s="81">
        <f ca="1">SUMPRODUCT((Work_Codes!$N$180:$Y$180=$E482)*(Work_Codes!$N$193:$Y$193)*(N$355:N$355))</f>
        <v>0</v>
      </c>
      <c r="O482" s="81">
        <f ca="1">SUMPRODUCT((Work_Codes!$N$180:$Y$180=$E482)*(Work_Codes!$N$193:$Y$193)*(O$355:O$355))</f>
        <v>0</v>
      </c>
      <c r="P482" s="81">
        <f ca="1">SUMPRODUCT((Work_Codes!$N$180:$Y$180=$E482)*(Work_Codes!$N$193:$Y$193)*(P$355:P$355))</f>
        <v>0</v>
      </c>
      <c r="Q482" s="81">
        <f ca="1">SUMPRODUCT((Work_Codes!$N$180:$Y$180=$E482)*(Work_Codes!$N$193:$Y$193)*(Q$355:Q$355))</f>
        <v>0</v>
      </c>
      <c r="R482" s="81">
        <f ca="1">SUMPRODUCT((Work_Codes!$N$180:$Y$180=$E482)*(Work_Codes!$N$193:$Y$193)*(R$355:R$355))</f>
        <v>0</v>
      </c>
      <c r="S482" s="81">
        <f ca="1">SUMPRODUCT((Work_Codes!$N$180:$Y$180=$E482)*(Work_Codes!$N$193:$Y$193)*(S$355:S$355))</f>
        <v>0</v>
      </c>
      <c r="T482" s="81">
        <f ca="1">SUMPRODUCT((Work_Codes!$N$180:$Y$180=$E482)*(Work_Codes!$N$193:$Y$193)*(T$355:T$355))</f>
        <v>0</v>
      </c>
    </row>
    <row r="483" spans="2:20" outlineLevel="2">
      <c r="E483" s="247" t="str">
        <f>GC!C48</f>
        <v>Other - IT</v>
      </c>
      <c r="F483" s="247"/>
      <c r="G483" s="247"/>
      <c r="H483" s="247"/>
      <c r="I483" s="247"/>
      <c r="J483" s="81">
        <f ca="1">SUMPRODUCT((Work_Codes!$N$180:$Y$180=$E483)*(Work_Codes!$N$193:$Y$193)*(J$355:J$355))</f>
        <v>0</v>
      </c>
      <c r="K483" s="81">
        <f ca="1">SUMPRODUCT((Work_Codes!$N$180:$Y$180=$E483)*(Work_Codes!$N$193:$Y$193)*(K$355:K$355))</f>
        <v>0</v>
      </c>
      <c r="L483" s="81">
        <f ca="1">SUMPRODUCT((Work_Codes!$N$180:$Y$180=$E483)*(Work_Codes!$N$193:$Y$193)*(L$355:L$355))</f>
        <v>0</v>
      </c>
      <c r="M483" s="81">
        <f ca="1">SUMPRODUCT((Work_Codes!$N$180:$Y$180=$E483)*(Work_Codes!$N$193:$Y$193)*(M$355:M$355))</f>
        <v>0</v>
      </c>
      <c r="N483" s="81">
        <f ca="1">SUMPRODUCT((Work_Codes!$N$180:$Y$180=$E483)*(Work_Codes!$N$193:$Y$193)*(N$355:N$355))</f>
        <v>0</v>
      </c>
      <c r="O483" s="81">
        <f ca="1">SUMPRODUCT((Work_Codes!$N$180:$Y$180=$E483)*(Work_Codes!$N$193:$Y$193)*(O$355:O$355))</f>
        <v>0</v>
      </c>
      <c r="P483" s="81">
        <f ca="1">SUMPRODUCT((Work_Codes!$N$180:$Y$180=$E483)*(Work_Codes!$N$193:$Y$193)*(P$355:P$355))</f>
        <v>0</v>
      </c>
      <c r="Q483" s="81">
        <f ca="1">SUMPRODUCT((Work_Codes!$N$180:$Y$180=$E483)*(Work_Codes!$N$193:$Y$193)*(Q$355:Q$355))</f>
        <v>0</v>
      </c>
      <c r="R483" s="81">
        <f ca="1">SUMPRODUCT((Work_Codes!$N$180:$Y$180=$E483)*(Work_Codes!$N$193:$Y$193)*(R$355:R$355))</f>
        <v>0</v>
      </c>
      <c r="S483" s="81">
        <f ca="1">SUMPRODUCT((Work_Codes!$N$180:$Y$180=$E483)*(Work_Codes!$N$193:$Y$193)*(S$355:S$355))</f>
        <v>0</v>
      </c>
      <c r="T483" s="81">
        <f ca="1">SUMPRODUCT((Work_Codes!$N$180:$Y$180=$E483)*(Work_Codes!$N$193:$Y$193)*(T$355:T$355))</f>
        <v>0</v>
      </c>
    </row>
    <row r="484" spans="2:20" outlineLevel="2">
      <c r="E484" s="247" t="str">
        <f>GC!C49</f>
        <v>Other - non IT</v>
      </c>
      <c r="F484" s="247"/>
      <c r="G484" s="247"/>
      <c r="H484" s="247"/>
      <c r="I484" s="247"/>
      <c r="J484" s="81">
        <f ca="1">SUMPRODUCT((Work_Codes!$N$180:$Y$180=$E484)*(Work_Codes!$N$193:$Y$193)*(J$355:J$355))</f>
        <v>0</v>
      </c>
      <c r="K484" s="81">
        <f ca="1">SUMPRODUCT((Work_Codes!$N$180:$Y$180=$E484)*(Work_Codes!$N$193:$Y$193)*(K$355:K$355))</f>
        <v>0</v>
      </c>
      <c r="L484" s="81">
        <f ca="1">SUMPRODUCT((Work_Codes!$N$180:$Y$180=$E484)*(Work_Codes!$N$193:$Y$193)*(L$355:L$355))</f>
        <v>0</v>
      </c>
      <c r="M484" s="81">
        <f ca="1">SUMPRODUCT((Work_Codes!$N$180:$Y$180=$E484)*(Work_Codes!$N$193:$Y$193)*(M$355:M$355))</f>
        <v>0</v>
      </c>
      <c r="N484" s="81">
        <f ca="1">SUMPRODUCT((Work_Codes!$N$180:$Y$180=$E484)*(Work_Codes!$N$193:$Y$193)*(N$355:N$355))</f>
        <v>0</v>
      </c>
      <c r="O484" s="81">
        <f ca="1">SUMPRODUCT((Work_Codes!$N$180:$Y$180=$E484)*(Work_Codes!$N$193:$Y$193)*(O$355:O$355))</f>
        <v>0</v>
      </c>
      <c r="P484" s="81">
        <f ca="1">SUMPRODUCT((Work_Codes!$N$180:$Y$180=$E484)*(Work_Codes!$N$193:$Y$193)*(P$355:P$355))</f>
        <v>0</v>
      </c>
      <c r="Q484" s="81">
        <f ca="1">SUMPRODUCT((Work_Codes!$N$180:$Y$180=$E484)*(Work_Codes!$N$193:$Y$193)*(Q$355:Q$355))</f>
        <v>0</v>
      </c>
      <c r="R484" s="81">
        <f ca="1">SUMPRODUCT((Work_Codes!$N$180:$Y$180=$E484)*(Work_Codes!$N$193:$Y$193)*(R$355:R$355))</f>
        <v>0</v>
      </c>
      <c r="S484" s="81">
        <f ca="1">SUMPRODUCT((Work_Codes!$N$180:$Y$180=$E484)*(Work_Codes!$N$193:$Y$193)*(S$355:S$355))</f>
        <v>0</v>
      </c>
      <c r="T484" s="81">
        <f ca="1">SUMPRODUCT((Work_Codes!$N$180:$Y$180=$E484)*(Work_Codes!$N$193:$Y$193)*(T$355:T$355))</f>
        <v>0</v>
      </c>
    </row>
    <row r="485" spans="2:20" outlineLevel="2">
      <c r="E485" s="247" t="str">
        <f>GC!C50</f>
        <v>Land</v>
      </c>
      <c r="F485" s="247"/>
      <c r="G485" s="247"/>
      <c r="H485" s="247"/>
      <c r="I485" s="247"/>
      <c r="J485" s="81">
        <f ca="1">SUMPRODUCT((Work_Codes!$N$180:$Y$180=$E485)*(Work_Codes!$N$193:$Y$193)*(J$355:J$355))</f>
        <v>0</v>
      </c>
      <c r="K485" s="81">
        <f ca="1">SUMPRODUCT((Work_Codes!$N$180:$Y$180=$E485)*(Work_Codes!$N$193:$Y$193)*(K$355:K$355))</f>
        <v>0</v>
      </c>
      <c r="L485" s="81">
        <f ca="1">SUMPRODUCT((Work_Codes!$N$180:$Y$180=$E485)*(Work_Codes!$N$193:$Y$193)*(L$355:L$355))</f>
        <v>0</v>
      </c>
      <c r="M485" s="81">
        <f ca="1">SUMPRODUCT((Work_Codes!$N$180:$Y$180=$E485)*(Work_Codes!$N$193:$Y$193)*(M$355:M$355))</f>
        <v>0</v>
      </c>
      <c r="N485" s="81">
        <f ca="1">SUMPRODUCT((Work_Codes!$N$180:$Y$180=$E485)*(Work_Codes!$N$193:$Y$193)*(N$355:N$355))</f>
        <v>0</v>
      </c>
      <c r="O485" s="81">
        <f ca="1">SUMPRODUCT((Work_Codes!$N$180:$Y$180=$E485)*(Work_Codes!$N$193:$Y$193)*(O$355:O$355))</f>
        <v>0</v>
      </c>
      <c r="P485" s="81">
        <f ca="1">SUMPRODUCT((Work_Codes!$N$180:$Y$180=$E485)*(Work_Codes!$N$193:$Y$193)*(P$355:P$355))</f>
        <v>0</v>
      </c>
      <c r="Q485" s="81">
        <f ca="1">SUMPRODUCT((Work_Codes!$N$180:$Y$180=$E485)*(Work_Codes!$N$193:$Y$193)*(Q$355:Q$355))</f>
        <v>0</v>
      </c>
      <c r="R485" s="81">
        <f ca="1">SUMPRODUCT((Work_Codes!$N$180:$Y$180=$E485)*(Work_Codes!$N$193:$Y$193)*(R$355:R$355))</f>
        <v>0</v>
      </c>
      <c r="S485" s="81">
        <f ca="1">SUMPRODUCT((Work_Codes!$N$180:$Y$180=$E485)*(Work_Codes!$N$193:$Y$193)*(S$355:S$355))</f>
        <v>0</v>
      </c>
      <c r="T485" s="81">
        <f ca="1">SUMPRODUCT((Work_Codes!$N$180:$Y$180=$E485)*(Work_Codes!$N$193:$Y$193)*(T$355:T$355))</f>
        <v>0</v>
      </c>
    </row>
    <row r="486" spans="2:20" outlineLevel="2">
      <c r="E486" s="247" t="str">
        <f>GC!C51</f>
        <v>Capitalised Leases</v>
      </c>
      <c r="F486" s="247"/>
      <c r="G486" s="247"/>
      <c r="H486" s="247"/>
      <c r="I486" s="247"/>
      <c r="J486" s="81">
        <f ca="1">SUMPRODUCT((Work_Codes!$N$180:$Y$180=$E486)*(Work_Codes!$N$193:$Y$193)*(J$355:J$355))</f>
        <v>0</v>
      </c>
      <c r="K486" s="81">
        <f ca="1">SUMPRODUCT((Work_Codes!$N$180:$Y$180=$E486)*(Work_Codes!$N$193:$Y$193)*(K$355:K$355))</f>
        <v>0</v>
      </c>
      <c r="L486" s="81">
        <f ca="1">SUMPRODUCT((Work_Codes!$N$180:$Y$180=$E486)*(Work_Codes!$N$193:$Y$193)*(L$355:L$355))</f>
        <v>0</v>
      </c>
      <c r="M486" s="81">
        <f ca="1">SUMPRODUCT((Work_Codes!$N$180:$Y$180=$E486)*(Work_Codes!$N$193:$Y$193)*(M$355:M$355))</f>
        <v>0</v>
      </c>
      <c r="N486" s="81">
        <f ca="1">SUMPRODUCT((Work_Codes!$N$180:$Y$180=$E486)*(Work_Codes!$N$193:$Y$193)*(N$355:N$355))</f>
        <v>0</v>
      </c>
      <c r="O486" s="81">
        <f ca="1">SUMPRODUCT((Work_Codes!$N$180:$Y$180=$E486)*(Work_Codes!$N$193:$Y$193)*(O$355:O$355))</f>
        <v>0</v>
      </c>
      <c r="P486" s="81">
        <f ca="1">SUMPRODUCT((Work_Codes!$N$180:$Y$180=$E486)*(Work_Codes!$N$193:$Y$193)*(P$355:P$355))</f>
        <v>0</v>
      </c>
      <c r="Q486" s="81">
        <f ca="1">SUMPRODUCT((Work_Codes!$N$180:$Y$180=$E486)*(Work_Codes!$N$193:$Y$193)*(Q$355:Q$355))</f>
        <v>0</v>
      </c>
      <c r="R486" s="81">
        <f ca="1">SUMPRODUCT((Work_Codes!$N$180:$Y$180=$E486)*(Work_Codes!$N$193:$Y$193)*(R$355:R$355))</f>
        <v>0</v>
      </c>
      <c r="S486" s="81">
        <f ca="1">SUMPRODUCT((Work_Codes!$N$180:$Y$180=$E486)*(Work_Codes!$N$193:$Y$193)*(S$355:S$355))</f>
        <v>0</v>
      </c>
      <c r="T486" s="81">
        <f ca="1">SUMPRODUCT((Work_Codes!$N$180:$Y$180=$E486)*(Work_Codes!$N$193:$Y$193)*(T$355:T$355))</f>
        <v>0</v>
      </c>
    </row>
    <row r="487" spans="2:20" outlineLevel="2">
      <c r="E487" s="247" t="str">
        <f>GC!C52</f>
        <v>Transmission pipelines - post 1998</v>
      </c>
      <c r="F487" s="247"/>
      <c r="G487" s="247"/>
      <c r="H487" s="247"/>
      <c r="I487" s="247"/>
      <c r="J487" s="81">
        <f ca="1">SUMPRODUCT((Work_Codes!$N$180:$Y$180=$E487)*(Work_Codes!$N$193:$Y$193)*(J$355:J$355))</f>
        <v>0</v>
      </c>
      <c r="K487" s="81">
        <f ca="1">SUMPRODUCT((Work_Codes!$N$180:$Y$180=$E487)*(Work_Codes!$N$193:$Y$193)*(K$355:K$355))</f>
        <v>0</v>
      </c>
      <c r="L487" s="81">
        <f ca="1">SUMPRODUCT((Work_Codes!$N$180:$Y$180=$E487)*(Work_Codes!$N$193:$Y$193)*(L$355:L$355))</f>
        <v>0</v>
      </c>
      <c r="M487" s="81">
        <f ca="1">SUMPRODUCT((Work_Codes!$N$180:$Y$180=$E487)*(Work_Codes!$N$193:$Y$193)*(M$355:M$355))</f>
        <v>0</v>
      </c>
      <c r="N487" s="81">
        <f ca="1">SUMPRODUCT((Work_Codes!$N$180:$Y$180=$E487)*(Work_Codes!$N$193:$Y$193)*(N$355:N$355))</f>
        <v>0</v>
      </c>
      <c r="O487" s="81">
        <f ca="1">SUMPRODUCT((Work_Codes!$N$180:$Y$180=$E487)*(Work_Codes!$N$193:$Y$193)*(O$355:O$355))</f>
        <v>0</v>
      </c>
      <c r="P487" s="81">
        <f ca="1">SUMPRODUCT((Work_Codes!$N$180:$Y$180=$E487)*(Work_Codes!$N$193:$Y$193)*(P$355:P$355))</f>
        <v>0</v>
      </c>
      <c r="Q487" s="81">
        <f ca="1">SUMPRODUCT((Work_Codes!$N$180:$Y$180=$E487)*(Work_Codes!$N$193:$Y$193)*(Q$355:Q$355))</f>
        <v>0</v>
      </c>
      <c r="R487" s="81">
        <f ca="1">SUMPRODUCT((Work_Codes!$N$180:$Y$180=$E487)*(Work_Codes!$N$193:$Y$193)*(R$355:R$355))</f>
        <v>0</v>
      </c>
      <c r="S487" s="81">
        <f ca="1">SUMPRODUCT((Work_Codes!$N$180:$Y$180=$E487)*(Work_Codes!$N$193:$Y$193)*(S$355:S$355))</f>
        <v>0</v>
      </c>
      <c r="T487" s="81">
        <f ca="1">SUMPRODUCT((Work_Codes!$N$180:$Y$180=$E487)*(Work_Codes!$N$193:$Y$193)*(T$355:T$355))</f>
        <v>0</v>
      </c>
    </row>
    <row r="488" spans="2:20" outlineLevel="2">
      <c r="E488" s="247" t="str">
        <f>GC!C53</f>
        <v>Distribution pipelines - post 1998</v>
      </c>
      <c r="F488" s="247"/>
      <c r="G488" s="247"/>
      <c r="H488" s="247"/>
      <c r="I488" s="247"/>
      <c r="J488" s="81">
        <f ca="1">SUMPRODUCT((Work_Codes!$N$180:$Y$180=$E488)*(Work_Codes!$N$193:$Y$193)*(J$355:J$355))</f>
        <v>0</v>
      </c>
      <c r="K488" s="81">
        <f ca="1">SUMPRODUCT((Work_Codes!$N$180:$Y$180=$E488)*(Work_Codes!$N$193:$Y$193)*(K$355:K$355))</f>
        <v>0</v>
      </c>
      <c r="L488" s="81">
        <f ca="1">SUMPRODUCT((Work_Codes!$N$180:$Y$180=$E488)*(Work_Codes!$N$193:$Y$193)*(L$355:L$355))</f>
        <v>0</v>
      </c>
      <c r="M488" s="81">
        <f ca="1">SUMPRODUCT((Work_Codes!$N$180:$Y$180=$E488)*(Work_Codes!$N$193:$Y$193)*(M$355:M$355))</f>
        <v>0</v>
      </c>
      <c r="N488" s="81">
        <f ca="1">SUMPRODUCT((Work_Codes!$N$180:$Y$180=$E488)*(Work_Codes!$N$193:$Y$193)*(N$355:N$355))</f>
        <v>0</v>
      </c>
      <c r="O488" s="81">
        <f ca="1">SUMPRODUCT((Work_Codes!$N$180:$Y$180=$E488)*(Work_Codes!$N$193:$Y$193)*(O$355:O$355))</f>
        <v>0</v>
      </c>
      <c r="P488" s="81">
        <f ca="1">SUMPRODUCT((Work_Codes!$N$180:$Y$180=$E488)*(Work_Codes!$N$193:$Y$193)*(P$355:P$355))</f>
        <v>0</v>
      </c>
      <c r="Q488" s="81">
        <f ca="1">SUMPRODUCT((Work_Codes!$N$180:$Y$180=$E488)*(Work_Codes!$N$193:$Y$193)*(Q$355:Q$355))</f>
        <v>0</v>
      </c>
      <c r="R488" s="81">
        <f ca="1">SUMPRODUCT((Work_Codes!$N$180:$Y$180=$E488)*(Work_Codes!$N$193:$Y$193)*(R$355:R$355))</f>
        <v>0</v>
      </c>
      <c r="S488" s="81">
        <f ca="1">SUMPRODUCT((Work_Codes!$N$180:$Y$180=$E488)*(Work_Codes!$N$193:$Y$193)*(S$355:S$355))</f>
        <v>0</v>
      </c>
      <c r="T488" s="81">
        <f ca="1">SUMPRODUCT((Work_Codes!$N$180:$Y$180=$E488)*(Work_Codes!$N$193:$Y$193)*(T$355:T$355))</f>
        <v>0</v>
      </c>
    </row>
    <row r="489" spans="2:20" outlineLevel="2">
      <c r="E489" s="247" t="str">
        <f>GC!C54</f>
        <v>Service pipes - post 1998</v>
      </c>
      <c r="F489" s="247"/>
      <c r="G489" s="247"/>
      <c r="H489" s="247"/>
      <c r="I489" s="247"/>
      <c r="J489" s="81">
        <f ca="1">SUMPRODUCT((Work_Codes!$N$180:$Y$180=$E489)*(Work_Codes!$N$193:$Y$193)*(J$355:J$355))</f>
        <v>0</v>
      </c>
      <c r="K489" s="81">
        <f ca="1">SUMPRODUCT((Work_Codes!$N$180:$Y$180=$E489)*(Work_Codes!$N$193:$Y$193)*(K$355:K$355))</f>
        <v>0</v>
      </c>
      <c r="L489" s="81">
        <f ca="1">SUMPRODUCT((Work_Codes!$N$180:$Y$180=$E489)*(Work_Codes!$N$193:$Y$193)*(L$355:L$355))</f>
        <v>0</v>
      </c>
      <c r="M489" s="81">
        <f ca="1">SUMPRODUCT((Work_Codes!$N$180:$Y$180=$E489)*(Work_Codes!$N$193:$Y$193)*(M$355:M$355))</f>
        <v>0</v>
      </c>
      <c r="N489" s="81">
        <f ca="1">SUMPRODUCT((Work_Codes!$N$180:$Y$180=$E489)*(Work_Codes!$N$193:$Y$193)*(N$355:N$355))</f>
        <v>0</v>
      </c>
      <c r="O489" s="81">
        <f ca="1">SUMPRODUCT((Work_Codes!$N$180:$Y$180=$E489)*(Work_Codes!$N$193:$Y$193)*(O$355:O$355))</f>
        <v>0</v>
      </c>
      <c r="P489" s="81">
        <f ca="1">SUMPRODUCT((Work_Codes!$N$180:$Y$180=$E489)*(Work_Codes!$N$193:$Y$193)*(P$355:P$355))</f>
        <v>0</v>
      </c>
      <c r="Q489" s="81">
        <f ca="1">SUMPRODUCT((Work_Codes!$N$180:$Y$180=$E489)*(Work_Codes!$N$193:$Y$193)*(Q$355:Q$355))</f>
        <v>0</v>
      </c>
      <c r="R489" s="81">
        <f ca="1">SUMPRODUCT((Work_Codes!$N$180:$Y$180=$E489)*(Work_Codes!$N$193:$Y$193)*(R$355:R$355))</f>
        <v>0</v>
      </c>
      <c r="S489" s="81">
        <f ca="1">SUMPRODUCT((Work_Codes!$N$180:$Y$180=$E489)*(Work_Codes!$N$193:$Y$193)*(S$355:S$355))</f>
        <v>0</v>
      </c>
      <c r="T489" s="81">
        <f ca="1">SUMPRODUCT((Work_Codes!$N$180:$Y$180=$E489)*(Work_Codes!$N$193:$Y$193)*(T$355:T$355))</f>
        <v>0</v>
      </c>
    </row>
    <row r="490" spans="2:20" outlineLevel="2">
      <c r="E490" s="247" t="str">
        <f>GC!C55</f>
        <v>Cathodic protection - post 1998</v>
      </c>
      <c r="F490" s="247"/>
      <c r="G490" s="247"/>
      <c r="H490" s="247"/>
      <c r="I490" s="247"/>
      <c r="J490" s="81">
        <f ca="1">SUMPRODUCT((Work_Codes!$N$180:$Y$180=$E490)*(Work_Codes!$N$193:$Y$193)*(J$355:J$355))</f>
        <v>0</v>
      </c>
      <c r="K490" s="81">
        <f ca="1">SUMPRODUCT((Work_Codes!$N$180:$Y$180=$E490)*(Work_Codes!$N$193:$Y$193)*(K$355:K$355))</f>
        <v>0</v>
      </c>
      <c r="L490" s="81">
        <f ca="1">SUMPRODUCT((Work_Codes!$N$180:$Y$180=$E490)*(Work_Codes!$N$193:$Y$193)*(L$355:L$355))</f>
        <v>0</v>
      </c>
      <c r="M490" s="81">
        <f ca="1">SUMPRODUCT((Work_Codes!$N$180:$Y$180=$E490)*(Work_Codes!$N$193:$Y$193)*(M$355:M$355))</f>
        <v>0</v>
      </c>
      <c r="N490" s="81">
        <f ca="1">SUMPRODUCT((Work_Codes!$N$180:$Y$180=$E490)*(Work_Codes!$N$193:$Y$193)*(N$355:N$355))</f>
        <v>0</v>
      </c>
      <c r="O490" s="81">
        <f ca="1">SUMPRODUCT((Work_Codes!$N$180:$Y$180=$E490)*(Work_Codes!$N$193:$Y$193)*(O$355:O$355))</f>
        <v>0</v>
      </c>
      <c r="P490" s="81">
        <f ca="1">SUMPRODUCT((Work_Codes!$N$180:$Y$180=$E490)*(Work_Codes!$N$193:$Y$193)*(P$355:P$355))</f>
        <v>0</v>
      </c>
      <c r="Q490" s="81">
        <f ca="1">SUMPRODUCT((Work_Codes!$N$180:$Y$180=$E490)*(Work_Codes!$N$193:$Y$193)*(Q$355:Q$355))</f>
        <v>0</v>
      </c>
      <c r="R490" s="81">
        <f ca="1">SUMPRODUCT((Work_Codes!$N$180:$Y$180=$E490)*(Work_Codes!$N$193:$Y$193)*(R$355:R$355))</f>
        <v>0</v>
      </c>
      <c r="S490" s="81">
        <f ca="1">SUMPRODUCT((Work_Codes!$N$180:$Y$180=$E490)*(Work_Codes!$N$193:$Y$193)*(S$355:S$355))</f>
        <v>0</v>
      </c>
      <c r="T490" s="81">
        <f ca="1">SUMPRODUCT((Work_Codes!$N$180:$Y$180=$E490)*(Work_Codes!$N$193:$Y$193)*(T$355:T$355))</f>
        <v>0</v>
      </c>
    </row>
    <row r="491" spans="2:20" outlineLevel="2">
      <c r="E491" s="249" t="str">
        <f>"Total "&amp;D473</f>
        <v>Total Customer Contributions</v>
      </c>
      <c r="F491" s="249"/>
      <c r="G491" s="249"/>
      <c r="H491" s="249"/>
      <c r="I491" s="249"/>
      <c r="J491" s="82">
        <f t="shared" ref="J491:T491" ca="1" si="51">SUM(J475:J490)</f>
        <v>0</v>
      </c>
      <c r="K491" s="82">
        <f t="shared" ca="1" si="51"/>
        <v>0</v>
      </c>
      <c r="L491" s="82">
        <f t="shared" ca="1" si="51"/>
        <v>0</v>
      </c>
      <c r="M491" s="82">
        <f t="shared" ca="1" si="51"/>
        <v>0</v>
      </c>
      <c r="N491" s="82">
        <f t="shared" ca="1" si="51"/>
        <v>0</v>
      </c>
      <c r="O491" s="82">
        <f t="shared" ca="1" si="51"/>
        <v>0</v>
      </c>
      <c r="P491" s="82">
        <f t="shared" ca="1" si="51"/>
        <v>0</v>
      </c>
      <c r="Q491" s="82">
        <f t="shared" ca="1" si="51"/>
        <v>0</v>
      </c>
      <c r="R491" s="82">
        <f t="shared" ca="1" si="51"/>
        <v>0</v>
      </c>
      <c r="S491" s="82">
        <f t="shared" ca="1" si="51"/>
        <v>0</v>
      </c>
      <c r="T491" s="82">
        <f t="shared" ca="1" si="51"/>
        <v>0</v>
      </c>
    </row>
    <row r="492" spans="2:20" outlineLevel="1">
      <c r="B492" s="12"/>
      <c r="C492" s="12"/>
      <c r="D492" s="12"/>
      <c r="E492" s="12"/>
      <c r="F492" s="12"/>
      <c r="G492" s="12"/>
      <c r="H492" s="12"/>
      <c r="I492" s="12"/>
      <c r="J492" s="12"/>
      <c r="K492" s="12"/>
      <c r="L492" s="12"/>
      <c r="M492" s="12"/>
      <c r="N492" s="12"/>
      <c r="O492" s="12"/>
      <c r="P492" s="12"/>
      <c r="Q492" s="12"/>
      <c r="R492" s="12"/>
      <c r="S492" s="12"/>
      <c r="T492" s="12"/>
    </row>
    <row r="493" spans="2:20" outlineLevel="1"/>
    <row r="494" spans="2:20" outlineLevel="1">
      <c r="C494" s="37" t="s">
        <v>196</v>
      </c>
    </row>
    <row r="495" spans="2:20" ht="5.9" customHeight="1" outlineLevel="2"/>
    <row r="496" spans="2:20" outlineLevel="2">
      <c r="D496" s="37" t="s">
        <v>215</v>
      </c>
    </row>
    <row r="497" spans="5:20" ht="5.9" customHeight="1" outlineLevel="2"/>
    <row r="498" spans="5:20" ht="12" customHeight="1" outlineLevel="2">
      <c r="E498" s="247" t="str">
        <f>GC!C60</f>
        <v>Mains replacement</v>
      </c>
      <c r="F498" s="247"/>
      <c r="G498" s="247"/>
      <c r="H498" s="247"/>
      <c r="I498" s="247"/>
      <c r="J498" s="81">
        <f ca="1">SUMPRODUCT((Work_Codes!$AC$180:$AO$180=$E498)*(Work_Codes!$AC$183:$AO$189)*(J$400:J$406))</f>
        <v>0</v>
      </c>
      <c r="K498" s="81">
        <f ca="1">SUMPRODUCT((Work_Codes!$AC$180:$AO$180=$E498)*(Work_Codes!$AC$183:$AO$189)*(K$400:K$406))</f>
        <v>0</v>
      </c>
      <c r="L498" s="81">
        <f ca="1">SUMPRODUCT((Work_Codes!$AC$180:$AO$180=$E498)*(Work_Codes!$AC$183:$AO$189)*(L$400:L$406))</f>
        <v>0</v>
      </c>
      <c r="M498" s="81">
        <f ca="1">SUMPRODUCT((Work_Codes!$AC$180:$AO$180=$E498)*(Work_Codes!$AC$183:$AO$189)*(M$400:M$406))</f>
        <v>0</v>
      </c>
      <c r="N498" s="81">
        <f ca="1">SUMPRODUCT((Work_Codes!$AC$180:$AO$180=$E498)*(Work_Codes!$AC$183:$AO$189)*(N$400:N$406))</f>
        <v>0</v>
      </c>
      <c r="O498" s="81">
        <f ca="1">SUMPRODUCT((Work_Codes!$AC$180:$AO$180=$E498)*(Work_Codes!$AC$183:$AO$189)*(O$400:O$406))</f>
        <v>0</v>
      </c>
      <c r="P498" s="81">
        <f ca="1">SUMPRODUCT((Work_Codes!$AC$180:$AO$180=$E498)*(Work_Codes!$AC$183:$AO$189)*(P$400:P$406))</f>
        <v>0</v>
      </c>
      <c r="Q498" s="81">
        <f ca="1">SUMPRODUCT((Work_Codes!$AC$180:$AO$180=$E498)*(Work_Codes!$AC$183:$AO$189)*(Q$400:Q$406))</f>
        <v>0</v>
      </c>
      <c r="R498" s="81">
        <f ca="1">SUMPRODUCT((Work_Codes!$AC$180:$AO$180=$E498)*(Work_Codes!$AC$183:$AO$189)*(R$400:R$406))</f>
        <v>0</v>
      </c>
      <c r="S498" s="81">
        <f ca="1">SUMPRODUCT((Work_Codes!$AC$180:$AO$180=$E498)*(Work_Codes!$AC$183:$AO$189)*(S$400:S$406))</f>
        <v>0</v>
      </c>
      <c r="T498" s="81">
        <f ca="1">SUMPRODUCT((Work_Codes!$AC$180:$AO$180=$E498)*(Work_Codes!$AC$183:$AO$189)*(T$400:T$406))</f>
        <v>0</v>
      </c>
    </row>
    <row r="499" spans="5:20" ht="12" customHeight="1" outlineLevel="2">
      <c r="E499" s="247" t="str">
        <f>GC!C61</f>
        <v>Residential new customer connections</v>
      </c>
      <c r="F499" s="247"/>
      <c r="G499" s="247"/>
      <c r="H499" s="247"/>
      <c r="I499" s="247"/>
      <c r="J499" s="81">
        <f ca="1">SUMPRODUCT((Work_Codes!$AC$180:$AO$180=$E499)*(Work_Codes!$AC$183:$AO$189)*(J$400:J$406))</f>
        <v>0</v>
      </c>
      <c r="K499" s="81">
        <f ca="1">SUMPRODUCT((Work_Codes!$AC$180:$AO$180=$E499)*(Work_Codes!$AC$183:$AO$189)*(K$400:K$406))</f>
        <v>0</v>
      </c>
      <c r="L499" s="81">
        <f ca="1">SUMPRODUCT((Work_Codes!$AC$180:$AO$180=$E499)*(Work_Codes!$AC$183:$AO$189)*(L$400:L$406))</f>
        <v>0</v>
      </c>
      <c r="M499" s="81">
        <f ca="1">SUMPRODUCT((Work_Codes!$AC$180:$AO$180=$E499)*(Work_Codes!$AC$183:$AO$189)*(M$400:M$406))</f>
        <v>0</v>
      </c>
      <c r="N499" s="81">
        <f ca="1">SUMPRODUCT((Work_Codes!$AC$180:$AO$180=$E499)*(Work_Codes!$AC$183:$AO$189)*(N$400:N$406))</f>
        <v>0</v>
      </c>
      <c r="O499" s="81">
        <f ca="1">SUMPRODUCT((Work_Codes!$AC$180:$AO$180=$E499)*(Work_Codes!$AC$183:$AO$189)*(O$400:O$406))</f>
        <v>0</v>
      </c>
      <c r="P499" s="81">
        <f ca="1">SUMPRODUCT((Work_Codes!$AC$180:$AO$180=$E499)*(Work_Codes!$AC$183:$AO$189)*(P$400:P$406))</f>
        <v>0</v>
      </c>
      <c r="Q499" s="81">
        <f ca="1">SUMPRODUCT((Work_Codes!$AC$180:$AO$180=$E499)*(Work_Codes!$AC$183:$AO$189)*(Q$400:Q$406))</f>
        <v>0</v>
      </c>
      <c r="R499" s="81">
        <f ca="1">SUMPRODUCT((Work_Codes!$AC$180:$AO$180=$E499)*(Work_Codes!$AC$183:$AO$189)*(R$400:R$406))</f>
        <v>0</v>
      </c>
      <c r="S499" s="81">
        <f ca="1">SUMPRODUCT((Work_Codes!$AC$180:$AO$180=$E499)*(Work_Codes!$AC$183:$AO$189)*(S$400:S$406))</f>
        <v>0</v>
      </c>
      <c r="T499" s="81">
        <f ca="1">SUMPRODUCT((Work_Codes!$AC$180:$AO$180=$E499)*(Work_Codes!$AC$183:$AO$189)*(T$400:T$406))</f>
        <v>0</v>
      </c>
    </row>
    <row r="500" spans="5:20" ht="12" customHeight="1" outlineLevel="2">
      <c r="E500" s="247" t="str">
        <f>GC!C62</f>
        <v>Commercial and industrial new customer connections</v>
      </c>
      <c r="F500" s="247"/>
      <c r="G500" s="247"/>
      <c r="H500" s="247"/>
      <c r="I500" s="247"/>
      <c r="J500" s="81">
        <f ca="1">SUMPRODUCT((Work_Codes!$AC$180:$AO$180=$E500)*(Work_Codes!$AC$183:$AO$189)*(J$400:J$406))</f>
        <v>0</v>
      </c>
      <c r="K500" s="81">
        <f ca="1">SUMPRODUCT((Work_Codes!$AC$180:$AO$180=$E500)*(Work_Codes!$AC$183:$AO$189)*(K$400:K$406))</f>
        <v>0</v>
      </c>
      <c r="L500" s="81">
        <f ca="1">SUMPRODUCT((Work_Codes!$AC$180:$AO$180=$E500)*(Work_Codes!$AC$183:$AO$189)*(L$400:L$406))</f>
        <v>0</v>
      </c>
      <c r="M500" s="81">
        <f ca="1">SUMPRODUCT((Work_Codes!$AC$180:$AO$180=$E500)*(Work_Codes!$AC$183:$AO$189)*(M$400:M$406))</f>
        <v>0</v>
      </c>
      <c r="N500" s="81">
        <f ca="1">SUMPRODUCT((Work_Codes!$AC$180:$AO$180=$E500)*(Work_Codes!$AC$183:$AO$189)*(N$400:N$406))</f>
        <v>0</v>
      </c>
      <c r="O500" s="81">
        <f ca="1">SUMPRODUCT((Work_Codes!$AC$180:$AO$180=$E500)*(Work_Codes!$AC$183:$AO$189)*(O$400:O$406))</f>
        <v>0</v>
      </c>
      <c r="P500" s="81">
        <f ca="1">SUMPRODUCT((Work_Codes!$AC$180:$AO$180=$E500)*(Work_Codes!$AC$183:$AO$189)*(P$400:P$406))</f>
        <v>0</v>
      </c>
      <c r="Q500" s="81">
        <f ca="1">SUMPRODUCT((Work_Codes!$AC$180:$AO$180=$E500)*(Work_Codes!$AC$183:$AO$189)*(Q$400:Q$406))</f>
        <v>0</v>
      </c>
      <c r="R500" s="81">
        <f ca="1">SUMPRODUCT((Work_Codes!$AC$180:$AO$180=$E500)*(Work_Codes!$AC$183:$AO$189)*(R$400:R$406))</f>
        <v>0</v>
      </c>
      <c r="S500" s="81">
        <f ca="1">SUMPRODUCT((Work_Codes!$AC$180:$AO$180=$E500)*(Work_Codes!$AC$183:$AO$189)*(S$400:S$406))</f>
        <v>0</v>
      </c>
      <c r="T500" s="81">
        <f ca="1">SUMPRODUCT((Work_Codes!$AC$180:$AO$180=$E500)*(Work_Codes!$AC$183:$AO$189)*(T$400:T$406))</f>
        <v>0</v>
      </c>
    </row>
    <row r="501" spans="5:20" ht="12" customHeight="1" outlineLevel="2">
      <c r="E501" s="247" t="str">
        <f>GC!C63</f>
        <v>Residential meter replacement</v>
      </c>
      <c r="F501" s="247"/>
      <c r="G501" s="247"/>
      <c r="H501" s="247"/>
      <c r="I501" s="247"/>
      <c r="J501" s="81">
        <f ca="1">SUMPRODUCT((Work_Codes!$AC$180:$AO$180=$E501)*(Work_Codes!$AC$183:$AO$189)*(J$400:J$406))</f>
        <v>0</v>
      </c>
      <c r="K501" s="81">
        <f ca="1">SUMPRODUCT((Work_Codes!$AC$180:$AO$180=$E501)*(Work_Codes!$AC$183:$AO$189)*(K$400:K$406))</f>
        <v>0</v>
      </c>
      <c r="L501" s="81">
        <f ca="1">SUMPRODUCT((Work_Codes!$AC$180:$AO$180=$E501)*(Work_Codes!$AC$183:$AO$189)*(L$400:L$406))</f>
        <v>0</v>
      </c>
      <c r="M501" s="81">
        <f ca="1">SUMPRODUCT((Work_Codes!$AC$180:$AO$180=$E501)*(Work_Codes!$AC$183:$AO$189)*(M$400:M$406))</f>
        <v>0</v>
      </c>
      <c r="N501" s="81">
        <f ca="1">SUMPRODUCT((Work_Codes!$AC$180:$AO$180=$E501)*(Work_Codes!$AC$183:$AO$189)*(N$400:N$406))</f>
        <v>0</v>
      </c>
      <c r="O501" s="81">
        <f ca="1">SUMPRODUCT((Work_Codes!$AC$180:$AO$180=$E501)*(Work_Codes!$AC$183:$AO$189)*(O$400:O$406))</f>
        <v>0</v>
      </c>
      <c r="P501" s="81">
        <f ca="1">SUMPRODUCT((Work_Codes!$AC$180:$AO$180=$E501)*(Work_Codes!$AC$183:$AO$189)*(P$400:P$406))</f>
        <v>0</v>
      </c>
      <c r="Q501" s="81">
        <f ca="1">SUMPRODUCT((Work_Codes!$AC$180:$AO$180=$E501)*(Work_Codes!$AC$183:$AO$189)*(Q$400:Q$406))</f>
        <v>0</v>
      </c>
      <c r="R501" s="81">
        <f ca="1">SUMPRODUCT((Work_Codes!$AC$180:$AO$180=$E501)*(Work_Codes!$AC$183:$AO$189)*(R$400:R$406))</f>
        <v>0</v>
      </c>
      <c r="S501" s="81">
        <f ca="1">SUMPRODUCT((Work_Codes!$AC$180:$AO$180=$E501)*(Work_Codes!$AC$183:$AO$189)*(S$400:S$406))</f>
        <v>0</v>
      </c>
      <c r="T501" s="81">
        <f ca="1">SUMPRODUCT((Work_Codes!$AC$180:$AO$180=$E501)*(Work_Codes!$AC$183:$AO$189)*(T$400:T$406))</f>
        <v>0</v>
      </c>
    </row>
    <row r="502" spans="5:20" ht="12" customHeight="1" outlineLevel="2">
      <c r="E502" s="247" t="str">
        <f>GC!C64</f>
        <v>Commercial and industrial meter replacement</v>
      </c>
      <c r="F502" s="247"/>
      <c r="G502" s="247"/>
      <c r="H502" s="247"/>
      <c r="I502" s="247"/>
      <c r="J502" s="81">
        <f ca="1">SUMPRODUCT((Work_Codes!$AC$180:$AO$180=$E502)*(Work_Codes!$AC$183:$AO$189)*(J$400:J$406))</f>
        <v>0</v>
      </c>
      <c r="K502" s="81">
        <f ca="1">SUMPRODUCT((Work_Codes!$AC$180:$AO$180=$E502)*(Work_Codes!$AC$183:$AO$189)*(K$400:K$406))</f>
        <v>0</v>
      </c>
      <c r="L502" s="81">
        <f ca="1">SUMPRODUCT((Work_Codes!$AC$180:$AO$180=$E502)*(Work_Codes!$AC$183:$AO$189)*(L$400:L$406))</f>
        <v>0</v>
      </c>
      <c r="M502" s="81">
        <f ca="1">SUMPRODUCT((Work_Codes!$AC$180:$AO$180=$E502)*(Work_Codes!$AC$183:$AO$189)*(M$400:M$406))</f>
        <v>0</v>
      </c>
      <c r="N502" s="81">
        <f ca="1">SUMPRODUCT((Work_Codes!$AC$180:$AO$180=$E502)*(Work_Codes!$AC$183:$AO$189)*(N$400:N$406))</f>
        <v>0</v>
      </c>
      <c r="O502" s="81">
        <f ca="1">SUMPRODUCT((Work_Codes!$AC$180:$AO$180=$E502)*(Work_Codes!$AC$183:$AO$189)*(O$400:O$406))</f>
        <v>146162.59410209686</v>
      </c>
      <c r="P502" s="81">
        <f ca="1">SUMPRODUCT((Work_Codes!$AC$180:$AO$180=$E502)*(Work_Codes!$AC$183:$AO$189)*(P$400:P$406))</f>
        <v>313342.05215859984</v>
      </c>
      <c r="Q502" s="81">
        <f ca="1">SUMPRODUCT((Work_Codes!$AC$180:$AO$180=$E502)*(Work_Codes!$AC$183:$AO$189)*(Q$400:Q$406))</f>
        <v>299479.21774513059</v>
      </c>
      <c r="R502" s="81">
        <f ca="1">SUMPRODUCT((Work_Codes!$AC$180:$AO$180=$E502)*(Work_Codes!$AC$183:$AO$189)*(R$400:R$406))</f>
        <v>565705.7884392757</v>
      </c>
      <c r="S502" s="81">
        <f ca="1">SUMPRODUCT((Work_Codes!$AC$180:$AO$180=$E502)*(Work_Codes!$AC$183:$AO$189)*(S$400:S$406))</f>
        <v>271765.41751677735</v>
      </c>
      <c r="T502" s="81">
        <f ca="1">SUMPRODUCT((Work_Codes!$AC$180:$AO$180=$E502)*(Work_Codes!$AC$183:$AO$189)*(T$400:T$406))</f>
        <v>261421.13505126754</v>
      </c>
    </row>
    <row r="503" spans="5:20" ht="12" customHeight="1" outlineLevel="2">
      <c r="E503" s="247" t="str">
        <f>GC!C65</f>
        <v>Augmentation</v>
      </c>
      <c r="F503" s="247"/>
      <c r="G503" s="247"/>
      <c r="H503" s="247"/>
      <c r="I503" s="247"/>
      <c r="J503" s="81">
        <f ca="1">SUMPRODUCT((Work_Codes!$AC$180:$AO$180=$E503)*(Work_Codes!$AC$183:$AO$189)*(J$400:J$406))</f>
        <v>0</v>
      </c>
      <c r="K503" s="81">
        <f ca="1">SUMPRODUCT((Work_Codes!$AC$180:$AO$180=$E503)*(Work_Codes!$AC$183:$AO$189)*(K$400:K$406))</f>
        <v>0</v>
      </c>
      <c r="L503" s="81">
        <f ca="1">SUMPRODUCT((Work_Codes!$AC$180:$AO$180=$E503)*(Work_Codes!$AC$183:$AO$189)*(L$400:L$406))</f>
        <v>0</v>
      </c>
      <c r="M503" s="81">
        <f ca="1">SUMPRODUCT((Work_Codes!$AC$180:$AO$180=$E503)*(Work_Codes!$AC$183:$AO$189)*(M$400:M$406))</f>
        <v>0</v>
      </c>
      <c r="N503" s="81">
        <f ca="1">SUMPRODUCT((Work_Codes!$AC$180:$AO$180=$E503)*(Work_Codes!$AC$183:$AO$189)*(N$400:N$406))</f>
        <v>0</v>
      </c>
      <c r="O503" s="81">
        <f ca="1">SUMPRODUCT((Work_Codes!$AC$180:$AO$180=$E503)*(Work_Codes!$AC$183:$AO$189)*(O$400:O$406))</f>
        <v>0</v>
      </c>
      <c r="P503" s="81">
        <f ca="1">SUMPRODUCT((Work_Codes!$AC$180:$AO$180=$E503)*(Work_Codes!$AC$183:$AO$189)*(P$400:P$406))</f>
        <v>0</v>
      </c>
      <c r="Q503" s="81">
        <f ca="1">SUMPRODUCT((Work_Codes!$AC$180:$AO$180=$E503)*(Work_Codes!$AC$183:$AO$189)*(Q$400:Q$406))</f>
        <v>0</v>
      </c>
      <c r="R503" s="81">
        <f ca="1">SUMPRODUCT((Work_Codes!$AC$180:$AO$180=$E503)*(Work_Codes!$AC$183:$AO$189)*(R$400:R$406))</f>
        <v>0</v>
      </c>
      <c r="S503" s="81">
        <f ca="1">SUMPRODUCT((Work_Codes!$AC$180:$AO$180=$E503)*(Work_Codes!$AC$183:$AO$189)*(S$400:S$406))</f>
        <v>0</v>
      </c>
      <c r="T503" s="81">
        <f ca="1">SUMPRODUCT((Work_Codes!$AC$180:$AO$180=$E503)*(Work_Codes!$AC$183:$AO$189)*(T$400:T$406))</f>
        <v>0</v>
      </c>
    </row>
    <row r="504" spans="5:20" ht="12" customHeight="1" outlineLevel="2">
      <c r="E504" s="247" t="str">
        <f>GC!C66</f>
        <v>IT capex</v>
      </c>
      <c r="F504" s="247"/>
      <c r="G504" s="247"/>
      <c r="H504" s="247"/>
      <c r="I504" s="247"/>
      <c r="J504" s="81">
        <f ca="1">SUMPRODUCT((Work_Codes!$AC$180:$AO$180=$E504)*(Work_Codes!$AC$183:$AO$189)*(J$400:J$406))</f>
        <v>0</v>
      </c>
      <c r="K504" s="81">
        <f ca="1">SUMPRODUCT((Work_Codes!$AC$180:$AO$180=$E504)*(Work_Codes!$AC$183:$AO$189)*(K$400:K$406))</f>
        <v>0</v>
      </c>
      <c r="L504" s="81">
        <f ca="1">SUMPRODUCT((Work_Codes!$AC$180:$AO$180=$E504)*(Work_Codes!$AC$183:$AO$189)*(L$400:L$406))</f>
        <v>0</v>
      </c>
      <c r="M504" s="81">
        <f ca="1">SUMPRODUCT((Work_Codes!$AC$180:$AO$180=$E504)*(Work_Codes!$AC$183:$AO$189)*(M$400:M$406))</f>
        <v>0</v>
      </c>
      <c r="N504" s="81">
        <f ca="1">SUMPRODUCT((Work_Codes!$AC$180:$AO$180=$E504)*(Work_Codes!$AC$183:$AO$189)*(N$400:N$406))</f>
        <v>0</v>
      </c>
      <c r="O504" s="81">
        <f ca="1">SUMPRODUCT((Work_Codes!$AC$180:$AO$180=$E504)*(Work_Codes!$AC$183:$AO$189)*(O$400:O$406))</f>
        <v>0</v>
      </c>
      <c r="P504" s="81">
        <f ca="1">SUMPRODUCT((Work_Codes!$AC$180:$AO$180=$E504)*(Work_Codes!$AC$183:$AO$189)*(P$400:P$406))</f>
        <v>0</v>
      </c>
      <c r="Q504" s="81">
        <f ca="1">SUMPRODUCT((Work_Codes!$AC$180:$AO$180=$E504)*(Work_Codes!$AC$183:$AO$189)*(Q$400:Q$406))</f>
        <v>0</v>
      </c>
      <c r="R504" s="81">
        <f ca="1">SUMPRODUCT((Work_Codes!$AC$180:$AO$180=$E504)*(Work_Codes!$AC$183:$AO$189)*(R$400:R$406))</f>
        <v>0</v>
      </c>
      <c r="S504" s="81">
        <f ca="1">SUMPRODUCT((Work_Codes!$AC$180:$AO$180=$E504)*(Work_Codes!$AC$183:$AO$189)*(S$400:S$406))</f>
        <v>0</v>
      </c>
      <c r="T504" s="81">
        <f ca="1">SUMPRODUCT((Work_Codes!$AC$180:$AO$180=$E504)*(Work_Codes!$AC$183:$AO$189)*(T$400:T$406))</f>
        <v>0</v>
      </c>
    </row>
    <row r="505" spans="5:20" ht="12" customHeight="1" outlineLevel="2">
      <c r="E505" s="247" t="str">
        <f>GC!C67</f>
        <v>SCADA</v>
      </c>
      <c r="F505" s="247"/>
      <c r="G505" s="247"/>
      <c r="H505" s="247"/>
      <c r="I505" s="247"/>
      <c r="J505" s="81">
        <f ca="1">SUMPRODUCT((Work_Codes!$AC$180:$AO$180=$E505)*(Work_Codes!$AC$183:$AO$189)*(J$400:J$406))</f>
        <v>0</v>
      </c>
      <c r="K505" s="81">
        <f ca="1">SUMPRODUCT((Work_Codes!$AC$180:$AO$180=$E505)*(Work_Codes!$AC$183:$AO$189)*(K$400:K$406))</f>
        <v>0</v>
      </c>
      <c r="L505" s="81">
        <f ca="1">SUMPRODUCT((Work_Codes!$AC$180:$AO$180=$E505)*(Work_Codes!$AC$183:$AO$189)*(L$400:L$406))</f>
        <v>0</v>
      </c>
      <c r="M505" s="81">
        <f ca="1">SUMPRODUCT((Work_Codes!$AC$180:$AO$180=$E505)*(Work_Codes!$AC$183:$AO$189)*(M$400:M$406))</f>
        <v>0</v>
      </c>
      <c r="N505" s="81">
        <f ca="1">SUMPRODUCT((Work_Codes!$AC$180:$AO$180=$E505)*(Work_Codes!$AC$183:$AO$189)*(N$400:N$406))</f>
        <v>0</v>
      </c>
      <c r="O505" s="81">
        <f ca="1">SUMPRODUCT((Work_Codes!$AC$180:$AO$180=$E505)*(Work_Codes!$AC$183:$AO$189)*(O$400:O$406))</f>
        <v>0</v>
      </c>
      <c r="P505" s="81">
        <f ca="1">SUMPRODUCT((Work_Codes!$AC$180:$AO$180=$E505)*(Work_Codes!$AC$183:$AO$189)*(P$400:P$406))</f>
        <v>0</v>
      </c>
      <c r="Q505" s="81">
        <f ca="1">SUMPRODUCT((Work_Codes!$AC$180:$AO$180=$E505)*(Work_Codes!$AC$183:$AO$189)*(Q$400:Q$406))</f>
        <v>0</v>
      </c>
      <c r="R505" s="81">
        <f ca="1">SUMPRODUCT((Work_Codes!$AC$180:$AO$180=$E505)*(Work_Codes!$AC$183:$AO$189)*(R$400:R$406))</f>
        <v>0</v>
      </c>
      <c r="S505" s="81">
        <f ca="1">SUMPRODUCT((Work_Codes!$AC$180:$AO$180=$E505)*(Work_Codes!$AC$183:$AO$189)*(S$400:S$406))</f>
        <v>0</v>
      </c>
      <c r="T505" s="81">
        <f ca="1">SUMPRODUCT((Work_Codes!$AC$180:$AO$180=$E505)*(Work_Codes!$AC$183:$AO$189)*(T$400:T$406))</f>
        <v>0</v>
      </c>
    </row>
    <row r="506" spans="5:20" ht="12" customHeight="1" outlineLevel="2">
      <c r="E506" s="247" t="str">
        <f>GC!C68</f>
        <v>Other</v>
      </c>
      <c r="F506" s="247"/>
      <c r="G506" s="247"/>
      <c r="H506" s="247"/>
      <c r="I506" s="247"/>
      <c r="J506" s="81">
        <f ca="1">SUMPRODUCT((Work_Codes!$AC$180:$AO$180=$E506)*(Work_Codes!$AC$183:$AO$189)*(J$400:J$406))</f>
        <v>0</v>
      </c>
      <c r="K506" s="81">
        <f ca="1">SUMPRODUCT((Work_Codes!$AC$180:$AO$180=$E506)*(Work_Codes!$AC$183:$AO$189)*(K$400:K$406))</f>
        <v>0</v>
      </c>
      <c r="L506" s="81">
        <f ca="1">SUMPRODUCT((Work_Codes!$AC$180:$AO$180=$E506)*(Work_Codes!$AC$183:$AO$189)*(L$400:L$406))</f>
        <v>0</v>
      </c>
      <c r="M506" s="81">
        <f ca="1">SUMPRODUCT((Work_Codes!$AC$180:$AO$180=$E506)*(Work_Codes!$AC$183:$AO$189)*(M$400:M$406))</f>
        <v>0</v>
      </c>
      <c r="N506" s="81">
        <f ca="1">SUMPRODUCT((Work_Codes!$AC$180:$AO$180=$E506)*(Work_Codes!$AC$183:$AO$189)*(N$400:N$406))</f>
        <v>0</v>
      </c>
      <c r="O506" s="81">
        <f ca="1">SUMPRODUCT((Work_Codes!$AC$180:$AO$180=$E506)*(Work_Codes!$AC$183:$AO$189)*(O$400:O$406))</f>
        <v>0</v>
      </c>
      <c r="P506" s="81">
        <f ca="1">SUMPRODUCT((Work_Codes!$AC$180:$AO$180=$E506)*(Work_Codes!$AC$183:$AO$189)*(P$400:P$406))</f>
        <v>0</v>
      </c>
      <c r="Q506" s="81">
        <f ca="1">SUMPRODUCT((Work_Codes!$AC$180:$AO$180=$E506)*(Work_Codes!$AC$183:$AO$189)*(Q$400:Q$406))</f>
        <v>0</v>
      </c>
      <c r="R506" s="81">
        <f ca="1">SUMPRODUCT((Work_Codes!$AC$180:$AO$180=$E506)*(Work_Codes!$AC$183:$AO$189)*(R$400:R$406))</f>
        <v>0</v>
      </c>
      <c r="S506" s="81">
        <f ca="1">SUMPRODUCT((Work_Codes!$AC$180:$AO$180=$E506)*(Work_Codes!$AC$183:$AO$189)*(S$400:S$406))</f>
        <v>0</v>
      </c>
      <c r="T506" s="81">
        <f ca="1">SUMPRODUCT((Work_Codes!$AC$180:$AO$180=$E506)*(Work_Codes!$AC$183:$AO$189)*(T$400:T$406))</f>
        <v>0</v>
      </c>
    </row>
    <row r="507" spans="5:20" outlineLevel="2">
      <c r="E507" s="247" t="str">
        <f>GC!C69</f>
        <v>Capitalised Leases</v>
      </c>
      <c r="F507" s="247"/>
      <c r="G507" s="247"/>
      <c r="H507" s="247"/>
      <c r="I507" s="247"/>
      <c r="J507" s="81">
        <f ca="1">SUMPRODUCT((Work_Codes!$AC$180:$AO$180=$E507)*(Work_Codes!$AC$183:$AO$189)*(J$400:J$406))</f>
        <v>0</v>
      </c>
      <c r="K507" s="81">
        <f ca="1">SUMPRODUCT((Work_Codes!$AC$180:$AO$180=$E507)*(Work_Codes!$AC$183:$AO$189)*(K$400:K$406))</f>
        <v>0</v>
      </c>
      <c r="L507" s="81">
        <f ca="1">SUMPRODUCT((Work_Codes!$AC$180:$AO$180=$E507)*(Work_Codes!$AC$183:$AO$189)*(L$400:L$406))</f>
        <v>0</v>
      </c>
      <c r="M507" s="81">
        <f ca="1">SUMPRODUCT((Work_Codes!$AC$180:$AO$180=$E507)*(Work_Codes!$AC$183:$AO$189)*(M$400:M$406))</f>
        <v>0</v>
      </c>
      <c r="N507" s="81">
        <f ca="1">SUMPRODUCT((Work_Codes!$AC$180:$AO$180=$E507)*(Work_Codes!$AC$183:$AO$189)*(N$400:N$406))</f>
        <v>0</v>
      </c>
      <c r="O507" s="81">
        <f ca="1">SUMPRODUCT((Work_Codes!$AC$180:$AO$180=$E507)*(Work_Codes!$AC$183:$AO$189)*(O$400:O$406))</f>
        <v>0</v>
      </c>
      <c r="P507" s="81">
        <f ca="1">SUMPRODUCT((Work_Codes!$AC$180:$AO$180=$E507)*(Work_Codes!$AC$183:$AO$189)*(P$400:P$406))</f>
        <v>0</v>
      </c>
      <c r="Q507" s="81">
        <f ca="1">SUMPRODUCT((Work_Codes!$AC$180:$AO$180=$E507)*(Work_Codes!$AC$183:$AO$189)*(Q$400:Q$406))</f>
        <v>0</v>
      </c>
      <c r="R507" s="81">
        <f ca="1">SUMPRODUCT((Work_Codes!$AC$180:$AO$180=$E507)*(Work_Codes!$AC$183:$AO$189)*(R$400:R$406))</f>
        <v>0</v>
      </c>
      <c r="S507" s="81">
        <f ca="1">SUMPRODUCT((Work_Codes!$AC$180:$AO$180=$E507)*(Work_Codes!$AC$183:$AO$189)*(S$400:S$406))</f>
        <v>0</v>
      </c>
      <c r="T507" s="81">
        <f ca="1">SUMPRODUCT((Work_Codes!$AC$180:$AO$180=$E507)*(Work_Codes!$AC$183:$AO$189)*(T$400:T$406))</f>
        <v>0</v>
      </c>
    </row>
    <row r="508" spans="5:20" ht="12" customHeight="1" outlineLevel="2">
      <c r="E508" s="247" t="str">
        <f>GC!C70</f>
        <v>Gas Extensions - Energy for the Regions</v>
      </c>
      <c r="F508" s="247"/>
      <c r="G508" s="247"/>
      <c r="H508" s="247"/>
      <c r="I508" s="247"/>
      <c r="J508" s="81">
        <f ca="1">SUMPRODUCT((Work_Codes!$AC$180:$AO$180=$E508)*(Work_Codes!$AC$183:$AO$189)*(J$400:J$406))</f>
        <v>0</v>
      </c>
      <c r="K508" s="81">
        <f ca="1">SUMPRODUCT((Work_Codes!$AC$180:$AO$180=$E508)*(Work_Codes!$AC$183:$AO$189)*(K$400:K$406))</f>
        <v>0</v>
      </c>
      <c r="L508" s="81">
        <f ca="1">SUMPRODUCT((Work_Codes!$AC$180:$AO$180=$E508)*(Work_Codes!$AC$183:$AO$189)*(L$400:L$406))</f>
        <v>0</v>
      </c>
      <c r="M508" s="81">
        <f ca="1">SUMPRODUCT((Work_Codes!$AC$180:$AO$180=$E508)*(Work_Codes!$AC$183:$AO$189)*(M$400:M$406))</f>
        <v>0</v>
      </c>
      <c r="N508" s="81">
        <f ca="1">SUMPRODUCT((Work_Codes!$AC$180:$AO$180=$E508)*(Work_Codes!$AC$183:$AO$189)*(N$400:N$406))</f>
        <v>0</v>
      </c>
      <c r="O508" s="81">
        <f ca="1">SUMPRODUCT((Work_Codes!$AC$180:$AO$180=$E508)*(Work_Codes!$AC$183:$AO$189)*(O$400:O$406))</f>
        <v>0</v>
      </c>
      <c r="P508" s="81">
        <f ca="1">SUMPRODUCT((Work_Codes!$AC$180:$AO$180=$E508)*(Work_Codes!$AC$183:$AO$189)*(P$400:P$406))</f>
        <v>0</v>
      </c>
      <c r="Q508" s="81">
        <f ca="1">SUMPRODUCT((Work_Codes!$AC$180:$AO$180=$E508)*(Work_Codes!$AC$183:$AO$189)*(Q$400:Q$406))</f>
        <v>0</v>
      </c>
      <c r="R508" s="81">
        <f ca="1">SUMPRODUCT((Work_Codes!$AC$180:$AO$180=$E508)*(Work_Codes!$AC$183:$AO$189)*(R$400:R$406))</f>
        <v>0</v>
      </c>
      <c r="S508" s="81">
        <f ca="1">SUMPRODUCT((Work_Codes!$AC$180:$AO$180=$E508)*(Work_Codes!$AC$183:$AO$189)*(S$400:S$406))</f>
        <v>0</v>
      </c>
      <c r="T508" s="81">
        <f ca="1">SUMPRODUCT((Work_Codes!$AC$180:$AO$180=$E508)*(Work_Codes!$AC$183:$AO$189)*(T$400:T$406))</f>
        <v>0</v>
      </c>
    </row>
    <row r="509" spans="5:20" ht="12" customHeight="1" outlineLevel="2">
      <c r="E509" s="247" t="str">
        <f>GC!C71</f>
        <v>Gas Extensions - Other</v>
      </c>
      <c r="F509" s="247"/>
      <c r="G509" s="247"/>
      <c r="H509" s="247"/>
      <c r="I509" s="247"/>
      <c r="J509" s="81">
        <f ca="1">SUMPRODUCT((Work_Codes!$AC$180:$AO$180=$E509)*(Work_Codes!$AC$183:$AO$189)*(J$400:J$406))</f>
        <v>0</v>
      </c>
      <c r="K509" s="81">
        <f ca="1">SUMPRODUCT((Work_Codes!$AC$180:$AO$180=$E509)*(Work_Codes!$AC$183:$AO$189)*(K$400:K$406))</f>
        <v>0</v>
      </c>
      <c r="L509" s="81">
        <f ca="1">SUMPRODUCT((Work_Codes!$AC$180:$AO$180=$E509)*(Work_Codes!$AC$183:$AO$189)*(L$400:L$406))</f>
        <v>0</v>
      </c>
      <c r="M509" s="81">
        <f ca="1">SUMPRODUCT((Work_Codes!$AC$180:$AO$180=$E509)*(Work_Codes!$AC$183:$AO$189)*(M$400:M$406))</f>
        <v>0</v>
      </c>
      <c r="N509" s="81">
        <f ca="1">SUMPRODUCT((Work_Codes!$AC$180:$AO$180=$E509)*(Work_Codes!$AC$183:$AO$189)*(N$400:N$406))</f>
        <v>0</v>
      </c>
      <c r="O509" s="81">
        <f ca="1">SUMPRODUCT((Work_Codes!$AC$180:$AO$180=$E509)*(Work_Codes!$AC$183:$AO$189)*(O$400:O$406))</f>
        <v>0</v>
      </c>
      <c r="P509" s="81">
        <f ca="1">SUMPRODUCT((Work_Codes!$AC$180:$AO$180=$E509)*(Work_Codes!$AC$183:$AO$189)*(P$400:P$406))</f>
        <v>0</v>
      </c>
      <c r="Q509" s="81">
        <f ca="1">SUMPRODUCT((Work_Codes!$AC$180:$AO$180=$E509)*(Work_Codes!$AC$183:$AO$189)*(Q$400:Q$406))</f>
        <v>0</v>
      </c>
      <c r="R509" s="81">
        <f ca="1">SUMPRODUCT((Work_Codes!$AC$180:$AO$180=$E509)*(Work_Codes!$AC$183:$AO$189)*(R$400:R$406))</f>
        <v>0</v>
      </c>
      <c r="S509" s="81">
        <f ca="1">SUMPRODUCT((Work_Codes!$AC$180:$AO$180=$E509)*(Work_Codes!$AC$183:$AO$189)*(S$400:S$406))</f>
        <v>0</v>
      </c>
      <c r="T509" s="81">
        <f ca="1">SUMPRODUCT((Work_Codes!$AC$180:$AO$180=$E509)*(Work_Codes!$AC$183:$AO$189)*(T$400:T$406))</f>
        <v>0</v>
      </c>
    </row>
    <row r="510" spans="5:20" ht="12" customHeight="1" outlineLevel="2">
      <c r="E510" s="247" t="str">
        <f>GC!C72</f>
        <v>Customer contributions</v>
      </c>
      <c r="F510" s="247"/>
      <c r="G510" s="247"/>
      <c r="H510" s="247"/>
      <c r="I510" s="247"/>
      <c r="J510" s="81">
        <f ca="1">SUMPRODUCT((Work_Codes!$AC$180:$AO$180=$E510)*(Work_Codes!$AC$183:$AO$189)*(J$400:J$406))</f>
        <v>0</v>
      </c>
      <c r="K510" s="81">
        <f ca="1">SUMPRODUCT((Work_Codes!$AC$180:$AO$180=$E510)*(Work_Codes!$AC$183:$AO$189)*(K$400:K$406))</f>
        <v>0</v>
      </c>
      <c r="L510" s="81">
        <f ca="1">SUMPRODUCT((Work_Codes!$AC$180:$AO$180=$E510)*(Work_Codes!$AC$183:$AO$189)*(L$400:L$406))</f>
        <v>0</v>
      </c>
      <c r="M510" s="81">
        <f ca="1">SUMPRODUCT((Work_Codes!$AC$180:$AO$180=$E510)*(Work_Codes!$AC$183:$AO$189)*(M$400:M$406))</f>
        <v>0</v>
      </c>
      <c r="N510" s="81">
        <f ca="1">SUMPRODUCT((Work_Codes!$AC$180:$AO$180=$E510)*(Work_Codes!$AC$183:$AO$189)*(N$400:N$406))</f>
        <v>0</v>
      </c>
      <c r="O510" s="81">
        <f ca="1">SUMPRODUCT((Work_Codes!$AC$180:$AO$180=$E510)*(Work_Codes!$AC$183:$AO$189)*(O$400:O$406))</f>
        <v>0</v>
      </c>
      <c r="P510" s="81">
        <f ca="1">SUMPRODUCT((Work_Codes!$AC$180:$AO$180=$E510)*(Work_Codes!$AC$183:$AO$189)*(P$400:P$406))</f>
        <v>0</v>
      </c>
      <c r="Q510" s="81">
        <f ca="1">SUMPRODUCT((Work_Codes!$AC$180:$AO$180=$E510)*(Work_Codes!$AC$183:$AO$189)*(Q$400:Q$406))</f>
        <v>0</v>
      </c>
      <c r="R510" s="81">
        <f ca="1">SUMPRODUCT((Work_Codes!$AC$180:$AO$180=$E510)*(Work_Codes!$AC$183:$AO$189)*(R$400:R$406))</f>
        <v>0</v>
      </c>
      <c r="S510" s="81">
        <f ca="1">SUMPRODUCT((Work_Codes!$AC$180:$AO$180=$E510)*(Work_Codes!$AC$183:$AO$189)*(S$400:S$406))</f>
        <v>0</v>
      </c>
      <c r="T510" s="81">
        <f ca="1">SUMPRODUCT((Work_Codes!$AC$180:$AO$180=$E510)*(Work_Codes!$AC$183:$AO$189)*(T$400:T$406))</f>
        <v>0</v>
      </c>
    </row>
    <row r="511" spans="5:20" ht="12" customHeight="1" outlineLevel="2">
      <c r="E511" s="247" t="str">
        <f>GC!C73</f>
        <v>Government contributions</v>
      </c>
      <c r="F511" s="247"/>
      <c r="G511" s="247"/>
      <c r="H511" s="247"/>
      <c r="I511" s="247"/>
      <c r="J511" s="81">
        <f ca="1">SUMPRODUCT((Work_Codes!$AC$180:$AO$180=$E511)*(Work_Codes!$AC$183:$AO$189)*(J$400:J$406))</f>
        <v>0</v>
      </c>
      <c r="K511" s="81">
        <f ca="1">SUMPRODUCT((Work_Codes!$AC$180:$AO$180=$E511)*(Work_Codes!$AC$183:$AO$189)*(K$400:K$406))</f>
        <v>0</v>
      </c>
      <c r="L511" s="81">
        <f ca="1">SUMPRODUCT((Work_Codes!$AC$180:$AO$180=$E511)*(Work_Codes!$AC$183:$AO$189)*(L$400:L$406))</f>
        <v>0</v>
      </c>
      <c r="M511" s="81">
        <f ca="1">SUMPRODUCT((Work_Codes!$AC$180:$AO$180=$E511)*(Work_Codes!$AC$183:$AO$189)*(M$400:M$406))</f>
        <v>0</v>
      </c>
      <c r="N511" s="81">
        <f ca="1">SUMPRODUCT((Work_Codes!$AC$180:$AO$180=$E511)*(Work_Codes!$AC$183:$AO$189)*(N$400:N$406))</f>
        <v>0</v>
      </c>
      <c r="O511" s="81">
        <f ca="1">SUMPRODUCT((Work_Codes!$AC$180:$AO$180=$E511)*(Work_Codes!$AC$183:$AO$189)*(O$400:O$406))</f>
        <v>0</v>
      </c>
      <c r="P511" s="81">
        <f ca="1">SUMPRODUCT((Work_Codes!$AC$180:$AO$180=$E511)*(Work_Codes!$AC$183:$AO$189)*(P$400:P$406))</f>
        <v>0</v>
      </c>
      <c r="Q511" s="81">
        <f ca="1">SUMPRODUCT((Work_Codes!$AC$180:$AO$180=$E511)*(Work_Codes!$AC$183:$AO$189)*(Q$400:Q$406))</f>
        <v>0</v>
      </c>
      <c r="R511" s="81">
        <f ca="1">SUMPRODUCT((Work_Codes!$AC$180:$AO$180=$E511)*(Work_Codes!$AC$183:$AO$189)*(R$400:R$406))</f>
        <v>0</v>
      </c>
      <c r="S511" s="81">
        <f ca="1">SUMPRODUCT((Work_Codes!$AC$180:$AO$180=$E511)*(Work_Codes!$AC$183:$AO$189)*(S$400:S$406))</f>
        <v>0</v>
      </c>
      <c r="T511" s="81">
        <f ca="1">SUMPRODUCT((Work_Codes!$AC$180:$AO$180=$E511)*(Work_Codes!$AC$183:$AO$189)*(T$400:T$406))</f>
        <v>0</v>
      </c>
    </row>
    <row r="512" spans="5:20" ht="12" customHeight="1" outlineLevel="2">
      <c r="E512" s="249" t="str">
        <f>"Total "&amp;D496</f>
        <v>Total Direct Costs</v>
      </c>
      <c r="F512" s="249"/>
      <c r="G512" s="249"/>
      <c r="H512" s="249"/>
      <c r="I512" s="249"/>
      <c r="J512" s="82">
        <f t="shared" ref="J512:T512" ca="1" si="52">SUM(J498:J511)</f>
        <v>0</v>
      </c>
      <c r="K512" s="82">
        <f t="shared" ca="1" si="52"/>
        <v>0</v>
      </c>
      <c r="L512" s="82">
        <f t="shared" ca="1" si="52"/>
        <v>0</v>
      </c>
      <c r="M512" s="82">
        <f t="shared" ca="1" si="52"/>
        <v>0</v>
      </c>
      <c r="N512" s="82">
        <f t="shared" ca="1" si="52"/>
        <v>0</v>
      </c>
      <c r="O512" s="82">
        <f t="shared" ca="1" si="52"/>
        <v>146162.59410209686</v>
      </c>
      <c r="P512" s="82">
        <f t="shared" ca="1" si="52"/>
        <v>313342.05215859984</v>
      </c>
      <c r="Q512" s="82">
        <f t="shared" ca="1" si="52"/>
        <v>299479.21774513059</v>
      </c>
      <c r="R512" s="82">
        <f t="shared" ca="1" si="52"/>
        <v>565705.7884392757</v>
      </c>
      <c r="S512" s="82">
        <f t="shared" ca="1" si="52"/>
        <v>271765.41751677735</v>
      </c>
      <c r="T512" s="82">
        <f t="shared" ca="1" si="52"/>
        <v>261421.13505126754</v>
      </c>
    </row>
    <row r="513" spans="4:20" outlineLevel="2"/>
    <row r="514" spans="4:20" outlineLevel="2">
      <c r="D514" s="37" t="s">
        <v>216</v>
      </c>
    </row>
    <row r="515" spans="4:20" ht="5.9" customHeight="1" outlineLevel="2"/>
    <row r="516" spans="4:20" ht="12" customHeight="1" outlineLevel="2">
      <c r="E516" s="247" t="str">
        <f>GC!C60</f>
        <v>Mains replacement</v>
      </c>
      <c r="F516" s="247"/>
      <c r="G516" s="247"/>
      <c r="H516" s="247"/>
      <c r="I516" s="247"/>
      <c r="J516" s="81">
        <f ca="1">J498*(1+INDEX(J$310:J$312,MATCH(Work_Codes!$I$177,$D$310:$D$312,0)))</f>
        <v>0</v>
      </c>
      <c r="K516" s="81">
        <f ca="1">K498*(1+INDEX(K$310:K$312,MATCH(Work_Codes!$I$177,$D$310:$D$312,0)))</f>
        <v>0</v>
      </c>
      <c r="L516" s="81">
        <f ca="1">L498*(1+INDEX(L$310:L$312,MATCH(Work_Codes!$I$177,$D$310:$D$312,0)))</f>
        <v>0</v>
      </c>
      <c r="M516" s="81">
        <f ca="1">M498*(1+INDEX(M$310:M$312,MATCH(Work_Codes!$I$177,$D$310:$D$312,0)))</f>
        <v>0</v>
      </c>
      <c r="N516" s="81">
        <f ca="1">N498*(1+INDEX(N$310:N$312,MATCH(Work_Codes!$I$177,$D$310:$D$312,0)))</f>
        <v>0</v>
      </c>
      <c r="O516" s="81">
        <f ca="1">O498*(1+INDEX(O$310:O$312,MATCH(Work_Codes!$I$177,$D$310:$D$312,0)))</f>
        <v>0</v>
      </c>
      <c r="P516" s="81">
        <f ca="1">P498*(1+INDEX(P$310:P$312,MATCH(Work_Codes!$I$177,$D$310:$D$312,0)))</f>
        <v>0</v>
      </c>
      <c r="Q516" s="81">
        <f ca="1">Q498*(1+INDEX(Q$310:Q$312,MATCH(Work_Codes!$I$177,$D$310:$D$312,0)))</f>
        <v>0</v>
      </c>
      <c r="R516" s="81">
        <f ca="1">R498*(1+INDEX(R$310:R$312,MATCH(Work_Codes!$I$177,$D$310:$D$312,0)))</f>
        <v>0</v>
      </c>
      <c r="S516" s="81">
        <f ca="1">S498*(1+INDEX(S$310:S$312,MATCH(Work_Codes!$I$177,$D$310:$D$312,0)))</f>
        <v>0</v>
      </c>
      <c r="T516" s="81">
        <f ca="1">T498*(1+INDEX(T$310:T$312,MATCH(Work_Codes!$I$177,$D$310:$D$312,0)))</f>
        <v>0</v>
      </c>
    </row>
    <row r="517" spans="4:20" ht="12" customHeight="1" outlineLevel="2">
      <c r="E517" s="247" t="str">
        <f>GC!C61</f>
        <v>Residential new customer connections</v>
      </c>
      <c r="F517" s="247"/>
      <c r="G517" s="247"/>
      <c r="H517" s="247"/>
      <c r="I517" s="247"/>
      <c r="J517" s="81">
        <f ca="1">J499*(1+INDEX(J$310:J$312,MATCH(Work_Codes!$I$177,$D$310:$D$312,0)))</f>
        <v>0</v>
      </c>
      <c r="K517" s="81">
        <f ca="1">K499*(1+INDEX(K$310:K$312,MATCH(Work_Codes!$I$177,$D$310:$D$312,0)))</f>
        <v>0</v>
      </c>
      <c r="L517" s="81">
        <f ca="1">L499*(1+INDEX(L$310:L$312,MATCH(Work_Codes!$I$177,$D$310:$D$312,0)))</f>
        <v>0</v>
      </c>
      <c r="M517" s="81">
        <f ca="1">M499*(1+INDEX(M$310:M$312,MATCH(Work_Codes!$I$177,$D$310:$D$312,0)))</f>
        <v>0</v>
      </c>
      <c r="N517" s="81">
        <f ca="1">N499*(1+INDEX(N$310:N$312,MATCH(Work_Codes!$I$177,$D$310:$D$312,0)))</f>
        <v>0</v>
      </c>
      <c r="O517" s="81">
        <f ca="1">O499*(1+INDEX(O$310:O$312,MATCH(Work_Codes!$I$177,$D$310:$D$312,0)))</f>
        <v>0</v>
      </c>
      <c r="P517" s="81">
        <f ca="1">P499*(1+INDEX(P$310:P$312,MATCH(Work_Codes!$I$177,$D$310:$D$312,0)))</f>
        <v>0</v>
      </c>
      <c r="Q517" s="81">
        <f ca="1">Q499*(1+INDEX(Q$310:Q$312,MATCH(Work_Codes!$I$177,$D$310:$D$312,0)))</f>
        <v>0</v>
      </c>
      <c r="R517" s="81">
        <f ca="1">R499*(1+INDEX(R$310:R$312,MATCH(Work_Codes!$I$177,$D$310:$D$312,0)))</f>
        <v>0</v>
      </c>
      <c r="S517" s="81">
        <f ca="1">S499*(1+INDEX(S$310:S$312,MATCH(Work_Codes!$I$177,$D$310:$D$312,0)))</f>
        <v>0</v>
      </c>
      <c r="T517" s="81">
        <f ca="1">T499*(1+INDEX(T$310:T$312,MATCH(Work_Codes!$I$177,$D$310:$D$312,0)))</f>
        <v>0</v>
      </c>
    </row>
    <row r="518" spans="4:20" ht="12" customHeight="1" outlineLevel="2">
      <c r="E518" s="247" t="str">
        <f>GC!C62</f>
        <v>Commercial and industrial new customer connections</v>
      </c>
      <c r="F518" s="247"/>
      <c r="G518" s="247"/>
      <c r="H518" s="247"/>
      <c r="I518" s="247"/>
      <c r="J518" s="81">
        <f ca="1">J500*(1+INDEX(J$310:J$312,MATCH(Work_Codes!$I$177,$D$310:$D$312,0)))</f>
        <v>0</v>
      </c>
      <c r="K518" s="81">
        <f ca="1">K500*(1+INDEX(K$310:K$312,MATCH(Work_Codes!$I$177,$D$310:$D$312,0)))</f>
        <v>0</v>
      </c>
      <c r="L518" s="81">
        <f ca="1">L500*(1+INDEX(L$310:L$312,MATCH(Work_Codes!$I$177,$D$310:$D$312,0)))</f>
        <v>0</v>
      </c>
      <c r="M518" s="81">
        <f ca="1">M500*(1+INDEX(M$310:M$312,MATCH(Work_Codes!$I$177,$D$310:$D$312,0)))</f>
        <v>0</v>
      </c>
      <c r="N518" s="81">
        <f ca="1">N500*(1+INDEX(N$310:N$312,MATCH(Work_Codes!$I$177,$D$310:$D$312,0)))</f>
        <v>0</v>
      </c>
      <c r="O518" s="81">
        <f ca="1">O500*(1+INDEX(O$310:O$312,MATCH(Work_Codes!$I$177,$D$310:$D$312,0)))</f>
        <v>0</v>
      </c>
      <c r="P518" s="81">
        <f ca="1">P500*(1+INDEX(P$310:P$312,MATCH(Work_Codes!$I$177,$D$310:$D$312,0)))</f>
        <v>0</v>
      </c>
      <c r="Q518" s="81">
        <f ca="1">Q500*(1+INDEX(Q$310:Q$312,MATCH(Work_Codes!$I$177,$D$310:$D$312,0)))</f>
        <v>0</v>
      </c>
      <c r="R518" s="81">
        <f ca="1">R500*(1+INDEX(R$310:R$312,MATCH(Work_Codes!$I$177,$D$310:$D$312,0)))</f>
        <v>0</v>
      </c>
      <c r="S518" s="81">
        <f ca="1">S500*(1+INDEX(S$310:S$312,MATCH(Work_Codes!$I$177,$D$310:$D$312,0)))</f>
        <v>0</v>
      </c>
      <c r="T518" s="81">
        <f ca="1">T500*(1+INDEX(T$310:T$312,MATCH(Work_Codes!$I$177,$D$310:$D$312,0)))</f>
        <v>0</v>
      </c>
    </row>
    <row r="519" spans="4:20" ht="12" customHeight="1" outlineLevel="2">
      <c r="E519" s="247" t="str">
        <f>GC!C63</f>
        <v>Residential meter replacement</v>
      </c>
      <c r="F519" s="247"/>
      <c r="G519" s="247"/>
      <c r="H519" s="247"/>
      <c r="I519" s="247"/>
      <c r="J519" s="81">
        <f ca="1">J501*(1+INDEX(J$310:J$312,MATCH(Work_Codes!$I$177,$D$310:$D$312,0)))</f>
        <v>0</v>
      </c>
      <c r="K519" s="81">
        <f ca="1">K501*(1+INDEX(K$310:K$312,MATCH(Work_Codes!$I$177,$D$310:$D$312,0)))</f>
        <v>0</v>
      </c>
      <c r="L519" s="81">
        <f ca="1">L501*(1+INDEX(L$310:L$312,MATCH(Work_Codes!$I$177,$D$310:$D$312,0)))</f>
        <v>0</v>
      </c>
      <c r="M519" s="81">
        <f ca="1">M501*(1+INDEX(M$310:M$312,MATCH(Work_Codes!$I$177,$D$310:$D$312,0)))</f>
        <v>0</v>
      </c>
      <c r="N519" s="81">
        <f ca="1">N501*(1+INDEX(N$310:N$312,MATCH(Work_Codes!$I$177,$D$310:$D$312,0)))</f>
        <v>0</v>
      </c>
      <c r="O519" s="81">
        <f ca="1">O501*(1+INDEX(O$310:O$312,MATCH(Work_Codes!$I$177,$D$310:$D$312,0)))</f>
        <v>0</v>
      </c>
      <c r="P519" s="81">
        <f ca="1">P501*(1+INDEX(P$310:P$312,MATCH(Work_Codes!$I$177,$D$310:$D$312,0)))</f>
        <v>0</v>
      </c>
      <c r="Q519" s="81">
        <f ca="1">Q501*(1+INDEX(Q$310:Q$312,MATCH(Work_Codes!$I$177,$D$310:$D$312,0)))</f>
        <v>0</v>
      </c>
      <c r="R519" s="81">
        <f ca="1">R501*(1+INDEX(R$310:R$312,MATCH(Work_Codes!$I$177,$D$310:$D$312,0)))</f>
        <v>0</v>
      </c>
      <c r="S519" s="81">
        <f ca="1">S501*(1+INDEX(S$310:S$312,MATCH(Work_Codes!$I$177,$D$310:$D$312,0)))</f>
        <v>0</v>
      </c>
      <c r="T519" s="81">
        <f ca="1">T501*(1+INDEX(T$310:T$312,MATCH(Work_Codes!$I$177,$D$310:$D$312,0)))</f>
        <v>0</v>
      </c>
    </row>
    <row r="520" spans="4:20" ht="12" customHeight="1" outlineLevel="2">
      <c r="E520" s="247" t="str">
        <f>GC!C64</f>
        <v>Commercial and industrial meter replacement</v>
      </c>
      <c r="F520" s="247"/>
      <c r="G520" s="247"/>
      <c r="H520" s="247"/>
      <c r="I520" s="247"/>
      <c r="J520" s="81">
        <f ca="1">J502*(1+INDEX(J$310:J$312,MATCH(Work_Codes!$I$177,$D$310:$D$312,0)))</f>
        <v>0</v>
      </c>
      <c r="K520" s="81">
        <f ca="1">K502*(1+INDEX(K$310:K$312,MATCH(Work_Codes!$I$177,$D$310:$D$312,0)))</f>
        <v>0</v>
      </c>
      <c r="L520" s="81">
        <f ca="1">L502*(1+INDEX(L$310:L$312,MATCH(Work_Codes!$I$177,$D$310:$D$312,0)))</f>
        <v>0</v>
      </c>
      <c r="M520" s="81">
        <f ca="1">M502*(1+INDEX(M$310:M$312,MATCH(Work_Codes!$I$177,$D$310:$D$312,0)))</f>
        <v>0</v>
      </c>
      <c r="N520" s="81">
        <f ca="1">N502*(1+INDEX(N$310:N$312,MATCH(Work_Codes!$I$177,$D$310:$D$312,0)))</f>
        <v>0</v>
      </c>
      <c r="O520" s="81">
        <f ca="1">O502*(1+INDEX(O$310:O$312,MATCH(Work_Codes!$I$177,$D$310:$D$312,0)))</f>
        <v>151027.46536114672</v>
      </c>
      <c r="P520" s="81">
        <f ca="1">P502*(1+INDEX(P$310:P$312,MATCH(Work_Codes!$I$177,$D$310:$D$312,0)))</f>
        <v>321724.78570458514</v>
      </c>
      <c r="Q520" s="81">
        <f ca="1">Q502*(1+INDEX(Q$310:Q$312,MATCH(Work_Codes!$I$177,$D$310:$D$312,0)))</f>
        <v>307283.82205838594</v>
      </c>
      <c r="R520" s="81">
        <f ca="1">R502*(1+INDEX(R$310:R$312,MATCH(Work_Codes!$I$177,$D$310:$D$312,0)))</f>
        <v>580908.00347921706</v>
      </c>
      <c r="S520" s="81">
        <f ca="1">S502*(1+INDEX(S$310:S$312,MATCH(Work_Codes!$I$177,$D$310:$D$312,0)))</f>
        <v>279523.28175168217</v>
      </c>
      <c r="T520" s="81">
        <f ca="1">T502*(1+INDEX(T$310:T$312,MATCH(Work_Codes!$I$177,$D$310:$D$312,0)))</f>
        <v>269242.9542824385</v>
      </c>
    </row>
    <row r="521" spans="4:20" ht="12" customHeight="1" outlineLevel="2">
      <c r="E521" s="247" t="str">
        <f>GC!C65</f>
        <v>Augmentation</v>
      </c>
      <c r="F521" s="247"/>
      <c r="G521" s="247"/>
      <c r="H521" s="247"/>
      <c r="I521" s="247"/>
      <c r="J521" s="81">
        <f ca="1">J503*(1+INDEX(J$310:J$312,MATCH(Work_Codes!$I$177,$D$310:$D$312,0)))</f>
        <v>0</v>
      </c>
      <c r="K521" s="81">
        <f ca="1">K503*(1+INDEX(K$310:K$312,MATCH(Work_Codes!$I$177,$D$310:$D$312,0)))</f>
        <v>0</v>
      </c>
      <c r="L521" s="81">
        <f ca="1">L503*(1+INDEX(L$310:L$312,MATCH(Work_Codes!$I$177,$D$310:$D$312,0)))</f>
        <v>0</v>
      </c>
      <c r="M521" s="81">
        <f ca="1">M503*(1+INDEX(M$310:M$312,MATCH(Work_Codes!$I$177,$D$310:$D$312,0)))</f>
        <v>0</v>
      </c>
      <c r="N521" s="81">
        <f ca="1">N503*(1+INDEX(N$310:N$312,MATCH(Work_Codes!$I$177,$D$310:$D$312,0)))</f>
        <v>0</v>
      </c>
      <c r="O521" s="81">
        <f ca="1">O503*(1+INDEX(O$310:O$312,MATCH(Work_Codes!$I$177,$D$310:$D$312,0)))</f>
        <v>0</v>
      </c>
      <c r="P521" s="81">
        <f ca="1">P503*(1+INDEX(P$310:P$312,MATCH(Work_Codes!$I$177,$D$310:$D$312,0)))</f>
        <v>0</v>
      </c>
      <c r="Q521" s="81">
        <f ca="1">Q503*(1+INDEX(Q$310:Q$312,MATCH(Work_Codes!$I$177,$D$310:$D$312,0)))</f>
        <v>0</v>
      </c>
      <c r="R521" s="81">
        <f ca="1">R503*(1+INDEX(R$310:R$312,MATCH(Work_Codes!$I$177,$D$310:$D$312,0)))</f>
        <v>0</v>
      </c>
      <c r="S521" s="81">
        <f ca="1">S503*(1+INDEX(S$310:S$312,MATCH(Work_Codes!$I$177,$D$310:$D$312,0)))</f>
        <v>0</v>
      </c>
      <c r="T521" s="81">
        <f ca="1">T503*(1+INDEX(T$310:T$312,MATCH(Work_Codes!$I$177,$D$310:$D$312,0)))</f>
        <v>0</v>
      </c>
    </row>
    <row r="522" spans="4:20" ht="12" customHeight="1" outlineLevel="2">
      <c r="E522" s="247" t="str">
        <f>GC!C66</f>
        <v>IT capex</v>
      </c>
      <c r="F522" s="247"/>
      <c r="G522" s="247"/>
      <c r="H522" s="247"/>
      <c r="I522" s="247"/>
      <c r="J522" s="81">
        <f ca="1">J504*(1+INDEX(J$310:J$312,MATCH(Work_Codes!$I$177,$D$310:$D$312,0)))</f>
        <v>0</v>
      </c>
      <c r="K522" s="81">
        <f ca="1">K504*(1+INDEX(K$310:K$312,MATCH(Work_Codes!$I$177,$D$310:$D$312,0)))</f>
        <v>0</v>
      </c>
      <c r="L522" s="81">
        <f ca="1">L504*(1+INDEX(L$310:L$312,MATCH(Work_Codes!$I$177,$D$310:$D$312,0)))</f>
        <v>0</v>
      </c>
      <c r="M522" s="81">
        <f ca="1">M504*(1+INDEX(M$310:M$312,MATCH(Work_Codes!$I$177,$D$310:$D$312,0)))</f>
        <v>0</v>
      </c>
      <c r="N522" s="81">
        <f ca="1">N504*(1+INDEX(N$310:N$312,MATCH(Work_Codes!$I$177,$D$310:$D$312,0)))</f>
        <v>0</v>
      </c>
      <c r="O522" s="81">
        <f ca="1">O504*(1+INDEX(O$310:O$312,MATCH(Work_Codes!$I$177,$D$310:$D$312,0)))</f>
        <v>0</v>
      </c>
      <c r="P522" s="81">
        <f ca="1">P504*(1+INDEX(P$310:P$312,MATCH(Work_Codes!$I$177,$D$310:$D$312,0)))</f>
        <v>0</v>
      </c>
      <c r="Q522" s="81">
        <f ca="1">Q504*(1+INDEX(Q$310:Q$312,MATCH(Work_Codes!$I$177,$D$310:$D$312,0)))</f>
        <v>0</v>
      </c>
      <c r="R522" s="81">
        <f ca="1">R504*(1+INDEX(R$310:R$312,MATCH(Work_Codes!$I$177,$D$310:$D$312,0)))</f>
        <v>0</v>
      </c>
      <c r="S522" s="81">
        <f ca="1">S504*(1+INDEX(S$310:S$312,MATCH(Work_Codes!$I$177,$D$310:$D$312,0)))</f>
        <v>0</v>
      </c>
      <c r="T522" s="81">
        <f ca="1">T504*(1+INDEX(T$310:T$312,MATCH(Work_Codes!$I$177,$D$310:$D$312,0)))</f>
        <v>0</v>
      </c>
    </row>
    <row r="523" spans="4:20" ht="12" customHeight="1" outlineLevel="2">
      <c r="E523" s="247" t="str">
        <f>GC!C67</f>
        <v>SCADA</v>
      </c>
      <c r="F523" s="247"/>
      <c r="G523" s="247"/>
      <c r="H523" s="247"/>
      <c r="I523" s="247"/>
      <c r="J523" s="81">
        <f ca="1">J505*(1+INDEX(J$310:J$312,MATCH(Work_Codes!$I$177,$D$310:$D$312,0)))</f>
        <v>0</v>
      </c>
      <c r="K523" s="81">
        <f ca="1">K505*(1+INDEX(K$310:K$312,MATCH(Work_Codes!$I$177,$D$310:$D$312,0)))</f>
        <v>0</v>
      </c>
      <c r="L523" s="81">
        <f ca="1">L505*(1+INDEX(L$310:L$312,MATCH(Work_Codes!$I$177,$D$310:$D$312,0)))</f>
        <v>0</v>
      </c>
      <c r="M523" s="81">
        <f ca="1">M505*(1+INDEX(M$310:M$312,MATCH(Work_Codes!$I$177,$D$310:$D$312,0)))</f>
        <v>0</v>
      </c>
      <c r="N523" s="81">
        <f ca="1">N505*(1+INDEX(N$310:N$312,MATCH(Work_Codes!$I$177,$D$310:$D$312,0)))</f>
        <v>0</v>
      </c>
      <c r="O523" s="81">
        <f ca="1">O505*(1+INDEX(O$310:O$312,MATCH(Work_Codes!$I$177,$D$310:$D$312,0)))</f>
        <v>0</v>
      </c>
      <c r="P523" s="81">
        <f ca="1">P505*(1+INDEX(P$310:P$312,MATCH(Work_Codes!$I$177,$D$310:$D$312,0)))</f>
        <v>0</v>
      </c>
      <c r="Q523" s="81">
        <f ca="1">Q505*(1+INDEX(Q$310:Q$312,MATCH(Work_Codes!$I$177,$D$310:$D$312,0)))</f>
        <v>0</v>
      </c>
      <c r="R523" s="81">
        <f ca="1">R505*(1+INDEX(R$310:R$312,MATCH(Work_Codes!$I$177,$D$310:$D$312,0)))</f>
        <v>0</v>
      </c>
      <c r="S523" s="81">
        <f ca="1">S505*(1+INDEX(S$310:S$312,MATCH(Work_Codes!$I$177,$D$310:$D$312,0)))</f>
        <v>0</v>
      </c>
      <c r="T523" s="81">
        <f ca="1">T505*(1+INDEX(T$310:T$312,MATCH(Work_Codes!$I$177,$D$310:$D$312,0)))</f>
        <v>0</v>
      </c>
    </row>
    <row r="524" spans="4:20" ht="12" customHeight="1" outlineLevel="2">
      <c r="E524" s="247" t="str">
        <f>GC!C68</f>
        <v>Other</v>
      </c>
      <c r="F524" s="247"/>
      <c r="G524" s="247"/>
      <c r="H524" s="247"/>
      <c r="I524" s="247"/>
      <c r="J524" s="81">
        <f ca="1">J506*(1+INDEX(J$310:J$312,MATCH(Work_Codes!$I$177,$D$310:$D$312,0)))</f>
        <v>0</v>
      </c>
      <c r="K524" s="81">
        <f ca="1">K506*(1+INDEX(K$310:K$312,MATCH(Work_Codes!$I$177,$D$310:$D$312,0)))</f>
        <v>0</v>
      </c>
      <c r="L524" s="81">
        <f ca="1">L506*(1+INDEX(L$310:L$312,MATCH(Work_Codes!$I$177,$D$310:$D$312,0)))</f>
        <v>0</v>
      </c>
      <c r="M524" s="81">
        <f ca="1">M506*(1+INDEX(M$310:M$312,MATCH(Work_Codes!$I$177,$D$310:$D$312,0)))</f>
        <v>0</v>
      </c>
      <c r="N524" s="81">
        <f ca="1">N506*(1+INDEX(N$310:N$312,MATCH(Work_Codes!$I$177,$D$310:$D$312,0)))</f>
        <v>0</v>
      </c>
      <c r="O524" s="81">
        <f ca="1">O506*(1+INDEX(O$310:O$312,MATCH(Work_Codes!$I$177,$D$310:$D$312,0)))</f>
        <v>0</v>
      </c>
      <c r="P524" s="81">
        <f ca="1">P506*(1+INDEX(P$310:P$312,MATCH(Work_Codes!$I$177,$D$310:$D$312,0)))</f>
        <v>0</v>
      </c>
      <c r="Q524" s="81">
        <f ca="1">Q506*(1+INDEX(Q$310:Q$312,MATCH(Work_Codes!$I$177,$D$310:$D$312,0)))</f>
        <v>0</v>
      </c>
      <c r="R524" s="81">
        <f ca="1">R506*(1+INDEX(R$310:R$312,MATCH(Work_Codes!$I$177,$D$310:$D$312,0)))</f>
        <v>0</v>
      </c>
      <c r="S524" s="81">
        <f ca="1">S506*(1+INDEX(S$310:S$312,MATCH(Work_Codes!$I$177,$D$310:$D$312,0)))</f>
        <v>0</v>
      </c>
      <c r="T524" s="81">
        <f ca="1">T506*(1+INDEX(T$310:T$312,MATCH(Work_Codes!$I$177,$D$310:$D$312,0)))</f>
        <v>0</v>
      </c>
    </row>
    <row r="525" spans="4:20" outlineLevel="2">
      <c r="E525" s="247" t="str">
        <f>GC!C69</f>
        <v>Capitalised Leases</v>
      </c>
      <c r="F525" s="247"/>
      <c r="G525" s="247"/>
      <c r="H525" s="247"/>
      <c r="I525" s="247"/>
      <c r="J525" s="81">
        <f ca="1">J507*(1+INDEX(J$310:J$312,MATCH(Work_Codes!$I$177,$D$310:$D$312,0)))</f>
        <v>0</v>
      </c>
      <c r="K525" s="81">
        <f ca="1">K507*(1+INDEX(K$310:K$312,MATCH(Work_Codes!$I$177,$D$310:$D$312,0)))</f>
        <v>0</v>
      </c>
      <c r="L525" s="81">
        <f ca="1">L507*(1+INDEX(L$310:L$312,MATCH(Work_Codes!$I$177,$D$310:$D$312,0)))</f>
        <v>0</v>
      </c>
      <c r="M525" s="81">
        <f ca="1">M507*(1+INDEX(M$310:M$312,MATCH(Work_Codes!$I$177,$D$310:$D$312,0)))</f>
        <v>0</v>
      </c>
      <c r="N525" s="81">
        <f ca="1">N507*(1+INDEX(N$310:N$312,MATCH(Work_Codes!$I$177,$D$310:$D$312,0)))</f>
        <v>0</v>
      </c>
      <c r="O525" s="81">
        <f ca="1">O507*(1+INDEX(O$310:O$312,MATCH(Work_Codes!$I$177,$D$310:$D$312,0)))</f>
        <v>0</v>
      </c>
      <c r="P525" s="81">
        <f ca="1">P507*(1+INDEX(P$310:P$312,MATCH(Work_Codes!$I$177,$D$310:$D$312,0)))</f>
        <v>0</v>
      </c>
      <c r="Q525" s="81">
        <f ca="1">Q507*(1+INDEX(Q$310:Q$312,MATCH(Work_Codes!$I$177,$D$310:$D$312,0)))</f>
        <v>0</v>
      </c>
      <c r="R525" s="81">
        <f ca="1">R507*(1+INDEX(R$310:R$312,MATCH(Work_Codes!$I$177,$D$310:$D$312,0)))</f>
        <v>0</v>
      </c>
      <c r="S525" s="81">
        <f ca="1">S507*(1+INDEX(S$310:S$312,MATCH(Work_Codes!$I$177,$D$310:$D$312,0)))</f>
        <v>0</v>
      </c>
      <c r="T525" s="81">
        <f ca="1">T507*(1+INDEX(T$310:T$312,MATCH(Work_Codes!$I$177,$D$310:$D$312,0)))</f>
        <v>0</v>
      </c>
    </row>
    <row r="526" spans="4:20" ht="12" customHeight="1" outlineLevel="2">
      <c r="E526" s="247" t="str">
        <f>GC!C70</f>
        <v>Gas Extensions - Energy for the Regions</v>
      </c>
      <c r="F526" s="247"/>
      <c r="G526" s="247"/>
      <c r="H526" s="247"/>
      <c r="I526" s="247"/>
      <c r="J526" s="81">
        <f ca="1">J508*(1+INDEX(J$310:J$312,MATCH(Work_Codes!$I$177,$D$310:$D$312,0)))</f>
        <v>0</v>
      </c>
      <c r="K526" s="81">
        <f ca="1">K508*(1+INDEX(K$310:K$312,MATCH(Work_Codes!$I$177,$D$310:$D$312,0)))</f>
        <v>0</v>
      </c>
      <c r="L526" s="81">
        <f ca="1">L508*(1+INDEX(L$310:L$312,MATCH(Work_Codes!$I$177,$D$310:$D$312,0)))</f>
        <v>0</v>
      </c>
      <c r="M526" s="81">
        <f ca="1">M508*(1+INDEX(M$310:M$312,MATCH(Work_Codes!$I$177,$D$310:$D$312,0)))</f>
        <v>0</v>
      </c>
      <c r="N526" s="81">
        <f ca="1">N508*(1+INDEX(N$310:N$312,MATCH(Work_Codes!$I$177,$D$310:$D$312,0)))</f>
        <v>0</v>
      </c>
      <c r="O526" s="81">
        <f ca="1">O508*(1+INDEX(O$310:O$312,MATCH(Work_Codes!$I$177,$D$310:$D$312,0)))</f>
        <v>0</v>
      </c>
      <c r="P526" s="81">
        <f ca="1">P508*(1+INDEX(P$310:P$312,MATCH(Work_Codes!$I$177,$D$310:$D$312,0)))</f>
        <v>0</v>
      </c>
      <c r="Q526" s="81">
        <f ca="1">Q508*(1+INDEX(Q$310:Q$312,MATCH(Work_Codes!$I$177,$D$310:$D$312,0)))</f>
        <v>0</v>
      </c>
      <c r="R526" s="81">
        <f ca="1">R508*(1+INDEX(R$310:R$312,MATCH(Work_Codes!$I$177,$D$310:$D$312,0)))</f>
        <v>0</v>
      </c>
      <c r="S526" s="81">
        <f ca="1">S508*(1+INDEX(S$310:S$312,MATCH(Work_Codes!$I$177,$D$310:$D$312,0)))</f>
        <v>0</v>
      </c>
      <c r="T526" s="81">
        <f ca="1">T508*(1+INDEX(T$310:T$312,MATCH(Work_Codes!$I$177,$D$310:$D$312,0)))</f>
        <v>0</v>
      </c>
    </row>
    <row r="527" spans="4:20" ht="12" customHeight="1" outlineLevel="2">
      <c r="E527" s="247" t="str">
        <f>GC!C71</f>
        <v>Gas Extensions - Other</v>
      </c>
      <c r="F527" s="247"/>
      <c r="G527" s="247"/>
      <c r="H527" s="247"/>
      <c r="I527" s="247"/>
      <c r="J527" s="81">
        <f ca="1">J509*(1+INDEX(J$310:J$312,MATCH(Work_Codes!$I$177,$D$310:$D$312,0)))</f>
        <v>0</v>
      </c>
      <c r="K527" s="81">
        <f ca="1">K509*(1+INDEX(K$310:K$312,MATCH(Work_Codes!$I$177,$D$310:$D$312,0)))</f>
        <v>0</v>
      </c>
      <c r="L527" s="81">
        <f ca="1">L509*(1+INDEX(L$310:L$312,MATCH(Work_Codes!$I$177,$D$310:$D$312,0)))</f>
        <v>0</v>
      </c>
      <c r="M527" s="81">
        <f ca="1">M509*(1+INDEX(M$310:M$312,MATCH(Work_Codes!$I$177,$D$310:$D$312,0)))</f>
        <v>0</v>
      </c>
      <c r="N527" s="81">
        <f ca="1">N509*(1+INDEX(N$310:N$312,MATCH(Work_Codes!$I$177,$D$310:$D$312,0)))</f>
        <v>0</v>
      </c>
      <c r="O527" s="81">
        <f ca="1">O509*(1+INDEX(O$310:O$312,MATCH(Work_Codes!$I$177,$D$310:$D$312,0)))</f>
        <v>0</v>
      </c>
      <c r="P527" s="81">
        <f ca="1">P509*(1+INDEX(P$310:P$312,MATCH(Work_Codes!$I$177,$D$310:$D$312,0)))</f>
        <v>0</v>
      </c>
      <c r="Q527" s="81">
        <f ca="1">Q509*(1+INDEX(Q$310:Q$312,MATCH(Work_Codes!$I$177,$D$310:$D$312,0)))</f>
        <v>0</v>
      </c>
      <c r="R527" s="81">
        <f ca="1">R509*(1+INDEX(R$310:R$312,MATCH(Work_Codes!$I$177,$D$310:$D$312,0)))</f>
        <v>0</v>
      </c>
      <c r="S527" s="81">
        <f ca="1">S509*(1+INDEX(S$310:S$312,MATCH(Work_Codes!$I$177,$D$310:$D$312,0)))</f>
        <v>0</v>
      </c>
      <c r="T527" s="81">
        <f ca="1">T509*(1+INDEX(T$310:T$312,MATCH(Work_Codes!$I$177,$D$310:$D$312,0)))</f>
        <v>0</v>
      </c>
    </row>
    <row r="528" spans="4:20" ht="12" customHeight="1" outlineLevel="2">
      <c r="E528" s="247" t="str">
        <f>GC!C72</f>
        <v>Customer contributions</v>
      </c>
      <c r="F528" s="247"/>
      <c r="G528" s="247"/>
      <c r="H528" s="247"/>
      <c r="I528" s="247"/>
      <c r="J528" s="81">
        <f ca="1">J510*(1+INDEX(J$310:J$312,MATCH(Work_Codes!$I$177,$D$310:$D$312,0)))</f>
        <v>0</v>
      </c>
      <c r="K528" s="81">
        <f ca="1">K510*(1+INDEX(K$310:K$312,MATCH(Work_Codes!$I$177,$D$310:$D$312,0)))</f>
        <v>0</v>
      </c>
      <c r="L528" s="81">
        <f ca="1">L510*(1+INDEX(L$310:L$312,MATCH(Work_Codes!$I$177,$D$310:$D$312,0)))</f>
        <v>0</v>
      </c>
      <c r="M528" s="81">
        <f ca="1">M510*(1+INDEX(M$310:M$312,MATCH(Work_Codes!$I$177,$D$310:$D$312,0)))</f>
        <v>0</v>
      </c>
      <c r="N528" s="81">
        <f ca="1">N510*(1+INDEX(N$310:N$312,MATCH(Work_Codes!$I$177,$D$310:$D$312,0)))</f>
        <v>0</v>
      </c>
      <c r="O528" s="81">
        <f ca="1">O510*(1+INDEX(O$310:O$312,MATCH(Work_Codes!$I$177,$D$310:$D$312,0)))</f>
        <v>0</v>
      </c>
      <c r="P528" s="81">
        <f ca="1">P510*(1+INDEX(P$310:P$312,MATCH(Work_Codes!$I$177,$D$310:$D$312,0)))</f>
        <v>0</v>
      </c>
      <c r="Q528" s="81">
        <f ca="1">Q510*(1+INDEX(Q$310:Q$312,MATCH(Work_Codes!$I$177,$D$310:$D$312,0)))</f>
        <v>0</v>
      </c>
      <c r="R528" s="81">
        <f ca="1">R510*(1+INDEX(R$310:R$312,MATCH(Work_Codes!$I$177,$D$310:$D$312,0)))</f>
        <v>0</v>
      </c>
      <c r="S528" s="81">
        <f ca="1">S510*(1+INDEX(S$310:S$312,MATCH(Work_Codes!$I$177,$D$310:$D$312,0)))</f>
        <v>0</v>
      </c>
      <c r="T528" s="81">
        <f ca="1">T510*(1+INDEX(T$310:T$312,MATCH(Work_Codes!$I$177,$D$310:$D$312,0)))</f>
        <v>0</v>
      </c>
    </row>
    <row r="529" spans="4:20" ht="12" customHeight="1" outlineLevel="2">
      <c r="E529" s="247" t="str">
        <f>GC!C73</f>
        <v>Government contributions</v>
      </c>
      <c r="F529" s="247"/>
      <c r="G529" s="247"/>
      <c r="H529" s="247"/>
      <c r="I529" s="247"/>
      <c r="J529" s="81">
        <f ca="1">J511*(1+INDEX(J$310:J$312,MATCH(Work_Codes!$I$177,$D$310:$D$312,0)))</f>
        <v>0</v>
      </c>
      <c r="K529" s="81">
        <f ca="1">K511*(1+INDEX(K$310:K$312,MATCH(Work_Codes!$I$177,$D$310:$D$312,0)))</f>
        <v>0</v>
      </c>
      <c r="L529" s="81">
        <f ca="1">L511*(1+INDEX(L$310:L$312,MATCH(Work_Codes!$I$177,$D$310:$D$312,0)))</f>
        <v>0</v>
      </c>
      <c r="M529" s="81">
        <f ca="1">M511*(1+INDEX(M$310:M$312,MATCH(Work_Codes!$I$177,$D$310:$D$312,0)))</f>
        <v>0</v>
      </c>
      <c r="N529" s="81">
        <f ca="1">N511*(1+INDEX(N$310:N$312,MATCH(Work_Codes!$I$177,$D$310:$D$312,0)))</f>
        <v>0</v>
      </c>
      <c r="O529" s="81">
        <f ca="1">O511*(1+INDEX(O$310:O$312,MATCH(Work_Codes!$I$177,$D$310:$D$312,0)))</f>
        <v>0</v>
      </c>
      <c r="P529" s="81">
        <f ca="1">P511*(1+INDEX(P$310:P$312,MATCH(Work_Codes!$I$177,$D$310:$D$312,0)))</f>
        <v>0</v>
      </c>
      <c r="Q529" s="81">
        <f ca="1">Q511*(1+INDEX(Q$310:Q$312,MATCH(Work_Codes!$I$177,$D$310:$D$312,0)))</f>
        <v>0</v>
      </c>
      <c r="R529" s="81">
        <f ca="1">R511*(1+INDEX(R$310:R$312,MATCH(Work_Codes!$I$177,$D$310:$D$312,0)))</f>
        <v>0</v>
      </c>
      <c r="S529" s="81">
        <f ca="1">S511*(1+INDEX(S$310:S$312,MATCH(Work_Codes!$I$177,$D$310:$D$312,0)))</f>
        <v>0</v>
      </c>
      <c r="T529" s="81">
        <f ca="1">T511*(1+INDEX(T$310:T$312,MATCH(Work_Codes!$I$177,$D$310:$D$312,0)))</f>
        <v>0</v>
      </c>
    </row>
    <row r="530" spans="4:20" ht="12" customHeight="1" outlineLevel="2">
      <c r="E530" s="249" t="str">
        <f>"Total "&amp;D514</f>
        <v>Total Direct Costs + Overheads</v>
      </c>
      <c r="F530" s="249"/>
      <c r="G530" s="249"/>
      <c r="H530" s="249"/>
      <c r="I530" s="249"/>
      <c r="J530" s="82">
        <f t="shared" ref="J530:T530" ca="1" si="53">SUM(J516:J529)</f>
        <v>0</v>
      </c>
      <c r="K530" s="82">
        <f t="shared" ca="1" si="53"/>
        <v>0</v>
      </c>
      <c r="L530" s="82">
        <f t="shared" ca="1" si="53"/>
        <v>0</v>
      </c>
      <c r="M530" s="82">
        <f t="shared" ca="1" si="53"/>
        <v>0</v>
      </c>
      <c r="N530" s="82">
        <f t="shared" ca="1" si="53"/>
        <v>0</v>
      </c>
      <c r="O530" s="82">
        <f t="shared" ca="1" si="53"/>
        <v>151027.46536114672</v>
      </c>
      <c r="P530" s="82">
        <f t="shared" ca="1" si="53"/>
        <v>321724.78570458514</v>
      </c>
      <c r="Q530" s="82">
        <f t="shared" ca="1" si="53"/>
        <v>307283.82205838594</v>
      </c>
      <c r="R530" s="82">
        <f t="shared" ca="1" si="53"/>
        <v>580908.00347921706</v>
      </c>
      <c r="S530" s="82">
        <f t="shared" ca="1" si="53"/>
        <v>279523.28175168217</v>
      </c>
      <c r="T530" s="82">
        <f t="shared" ca="1" si="53"/>
        <v>269242.9542824385</v>
      </c>
    </row>
    <row r="531" spans="4:20" outlineLevel="2"/>
    <row r="532" spans="4:20" outlineLevel="2">
      <c r="D532" s="37" t="s">
        <v>367</v>
      </c>
    </row>
    <row r="533" spans="4:20" ht="5.75" customHeight="1" outlineLevel="2"/>
    <row r="534" spans="4:20" outlineLevel="2">
      <c r="E534" s="247" t="str">
        <f>GC!C60</f>
        <v>Mains replacement</v>
      </c>
      <c r="F534" s="247"/>
      <c r="G534" s="247"/>
      <c r="H534" s="247"/>
      <c r="I534" s="247"/>
      <c r="J534" s="81">
        <f ca="1">SUMPRODUCT((Work_Codes!$AC$180:$AO$180=$E534)*(Work_Codes!$AC$193:$AO$193)*(J$355:J$355))</f>
        <v>0</v>
      </c>
      <c r="K534" s="81">
        <f ca="1">SUMPRODUCT((Work_Codes!$AC$180:$AO$180=$E534)*(Work_Codes!$AC$193:$AO$193)*(K$355:K$355))</f>
        <v>0</v>
      </c>
      <c r="L534" s="81">
        <f ca="1">SUMPRODUCT((Work_Codes!$AC$180:$AO$180=$E534)*(Work_Codes!$AC$193:$AO$193)*(L$355:L$355))</f>
        <v>0</v>
      </c>
      <c r="M534" s="81">
        <f ca="1">SUMPRODUCT((Work_Codes!$AC$180:$AO$180=$E534)*(Work_Codes!$AC$193:$AO$193)*(M$355:M$355))</f>
        <v>0</v>
      </c>
      <c r="N534" s="81">
        <f ca="1">SUMPRODUCT((Work_Codes!$AC$180:$AO$180=$E534)*(Work_Codes!$AC$193:$AO$193)*(N$355:N$355))</f>
        <v>0</v>
      </c>
      <c r="O534" s="81">
        <f ca="1">SUMPRODUCT((Work_Codes!$AC$180:$AO$180=$E534)*(Work_Codes!$AC$193:$AO$193)*(O$355:O$355))</f>
        <v>0</v>
      </c>
      <c r="P534" s="81">
        <f ca="1">SUMPRODUCT((Work_Codes!$AC$180:$AO$180=$E534)*(Work_Codes!$AC$193:$AO$193)*(P$355:P$355))</f>
        <v>0</v>
      </c>
      <c r="Q534" s="81">
        <f ca="1">SUMPRODUCT((Work_Codes!$AC$180:$AO$180=$E534)*(Work_Codes!$AC$193:$AO$193)*(Q$355:Q$355))</f>
        <v>0</v>
      </c>
      <c r="R534" s="81">
        <f ca="1">SUMPRODUCT((Work_Codes!$AC$180:$AO$180=$E534)*(Work_Codes!$AC$193:$AO$193)*(R$355:R$355))</f>
        <v>0</v>
      </c>
      <c r="S534" s="81">
        <f ca="1">SUMPRODUCT((Work_Codes!$AC$180:$AO$180=$E534)*(Work_Codes!$AC$193:$AO$193)*(S$355:S$355))</f>
        <v>0</v>
      </c>
      <c r="T534" s="81">
        <f ca="1">SUMPRODUCT((Work_Codes!$AC$180:$AO$180=$E534)*(Work_Codes!$AC$193:$AO$193)*(T$355:T$355))</f>
        <v>0</v>
      </c>
    </row>
    <row r="535" spans="4:20" outlineLevel="2">
      <c r="E535" s="247" t="str">
        <f>GC!C61</f>
        <v>Residential new customer connections</v>
      </c>
      <c r="F535" s="247"/>
      <c r="G535" s="247"/>
      <c r="H535" s="247"/>
      <c r="I535" s="247"/>
      <c r="J535" s="81">
        <f ca="1">SUMPRODUCT((Work_Codes!$AC$180:$AO$180=$E535)*(Work_Codes!$AC$193:$AO$193)*(J$355:J$355))</f>
        <v>0</v>
      </c>
      <c r="K535" s="81">
        <f ca="1">SUMPRODUCT((Work_Codes!$AC$180:$AO$180=$E535)*(Work_Codes!$AC$193:$AO$193)*(K$355:K$355))</f>
        <v>0</v>
      </c>
      <c r="L535" s="81">
        <f ca="1">SUMPRODUCT((Work_Codes!$AC$180:$AO$180=$E535)*(Work_Codes!$AC$193:$AO$193)*(L$355:L$355))</f>
        <v>0</v>
      </c>
      <c r="M535" s="81">
        <f ca="1">SUMPRODUCT((Work_Codes!$AC$180:$AO$180=$E535)*(Work_Codes!$AC$193:$AO$193)*(M$355:M$355))</f>
        <v>0</v>
      </c>
      <c r="N535" s="81">
        <f ca="1">SUMPRODUCT((Work_Codes!$AC$180:$AO$180=$E535)*(Work_Codes!$AC$193:$AO$193)*(N$355:N$355))</f>
        <v>0</v>
      </c>
      <c r="O535" s="81">
        <f ca="1">SUMPRODUCT((Work_Codes!$AC$180:$AO$180=$E535)*(Work_Codes!$AC$193:$AO$193)*(O$355:O$355))</f>
        <v>0</v>
      </c>
      <c r="P535" s="81">
        <f ca="1">SUMPRODUCT((Work_Codes!$AC$180:$AO$180=$E535)*(Work_Codes!$AC$193:$AO$193)*(P$355:P$355))</f>
        <v>0</v>
      </c>
      <c r="Q535" s="81">
        <f ca="1">SUMPRODUCT((Work_Codes!$AC$180:$AO$180=$E535)*(Work_Codes!$AC$193:$AO$193)*(Q$355:Q$355))</f>
        <v>0</v>
      </c>
      <c r="R535" s="81">
        <f ca="1">SUMPRODUCT((Work_Codes!$AC$180:$AO$180=$E535)*(Work_Codes!$AC$193:$AO$193)*(R$355:R$355))</f>
        <v>0</v>
      </c>
      <c r="S535" s="81">
        <f ca="1">SUMPRODUCT((Work_Codes!$AC$180:$AO$180=$E535)*(Work_Codes!$AC$193:$AO$193)*(S$355:S$355))</f>
        <v>0</v>
      </c>
      <c r="T535" s="81">
        <f ca="1">SUMPRODUCT((Work_Codes!$AC$180:$AO$180=$E535)*(Work_Codes!$AC$193:$AO$193)*(T$355:T$355))</f>
        <v>0</v>
      </c>
    </row>
    <row r="536" spans="4:20" outlineLevel="2">
      <c r="E536" s="247" t="str">
        <f>GC!C62</f>
        <v>Commercial and industrial new customer connections</v>
      </c>
      <c r="F536" s="247"/>
      <c r="G536" s="247"/>
      <c r="H536" s="247"/>
      <c r="I536" s="247"/>
      <c r="J536" s="81">
        <f ca="1">SUMPRODUCT((Work_Codes!$AC$180:$AO$180=$E536)*(Work_Codes!$AC$193:$AO$193)*(J$355:J$355))</f>
        <v>0</v>
      </c>
      <c r="K536" s="81">
        <f ca="1">SUMPRODUCT((Work_Codes!$AC$180:$AO$180=$E536)*(Work_Codes!$AC$193:$AO$193)*(K$355:K$355))</f>
        <v>0</v>
      </c>
      <c r="L536" s="81">
        <f ca="1">SUMPRODUCT((Work_Codes!$AC$180:$AO$180=$E536)*(Work_Codes!$AC$193:$AO$193)*(L$355:L$355))</f>
        <v>0</v>
      </c>
      <c r="M536" s="81">
        <f ca="1">SUMPRODUCT((Work_Codes!$AC$180:$AO$180=$E536)*(Work_Codes!$AC$193:$AO$193)*(M$355:M$355))</f>
        <v>0</v>
      </c>
      <c r="N536" s="81">
        <f ca="1">SUMPRODUCT((Work_Codes!$AC$180:$AO$180=$E536)*(Work_Codes!$AC$193:$AO$193)*(N$355:N$355))</f>
        <v>0</v>
      </c>
      <c r="O536" s="81">
        <f ca="1">SUMPRODUCT((Work_Codes!$AC$180:$AO$180=$E536)*(Work_Codes!$AC$193:$AO$193)*(O$355:O$355))</f>
        <v>0</v>
      </c>
      <c r="P536" s="81">
        <f ca="1">SUMPRODUCT((Work_Codes!$AC$180:$AO$180=$E536)*(Work_Codes!$AC$193:$AO$193)*(P$355:P$355))</f>
        <v>0</v>
      </c>
      <c r="Q536" s="81">
        <f ca="1">SUMPRODUCT((Work_Codes!$AC$180:$AO$180=$E536)*(Work_Codes!$AC$193:$AO$193)*(Q$355:Q$355))</f>
        <v>0</v>
      </c>
      <c r="R536" s="81">
        <f ca="1">SUMPRODUCT((Work_Codes!$AC$180:$AO$180=$E536)*(Work_Codes!$AC$193:$AO$193)*(R$355:R$355))</f>
        <v>0</v>
      </c>
      <c r="S536" s="81">
        <f ca="1">SUMPRODUCT((Work_Codes!$AC$180:$AO$180=$E536)*(Work_Codes!$AC$193:$AO$193)*(S$355:S$355))</f>
        <v>0</v>
      </c>
      <c r="T536" s="81">
        <f ca="1">SUMPRODUCT((Work_Codes!$AC$180:$AO$180=$E536)*(Work_Codes!$AC$193:$AO$193)*(T$355:T$355))</f>
        <v>0</v>
      </c>
    </row>
    <row r="537" spans="4:20" outlineLevel="2">
      <c r="E537" s="247" t="str">
        <f>GC!C63</f>
        <v>Residential meter replacement</v>
      </c>
      <c r="F537" s="247"/>
      <c r="G537" s="247"/>
      <c r="H537" s="247"/>
      <c r="I537" s="247"/>
      <c r="J537" s="81">
        <f ca="1">SUMPRODUCT((Work_Codes!$AC$180:$AO$180=$E537)*(Work_Codes!$AC$193:$AO$193)*(J$355:J$355))</f>
        <v>0</v>
      </c>
      <c r="K537" s="81">
        <f ca="1">SUMPRODUCT((Work_Codes!$AC$180:$AO$180=$E537)*(Work_Codes!$AC$193:$AO$193)*(K$355:K$355))</f>
        <v>0</v>
      </c>
      <c r="L537" s="81">
        <f ca="1">SUMPRODUCT((Work_Codes!$AC$180:$AO$180=$E537)*(Work_Codes!$AC$193:$AO$193)*(L$355:L$355))</f>
        <v>0</v>
      </c>
      <c r="M537" s="81">
        <f ca="1">SUMPRODUCT((Work_Codes!$AC$180:$AO$180=$E537)*(Work_Codes!$AC$193:$AO$193)*(M$355:M$355))</f>
        <v>0</v>
      </c>
      <c r="N537" s="81">
        <f ca="1">SUMPRODUCT((Work_Codes!$AC$180:$AO$180=$E537)*(Work_Codes!$AC$193:$AO$193)*(N$355:N$355))</f>
        <v>0</v>
      </c>
      <c r="O537" s="81">
        <f ca="1">SUMPRODUCT((Work_Codes!$AC$180:$AO$180=$E537)*(Work_Codes!$AC$193:$AO$193)*(O$355:O$355))</f>
        <v>0</v>
      </c>
      <c r="P537" s="81">
        <f ca="1">SUMPRODUCT((Work_Codes!$AC$180:$AO$180=$E537)*(Work_Codes!$AC$193:$AO$193)*(P$355:P$355))</f>
        <v>0</v>
      </c>
      <c r="Q537" s="81">
        <f ca="1">SUMPRODUCT((Work_Codes!$AC$180:$AO$180=$E537)*(Work_Codes!$AC$193:$AO$193)*(Q$355:Q$355))</f>
        <v>0</v>
      </c>
      <c r="R537" s="81">
        <f ca="1">SUMPRODUCT((Work_Codes!$AC$180:$AO$180=$E537)*(Work_Codes!$AC$193:$AO$193)*(R$355:R$355))</f>
        <v>0</v>
      </c>
      <c r="S537" s="81">
        <f ca="1">SUMPRODUCT((Work_Codes!$AC$180:$AO$180=$E537)*(Work_Codes!$AC$193:$AO$193)*(S$355:S$355))</f>
        <v>0</v>
      </c>
      <c r="T537" s="81">
        <f ca="1">SUMPRODUCT((Work_Codes!$AC$180:$AO$180=$E537)*(Work_Codes!$AC$193:$AO$193)*(T$355:T$355))</f>
        <v>0</v>
      </c>
    </row>
    <row r="538" spans="4:20" outlineLevel="2">
      <c r="E538" s="247" t="str">
        <f>GC!C64</f>
        <v>Commercial and industrial meter replacement</v>
      </c>
      <c r="F538" s="247"/>
      <c r="G538" s="247"/>
      <c r="H538" s="247"/>
      <c r="I538" s="247"/>
      <c r="J538" s="81">
        <f ca="1">SUMPRODUCT((Work_Codes!$AC$180:$AO$180=$E538)*(Work_Codes!$AC$193:$AO$193)*(J$355:J$355))</f>
        <v>0</v>
      </c>
      <c r="K538" s="81">
        <f ca="1">SUMPRODUCT((Work_Codes!$AC$180:$AO$180=$E538)*(Work_Codes!$AC$193:$AO$193)*(K$355:K$355))</f>
        <v>0</v>
      </c>
      <c r="L538" s="81">
        <f ca="1">SUMPRODUCT((Work_Codes!$AC$180:$AO$180=$E538)*(Work_Codes!$AC$193:$AO$193)*(L$355:L$355))</f>
        <v>0</v>
      </c>
      <c r="M538" s="81">
        <f ca="1">SUMPRODUCT((Work_Codes!$AC$180:$AO$180=$E538)*(Work_Codes!$AC$193:$AO$193)*(M$355:M$355))</f>
        <v>0</v>
      </c>
      <c r="N538" s="81">
        <f ca="1">SUMPRODUCT((Work_Codes!$AC$180:$AO$180=$E538)*(Work_Codes!$AC$193:$AO$193)*(N$355:N$355))</f>
        <v>0</v>
      </c>
      <c r="O538" s="81">
        <f ca="1">SUMPRODUCT((Work_Codes!$AC$180:$AO$180=$E538)*(Work_Codes!$AC$193:$AO$193)*(O$355:O$355))</f>
        <v>0</v>
      </c>
      <c r="P538" s="81">
        <f ca="1">SUMPRODUCT((Work_Codes!$AC$180:$AO$180=$E538)*(Work_Codes!$AC$193:$AO$193)*(P$355:P$355))</f>
        <v>0</v>
      </c>
      <c r="Q538" s="81">
        <f ca="1">SUMPRODUCT((Work_Codes!$AC$180:$AO$180=$E538)*(Work_Codes!$AC$193:$AO$193)*(Q$355:Q$355))</f>
        <v>0</v>
      </c>
      <c r="R538" s="81">
        <f ca="1">SUMPRODUCT((Work_Codes!$AC$180:$AO$180=$E538)*(Work_Codes!$AC$193:$AO$193)*(R$355:R$355))</f>
        <v>0</v>
      </c>
      <c r="S538" s="81">
        <f ca="1">SUMPRODUCT((Work_Codes!$AC$180:$AO$180=$E538)*(Work_Codes!$AC$193:$AO$193)*(S$355:S$355))</f>
        <v>0</v>
      </c>
      <c r="T538" s="81">
        <f ca="1">SUMPRODUCT((Work_Codes!$AC$180:$AO$180=$E538)*(Work_Codes!$AC$193:$AO$193)*(T$355:T$355))</f>
        <v>0</v>
      </c>
    </row>
    <row r="539" spans="4:20" outlineLevel="2">
      <c r="E539" s="247" t="str">
        <f>GC!C65</f>
        <v>Augmentation</v>
      </c>
      <c r="F539" s="247"/>
      <c r="G539" s="247"/>
      <c r="H539" s="247"/>
      <c r="I539" s="247"/>
      <c r="J539" s="81">
        <f ca="1">SUMPRODUCT((Work_Codes!$AC$180:$AO$180=$E539)*(Work_Codes!$AC$193:$AO$193)*(J$355:J$355))</f>
        <v>0</v>
      </c>
      <c r="K539" s="81">
        <f ca="1">SUMPRODUCT((Work_Codes!$AC$180:$AO$180=$E539)*(Work_Codes!$AC$193:$AO$193)*(K$355:K$355))</f>
        <v>0</v>
      </c>
      <c r="L539" s="81">
        <f ca="1">SUMPRODUCT((Work_Codes!$AC$180:$AO$180=$E539)*(Work_Codes!$AC$193:$AO$193)*(L$355:L$355))</f>
        <v>0</v>
      </c>
      <c r="M539" s="81">
        <f ca="1">SUMPRODUCT((Work_Codes!$AC$180:$AO$180=$E539)*(Work_Codes!$AC$193:$AO$193)*(M$355:M$355))</f>
        <v>0</v>
      </c>
      <c r="N539" s="81">
        <f ca="1">SUMPRODUCT((Work_Codes!$AC$180:$AO$180=$E539)*(Work_Codes!$AC$193:$AO$193)*(N$355:N$355))</f>
        <v>0</v>
      </c>
      <c r="O539" s="81">
        <f ca="1">SUMPRODUCT((Work_Codes!$AC$180:$AO$180=$E539)*(Work_Codes!$AC$193:$AO$193)*(O$355:O$355))</f>
        <v>0</v>
      </c>
      <c r="P539" s="81">
        <f ca="1">SUMPRODUCT((Work_Codes!$AC$180:$AO$180=$E539)*(Work_Codes!$AC$193:$AO$193)*(P$355:P$355))</f>
        <v>0</v>
      </c>
      <c r="Q539" s="81">
        <f ca="1">SUMPRODUCT((Work_Codes!$AC$180:$AO$180=$E539)*(Work_Codes!$AC$193:$AO$193)*(Q$355:Q$355))</f>
        <v>0</v>
      </c>
      <c r="R539" s="81">
        <f ca="1">SUMPRODUCT((Work_Codes!$AC$180:$AO$180=$E539)*(Work_Codes!$AC$193:$AO$193)*(R$355:R$355))</f>
        <v>0</v>
      </c>
      <c r="S539" s="81">
        <f ca="1">SUMPRODUCT((Work_Codes!$AC$180:$AO$180=$E539)*(Work_Codes!$AC$193:$AO$193)*(S$355:S$355))</f>
        <v>0</v>
      </c>
      <c r="T539" s="81">
        <f ca="1">SUMPRODUCT((Work_Codes!$AC$180:$AO$180=$E539)*(Work_Codes!$AC$193:$AO$193)*(T$355:T$355))</f>
        <v>0</v>
      </c>
    </row>
    <row r="540" spans="4:20" outlineLevel="2">
      <c r="E540" s="247" t="str">
        <f>GC!C66</f>
        <v>IT capex</v>
      </c>
      <c r="F540" s="247"/>
      <c r="G540" s="247"/>
      <c r="H540" s="247"/>
      <c r="I540" s="247"/>
      <c r="J540" s="81">
        <f ca="1">SUMPRODUCT((Work_Codes!$AC$180:$AO$180=$E540)*(Work_Codes!$AC$193:$AO$193)*(J$355:J$355))</f>
        <v>0</v>
      </c>
      <c r="K540" s="81">
        <f ca="1">SUMPRODUCT((Work_Codes!$AC$180:$AO$180=$E540)*(Work_Codes!$AC$193:$AO$193)*(K$355:K$355))</f>
        <v>0</v>
      </c>
      <c r="L540" s="81">
        <f ca="1">SUMPRODUCT((Work_Codes!$AC$180:$AO$180=$E540)*(Work_Codes!$AC$193:$AO$193)*(L$355:L$355))</f>
        <v>0</v>
      </c>
      <c r="M540" s="81">
        <f ca="1">SUMPRODUCT((Work_Codes!$AC$180:$AO$180=$E540)*(Work_Codes!$AC$193:$AO$193)*(M$355:M$355))</f>
        <v>0</v>
      </c>
      <c r="N540" s="81">
        <f ca="1">SUMPRODUCT((Work_Codes!$AC$180:$AO$180=$E540)*(Work_Codes!$AC$193:$AO$193)*(N$355:N$355))</f>
        <v>0</v>
      </c>
      <c r="O540" s="81">
        <f ca="1">SUMPRODUCT((Work_Codes!$AC$180:$AO$180=$E540)*(Work_Codes!$AC$193:$AO$193)*(O$355:O$355))</f>
        <v>0</v>
      </c>
      <c r="P540" s="81">
        <f ca="1">SUMPRODUCT((Work_Codes!$AC$180:$AO$180=$E540)*(Work_Codes!$AC$193:$AO$193)*(P$355:P$355))</f>
        <v>0</v>
      </c>
      <c r="Q540" s="81">
        <f ca="1">SUMPRODUCT((Work_Codes!$AC$180:$AO$180=$E540)*(Work_Codes!$AC$193:$AO$193)*(Q$355:Q$355))</f>
        <v>0</v>
      </c>
      <c r="R540" s="81">
        <f ca="1">SUMPRODUCT((Work_Codes!$AC$180:$AO$180=$E540)*(Work_Codes!$AC$193:$AO$193)*(R$355:R$355))</f>
        <v>0</v>
      </c>
      <c r="S540" s="81">
        <f ca="1">SUMPRODUCT((Work_Codes!$AC$180:$AO$180=$E540)*(Work_Codes!$AC$193:$AO$193)*(S$355:S$355))</f>
        <v>0</v>
      </c>
      <c r="T540" s="81">
        <f ca="1">SUMPRODUCT((Work_Codes!$AC$180:$AO$180=$E540)*(Work_Codes!$AC$193:$AO$193)*(T$355:T$355))</f>
        <v>0</v>
      </c>
    </row>
    <row r="541" spans="4:20" outlineLevel="2">
      <c r="E541" s="247" t="str">
        <f>GC!C67</f>
        <v>SCADA</v>
      </c>
      <c r="F541" s="247"/>
      <c r="G541" s="247"/>
      <c r="H541" s="247"/>
      <c r="I541" s="247"/>
      <c r="J541" s="81">
        <f ca="1">SUMPRODUCT((Work_Codes!$AC$180:$AO$180=$E541)*(Work_Codes!$AC$193:$AO$193)*(J$355:J$355))</f>
        <v>0</v>
      </c>
      <c r="K541" s="81">
        <f ca="1">SUMPRODUCT((Work_Codes!$AC$180:$AO$180=$E541)*(Work_Codes!$AC$193:$AO$193)*(K$355:K$355))</f>
        <v>0</v>
      </c>
      <c r="L541" s="81">
        <f ca="1">SUMPRODUCT((Work_Codes!$AC$180:$AO$180=$E541)*(Work_Codes!$AC$193:$AO$193)*(L$355:L$355))</f>
        <v>0</v>
      </c>
      <c r="M541" s="81">
        <f ca="1">SUMPRODUCT((Work_Codes!$AC$180:$AO$180=$E541)*(Work_Codes!$AC$193:$AO$193)*(M$355:M$355))</f>
        <v>0</v>
      </c>
      <c r="N541" s="81">
        <f ca="1">SUMPRODUCT((Work_Codes!$AC$180:$AO$180=$E541)*(Work_Codes!$AC$193:$AO$193)*(N$355:N$355))</f>
        <v>0</v>
      </c>
      <c r="O541" s="81">
        <f ca="1">SUMPRODUCT((Work_Codes!$AC$180:$AO$180=$E541)*(Work_Codes!$AC$193:$AO$193)*(O$355:O$355))</f>
        <v>0</v>
      </c>
      <c r="P541" s="81">
        <f ca="1">SUMPRODUCT((Work_Codes!$AC$180:$AO$180=$E541)*(Work_Codes!$AC$193:$AO$193)*(P$355:P$355))</f>
        <v>0</v>
      </c>
      <c r="Q541" s="81">
        <f ca="1">SUMPRODUCT((Work_Codes!$AC$180:$AO$180=$E541)*(Work_Codes!$AC$193:$AO$193)*(Q$355:Q$355))</f>
        <v>0</v>
      </c>
      <c r="R541" s="81">
        <f ca="1">SUMPRODUCT((Work_Codes!$AC$180:$AO$180=$E541)*(Work_Codes!$AC$193:$AO$193)*(R$355:R$355))</f>
        <v>0</v>
      </c>
      <c r="S541" s="81">
        <f ca="1">SUMPRODUCT((Work_Codes!$AC$180:$AO$180=$E541)*(Work_Codes!$AC$193:$AO$193)*(S$355:S$355))</f>
        <v>0</v>
      </c>
      <c r="T541" s="81">
        <f ca="1">SUMPRODUCT((Work_Codes!$AC$180:$AO$180=$E541)*(Work_Codes!$AC$193:$AO$193)*(T$355:T$355))</f>
        <v>0</v>
      </c>
    </row>
    <row r="542" spans="4:20" outlineLevel="2">
      <c r="E542" s="247" t="str">
        <f>GC!C68</f>
        <v>Other</v>
      </c>
      <c r="F542" s="247"/>
      <c r="G542" s="247"/>
      <c r="H542" s="247"/>
      <c r="I542" s="247"/>
      <c r="J542" s="81">
        <f ca="1">SUMPRODUCT((Work_Codes!$AC$180:$AO$180=$E542)*(Work_Codes!$AC$193:$AO$193)*(J$355:J$355))</f>
        <v>0</v>
      </c>
      <c r="K542" s="81">
        <f ca="1">SUMPRODUCT((Work_Codes!$AC$180:$AO$180=$E542)*(Work_Codes!$AC$193:$AO$193)*(K$355:K$355))</f>
        <v>0</v>
      </c>
      <c r="L542" s="81">
        <f ca="1">SUMPRODUCT((Work_Codes!$AC$180:$AO$180=$E542)*(Work_Codes!$AC$193:$AO$193)*(L$355:L$355))</f>
        <v>0</v>
      </c>
      <c r="M542" s="81">
        <f ca="1">SUMPRODUCT((Work_Codes!$AC$180:$AO$180=$E542)*(Work_Codes!$AC$193:$AO$193)*(M$355:M$355))</f>
        <v>0</v>
      </c>
      <c r="N542" s="81">
        <f ca="1">SUMPRODUCT((Work_Codes!$AC$180:$AO$180=$E542)*(Work_Codes!$AC$193:$AO$193)*(N$355:N$355))</f>
        <v>0</v>
      </c>
      <c r="O542" s="81">
        <f ca="1">SUMPRODUCT((Work_Codes!$AC$180:$AO$180=$E542)*(Work_Codes!$AC$193:$AO$193)*(O$355:O$355))</f>
        <v>0</v>
      </c>
      <c r="P542" s="81">
        <f ca="1">SUMPRODUCT((Work_Codes!$AC$180:$AO$180=$E542)*(Work_Codes!$AC$193:$AO$193)*(P$355:P$355))</f>
        <v>0</v>
      </c>
      <c r="Q542" s="81">
        <f ca="1">SUMPRODUCT((Work_Codes!$AC$180:$AO$180=$E542)*(Work_Codes!$AC$193:$AO$193)*(Q$355:Q$355))</f>
        <v>0</v>
      </c>
      <c r="R542" s="81">
        <f ca="1">SUMPRODUCT((Work_Codes!$AC$180:$AO$180=$E542)*(Work_Codes!$AC$193:$AO$193)*(R$355:R$355))</f>
        <v>0</v>
      </c>
      <c r="S542" s="81">
        <f ca="1">SUMPRODUCT((Work_Codes!$AC$180:$AO$180=$E542)*(Work_Codes!$AC$193:$AO$193)*(S$355:S$355))</f>
        <v>0</v>
      </c>
      <c r="T542" s="81">
        <f ca="1">SUMPRODUCT((Work_Codes!$AC$180:$AO$180=$E542)*(Work_Codes!$AC$193:$AO$193)*(T$355:T$355))</f>
        <v>0</v>
      </c>
    </row>
    <row r="543" spans="4:20" outlineLevel="2">
      <c r="E543" s="247" t="str">
        <f>GC!C69</f>
        <v>Capitalised Leases</v>
      </c>
      <c r="F543" s="247"/>
      <c r="G543" s="247"/>
      <c r="H543" s="247"/>
      <c r="I543" s="247"/>
      <c r="J543" s="81">
        <f ca="1">SUMPRODUCT((Work_Codes!$AC$180:$AO$180=$E543)*(Work_Codes!$AC$193:$AO$193)*(J$355:J$355))</f>
        <v>0</v>
      </c>
      <c r="K543" s="81">
        <f ca="1">SUMPRODUCT((Work_Codes!$AC$180:$AO$180=$E543)*(Work_Codes!$AC$193:$AO$193)*(K$355:K$355))</f>
        <v>0</v>
      </c>
      <c r="L543" s="81">
        <f ca="1">SUMPRODUCT((Work_Codes!$AC$180:$AO$180=$E543)*(Work_Codes!$AC$193:$AO$193)*(L$355:L$355))</f>
        <v>0</v>
      </c>
      <c r="M543" s="81">
        <f ca="1">SUMPRODUCT((Work_Codes!$AC$180:$AO$180=$E543)*(Work_Codes!$AC$193:$AO$193)*(M$355:M$355))</f>
        <v>0</v>
      </c>
      <c r="N543" s="81">
        <f ca="1">SUMPRODUCT((Work_Codes!$AC$180:$AO$180=$E543)*(Work_Codes!$AC$193:$AO$193)*(N$355:N$355))</f>
        <v>0</v>
      </c>
      <c r="O543" s="81">
        <f ca="1">SUMPRODUCT((Work_Codes!$AC$180:$AO$180=$E543)*(Work_Codes!$AC$193:$AO$193)*(O$355:O$355))</f>
        <v>0</v>
      </c>
      <c r="P543" s="81">
        <f ca="1">SUMPRODUCT((Work_Codes!$AC$180:$AO$180=$E543)*(Work_Codes!$AC$193:$AO$193)*(P$355:P$355))</f>
        <v>0</v>
      </c>
      <c r="Q543" s="81">
        <f ca="1">SUMPRODUCT((Work_Codes!$AC$180:$AO$180=$E543)*(Work_Codes!$AC$193:$AO$193)*(Q$355:Q$355))</f>
        <v>0</v>
      </c>
      <c r="R543" s="81">
        <f ca="1">SUMPRODUCT((Work_Codes!$AC$180:$AO$180=$E543)*(Work_Codes!$AC$193:$AO$193)*(R$355:R$355))</f>
        <v>0</v>
      </c>
      <c r="S543" s="81">
        <f ca="1">SUMPRODUCT((Work_Codes!$AC$180:$AO$180=$E543)*(Work_Codes!$AC$193:$AO$193)*(S$355:S$355))</f>
        <v>0</v>
      </c>
      <c r="T543" s="81">
        <f ca="1">SUMPRODUCT((Work_Codes!$AC$180:$AO$180=$E543)*(Work_Codes!$AC$193:$AO$193)*(T$355:T$355))</f>
        <v>0</v>
      </c>
    </row>
    <row r="544" spans="4:20" outlineLevel="2">
      <c r="E544" s="247" t="str">
        <f>GC!C70</f>
        <v>Gas Extensions - Energy for the Regions</v>
      </c>
      <c r="F544" s="247"/>
      <c r="G544" s="247"/>
      <c r="H544" s="247"/>
      <c r="I544" s="247"/>
      <c r="J544" s="81">
        <f ca="1">SUMPRODUCT((Work_Codes!$AC$180:$AO$180=$E544)*(Work_Codes!$AC$193:$AO$193)*(J$355:J$355))</f>
        <v>0</v>
      </c>
      <c r="K544" s="81">
        <f ca="1">SUMPRODUCT((Work_Codes!$AC$180:$AO$180=$E544)*(Work_Codes!$AC$193:$AO$193)*(K$355:K$355))</f>
        <v>0</v>
      </c>
      <c r="L544" s="81">
        <f ca="1">SUMPRODUCT((Work_Codes!$AC$180:$AO$180=$E544)*(Work_Codes!$AC$193:$AO$193)*(L$355:L$355))</f>
        <v>0</v>
      </c>
      <c r="M544" s="81">
        <f ca="1">SUMPRODUCT((Work_Codes!$AC$180:$AO$180=$E544)*(Work_Codes!$AC$193:$AO$193)*(M$355:M$355))</f>
        <v>0</v>
      </c>
      <c r="N544" s="81">
        <f ca="1">SUMPRODUCT((Work_Codes!$AC$180:$AO$180=$E544)*(Work_Codes!$AC$193:$AO$193)*(N$355:N$355))</f>
        <v>0</v>
      </c>
      <c r="O544" s="81">
        <f ca="1">SUMPRODUCT((Work_Codes!$AC$180:$AO$180=$E544)*(Work_Codes!$AC$193:$AO$193)*(O$355:O$355))</f>
        <v>0</v>
      </c>
      <c r="P544" s="81">
        <f ca="1">SUMPRODUCT((Work_Codes!$AC$180:$AO$180=$E544)*(Work_Codes!$AC$193:$AO$193)*(P$355:P$355))</f>
        <v>0</v>
      </c>
      <c r="Q544" s="81">
        <f ca="1">SUMPRODUCT((Work_Codes!$AC$180:$AO$180=$E544)*(Work_Codes!$AC$193:$AO$193)*(Q$355:Q$355))</f>
        <v>0</v>
      </c>
      <c r="R544" s="81">
        <f ca="1">SUMPRODUCT((Work_Codes!$AC$180:$AO$180=$E544)*(Work_Codes!$AC$193:$AO$193)*(R$355:R$355))</f>
        <v>0</v>
      </c>
      <c r="S544" s="81">
        <f ca="1">SUMPRODUCT((Work_Codes!$AC$180:$AO$180=$E544)*(Work_Codes!$AC$193:$AO$193)*(S$355:S$355))</f>
        <v>0</v>
      </c>
      <c r="T544" s="81">
        <f ca="1">SUMPRODUCT((Work_Codes!$AC$180:$AO$180=$E544)*(Work_Codes!$AC$193:$AO$193)*(T$355:T$355))</f>
        <v>0</v>
      </c>
    </row>
    <row r="545" spans="2:20" outlineLevel="2">
      <c r="E545" s="247" t="str">
        <f>GC!C71</f>
        <v>Gas Extensions - Other</v>
      </c>
      <c r="F545" s="247"/>
      <c r="G545" s="247"/>
      <c r="H545" s="247"/>
      <c r="I545" s="247"/>
      <c r="J545" s="81">
        <f ca="1">SUMPRODUCT((Work_Codes!$AC$180:$AO$180=$E545)*(Work_Codes!$AC$193:$AO$193)*(J$355:J$355))</f>
        <v>0</v>
      </c>
      <c r="K545" s="81">
        <f ca="1">SUMPRODUCT((Work_Codes!$AC$180:$AO$180=$E545)*(Work_Codes!$AC$193:$AO$193)*(K$355:K$355))</f>
        <v>0</v>
      </c>
      <c r="L545" s="81">
        <f ca="1">SUMPRODUCT((Work_Codes!$AC$180:$AO$180=$E545)*(Work_Codes!$AC$193:$AO$193)*(L$355:L$355))</f>
        <v>0</v>
      </c>
      <c r="M545" s="81">
        <f ca="1">SUMPRODUCT((Work_Codes!$AC$180:$AO$180=$E545)*(Work_Codes!$AC$193:$AO$193)*(M$355:M$355))</f>
        <v>0</v>
      </c>
      <c r="N545" s="81">
        <f ca="1">SUMPRODUCT((Work_Codes!$AC$180:$AO$180=$E545)*(Work_Codes!$AC$193:$AO$193)*(N$355:N$355))</f>
        <v>0</v>
      </c>
      <c r="O545" s="81">
        <f ca="1">SUMPRODUCT((Work_Codes!$AC$180:$AO$180=$E545)*(Work_Codes!$AC$193:$AO$193)*(O$355:O$355))</f>
        <v>0</v>
      </c>
      <c r="P545" s="81">
        <f ca="1">SUMPRODUCT((Work_Codes!$AC$180:$AO$180=$E545)*(Work_Codes!$AC$193:$AO$193)*(P$355:P$355))</f>
        <v>0</v>
      </c>
      <c r="Q545" s="81">
        <f ca="1">SUMPRODUCT((Work_Codes!$AC$180:$AO$180=$E545)*(Work_Codes!$AC$193:$AO$193)*(Q$355:Q$355))</f>
        <v>0</v>
      </c>
      <c r="R545" s="81">
        <f ca="1">SUMPRODUCT((Work_Codes!$AC$180:$AO$180=$E545)*(Work_Codes!$AC$193:$AO$193)*(R$355:R$355))</f>
        <v>0</v>
      </c>
      <c r="S545" s="81">
        <f ca="1">SUMPRODUCT((Work_Codes!$AC$180:$AO$180=$E545)*(Work_Codes!$AC$193:$AO$193)*(S$355:S$355))</f>
        <v>0</v>
      </c>
      <c r="T545" s="81">
        <f ca="1">SUMPRODUCT((Work_Codes!$AC$180:$AO$180=$E545)*(Work_Codes!$AC$193:$AO$193)*(T$355:T$355))</f>
        <v>0</v>
      </c>
    </row>
    <row r="546" spans="2:20" outlineLevel="2">
      <c r="E546" s="247" t="str">
        <f>GC!C72</f>
        <v>Customer contributions</v>
      </c>
      <c r="F546" s="247"/>
      <c r="G546" s="247"/>
      <c r="H546" s="247"/>
      <c r="I546" s="247"/>
      <c r="J546" s="81">
        <f ca="1">SUMPRODUCT((Work_Codes!$AC$180:$AO$180=$E546)*(Work_Codes!$AC$193:$AO$193)*(J$355:J$355))</f>
        <v>0</v>
      </c>
      <c r="K546" s="81">
        <f ca="1">SUMPRODUCT((Work_Codes!$AC$180:$AO$180=$E546)*(Work_Codes!$AC$193:$AO$193)*(K$355:K$355))</f>
        <v>0</v>
      </c>
      <c r="L546" s="81">
        <f ca="1">SUMPRODUCT((Work_Codes!$AC$180:$AO$180=$E546)*(Work_Codes!$AC$193:$AO$193)*(L$355:L$355))</f>
        <v>0</v>
      </c>
      <c r="M546" s="81">
        <f ca="1">SUMPRODUCT((Work_Codes!$AC$180:$AO$180=$E546)*(Work_Codes!$AC$193:$AO$193)*(M$355:M$355))</f>
        <v>0</v>
      </c>
      <c r="N546" s="81">
        <f ca="1">SUMPRODUCT((Work_Codes!$AC$180:$AO$180=$E546)*(Work_Codes!$AC$193:$AO$193)*(N$355:N$355))</f>
        <v>0</v>
      </c>
      <c r="O546" s="81">
        <f ca="1">SUMPRODUCT((Work_Codes!$AC$180:$AO$180=$E546)*(Work_Codes!$AC$193:$AO$193)*(O$355:O$355))</f>
        <v>0</v>
      </c>
      <c r="P546" s="81">
        <f ca="1">SUMPRODUCT((Work_Codes!$AC$180:$AO$180=$E546)*(Work_Codes!$AC$193:$AO$193)*(P$355:P$355))</f>
        <v>0</v>
      </c>
      <c r="Q546" s="81">
        <f ca="1">SUMPRODUCT((Work_Codes!$AC$180:$AO$180=$E546)*(Work_Codes!$AC$193:$AO$193)*(Q$355:Q$355))</f>
        <v>0</v>
      </c>
      <c r="R546" s="81">
        <f ca="1">SUMPRODUCT((Work_Codes!$AC$180:$AO$180=$E546)*(Work_Codes!$AC$193:$AO$193)*(R$355:R$355))</f>
        <v>0</v>
      </c>
      <c r="S546" s="81">
        <f ca="1">SUMPRODUCT((Work_Codes!$AC$180:$AO$180=$E546)*(Work_Codes!$AC$193:$AO$193)*(S$355:S$355))</f>
        <v>0</v>
      </c>
      <c r="T546" s="81">
        <f ca="1">SUMPRODUCT((Work_Codes!$AC$180:$AO$180=$E546)*(Work_Codes!$AC$193:$AO$193)*(T$355:T$355))</f>
        <v>0</v>
      </c>
    </row>
    <row r="547" spans="2:20" outlineLevel="2">
      <c r="E547" s="247" t="str">
        <f>GC!C73</f>
        <v>Government contributions</v>
      </c>
      <c r="F547" s="247"/>
      <c r="G547" s="247"/>
      <c r="H547" s="247"/>
      <c r="I547" s="247"/>
      <c r="J547" s="81">
        <f ca="1">SUMPRODUCT((Work_Codes!$AC$180:$AO$180=$E547)*(Work_Codes!$AC$193:$AO$193)*(J$355:J$355))</f>
        <v>0</v>
      </c>
      <c r="K547" s="81">
        <f ca="1">SUMPRODUCT((Work_Codes!$AC$180:$AO$180=$E547)*(Work_Codes!$AC$193:$AO$193)*(K$355:K$355))</f>
        <v>0</v>
      </c>
      <c r="L547" s="81">
        <f ca="1">SUMPRODUCT((Work_Codes!$AC$180:$AO$180=$E547)*(Work_Codes!$AC$193:$AO$193)*(L$355:L$355))</f>
        <v>0</v>
      </c>
      <c r="M547" s="81">
        <f ca="1">SUMPRODUCT((Work_Codes!$AC$180:$AO$180=$E547)*(Work_Codes!$AC$193:$AO$193)*(M$355:M$355))</f>
        <v>0</v>
      </c>
      <c r="N547" s="81">
        <f ca="1">SUMPRODUCT((Work_Codes!$AC$180:$AO$180=$E547)*(Work_Codes!$AC$193:$AO$193)*(N$355:N$355))</f>
        <v>0</v>
      </c>
      <c r="O547" s="81">
        <f ca="1">SUMPRODUCT((Work_Codes!$AC$180:$AO$180=$E547)*(Work_Codes!$AC$193:$AO$193)*(O$355:O$355))</f>
        <v>0</v>
      </c>
      <c r="P547" s="81">
        <f ca="1">SUMPRODUCT((Work_Codes!$AC$180:$AO$180=$E547)*(Work_Codes!$AC$193:$AO$193)*(P$355:P$355))</f>
        <v>0</v>
      </c>
      <c r="Q547" s="81">
        <f ca="1">SUMPRODUCT((Work_Codes!$AC$180:$AO$180=$E547)*(Work_Codes!$AC$193:$AO$193)*(Q$355:Q$355))</f>
        <v>0</v>
      </c>
      <c r="R547" s="81">
        <f ca="1">SUMPRODUCT((Work_Codes!$AC$180:$AO$180=$E547)*(Work_Codes!$AC$193:$AO$193)*(R$355:R$355))</f>
        <v>0</v>
      </c>
      <c r="S547" s="81">
        <f ca="1">SUMPRODUCT((Work_Codes!$AC$180:$AO$180=$E547)*(Work_Codes!$AC$193:$AO$193)*(S$355:S$355))</f>
        <v>0</v>
      </c>
      <c r="T547" s="81">
        <f ca="1">SUMPRODUCT((Work_Codes!$AC$180:$AO$180=$E547)*(Work_Codes!$AC$193:$AO$193)*(T$355:T$355))</f>
        <v>0</v>
      </c>
    </row>
    <row r="548" spans="2:20" outlineLevel="2">
      <c r="E548" s="249" t="str">
        <f t="shared" ref="E548" si="54">"Total "&amp;D532</f>
        <v>Total Customer Contributions</v>
      </c>
      <c r="F548" s="249"/>
      <c r="G548" s="249"/>
      <c r="H548" s="249"/>
      <c r="I548" s="249"/>
      <c r="J548" s="82">
        <f t="shared" ref="J548:T548" ca="1" si="55">SUM(J534:J547)</f>
        <v>0</v>
      </c>
      <c r="K548" s="82">
        <f t="shared" ca="1" si="55"/>
        <v>0</v>
      </c>
      <c r="L548" s="82">
        <f t="shared" ca="1" si="55"/>
        <v>0</v>
      </c>
      <c r="M548" s="82">
        <f t="shared" ca="1" si="55"/>
        <v>0</v>
      </c>
      <c r="N548" s="82">
        <f t="shared" ca="1" si="55"/>
        <v>0</v>
      </c>
      <c r="O548" s="82">
        <f t="shared" ca="1" si="55"/>
        <v>0</v>
      </c>
      <c r="P548" s="82">
        <f t="shared" ca="1" si="55"/>
        <v>0</v>
      </c>
      <c r="Q548" s="82">
        <f t="shared" ca="1" si="55"/>
        <v>0</v>
      </c>
      <c r="R548" s="82">
        <f t="shared" ca="1" si="55"/>
        <v>0</v>
      </c>
      <c r="S548" s="82">
        <f t="shared" ca="1" si="55"/>
        <v>0</v>
      </c>
      <c r="T548" s="82">
        <f t="shared" ca="1" si="55"/>
        <v>0</v>
      </c>
    </row>
    <row r="549" spans="2:20" outlineLevel="2">
      <c r="B549" s="12"/>
      <c r="C549" s="12"/>
      <c r="D549" s="12"/>
      <c r="E549" s="12"/>
      <c r="F549" s="12"/>
      <c r="G549" s="12"/>
      <c r="H549" s="12"/>
      <c r="I549" s="12"/>
      <c r="J549" s="12"/>
      <c r="K549" s="12"/>
      <c r="L549" s="12"/>
      <c r="M549" s="12"/>
      <c r="N549" s="12"/>
      <c r="O549" s="12"/>
      <c r="P549" s="12"/>
      <c r="Q549" s="12"/>
      <c r="R549" s="12"/>
      <c r="S549" s="12"/>
      <c r="T549" s="12"/>
    </row>
    <row r="550" spans="2:20" outlineLevel="2"/>
    <row r="551" spans="2:20" outlineLevel="2">
      <c r="C551" s="37" t="s">
        <v>311</v>
      </c>
    </row>
    <row r="552" spans="2:20" ht="5.9" customHeight="1" outlineLevel="2"/>
    <row r="553" spans="2:20" outlineLevel="2">
      <c r="D553" s="37" t="s">
        <v>215</v>
      </c>
    </row>
    <row r="554" spans="2:20" ht="5.9" customHeight="1" outlineLevel="2"/>
    <row r="555" spans="2:20" outlineLevel="2">
      <c r="E555" s="247" t="str">
        <f>GC!C78</f>
        <v>Mains &amp; Services</v>
      </c>
      <c r="F555" s="247"/>
      <c r="G555" s="247"/>
      <c r="H555" s="247"/>
      <c r="I555" s="247"/>
      <c r="J555" s="81">
        <f ca="1">SUMPRODUCT((Work_Codes!$AR$180:$AX$180=$E555)*(Work_Codes!$AR$183:$AX$189)*(J$400:J$406))</f>
        <v>0</v>
      </c>
      <c r="K555" s="81">
        <f ca="1">SUMPRODUCT((Work_Codes!$AR$180:$AX$180=$E555)*(Work_Codes!$AR$183:$AX$189)*(K$400:K$406))</f>
        <v>0</v>
      </c>
      <c r="L555" s="81">
        <f ca="1">SUMPRODUCT((Work_Codes!$AR$180:$AX$180=$E555)*(Work_Codes!$AR$183:$AX$189)*(L$400:L$406))</f>
        <v>0</v>
      </c>
      <c r="M555" s="81">
        <f ca="1">SUMPRODUCT((Work_Codes!$AR$180:$AX$180=$E555)*(Work_Codes!$AR$183:$AX$189)*(M$400:M$406))</f>
        <v>0</v>
      </c>
      <c r="N555" s="81">
        <f ca="1">SUMPRODUCT((Work_Codes!$AR$180:$AX$180=$E555)*(Work_Codes!$AR$183:$AX$189)*(N$400:N$406))</f>
        <v>0</v>
      </c>
      <c r="O555" s="81">
        <f ca="1">SUMPRODUCT((Work_Codes!$AR$180:$AX$180=$E555)*(Work_Codes!$AR$183:$AX$189)*(O$400:O$406))</f>
        <v>0</v>
      </c>
      <c r="P555" s="81">
        <f ca="1">SUMPRODUCT((Work_Codes!$AR$180:$AX$180=$E555)*(Work_Codes!$AR$183:$AX$189)*(P$400:P$406))</f>
        <v>0</v>
      </c>
      <c r="Q555" s="81">
        <f ca="1">SUMPRODUCT((Work_Codes!$AR$180:$AX$180=$E555)*(Work_Codes!$AR$183:$AX$189)*(Q$400:Q$406))</f>
        <v>0</v>
      </c>
      <c r="R555" s="81">
        <f ca="1">SUMPRODUCT((Work_Codes!$AR$180:$AX$180=$E555)*(Work_Codes!$AR$183:$AX$189)*(R$400:R$406))</f>
        <v>0</v>
      </c>
      <c r="S555" s="81">
        <f ca="1">SUMPRODUCT((Work_Codes!$AR$180:$AX$180=$E555)*(Work_Codes!$AR$183:$AX$189)*(S$400:S$406))</f>
        <v>0</v>
      </c>
      <c r="T555" s="81">
        <f ca="1">SUMPRODUCT((Work_Codes!$AR$180:$AX$180=$E555)*(Work_Codes!$AR$183:$AX$189)*(T$400:T$406))</f>
        <v>0</v>
      </c>
    </row>
    <row r="556" spans="2:20" outlineLevel="2">
      <c r="E556" s="247" t="str">
        <f>GC!C79</f>
        <v>Meters Domestic</v>
      </c>
      <c r="F556" s="247"/>
      <c r="G556" s="247"/>
      <c r="H556" s="247"/>
      <c r="I556" s="247"/>
      <c r="J556" s="81">
        <f ca="1">SUMPRODUCT((Work_Codes!$AR$180:$AX$180=$E556)*(Work_Codes!$AR$183:$AX$189)*(J$400:J$406))</f>
        <v>0</v>
      </c>
      <c r="K556" s="81">
        <f ca="1">SUMPRODUCT((Work_Codes!$AR$180:$AX$180=$E556)*(Work_Codes!$AR$183:$AX$189)*(K$400:K$406))</f>
        <v>0</v>
      </c>
      <c r="L556" s="81">
        <f ca="1">SUMPRODUCT((Work_Codes!$AR$180:$AX$180=$E556)*(Work_Codes!$AR$183:$AX$189)*(L$400:L$406))</f>
        <v>0</v>
      </c>
      <c r="M556" s="81">
        <f ca="1">SUMPRODUCT((Work_Codes!$AR$180:$AX$180=$E556)*(Work_Codes!$AR$183:$AX$189)*(M$400:M$406))</f>
        <v>0</v>
      </c>
      <c r="N556" s="81">
        <f ca="1">SUMPRODUCT((Work_Codes!$AR$180:$AX$180=$E556)*(Work_Codes!$AR$183:$AX$189)*(N$400:N$406))</f>
        <v>0</v>
      </c>
      <c r="O556" s="81">
        <f ca="1">SUMPRODUCT((Work_Codes!$AR$180:$AX$180=$E556)*(Work_Codes!$AR$183:$AX$189)*(O$400:O$406))</f>
        <v>0</v>
      </c>
      <c r="P556" s="81">
        <f ca="1">SUMPRODUCT((Work_Codes!$AR$180:$AX$180=$E556)*(Work_Codes!$AR$183:$AX$189)*(P$400:P$406))</f>
        <v>0</v>
      </c>
      <c r="Q556" s="81">
        <f ca="1">SUMPRODUCT((Work_Codes!$AR$180:$AX$180=$E556)*(Work_Codes!$AR$183:$AX$189)*(Q$400:Q$406))</f>
        <v>0</v>
      </c>
      <c r="R556" s="81">
        <f ca="1">SUMPRODUCT((Work_Codes!$AR$180:$AX$180=$E556)*(Work_Codes!$AR$183:$AX$189)*(R$400:R$406))</f>
        <v>0</v>
      </c>
      <c r="S556" s="81">
        <f ca="1">SUMPRODUCT((Work_Codes!$AR$180:$AX$180=$E556)*(Work_Codes!$AR$183:$AX$189)*(S$400:S$406))</f>
        <v>0</v>
      </c>
      <c r="T556" s="81">
        <f ca="1">SUMPRODUCT((Work_Codes!$AR$180:$AX$180=$E556)*(Work_Codes!$AR$183:$AX$189)*(T$400:T$406))</f>
        <v>0</v>
      </c>
    </row>
    <row r="557" spans="2:20" outlineLevel="2">
      <c r="E557" s="247" t="str">
        <f>GC!C80</f>
        <v>Meters Industrial &amp; Commercial</v>
      </c>
      <c r="F557" s="247"/>
      <c r="G557" s="247"/>
      <c r="H557" s="247"/>
      <c r="I557" s="247"/>
      <c r="J557" s="81">
        <f ca="1">SUMPRODUCT((Work_Codes!$AR$180:$AX$180=$E557)*(Work_Codes!$AR$183:$AX$189)*(J$400:J$406))</f>
        <v>0</v>
      </c>
      <c r="K557" s="81">
        <f ca="1">SUMPRODUCT((Work_Codes!$AR$180:$AX$180=$E557)*(Work_Codes!$AR$183:$AX$189)*(K$400:K$406))</f>
        <v>0</v>
      </c>
      <c r="L557" s="81">
        <f ca="1">SUMPRODUCT((Work_Codes!$AR$180:$AX$180=$E557)*(Work_Codes!$AR$183:$AX$189)*(L$400:L$406))</f>
        <v>0</v>
      </c>
      <c r="M557" s="81">
        <f ca="1">SUMPRODUCT((Work_Codes!$AR$180:$AX$180=$E557)*(Work_Codes!$AR$183:$AX$189)*(M$400:M$406))</f>
        <v>0</v>
      </c>
      <c r="N557" s="81">
        <f ca="1">SUMPRODUCT((Work_Codes!$AR$180:$AX$180=$E557)*(Work_Codes!$AR$183:$AX$189)*(N$400:N$406))</f>
        <v>0</v>
      </c>
      <c r="O557" s="81">
        <f ca="1">SUMPRODUCT((Work_Codes!$AR$180:$AX$180=$E557)*(Work_Codes!$AR$183:$AX$189)*(O$400:O$406))</f>
        <v>146162.59410209686</v>
      </c>
      <c r="P557" s="81">
        <f ca="1">SUMPRODUCT((Work_Codes!$AR$180:$AX$180=$E557)*(Work_Codes!$AR$183:$AX$189)*(P$400:P$406))</f>
        <v>313342.05215859984</v>
      </c>
      <c r="Q557" s="81">
        <f ca="1">SUMPRODUCT((Work_Codes!$AR$180:$AX$180=$E557)*(Work_Codes!$AR$183:$AX$189)*(Q$400:Q$406))</f>
        <v>299479.21774513059</v>
      </c>
      <c r="R557" s="81">
        <f ca="1">SUMPRODUCT((Work_Codes!$AR$180:$AX$180=$E557)*(Work_Codes!$AR$183:$AX$189)*(R$400:R$406))</f>
        <v>565705.7884392757</v>
      </c>
      <c r="S557" s="81">
        <f ca="1">SUMPRODUCT((Work_Codes!$AR$180:$AX$180=$E557)*(Work_Codes!$AR$183:$AX$189)*(S$400:S$406))</f>
        <v>271765.41751677735</v>
      </c>
      <c r="T557" s="81">
        <f ca="1">SUMPRODUCT((Work_Codes!$AR$180:$AX$180=$E557)*(Work_Codes!$AR$183:$AX$189)*(T$400:T$406))</f>
        <v>261421.13505126754</v>
      </c>
    </row>
    <row r="558" spans="2:20" outlineLevel="2">
      <c r="E558" s="247" t="str">
        <f>GC!C81</f>
        <v>Buildings</v>
      </c>
      <c r="F558" s="247"/>
      <c r="G558" s="247"/>
      <c r="H558" s="247"/>
      <c r="I558" s="247"/>
      <c r="J558" s="81">
        <f ca="1">SUMPRODUCT((Work_Codes!$AR$180:$AX$180=$E558)*(Work_Codes!$AR$183:$AX$189)*(J$400:J$406))</f>
        <v>0</v>
      </c>
      <c r="K558" s="81">
        <f ca="1">SUMPRODUCT((Work_Codes!$AR$180:$AX$180=$E558)*(Work_Codes!$AR$183:$AX$189)*(K$400:K$406))</f>
        <v>0</v>
      </c>
      <c r="L558" s="81">
        <f ca="1">SUMPRODUCT((Work_Codes!$AR$180:$AX$180=$E558)*(Work_Codes!$AR$183:$AX$189)*(L$400:L$406))</f>
        <v>0</v>
      </c>
      <c r="M558" s="81">
        <f ca="1">SUMPRODUCT((Work_Codes!$AR$180:$AX$180=$E558)*(Work_Codes!$AR$183:$AX$189)*(M$400:M$406))</f>
        <v>0</v>
      </c>
      <c r="N558" s="81">
        <f ca="1">SUMPRODUCT((Work_Codes!$AR$180:$AX$180=$E558)*(Work_Codes!$AR$183:$AX$189)*(N$400:N$406))</f>
        <v>0</v>
      </c>
      <c r="O558" s="81">
        <f ca="1">SUMPRODUCT((Work_Codes!$AR$180:$AX$180=$E558)*(Work_Codes!$AR$183:$AX$189)*(O$400:O$406))</f>
        <v>0</v>
      </c>
      <c r="P558" s="81">
        <f ca="1">SUMPRODUCT((Work_Codes!$AR$180:$AX$180=$E558)*(Work_Codes!$AR$183:$AX$189)*(P$400:P$406))</f>
        <v>0</v>
      </c>
      <c r="Q558" s="81">
        <f ca="1">SUMPRODUCT((Work_Codes!$AR$180:$AX$180=$E558)*(Work_Codes!$AR$183:$AX$189)*(Q$400:Q$406))</f>
        <v>0</v>
      </c>
      <c r="R558" s="81">
        <f ca="1">SUMPRODUCT((Work_Codes!$AR$180:$AX$180=$E558)*(Work_Codes!$AR$183:$AX$189)*(R$400:R$406))</f>
        <v>0</v>
      </c>
      <c r="S558" s="81">
        <f ca="1">SUMPRODUCT((Work_Codes!$AR$180:$AX$180=$E558)*(Work_Codes!$AR$183:$AX$189)*(S$400:S$406))</f>
        <v>0</v>
      </c>
      <c r="T558" s="81">
        <f ca="1">SUMPRODUCT((Work_Codes!$AR$180:$AX$180=$E558)*(Work_Codes!$AR$183:$AX$189)*(T$400:T$406))</f>
        <v>0</v>
      </c>
    </row>
    <row r="559" spans="2:20" outlineLevel="2">
      <c r="E559" s="247" t="str">
        <f>GC!C82</f>
        <v>Other Assets</v>
      </c>
      <c r="F559" s="247"/>
      <c r="G559" s="247"/>
      <c r="H559" s="247"/>
      <c r="I559" s="247"/>
      <c r="J559" s="81">
        <f ca="1">SUMPRODUCT((Work_Codes!$AR$180:$AX$180=$E559)*(Work_Codes!$AR$183:$AX$189)*(J$400:J$406))</f>
        <v>0</v>
      </c>
      <c r="K559" s="81">
        <f ca="1">SUMPRODUCT((Work_Codes!$AR$180:$AX$180=$E559)*(Work_Codes!$AR$183:$AX$189)*(K$400:K$406))</f>
        <v>0</v>
      </c>
      <c r="L559" s="81">
        <f ca="1">SUMPRODUCT((Work_Codes!$AR$180:$AX$180=$E559)*(Work_Codes!$AR$183:$AX$189)*(L$400:L$406))</f>
        <v>0</v>
      </c>
      <c r="M559" s="81">
        <f ca="1">SUMPRODUCT((Work_Codes!$AR$180:$AX$180=$E559)*(Work_Codes!$AR$183:$AX$189)*(M$400:M$406))</f>
        <v>0</v>
      </c>
      <c r="N559" s="81">
        <f ca="1">SUMPRODUCT((Work_Codes!$AR$180:$AX$180=$E559)*(Work_Codes!$AR$183:$AX$189)*(N$400:N$406))</f>
        <v>0</v>
      </c>
      <c r="O559" s="81">
        <f ca="1">SUMPRODUCT((Work_Codes!$AR$180:$AX$180=$E559)*(Work_Codes!$AR$183:$AX$189)*(O$400:O$406))</f>
        <v>0</v>
      </c>
      <c r="P559" s="81">
        <f ca="1">SUMPRODUCT((Work_Codes!$AR$180:$AX$180=$E559)*(Work_Codes!$AR$183:$AX$189)*(P$400:P$406))</f>
        <v>0</v>
      </c>
      <c r="Q559" s="81">
        <f ca="1">SUMPRODUCT((Work_Codes!$AR$180:$AX$180=$E559)*(Work_Codes!$AR$183:$AX$189)*(Q$400:Q$406))</f>
        <v>0</v>
      </c>
      <c r="R559" s="81">
        <f ca="1">SUMPRODUCT((Work_Codes!$AR$180:$AX$180=$E559)*(Work_Codes!$AR$183:$AX$189)*(R$400:R$406))</f>
        <v>0</v>
      </c>
      <c r="S559" s="81">
        <f ca="1">SUMPRODUCT((Work_Codes!$AR$180:$AX$180=$E559)*(Work_Codes!$AR$183:$AX$189)*(S$400:S$406))</f>
        <v>0</v>
      </c>
      <c r="T559" s="81">
        <f ca="1">SUMPRODUCT((Work_Codes!$AR$180:$AX$180=$E559)*(Work_Codes!$AR$183:$AX$189)*(T$400:T$406))</f>
        <v>0</v>
      </c>
    </row>
    <row r="560" spans="2:20" outlineLevel="2">
      <c r="E560" s="247" t="str">
        <f>GC!C83</f>
        <v>Repairs</v>
      </c>
      <c r="F560" s="247"/>
      <c r="G560" s="247"/>
      <c r="H560" s="247"/>
      <c r="I560" s="247"/>
      <c r="J560" s="81">
        <f ca="1">SUMPRODUCT((Work_Codes!$AR$180:$AX$180=$E560)*(Work_Codes!$AR$183:$AX$189)*(J$400:J$406))</f>
        <v>0</v>
      </c>
      <c r="K560" s="81">
        <f ca="1">SUMPRODUCT((Work_Codes!$AR$180:$AX$180=$E560)*(Work_Codes!$AR$183:$AX$189)*(K$400:K$406))</f>
        <v>0</v>
      </c>
      <c r="L560" s="81">
        <f ca="1">SUMPRODUCT((Work_Codes!$AR$180:$AX$180=$E560)*(Work_Codes!$AR$183:$AX$189)*(L$400:L$406))</f>
        <v>0</v>
      </c>
      <c r="M560" s="81">
        <f ca="1">SUMPRODUCT((Work_Codes!$AR$180:$AX$180=$E560)*(Work_Codes!$AR$183:$AX$189)*(M$400:M$406))</f>
        <v>0</v>
      </c>
      <c r="N560" s="81">
        <f ca="1">SUMPRODUCT((Work_Codes!$AR$180:$AX$180=$E560)*(Work_Codes!$AR$183:$AX$189)*(N$400:N$406))</f>
        <v>0</v>
      </c>
      <c r="O560" s="81">
        <f ca="1">SUMPRODUCT((Work_Codes!$AR$180:$AX$180=$E560)*(Work_Codes!$AR$183:$AX$189)*(O$400:O$406))</f>
        <v>0</v>
      </c>
      <c r="P560" s="81">
        <f ca="1">SUMPRODUCT((Work_Codes!$AR$180:$AX$180=$E560)*(Work_Codes!$AR$183:$AX$189)*(P$400:P$406))</f>
        <v>0</v>
      </c>
      <c r="Q560" s="81">
        <f ca="1">SUMPRODUCT((Work_Codes!$AR$180:$AX$180=$E560)*(Work_Codes!$AR$183:$AX$189)*(Q$400:Q$406))</f>
        <v>0</v>
      </c>
      <c r="R560" s="81">
        <f ca="1">SUMPRODUCT((Work_Codes!$AR$180:$AX$180=$E560)*(Work_Codes!$AR$183:$AX$189)*(R$400:R$406))</f>
        <v>0</v>
      </c>
      <c r="S560" s="81">
        <f ca="1">SUMPRODUCT((Work_Codes!$AR$180:$AX$180=$E560)*(Work_Codes!$AR$183:$AX$189)*(S$400:S$406))</f>
        <v>0</v>
      </c>
      <c r="T560" s="81">
        <f ca="1">SUMPRODUCT((Work_Codes!$AR$180:$AX$180=$E560)*(Work_Codes!$AR$183:$AX$189)*(T$400:T$406))</f>
        <v>0</v>
      </c>
    </row>
    <row r="561" spans="2:20" outlineLevel="2">
      <c r="E561" s="247" t="str">
        <f>GC!C84</f>
        <v>Land</v>
      </c>
      <c r="F561" s="247"/>
      <c r="G561" s="247"/>
      <c r="H561" s="247"/>
      <c r="I561" s="247"/>
      <c r="J561" s="81">
        <f ca="1">SUMPRODUCT((Work_Codes!$AR$180:$AX$180=$E561)*(Work_Codes!$AR$183:$AX$189)*(J$400:J$406))</f>
        <v>0</v>
      </c>
      <c r="K561" s="81">
        <f ca="1">SUMPRODUCT((Work_Codes!$AR$180:$AX$180=$E561)*(Work_Codes!$AR$183:$AX$189)*(K$400:K$406))</f>
        <v>0</v>
      </c>
      <c r="L561" s="81">
        <f ca="1">SUMPRODUCT((Work_Codes!$AR$180:$AX$180=$E561)*(Work_Codes!$AR$183:$AX$189)*(L$400:L$406))</f>
        <v>0</v>
      </c>
      <c r="M561" s="81">
        <f ca="1">SUMPRODUCT((Work_Codes!$AR$180:$AX$180=$E561)*(Work_Codes!$AR$183:$AX$189)*(M$400:M$406))</f>
        <v>0</v>
      </c>
      <c r="N561" s="81">
        <f ca="1">SUMPRODUCT((Work_Codes!$AR$180:$AX$180=$E561)*(Work_Codes!$AR$183:$AX$189)*(N$400:N$406))</f>
        <v>0</v>
      </c>
      <c r="O561" s="81">
        <f ca="1">SUMPRODUCT((Work_Codes!$AR$180:$AX$180=$E561)*(Work_Codes!$AR$183:$AX$189)*(O$400:O$406))</f>
        <v>0</v>
      </c>
      <c r="P561" s="81">
        <f ca="1">SUMPRODUCT((Work_Codes!$AR$180:$AX$180=$E561)*(Work_Codes!$AR$183:$AX$189)*(P$400:P$406))</f>
        <v>0</v>
      </c>
      <c r="Q561" s="81">
        <f ca="1">SUMPRODUCT((Work_Codes!$AR$180:$AX$180=$E561)*(Work_Codes!$AR$183:$AX$189)*(Q$400:Q$406))</f>
        <v>0</v>
      </c>
      <c r="R561" s="81">
        <f ca="1">SUMPRODUCT((Work_Codes!$AR$180:$AX$180=$E561)*(Work_Codes!$AR$183:$AX$189)*(R$400:R$406))</f>
        <v>0</v>
      </c>
      <c r="S561" s="81">
        <f ca="1">SUMPRODUCT((Work_Codes!$AR$180:$AX$180=$E561)*(Work_Codes!$AR$183:$AX$189)*(S$400:S$406))</f>
        <v>0</v>
      </c>
      <c r="T561" s="81">
        <f ca="1">SUMPRODUCT((Work_Codes!$AR$180:$AX$180=$E561)*(Work_Codes!$AR$183:$AX$189)*(T$400:T$406))</f>
        <v>0</v>
      </c>
    </row>
    <row r="562" spans="2:20" outlineLevel="2">
      <c r="E562" s="249" t="str">
        <f>"Total "&amp;D553</f>
        <v>Total Direct Costs</v>
      </c>
      <c r="F562" s="249"/>
      <c r="G562" s="249"/>
      <c r="H562" s="249"/>
      <c r="I562" s="249"/>
      <c r="J562" s="82">
        <f t="shared" ref="J562:T562" ca="1" si="56">SUM(J555:J561)</f>
        <v>0</v>
      </c>
      <c r="K562" s="82">
        <f t="shared" ca="1" si="56"/>
        <v>0</v>
      </c>
      <c r="L562" s="82">
        <f t="shared" ca="1" si="56"/>
        <v>0</v>
      </c>
      <c r="M562" s="82">
        <f t="shared" ca="1" si="56"/>
        <v>0</v>
      </c>
      <c r="N562" s="82">
        <f t="shared" ca="1" si="56"/>
        <v>0</v>
      </c>
      <c r="O562" s="82">
        <f t="shared" ca="1" si="56"/>
        <v>146162.59410209686</v>
      </c>
      <c r="P562" s="82">
        <f t="shared" ca="1" si="56"/>
        <v>313342.05215859984</v>
      </c>
      <c r="Q562" s="82">
        <f t="shared" ca="1" si="56"/>
        <v>299479.21774513059</v>
      </c>
      <c r="R562" s="82">
        <f t="shared" ca="1" si="56"/>
        <v>565705.7884392757</v>
      </c>
      <c r="S562" s="82">
        <f t="shared" ca="1" si="56"/>
        <v>271765.41751677735</v>
      </c>
      <c r="T562" s="82">
        <f t="shared" ca="1" si="56"/>
        <v>261421.13505126754</v>
      </c>
    </row>
    <row r="563" spans="2:20" outlineLevel="2"/>
    <row r="564" spans="2:20" outlineLevel="2">
      <c r="D564" s="37" t="s">
        <v>313</v>
      </c>
    </row>
    <row r="565" spans="2:20" ht="5.9" customHeight="1" outlineLevel="2"/>
    <row r="566" spans="2:20" outlineLevel="2">
      <c r="E566" s="247" t="str">
        <f>GC!C78</f>
        <v>Mains &amp; Services</v>
      </c>
      <c r="F566" s="247"/>
      <c r="G566" s="247"/>
      <c r="H566" s="247"/>
      <c r="I566" s="247"/>
      <c r="J566" s="81">
        <f ca="1">J555*(1+INDEX(J$310:J$312,MATCH(Work_Codes!$I$177,$D$310:$D$312,0)))</f>
        <v>0</v>
      </c>
      <c r="K566" s="81">
        <f ca="1">K555*(1+INDEX(K$310:K$312,MATCH(Work_Codes!$I$177,$D$310:$D$312,0)))</f>
        <v>0</v>
      </c>
      <c r="L566" s="81">
        <f ca="1">L555*(1+INDEX(L$310:L$312,MATCH(Work_Codes!$I$177,$D$310:$D$312,0)))</f>
        <v>0</v>
      </c>
      <c r="M566" s="81">
        <f ca="1">M555*(1+INDEX(M$310:M$312,MATCH(Work_Codes!$I$177,$D$310:$D$312,0)))</f>
        <v>0</v>
      </c>
      <c r="N566" s="81">
        <f ca="1">N555*(1+INDEX(N$310:N$312,MATCH(Work_Codes!$I$177,$D$310:$D$312,0)))</f>
        <v>0</v>
      </c>
      <c r="O566" s="81">
        <f ca="1">O555*(1+INDEX(O$310:O$312,MATCH(Work_Codes!$I$177,$D$310:$D$312,0)))</f>
        <v>0</v>
      </c>
      <c r="P566" s="81">
        <f ca="1">P555*(1+INDEX(P$310:P$312,MATCH(Work_Codes!$I$177,$D$310:$D$312,0)))</f>
        <v>0</v>
      </c>
      <c r="Q566" s="81">
        <f ca="1">Q555*(1+INDEX(Q$310:Q$312,MATCH(Work_Codes!$I$177,$D$310:$D$312,0)))</f>
        <v>0</v>
      </c>
      <c r="R566" s="81">
        <f ca="1">R555*(1+INDEX(R$310:R$312,MATCH(Work_Codes!$I$177,$D$310:$D$312,0)))</f>
        <v>0</v>
      </c>
      <c r="S566" s="81">
        <f ca="1">S555*(1+INDEX(S$310:S$312,MATCH(Work_Codes!$I$177,$D$310:$D$312,0)))</f>
        <v>0</v>
      </c>
      <c r="T566" s="81">
        <f ca="1">T555*(1+INDEX(T$310:T$312,MATCH(Work_Codes!$I$177,$D$310:$D$312,0)))</f>
        <v>0</v>
      </c>
    </row>
    <row r="567" spans="2:20" outlineLevel="2">
      <c r="E567" s="247" t="str">
        <f>GC!C79</f>
        <v>Meters Domestic</v>
      </c>
      <c r="F567" s="247"/>
      <c r="G567" s="247"/>
      <c r="H567" s="247"/>
      <c r="I567" s="247"/>
      <c r="J567" s="81">
        <f ca="1">J556*(1+INDEX(J$310:J$312,MATCH(Work_Codes!$I$177,$D$310:$D$312,0)))</f>
        <v>0</v>
      </c>
      <c r="K567" s="81">
        <f ca="1">K556*(1+INDEX(K$310:K$312,MATCH(Work_Codes!$I$177,$D$310:$D$312,0)))</f>
        <v>0</v>
      </c>
      <c r="L567" s="81">
        <f ca="1">L556*(1+INDEX(L$310:L$312,MATCH(Work_Codes!$I$177,$D$310:$D$312,0)))</f>
        <v>0</v>
      </c>
      <c r="M567" s="81">
        <f ca="1">M556*(1+INDEX(M$310:M$312,MATCH(Work_Codes!$I$177,$D$310:$D$312,0)))</f>
        <v>0</v>
      </c>
      <c r="N567" s="81">
        <f ca="1">N556*(1+INDEX(N$310:N$312,MATCH(Work_Codes!$I$177,$D$310:$D$312,0)))</f>
        <v>0</v>
      </c>
      <c r="O567" s="81">
        <f ca="1">O556*(1+INDEX(O$310:O$312,MATCH(Work_Codes!$I$177,$D$310:$D$312,0)))</f>
        <v>0</v>
      </c>
      <c r="P567" s="81">
        <f ca="1">P556*(1+INDEX(P$310:P$312,MATCH(Work_Codes!$I$177,$D$310:$D$312,0)))</f>
        <v>0</v>
      </c>
      <c r="Q567" s="81">
        <f ca="1">Q556*(1+INDEX(Q$310:Q$312,MATCH(Work_Codes!$I$177,$D$310:$D$312,0)))</f>
        <v>0</v>
      </c>
      <c r="R567" s="81">
        <f ca="1">R556*(1+INDEX(R$310:R$312,MATCH(Work_Codes!$I$177,$D$310:$D$312,0)))</f>
        <v>0</v>
      </c>
      <c r="S567" s="81">
        <f ca="1">S556*(1+INDEX(S$310:S$312,MATCH(Work_Codes!$I$177,$D$310:$D$312,0)))</f>
        <v>0</v>
      </c>
      <c r="T567" s="81">
        <f ca="1">T556*(1+INDEX(T$310:T$312,MATCH(Work_Codes!$I$177,$D$310:$D$312,0)))</f>
        <v>0</v>
      </c>
    </row>
    <row r="568" spans="2:20" outlineLevel="2">
      <c r="E568" s="247" t="str">
        <f>GC!C80</f>
        <v>Meters Industrial &amp; Commercial</v>
      </c>
      <c r="F568" s="247"/>
      <c r="G568" s="247"/>
      <c r="H568" s="247"/>
      <c r="I568" s="247"/>
      <c r="J568" s="81">
        <f ca="1">J557*(1+INDEX(J$310:J$312,MATCH(Work_Codes!$I$177,$D$310:$D$312,0)))</f>
        <v>0</v>
      </c>
      <c r="K568" s="81">
        <f ca="1">K557*(1+INDEX(K$310:K$312,MATCH(Work_Codes!$I$177,$D$310:$D$312,0)))</f>
        <v>0</v>
      </c>
      <c r="L568" s="81">
        <f ca="1">L557*(1+INDEX(L$310:L$312,MATCH(Work_Codes!$I$177,$D$310:$D$312,0)))</f>
        <v>0</v>
      </c>
      <c r="M568" s="81">
        <f ca="1">M557*(1+INDEX(M$310:M$312,MATCH(Work_Codes!$I$177,$D$310:$D$312,0)))</f>
        <v>0</v>
      </c>
      <c r="N568" s="81">
        <f ca="1">N557*(1+INDEX(N$310:N$312,MATCH(Work_Codes!$I$177,$D$310:$D$312,0)))</f>
        <v>0</v>
      </c>
      <c r="O568" s="81">
        <f ca="1">O557*(1+INDEX(O$310:O$312,MATCH(Work_Codes!$I$177,$D$310:$D$312,0)))</f>
        <v>151027.46536114672</v>
      </c>
      <c r="P568" s="81">
        <f ca="1">P557*(1+INDEX(P$310:P$312,MATCH(Work_Codes!$I$177,$D$310:$D$312,0)))</f>
        <v>321724.78570458514</v>
      </c>
      <c r="Q568" s="81">
        <f ca="1">Q557*(1+INDEX(Q$310:Q$312,MATCH(Work_Codes!$I$177,$D$310:$D$312,0)))</f>
        <v>307283.82205838594</v>
      </c>
      <c r="R568" s="81">
        <f ca="1">R557*(1+INDEX(R$310:R$312,MATCH(Work_Codes!$I$177,$D$310:$D$312,0)))</f>
        <v>580908.00347921706</v>
      </c>
      <c r="S568" s="81">
        <f ca="1">S557*(1+INDEX(S$310:S$312,MATCH(Work_Codes!$I$177,$D$310:$D$312,0)))</f>
        <v>279523.28175168217</v>
      </c>
      <c r="T568" s="81">
        <f ca="1">T557*(1+INDEX(T$310:T$312,MATCH(Work_Codes!$I$177,$D$310:$D$312,0)))</f>
        <v>269242.9542824385</v>
      </c>
    </row>
    <row r="569" spans="2:20" outlineLevel="2">
      <c r="E569" s="247" t="str">
        <f>GC!C81</f>
        <v>Buildings</v>
      </c>
      <c r="F569" s="247"/>
      <c r="G569" s="247"/>
      <c r="H569" s="247"/>
      <c r="I569" s="247"/>
      <c r="J569" s="81">
        <f ca="1">J558*(1+INDEX(J$310:J$312,MATCH(Work_Codes!$I$177,$D$310:$D$312,0)))</f>
        <v>0</v>
      </c>
      <c r="K569" s="81">
        <f ca="1">K558*(1+INDEX(K$310:K$312,MATCH(Work_Codes!$I$177,$D$310:$D$312,0)))</f>
        <v>0</v>
      </c>
      <c r="L569" s="81">
        <f ca="1">L558*(1+INDEX(L$310:L$312,MATCH(Work_Codes!$I$177,$D$310:$D$312,0)))</f>
        <v>0</v>
      </c>
      <c r="M569" s="81">
        <f ca="1">M558*(1+INDEX(M$310:M$312,MATCH(Work_Codes!$I$177,$D$310:$D$312,0)))</f>
        <v>0</v>
      </c>
      <c r="N569" s="81">
        <f ca="1">N558*(1+INDEX(N$310:N$312,MATCH(Work_Codes!$I$177,$D$310:$D$312,0)))</f>
        <v>0</v>
      </c>
      <c r="O569" s="81">
        <f ca="1">O558*(1+INDEX(O$310:O$312,MATCH(Work_Codes!$I$177,$D$310:$D$312,0)))</f>
        <v>0</v>
      </c>
      <c r="P569" s="81">
        <f ca="1">P558*(1+INDEX(P$310:P$312,MATCH(Work_Codes!$I$177,$D$310:$D$312,0)))</f>
        <v>0</v>
      </c>
      <c r="Q569" s="81">
        <f ca="1">Q558*(1+INDEX(Q$310:Q$312,MATCH(Work_Codes!$I$177,$D$310:$D$312,0)))</f>
        <v>0</v>
      </c>
      <c r="R569" s="81">
        <f ca="1">R558*(1+INDEX(R$310:R$312,MATCH(Work_Codes!$I$177,$D$310:$D$312,0)))</f>
        <v>0</v>
      </c>
      <c r="S569" s="81">
        <f ca="1">S558*(1+INDEX(S$310:S$312,MATCH(Work_Codes!$I$177,$D$310:$D$312,0)))</f>
        <v>0</v>
      </c>
      <c r="T569" s="81">
        <f ca="1">T558*(1+INDEX(T$310:T$312,MATCH(Work_Codes!$I$177,$D$310:$D$312,0)))</f>
        <v>0</v>
      </c>
    </row>
    <row r="570" spans="2:20" outlineLevel="2">
      <c r="E570" s="247" t="str">
        <f>GC!C82</f>
        <v>Other Assets</v>
      </c>
      <c r="F570" s="247"/>
      <c r="G570" s="247"/>
      <c r="H570" s="247"/>
      <c r="I570" s="247"/>
      <c r="J570" s="81">
        <f ca="1">J559*(1+INDEX(J$310:J$312,MATCH(Work_Codes!$I$177,$D$310:$D$312,0)))</f>
        <v>0</v>
      </c>
      <c r="K570" s="81">
        <f ca="1">K559*(1+INDEX(K$310:K$312,MATCH(Work_Codes!$I$177,$D$310:$D$312,0)))</f>
        <v>0</v>
      </c>
      <c r="L570" s="81">
        <f ca="1">L559*(1+INDEX(L$310:L$312,MATCH(Work_Codes!$I$177,$D$310:$D$312,0)))</f>
        <v>0</v>
      </c>
      <c r="M570" s="81">
        <f ca="1">M559*(1+INDEX(M$310:M$312,MATCH(Work_Codes!$I$177,$D$310:$D$312,0)))</f>
        <v>0</v>
      </c>
      <c r="N570" s="81">
        <f ca="1">N559*(1+INDEX(N$310:N$312,MATCH(Work_Codes!$I$177,$D$310:$D$312,0)))</f>
        <v>0</v>
      </c>
      <c r="O570" s="81">
        <f ca="1">O559*(1+INDEX(O$310:O$312,MATCH(Work_Codes!$I$177,$D$310:$D$312,0)))</f>
        <v>0</v>
      </c>
      <c r="P570" s="81">
        <f ca="1">P559*(1+INDEX(P$310:P$312,MATCH(Work_Codes!$I$177,$D$310:$D$312,0)))</f>
        <v>0</v>
      </c>
      <c r="Q570" s="81">
        <f ca="1">Q559*(1+INDEX(Q$310:Q$312,MATCH(Work_Codes!$I$177,$D$310:$D$312,0)))</f>
        <v>0</v>
      </c>
      <c r="R570" s="81">
        <f ca="1">R559*(1+INDEX(R$310:R$312,MATCH(Work_Codes!$I$177,$D$310:$D$312,0)))</f>
        <v>0</v>
      </c>
      <c r="S570" s="81">
        <f ca="1">S559*(1+INDEX(S$310:S$312,MATCH(Work_Codes!$I$177,$D$310:$D$312,0)))</f>
        <v>0</v>
      </c>
      <c r="T570" s="81">
        <f ca="1">T559*(1+INDEX(T$310:T$312,MATCH(Work_Codes!$I$177,$D$310:$D$312,0)))</f>
        <v>0</v>
      </c>
    </row>
    <row r="571" spans="2:20" outlineLevel="2">
      <c r="E571" s="247" t="str">
        <f>GC!C83</f>
        <v>Repairs</v>
      </c>
      <c r="F571" s="247"/>
      <c r="G571" s="247"/>
      <c r="H571" s="247"/>
      <c r="I571" s="247"/>
      <c r="J571" s="81">
        <f ca="1">J560*(1+INDEX(J$310:J$312,MATCH(Work_Codes!$I$177,$D$310:$D$312,0)))</f>
        <v>0</v>
      </c>
      <c r="K571" s="81">
        <f ca="1">K560*(1+INDEX(K$310:K$312,MATCH(Work_Codes!$I$177,$D$310:$D$312,0)))</f>
        <v>0</v>
      </c>
      <c r="L571" s="81">
        <f ca="1">L560*(1+INDEX(L$310:L$312,MATCH(Work_Codes!$I$177,$D$310:$D$312,0)))</f>
        <v>0</v>
      </c>
      <c r="M571" s="81">
        <f ca="1">M560*(1+INDEX(M$310:M$312,MATCH(Work_Codes!$I$177,$D$310:$D$312,0)))</f>
        <v>0</v>
      </c>
      <c r="N571" s="81">
        <f ca="1">N560*(1+INDEX(N$310:N$312,MATCH(Work_Codes!$I$177,$D$310:$D$312,0)))</f>
        <v>0</v>
      </c>
      <c r="O571" s="81">
        <f ca="1">O560*(1+INDEX(O$310:O$312,MATCH(Work_Codes!$I$177,$D$310:$D$312,0)))</f>
        <v>0</v>
      </c>
      <c r="P571" s="81">
        <f ca="1">P560*(1+INDEX(P$310:P$312,MATCH(Work_Codes!$I$177,$D$310:$D$312,0)))</f>
        <v>0</v>
      </c>
      <c r="Q571" s="81">
        <f ca="1">Q560*(1+INDEX(Q$310:Q$312,MATCH(Work_Codes!$I$177,$D$310:$D$312,0)))</f>
        <v>0</v>
      </c>
      <c r="R571" s="81">
        <f ca="1">R560*(1+INDEX(R$310:R$312,MATCH(Work_Codes!$I$177,$D$310:$D$312,0)))</f>
        <v>0</v>
      </c>
      <c r="S571" s="81">
        <f ca="1">S560*(1+INDEX(S$310:S$312,MATCH(Work_Codes!$I$177,$D$310:$D$312,0)))</f>
        <v>0</v>
      </c>
      <c r="T571" s="81">
        <f ca="1">T560*(1+INDEX(T$310:T$312,MATCH(Work_Codes!$I$177,$D$310:$D$312,0)))</f>
        <v>0</v>
      </c>
    </row>
    <row r="572" spans="2:20" outlineLevel="2">
      <c r="E572" s="247" t="str">
        <f>GC!C84</f>
        <v>Land</v>
      </c>
      <c r="F572" s="247"/>
      <c r="G572" s="247"/>
      <c r="H572" s="247"/>
      <c r="I572" s="247"/>
      <c r="J572" s="81">
        <f ca="1">J561*(1+INDEX(J$310:J$312,MATCH(Work_Codes!$I$177,$D$310:$D$312,0)))</f>
        <v>0</v>
      </c>
      <c r="K572" s="81">
        <f ca="1">K561*(1+INDEX(K$310:K$312,MATCH(Work_Codes!$I$177,$D$310:$D$312,0)))</f>
        <v>0</v>
      </c>
      <c r="L572" s="81">
        <f ca="1">L561*(1+INDEX(L$310:L$312,MATCH(Work_Codes!$I$177,$D$310:$D$312,0)))</f>
        <v>0</v>
      </c>
      <c r="M572" s="81">
        <f ca="1">M561*(1+INDEX(M$310:M$312,MATCH(Work_Codes!$I$177,$D$310:$D$312,0)))</f>
        <v>0</v>
      </c>
      <c r="N572" s="81">
        <f ca="1">N561*(1+INDEX(N$310:N$312,MATCH(Work_Codes!$I$177,$D$310:$D$312,0)))</f>
        <v>0</v>
      </c>
      <c r="O572" s="81">
        <f ca="1">O561*(1+INDEX(O$310:O$312,MATCH(Work_Codes!$I$177,$D$310:$D$312,0)))</f>
        <v>0</v>
      </c>
      <c r="P572" s="81">
        <f ca="1">P561*(1+INDEX(P$310:P$312,MATCH(Work_Codes!$I$177,$D$310:$D$312,0)))</f>
        <v>0</v>
      </c>
      <c r="Q572" s="81">
        <f ca="1">Q561*(1+INDEX(Q$310:Q$312,MATCH(Work_Codes!$I$177,$D$310:$D$312,0)))</f>
        <v>0</v>
      </c>
      <c r="R572" s="81">
        <f ca="1">R561*(1+INDEX(R$310:R$312,MATCH(Work_Codes!$I$177,$D$310:$D$312,0)))</f>
        <v>0</v>
      </c>
      <c r="S572" s="81">
        <f ca="1">S561*(1+INDEX(S$310:S$312,MATCH(Work_Codes!$I$177,$D$310:$D$312,0)))</f>
        <v>0</v>
      </c>
      <c r="T572" s="81">
        <f ca="1">T561*(1+INDEX(T$310:T$312,MATCH(Work_Codes!$I$177,$D$310:$D$312,0)))</f>
        <v>0</v>
      </c>
    </row>
    <row r="573" spans="2:20" outlineLevel="2">
      <c r="E573" s="249" t="str">
        <f>"Total "&amp;D564</f>
        <v>Total Direct Costs +  Overheads</v>
      </c>
      <c r="F573" s="249"/>
      <c r="G573" s="249"/>
      <c r="H573" s="249"/>
      <c r="I573" s="249"/>
      <c r="J573" s="82">
        <f t="shared" ref="J573:T573" ca="1" si="57">SUM(J566:J572)</f>
        <v>0</v>
      </c>
      <c r="K573" s="82">
        <f t="shared" ca="1" si="57"/>
        <v>0</v>
      </c>
      <c r="L573" s="82">
        <f t="shared" ca="1" si="57"/>
        <v>0</v>
      </c>
      <c r="M573" s="82">
        <f t="shared" ca="1" si="57"/>
        <v>0</v>
      </c>
      <c r="N573" s="82">
        <f t="shared" ca="1" si="57"/>
        <v>0</v>
      </c>
      <c r="O573" s="82">
        <f t="shared" ca="1" si="57"/>
        <v>151027.46536114672</v>
      </c>
      <c r="P573" s="82">
        <f t="shared" ca="1" si="57"/>
        <v>321724.78570458514</v>
      </c>
      <c r="Q573" s="82">
        <f t="shared" ca="1" si="57"/>
        <v>307283.82205838594</v>
      </c>
      <c r="R573" s="82">
        <f t="shared" ca="1" si="57"/>
        <v>580908.00347921706</v>
      </c>
      <c r="S573" s="82">
        <f t="shared" ca="1" si="57"/>
        <v>279523.28175168217</v>
      </c>
      <c r="T573" s="82">
        <f t="shared" ca="1" si="57"/>
        <v>269242.9542824385</v>
      </c>
    </row>
    <row r="574" spans="2:20" outlineLevel="1">
      <c r="B574" s="12"/>
      <c r="C574" s="12"/>
      <c r="D574" s="12"/>
      <c r="E574" s="12"/>
      <c r="F574" s="12"/>
      <c r="G574" s="12"/>
      <c r="H574" s="12"/>
      <c r="I574" s="12"/>
      <c r="J574" s="12"/>
      <c r="K574" s="12"/>
      <c r="L574" s="12"/>
      <c r="M574" s="12"/>
      <c r="N574" s="12"/>
      <c r="O574" s="12"/>
      <c r="P574" s="12"/>
      <c r="Q574" s="12"/>
      <c r="R574" s="12"/>
      <c r="S574" s="12"/>
      <c r="T574" s="12"/>
    </row>
    <row r="575" spans="2:20" outlineLevel="1"/>
    <row r="576" spans="2:20" outlineLevel="1">
      <c r="C576" s="37" t="s">
        <v>19</v>
      </c>
    </row>
    <row r="577" spans="2:20" ht="5.9" customHeight="1" outlineLevel="1"/>
    <row r="578" spans="2:20" outlineLevel="1">
      <c r="F578" s="51" t="str">
        <f>$B$298&amp;" Work Code v RAB Category Direct Check"</f>
        <v>3010 - Inputs Work Code v RAB Category Direct Check</v>
      </c>
      <c r="I578" s="130">
        <f ca="1">IF(ISERROR(SUM(J578:T578)),1,MIN(SUM(J578:T578),1))</f>
        <v>0</v>
      </c>
      <c r="J578" s="81">
        <f t="shared" ref="J578:T578" ca="1" si="58">J408-J431</f>
        <v>0</v>
      </c>
      <c r="K578" s="81">
        <f t="shared" ca="1" si="58"/>
        <v>0</v>
      </c>
      <c r="L578" s="81">
        <f t="shared" ca="1" si="58"/>
        <v>0</v>
      </c>
      <c r="M578" s="81">
        <f t="shared" ca="1" si="58"/>
        <v>0</v>
      </c>
      <c r="N578" s="81">
        <f t="shared" ca="1" si="58"/>
        <v>0</v>
      </c>
      <c r="O578" s="81">
        <f t="shared" ca="1" si="58"/>
        <v>0</v>
      </c>
      <c r="P578" s="81">
        <f t="shared" ca="1" si="58"/>
        <v>0</v>
      </c>
      <c r="Q578" s="81">
        <f t="shared" ca="1" si="58"/>
        <v>0</v>
      </c>
      <c r="R578" s="81">
        <f t="shared" ca="1" si="58"/>
        <v>0</v>
      </c>
      <c r="S578" s="81">
        <f t="shared" ca="1" si="58"/>
        <v>0</v>
      </c>
      <c r="T578" s="81">
        <f t="shared" ca="1" si="58"/>
        <v>0</v>
      </c>
    </row>
    <row r="579" spans="2:20" outlineLevel="1">
      <c r="F579" s="51" t="str">
        <f>$B$298&amp;" Work Code v RIN Category Direct Check"</f>
        <v>3010 - Inputs Work Code v RIN Category Direct Check</v>
      </c>
      <c r="I579" s="130">
        <f ca="1">IF(ISERROR(SUM(J579:T579)),1,MIN(SUM(J579:T579),1))</f>
        <v>0</v>
      </c>
      <c r="J579" s="81">
        <f t="shared" ref="J579:T579" ca="1" si="59">J408-J512</f>
        <v>0</v>
      </c>
      <c r="K579" s="81">
        <f t="shared" ca="1" si="59"/>
        <v>0</v>
      </c>
      <c r="L579" s="81">
        <f t="shared" ca="1" si="59"/>
        <v>0</v>
      </c>
      <c r="M579" s="81">
        <f t="shared" ca="1" si="59"/>
        <v>0</v>
      </c>
      <c r="N579" s="81">
        <f t="shared" ca="1" si="59"/>
        <v>0</v>
      </c>
      <c r="O579" s="81">
        <f t="shared" ca="1" si="59"/>
        <v>0</v>
      </c>
      <c r="P579" s="81">
        <f t="shared" ca="1" si="59"/>
        <v>0</v>
      </c>
      <c r="Q579" s="81">
        <f t="shared" ca="1" si="59"/>
        <v>0</v>
      </c>
      <c r="R579" s="81">
        <f t="shared" ca="1" si="59"/>
        <v>0</v>
      </c>
      <c r="S579" s="81">
        <f t="shared" ca="1" si="59"/>
        <v>0</v>
      </c>
      <c r="T579" s="81">
        <f t="shared" ca="1" si="59"/>
        <v>0</v>
      </c>
    </row>
    <row r="580" spans="2:20" outlineLevel="1">
      <c r="F580" s="51" t="str">
        <f>$B$298&amp;" Work Code v Tax Category Direct Check"</f>
        <v>3010 - Inputs Work Code v Tax Category Direct Check</v>
      </c>
      <c r="I580" s="130">
        <f ca="1">IF(ISERROR(SUM(J580:T580)),1,MIN(SUM(J580:T580),1))</f>
        <v>0</v>
      </c>
      <c r="J580" s="81">
        <f t="shared" ref="J580:T580" ca="1" si="60">J408-J562</f>
        <v>0</v>
      </c>
      <c r="K580" s="81">
        <f t="shared" ca="1" si="60"/>
        <v>0</v>
      </c>
      <c r="L580" s="81">
        <f t="shared" ca="1" si="60"/>
        <v>0</v>
      </c>
      <c r="M580" s="81">
        <f t="shared" ca="1" si="60"/>
        <v>0</v>
      </c>
      <c r="N580" s="81">
        <f t="shared" ca="1" si="60"/>
        <v>0</v>
      </c>
      <c r="O580" s="81">
        <f t="shared" ca="1" si="60"/>
        <v>0</v>
      </c>
      <c r="P580" s="81">
        <f t="shared" ca="1" si="60"/>
        <v>0</v>
      </c>
      <c r="Q580" s="81">
        <f t="shared" ca="1" si="60"/>
        <v>0</v>
      </c>
      <c r="R580" s="81">
        <f t="shared" ca="1" si="60"/>
        <v>0</v>
      </c>
      <c r="S580" s="81">
        <f t="shared" ca="1" si="60"/>
        <v>0</v>
      </c>
      <c r="T580" s="81">
        <f t="shared" ca="1" si="60"/>
        <v>0</v>
      </c>
    </row>
    <row r="581" spans="2:20" outlineLevel="1">
      <c r="F581" s="51" t="str">
        <f>$B$298&amp;" Customer Contributions v RAB Category Direct Check"</f>
        <v>3010 - Inputs Customer Contributions v RAB Category Direct Check</v>
      </c>
      <c r="I581" s="130">
        <f ca="1">IF(ISERROR(SUM(J581:T581)),1,MIN(SUM(J581:T581),1))</f>
        <v>0</v>
      </c>
      <c r="J581" s="81">
        <f t="shared" ref="J581:T581" ca="1" si="61">J357-J491</f>
        <v>0</v>
      </c>
      <c r="K581" s="81">
        <f t="shared" ca="1" si="61"/>
        <v>0</v>
      </c>
      <c r="L581" s="81">
        <f t="shared" ca="1" si="61"/>
        <v>0</v>
      </c>
      <c r="M581" s="81">
        <f t="shared" ca="1" si="61"/>
        <v>0</v>
      </c>
      <c r="N581" s="81">
        <f t="shared" ca="1" si="61"/>
        <v>0</v>
      </c>
      <c r="O581" s="81">
        <f t="shared" ca="1" si="61"/>
        <v>0</v>
      </c>
      <c r="P581" s="81">
        <f t="shared" ca="1" si="61"/>
        <v>0</v>
      </c>
      <c r="Q581" s="81">
        <f t="shared" ca="1" si="61"/>
        <v>0</v>
      </c>
      <c r="R581" s="81">
        <f t="shared" ca="1" si="61"/>
        <v>0</v>
      </c>
      <c r="S581" s="81">
        <f t="shared" ca="1" si="61"/>
        <v>0</v>
      </c>
      <c r="T581" s="81">
        <f t="shared" ca="1" si="61"/>
        <v>0</v>
      </c>
    </row>
    <row r="582" spans="2:20" ht="5.9" customHeight="1" outlineLevel="1"/>
    <row r="583" spans="2:20" outlineLevel="1">
      <c r="F583" s="51" t="str">
        <f>$B$298&amp;" RAB v RIN Direct + Overhead Check"</f>
        <v>3010 - Inputs RAB v RIN Direct + Overhead Check</v>
      </c>
      <c r="I583" s="130">
        <f ca="1">IF(ISERROR(SUM(J583:T583)),1,MIN(SUM(J583:T583),1))</f>
        <v>0</v>
      </c>
      <c r="J583" s="81">
        <f t="shared" ref="J583:T583" ca="1" si="62">J471-J530</f>
        <v>0</v>
      </c>
      <c r="K583" s="81">
        <f t="shared" ca="1" si="62"/>
        <v>0</v>
      </c>
      <c r="L583" s="81">
        <f t="shared" ca="1" si="62"/>
        <v>0</v>
      </c>
      <c r="M583" s="81">
        <f t="shared" ca="1" si="62"/>
        <v>0</v>
      </c>
      <c r="N583" s="81">
        <f t="shared" ca="1" si="62"/>
        <v>0</v>
      </c>
      <c r="O583" s="81">
        <f t="shared" ca="1" si="62"/>
        <v>0</v>
      </c>
      <c r="P583" s="81">
        <f t="shared" ca="1" si="62"/>
        <v>0</v>
      </c>
      <c r="Q583" s="81">
        <f t="shared" ca="1" si="62"/>
        <v>0</v>
      </c>
      <c r="R583" s="81">
        <f t="shared" ca="1" si="62"/>
        <v>0</v>
      </c>
      <c r="S583" s="81">
        <f t="shared" ca="1" si="62"/>
        <v>0</v>
      </c>
      <c r="T583" s="81">
        <f t="shared" ca="1" si="62"/>
        <v>0</v>
      </c>
    </row>
    <row r="584" spans="2:20" outlineLevel="1">
      <c r="F584" s="51" t="str">
        <f>$B$298&amp;" RAB v Tax Direct + Overhead Check"</f>
        <v>3010 - Inputs RAB v Tax Direct + Overhead Check</v>
      </c>
      <c r="I584" s="130">
        <f ca="1">IF(ISERROR(SUM(J584:T584)),1,MIN(SUM(J584:T584),1))</f>
        <v>0</v>
      </c>
      <c r="J584" s="81">
        <f t="shared" ref="J584:T584" ca="1" si="63">J471-J573</f>
        <v>0</v>
      </c>
      <c r="K584" s="81">
        <f t="shared" ca="1" si="63"/>
        <v>0</v>
      </c>
      <c r="L584" s="81">
        <f t="shared" ca="1" si="63"/>
        <v>0</v>
      </c>
      <c r="M584" s="81">
        <f t="shared" ca="1" si="63"/>
        <v>0</v>
      </c>
      <c r="N584" s="81">
        <f t="shared" ca="1" si="63"/>
        <v>0</v>
      </c>
      <c r="O584" s="81">
        <f t="shared" ca="1" si="63"/>
        <v>0</v>
      </c>
      <c r="P584" s="81">
        <f t="shared" ca="1" si="63"/>
        <v>0</v>
      </c>
      <c r="Q584" s="81">
        <f t="shared" ca="1" si="63"/>
        <v>0</v>
      </c>
      <c r="R584" s="81">
        <f t="shared" ca="1" si="63"/>
        <v>0</v>
      </c>
      <c r="S584" s="81">
        <f t="shared" ca="1" si="63"/>
        <v>0</v>
      </c>
      <c r="T584" s="81">
        <f t="shared" ca="1" si="63"/>
        <v>0</v>
      </c>
    </row>
    <row r="585" spans="2:20" ht="12" outlineLevel="1" thickBot="1">
      <c r="B585" s="94"/>
      <c r="C585" s="94"/>
      <c r="D585" s="94"/>
      <c r="E585" s="94"/>
      <c r="F585" s="94"/>
      <c r="G585" s="94"/>
      <c r="H585" s="94"/>
      <c r="I585" s="94"/>
      <c r="J585" s="94"/>
      <c r="K585" s="94"/>
      <c r="L585" s="94"/>
      <c r="M585" s="94"/>
      <c r="N585" s="94"/>
      <c r="O585" s="94"/>
      <c r="P585" s="94"/>
      <c r="Q585" s="94"/>
      <c r="R585" s="94"/>
      <c r="S585" s="94"/>
      <c r="T585" s="94"/>
    </row>
  </sheetData>
  <sheetProtection formatColumns="0" formatRows="0"/>
  <mergeCells count="271">
    <mergeCell ref="E258:I258"/>
    <mergeCell ref="E548:I548"/>
    <mergeCell ref="E534:I534"/>
    <mergeCell ref="E535:I535"/>
    <mergeCell ref="E536:I536"/>
    <mergeCell ref="E537:I537"/>
    <mergeCell ref="E538:I538"/>
    <mergeCell ref="E539:I539"/>
    <mergeCell ref="E540:I540"/>
    <mergeCell ref="E541:I541"/>
    <mergeCell ref="E542:I542"/>
    <mergeCell ref="E543:I543"/>
    <mergeCell ref="E544:I544"/>
    <mergeCell ref="E545:I545"/>
    <mergeCell ref="E546:I546"/>
    <mergeCell ref="E547:I547"/>
    <mergeCell ref="E491:I491"/>
    <mergeCell ref="E475:I475"/>
    <mergeCell ref="E476:I476"/>
    <mergeCell ref="E477:I477"/>
    <mergeCell ref="E478:I478"/>
    <mergeCell ref="E479:I479"/>
    <mergeCell ref="E480:I480"/>
    <mergeCell ref="E481:I481"/>
    <mergeCell ref="E249:I249"/>
    <mergeCell ref="E250:I250"/>
    <mergeCell ref="E251:I251"/>
    <mergeCell ref="E252:I252"/>
    <mergeCell ref="E253:I253"/>
    <mergeCell ref="E254:I254"/>
    <mergeCell ref="E255:I255"/>
    <mergeCell ref="E256:I256"/>
    <mergeCell ref="E257:I257"/>
    <mergeCell ref="E415:I415"/>
    <mergeCell ref="E482:I482"/>
    <mergeCell ref="E483:I483"/>
    <mergeCell ref="E484:I484"/>
    <mergeCell ref="E485:I485"/>
    <mergeCell ref="E486:I486"/>
    <mergeCell ref="E488:I488"/>
    <mergeCell ref="E489:I489"/>
    <mergeCell ref="E490:I490"/>
    <mergeCell ref="E419:I419"/>
    <mergeCell ref="E469:I469"/>
    <mergeCell ref="E470:I470"/>
    <mergeCell ref="E487:I487"/>
    <mergeCell ref="E463:I463"/>
    <mergeCell ref="E466:I466"/>
    <mergeCell ref="E465:I465"/>
    <mergeCell ref="E462:I462"/>
    <mergeCell ref="E447:I447"/>
    <mergeCell ref="E448:I448"/>
    <mergeCell ref="E449:I449"/>
    <mergeCell ref="E450:I450"/>
    <mergeCell ref="D76:I76"/>
    <mergeCell ref="E172:I172"/>
    <mergeCell ref="E456:I456"/>
    <mergeCell ref="E213:I213"/>
    <mergeCell ref="E214:I214"/>
    <mergeCell ref="E445:I445"/>
    <mergeCell ref="E436:I436"/>
    <mergeCell ref="E461:I461"/>
    <mergeCell ref="E189:I189"/>
    <mergeCell ref="E190:I190"/>
    <mergeCell ref="E191:I191"/>
    <mergeCell ref="E192:I192"/>
    <mergeCell ref="E193:I193"/>
    <mergeCell ref="E220:I220"/>
    <mergeCell ref="E440:I440"/>
    <mergeCell ref="E441:I441"/>
    <mergeCell ref="E446:I446"/>
    <mergeCell ref="E444:I444"/>
    <mergeCell ref="E457:I457"/>
    <mergeCell ref="E458:I458"/>
    <mergeCell ref="E459:I459"/>
    <mergeCell ref="E460:I460"/>
    <mergeCell ref="E182:I182"/>
    <mergeCell ref="E219:I219"/>
    <mergeCell ref="E221:I221"/>
    <mergeCell ref="D70:I70"/>
    <mergeCell ref="D89:I89"/>
    <mergeCell ref="D99:I99"/>
    <mergeCell ref="D109:I109"/>
    <mergeCell ref="D119:I119"/>
    <mergeCell ref="E223:I223"/>
    <mergeCell ref="E209:I209"/>
    <mergeCell ref="E210:I210"/>
    <mergeCell ref="E211:I211"/>
    <mergeCell ref="E212:I212"/>
    <mergeCell ref="E126:I126"/>
    <mergeCell ref="E127:I127"/>
    <mergeCell ref="E128:I128"/>
    <mergeCell ref="E129:I129"/>
    <mergeCell ref="E130:I130"/>
    <mergeCell ref="E131:I131"/>
    <mergeCell ref="E162:I162"/>
    <mergeCell ref="E146:I146"/>
    <mergeCell ref="E147:I147"/>
    <mergeCell ref="E148:I148"/>
    <mergeCell ref="E149:I149"/>
    <mergeCell ref="E217:I217"/>
    <mergeCell ref="E215:I215"/>
    <mergeCell ref="E179:I179"/>
    <mergeCell ref="E180:I180"/>
    <mergeCell ref="E181:I181"/>
    <mergeCell ref="E198:I198"/>
    <mergeCell ref="E199:I199"/>
    <mergeCell ref="E200:I200"/>
    <mergeCell ref="E201:I201"/>
    <mergeCell ref="E202:I202"/>
    <mergeCell ref="E186:I186"/>
    <mergeCell ref="E187:I187"/>
    <mergeCell ref="E188:I188"/>
    <mergeCell ref="E248:I248"/>
    <mergeCell ref="E468:I468"/>
    <mergeCell ref="E178:I178"/>
    <mergeCell ref="E173:I173"/>
    <mergeCell ref="E174:I174"/>
    <mergeCell ref="E467:I467"/>
    <mergeCell ref="E451:I451"/>
    <mergeCell ref="E427:I427"/>
    <mergeCell ref="E428:I428"/>
    <mergeCell ref="E272:I272"/>
    <mergeCell ref="D408:I408"/>
    <mergeCell ref="E284:I284"/>
    <mergeCell ref="E277:I277"/>
    <mergeCell ref="E278:I278"/>
    <mergeCell ref="E279:I279"/>
    <mergeCell ref="E280:I280"/>
    <mergeCell ref="E281:I281"/>
    <mergeCell ref="E227:I227"/>
    <mergeCell ref="E177:I177"/>
    <mergeCell ref="E194:I194"/>
    <mergeCell ref="E195:I195"/>
    <mergeCell ref="E196:I196"/>
    <mergeCell ref="E197:I197"/>
    <mergeCell ref="E216:I216"/>
    <mergeCell ref="E132:I132"/>
    <mergeCell ref="E133:I133"/>
    <mergeCell ref="E134:I134"/>
    <mergeCell ref="E135:I135"/>
    <mergeCell ref="E136:I136"/>
    <mergeCell ref="E175:I175"/>
    <mergeCell ref="E176:I176"/>
    <mergeCell ref="E137:I137"/>
    <mergeCell ref="E443:I443"/>
    <mergeCell ref="E437:I437"/>
    <mergeCell ref="E438:I438"/>
    <mergeCell ref="E228:I228"/>
    <mergeCell ref="E229:I229"/>
    <mergeCell ref="E230:I230"/>
    <mergeCell ref="E231:I231"/>
    <mergeCell ref="E232:I232"/>
    <mergeCell ref="E233:I233"/>
    <mergeCell ref="E234:I234"/>
    <mergeCell ref="E235:I235"/>
    <mergeCell ref="E429:I429"/>
    <mergeCell ref="E138:I138"/>
    <mergeCell ref="E139:I139"/>
    <mergeCell ref="E140:I140"/>
    <mergeCell ref="E141:I141"/>
    <mergeCell ref="E522:I522"/>
    <mergeCell ref="E523:I523"/>
    <mergeCell ref="E524:I524"/>
    <mergeCell ref="E500:I500"/>
    <mergeCell ref="E501:I501"/>
    <mergeCell ref="E502:I502"/>
    <mergeCell ref="E503:I503"/>
    <mergeCell ref="E504:I504"/>
    <mergeCell ref="E505:I505"/>
    <mergeCell ref="E506:I506"/>
    <mergeCell ref="E508:I508"/>
    <mergeCell ref="E509:I509"/>
    <mergeCell ref="E510:I510"/>
    <mergeCell ref="E511:I511"/>
    <mergeCell ref="E526:I526"/>
    <mergeCell ref="E527:I527"/>
    <mergeCell ref="E237:I237"/>
    <mergeCell ref="E238:I238"/>
    <mergeCell ref="E239:I239"/>
    <mergeCell ref="E240:I240"/>
    <mergeCell ref="E516:I516"/>
    <mergeCell ref="E517:I517"/>
    <mergeCell ref="E518:I518"/>
    <mergeCell ref="E519:I519"/>
    <mergeCell ref="E520:I520"/>
    <mergeCell ref="E241:I241"/>
    <mergeCell ref="E273:I273"/>
    <mergeCell ref="E266:I266"/>
    <mergeCell ref="E267:I267"/>
    <mergeCell ref="E268:I268"/>
    <mergeCell ref="E269:I269"/>
    <mergeCell ref="E270:I270"/>
    <mergeCell ref="E271:I271"/>
    <mergeCell ref="E455:I455"/>
    <mergeCell ref="E521:I521"/>
    <mergeCell ref="E512:I512"/>
    <mergeCell ref="E498:I498"/>
    <mergeCell ref="E499:I499"/>
    <mergeCell ref="E530:I530"/>
    <mergeCell ref="E218:I218"/>
    <mergeCell ref="E236:I236"/>
    <mergeCell ref="E507:I507"/>
    <mergeCell ref="E525:I525"/>
    <mergeCell ref="E471:I471"/>
    <mergeCell ref="E573:I573"/>
    <mergeCell ref="E566:I566"/>
    <mergeCell ref="E567:I567"/>
    <mergeCell ref="E568:I568"/>
    <mergeCell ref="E569:I569"/>
    <mergeCell ref="E570:I570"/>
    <mergeCell ref="E571:I571"/>
    <mergeCell ref="E572:I572"/>
    <mergeCell ref="E528:I528"/>
    <mergeCell ref="E529:I529"/>
    <mergeCell ref="E562:I562"/>
    <mergeCell ref="E555:I555"/>
    <mergeCell ref="E556:I556"/>
    <mergeCell ref="E557:I557"/>
    <mergeCell ref="E558:I558"/>
    <mergeCell ref="E559:I559"/>
    <mergeCell ref="E560:I560"/>
    <mergeCell ref="E561:I561"/>
    <mergeCell ref="D396:I396"/>
    <mergeCell ref="E142:I142"/>
    <mergeCell ref="E166:I166"/>
    <mergeCell ref="E167:I167"/>
    <mergeCell ref="E168:I168"/>
    <mergeCell ref="E169:I169"/>
    <mergeCell ref="E153:I153"/>
    <mergeCell ref="E150:I150"/>
    <mergeCell ref="E151:I151"/>
    <mergeCell ref="E152:I152"/>
    <mergeCell ref="E154:I154"/>
    <mergeCell ref="E155:I155"/>
    <mergeCell ref="E156:I156"/>
    <mergeCell ref="E157:I157"/>
    <mergeCell ref="E158:I158"/>
    <mergeCell ref="E159:I159"/>
    <mergeCell ref="E160:I160"/>
    <mergeCell ref="E161:I161"/>
    <mergeCell ref="E170:I170"/>
    <mergeCell ref="E171:I171"/>
    <mergeCell ref="E259:I259"/>
    <mergeCell ref="E245:I245"/>
    <mergeCell ref="E246:I246"/>
    <mergeCell ref="E247:I247"/>
    <mergeCell ref="N2:O2"/>
    <mergeCell ref="E222:I222"/>
    <mergeCell ref="E464:I464"/>
    <mergeCell ref="E431:I431"/>
    <mergeCell ref="E422:I422"/>
    <mergeCell ref="E423:I423"/>
    <mergeCell ref="E424:I424"/>
    <mergeCell ref="E425:I425"/>
    <mergeCell ref="E417:I417"/>
    <mergeCell ref="E418:I418"/>
    <mergeCell ref="E282:I282"/>
    <mergeCell ref="E283:I283"/>
    <mergeCell ref="D357:I357"/>
    <mergeCell ref="E442:I442"/>
    <mergeCell ref="E416:I416"/>
    <mergeCell ref="E420:I420"/>
    <mergeCell ref="E426:I426"/>
    <mergeCell ref="E435:I435"/>
    <mergeCell ref="E430:I430"/>
    <mergeCell ref="E439:I439"/>
    <mergeCell ref="E421:I421"/>
    <mergeCell ref="D351:I351"/>
    <mergeCell ref="D372:I372"/>
    <mergeCell ref="D384:I384"/>
  </mergeCells>
  <conditionalFormatting sqref="I289">
    <cfRule type="cellIs" dxfId="887" priority="1" operator="notEqual">
      <formula>0</formula>
    </cfRule>
  </conditionalFormatting>
  <conditionalFormatting sqref="I578">
    <cfRule type="cellIs" dxfId="886" priority="2" operator="notEqual">
      <formula>0</formula>
    </cfRule>
  </conditionalFormatting>
  <conditionalFormatting sqref="J289:T289">
    <cfRule type="cellIs" dxfId="885" priority="3" operator="notEqual">
      <formula>0</formula>
    </cfRule>
  </conditionalFormatting>
  <conditionalFormatting sqref="J578:T578">
    <cfRule type="cellIs" dxfId="884" priority="4" operator="notEqual">
      <formula>0</formula>
    </cfRule>
  </conditionalFormatting>
  <conditionalFormatting sqref="I290">
    <cfRule type="cellIs" dxfId="883" priority="5" operator="notEqual">
      <formula>0</formula>
    </cfRule>
  </conditionalFormatting>
  <conditionalFormatting sqref="I579">
    <cfRule type="cellIs" dxfId="882" priority="6" operator="notEqual">
      <formula>0</formula>
    </cfRule>
  </conditionalFormatting>
  <conditionalFormatting sqref="J290:T290">
    <cfRule type="cellIs" dxfId="881" priority="7" operator="notEqual">
      <formula>0</formula>
    </cfRule>
  </conditionalFormatting>
  <conditionalFormatting sqref="J579:T579">
    <cfRule type="cellIs" dxfId="880" priority="8" operator="notEqual">
      <formula>0</formula>
    </cfRule>
  </conditionalFormatting>
  <conditionalFormatting sqref="I291">
    <cfRule type="cellIs" dxfId="879" priority="9" operator="notEqual">
      <formula>0</formula>
    </cfRule>
  </conditionalFormatting>
  <conditionalFormatting sqref="I580">
    <cfRule type="cellIs" dxfId="878" priority="10" operator="notEqual">
      <formula>0</formula>
    </cfRule>
  </conditionalFormatting>
  <conditionalFormatting sqref="J291:T291">
    <cfRule type="cellIs" dxfId="877" priority="11" operator="notEqual">
      <formula>0</formula>
    </cfRule>
  </conditionalFormatting>
  <conditionalFormatting sqref="J580:T580">
    <cfRule type="cellIs" dxfId="876" priority="12" operator="notEqual">
      <formula>0</formula>
    </cfRule>
  </conditionalFormatting>
  <conditionalFormatting sqref="I294">
    <cfRule type="cellIs" dxfId="875" priority="13" operator="notEqual">
      <formula>0</formula>
    </cfRule>
  </conditionalFormatting>
  <conditionalFormatting sqref="I583">
    <cfRule type="cellIs" dxfId="874" priority="14" operator="notEqual">
      <formula>0</formula>
    </cfRule>
  </conditionalFormatting>
  <conditionalFormatting sqref="J294:T294">
    <cfRule type="cellIs" dxfId="873" priority="15" operator="notEqual">
      <formula>0</formula>
    </cfRule>
  </conditionalFormatting>
  <conditionalFormatting sqref="J583:T583">
    <cfRule type="cellIs" dxfId="872" priority="16" operator="notEqual">
      <formula>0</formula>
    </cfRule>
  </conditionalFormatting>
  <conditionalFormatting sqref="I295">
    <cfRule type="cellIs" dxfId="871" priority="17" operator="notEqual">
      <formula>0</formula>
    </cfRule>
  </conditionalFormatting>
  <conditionalFormatting sqref="I584">
    <cfRule type="cellIs" dxfId="870" priority="18" operator="notEqual">
      <formula>0</formula>
    </cfRule>
  </conditionalFormatting>
  <conditionalFormatting sqref="J295:T295">
    <cfRule type="cellIs" dxfId="869" priority="19" operator="notEqual">
      <formula>0</formula>
    </cfRule>
  </conditionalFormatting>
  <conditionalFormatting sqref="J584:T584">
    <cfRule type="cellIs" dxfId="868" priority="20" operator="notEqual">
      <formula>0</formula>
    </cfRule>
  </conditionalFormatting>
  <conditionalFormatting sqref="I292">
    <cfRule type="cellIs" dxfId="867" priority="21" operator="notEqual">
      <formula>0</formula>
    </cfRule>
  </conditionalFormatting>
  <conditionalFormatting sqref="I581">
    <cfRule type="cellIs" dxfId="866" priority="22" operator="notEqual">
      <formula>0</formula>
    </cfRule>
  </conditionalFormatting>
  <conditionalFormatting sqref="J292:T292">
    <cfRule type="cellIs" dxfId="865" priority="23" operator="notEqual">
      <formula>0</formula>
    </cfRule>
  </conditionalFormatting>
  <conditionalFormatting sqref="J581:T581">
    <cfRule type="cellIs" dxfId="864" priority="24" operator="notEqual">
      <formula>0</formula>
    </cfRule>
  </conditionalFormatting>
  <dataValidations count="1">
    <dataValidation type="custom" showErrorMessage="1" errorTitle="Invalid Assumption" error="Assumption must be a number." sqref="J74:T74 J355:T355 J331:T337 J319:T325 J54:T58 J44:T48" xr:uid="{F31D6855-16A4-4403-BE82-91D555FFE19E}">
      <formula1>NOT(ISERROR(J44/1))</formula1>
    </dataValidation>
  </dataValidations>
  <hyperlinks>
    <hyperlink ref="A1" location="HL_Home" tooltip="Go to Table of Contents" display="HL_Home" xr:uid="{5C9F595E-6980-4A6D-BE16-152D6CFB1548}"/>
    <hyperlink ref="A2" location="HL_Err_Chk" tooltip="Go to Error Checks" display="HL_Err_Chk" xr:uid="{64ED52C4-52BF-4169-95D5-2FE526B813E8}"/>
  </hyperlinks>
  <pageMargins left="0.39370078740157499" right="0.39370078740157499" top="0.59055118110236204" bottom="0.98425196850393704" header="0" footer="0.31496062992126"/>
  <pageSetup paperSize="9" orientation="landscape" r:id="rId1"/>
  <headerFooter>
    <oddFooter>&amp;L&amp;F
&amp;A
Printed: &amp;T on &amp;D&amp;CPage &amp;P of &amp;N</oddFooter>
  </headerFooter>
  <customProperties>
    <customPr name="EpmWorksheetKeyString_GUID" r:id="rId2"/>
  </customProperties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E89347-430D-48AE-BA73-E9835D262E78}">
  <sheetPr>
    <pageSetUpPr autoPageBreaks="0" fitToPage="1"/>
  </sheetPr>
  <dimension ref="C9:G20"/>
  <sheetViews>
    <sheetView showGridLines="0" topLeftCell="A4" zoomScaleNormal="100" workbookViewId="0">
      <selection activeCell="I248" sqref="I248"/>
    </sheetView>
  </sheetViews>
  <sheetFormatPr defaultColWidth="11.59765625" defaultRowHeight="11.5"/>
  <cols>
    <col min="3" max="6" width="3.59765625" customWidth="1"/>
  </cols>
  <sheetData>
    <row r="9" spans="3:7" ht="14">
      <c r="C9" s="6" t="s">
        <v>25</v>
      </c>
    </row>
    <row r="10" spans="3:7" ht="13">
      <c r="C10" s="9" t="s">
        <v>66</v>
      </c>
    </row>
    <row r="11" spans="3:7" ht="13">
      <c r="C11" s="7" t="str">
        <f ca="1">Model_Name</f>
        <v>GAAR Capex Forecast</v>
      </c>
    </row>
    <row r="12" spans="3:7">
      <c r="C12" s="224" t="s">
        <v>8</v>
      </c>
      <c r="D12" s="224"/>
      <c r="E12" s="224"/>
      <c r="F12" s="224"/>
      <c r="G12" s="224"/>
    </row>
    <row r="13" spans="3:7">
      <c r="C13" s="8" t="s">
        <v>9</v>
      </c>
      <c r="D13" s="22" t="s">
        <v>24</v>
      </c>
    </row>
    <row r="17" spans="3:3">
      <c r="C17" s="1" t="s">
        <v>4</v>
      </c>
    </row>
    <row r="18" spans="3:3">
      <c r="C18" s="5" t="s">
        <v>5</v>
      </c>
    </row>
    <row r="19" spans="3:3">
      <c r="C19" s="5" t="s">
        <v>6</v>
      </c>
    </row>
    <row r="20" spans="3:3">
      <c r="C20" s="5" t="s">
        <v>7</v>
      </c>
    </row>
  </sheetData>
  <mergeCells count="1">
    <mergeCell ref="C12:G12"/>
  </mergeCells>
  <hyperlinks>
    <hyperlink ref="C13" location="HL_Sheet_Main" tooltip="Go to Previous Sheet" display="HL_Sheet_Main" xr:uid="{95C3763A-6FAE-45B5-8980-607B541B2595}"/>
    <hyperlink ref="D13" location="HL_Sheet_Main_13" tooltip="Go to Next Sheet" display="HL_Sheet_Main_13" xr:uid="{F1C03496-67D9-4100-83D6-BA0A5AE10494}"/>
    <hyperlink ref="C12" location="HL_Home" tooltip="Go to Table of Contents" display="HL_Home" xr:uid="{06C65883-0187-4D5F-9FF9-EE460CD26DF3}"/>
  </hyperlinks>
  <pageMargins left="0.39370078740157499" right="0.39370078740157499" top="0.59055118110236204" bottom="0.98425196850393704" header="0" footer="0.31496062992126"/>
  <pageSetup paperSize="9" orientation="landscape" r:id="rId1"/>
  <headerFooter>
    <oddFooter>&amp;L&amp;F
&amp;A
Printed: &amp;T on &amp;D&amp;CPage &amp;P of &amp;N</oddFooter>
  </headerFooter>
  <customProperties>
    <customPr name="EpmWorksheetKeyString_GUID" r:id="rId2"/>
  </customProperties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9F85A6-19E6-4278-A639-61CD60030504}">
  <sheetPr>
    <pageSetUpPr autoPageBreaks="0"/>
  </sheetPr>
  <dimension ref="A1:T571"/>
  <sheetViews>
    <sheetView showGridLines="0" zoomScaleNormal="100" workbookViewId="0">
      <pane xSplit="9" ySplit="21" topLeftCell="J22" activePane="bottomRight" state="frozen"/>
      <selection activeCell="N2" sqref="N2:O2"/>
      <selection pane="topRight" activeCell="N2" sqref="N2:O2"/>
      <selection pane="bottomLeft" activeCell="N2" sqref="N2:O2"/>
      <selection pane="bottomRight" activeCell="N2" sqref="N2:O2"/>
    </sheetView>
  </sheetViews>
  <sheetFormatPr defaultColWidth="11.59765625" defaultRowHeight="11.5" outlineLevelRow="3"/>
  <cols>
    <col min="1" max="5" width="3.59765625" customWidth="1"/>
    <col min="6" max="7" width="15.59765625" customWidth="1"/>
    <col min="14" max="14" width="15.69921875" bestFit="1" customWidth="1"/>
  </cols>
  <sheetData>
    <row r="1" spans="1:20" ht="14">
      <c r="A1" s="10" t="s">
        <v>11</v>
      </c>
      <c r="B1" s="6" t="s">
        <v>290</v>
      </c>
    </row>
    <row r="2" spans="1:20" ht="13">
      <c r="A2" s="23" t="s">
        <v>26</v>
      </c>
      <c r="B2" s="7" t="str">
        <f ca="1">Model_Name</f>
        <v>GAAR Capex Forecast</v>
      </c>
      <c r="N2" s="253" t="s">
        <v>493</v>
      </c>
      <c r="O2" s="253"/>
    </row>
    <row r="3" spans="1:20">
      <c r="B3" s="30"/>
      <c r="C3" s="30"/>
      <c r="D3" s="30"/>
      <c r="E3" s="30"/>
      <c r="F3" s="30"/>
      <c r="G3" s="30"/>
      <c r="H3" s="30"/>
      <c r="I3" s="30"/>
      <c r="J3" s="30"/>
      <c r="K3" s="30"/>
      <c r="L3" s="30"/>
      <c r="M3" s="30"/>
      <c r="N3" s="30"/>
      <c r="O3" s="30"/>
      <c r="P3" s="30"/>
      <c r="Q3" s="30"/>
      <c r="R3" s="30"/>
      <c r="S3" s="30"/>
      <c r="T3" s="30"/>
    </row>
    <row r="4" spans="1:20">
      <c r="B4" s="116" t="s">
        <v>74</v>
      </c>
      <c r="C4" s="118"/>
      <c r="D4" s="118"/>
      <c r="E4" s="118"/>
      <c r="F4" s="118"/>
      <c r="G4" s="118"/>
      <c r="H4" s="118"/>
      <c r="I4" s="118"/>
      <c r="J4" s="119">
        <f t="shared" ref="J4:T4" si="0">J8</f>
        <v>43465</v>
      </c>
      <c r="K4" s="119">
        <f t="shared" si="0"/>
        <v>43830</v>
      </c>
      <c r="L4" s="119">
        <f t="shared" si="0"/>
        <v>44196</v>
      </c>
      <c r="M4" s="119">
        <f t="shared" si="0"/>
        <v>44561</v>
      </c>
      <c r="N4" s="119">
        <f t="shared" si="0"/>
        <v>44926</v>
      </c>
      <c r="O4" s="121">
        <f t="shared" si="0"/>
        <v>45107</v>
      </c>
      <c r="P4" s="121">
        <f t="shared" si="0"/>
        <v>45473</v>
      </c>
      <c r="Q4" s="121">
        <f t="shared" si="0"/>
        <v>45838</v>
      </c>
      <c r="R4" s="121">
        <f t="shared" si="0"/>
        <v>46203</v>
      </c>
      <c r="S4" s="121">
        <f t="shared" si="0"/>
        <v>46568</v>
      </c>
      <c r="T4" s="121">
        <f t="shared" si="0"/>
        <v>46934</v>
      </c>
    </row>
    <row r="5" spans="1:20">
      <c r="B5" s="117" t="s">
        <v>100</v>
      </c>
      <c r="C5" s="117"/>
      <c r="D5" s="117"/>
      <c r="E5" s="117"/>
      <c r="F5" s="117"/>
      <c r="G5" s="117"/>
      <c r="H5" s="117"/>
      <c r="I5" s="117"/>
      <c r="J5" s="120">
        <f t="shared" ref="J5:T5" si="1">YEAR(J8)</f>
        <v>2018</v>
      </c>
      <c r="K5" s="120">
        <f t="shared" si="1"/>
        <v>2019</v>
      </c>
      <c r="L5" s="120">
        <f t="shared" si="1"/>
        <v>2020</v>
      </c>
      <c r="M5" s="120">
        <f t="shared" si="1"/>
        <v>2021</v>
      </c>
      <c r="N5" s="120">
        <f t="shared" si="1"/>
        <v>2022</v>
      </c>
      <c r="O5" s="120">
        <f t="shared" si="1"/>
        <v>2023</v>
      </c>
      <c r="P5" s="120">
        <f t="shared" si="1"/>
        <v>2024</v>
      </c>
      <c r="Q5" s="120">
        <f t="shared" si="1"/>
        <v>2025</v>
      </c>
      <c r="R5" s="120">
        <f t="shared" si="1"/>
        <v>2026</v>
      </c>
      <c r="S5" s="120">
        <f t="shared" si="1"/>
        <v>2027</v>
      </c>
      <c r="T5" s="120">
        <f t="shared" si="1"/>
        <v>2028</v>
      </c>
    </row>
    <row r="6" spans="1:20">
      <c r="B6" s="113" t="s">
        <v>91</v>
      </c>
      <c r="C6" s="113"/>
      <c r="D6" s="113"/>
      <c r="E6" s="113"/>
      <c r="F6" s="113"/>
      <c r="G6" s="113"/>
      <c r="H6" s="113"/>
      <c r="I6" s="113"/>
      <c r="J6" s="115" t="str">
        <f t="shared" ref="J6:T6" si="2">IF(J$17,"Actual","Forecast")</f>
        <v>Actual</v>
      </c>
      <c r="K6" s="115" t="str">
        <f t="shared" si="2"/>
        <v>Actual</v>
      </c>
      <c r="L6" s="115" t="str">
        <f t="shared" si="2"/>
        <v>Actual</v>
      </c>
      <c r="M6" s="115" t="str">
        <f t="shared" si="2"/>
        <v>Actual</v>
      </c>
      <c r="N6" s="115" t="str">
        <f t="shared" si="2"/>
        <v>Forecast</v>
      </c>
      <c r="O6" s="114" t="str">
        <f t="shared" si="2"/>
        <v>Forecast</v>
      </c>
      <c r="P6" s="114" t="str">
        <f t="shared" si="2"/>
        <v>Forecast</v>
      </c>
      <c r="Q6" s="114" t="str">
        <f t="shared" si="2"/>
        <v>Forecast</v>
      </c>
      <c r="R6" s="114" t="str">
        <f t="shared" si="2"/>
        <v>Forecast</v>
      </c>
      <c r="S6" s="114" t="str">
        <f t="shared" si="2"/>
        <v>Forecast</v>
      </c>
      <c r="T6" s="114" t="str">
        <f t="shared" si="2"/>
        <v>Forecast</v>
      </c>
    </row>
    <row r="7" spans="1:20" hidden="1" outlineLevel="3">
      <c r="B7" s="30" t="s">
        <v>101</v>
      </c>
      <c r="C7" s="30"/>
      <c r="D7" s="30"/>
      <c r="E7" s="30"/>
      <c r="F7" s="30"/>
      <c r="G7" s="30"/>
      <c r="H7" s="30"/>
      <c r="I7" s="30"/>
      <c r="J7" s="36">
        <f>EDATE(Ts_Start_Date,(J10-1)*Ts_Mths_In_Yr)</f>
        <v>43101</v>
      </c>
      <c r="K7" s="36">
        <f>EDATE(Ts_Start_Date,(K10-1)*Ts_Mths_In_Yr)</f>
        <v>43466</v>
      </c>
      <c r="L7" s="36">
        <f>EDATE(Ts_Start_Date,(L10-1)*Ts_Mths_In_Yr)</f>
        <v>43831</v>
      </c>
      <c r="M7" s="36">
        <f>EDATE(Ts_Start_Date,(M10-1)*Ts_Mths_In_Yr)</f>
        <v>44197</v>
      </c>
      <c r="N7" s="36">
        <f>EDATE(Ts_Start_Date,(N10-1)*Ts_Mths_In_Yr)</f>
        <v>44562</v>
      </c>
      <c r="O7" s="36">
        <f>Ts_Stub_Start_Date</f>
        <v>44927</v>
      </c>
      <c r="P7" s="36">
        <f>EDATE(Ts_Forecast_Reg_Start_Date,(P16-1)*Ts_Mths_In_Yr)</f>
        <v>45108</v>
      </c>
      <c r="Q7" s="36">
        <f>EDATE(Ts_Forecast_Reg_Start_Date,(Q16-1)*Ts_Mths_In_Yr)</f>
        <v>45474</v>
      </c>
      <c r="R7" s="36">
        <f>EDATE(Ts_Forecast_Reg_Start_Date,(R16-1)*Ts_Mths_In_Yr)</f>
        <v>45839</v>
      </c>
      <c r="S7" s="36">
        <f>EDATE(Ts_Forecast_Reg_Start_Date,(S16-1)*Ts_Mths_In_Yr)</f>
        <v>46204</v>
      </c>
      <c r="T7" s="36">
        <f>EDATE(Ts_Forecast_Reg_Start_Date,(T16-1)*Ts_Mths_In_Yr)</f>
        <v>46569</v>
      </c>
    </row>
    <row r="8" spans="1:20" hidden="1" outlineLevel="3">
      <c r="B8" s="30" t="s">
        <v>102</v>
      </c>
      <c r="C8" s="30"/>
      <c r="D8" s="30"/>
      <c r="E8" s="30"/>
      <c r="F8" s="30"/>
      <c r="G8" s="30"/>
      <c r="H8" s="30"/>
      <c r="I8" s="30"/>
      <c r="J8" s="36">
        <f>EOMONTH(J7,Ts_Mths_In_Yr-1)</f>
        <v>43465</v>
      </c>
      <c r="K8" s="36">
        <f>EOMONTH(K7,Ts_Mths_In_Yr-1)</f>
        <v>43830</v>
      </c>
      <c r="L8" s="36">
        <f>EOMONTH(L7,Ts_Mths_In_Yr-1)</f>
        <v>44196</v>
      </c>
      <c r="M8" s="36">
        <f>EOMONTH(M7,Ts_Mths_In_Yr-1)</f>
        <v>44561</v>
      </c>
      <c r="N8" s="36">
        <f>EOMONTH(N7,Ts_Mths_In_Yr-1)</f>
        <v>44926</v>
      </c>
      <c r="O8" s="36">
        <f>EOMONTH(O7,Ts_Stub_Length-1)</f>
        <v>45107</v>
      </c>
      <c r="P8" s="36">
        <f>EOMONTH(P7,Ts_Mths_In_Yr-1)</f>
        <v>45473</v>
      </c>
      <c r="Q8" s="36">
        <f>EOMONTH(Q7,Ts_Mths_In_Yr-1)</f>
        <v>45838</v>
      </c>
      <c r="R8" s="36">
        <f>EOMONTH(R7,Ts_Mths_In_Yr-1)</f>
        <v>46203</v>
      </c>
      <c r="S8" s="36">
        <f>EOMONTH(S7,Ts_Mths_In_Yr-1)</f>
        <v>46568</v>
      </c>
      <c r="T8" s="36">
        <f>EOMONTH(T7,Ts_Mths_In_Yr-1)</f>
        <v>46934</v>
      </c>
    </row>
    <row r="9" spans="1:20" hidden="1" outlineLevel="3">
      <c r="B9" s="30" t="s">
        <v>87</v>
      </c>
      <c r="C9" s="30"/>
      <c r="D9" s="30"/>
      <c r="E9" s="30"/>
      <c r="F9" s="30"/>
      <c r="G9" s="30"/>
      <c r="H9" s="30"/>
      <c r="I9" s="30"/>
      <c r="J9" s="14">
        <f t="shared" ref="J9:T9" si="3">DATEDIF(J7,J8,"m")+1</f>
        <v>12</v>
      </c>
      <c r="K9" s="14">
        <f t="shared" si="3"/>
        <v>12</v>
      </c>
      <c r="L9" s="14">
        <f t="shared" si="3"/>
        <v>12</v>
      </c>
      <c r="M9" s="14">
        <f t="shared" si="3"/>
        <v>12</v>
      </c>
      <c r="N9" s="14">
        <f t="shared" si="3"/>
        <v>12</v>
      </c>
      <c r="O9" s="14">
        <f t="shared" si="3"/>
        <v>6</v>
      </c>
      <c r="P9" s="38">
        <f t="shared" si="3"/>
        <v>12</v>
      </c>
      <c r="Q9" s="38">
        <f t="shared" si="3"/>
        <v>12</v>
      </c>
      <c r="R9" s="38">
        <f t="shared" si="3"/>
        <v>12</v>
      </c>
      <c r="S9" s="38">
        <f t="shared" si="3"/>
        <v>12</v>
      </c>
      <c r="T9" s="38">
        <f t="shared" si="3"/>
        <v>12</v>
      </c>
    </row>
    <row r="10" spans="1:20" hidden="1" outlineLevel="3">
      <c r="B10" s="30" t="s">
        <v>72</v>
      </c>
      <c r="C10" s="30"/>
      <c r="D10" s="30"/>
      <c r="E10" s="30"/>
      <c r="F10" s="30"/>
      <c r="G10" s="30"/>
      <c r="H10" s="30"/>
      <c r="I10" s="30"/>
      <c r="J10" s="40">
        <f>COLUMNS($J$10:J10)</f>
        <v>1</v>
      </c>
      <c r="K10" s="40">
        <f>COLUMNS($J$10:K10)</f>
        <v>2</v>
      </c>
      <c r="L10" s="40">
        <f>COLUMNS($J$10:L10)</f>
        <v>3</v>
      </c>
      <c r="M10" s="40">
        <f>COLUMNS($J$10:M10)</f>
        <v>4</v>
      </c>
      <c r="N10" s="40">
        <f>COLUMNS($J$10:N10)</f>
        <v>5</v>
      </c>
      <c r="O10" s="40">
        <f>COLUMNS($J$10:O10)</f>
        <v>6</v>
      </c>
      <c r="P10" s="40">
        <f>COLUMNS($J$10:P10)</f>
        <v>7</v>
      </c>
      <c r="Q10" s="40">
        <f>COLUMNS($J$10:Q10)</f>
        <v>8</v>
      </c>
      <c r="R10" s="40">
        <f>COLUMNS($J$10:R10)</f>
        <v>9</v>
      </c>
      <c r="S10" s="40">
        <f>COLUMNS($J$10:S10)</f>
        <v>10</v>
      </c>
      <c r="T10" s="40">
        <f>COLUMNS($J$10:T10)</f>
        <v>11</v>
      </c>
    </row>
    <row r="11" spans="1:20" hidden="1" outlineLevel="3">
      <c r="B11" s="30" t="s">
        <v>76</v>
      </c>
      <c r="C11" s="30"/>
      <c r="D11" s="30"/>
      <c r="E11" s="30"/>
      <c r="F11" s="30"/>
      <c r="G11" s="30"/>
      <c r="H11" s="30"/>
      <c r="I11" s="30"/>
      <c r="J11" s="40">
        <f>(J12&lt;&gt;0)*1</f>
        <v>1</v>
      </c>
      <c r="K11" s="40">
        <f>(K12&lt;&gt;0)*1</f>
        <v>1</v>
      </c>
      <c r="L11" s="40">
        <f>(L12&lt;&gt;0)*1</f>
        <v>1</v>
      </c>
      <c r="M11" s="40">
        <f>(M12&lt;&gt;0)*1</f>
        <v>1</v>
      </c>
      <c r="N11" s="40">
        <f>(N12&lt;&gt;0)*1</f>
        <v>1</v>
      </c>
      <c r="O11" s="45">
        <v>0</v>
      </c>
      <c r="P11" s="45">
        <v>0</v>
      </c>
      <c r="Q11" s="45">
        <v>0</v>
      </c>
      <c r="R11" s="45">
        <v>0</v>
      </c>
      <c r="S11" s="45">
        <v>0</v>
      </c>
      <c r="T11" s="45">
        <v>0</v>
      </c>
    </row>
    <row r="12" spans="1:20" hidden="1" outlineLevel="3">
      <c r="B12" s="30" t="s">
        <v>96</v>
      </c>
      <c r="C12" s="30"/>
      <c r="D12" s="30"/>
      <c r="E12" s="30"/>
      <c r="F12" s="30"/>
      <c r="G12" s="30"/>
      <c r="H12" s="30"/>
      <c r="I12" s="30"/>
      <c r="J12" s="40">
        <f>COLUMNS($J$10:J10)</f>
        <v>1</v>
      </c>
      <c r="K12" s="40">
        <f>COLUMNS($J$10:K10)</f>
        <v>2</v>
      </c>
      <c r="L12" s="40">
        <f>COLUMNS($J$10:L10)</f>
        <v>3</v>
      </c>
      <c r="M12" s="40">
        <f>COLUMNS($J$10:M10)</f>
        <v>4</v>
      </c>
      <c r="N12" s="40">
        <f>COLUMNS($J$10:N10)</f>
        <v>5</v>
      </c>
      <c r="O12" s="45">
        <v>0</v>
      </c>
      <c r="P12" s="45">
        <v>0</v>
      </c>
      <c r="Q12" s="45">
        <v>0</v>
      </c>
      <c r="R12" s="45">
        <v>0</v>
      </c>
      <c r="S12" s="45">
        <v>0</v>
      </c>
      <c r="T12" s="45">
        <v>0</v>
      </c>
    </row>
    <row r="13" spans="1:20" hidden="1" outlineLevel="3">
      <c r="B13" s="30" t="s">
        <v>79</v>
      </c>
      <c r="C13" s="30"/>
      <c r="D13" s="30"/>
      <c r="E13" s="30"/>
      <c r="F13" s="30"/>
      <c r="G13" s="30"/>
      <c r="H13" s="30"/>
      <c r="I13" s="30"/>
      <c r="J13" s="45">
        <v>0</v>
      </c>
      <c r="K13" s="45">
        <v>0</v>
      </c>
      <c r="L13" s="45">
        <v>0</v>
      </c>
      <c r="M13" s="45">
        <v>0</v>
      </c>
      <c r="N13" s="45">
        <v>0</v>
      </c>
      <c r="O13" s="40">
        <f>(O14&lt;&gt;0)*1</f>
        <v>1</v>
      </c>
      <c r="P13" s="45">
        <v>0</v>
      </c>
      <c r="Q13" s="45">
        <v>0</v>
      </c>
      <c r="R13" s="45">
        <v>0</v>
      </c>
      <c r="S13" s="45">
        <v>0</v>
      </c>
      <c r="T13" s="45">
        <v>0</v>
      </c>
    </row>
    <row r="14" spans="1:20" hidden="1" outlineLevel="3">
      <c r="B14" s="30" t="s">
        <v>97</v>
      </c>
      <c r="C14" s="30"/>
      <c r="D14" s="30"/>
      <c r="E14" s="30"/>
      <c r="F14" s="30"/>
      <c r="G14" s="30"/>
      <c r="H14" s="30"/>
      <c r="I14" s="30"/>
      <c r="J14" s="45">
        <v>0</v>
      </c>
      <c r="K14" s="45">
        <v>0</v>
      </c>
      <c r="L14" s="45">
        <v>0</v>
      </c>
      <c r="M14" s="45">
        <v>0</v>
      </c>
      <c r="N14" s="45">
        <v>0</v>
      </c>
      <c r="O14" s="40">
        <f>COLUMNS($O$14:O14)</f>
        <v>1</v>
      </c>
      <c r="P14" s="45">
        <v>0</v>
      </c>
      <c r="Q14" s="45">
        <v>0</v>
      </c>
      <c r="R14" s="45">
        <v>0</v>
      </c>
      <c r="S14" s="45">
        <v>0</v>
      </c>
      <c r="T14" s="45">
        <v>0</v>
      </c>
    </row>
    <row r="15" spans="1:20" hidden="1" outlineLevel="3">
      <c r="B15" s="30" t="s">
        <v>82</v>
      </c>
      <c r="C15" s="30"/>
      <c r="D15" s="30"/>
      <c r="E15" s="30"/>
      <c r="F15" s="30"/>
      <c r="G15" s="30"/>
      <c r="H15" s="30"/>
      <c r="I15" s="30"/>
      <c r="J15" s="45">
        <v>0</v>
      </c>
      <c r="K15" s="45">
        <v>0</v>
      </c>
      <c r="L15" s="45">
        <v>0</v>
      </c>
      <c r="M15" s="45">
        <v>0</v>
      </c>
      <c r="N15" s="45">
        <v>0</v>
      </c>
      <c r="O15" s="45">
        <v>0</v>
      </c>
      <c r="P15" s="39">
        <f>(P16&lt;&gt;0)*1</f>
        <v>1</v>
      </c>
      <c r="Q15" s="39">
        <f>(Q16&lt;&gt;0)*1</f>
        <v>1</v>
      </c>
      <c r="R15" s="39">
        <f>(R16&lt;&gt;0)*1</f>
        <v>1</v>
      </c>
      <c r="S15" s="39">
        <f>(S16&lt;&gt;0)*1</f>
        <v>1</v>
      </c>
      <c r="T15" s="39">
        <f>(T16&lt;&gt;0)*1</f>
        <v>1</v>
      </c>
    </row>
    <row r="16" spans="1:20" hidden="1" outlineLevel="3">
      <c r="B16" s="30" t="s">
        <v>98</v>
      </c>
      <c r="C16" s="30"/>
      <c r="D16" s="30"/>
      <c r="E16" s="30"/>
      <c r="F16" s="30"/>
      <c r="G16" s="30"/>
      <c r="H16" s="30"/>
      <c r="I16" s="30"/>
      <c r="J16" s="45">
        <v>0</v>
      </c>
      <c r="K16" s="45">
        <v>0</v>
      </c>
      <c r="L16" s="45">
        <v>0</v>
      </c>
      <c r="M16" s="45">
        <v>0</v>
      </c>
      <c r="N16" s="45">
        <v>0</v>
      </c>
      <c r="O16" s="45">
        <v>0</v>
      </c>
      <c r="P16" s="39">
        <f>COLUMNS($P$16:P16)</f>
        <v>1</v>
      </c>
      <c r="Q16" s="39">
        <f>COLUMNS($P$16:Q16)</f>
        <v>2</v>
      </c>
      <c r="R16" s="39">
        <f>COLUMNS($P$16:R16)</f>
        <v>3</v>
      </c>
      <c r="S16" s="39">
        <f>COLUMNS($P$16:S16)</f>
        <v>4</v>
      </c>
      <c r="T16" s="39">
        <f>COLUMNS($P$16:T16)</f>
        <v>5</v>
      </c>
    </row>
    <row r="17" spans="2:20" hidden="1" outlineLevel="3">
      <c r="B17" s="30" t="s">
        <v>206</v>
      </c>
      <c r="C17" s="30"/>
      <c r="D17" s="30"/>
      <c r="E17" s="30"/>
      <c r="F17" s="30"/>
      <c r="G17" s="30"/>
      <c r="H17" s="30"/>
      <c r="I17" s="30"/>
      <c r="J17" s="39">
        <f t="shared" ref="J17:T17" si="4">IF(J$5&lt;=Ts_Last_Actual_Year,1,0)</f>
        <v>1</v>
      </c>
      <c r="K17" s="39">
        <f t="shared" si="4"/>
        <v>1</v>
      </c>
      <c r="L17" s="39">
        <f t="shared" si="4"/>
        <v>1</v>
      </c>
      <c r="M17" s="39">
        <f t="shared" si="4"/>
        <v>1</v>
      </c>
      <c r="N17" s="39">
        <f t="shared" si="4"/>
        <v>0</v>
      </c>
      <c r="O17" s="39">
        <f t="shared" si="4"/>
        <v>0</v>
      </c>
      <c r="P17" s="39">
        <f t="shared" si="4"/>
        <v>0</v>
      </c>
      <c r="Q17" s="39">
        <f t="shared" si="4"/>
        <v>0</v>
      </c>
      <c r="R17" s="39">
        <f t="shared" si="4"/>
        <v>0</v>
      </c>
      <c r="S17" s="39">
        <f t="shared" si="4"/>
        <v>0</v>
      </c>
      <c r="T17" s="39">
        <f t="shared" si="4"/>
        <v>0</v>
      </c>
    </row>
    <row r="18" spans="2:20" hidden="1" outlineLevel="3">
      <c r="B18" s="30" t="s">
        <v>207</v>
      </c>
      <c r="C18" s="30"/>
      <c r="D18" s="30"/>
      <c r="E18" s="30"/>
      <c r="F18" s="30"/>
      <c r="G18" s="30"/>
      <c r="H18" s="30"/>
      <c r="I18" s="30"/>
      <c r="J18" s="39">
        <f t="shared" ref="J18:T18" si="5">IF(J$5&gt;Ts_Last_Actual_Year,1,0)</f>
        <v>0</v>
      </c>
      <c r="K18" s="39">
        <f t="shared" si="5"/>
        <v>0</v>
      </c>
      <c r="L18" s="39">
        <f t="shared" si="5"/>
        <v>0</v>
      </c>
      <c r="M18" s="39">
        <f t="shared" si="5"/>
        <v>0</v>
      </c>
      <c r="N18" s="39">
        <f t="shared" si="5"/>
        <v>1</v>
      </c>
      <c r="O18" s="40">
        <f t="shared" si="5"/>
        <v>1</v>
      </c>
      <c r="P18" s="40">
        <f t="shared" si="5"/>
        <v>1</v>
      </c>
      <c r="Q18" s="40">
        <f t="shared" si="5"/>
        <v>1</v>
      </c>
      <c r="R18" s="40">
        <f t="shared" si="5"/>
        <v>1</v>
      </c>
      <c r="S18" s="40">
        <f t="shared" si="5"/>
        <v>1</v>
      </c>
      <c r="T18" s="40">
        <f t="shared" si="5"/>
        <v>1</v>
      </c>
    </row>
    <row r="19" spans="2:20" hidden="1" outlineLevel="3">
      <c r="B19" s="30" t="s">
        <v>208</v>
      </c>
      <c r="C19" s="30"/>
      <c r="D19" s="30"/>
      <c r="E19" s="30"/>
      <c r="F19" s="30"/>
      <c r="G19" s="30"/>
      <c r="H19" s="30"/>
      <c r="I19" s="30"/>
      <c r="J19" s="39">
        <f>SUM($J18:J18)</f>
        <v>0</v>
      </c>
      <c r="K19" s="39">
        <f>SUM($J18:K18)</f>
        <v>0</v>
      </c>
      <c r="L19" s="39">
        <f>SUM($J18:L18)</f>
        <v>0</v>
      </c>
      <c r="M19" s="39">
        <f>SUM($J18:M18)</f>
        <v>0</v>
      </c>
      <c r="N19" s="39">
        <f>SUM($J18:N18)</f>
        <v>1</v>
      </c>
      <c r="O19" s="40">
        <f>SUM($J18:O18)</f>
        <v>2</v>
      </c>
      <c r="P19" s="40">
        <f>SUM($J18:P18)</f>
        <v>3</v>
      </c>
      <c r="Q19" s="40">
        <f>SUM($J18:Q18)</f>
        <v>4</v>
      </c>
      <c r="R19" s="40">
        <f>SUM($J18:R18)</f>
        <v>5</v>
      </c>
      <c r="S19" s="40">
        <f>SUM($J18:S18)</f>
        <v>6</v>
      </c>
      <c r="T19" s="40">
        <f>SUM($J18:T18)</f>
        <v>7</v>
      </c>
    </row>
    <row r="20" spans="2:20" hidden="1" outlineLevel="3">
      <c r="B20" s="30" t="s">
        <v>481</v>
      </c>
      <c r="C20" s="30"/>
      <c r="D20" s="30"/>
      <c r="E20" s="30"/>
      <c r="F20" s="30"/>
      <c r="G20" s="30"/>
      <c r="H20" s="30"/>
      <c r="I20" s="30"/>
      <c r="J20" s="38">
        <f t="shared" ref="J20:N20" si="6">J9/12</f>
        <v>1</v>
      </c>
      <c r="K20" s="38">
        <f t="shared" si="6"/>
        <v>1</v>
      </c>
      <c r="L20" s="38">
        <f t="shared" si="6"/>
        <v>1</v>
      </c>
      <c r="M20" s="38">
        <f t="shared" si="6"/>
        <v>1</v>
      </c>
      <c r="N20" s="38">
        <f t="shared" si="6"/>
        <v>1</v>
      </c>
      <c r="O20" s="38">
        <f>O9/12</f>
        <v>0.5</v>
      </c>
      <c r="P20" s="38">
        <f t="shared" ref="P20:T20" si="7">P9/12</f>
        <v>1</v>
      </c>
      <c r="Q20" s="38">
        <f t="shared" si="7"/>
        <v>1</v>
      </c>
      <c r="R20" s="38">
        <f t="shared" si="7"/>
        <v>1</v>
      </c>
      <c r="S20" s="38">
        <f t="shared" si="7"/>
        <v>1</v>
      </c>
      <c r="T20" s="38">
        <f t="shared" si="7"/>
        <v>1</v>
      </c>
    </row>
    <row r="21" spans="2:20" hidden="1" outlineLevel="3">
      <c r="B21" s="30"/>
      <c r="C21" s="30"/>
      <c r="D21" s="30"/>
      <c r="E21" s="30"/>
      <c r="F21" s="30"/>
      <c r="G21" s="30"/>
      <c r="H21" s="30"/>
      <c r="I21" s="30"/>
      <c r="J21" s="30"/>
      <c r="K21" s="30"/>
      <c r="L21" s="30"/>
      <c r="M21" s="30"/>
      <c r="N21" s="30"/>
      <c r="O21" s="30"/>
      <c r="P21" s="30"/>
      <c r="Q21" s="30"/>
      <c r="R21" s="30"/>
      <c r="S21" s="30"/>
      <c r="T21" s="30"/>
    </row>
    <row r="22" spans="2:20" s="41" customFormat="1" collapsed="1"/>
    <row r="23" spans="2:20" s="41" customFormat="1" ht="14">
      <c r="B23" s="111" t="s">
        <v>246</v>
      </c>
      <c r="C23" s="47"/>
      <c r="D23" s="47"/>
      <c r="E23" s="47"/>
      <c r="F23" s="47"/>
      <c r="G23" s="47"/>
      <c r="H23" s="47"/>
      <c r="I23" s="47"/>
      <c r="J23" s="47"/>
      <c r="K23" s="47"/>
      <c r="L23" s="47"/>
      <c r="M23" s="47"/>
      <c r="N23" s="47"/>
      <c r="O23" s="47"/>
      <c r="P23" s="47"/>
      <c r="Q23" s="47"/>
      <c r="R23" s="47"/>
      <c r="S23" s="47"/>
      <c r="T23" s="47"/>
    </row>
    <row r="24" spans="2:20" s="41" customFormat="1" ht="5.9" customHeight="1"/>
    <row r="25" spans="2:20" s="41" customFormat="1" ht="14">
      <c r="B25" s="60" t="str">
        <f>GC!F18</f>
        <v>Network Regulators - Planned</v>
      </c>
    </row>
    <row r="26" spans="2:20" s="41" customFormat="1" ht="5.9" customHeight="1" outlineLevel="1"/>
    <row r="27" spans="2:20" s="41" customFormat="1" hidden="1" outlineLevel="2">
      <c r="C27" s="50" t="s">
        <v>204</v>
      </c>
    </row>
    <row r="28" spans="2:20" s="41" customFormat="1" ht="5.9" hidden="1" customHeight="1" outlineLevel="2"/>
    <row r="29" spans="2:20" s="41" customFormat="1" hidden="1" outlineLevel="2">
      <c r="D29" s="52" t="s">
        <v>103</v>
      </c>
      <c r="J29" s="91">
        <f>Rates!J42</f>
        <v>1</v>
      </c>
      <c r="K29" s="91">
        <f>Rates!K42</f>
        <v>1</v>
      </c>
      <c r="L29" s="91">
        <f>Rates!L42</f>
        <v>1</v>
      </c>
      <c r="M29" s="91">
        <f>Rates!M42</f>
        <v>1</v>
      </c>
      <c r="N29" s="91">
        <f>Rates!N42</f>
        <v>1</v>
      </c>
      <c r="O29" s="91">
        <f>Rates!O42</f>
        <v>1.0051959235721353</v>
      </c>
      <c r="P29" s="91">
        <f>Rates!P42</f>
        <v>1.0102301741405761</v>
      </c>
      <c r="Q29" s="91">
        <f>Rates!Q42</f>
        <v>1.0181072873442809</v>
      </c>
      <c r="R29" s="91">
        <f>Rates!R42</f>
        <v>1.0293150686557422</v>
      </c>
      <c r="S29" s="91">
        <f>Rates!S42</f>
        <v>1.040646230246951</v>
      </c>
      <c r="T29" s="91">
        <f>Rates!T42</f>
        <v>1.0521021303433229</v>
      </c>
    </row>
    <row r="30" spans="2:20" s="41" customFormat="1" hidden="1" outlineLevel="2">
      <c r="D30" s="52" t="s">
        <v>104</v>
      </c>
      <c r="J30" s="91">
        <f>Rates!J43</f>
        <v>1</v>
      </c>
      <c r="K30" s="91">
        <f>Rates!K43</f>
        <v>1</v>
      </c>
      <c r="L30" s="91">
        <f>Rates!L43</f>
        <v>1</v>
      </c>
      <c r="M30" s="91">
        <f>Rates!M43</f>
        <v>1</v>
      </c>
      <c r="N30" s="91">
        <f>Rates!N43</f>
        <v>1</v>
      </c>
      <c r="O30" s="91">
        <f>Rates!O43</f>
        <v>1</v>
      </c>
      <c r="P30" s="91">
        <f>Rates!P43</f>
        <v>1</v>
      </c>
      <c r="Q30" s="91">
        <f>Rates!Q43</f>
        <v>1</v>
      </c>
      <c r="R30" s="91">
        <f>Rates!R43</f>
        <v>1</v>
      </c>
      <c r="S30" s="91">
        <f>Rates!S43</f>
        <v>1</v>
      </c>
      <c r="T30" s="91">
        <f>Rates!T43</f>
        <v>1</v>
      </c>
    </row>
    <row r="31" spans="2:20" s="41" customFormat="1" hidden="1" outlineLevel="2">
      <c r="D31" s="52" t="s">
        <v>130</v>
      </c>
      <c r="J31" s="91">
        <f>Rates!J45</f>
        <v>1</v>
      </c>
      <c r="K31" s="91">
        <f>Rates!K45</f>
        <v>1</v>
      </c>
      <c r="L31" s="91">
        <f>Rates!L45</f>
        <v>1</v>
      </c>
      <c r="M31" s="91">
        <f>Rates!M45</f>
        <v>1</v>
      </c>
      <c r="N31" s="91">
        <f>Rates!N45</f>
        <v>1</v>
      </c>
      <c r="O31" s="91">
        <f>Rates!O45</f>
        <v>1</v>
      </c>
      <c r="P31" s="91">
        <f>Rates!P45</f>
        <v>1</v>
      </c>
      <c r="Q31" s="91">
        <f>Rates!Q45</f>
        <v>1</v>
      </c>
      <c r="R31" s="91">
        <f>Rates!R45</f>
        <v>1</v>
      </c>
      <c r="S31" s="91">
        <f>Rates!S45</f>
        <v>1</v>
      </c>
      <c r="T31" s="91">
        <f>Rates!T45</f>
        <v>1</v>
      </c>
    </row>
    <row r="32" spans="2:20" s="41" customFormat="1" ht="5.9" hidden="1" customHeight="1" outlineLevel="2"/>
    <row r="33" spans="3:20" s="41" customFormat="1" hidden="1" outlineLevel="2">
      <c r="C33" s="50" t="s">
        <v>105</v>
      </c>
    </row>
    <row r="34" spans="3:20" s="41" customFormat="1" ht="5.9" hidden="1" customHeight="1" outlineLevel="2"/>
    <row r="35" spans="3:20" s="41" customFormat="1" hidden="1" outlineLevel="2">
      <c r="D35" s="52" t="s">
        <v>106</v>
      </c>
      <c r="J35" s="122">
        <f>Rates!J50</f>
        <v>6.9591273870889495E-2</v>
      </c>
      <c r="K35" s="122">
        <f>Rates!K50</f>
        <v>7.3934468928182201E-2</v>
      </c>
      <c r="L35" s="122">
        <f>Rates!L50</f>
        <v>7.5085976469407303E-2</v>
      </c>
      <c r="M35" s="122">
        <f>Rates!M50</f>
        <v>8.0103391005934096E-2</v>
      </c>
      <c r="N35" s="122">
        <f>Rates!N50</f>
        <v>3.7711007382937055E-2</v>
      </c>
      <c r="O35" s="122">
        <f>Rates!O50</f>
        <v>3.3283969054706777E-2</v>
      </c>
      <c r="P35" s="122">
        <f>Rates!P50</f>
        <v>2.6752660513445464E-2</v>
      </c>
      <c r="Q35" s="122">
        <f>Rates!Q50</f>
        <v>2.6060587348993774E-2</v>
      </c>
      <c r="R35" s="122">
        <f>Rates!R50</f>
        <v>2.6873005987587139E-2</v>
      </c>
      <c r="S35" s="122">
        <f>Rates!S50</f>
        <v>2.8546178928104012E-2</v>
      </c>
      <c r="T35" s="122">
        <f>Rates!T50</f>
        <v>2.9920378203686534E-2</v>
      </c>
    </row>
    <row r="36" spans="3:20" s="41" customFormat="1" hidden="1" outlineLevel="2">
      <c r="D36" s="52" t="s">
        <v>107</v>
      </c>
      <c r="J36" s="122">
        <f>Rates!J51</f>
        <v>5.5842732834613398E-2</v>
      </c>
      <c r="K36" s="122">
        <f>Rates!K51</f>
        <v>5.16564294790849E-2</v>
      </c>
      <c r="L36" s="122">
        <f>Rates!L51</f>
        <v>6.0535031919173997E-2</v>
      </c>
      <c r="M36" s="122">
        <f>Rates!M51</f>
        <v>7.1630695797579302E-2</v>
      </c>
      <c r="N36" s="122">
        <f>Rates!N51</f>
        <v>7.4343858126268231E-2</v>
      </c>
      <c r="O36" s="122">
        <f>Rates!O51</f>
        <v>7.4059082290758096E-2</v>
      </c>
      <c r="P36" s="122">
        <f>Rates!P51</f>
        <v>2.4388539961794877E-2</v>
      </c>
      <c r="Q36" s="122">
        <f>Rates!Q51</f>
        <v>2.1171310758207256E-2</v>
      </c>
      <c r="R36" s="122">
        <f>Rates!R51</f>
        <v>2.0024144075344485E-2</v>
      </c>
      <c r="S36" s="122">
        <f>Rates!S51</f>
        <v>3.9620009613577346E-2</v>
      </c>
      <c r="T36" s="122">
        <f>Rates!T51</f>
        <v>5.404914337922874E-2</v>
      </c>
    </row>
    <row r="37" spans="3:20" s="41" customFormat="1" hidden="1" outlineLevel="2">
      <c r="D37" s="52" t="s">
        <v>108</v>
      </c>
      <c r="J37" s="122">
        <f>Rates!J52</f>
        <v>0</v>
      </c>
      <c r="K37" s="122">
        <f>Rates!K52</f>
        <v>0</v>
      </c>
      <c r="L37" s="122">
        <f>Rates!L52</f>
        <v>0</v>
      </c>
      <c r="M37" s="122">
        <f>Rates!M52</f>
        <v>0</v>
      </c>
      <c r="N37" s="122">
        <f>Rates!N52</f>
        <v>0</v>
      </c>
      <c r="O37" s="122">
        <f>Rates!O52</f>
        <v>0</v>
      </c>
      <c r="P37" s="122">
        <f>Rates!P52</f>
        <v>0</v>
      </c>
      <c r="Q37" s="122">
        <f>Rates!Q52</f>
        <v>0</v>
      </c>
      <c r="R37" s="122">
        <f>Rates!R52</f>
        <v>0</v>
      </c>
      <c r="S37" s="122">
        <f>Rates!S52</f>
        <v>0</v>
      </c>
      <c r="T37" s="122">
        <f>Rates!T52</f>
        <v>0</v>
      </c>
    </row>
    <row r="38" spans="3:20" s="41" customFormat="1" outlineLevel="1" collapsed="1"/>
    <row r="39" spans="3:20" s="41" customFormat="1" ht="5.9" customHeight="1" outlineLevel="1"/>
    <row r="40" spans="3:20" s="41" customFormat="1" outlineLevel="1">
      <c r="C40" s="50" t="s">
        <v>118</v>
      </c>
    </row>
    <row r="41" spans="3:20" s="41" customFormat="1" ht="5.9" customHeight="1" outlineLevel="1"/>
    <row r="42" spans="3:20" s="41" customFormat="1" outlineLevel="1">
      <c r="D42" s="50" t="s">
        <v>160</v>
      </c>
      <c r="H42" s="123" t="s">
        <v>192</v>
      </c>
    </row>
    <row r="43" spans="3:20" s="41" customFormat="1" ht="5.9" customHeight="1" outlineLevel="1"/>
    <row r="44" spans="3:20" s="41" customFormat="1" outlineLevel="1">
      <c r="D44" s="103" t="str">
        <f>Work_Codes!D203</f>
        <v>CG Regulator Replacement</v>
      </c>
      <c r="H44" s="85"/>
      <c r="J44" s="126"/>
      <c r="K44" s="126"/>
      <c r="L44" s="126"/>
      <c r="M44" s="126"/>
      <c r="N44" s="212"/>
      <c r="O44" s="211"/>
      <c r="P44" s="212"/>
      <c r="Q44" s="212"/>
      <c r="R44" s="212"/>
      <c r="S44" s="212"/>
      <c r="T44" s="212"/>
    </row>
    <row r="45" spans="3:20" s="41" customFormat="1" outlineLevel="1">
      <c r="D45" s="103" t="str">
        <f>Work_Codes!D204</f>
        <v>CG Heater Replacement</v>
      </c>
      <c r="H45" s="85"/>
      <c r="J45" s="126"/>
      <c r="K45" s="126"/>
      <c r="L45" s="126"/>
      <c r="M45" s="126"/>
      <c r="N45" s="212"/>
      <c r="O45" s="211"/>
      <c r="P45" s="212"/>
      <c r="Q45" s="212"/>
      <c r="R45" s="212"/>
      <c r="S45" s="212"/>
      <c r="T45" s="212"/>
    </row>
    <row r="46" spans="3:20" s="41" customFormat="1" outlineLevel="1">
      <c r="D46" s="103" t="str">
        <f>Work_Codes!D205</f>
        <v>Field Regulator Replacement</v>
      </c>
      <c r="H46" s="85"/>
      <c r="J46" s="126"/>
      <c r="K46" s="126"/>
      <c r="L46" s="126"/>
      <c r="M46" s="126"/>
      <c r="N46" s="212"/>
      <c r="O46" s="211"/>
      <c r="P46" s="212"/>
      <c r="Q46" s="212"/>
      <c r="R46" s="212"/>
      <c r="S46" s="212"/>
      <c r="T46" s="212"/>
    </row>
    <row r="47" spans="3:20" s="41" customFormat="1" outlineLevel="1">
      <c r="D47" s="103" t="str">
        <f>Work_Codes!D206</f>
        <v>Actuator Replacement</v>
      </c>
      <c r="H47" s="85"/>
      <c r="J47" s="126"/>
      <c r="K47" s="126"/>
      <c r="L47" s="126"/>
      <c r="M47" s="126"/>
      <c r="N47" s="212"/>
      <c r="O47" s="212"/>
      <c r="P47" s="211"/>
      <c r="Q47" s="211"/>
      <c r="R47" s="211"/>
      <c r="S47" s="211"/>
      <c r="T47" s="211"/>
    </row>
    <row r="48" spans="3:20" s="41" customFormat="1" outlineLevel="1">
      <c r="D48" s="103" t="str">
        <f>Work_Codes!D207</f>
        <v>Security Fencing</v>
      </c>
      <c r="H48" s="85"/>
      <c r="J48" s="126"/>
      <c r="K48" s="126"/>
      <c r="L48" s="126"/>
      <c r="M48" s="126"/>
      <c r="N48" s="212"/>
      <c r="O48" s="212"/>
      <c r="P48" s="212"/>
      <c r="Q48" s="212"/>
      <c r="R48" s="212"/>
      <c r="S48" s="212"/>
      <c r="T48" s="212"/>
    </row>
    <row r="49" spans="3:20" s="41" customFormat="1" outlineLevel="1">
      <c r="D49" s="103" t="str">
        <f>Work_Codes!D208</f>
        <v>Capex Items Category X</v>
      </c>
      <c r="H49" s="85"/>
      <c r="J49" s="126"/>
      <c r="K49" s="126"/>
      <c r="L49" s="126"/>
      <c r="M49" s="179"/>
      <c r="N49" s="212"/>
      <c r="O49" s="211"/>
      <c r="P49" s="212"/>
      <c r="Q49" s="212"/>
      <c r="R49" s="212"/>
      <c r="S49" s="212"/>
      <c r="T49" s="212"/>
    </row>
    <row r="50" spans="3:20" s="41" customFormat="1" outlineLevel="1">
      <c r="D50" s="103">
        <f>Work_Codes!D209</f>
        <v>0</v>
      </c>
      <c r="H50" s="85"/>
      <c r="J50" s="126"/>
      <c r="K50" s="126"/>
      <c r="L50" s="126"/>
      <c r="M50" s="126"/>
      <c r="N50" s="212"/>
      <c r="O50" s="212"/>
      <c r="P50" s="212"/>
      <c r="Q50" s="212"/>
      <c r="R50" s="212"/>
      <c r="S50" s="212"/>
      <c r="T50" s="212"/>
    </row>
    <row r="51" spans="3:20" s="41" customFormat="1" outlineLevel="1">
      <c r="D51" s="103">
        <f>Work_Codes!D210</f>
        <v>0</v>
      </c>
      <c r="H51" s="85"/>
      <c r="J51" s="126"/>
      <c r="K51" s="126"/>
      <c r="L51" s="126"/>
      <c r="M51" s="126"/>
      <c r="N51" s="212"/>
      <c r="O51" s="212"/>
      <c r="P51" s="212"/>
      <c r="Q51" s="212"/>
      <c r="R51" s="212"/>
      <c r="S51" s="212"/>
      <c r="T51" s="212"/>
    </row>
    <row r="52" spans="3:20" s="41" customFormat="1" outlineLevel="1">
      <c r="D52" s="43"/>
      <c r="H52" s="86"/>
      <c r="J52" s="124"/>
      <c r="K52" s="124"/>
      <c r="L52" s="124"/>
      <c r="M52" s="124"/>
      <c r="N52" s="124"/>
      <c r="O52" s="124"/>
      <c r="P52" s="124"/>
      <c r="Q52" s="124"/>
      <c r="R52" s="124"/>
      <c r="S52" s="124"/>
      <c r="T52" s="124"/>
    </row>
    <row r="53" spans="3:20" s="41" customFormat="1" outlineLevel="1">
      <c r="C53" s="50" t="s">
        <v>119</v>
      </c>
    </row>
    <row r="54" spans="3:20" s="41" customFormat="1" ht="5.9" customHeight="1" outlineLevel="1"/>
    <row r="55" spans="3:20" s="41" customFormat="1" outlineLevel="1">
      <c r="D55" s="50" t="str">
        <f>D42</f>
        <v>Capex Category</v>
      </c>
    </row>
    <row r="56" spans="3:20" s="41" customFormat="1" ht="5.9" customHeight="1" outlineLevel="1"/>
    <row r="57" spans="3:20" s="41" customFormat="1" outlineLevel="1">
      <c r="D57" s="103" t="str">
        <f>Work_Codes!D203</f>
        <v>CG Regulator Replacement</v>
      </c>
      <c r="J57" s="163"/>
      <c r="K57" s="163"/>
      <c r="L57" s="163"/>
      <c r="M57" s="209"/>
      <c r="N57" s="214"/>
      <c r="O57" s="213"/>
      <c r="P57" s="213"/>
      <c r="Q57" s="213"/>
      <c r="R57" s="213"/>
      <c r="S57" s="213"/>
      <c r="T57" s="213"/>
    </row>
    <row r="58" spans="3:20" s="41" customFormat="1" outlineLevel="1">
      <c r="D58" s="103" t="str">
        <f>Work_Codes!D204</f>
        <v>CG Heater Replacement</v>
      </c>
      <c r="J58" s="163"/>
      <c r="K58" s="163"/>
      <c r="L58" s="163"/>
      <c r="M58" s="209"/>
      <c r="N58" s="214"/>
      <c r="O58" s="214"/>
      <c r="P58" s="213"/>
      <c r="Q58" s="213"/>
      <c r="R58" s="213"/>
      <c r="S58" s="213"/>
      <c r="T58" s="213"/>
    </row>
    <row r="59" spans="3:20" s="41" customFormat="1" outlineLevel="1">
      <c r="D59" s="103" t="str">
        <f>Work_Codes!D205</f>
        <v>Field Regulator Replacement</v>
      </c>
      <c r="J59" s="163"/>
      <c r="K59" s="163"/>
      <c r="L59" s="163"/>
      <c r="M59" s="209"/>
      <c r="N59" s="214"/>
      <c r="O59" s="213"/>
      <c r="P59" s="213"/>
      <c r="Q59" s="213"/>
      <c r="R59" s="213"/>
      <c r="S59" s="213"/>
      <c r="T59" s="213"/>
    </row>
    <row r="60" spans="3:20" s="41" customFormat="1" outlineLevel="1">
      <c r="D60" s="103" t="str">
        <f>Work_Codes!D206</f>
        <v>Actuator Replacement</v>
      </c>
      <c r="J60" s="163"/>
      <c r="K60" s="163"/>
      <c r="L60" s="163"/>
      <c r="M60" s="209"/>
      <c r="N60" s="214"/>
      <c r="O60" s="213"/>
      <c r="P60" s="213"/>
      <c r="Q60" s="213"/>
      <c r="R60" s="213"/>
      <c r="S60" s="213"/>
      <c r="T60" s="213"/>
    </row>
    <row r="61" spans="3:20" s="41" customFormat="1" outlineLevel="1">
      <c r="D61" s="103" t="str">
        <f>Work_Codes!D207</f>
        <v>Security Fencing</v>
      </c>
      <c r="J61" s="163"/>
      <c r="K61" s="163"/>
      <c r="L61" s="163"/>
      <c r="M61" s="209"/>
      <c r="N61" s="214"/>
      <c r="O61" s="214"/>
      <c r="P61" s="214"/>
      <c r="Q61" s="214"/>
      <c r="R61" s="214"/>
      <c r="S61" s="214"/>
      <c r="T61" s="214"/>
    </row>
    <row r="62" spans="3:20" s="41" customFormat="1" outlineLevel="1">
      <c r="D62" s="103" t="str">
        <f>Work_Codes!D208</f>
        <v>Capex Items Category X</v>
      </c>
      <c r="J62" s="163"/>
      <c r="K62" s="163"/>
      <c r="L62" s="163"/>
      <c r="M62" s="163"/>
      <c r="N62" s="213"/>
      <c r="O62" s="214"/>
      <c r="P62" s="214"/>
      <c r="Q62" s="214"/>
      <c r="R62" s="214"/>
      <c r="S62" s="214"/>
      <c r="T62" s="214"/>
    </row>
    <row r="63" spans="3:20" s="41" customFormat="1" outlineLevel="1">
      <c r="D63" s="103">
        <f>Work_Codes!D209</f>
        <v>0</v>
      </c>
      <c r="J63" s="163"/>
      <c r="K63" s="163"/>
      <c r="L63" s="163"/>
      <c r="M63" s="209"/>
      <c r="N63" s="214"/>
      <c r="O63" s="214"/>
      <c r="P63" s="214"/>
      <c r="Q63" s="214"/>
      <c r="R63" s="214"/>
      <c r="S63" s="214"/>
      <c r="T63" s="214"/>
    </row>
    <row r="64" spans="3:20" s="41" customFormat="1" outlineLevel="1">
      <c r="D64" s="103">
        <f>Work_Codes!D210</f>
        <v>0</v>
      </c>
      <c r="J64" s="163"/>
      <c r="K64" s="163"/>
      <c r="L64" s="163"/>
      <c r="M64" s="209"/>
      <c r="N64" s="214"/>
      <c r="O64" s="214"/>
      <c r="P64" s="214"/>
      <c r="Q64" s="214"/>
      <c r="R64" s="214"/>
      <c r="S64" s="214"/>
      <c r="T64" s="214"/>
    </row>
    <row r="65" spans="3:20" s="41" customFormat="1" outlineLevel="1"/>
    <row r="66" spans="3:20" s="41" customFormat="1" outlineLevel="1">
      <c r="C66" s="50" t="s">
        <v>193</v>
      </c>
    </row>
    <row r="67" spans="3:20" s="41" customFormat="1" ht="5.9" customHeight="1" outlineLevel="1"/>
    <row r="68" spans="3:20" s="41" customFormat="1" outlineLevel="1">
      <c r="D68" s="50" t="str">
        <f>D42</f>
        <v>Capex Category</v>
      </c>
    </row>
    <row r="69" spans="3:20" s="41" customFormat="1" ht="5.9" customHeight="1" outlineLevel="1"/>
    <row r="70" spans="3:20" s="41" customFormat="1" outlineLevel="1">
      <c r="D70" s="103" t="str">
        <f>Work_Codes!D203</f>
        <v>CG Regulator Replacement</v>
      </c>
      <c r="J70" s="80">
        <v>0</v>
      </c>
      <c r="K70" s="80">
        <v>0</v>
      </c>
      <c r="L70" s="80">
        <v>0</v>
      </c>
      <c r="M70" s="80">
        <v>0</v>
      </c>
      <c r="N70" s="80">
        <v>0</v>
      </c>
      <c r="O70" s="80">
        <v>280000</v>
      </c>
      <c r="P70" s="80">
        <v>560000</v>
      </c>
      <c r="Q70" s="80">
        <v>580000</v>
      </c>
      <c r="R70" s="80">
        <v>560000</v>
      </c>
      <c r="S70" s="80">
        <v>300000</v>
      </c>
      <c r="T70" s="80">
        <v>580000</v>
      </c>
    </row>
    <row r="71" spans="3:20" s="41" customFormat="1" outlineLevel="1">
      <c r="D71" s="103" t="str">
        <f>Work_Codes!D204</f>
        <v>CG Heater Replacement</v>
      </c>
      <c r="J71" s="80">
        <v>0</v>
      </c>
      <c r="K71" s="80">
        <v>0</v>
      </c>
      <c r="L71" s="80">
        <v>0</v>
      </c>
      <c r="M71" s="80">
        <v>0</v>
      </c>
      <c r="N71" s="80">
        <v>0</v>
      </c>
      <c r="O71" s="80">
        <v>0</v>
      </c>
      <c r="P71" s="80">
        <v>600000</v>
      </c>
      <c r="Q71" s="80">
        <v>600000</v>
      </c>
      <c r="R71" s="80">
        <v>600000</v>
      </c>
      <c r="S71" s="80">
        <v>600000</v>
      </c>
      <c r="T71" s="80">
        <v>600000</v>
      </c>
    </row>
    <row r="72" spans="3:20" s="41" customFormat="1" outlineLevel="1">
      <c r="D72" s="103" t="str">
        <f>Work_Codes!D205</f>
        <v>Field Regulator Replacement</v>
      </c>
      <c r="J72" s="80">
        <v>0</v>
      </c>
      <c r="K72" s="80">
        <v>0</v>
      </c>
      <c r="L72" s="80">
        <v>0</v>
      </c>
      <c r="M72" s="80">
        <v>0</v>
      </c>
      <c r="N72" s="80">
        <v>0</v>
      </c>
      <c r="O72" s="80">
        <v>200000</v>
      </c>
      <c r="P72" s="80">
        <v>800000</v>
      </c>
      <c r="Q72" s="80">
        <v>400000</v>
      </c>
      <c r="R72" s="80">
        <v>200000</v>
      </c>
      <c r="S72" s="80">
        <v>600000</v>
      </c>
      <c r="T72" s="80">
        <v>600000</v>
      </c>
    </row>
    <row r="73" spans="3:20" s="41" customFormat="1" outlineLevel="1">
      <c r="D73" s="103" t="str">
        <f>Work_Codes!D206</f>
        <v>Actuator Replacement</v>
      </c>
      <c r="J73" s="80">
        <v>0</v>
      </c>
      <c r="K73" s="80">
        <v>0</v>
      </c>
      <c r="L73" s="80">
        <v>0</v>
      </c>
      <c r="M73" s="80">
        <v>0</v>
      </c>
      <c r="N73" s="80">
        <v>0</v>
      </c>
      <c r="O73" s="80">
        <v>60000</v>
      </c>
      <c r="P73" s="80">
        <v>210000</v>
      </c>
      <c r="Q73" s="80">
        <v>180000</v>
      </c>
      <c r="R73" s="80">
        <v>150000</v>
      </c>
      <c r="S73" s="80">
        <v>120000</v>
      </c>
      <c r="T73" s="80">
        <v>120000</v>
      </c>
    </row>
    <row r="74" spans="3:20" s="41" customFormat="1" outlineLevel="1">
      <c r="D74" s="103" t="str">
        <f>Work_Codes!D207</f>
        <v>Security Fencing</v>
      </c>
      <c r="J74" s="80">
        <v>0</v>
      </c>
      <c r="K74" s="80">
        <v>0</v>
      </c>
      <c r="L74" s="80">
        <v>0</v>
      </c>
      <c r="M74" s="80">
        <v>0</v>
      </c>
      <c r="N74" s="80">
        <v>0</v>
      </c>
      <c r="O74" s="80">
        <v>0</v>
      </c>
      <c r="P74" s="80">
        <v>0</v>
      </c>
      <c r="Q74" s="80">
        <v>0</v>
      </c>
      <c r="R74" s="80">
        <v>0</v>
      </c>
      <c r="S74" s="80">
        <v>0</v>
      </c>
      <c r="T74" s="80">
        <v>0</v>
      </c>
    </row>
    <row r="75" spans="3:20" s="41" customFormat="1" outlineLevel="1">
      <c r="D75" s="103" t="str">
        <f>Work_Codes!D208</f>
        <v>Capex Items Category X</v>
      </c>
      <c r="J75" s="80">
        <v>0</v>
      </c>
      <c r="K75" s="80">
        <v>0</v>
      </c>
      <c r="L75" s="80">
        <v>0</v>
      </c>
      <c r="M75" s="80">
        <v>0</v>
      </c>
      <c r="N75" s="80">
        <v>503129.992728554</v>
      </c>
      <c r="O75" s="80">
        <v>0</v>
      </c>
      <c r="P75" s="80">
        <v>0</v>
      </c>
      <c r="Q75" s="80">
        <v>0</v>
      </c>
      <c r="R75" s="80">
        <v>0</v>
      </c>
      <c r="S75" s="80">
        <v>0</v>
      </c>
      <c r="T75" s="80">
        <v>0</v>
      </c>
    </row>
    <row r="76" spans="3:20" s="41" customFormat="1" outlineLevel="1">
      <c r="D76" s="103">
        <f>Work_Codes!D209</f>
        <v>0</v>
      </c>
      <c r="J76" s="80">
        <v>0</v>
      </c>
      <c r="K76" s="80">
        <v>0</v>
      </c>
      <c r="L76" s="80">
        <v>0</v>
      </c>
      <c r="M76" s="80">
        <v>0</v>
      </c>
      <c r="N76" s="80">
        <v>0</v>
      </c>
      <c r="O76" s="80">
        <v>0</v>
      </c>
      <c r="P76" s="80">
        <v>0</v>
      </c>
      <c r="Q76" s="80">
        <v>0</v>
      </c>
      <c r="R76" s="80">
        <v>0</v>
      </c>
      <c r="S76" s="80">
        <v>0</v>
      </c>
      <c r="T76" s="80">
        <v>0</v>
      </c>
    </row>
    <row r="77" spans="3:20" s="41" customFormat="1" outlineLevel="1">
      <c r="D77" s="103">
        <f>Work_Codes!D210</f>
        <v>0</v>
      </c>
      <c r="J77" s="80">
        <v>0</v>
      </c>
      <c r="K77" s="80">
        <v>0</v>
      </c>
      <c r="L77" s="80">
        <v>0</v>
      </c>
      <c r="M77" s="80">
        <v>0</v>
      </c>
      <c r="N77" s="80">
        <v>0</v>
      </c>
      <c r="O77" s="80">
        <v>0</v>
      </c>
      <c r="P77" s="80">
        <v>0</v>
      </c>
      <c r="Q77" s="80">
        <v>0</v>
      </c>
      <c r="R77" s="80">
        <v>0</v>
      </c>
      <c r="S77" s="80">
        <v>0</v>
      </c>
      <c r="T77" s="80">
        <v>0</v>
      </c>
    </row>
    <row r="78" spans="3:20" s="41" customFormat="1" ht="5.9" customHeight="1" outlineLevel="1">
      <c r="D78" s="50"/>
      <c r="J78" s="79"/>
      <c r="K78" s="79"/>
      <c r="L78" s="79"/>
      <c r="M78" s="79"/>
      <c r="N78" s="79"/>
      <c r="O78" s="79"/>
      <c r="P78" s="79"/>
      <c r="Q78" s="79"/>
      <c r="R78" s="79"/>
      <c r="S78" s="79"/>
      <c r="T78" s="79"/>
    </row>
    <row r="79" spans="3:20" s="41" customFormat="1" outlineLevel="1">
      <c r="D79" s="250" t="str">
        <f>"Total "&amp;B25</f>
        <v>Total Network Regulators - Planned</v>
      </c>
      <c r="E79" s="250"/>
      <c r="F79" s="250"/>
      <c r="G79" s="250"/>
      <c r="H79" s="250"/>
      <c r="I79" s="250"/>
      <c r="J79" s="101">
        <f t="shared" ref="J79:T79" si="8">SUM(J70:J78)</f>
        <v>0</v>
      </c>
      <c r="K79" s="101">
        <f t="shared" si="8"/>
        <v>0</v>
      </c>
      <c r="L79" s="101">
        <f t="shared" si="8"/>
        <v>0</v>
      </c>
      <c r="M79" s="101">
        <f t="shared" si="8"/>
        <v>0</v>
      </c>
      <c r="N79" s="101">
        <f t="shared" si="8"/>
        <v>503129.992728554</v>
      </c>
      <c r="O79" s="101">
        <f t="shared" si="8"/>
        <v>540000</v>
      </c>
      <c r="P79" s="101">
        <f t="shared" si="8"/>
        <v>2170000</v>
      </c>
      <c r="Q79" s="101">
        <f t="shared" si="8"/>
        <v>1760000</v>
      </c>
      <c r="R79" s="101">
        <f t="shared" si="8"/>
        <v>1510000</v>
      </c>
      <c r="S79" s="101">
        <f t="shared" si="8"/>
        <v>1620000</v>
      </c>
      <c r="T79" s="101">
        <f t="shared" si="8"/>
        <v>1900000</v>
      </c>
    </row>
    <row r="80" spans="3:20" outlineLevel="1"/>
    <row r="81" spans="3:20" outlineLevel="1">
      <c r="C81" s="37" t="s">
        <v>286</v>
      </c>
    </row>
    <row r="82" spans="3:20" ht="5.9" customHeight="1" outlineLevel="1"/>
    <row r="83" spans="3:20" outlineLevel="1">
      <c r="D83" s="143" t="str">
        <f>Work_Codes!D214</f>
        <v>Customer Contributions Category 1</v>
      </c>
      <c r="J83" s="148">
        <v>0</v>
      </c>
      <c r="K83" s="148">
        <v>0</v>
      </c>
      <c r="L83" s="148">
        <v>0</v>
      </c>
      <c r="M83" s="148">
        <v>0</v>
      </c>
      <c r="N83" s="148">
        <v>0</v>
      </c>
      <c r="O83" s="148">
        <v>0</v>
      </c>
      <c r="P83" s="148">
        <v>0</v>
      </c>
      <c r="Q83" s="148">
        <v>0</v>
      </c>
      <c r="R83" s="148">
        <v>0</v>
      </c>
      <c r="S83" s="148">
        <v>0</v>
      </c>
      <c r="T83" s="148">
        <v>0</v>
      </c>
    </row>
    <row r="84" spans="3:20" ht="5.9" customHeight="1" outlineLevel="1"/>
    <row r="85" spans="3:20" outlineLevel="1">
      <c r="D85" s="249" t="str">
        <f>"Total "&amp;C81</f>
        <v>Total Customer Connections</v>
      </c>
      <c r="E85" s="249"/>
      <c r="F85" s="249"/>
      <c r="G85" s="249"/>
      <c r="H85" s="249"/>
      <c r="I85" s="249"/>
      <c r="J85" s="82">
        <f t="shared" ref="J85:T85" si="9">SUM(J83:J84)</f>
        <v>0</v>
      </c>
      <c r="K85" s="82">
        <f t="shared" si="9"/>
        <v>0</v>
      </c>
      <c r="L85" s="82">
        <f t="shared" si="9"/>
        <v>0</v>
      </c>
      <c r="M85" s="82">
        <f t="shared" si="9"/>
        <v>0</v>
      </c>
      <c r="N85" s="82">
        <f t="shared" si="9"/>
        <v>0</v>
      </c>
      <c r="O85" s="82">
        <f t="shared" si="9"/>
        <v>0</v>
      </c>
      <c r="P85" s="82">
        <f t="shared" si="9"/>
        <v>0</v>
      </c>
      <c r="Q85" s="82">
        <f t="shared" si="9"/>
        <v>0</v>
      </c>
      <c r="R85" s="82">
        <f t="shared" si="9"/>
        <v>0</v>
      </c>
      <c r="S85" s="82">
        <f t="shared" si="9"/>
        <v>0</v>
      </c>
      <c r="T85" s="82">
        <f t="shared" si="9"/>
        <v>0</v>
      </c>
    </row>
    <row r="86" spans="3:20" s="41" customFormat="1" outlineLevel="1">
      <c r="C86" s="109"/>
      <c r="D86" s="109"/>
      <c r="E86" s="109"/>
      <c r="F86" s="109"/>
      <c r="G86" s="109"/>
      <c r="H86" s="109"/>
      <c r="I86" s="109"/>
      <c r="J86" s="109"/>
      <c r="K86" s="109"/>
      <c r="L86" s="109"/>
      <c r="M86" s="109"/>
      <c r="N86" s="109"/>
      <c r="O86" s="109"/>
      <c r="P86" s="109"/>
      <c r="Q86" s="109"/>
      <c r="R86" s="109"/>
      <c r="S86" s="109"/>
      <c r="T86" s="109"/>
    </row>
    <row r="87" spans="3:20" s="41" customFormat="1" outlineLevel="1"/>
    <row r="88" spans="3:20" outlineLevel="1">
      <c r="C88" s="37" t="s">
        <v>213</v>
      </c>
    </row>
    <row r="89" spans="3:20" ht="5.9" hidden="1" customHeight="1" outlineLevel="2"/>
    <row r="90" spans="3:20" hidden="1" outlineLevel="2">
      <c r="C90" s="37" t="s">
        <v>128</v>
      </c>
    </row>
    <row r="91" spans="3:20" ht="5.9" hidden="1" customHeight="1" outlineLevel="2"/>
    <row r="92" spans="3:20" hidden="1" outlineLevel="2">
      <c r="D92" s="102" t="str">
        <f>Work_Codes!D203</f>
        <v>CG Regulator Replacement</v>
      </c>
      <c r="J92" s="81">
        <f>Work_Codes!$I203*J70*J$29</f>
        <v>0</v>
      </c>
      <c r="K92" s="81">
        <f>Work_Codes!$I203*K70*K$29</f>
        <v>0</v>
      </c>
      <c r="L92" s="81">
        <f>Work_Codes!$I203*L70*L$29</f>
        <v>0</v>
      </c>
      <c r="M92" s="81">
        <f>Work_Codes!$I203*M70*M$29</f>
        <v>0</v>
      </c>
      <c r="N92" s="81">
        <f>Work_Codes!$I203*N70*N$29</f>
        <v>0</v>
      </c>
      <c r="O92" s="81">
        <f>Work_Codes!$I203*O70*O$29</f>
        <v>5629.0971720039579</v>
      </c>
      <c r="P92" s="81">
        <f>Work_Codes!$I203*P70*P$29</f>
        <v>11314.577950374452</v>
      </c>
      <c r="Q92" s="81">
        <f>Work_Codes!$I203*Q70*Q$29</f>
        <v>11810.044533193659</v>
      </c>
      <c r="R92" s="81">
        <f>Work_Codes!$I203*R70*R$29</f>
        <v>11528.328768944313</v>
      </c>
      <c r="S92" s="81">
        <f>Work_Codes!$I203*S70*S$29</f>
        <v>6243.8773814817059</v>
      </c>
      <c r="T92" s="81">
        <f>Work_Codes!$I203*T70*T$29</f>
        <v>12204.384711982546</v>
      </c>
    </row>
    <row r="93" spans="3:20" hidden="1" outlineLevel="2">
      <c r="D93" s="102" t="str">
        <f>Work_Codes!D204</f>
        <v>CG Heater Replacement</v>
      </c>
      <c r="J93" s="81">
        <f>Work_Codes!$I204*J71*J$29</f>
        <v>0</v>
      </c>
      <c r="K93" s="81">
        <f>Work_Codes!$I204*K71*K$29</f>
        <v>0</v>
      </c>
      <c r="L93" s="81">
        <f>Work_Codes!$I204*L71*L$29</f>
        <v>0</v>
      </c>
      <c r="M93" s="81">
        <f>Work_Codes!$I204*M71*M$29</f>
        <v>0</v>
      </c>
      <c r="N93" s="81">
        <f>Work_Codes!$I204*N71*N$29</f>
        <v>0</v>
      </c>
      <c r="O93" s="81">
        <f>Work_Codes!$I204*O71*O$29</f>
        <v>0</v>
      </c>
      <c r="P93" s="81">
        <f>Work_Codes!$I204*P71*P$29</f>
        <v>12122.762089686914</v>
      </c>
      <c r="Q93" s="81">
        <f>Work_Codes!$I204*Q71*Q$29</f>
        <v>12217.28744813137</v>
      </c>
      <c r="R93" s="81">
        <f>Work_Codes!$I204*R71*R$29</f>
        <v>12351.780823868907</v>
      </c>
      <c r="S93" s="81">
        <f>Work_Codes!$I204*S71*S$29</f>
        <v>12487.754762963412</v>
      </c>
      <c r="T93" s="81">
        <f>Work_Codes!$I204*T71*T$29</f>
        <v>12625.225564119875</v>
      </c>
    </row>
    <row r="94" spans="3:20" hidden="1" outlineLevel="2">
      <c r="D94" s="102" t="str">
        <f>Work_Codes!D205</f>
        <v>Field Regulator Replacement</v>
      </c>
      <c r="J94" s="81">
        <f>Work_Codes!$I205*J72*J$29</f>
        <v>0</v>
      </c>
      <c r="K94" s="81">
        <f>Work_Codes!$I205*K72*K$29</f>
        <v>0</v>
      </c>
      <c r="L94" s="81">
        <f>Work_Codes!$I205*L72*L$29</f>
        <v>0</v>
      </c>
      <c r="M94" s="81">
        <f>Work_Codes!$I205*M72*M$29</f>
        <v>0</v>
      </c>
      <c r="N94" s="81">
        <f>Work_Codes!$I205*N72*N$29</f>
        <v>0</v>
      </c>
      <c r="O94" s="81">
        <f>Work_Codes!$I205*O72*O$29</f>
        <v>4020.783694288541</v>
      </c>
      <c r="P94" s="81">
        <f>Work_Codes!$I205*P72*P$29</f>
        <v>16163.682786249219</v>
      </c>
      <c r="Q94" s="81">
        <f>Work_Codes!$I205*Q72*Q$29</f>
        <v>8144.8582987542477</v>
      </c>
      <c r="R94" s="81">
        <f>Work_Codes!$I205*R72*R$29</f>
        <v>4117.2602746229686</v>
      </c>
      <c r="S94" s="81">
        <f>Work_Codes!$I205*S72*S$29</f>
        <v>12487.754762963412</v>
      </c>
      <c r="T94" s="81">
        <f>Work_Codes!$I205*T72*T$29</f>
        <v>12625.225564119875</v>
      </c>
    </row>
    <row r="95" spans="3:20" hidden="1" outlineLevel="2">
      <c r="D95" s="102" t="str">
        <f>Work_Codes!D206</f>
        <v>Actuator Replacement</v>
      </c>
      <c r="J95" s="81">
        <f>Work_Codes!$I206*J73*J$29</f>
        <v>0</v>
      </c>
      <c r="K95" s="81">
        <f>Work_Codes!$I206*K73*K$29</f>
        <v>0</v>
      </c>
      <c r="L95" s="81">
        <f>Work_Codes!$I206*L73*L$29</f>
        <v>0</v>
      </c>
      <c r="M95" s="81">
        <f>Work_Codes!$I206*M73*M$29</f>
        <v>0</v>
      </c>
      <c r="N95" s="81">
        <f>Work_Codes!$I206*N73*N$29</f>
        <v>0</v>
      </c>
      <c r="O95" s="81">
        <f>Work_Codes!$I206*O73*O$29</f>
        <v>1206.2351082865623</v>
      </c>
      <c r="P95" s="81">
        <f>Work_Codes!$I206*P73*P$29</f>
        <v>4242.9667313904201</v>
      </c>
      <c r="Q95" s="81">
        <f>Work_Codes!$I206*Q73*Q$29</f>
        <v>3665.1862344394112</v>
      </c>
      <c r="R95" s="81">
        <f>Work_Codes!$I206*R73*R$29</f>
        <v>3087.9452059672267</v>
      </c>
      <c r="S95" s="81">
        <f>Work_Codes!$I206*S73*S$29</f>
        <v>2497.5509525926823</v>
      </c>
      <c r="T95" s="81">
        <f>Work_Codes!$I206*T73*T$29</f>
        <v>2525.0451128239752</v>
      </c>
    </row>
    <row r="96" spans="3:20" hidden="1" outlineLevel="2">
      <c r="D96" s="102" t="str">
        <f>Work_Codes!D207</f>
        <v>Security Fencing</v>
      </c>
      <c r="J96" s="81">
        <f>Work_Codes!$I207*J74*J$29</f>
        <v>0</v>
      </c>
      <c r="K96" s="81">
        <f>Work_Codes!$I207*K74*K$29</f>
        <v>0</v>
      </c>
      <c r="L96" s="81">
        <f>Work_Codes!$I207*L74*L$29</f>
        <v>0</v>
      </c>
      <c r="M96" s="81">
        <f>Work_Codes!$I207*M74*M$29</f>
        <v>0</v>
      </c>
      <c r="N96" s="81">
        <f>Work_Codes!$I207*N74*N$29</f>
        <v>0</v>
      </c>
      <c r="O96" s="81">
        <f>Work_Codes!$I207*O74*O$29</f>
        <v>0</v>
      </c>
      <c r="P96" s="81">
        <f>Work_Codes!$I207*P74*P$29</f>
        <v>0</v>
      </c>
      <c r="Q96" s="81">
        <f>Work_Codes!$I207*Q74*Q$29</f>
        <v>0</v>
      </c>
      <c r="R96" s="81">
        <f>Work_Codes!$I207*R74*R$29</f>
        <v>0</v>
      </c>
      <c r="S96" s="81">
        <f>Work_Codes!$I207*S74*S$29</f>
        <v>0</v>
      </c>
      <c r="T96" s="81">
        <f>Work_Codes!$I207*T74*T$29</f>
        <v>0</v>
      </c>
    </row>
    <row r="97" spans="3:20" hidden="1" outlineLevel="2">
      <c r="D97" s="102" t="str">
        <f>Work_Codes!D208</f>
        <v>Capex Items Category X</v>
      </c>
      <c r="J97" s="81">
        <f>Work_Codes!$I208*J75*J$29</f>
        <v>0</v>
      </c>
      <c r="K97" s="81">
        <f>Work_Codes!$I208*K75*K$29</f>
        <v>0</v>
      </c>
      <c r="L97" s="81">
        <f>Work_Codes!$I208*L75*L$29</f>
        <v>0</v>
      </c>
      <c r="M97" s="81">
        <f>Work_Codes!$I208*M75*M$29</f>
        <v>0</v>
      </c>
      <c r="N97" s="81">
        <f>Work_Codes!$I208*N75*N$29</f>
        <v>10062.599854571081</v>
      </c>
      <c r="O97" s="81">
        <f>Work_Codes!$I208*O75*O$29</f>
        <v>0</v>
      </c>
      <c r="P97" s="81">
        <f>Work_Codes!$I208*P75*P$29</f>
        <v>0</v>
      </c>
      <c r="Q97" s="81">
        <f>Work_Codes!$I208*Q75*Q$29</f>
        <v>0</v>
      </c>
      <c r="R97" s="81">
        <f>Work_Codes!$I208*R75*R$29</f>
        <v>0</v>
      </c>
      <c r="S97" s="81">
        <f>Work_Codes!$I208*S75*S$29</f>
        <v>0</v>
      </c>
      <c r="T97" s="81">
        <f>Work_Codes!$I208*T75*T$29</f>
        <v>0</v>
      </c>
    </row>
    <row r="98" spans="3:20" hidden="1" outlineLevel="2">
      <c r="D98" s="102">
        <f>Work_Codes!D209</f>
        <v>0</v>
      </c>
      <c r="J98" s="81">
        <f>Work_Codes!$I209*J76*J$29</f>
        <v>0</v>
      </c>
      <c r="K98" s="81">
        <f>Work_Codes!$I209*K76*K$29</f>
        <v>0</v>
      </c>
      <c r="L98" s="81">
        <f>Work_Codes!$I209*L76*L$29</f>
        <v>0</v>
      </c>
      <c r="M98" s="81">
        <f>Work_Codes!$I209*M76*M$29</f>
        <v>0</v>
      </c>
      <c r="N98" s="81">
        <f>Work_Codes!$I209*N76*N$29</f>
        <v>0</v>
      </c>
      <c r="O98" s="81">
        <f>Work_Codes!$I209*O76*O$29</f>
        <v>0</v>
      </c>
      <c r="P98" s="81">
        <f>Work_Codes!$I209*P76*P$29</f>
        <v>0</v>
      </c>
      <c r="Q98" s="81">
        <f>Work_Codes!$I209*Q76*Q$29</f>
        <v>0</v>
      </c>
      <c r="R98" s="81">
        <f>Work_Codes!$I209*R76*R$29</f>
        <v>0</v>
      </c>
      <c r="S98" s="81">
        <f>Work_Codes!$I209*S76*S$29</f>
        <v>0</v>
      </c>
      <c r="T98" s="81">
        <f>Work_Codes!$I209*T76*T$29</f>
        <v>0</v>
      </c>
    </row>
    <row r="99" spans="3:20" hidden="1" outlineLevel="2">
      <c r="D99" s="102">
        <f>Work_Codes!D210</f>
        <v>0</v>
      </c>
      <c r="J99" s="81">
        <f>Work_Codes!$I210*J77*J$29</f>
        <v>0</v>
      </c>
      <c r="K99" s="81">
        <f>Work_Codes!$I210*K77*K$29</f>
        <v>0</v>
      </c>
      <c r="L99" s="81">
        <f>Work_Codes!$I210*L77*L$29</f>
        <v>0</v>
      </c>
      <c r="M99" s="81">
        <f>Work_Codes!$I210*M77*M$29</f>
        <v>0</v>
      </c>
      <c r="N99" s="81">
        <f>Work_Codes!$I210*N77*N$29</f>
        <v>0</v>
      </c>
      <c r="O99" s="81">
        <f>Work_Codes!$I210*O77*O$29</f>
        <v>0</v>
      </c>
      <c r="P99" s="81">
        <f>Work_Codes!$I210*P77*P$29</f>
        <v>0</v>
      </c>
      <c r="Q99" s="81">
        <f>Work_Codes!$I210*Q77*Q$29</f>
        <v>0</v>
      </c>
      <c r="R99" s="81">
        <f>Work_Codes!$I210*R77*R$29</f>
        <v>0</v>
      </c>
      <c r="S99" s="81">
        <f>Work_Codes!$I210*S77*S$29</f>
        <v>0</v>
      </c>
      <c r="T99" s="81">
        <f>Work_Codes!$I210*T77*T$29</f>
        <v>0</v>
      </c>
    </row>
    <row r="100" spans="3:20" ht="5.9" hidden="1" customHeight="1" outlineLevel="2"/>
    <row r="101" spans="3:20" hidden="1" outlineLevel="2">
      <c r="D101" s="249" t="str">
        <f>"Total "&amp;C90</f>
        <v>Total Internal Labour</v>
      </c>
      <c r="E101" s="249"/>
      <c r="F101" s="249"/>
      <c r="G101" s="249"/>
      <c r="H101" s="249"/>
      <c r="I101" s="249"/>
      <c r="J101" s="82">
        <f t="shared" ref="J101:T101" si="10">SUM(J92:J100)</f>
        <v>0</v>
      </c>
      <c r="K101" s="82">
        <f t="shared" si="10"/>
        <v>0</v>
      </c>
      <c r="L101" s="82">
        <f t="shared" si="10"/>
        <v>0</v>
      </c>
      <c r="M101" s="82">
        <f t="shared" si="10"/>
        <v>0</v>
      </c>
      <c r="N101" s="82">
        <f t="shared" si="10"/>
        <v>10062.599854571081</v>
      </c>
      <c r="O101" s="82">
        <f t="shared" si="10"/>
        <v>10856.115974579061</v>
      </c>
      <c r="P101" s="82">
        <f t="shared" si="10"/>
        <v>43843.98955770101</v>
      </c>
      <c r="Q101" s="82">
        <f t="shared" si="10"/>
        <v>35837.376514518684</v>
      </c>
      <c r="R101" s="82">
        <f t="shared" si="10"/>
        <v>31085.315073403413</v>
      </c>
      <c r="S101" s="82">
        <f t="shared" si="10"/>
        <v>33716.937860001213</v>
      </c>
      <c r="T101" s="82">
        <f t="shared" si="10"/>
        <v>39979.880953046268</v>
      </c>
    </row>
    <row r="102" spans="3:20" hidden="1" outlineLevel="2"/>
    <row r="103" spans="3:20" hidden="1" outlineLevel="2">
      <c r="C103" s="37" t="s">
        <v>129</v>
      </c>
    </row>
    <row r="104" spans="3:20" ht="5.9" hidden="1" customHeight="1" outlineLevel="2"/>
    <row r="105" spans="3:20" hidden="1" outlineLevel="2">
      <c r="D105" s="102" t="str">
        <f>Work_Codes!D203</f>
        <v>CG Regulator Replacement</v>
      </c>
      <c r="J105" s="81">
        <f>Work_Codes!$J203*J70*J$30</f>
        <v>0</v>
      </c>
      <c r="K105" s="81">
        <f>Work_Codes!$J203*K70*K$30</f>
        <v>0</v>
      </c>
      <c r="L105" s="81">
        <f>Work_Codes!$J203*L70*L$30</f>
        <v>0</v>
      </c>
      <c r="M105" s="81">
        <f>Work_Codes!$J203*M70*M$30</f>
        <v>0</v>
      </c>
      <c r="N105" s="81">
        <f>Work_Codes!$J203*N70*N$30</f>
        <v>0</v>
      </c>
      <c r="O105" s="81">
        <f>Work_Codes!$J203*O70*O$30</f>
        <v>106400</v>
      </c>
      <c r="P105" s="81">
        <f>Work_Codes!$J203*P70*P$30</f>
        <v>212800</v>
      </c>
      <c r="Q105" s="81">
        <f>Work_Codes!$J203*Q70*Q$30</f>
        <v>220400</v>
      </c>
      <c r="R105" s="81">
        <f>Work_Codes!$J203*R70*R$30</f>
        <v>212800</v>
      </c>
      <c r="S105" s="81">
        <f>Work_Codes!$J203*S70*S$30</f>
        <v>114000</v>
      </c>
      <c r="T105" s="81">
        <f>Work_Codes!$J203*T70*T$30</f>
        <v>220400</v>
      </c>
    </row>
    <row r="106" spans="3:20" hidden="1" outlineLevel="2">
      <c r="D106" s="102" t="str">
        <f>Work_Codes!D204</f>
        <v>CG Heater Replacement</v>
      </c>
      <c r="J106" s="81">
        <f>Work_Codes!$J204*J71*J$30</f>
        <v>0</v>
      </c>
      <c r="K106" s="81">
        <f>Work_Codes!$J204*K71*K$30</f>
        <v>0</v>
      </c>
      <c r="L106" s="81">
        <f>Work_Codes!$J204*L71*L$30</f>
        <v>0</v>
      </c>
      <c r="M106" s="81">
        <f>Work_Codes!$J204*M71*M$30</f>
        <v>0</v>
      </c>
      <c r="N106" s="81">
        <f>Work_Codes!$J204*N71*N$30</f>
        <v>0</v>
      </c>
      <c r="O106" s="81">
        <f>Work_Codes!$J204*O71*O$30</f>
        <v>0</v>
      </c>
      <c r="P106" s="81">
        <f>Work_Codes!$J204*P71*P$30</f>
        <v>228000</v>
      </c>
      <c r="Q106" s="81">
        <f>Work_Codes!$J204*Q71*Q$30</f>
        <v>228000</v>
      </c>
      <c r="R106" s="81">
        <f>Work_Codes!$J204*R71*R$30</f>
        <v>228000</v>
      </c>
      <c r="S106" s="81">
        <f>Work_Codes!$J204*S71*S$30</f>
        <v>228000</v>
      </c>
      <c r="T106" s="81">
        <f>Work_Codes!$J204*T71*T$30</f>
        <v>228000</v>
      </c>
    </row>
    <row r="107" spans="3:20" hidden="1" outlineLevel="2">
      <c r="D107" s="102" t="str">
        <f>Work_Codes!D205</f>
        <v>Field Regulator Replacement</v>
      </c>
      <c r="J107" s="81">
        <f>Work_Codes!$J205*J72*J$30</f>
        <v>0</v>
      </c>
      <c r="K107" s="81">
        <f>Work_Codes!$J205*K72*K$30</f>
        <v>0</v>
      </c>
      <c r="L107" s="81">
        <f>Work_Codes!$J205*L72*L$30</f>
        <v>0</v>
      </c>
      <c r="M107" s="81">
        <f>Work_Codes!$J205*M72*M$30</f>
        <v>0</v>
      </c>
      <c r="N107" s="81">
        <f>Work_Codes!$J205*N72*N$30</f>
        <v>0</v>
      </c>
      <c r="O107" s="81">
        <f>Work_Codes!$J205*O72*O$30</f>
        <v>76000</v>
      </c>
      <c r="P107" s="81">
        <f>Work_Codes!$J205*P72*P$30</f>
        <v>304000</v>
      </c>
      <c r="Q107" s="81">
        <f>Work_Codes!$J205*Q72*Q$30</f>
        <v>152000</v>
      </c>
      <c r="R107" s="81">
        <f>Work_Codes!$J205*R72*R$30</f>
        <v>76000</v>
      </c>
      <c r="S107" s="81">
        <f>Work_Codes!$J205*S72*S$30</f>
        <v>228000</v>
      </c>
      <c r="T107" s="81">
        <f>Work_Codes!$J205*T72*T$30</f>
        <v>228000</v>
      </c>
    </row>
    <row r="108" spans="3:20" hidden="1" outlineLevel="2">
      <c r="D108" s="102" t="str">
        <f>Work_Codes!D206</f>
        <v>Actuator Replacement</v>
      </c>
      <c r="J108" s="81">
        <f>Work_Codes!$J206*J73*J$30</f>
        <v>0</v>
      </c>
      <c r="K108" s="81">
        <f>Work_Codes!$J206*K73*K$30</f>
        <v>0</v>
      </c>
      <c r="L108" s="81">
        <f>Work_Codes!$J206*L73*L$30</f>
        <v>0</v>
      </c>
      <c r="M108" s="81">
        <f>Work_Codes!$J206*M73*M$30</f>
        <v>0</v>
      </c>
      <c r="N108" s="81">
        <f>Work_Codes!$J206*N73*N$30</f>
        <v>0</v>
      </c>
      <c r="O108" s="81">
        <f>Work_Codes!$J206*O73*O$30</f>
        <v>22800</v>
      </c>
      <c r="P108" s="81">
        <f>Work_Codes!$J206*P73*P$30</f>
        <v>79800</v>
      </c>
      <c r="Q108" s="81">
        <f>Work_Codes!$J206*Q73*Q$30</f>
        <v>68400</v>
      </c>
      <c r="R108" s="81">
        <f>Work_Codes!$J206*R73*R$30</f>
        <v>57000</v>
      </c>
      <c r="S108" s="81">
        <f>Work_Codes!$J206*S73*S$30</f>
        <v>45600</v>
      </c>
      <c r="T108" s="81">
        <f>Work_Codes!$J206*T73*T$30</f>
        <v>45600</v>
      </c>
    </row>
    <row r="109" spans="3:20" hidden="1" outlineLevel="2">
      <c r="D109" s="102" t="str">
        <f>Work_Codes!D207</f>
        <v>Security Fencing</v>
      </c>
      <c r="J109" s="81">
        <f>Work_Codes!$J207*J74*J$30</f>
        <v>0</v>
      </c>
      <c r="K109" s="81">
        <f>Work_Codes!$J207*K74*K$30</f>
        <v>0</v>
      </c>
      <c r="L109" s="81">
        <f>Work_Codes!$J207*L74*L$30</f>
        <v>0</v>
      </c>
      <c r="M109" s="81">
        <f>Work_Codes!$J207*M74*M$30</f>
        <v>0</v>
      </c>
      <c r="N109" s="81">
        <f>Work_Codes!$J207*N74*N$30</f>
        <v>0</v>
      </c>
      <c r="O109" s="81">
        <f>Work_Codes!$J207*O74*O$30</f>
        <v>0</v>
      </c>
      <c r="P109" s="81">
        <f>Work_Codes!$J207*P74*P$30</f>
        <v>0</v>
      </c>
      <c r="Q109" s="81">
        <f>Work_Codes!$J207*Q74*Q$30</f>
        <v>0</v>
      </c>
      <c r="R109" s="81">
        <f>Work_Codes!$J207*R74*R$30</f>
        <v>0</v>
      </c>
      <c r="S109" s="81">
        <f>Work_Codes!$J207*S74*S$30</f>
        <v>0</v>
      </c>
      <c r="T109" s="81">
        <f>Work_Codes!$J207*T74*T$30</f>
        <v>0</v>
      </c>
    </row>
    <row r="110" spans="3:20" hidden="1" outlineLevel="2">
      <c r="D110" s="102" t="str">
        <f>Work_Codes!D208</f>
        <v>Capex Items Category X</v>
      </c>
      <c r="J110" s="81">
        <f>Work_Codes!$J208*J75*J$30</f>
        <v>0</v>
      </c>
      <c r="K110" s="81">
        <f>Work_Codes!$J208*K75*K$30</f>
        <v>0</v>
      </c>
      <c r="L110" s="81">
        <f>Work_Codes!$J208*L75*L$30</f>
        <v>0</v>
      </c>
      <c r="M110" s="81">
        <f>Work_Codes!$J208*M75*M$30</f>
        <v>0</v>
      </c>
      <c r="N110" s="81">
        <f>Work_Codes!$J208*N75*N$30</f>
        <v>191189.39723685052</v>
      </c>
      <c r="O110" s="81">
        <f>Work_Codes!$J208*O75*O$30</f>
        <v>0</v>
      </c>
      <c r="P110" s="81">
        <f>Work_Codes!$J208*P75*P$30</f>
        <v>0</v>
      </c>
      <c r="Q110" s="81">
        <f>Work_Codes!$J208*Q75*Q$30</f>
        <v>0</v>
      </c>
      <c r="R110" s="81">
        <f>Work_Codes!$J208*R75*R$30</f>
        <v>0</v>
      </c>
      <c r="S110" s="81">
        <f>Work_Codes!$J208*S75*S$30</f>
        <v>0</v>
      </c>
      <c r="T110" s="81">
        <f>Work_Codes!$J208*T75*T$30</f>
        <v>0</v>
      </c>
    </row>
    <row r="111" spans="3:20" hidden="1" outlineLevel="2">
      <c r="D111" s="102">
        <f>Work_Codes!D209</f>
        <v>0</v>
      </c>
      <c r="J111" s="81">
        <f>Work_Codes!$J209*J76*J$30</f>
        <v>0</v>
      </c>
      <c r="K111" s="81">
        <f>Work_Codes!$J209*K76*K$30</f>
        <v>0</v>
      </c>
      <c r="L111" s="81">
        <f>Work_Codes!$J209*L76*L$30</f>
        <v>0</v>
      </c>
      <c r="M111" s="81">
        <f>Work_Codes!$J209*M76*M$30</f>
        <v>0</v>
      </c>
      <c r="N111" s="81">
        <f>Work_Codes!$J209*N76*N$30</f>
        <v>0</v>
      </c>
      <c r="O111" s="81">
        <f>Work_Codes!$J209*O76*O$30</f>
        <v>0</v>
      </c>
      <c r="P111" s="81">
        <f>Work_Codes!$J209*P76*P$30</f>
        <v>0</v>
      </c>
      <c r="Q111" s="81">
        <f>Work_Codes!$J209*Q76*Q$30</f>
        <v>0</v>
      </c>
      <c r="R111" s="81">
        <f>Work_Codes!$J209*R76*R$30</f>
        <v>0</v>
      </c>
      <c r="S111" s="81">
        <f>Work_Codes!$J209*S76*S$30</f>
        <v>0</v>
      </c>
      <c r="T111" s="81">
        <f>Work_Codes!$J209*T76*T$30</f>
        <v>0</v>
      </c>
    </row>
    <row r="112" spans="3:20" hidden="1" outlineLevel="2">
      <c r="D112" s="102">
        <f>Work_Codes!D210</f>
        <v>0</v>
      </c>
      <c r="J112" s="81">
        <f>Work_Codes!$J210*J77*J$30</f>
        <v>0</v>
      </c>
      <c r="K112" s="81">
        <f>Work_Codes!$J210*K77*K$30</f>
        <v>0</v>
      </c>
      <c r="L112" s="81">
        <f>Work_Codes!$J210*L77*L$30</f>
        <v>0</v>
      </c>
      <c r="M112" s="81">
        <f>Work_Codes!$J210*M77*M$30</f>
        <v>0</v>
      </c>
      <c r="N112" s="81">
        <f>Work_Codes!$J210*N77*N$30</f>
        <v>0</v>
      </c>
      <c r="O112" s="81">
        <f>Work_Codes!$J210*O77*O$30</f>
        <v>0</v>
      </c>
      <c r="P112" s="81">
        <f>Work_Codes!$J210*P77*P$30</f>
        <v>0</v>
      </c>
      <c r="Q112" s="81">
        <f>Work_Codes!$J210*Q77*Q$30</f>
        <v>0</v>
      </c>
      <c r="R112" s="81">
        <f>Work_Codes!$J210*R77*R$30</f>
        <v>0</v>
      </c>
      <c r="S112" s="81">
        <f>Work_Codes!$J210*S77*S$30</f>
        <v>0</v>
      </c>
      <c r="T112" s="81">
        <f>Work_Codes!$J210*T77*T$30</f>
        <v>0</v>
      </c>
    </row>
    <row r="113" spans="3:20" ht="5.9" hidden="1" customHeight="1" outlineLevel="2"/>
    <row r="114" spans="3:20" hidden="1" outlineLevel="2">
      <c r="D114" s="249" t="str">
        <f>"Total "&amp;C103</f>
        <v>Total External Labour</v>
      </c>
      <c r="E114" s="249"/>
      <c r="F114" s="249"/>
      <c r="G114" s="249"/>
      <c r="H114" s="249"/>
      <c r="I114" s="249"/>
      <c r="J114" s="82">
        <f t="shared" ref="J114:T114" si="11">SUM(J105:J113)</f>
        <v>0</v>
      </c>
      <c r="K114" s="82">
        <f t="shared" si="11"/>
        <v>0</v>
      </c>
      <c r="L114" s="82">
        <f t="shared" si="11"/>
        <v>0</v>
      </c>
      <c r="M114" s="82">
        <f t="shared" si="11"/>
        <v>0</v>
      </c>
      <c r="N114" s="82">
        <f t="shared" si="11"/>
        <v>191189.39723685052</v>
      </c>
      <c r="O114" s="82">
        <f t="shared" si="11"/>
        <v>205200</v>
      </c>
      <c r="P114" s="82">
        <f t="shared" si="11"/>
        <v>824600</v>
      </c>
      <c r="Q114" s="82">
        <f t="shared" si="11"/>
        <v>668800</v>
      </c>
      <c r="R114" s="82">
        <f t="shared" si="11"/>
        <v>573800</v>
      </c>
      <c r="S114" s="82">
        <f t="shared" si="11"/>
        <v>615600</v>
      </c>
      <c r="T114" s="82">
        <f t="shared" si="11"/>
        <v>722000</v>
      </c>
    </row>
    <row r="115" spans="3:20" hidden="1" outlineLevel="2"/>
    <row r="116" spans="3:20" hidden="1" outlineLevel="2">
      <c r="C116" s="37" t="s">
        <v>130</v>
      </c>
    </row>
    <row r="117" spans="3:20" ht="5.9" hidden="1" customHeight="1" outlineLevel="2"/>
    <row r="118" spans="3:20" hidden="1" outlineLevel="2">
      <c r="D118" s="102" t="str">
        <f>Work_Codes!D203</f>
        <v>CG Regulator Replacement</v>
      </c>
      <c r="J118" s="81">
        <f>Work_Codes!$K203*J70*J$31</f>
        <v>0</v>
      </c>
      <c r="K118" s="81">
        <f>Work_Codes!$K203*K70*K$31</f>
        <v>0</v>
      </c>
      <c r="L118" s="81">
        <f>Work_Codes!$K203*L70*L$31</f>
        <v>0</v>
      </c>
      <c r="M118" s="81">
        <f>Work_Codes!$K203*M70*M$31</f>
        <v>0</v>
      </c>
      <c r="N118" s="81">
        <f>Work_Codes!$K203*N70*N$31</f>
        <v>0</v>
      </c>
      <c r="O118" s="81">
        <f>Work_Codes!$K203*O70*O$31</f>
        <v>168000</v>
      </c>
      <c r="P118" s="81">
        <f>Work_Codes!$K203*P70*P$31</f>
        <v>336000</v>
      </c>
      <c r="Q118" s="81">
        <f>Work_Codes!$K203*Q70*Q$31</f>
        <v>348000</v>
      </c>
      <c r="R118" s="81">
        <f>Work_Codes!$K203*R70*R$31</f>
        <v>336000</v>
      </c>
      <c r="S118" s="81">
        <f>Work_Codes!$K203*S70*S$31</f>
        <v>180000</v>
      </c>
      <c r="T118" s="81">
        <f>Work_Codes!$K203*T70*T$31</f>
        <v>348000</v>
      </c>
    </row>
    <row r="119" spans="3:20" hidden="1" outlineLevel="2">
      <c r="D119" s="102" t="str">
        <f>Work_Codes!D204</f>
        <v>CG Heater Replacement</v>
      </c>
      <c r="J119" s="81">
        <f>Work_Codes!$K204*J71*J$31</f>
        <v>0</v>
      </c>
      <c r="K119" s="81">
        <f>Work_Codes!$K204*K71*K$31</f>
        <v>0</v>
      </c>
      <c r="L119" s="81">
        <f>Work_Codes!$K204*L71*L$31</f>
        <v>0</v>
      </c>
      <c r="M119" s="81">
        <f>Work_Codes!$K204*M71*M$31</f>
        <v>0</v>
      </c>
      <c r="N119" s="81">
        <f>Work_Codes!$K204*N71*N$31</f>
        <v>0</v>
      </c>
      <c r="O119" s="81">
        <f>Work_Codes!$K204*O71*O$31</f>
        <v>0</v>
      </c>
      <c r="P119" s="81">
        <f>Work_Codes!$K204*P71*P$31</f>
        <v>360000</v>
      </c>
      <c r="Q119" s="81">
        <f>Work_Codes!$K204*Q71*Q$31</f>
        <v>360000</v>
      </c>
      <c r="R119" s="81">
        <f>Work_Codes!$K204*R71*R$31</f>
        <v>360000</v>
      </c>
      <c r="S119" s="81">
        <f>Work_Codes!$K204*S71*S$31</f>
        <v>360000</v>
      </c>
      <c r="T119" s="81">
        <f>Work_Codes!$K204*T71*T$31</f>
        <v>360000</v>
      </c>
    </row>
    <row r="120" spans="3:20" hidden="1" outlineLevel="2">
      <c r="D120" s="102" t="str">
        <f>Work_Codes!D205</f>
        <v>Field Regulator Replacement</v>
      </c>
      <c r="J120" s="81">
        <f>Work_Codes!$K205*J72*J$31</f>
        <v>0</v>
      </c>
      <c r="K120" s="81">
        <f>Work_Codes!$K205*K72*K$31</f>
        <v>0</v>
      </c>
      <c r="L120" s="81">
        <f>Work_Codes!$K205*L72*L$31</f>
        <v>0</v>
      </c>
      <c r="M120" s="81">
        <f>Work_Codes!$K205*M72*M$31</f>
        <v>0</v>
      </c>
      <c r="N120" s="81">
        <f>Work_Codes!$K205*N72*N$31</f>
        <v>0</v>
      </c>
      <c r="O120" s="81">
        <f>Work_Codes!$K205*O72*O$31</f>
        <v>120000</v>
      </c>
      <c r="P120" s="81">
        <f>Work_Codes!$K205*P72*P$31</f>
        <v>480000</v>
      </c>
      <c r="Q120" s="81">
        <f>Work_Codes!$K205*Q72*Q$31</f>
        <v>240000</v>
      </c>
      <c r="R120" s="81">
        <f>Work_Codes!$K205*R72*R$31</f>
        <v>120000</v>
      </c>
      <c r="S120" s="81">
        <f>Work_Codes!$K205*S72*S$31</f>
        <v>360000</v>
      </c>
      <c r="T120" s="81">
        <f>Work_Codes!$K205*T72*T$31</f>
        <v>360000</v>
      </c>
    </row>
    <row r="121" spans="3:20" hidden="1" outlineLevel="2">
      <c r="D121" s="102" t="str">
        <f>Work_Codes!D206</f>
        <v>Actuator Replacement</v>
      </c>
      <c r="J121" s="81">
        <f>Work_Codes!$K206*J73*J$31</f>
        <v>0</v>
      </c>
      <c r="K121" s="81">
        <f>Work_Codes!$K206*K73*K$31</f>
        <v>0</v>
      </c>
      <c r="L121" s="81">
        <f>Work_Codes!$K206*L73*L$31</f>
        <v>0</v>
      </c>
      <c r="M121" s="81">
        <f>Work_Codes!$K206*M73*M$31</f>
        <v>0</v>
      </c>
      <c r="N121" s="81">
        <f>Work_Codes!$K206*N73*N$31</f>
        <v>0</v>
      </c>
      <c r="O121" s="81">
        <f>Work_Codes!$K206*O73*O$31</f>
        <v>36000</v>
      </c>
      <c r="P121" s="81">
        <f>Work_Codes!$K206*P73*P$31</f>
        <v>126000</v>
      </c>
      <c r="Q121" s="81">
        <f>Work_Codes!$K206*Q73*Q$31</f>
        <v>108000</v>
      </c>
      <c r="R121" s="81">
        <f>Work_Codes!$K206*R73*R$31</f>
        <v>90000</v>
      </c>
      <c r="S121" s="81">
        <f>Work_Codes!$K206*S73*S$31</f>
        <v>72000</v>
      </c>
      <c r="T121" s="81">
        <f>Work_Codes!$K206*T73*T$31</f>
        <v>72000</v>
      </c>
    </row>
    <row r="122" spans="3:20" hidden="1" outlineLevel="2">
      <c r="D122" s="102" t="str">
        <f>Work_Codes!D207</f>
        <v>Security Fencing</v>
      </c>
      <c r="J122" s="81">
        <f>Work_Codes!$K207*J74*J$31</f>
        <v>0</v>
      </c>
      <c r="K122" s="81">
        <f>Work_Codes!$K207*K74*K$31</f>
        <v>0</v>
      </c>
      <c r="L122" s="81">
        <f>Work_Codes!$K207*L74*L$31</f>
        <v>0</v>
      </c>
      <c r="M122" s="81">
        <f>Work_Codes!$K207*M74*M$31</f>
        <v>0</v>
      </c>
      <c r="N122" s="81">
        <f>Work_Codes!$K207*N74*N$31</f>
        <v>0</v>
      </c>
      <c r="O122" s="81">
        <f>Work_Codes!$K207*O74*O$31</f>
        <v>0</v>
      </c>
      <c r="P122" s="81">
        <f>Work_Codes!$K207*P74*P$31</f>
        <v>0</v>
      </c>
      <c r="Q122" s="81">
        <f>Work_Codes!$K207*Q74*Q$31</f>
        <v>0</v>
      </c>
      <c r="R122" s="81">
        <f>Work_Codes!$K207*R74*R$31</f>
        <v>0</v>
      </c>
      <c r="S122" s="81">
        <f>Work_Codes!$K207*S74*S$31</f>
        <v>0</v>
      </c>
      <c r="T122" s="81">
        <f>Work_Codes!$K207*T74*T$31</f>
        <v>0</v>
      </c>
    </row>
    <row r="123" spans="3:20" hidden="1" outlineLevel="2">
      <c r="D123" s="102" t="str">
        <f>Work_Codes!D208</f>
        <v>Capex Items Category X</v>
      </c>
      <c r="J123" s="81">
        <f>Work_Codes!$K208*J75*J$31</f>
        <v>0</v>
      </c>
      <c r="K123" s="81">
        <f>Work_Codes!$K208*K75*K$31</f>
        <v>0</v>
      </c>
      <c r="L123" s="81">
        <f>Work_Codes!$K208*L75*L$31</f>
        <v>0</v>
      </c>
      <c r="M123" s="81">
        <f>Work_Codes!$K208*M75*M$31</f>
        <v>0</v>
      </c>
      <c r="N123" s="81">
        <f>Work_Codes!$K208*N75*N$31</f>
        <v>301877.99563713238</v>
      </c>
      <c r="O123" s="81">
        <f>Work_Codes!$K208*O75*O$31</f>
        <v>0</v>
      </c>
      <c r="P123" s="81">
        <f>Work_Codes!$K208*P75*P$31</f>
        <v>0</v>
      </c>
      <c r="Q123" s="81">
        <f>Work_Codes!$K208*Q75*Q$31</f>
        <v>0</v>
      </c>
      <c r="R123" s="81">
        <f>Work_Codes!$K208*R75*R$31</f>
        <v>0</v>
      </c>
      <c r="S123" s="81">
        <f>Work_Codes!$K208*S75*S$31</f>
        <v>0</v>
      </c>
      <c r="T123" s="81">
        <f>Work_Codes!$K208*T75*T$31</f>
        <v>0</v>
      </c>
    </row>
    <row r="124" spans="3:20" hidden="1" outlineLevel="2">
      <c r="D124" s="102">
        <f>Work_Codes!D209</f>
        <v>0</v>
      </c>
      <c r="J124" s="81">
        <f>Work_Codes!$K209*J76*J$31</f>
        <v>0</v>
      </c>
      <c r="K124" s="81">
        <f>Work_Codes!$K209*K76*K$31</f>
        <v>0</v>
      </c>
      <c r="L124" s="81">
        <f>Work_Codes!$K209*L76*L$31</f>
        <v>0</v>
      </c>
      <c r="M124" s="81">
        <f>Work_Codes!$K209*M76*M$31</f>
        <v>0</v>
      </c>
      <c r="N124" s="81">
        <f>Work_Codes!$K209*N76*N$31</f>
        <v>0</v>
      </c>
      <c r="O124" s="81">
        <f>Work_Codes!$K209*O76*O$31</f>
        <v>0</v>
      </c>
      <c r="P124" s="81">
        <f>Work_Codes!$K209*P76*P$31</f>
        <v>0</v>
      </c>
      <c r="Q124" s="81">
        <f>Work_Codes!$K209*Q76*Q$31</f>
        <v>0</v>
      </c>
      <c r="R124" s="81">
        <f>Work_Codes!$K209*R76*R$31</f>
        <v>0</v>
      </c>
      <c r="S124" s="81">
        <f>Work_Codes!$K209*S76*S$31</f>
        <v>0</v>
      </c>
      <c r="T124" s="81">
        <f>Work_Codes!$K209*T76*T$31</f>
        <v>0</v>
      </c>
    </row>
    <row r="125" spans="3:20" hidden="1" outlineLevel="2">
      <c r="D125" s="102">
        <f>Work_Codes!D210</f>
        <v>0</v>
      </c>
      <c r="J125" s="81">
        <f>Work_Codes!$K210*J77*J$31</f>
        <v>0</v>
      </c>
      <c r="K125" s="81">
        <f>Work_Codes!$K210*K77*K$31</f>
        <v>0</v>
      </c>
      <c r="L125" s="81">
        <f>Work_Codes!$K210*L77*L$31</f>
        <v>0</v>
      </c>
      <c r="M125" s="81">
        <f>Work_Codes!$K210*M77*M$31</f>
        <v>0</v>
      </c>
      <c r="N125" s="81">
        <f>Work_Codes!$K210*N77*N$31</f>
        <v>0</v>
      </c>
      <c r="O125" s="81">
        <f>Work_Codes!$K210*O77*O$31</f>
        <v>0</v>
      </c>
      <c r="P125" s="81">
        <f>Work_Codes!$K210*P77*P$31</f>
        <v>0</v>
      </c>
      <c r="Q125" s="81">
        <f>Work_Codes!$K210*Q77*Q$31</f>
        <v>0</v>
      </c>
      <c r="R125" s="81">
        <f>Work_Codes!$K210*R77*R$31</f>
        <v>0</v>
      </c>
      <c r="S125" s="81">
        <f>Work_Codes!$K210*S77*S$31</f>
        <v>0</v>
      </c>
      <c r="T125" s="81">
        <f>Work_Codes!$K210*T77*T$31</f>
        <v>0</v>
      </c>
    </row>
    <row r="126" spans="3:20" ht="5.9" hidden="1" customHeight="1" outlineLevel="2"/>
    <row r="127" spans="3:20" hidden="1" outlineLevel="2">
      <c r="D127" s="249" t="str">
        <f>"Total "&amp;C116</f>
        <v>Total Materials</v>
      </c>
      <c r="E127" s="249"/>
      <c r="F127" s="249"/>
      <c r="G127" s="249"/>
      <c r="H127" s="249"/>
      <c r="I127" s="249"/>
      <c r="J127" s="82">
        <f t="shared" ref="J127:T127" si="12">SUM(J118:J126)</f>
        <v>0</v>
      </c>
      <c r="K127" s="82">
        <f t="shared" si="12"/>
        <v>0</v>
      </c>
      <c r="L127" s="82">
        <f t="shared" si="12"/>
        <v>0</v>
      </c>
      <c r="M127" s="82">
        <f t="shared" si="12"/>
        <v>0</v>
      </c>
      <c r="N127" s="82">
        <f t="shared" si="12"/>
        <v>301877.99563713238</v>
      </c>
      <c r="O127" s="82">
        <f t="shared" si="12"/>
        <v>324000</v>
      </c>
      <c r="P127" s="82">
        <f t="shared" si="12"/>
        <v>1302000</v>
      </c>
      <c r="Q127" s="82">
        <f t="shared" si="12"/>
        <v>1056000</v>
      </c>
      <c r="R127" s="82">
        <f t="shared" si="12"/>
        <v>906000</v>
      </c>
      <c r="S127" s="82">
        <f t="shared" si="12"/>
        <v>972000</v>
      </c>
      <c r="T127" s="82">
        <f t="shared" si="12"/>
        <v>1140000</v>
      </c>
    </row>
    <row r="128" spans="3:20" outlineLevel="1" collapsed="1"/>
    <row r="129" spans="2:20" outlineLevel="1">
      <c r="C129" s="37" t="s">
        <v>217</v>
      </c>
    </row>
    <row r="130" spans="2:20" ht="5.9" customHeight="1" outlineLevel="1"/>
    <row r="131" spans="2:20" outlineLevel="1">
      <c r="D131" s="102" t="str">
        <f>Work_Codes!D203</f>
        <v>CG Regulator Replacement</v>
      </c>
      <c r="J131" s="81">
        <f t="shared" ref="J131:T131" si="13">J92+J105+J118</f>
        <v>0</v>
      </c>
      <c r="K131" s="81">
        <f t="shared" si="13"/>
        <v>0</v>
      </c>
      <c r="L131" s="81">
        <f t="shared" si="13"/>
        <v>0</v>
      </c>
      <c r="M131" s="81">
        <f t="shared" si="13"/>
        <v>0</v>
      </c>
      <c r="N131" s="81">
        <f t="shared" si="13"/>
        <v>0</v>
      </c>
      <c r="O131" s="81">
        <f t="shared" si="13"/>
        <v>280029.09717200394</v>
      </c>
      <c r="P131" s="81">
        <f t="shared" si="13"/>
        <v>560114.57795037446</v>
      </c>
      <c r="Q131" s="81">
        <f t="shared" si="13"/>
        <v>580210.04453319369</v>
      </c>
      <c r="R131" s="81">
        <f t="shared" si="13"/>
        <v>560328.32876894437</v>
      </c>
      <c r="S131" s="81">
        <f t="shared" si="13"/>
        <v>300243.8773814817</v>
      </c>
      <c r="T131" s="81">
        <f t="shared" si="13"/>
        <v>580604.38471198257</v>
      </c>
    </row>
    <row r="132" spans="2:20" outlineLevel="1">
      <c r="D132" s="102" t="str">
        <f>Work_Codes!D204</f>
        <v>CG Heater Replacement</v>
      </c>
      <c r="J132" s="81">
        <f t="shared" ref="J132:T132" si="14">J93+J106+J119</f>
        <v>0</v>
      </c>
      <c r="K132" s="81">
        <f t="shared" si="14"/>
        <v>0</v>
      </c>
      <c r="L132" s="81">
        <f t="shared" si="14"/>
        <v>0</v>
      </c>
      <c r="M132" s="81">
        <f t="shared" si="14"/>
        <v>0</v>
      </c>
      <c r="N132" s="81">
        <f t="shared" si="14"/>
        <v>0</v>
      </c>
      <c r="O132" s="81">
        <f t="shared" si="14"/>
        <v>0</v>
      </c>
      <c r="P132" s="81">
        <f t="shared" si="14"/>
        <v>600122.76208968693</v>
      </c>
      <c r="Q132" s="81">
        <f t="shared" si="14"/>
        <v>600217.28744813136</v>
      </c>
      <c r="R132" s="81">
        <f t="shared" si="14"/>
        <v>600351.78082386893</v>
      </c>
      <c r="S132" s="81">
        <f t="shared" si="14"/>
        <v>600487.75476296339</v>
      </c>
      <c r="T132" s="81">
        <f t="shared" si="14"/>
        <v>600625.22556411987</v>
      </c>
    </row>
    <row r="133" spans="2:20" outlineLevel="1">
      <c r="D133" s="102" t="str">
        <f>Work_Codes!D205</f>
        <v>Field Regulator Replacement</v>
      </c>
      <c r="J133" s="81">
        <f t="shared" ref="J133:T133" si="15">J94+J107+J120</f>
        <v>0</v>
      </c>
      <c r="K133" s="81">
        <f t="shared" si="15"/>
        <v>0</v>
      </c>
      <c r="L133" s="81">
        <f t="shared" si="15"/>
        <v>0</v>
      </c>
      <c r="M133" s="81">
        <f t="shared" si="15"/>
        <v>0</v>
      </c>
      <c r="N133" s="81">
        <f t="shared" si="15"/>
        <v>0</v>
      </c>
      <c r="O133" s="81">
        <f t="shared" si="15"/>
        <v>200020.78369428855</v>
      </c>
      <c r="P133" s="81">
        <f t="shared" si="15"/>
        <v>800163.68278624921</v>
      </c>
      <c r="Q133" s="81">
        <f t="shared" si="15"/>
        <v>400144.85829875426</v>
      </c>
      <c r="R133" s="81">
        <f t="shared" si="15"/>
        <v>200117.26027462297</v>
      </c>
      <c r="S133" s="81">
        <f t="shared" si="15"/>
        <v>600487.75476296339</v>
      </c>
      <c r="T133" s="81">
        <f t="shared" si="15"/>
        <v>600625.22556411987</v>
      </c>
    </row>
    <row r="134" spans="2:20" outlineLevel="1">
      <c r="D134" s="102" t="str">
        <f>Work_Codes!D206</f>
        <v>Actuator Replacement</v>
      </c>
      <c r="J134" s="81">
        <f t="shared" ref="J134:T134" si="16">J95+J108+J121</f>
        <v>0</v>
      </c>
      <c r="K134" s="81">
        <f t="shared" si="16"/>
        <v>0</v>
      </c>
      <c r="L134" s="81">
        <f t="shared" si="16"/>
        <v>0</v>
      </c>
      <c r="M134" s="81">
        <f t="shared" si="16"/>
        <v>0</v>
      </c>
      <c r="N134" s="81">
        <f t="shared" si="16"/>
        <v>0</v>
      </c>
      <c r="O134" s="81">
        <f t="shared" si="16"/>
        <v>60006.235108286564</v>
      </c>
      <c r="P134" s="81">
        <f t="shared" si="16"/>
        <v>210042.96673139042</v>
      </c>
      <c r="Q134" s="81">
        <f t="shared" si="16"/>
        <v>180065.18623443943</v>
      </c>
      <c r="R134" s="81">
        <f t="shared" si="16"/>
        <v>150087.94520596723</v>
      </c>
      <c r="S134" s="81">
        <f t="shared" si="16"/>
        <v>120097.55095259269</v>
      </c>
      <c r="T134" s="81">
        <f t="shared" si="16"/>
        <v>120125.04511282398</v>
      </c>
    </row>
    <row r="135" spans="2:20" outlineLevel="1">
      <c r="D135" s="102" t="str">
        <f>Work_Codes!D207</f>
        <v>Security Fencing</v>
      </c>
      <c r="J135" s="81">
        <f t="shared" ref="J135:T135" si="17">J96+J109+J122</f>
        <v>0</v>
      </c>
      <c r="K135" s="81">
        <f t="shared" si="17"/>
        <v>0</v>
      </c>
      <c r="L135" s="81">
        <f t="shared" si="17"/>
        <v>0</v>
      </c>
      <c r="M135" s="81">
        <f t="shared" si="17"/>
        <v>0</v>
      </c>
      <c r="N135" s="81">
        <f t="shared" si="17"/>
        <v>0</v>
      </c>
      <c r="O135" s="81">
        <f t="shared" si="17"/>
        <v>0</v>
      </c>
      <c r="P135" s="81">
        <f t="shared" si="17"/>
        <v>0</v>
      </c>
      <c r="Q135" s="81">
        <f t="shared" si="17"/>
        <v>0</v>
      </c>
      <c r="R135" s="81">
        <f t="shared" si="17"/>
        <v>0</v>
      </c>
      <c r="S135" s="81">
        <f t="shared" si="17"/>
        <v>0</v>
      </c>
      <c r="T135" s="81">
        <f t="shared" si="17"/>
        <v>0</v>
      </c>
    </row>
    <row r="136" spans="2:20" outlineLevel="1">
      <c r="D136" s="102" t="str">
        <f>Work_Codes!D208</f>
        <v>Capex Items Category X</v>
      </c>
      <c r="J136" s="81">
        <f t="shared" ref="J136:T136" si="18">J97+J110+J123</f>
        <v>0</v>
      </c>
      <c r="K136" s="81">
        <f t="shared" si="18"/>
        <v>0</v>
      </c>
      <c r="L136" s="81">
        <f t="shared" si="18"/>
        <v>0</v>
      </c>
      <c r="M136" s="81">
        <f t="shared" si="18"/>
        <v>0</v>
      </c>
      <c r="N136" s="81">
        <f t="shared" si="18"/>
        <v>503129.99272855395</v>
      </c>
      <c r="O136" s="81">
        <f t="shared" si="18"/>
        <v>0</v>
      </c>
      <c r="P136" s="81">
        <f t="shared" si="18"/>
        <v>0</v>
      </c>
      <c r="Q136" s="81">
        <f t="shared" si="18"/>
        <v>0</v>
      </c>
      <c r="R136" s="81">
        <f t="shared" si="18"/>
        <v>0</v>
      </c>
      <c r="S136" s="81">
        <f t="shared" si="18"/>
        <v>0</v>
      </c>
      <c r="T136" s="81">
        <f t="shared" si="18"/>
        <v>0</v>
      </c>
    </row>
    <row r="137" spans="2:20" outlineLevel="1">
      <c r="D137" s="102">
        <f>Work_Codes!D209</f>
        <v>0</v>
      </c>
      <c r="J137" s="81">
        <f t="shared" ref="J137:T137" si="19">J98+J111+J124</f>
        <v>0</v>
      </c>
      <c r="K137" s="81">
        <f t="shared" si="19"/>
        <v>0</v>
      </c>
      <c r="L137" s="81">
        <f t="shared" si="19"/>
        <v>0</v>
      </c>
      <c r="M137" s="81">
        <f t="shared" si="19"/>
        <v>0</v>
      </c>
      <c r="N137" s="81">
        <f t="shared" si="19"/>
        <v>0</v>
      </c>
      <c r="O137" s="81">
        <f t="shared" si="19"/>
        <v>0</v>
      </c>
      <c r="P137" s="81">
        <f t="shared" si="19"/>
        <v>0</v>
      </c>
      <c r="Q137" s="81">
        <f t="shared" si="19"/>
        <v>0</v>
      </c>
      <c r="R137" s="81">
        <f t="shared" si="19"/>
        <v>0</v>
      </c>
      <c r="S137" s="81">
        <f t="shared" si="19"/>
        <v>0</v>
      </c>
      <c r="T137" s="81">
        <f t="shared" si="19"/>
        <v>0</v>
      </c>
    </row>
    <row r="138" spans="2:20" outlineLevel="1">
      <c r="D138" s="102">
        <f>Work_Codes!D210</f>
        <v>0</v>
      </c>
      <c r="J138" s="81">
        <f t="shared" ref="J138:T138" si="20">J99+J112+J125</f>
        <v>0</v>
      </c>
      <c r="K138" s="81">
        <f t="shared" si="20"/>
        <v>0</v>
      </c>
      <c r="L138" s="81">
        <f t="shared" si="20"/>
        <v>0</v>
      </c>
      <c r="M138" s="81">
        <f t="shared" si="20"/>
        <v>0</v>
      </c>
      <c r="N138" s="81">
        <f t="shared" si="20"/>
        <v>0</v>
      </c>
      <c r="O138" s="81">
        <f t="shared" si="20"/>
        <v>0</v>
      </c>
      <c r="P138" s="81">
        <f t="shared" si="20"/>
        <v>0</v>
      </c>
      <c r="Q138" s="81">
        <f t="shared" si="20"/>
        <v>0</v>
      </c>
      <c r="R138" s="81">
        <f t="shared" si="20"/>
        <v>0</v>
      </c>
      <c r="S138" s="81">
        <f t="shared" si="20"/>
        <v>0</v>
      </c>
      <c r="T138" s="81">
        <f t="shared" si="20"/>
        <v>0</v>
      </c>
    </row>
    <row r="139" spans="2:20" ht="5.9" customHeight="1" outlineLevel="1"/>
    <row r="140" spans="2:20" outlineLevel="1">
      <c r="D140" s="249" t="str">
        <f>C129</f>
        <v>Total Direct Capex including Escalation (Non CPI)</v>
      </c>
      <c r="E140" s="249"/>
      <c r="F140" s="249"/>
      <c r="G140" s="249"/>
      <c r="H140" s="249"/>
      <c r="I140" s="249"/>
      <c r="J140" s="82">
        <f t="shared" ref="J140:T140" si="21">SUM(J131:J139)</f>
        <v>0</v>
      </c>
      <c r="K140" s="82">
        <f t="shared" si="21"/>
        <v>0</v>
      </c>
      <c r="L140" s="82">
        <f t="shared" si="21"/>
        <v>0</v>
      </c>
      <c r="M140" s="82">
        <f t="shared" si="21"/>
        <v>0</v>
      </c>
      <c r="N140" s="82">
        <f t="shared" si="21"/>
        <v>503129.99272855395</v>
      </c>
      <c r="O140" s="82">
        <f t="shared" si="21"/>
        <v>540056.11597457912</v>
      </c>
      <c r="P140" s="82">
        <f t="shared" si="21"/>
        <v>2170443.9895577012</v>
      </c>
      <c r="Q140" s="82">
        <f t="shared" si="21"/>
        <v>1760637.3765145189</v>
      </c>
      <c r="R140" s="82">
        <f t="shared" si="21"/>
        <v>1510885.3150734035</v>
      </c>
      <c r="S140" s="82">
        <f t="shared" si="21"/>
        <v>1621316.9378600011</v>
      </c>
      <c r="T140" s="82">
        <f t="shared" si="21"/>
        <v>1901979.8809530465</v>
      </c>
    </row>
    <row r="141" spans="2:20" outlineLevel="1">
      <c r="B141" s="12"/>
      <c r="C141" s="12"/>
      <c r="D141" s="12"/>
      <c r="E141" s="12"/>
      <c r="F141" s="12"/>
      <c r="G141" s="12"/>
      <c r="H141" s="12"/>
      <c r="I141" s="12"/>
      <c r="J141" s="12"/>
      <c r="K141" s="12"/>
      <c r="L141" s="12"/>
      <c r="M141" s="12"/>
      <c r="N141" s="12"/>
      <c r="O141" s="12"/>
      <c r="P141" s="12"/>
      <c r="Q141" s="12"/>
      <c r="R141" s="12"/>
      <c r="S141" s="12"/>
      <c r="T141" s="12"/>
    </row>
    <row r="142" spans="2:20" outlineLevel="1"/>
    <row r="143" spans="2:20" outlineLevel="1">
      <c r="C143" s="37" t="s">
        <v>195</v>
      </c>
    </row>
    <row r="144" spans="2:20" ht="5.9" customHeight="1" outlineLevel="2"/>
    <row r="145" spans="4:20" outlineLevel="2">
      <c r="D145" s="37" t="s">
        <v>215</v>
      </c>
    </row>
    <row r="146" spans="4:20" ht="5.9" customHeight="1" outlineLevel="2"/>
    <row r="147" spans="4:20" ht="11.5" customHeight="1" outlineLevel="2">
      <c r="E147" s="247" t="str">
        <f>GC!C40</f>
        <v>Transmission pipelines</v>
      </c>
      <c r="F147" s="247"/>
      <c r="G147" s="247"/>
      <c r="H147" s="247"/>
      <c r="I147" s="247"/>
      <c r="J147" s="81">
        <f ca="1">SUMPRODUCT((Work_Codes!$N$200:$Y$200=$E147)*(Work_Codes!$N$203:$Y$210)*(J$131:J$138))</f>
        <v>0</v>
      </c>
      <c r="K147" s="81">
        <f ca="1">SUMPRODUCT((Work_Codes!$N$200:$Y$200=$E147)*(Work_Codes!$N$203:$Y$210)*(K$131:K$138))</f>
        <v>0</v>
      </c>
      <c r="L147" s="81">
        <f ca="1">SUMPRODUCT((Work_Codes!$N$200:$Y$200=$E147)*(Work_Codes!$N$203:$Y$210)*(L$131:L$138))</f>
        <v>0</v>
      </c>
      <c r="M147" s="81">
        <f ca="1">SUMPRODUCT((Work_Codes!$N$200:$Y$200=$E147)*(Work_Codes!$N$203:$Y$210)*(M$131:M$138))</f>
        <v>0</v>
      </c>
      <c r="N147" s="81">
        <f ca="1">SUMPRODUCT((Work_Codes!$N$200:$Y$200=$E147)*(Work_Codes!$N$203:$Y$210)*(N$131:N$138))</f>
        <v>0</v>
      </c>
      <c r="O147" s="81">
        <f ca="1">SUMPRODUCT((Work_Codes!$N$200:$Y$200=$E147)*(Work_Codes!$N$203:$Y$210)*(O$131:O$138))</f>
        <v>0</v>
      </c>
      <c r="P147" s="81">
        <f ca="1">SUMPRODUCT((Work_Codes!$N$200:$Y$200=$E147)*(Work_Codes!$N$203:$Y$210)*(P$131:P$138))</f>
        <v>0</v>
      </c>
      <c r="Q147" s="81">
        <f ca="1">SUMPRODUCT((Work_Codes!$N$200:$Y$200=$E147)*(Work_Codes!$N$203:$Y$210)*(Q$131:Q$138))</f>
        <v>0</v>
      </c>
      <c r="R147" s="81">
        <f ca="1">SUMPRODUCT((Work_Codes!$N$200:$Y$200=$E147)*(Work_Codes!$N$203:$Y$210)*(R$131:R$138))</f>
        <v>0</v>
      </c>
      <c r="S147" s="81">
        <f ca="1">SUMPRODUCT((Work_Codes!$N$200:$Y$200=$E147)*(Work_Codes!$N$203:$Y$210)*(S$131:S$138))</f>
        <v>0</v>
      </c>
      <c r="T147" s="81">
        <f ca="1">SUMPRODUCT((Work_Codes!$N$200:$Y$200=$E147)*(Work_Codes!$N$203:$Y$210)*(T$131:T$138))</f>
        <v>0</v>
      </c>
    </row>
    <row r="148" spans="4:20" ht="11.5" customHeight="1" outlineLevel="2">
      <c r="E148" s="247" t="str">
        <f>GC!C41</f>
        <v>Distribution pipelines</v>
      </c>
      <c r="F148" s="247"/>
      <c r="G148" s="247"/>
      <c r="H148" s="247"/>
      <c r="I148" s="247"/>
      <c r="J148" s="81">
        <f ca="1">SUMPRODUCT((Work_Codes!$N$200:$Y$200=$E148)*(Work_Codes!$N$203:$Y$210)*(J$131:J$138))</f>
        <v>0</v>
      </c>
      <c r="K148" s="81">
        <f ca="1">SUMPRODUCT((Work_Codes!$N$200:$Y$200=$E148)*(Work_Codes!$N$203:$Y$210)*(K$131:K$138))</f>
        <v>0</v>
      </c>
      <c r="L148" s="81">
        <f ca="1">SUMPRODUCT((Work_Codes!$N$200:$Y$200=$E148)*(Work_Codes!$N$203:$Y$210)*(L$131:L$138))</f>
        <v>0</v>
      </c>
      <c r="M148" s="81">
        <f ca="1">SUMPRODUCT((Work_Codes!$N$200:$Y$200=$E148)*(Work_Codes!$N$203:$Y$210)*(M$131:M$138))</f>
        <v>0</v>
      </c>
      <c r="N148" s="81">
        <f ca="1">SUMPRODUCT((Work_Codes!$N$200:$Y$200=$E148)*(Work_Codes!$N$203:$Y$210)*(N$131:N$138))</f>
        <v>0</v>
      </c>
      <c r="O148" s="81">
        <f ca="1">SUMPRODUCT((Work_Codes!$N$200:$Y$200=$E148)*(Work_Codes!$N$203:$Y$210)*(O$131:O$138))</f>
        <v>0</v>
      </c>
      <c r="P148" s="81">
        <f ca="1">SUMPRODUCT((Work_Codes!$N$200:$Y$200=$E148)*(Work_Codes!$N$203:$Y$210)*(P$131:P$138))</f>
        <v>0</v>
      </c>
      <c r="Q148" s="81">
        <f ca="1">SUMPRODUCT((Work_Codes!$N$200:$Y$200=$E148)*(Work_Codes!$N$203:$Y$210)*(Q$131:Q$138))</f>
        <v>0</v>
      </c>
      <c r="R148" s="81">
        <f ca="1">SUMPRODUCT((Work_Codes!$N$200:$Y$200=$E148)*(Work_Codes!$N$203:$Y$210)*(R$131:R$138))</f>
        <v>0</v>
      </c>
      <c r="S148" s="81">
        <f ca="1">SUMPRODUCT((Work_Codes!$N$200:$Y$200=$E148)*(Work_Codes!$N$203:$Y$210)*(S$131:S$138))</f>
        <v>0</v>
      </c>
      <c r="T148" s="81">
        <f ca="1">SUMPRODUCT((Work_Codes!$N$200:$Y$200=$E148)*(Work_Codes!$N$203:$Y$210)*(T$131:T$138))</f>
        <v>0</v>
      </c>
    </row>
    <row r="149" spans="4:20" ht="11.5" customHeight="1" outlineLevel="2">
      <c r="E149" s="247" t="str">
        <f>GC!C42</f>
        <v>Service pipes</v>
      </c>
      <c r="F149" s="247"/>
      <c r="G149" s="247"/>
      <c r="H149" s="247"/>
      <c r="I149" s="247"/>
      <c r="J149" s="81">
        <f ca="1">SUMPRODUCT((Work_Codes!$N$200:$Y$200=$E149)*(Work_Codes!$N$203:$Y$210)*(J$131:J$138))</f>
        <v>0</v>
      </c>
      <c r="K149" s="81">
        <f ca="1">SUMPRODUCT((Work_Codes!$N$200:$Y$200=$E149)*(Work_Codes!$N$203:$Y$210)*(K$131:K$138))</f>
        <v>0</v>
      </c>
      <c r="L149" s="81">
        <f ca="1">SUMPRODUCT((Work_Codes!$N$200:$Y$200=$E149)*(Work_Codes!$N$203:$Y$210)*(L$131:L$138))</f>
        <v>0</v>
      </c>
      <c r="M149" s="81">
        <f ca="1">SUMPRODUCT((Work_Codes!$N$200:$Y$200=$E149)*(Work_Codes!$N$203:$Y$210)*(M$131:M$138))</f>
        <v>0</v>
      </c>
      <c r="N149" s="81">
        <f ca="1">SUMPRODUCT((Work_Codes!$N$200:$Y$200=$E149)*(Work_Codes!$N$203:$Y$210)*(N$131:N$138))</f>
        <v>0</v>
      </c>
      <c r="O149" s="81">
        <f ca="1">SUMPRODUCT((Work_Codes!$N$200:$Y$200=$E149)*(Work_Codes!$N$203:$Y$210)*(O$131:O$138))</f>
        <v>0</v>
      </c>
      <c r="P149" s="81">
        <f ca="1">SUMPRODUCT((Work_Codes!$N$200:$Y$200=$E149)*(Work_Codes!$N$203:$Y$210)*(P$131:P$138))</f>
        <v>0</v>
      </c>
      <c r="Q149" s="81">
        <f ca="1">SUMPRODUCT((Work_Codes!$N$200:$Y$200=$E149)*(Work_Codes!$N$203:$Y$210)*(Q$131:Q$138))</f>
        <v>0</v>
      </c>
      <c r="R149" s="81">
        <f ca="1">SUMPRODUCT((Work_Codes!$N$200:$Y$200=$E149)*(Work_Codes!$N$203:$Y$210)*(R$131:R$138))</f>
        <v>0</v>
      </c>
      <c r="S149" s="81">
        <f ca="1">SUMPRODUCT((Work_Codes!$N$200:$Y$200=$E149)*(Work_Codes!$N$203:$Y$210)*(S$131:S$138))</f>
        <v>0</v>
      </c>
      <c r="T149" s="81">
        <f ca="1">SUMPRODUCT((Work_Codes!$N$200:$Y$200=$E149)*(Work_Codes!$N$203:$Y$210)*(T$131:T$138))</f>
        <v>0</v>
      </c>
    </row>
    <row r="150" spans="4:20" ht="11.5" customHeight="1" outlineLevel="2">
      <c r="E150" s="247" t="str">
        <f>GC!C43</f>
        <v>Cathodic protection</v>
      </c>
      <c r="F150" s="247"/>
      <c r="G150" s="247"/>
      <c r="H150" s="247"/>
      <c r="I150" s="247"/>
      <c r="J150" s="81">
        <f ca="1">SUMPRODUCT((Work_Codes!$N$200:$Y$200=$E150)*(Work_Codes!$N$203:$Y$210)*(J$131:J$138))</f>
        <v>0</v>
      </c>
      <c r="K150" s="81">
        <f ca="1">SUMPRODUCT((Work_Codes!$N$200:$Y$200=$E150)*(Work_Codes!$N$203:$Y$210)*(K$131:K$138))</f>
        <v>0</v>
      </c>
      <c r="L150" s="81">
        <f ca="1">SUMPRODUCT((Work_Codes!$N$200:$Y$200=$E150)*(Work_Codes!$N$203:$Y$210)*(L$131:L$138))</f>
        <v>0</v>
      </c>
      <c r="M150" s="81">
        <f ca="1">SUMPRODUCT((Work_Codes!$N$200:$Y$200=$E150)*(Work_Codes!$N$203:$Y$210)*(M$131:M$138))</f>
        <v>0</v>
      </c>
      <c r="N150" s="81">
        <f ca="1">SUMPRODUCT((Work_Codes!$N$200:$Y$200=$E150)*(Work_Codes!$N$203:$Y$210)*(N$131:N$138))</f>
        <v>0</v>
      </c>
      <c r="O150" s="81">
        <f ca="1">SUMPRODUCT((Work_Codes!$N$200:$Y$200=$E150)*(Work_Codes!$N$203:$Y$210)*(O$131:O$138))</f>
        <v>0</v>
      </c>
      <c r="P150" s="81">
        <f ca="1">SUMPRODUCT((Work_Codes!$N$200:$Y$200=$E150)*(Work_Codes!$N$203:$Y$210)*(P$131:P$138))</f>
        <v>0</v>
      </c>
      <c r="Q150" s="81">
        <f ca="1">SUMPRODUCT((Work_Codes!$N$200:$Y$200=$E150)*(Work_Codes!$N$203:$Y$210)*(Q$131:Q$138))</f>
        <v>0</v>
      </c>
      <c r="R150" s="81">
        <f ca="1">SUMPRODUCT((Work_Codes!$N$200:$Y$200=$E150)*(Work_Codes!$N$203:$Y$210)*(R$131:R$138))</f>
        <v>0</v>
      </c>
      <c r="S150" s="81">
        <f ca="1">SUMPRODUCT((Work_Codes!$N$200:$Y$200=$E150)*(Work_Codes!$N$203:$Y$210)*(S$131:S$138))</f>
        <v>0</v>
      </c>
      <c r="T150" s="81">
        <f ca="1">SUMPRODUCT((Work_Codes!$N$200:$Y$200=$E150)*(Work_Codes!$N$203:$Y$210)*(T$131:T$138))</f>
        <v>0</v>
      </c>
    </row>
    <row r="151" spans="4:20" ht="11.5" customHeight="1" outlineLevel="2">
      <c r="E151" s="247" t="str">
        <f>GC!C44</f>
        <v>Supply Regulators / Valve Stations</v>
      </c>
      <c r="F151" s="247"/>
      <c r="G151" s="247"/>
      <c r="H151" s="247"/>
      <c r="I151" s="247"/>
      <c r="J151" s="81">
        <f ca="1">SUMPRODUCT((Work_Codes!$N$200:$Y$200=$E151)*(Work_Codes!$N$203:$Y$210)*(J$131:J$138))</f>
        <v>0</v>
      </c>
      <c r="K151" s="81">
        <f ca="1">SUMPRODUCT((Work_Codes!$N$200:$Y$200=$E151)*(Work_Codes!$N$203:$Y$210)*(K$131:K$138))</f>
        <v>0</v>
      </c>
      <c r="L151" s="81">
        <f ca="1">SUMPRODUCT((Work_Codes!$N$200:$Y$200=$E151)*(Work_Codes!$N$203:$Y$210)*(L$131:L$138))</f>
        <v>0</v>
      </c>
      <c r="M151" s="81">
        <f ca="1">SUMPRODUCT((Work_Codes!$N$200:$Y$200=$E151)*(Work_Codes!$N$203:$Y$210)*(M$131:M$138))</f>
        <v>0</v>
      </c>
      <c r="N151" s="81">
        <f ca="1">SUMPRODUCT((Work_Codes!$N$200:$Y$200=$E151)*(Work_Codes!$N$203:$Y$210)*(N$131:N$138))</f>
        <v>503129.99272855395</v>
      </c>
      <c r="O151" s="81">
        <f ca="1">SUMPRODUCT((Work_Codes!$N$200:$Y$200=$E151)*(Work_Codes!$N$203:$Y$210)*(O$131:O$138))</f>
        <v>540056.11597457912</v>
      </c>
      <c r="P151" s="81">
        <f ca="1">SUMPRODUCT((Work_Codes!$N$200:$Y$200=$E151)*(Work_Codes!$N$203:$Y$210)*(P$131:P$138))</f>
        <v>2170443.9895577012</v>
      </c>
      <c r="Q151" s="81">
        <f ca="1">SUMPRODUCT((Work_Codes!$N$200:$Y$200=$E151)*(Work_Codes!$N$203:$Y$210)*(Q$131:Q$138))</f>
        <v>1760637.3765145189</v>
      </c>
      <c r="R151" s="81">
        <f ca="1">SUMPRODUCT((Work_Codes!$N$200:$Y$200=$E151)*(Work_Codes!$N$203:$Y$210)*(R$131:R$138))</f>
        <v>1510885.3150734035</v>
      </c>
      <c r="S151" s="81">
        <f ca="1">SUMPRODUCT((Work_Codes!$N$200:$Y$200=$E151)*(Work_Codes!$N$203:$Y$210)*(S$131:S$138))</f>
        <v>1621316.9378600011</v>
      </c>
      <c r="T151" s="81">
        <f ca="1">SUMPRODUCT((Work_Codes!$N$200:$Y$200=$E151)*(Work_Codes!$N$203:$Y$210)*(T$131:T$138))</f>
        <v>1901979.8809530465</v>
      </c>
    </row>
    <row r="152" spans="4:20" ht="11.5" customHeight="1" outlineLevel="2">
      <c r="E152" s="247" t="str">
        <f>GC!C45</f>
        <v>Meters</v>
      </c>
      <c r="F152" s="247"/>
      <c r="G152" s="247"/>
      <c r="H152" s="247"/>
      <c r="I152" s="247"/>
      <c r="J152" s="81">
        <f ca="1">SUMPRODUCT((Work_Codes!$N$200:$Y$200=$E152)*(Work_Codes!$N$203:$Y$210)*(J$131:J$138))</f>
        <v>0</v>
      </c>
      <c r="K152" s="81">
        <f ca="1">SUMPRODUCT((Work_Codes!$N$200:$Y$200=$E152)*(Work_Codes!$N$203:$Y$210)*(K$131:K$138))</f>
        <v>0</v>
      </c>
      <c r="L152" s="81">
        <f ca="1">SUMPRODUCT((Work_Codes!$N$200:$Y$200=$E152)*(Work_Codes!$N$203:$Y$210)*(L$131:L$138))</f>
        <v>0</v>
      </c>
      <c r="M152" s="81">
        <f ca="1">SUMPRODUCT((Work_Codes!$N$200:$Y$200=$E152)*(Work_Codes!$N$203:$Y$210)*(M$131:M$138))</f>
        <v>0</v>
      </c>
      <c r="N152" s="81">
        <f ca="1">SUMPRODUCT((Work_Codes!$N$200:$Y$200=$E152)*(Work_Codes!$N$203:$Y$210)*(N$131:N$138))</f>
        <v>0</v>
      </c>
      <c r="O152" s="81">
        <f ca="1">SUMPRODUCT((Work_Codes!$N$200:$Y$200=$E152)*(Work_Codes!$N$203:$Y$210)*(O$131:O$138))</f>
        <v>0</v>
      </c>
      <c r="P152" s="81">
        <f ca="1">SUMPRODUCT((Work_Codes!$N$200:$Y$200=$E152)*(Work_Codes!$N$203:$Y$210)*(P$131:P$138))</f>
        <v>0</v>
      </c>
      <c r="Q152" s="81">
        <f ca="1">SUMPRODUCT((Work_Codes!$N$200:$Y$200=$E152)*(Work_Codes!$N$203:$Y$210)*(Q$131:Q$138))</f>
        <v>0</v>
      </c>
      <c r="R152" s="81">
        <f ca="1">SUMPRODUCT((Work_Codes!$N$200:$Y$200=$E152)*(Work_Codes!$N$203:$Y$210)*(R$131:R$138))</f>
        <v>0</v>
      </c>
      <c r="S152" s="81">
        <f ca="1">SUMPRODUCT((Work_Codes!$N$200:$Y$200=$E152)*(Work_Codes!$N$203:$Y$210)*(S$131:S$138))</f>
        <v>0</v>
      </c>
      <c r="T152" s="81">
        <f ca="1">SUMPRODUCT((Work_Codes!$N$200:$Y$200=$E152)*(Work_Codes!$N$203:$Y$210)*(T$131:T$138))</f>
        <v>0</v>
      </c>
    </row>
    <row r="153" spans="4:20" ht="11.5" customHeight="1" outlineLevel="2">
      <c r="E153" s="247" t="str">
        <f>GC!C46</f>
        <v>SCADA and remote control</v>
      </c>
      <c r="F153" s="247"/>
      <c r="G153" s="247"/>
      <c r="H153" s="247"/>
      <c r="I153" s="247"/>
      <c r="J153" s="81">
        <f ca="1">SUMPRODUCT((Work_Codes!$N$200:$Y$200=$E153)*(Work_Codes!$N$203:$Y$210)*(J$131:J$138))</f>
        <v>0</v>
      </c>
      <c r="K153" s="81">
        <f ca="1">SUMPRODUCT((Work_Codes!$N$200:$Y$200=$E153)*(Work_Codes!$N$203:$Y$210)*(K$131:K$138))</f>
        <v>0</v>
      </c>
      <c r="L153" s="81">
        <f ca="1">SUMPRODUCT((Work_Codes!$N$200:$Y$200=$E153)*(Work_Codes!$N$203:$Y$210)*(L$131:L$138))</f>
        <v>0</v>
      </c>
      <c r="M153" s="81">
        <f ca="1">SUMPRODUCT((Work_Codes!$N$200:$Y$200=$E153)*(Work_Codes!$N$203:$Y$210)*(M$131:M$138))</f>
        <v>0</v>
      </c>
      <c r="N153" s="81">
        <f ca="1">SUMPRODUCT((Work_Codes!$N$200:$Y$200=$E153)*(Work_Codes!$N$203:$Y$210)*(N$131:N$138))</f>
        <v>0</v>
      </c>
      <c r="O153" s="81">
        <f ca="1">SUMPRODUCT((Work_Codes!$N$200:$Y$200=$E153)*(Work_Codes!$N$203:$Y$210)*(O$131:O$138))</f>
        <v>0</v>
      </c>
      <c r="P153" s="81">
        <f ca="1">SUMPRODUCT((Work_Codes!$N$200:$Y$200=$E153)*(Work_Codes!$N$203:$Y$210)*(P$131:P$138))</f>
        <v>0</v>
      </c>
      <c r="Q153" s="81">
        <f ca="1">SUMPRODUCT((Work_Codes!$N$200:$Y$200=$E153)*(Work_Codes!$N$203:$Y$210)*(Q$131:Q$138))</f>
        <v>0</v>
      </c>
      <c r="R153" s="81">
        <f ca="1">SUMPRODUCT((Work_Codes!$N$200:$Y$200=$E153)*(Work_Codes!$N$203:$Y$210)*(R$131:R$138))</f>
        <v>0</v>
      </c>
      <c r="S153" s="81">
        <f ca="1">SUMPRODUCT((Work_Codes!$N$200:$Y$200=$E153)*(Work_Codes!$N$203:$Y$210)*(S$131:S$138))</f>
        <v>0</v>
      </c>
      <c r="T153" s="81">
        <f ca="1">SUMPRODUCT((Work_Codes!$N$200:$Y$200=$E153)*(Work_Codes!$N$203:$Y$210)*(T$131:T$138))</f>
        <v>0</v>
      </c>
    </row>
    <row r="154" spans="4:20" ht="11.5" customHeight="1" outlineLevel="2">
      <c r="E154" s="247" t="str">
        <f>GC!C47</f>
        <v>Buildings</v>
      </c>
      <c r="F154" s="247"/>
      <c r="G154" s="247"/>
      <c r="H154" s="247"/>
      <c r="I154" s="247"/>
      <c r="J154" s="81">
        <f ca="1">SUMPRODUCT((Work_Codes!$N$200:$Y$200=$E154)*(Work_Codes!$N$203:$Y$210)*(J$131:J$138))</f>
        <v>0</v>
      </c>
      <c r="K154" s="81">
        <f ca="1">SUMPRODUCT((Work_Codes!$N$200:$Y$200=$E154)*(Work_Codes!$N$203:$Y$210)*(K$131:K$138))</f>
        <v>0</v>
      </c>
      <c r="L154" s="81">
        <f ca="1">SUMPRODUCT((Work_Codes!$N$200:$Y$200=$E154)*(Work_Codes!$N$203:$Y$210)*(L$131:L$138))</f>
        <v>0</v>
      </c>
      <c r="M154" s="81">
        <f ca="1">SUMPRODUCT((Work_Codes!$N$200:$Y$200=$E154)*(Work_Codes!$N$203:$Y$210)*(M$131:M$138))</f>
        <v>0</v>
      </c>
      <c r="N154" s="81">
        <f ca="1">SUMPRODUCT((Work_Codes!$N$200:$Y$200=$E154)*(Work_Codes!$N$203:$Y$210)*(N$131:N$138))</f>
        <v>0</v>
      </c>
      <c r="O154" s="81">
        <f ca="1">SUMPRODUCT((Work_Codes!$N$200:$Y$200=$E154)*(Work_Codes!$N$203:$Y$210)*(O$131:O$138))</f>
        <v>0</v>
      </c>
      <c r="P154" s="81">
        <f ca="1">SUMPRODUCT((Work_Codes!$N$200:$Y$200=$E154)*(Work_Codes!$N$203:$Y$210)*(P$131:P$138))</f>
        <v>0</v>
      </c>
      <c r="Q154" s="81">
        <f ca="1">SUMPRODUCT((Work_Codes!$N$200:$Y$200=$E154)*(Work_Codes!$N$203:$Y$210)*(Q$131:Q$138))</f>
        <v>0</v>
      </c>
      <c r="R154" s="81">
        <f ca="1">SUMPRODUCT((Work_Codes!$N$200:$Y$200=$E154)*(Work_Codes!$N$203:$Y$210)*(R$131:R$138))</f>
        <v>0</v>
      </c>
      <c r="S154" s="81">
        <f ca="1">SUMPRODUCT((Work_Codes!$N$200:$Y$200=$E154)*(Work_Codes!$N$203:$Y$210)*(S$131:S$138))</f>
        <v>0</v>
      </c>
      <c r="T154" s="81">
        <f ca="1">SUMPRODUCT((Work_Codes!$N$200:$Y$200=$E154)*(Work_Codes!$N$203:$Y$210)*(T$131:T$138))</f>
        <v>0</v>
      </c>
    </row>
    <row r="155" spans="4:20" ht="11.5" customHeight="1" outlineLevel="2">
      <c r="E155" s="247" t="str">
        <f>GC!C48</f>
        <v>Other - IT</v>
      </c>
      <c r="F155" s="247"/>
      <c r="G155" s="247"/>
      <c r="H155" s="247"/>
      <c r="I155" s="247"/>
      <c r="J155" s="81">
        <f ca="1">SUMPRODUCT((Work_Codes!$N$200:$Y$200=$E155)*(Work_Codes!$N$203:$Y$210)*(J$131:J$138))</f>
        <v>0</v>
      </c>
      <c r="K155" s="81">
        <f ca="1">SUMPRODUCT((Work_Codes!$N$200:$Y$200=$E155)*(Work_Codes!$N$203:$Y$210)*(K$131:K$138))</f>
        <v>0</v>
      </c>
      <c r="L155" s="81">
        <f ca="1">SUMPRODUCT((Work_Codes!$N$200:$Y$200=$E155)*(Work_Codes!$N$203:$Y$210)*(L$131:L$138))</f>
        <v>0</v>
      </c>
      <c r="M155" s="81">
        <f ca="1">SUMPRODUCT((Work_Codes!$N$200:$Y$200=$E155)*(Work_Codes!$N$203:$Y$210)*(M$131:M$138))</f>
        <v>0</v>
      </c>
      <c r="N155" s="81">
        <f ca="1">SUMPRODUCT((Work_Codes!$N$200:$Y$200=$E155)*(Work_Codes!$N$203:$Y$210)*(N$131:N$138))</f>
        <v>0</v>
      </c>
      <c r="O155" s="81">
        <f ca="1">SUMPRODUCT((Work_Codes!$N$200:$Y$200=$E155)*(Work_Codes!$N$203:$Y$210)*(O$131:O$138))</f>
        <v>0</v>
      </c>
      <c r="P155" s="81">
        <f ca="1">SUMPRODUCT((Work_Codes!$N$200:$Y$200=$E155)*(Work_Codes!$N$203:$Y$210)*(P$131:P$138))</f>
        <v>0</v>
      </c>
      <c r="Q155" s="81">
        <f ca="1">SUMPRODUCT((Work_Codes!$N$200:$Y$200=$E155)*(Work_Codes!$N$203:$Y$210)*(Q$131:Q$138))</f>
        <v>0</v>
      </c>
      <c r="R155" s="81">
        <f ca="1">SUMPRODUCT((Work_Codes!$N$200:$Y$200=$E155)*(Work_Codes!$N$203:$Y$210)*(R$131:R$138))</f>
        <v>0</v>
      </c>
      <c r="S155" s="81">
        <f ca="1">SUMPRODUCT((Work_Codes!$N$200:$Y$200=$E155)*(Work_Codes!$N$203:$Y$210)*(S$131:S$138))</f>
        <v>0</v>
      </c>
      <c r="T155" s="81">
        <f ca="1">SUMPRODUCT((Work_Codes!$N$200:$Y$200=$E155)*(Work_Codes!$N$203:$Y$210)*(T$131:T$138))</f>
        <v>0</v>
      </c>
    </row>
    <row r="156" spans="4:20" ht="11.5" customHeight="1" outlineLevel="2">
      <c r="E156" s="247" t="str">
        <f>GC!C49</f>
        <v>Other - non IT</v>
      </c>
      <c r="F156" s="247"/>
      <c r="G156" s="247"/>
      <c r="H156" s="247"/>
      <c r="I156" s="247"/>
      <c r="J156" s="81">
        <f ca="1">SUMPRODUCT((Work_Codes!$N$200:$Y$200=$E156)*(Work_Codes!$N$203:$Y$210)*(J$131:J$138))</f>
        <v>0</v>
      </c>
      <c r="K156" s="81">
        <f ca="1">SUMPRODUCT((Work_Codes!$N$200:$Y$200=$E156)*(Work_Codes!$N$203:$Y$210)*(K$131:K$138))</f>
        <v>0</v>
      </c>
      <c r="L156" s="81">
        <f ca="1">SUMPRODUCT((Work_Codes!$N$200:$Y$200=$E156)*(Work_Codes!$N$203:$Y$210)*(L$131:L$138))</f>
        <v>0</v>
      </c>
      <c r="M156" s="81">
        <f ca="1">SUMPRODUCT((Work_Codes!$N$200:$Y$200=$E156)*(Work_Codes!$N$203:$Y$210)*(M$131:M$138))</f>
        <v>0</v>
      </c>
      <c r="N156" s="81">
        <f ca="1">SUMPRODUCT((Work_Codes!$N$200:$Y$200=$E156)*(Work_Codes!$N$203:$Y$210)*(N$131:N$138))</f>
        <v>0</v>
      </c>
      <c r="O156" s="81">
        <f ca="1">SUMPRODUCT((Work_Codes!$N$200:$Y$200=$E156)*(Work_Codes!$N$203:$Y$210)*(O$131:O$138))</f>
        <v>0</v>
      </c>
      <c r="P156" s="81">
        <f ca="1">SUMPRODUCT((Work_Codes!$N$200:$Y$200=$E156)*(Work_Codes!$N$203:$Y$210)*(P$131:P$138))</f>
        <v>0</v>
      </c>
      <c r="Q156" s="81">
        <f ca="1">SUMPRODUCT((Work_Codes!$N$200:$Y$200=$E156)*(Work_Codes!$N$203:$Y$210)*(Q$131:Q$138))</f>
        <v>0</v>
      </c>
      <c r="R156" s="81">
        <f ca="1">SUMPRODUCT((Work_Codes!$N$200:$Y$200=$E156)*(Work_Codes!$N$203:$Y$210)*(R$131:R$138))</f>
        <v>0</v>
      </c>
      <c r="S156" s="81">
        <f ca="1">SUMPRODUCT((Work_Codes!$N$200:$Y$200=$E156)*(Work_Codes!$N$203:$Y$210)*(S$131:S$138))</f>
        <v>0</v>
      </c>
      <c r="T156" s="81">
        <f ca="1">SUMPRODUCT((Work_Codes!$N$200:$Y$200=$E156)*(Work_Codes!$N$203:$Y$210)*(T$131:T$138))</f>
        <v>0</v>
      </c>
    </row>
    <row r="157" spans="4:20" ht="11.5" customHeight="1" outlineLevel="2">
      <c r="E157" s="247" t="str">
        <f>GC!C50</f>
        <v>Land</v>
      </c>
      <c r="F157" s="247"/>
      <c r="G157" s="247"/>
      <c r="H157" s="247"/>
      <c r="I157" s="247"/>
      <c r="J157" s="81">
        <f ca="1">SUMPRODUCT((Work_Codes!$N$200:$Y$200=$E157)*(Work_Codes!$N$203:$Y$210)*(J$131:J$138))</f>
        <v>0</v>
      </c>
      <c r="K157" s="81">
        <f ca="1">SUMPRODUCT((Work_Codes!$N$200:$Y$200=$E157)*(Work_Codes!$N$203:$Y$210)*(K$131:K$138))</f>
        <v>0</v>
      </c>
      <c r="L157" s="81">
        <f ca="1">SUMPRODUCT((Work_Codes!$N$200:$Y$200=$E157)*(Work_Codes!$N$203:$Y$210)*(L$131:L$138))</f>
        <v>0</v>
      </c>
      <c r="M157" s="81">
        <f ca="1">SUMPRODUCT((Work_Codes!$N$200:$Y$200=$E157)*(Work_Codes!$N$203:$Y$210)*(M$131:M$138))</f>
        <v>0</v>
      </c>
      <c r="N157" s="81">
        <f ca="1">SUMPRODUCT((Work_Codes!$N$200:$Y$200=$E157)*(Work_Codes!$N$203:$Y$210)*(N$131:N$138))</f>
        <v>0</v>
      </c>
      <c r="O157" s="81">
        <f ca="1">SUMPRODUCT((Work_Codes!$N$200:$Y$200=$E157)*(Work_Codes!$N$203:$Y$210)*(O$131:O$138))</f>
        <v>0</v>
      </c>
      <c r="P157" s="81">
        <f ca="1">SUMPRODUCT((Work_Codes!$N$200:$Y$200=$E157)*(Work_Codes!$N$203:$Y$210)*(P$131:P$138))</f>
        <v>0</v>
      </c>
      <c r="Q157" s="81">
        <f ca="1">SUMPRODUCT((Work_Codes!$N$200:$Y$200=$E157)*(Work_Codes!$N$203:$Y$210)*(Q$131:Q$138))</f>
        <v>0</v>
      </c>
      <c r="R157" s="81">
        <f ca="1">SUMPRODUCT((Work_Codes!$N$200:$Y$200=$E157)*(Work_Codes!$N$203:$Y$210)*(R$131:R$138))</f>
        <v>0</v>
      </c>
      <c r="S157" s="81">
        <f ca="1">SUMPRODUCT((Work_Codes!$N$200:$Y$200=$E157)*(Work_Codes!$N$203:$Y$210)*(S$131:S$138))</f>
        <v>0</v>
      </c>
      <c r="T157" s="81">
        <f ca="1">SUMPRODUCT((Work_Codes!$N$200:$Y$200=$E157)*(Work_Codes!$N$203:$Y$210)*(T$131:T$138))</f>
        <v>0</v>
      </c>
    </row>
    <row r="158" spans="4:20" outlineLevel="2">
      <c r="E158" s="247" t="str">
        <f>GC!C51</f>
        <v>Capitalised Leases</v>
      </c>
      <c r="F158" s="247"/>
      <c r="G158" s="247"/>
      <c r="H158" s="247"/>
      <c r="I158" s="247"/>
      <c r="J158" s="81">
        <f ca="1">SUMPRODUCT((Work_Codes!$N$200:$Y$200=$E158)*(Work_Codes!$N$203:$Y$210)*(J$131:J$138))</f>
        <v>0</v>
      </c>
      <c r="K158" s="81">
        <f ca="1">SUMPRODUCT((Work_Codes!$N$200:$Y$200=$E158)*(Work_Codes!$N$203:$Y$210)*(K$131:K$138))</f>
        <v>0</v>
      </c>
      <c r="L158" s="81">
        <f ca="1">SUMPRODUCT((Work_Codes!$N$200:$Y$200=$E158)*(Work_Codes!$N$203:$Y$210)*(L$131:L$138))</f>
        <v>0</v>
      </c>
      <c r="M158" s="81">
        <f ca="1">SUMPRODUCT((Work_Codes!$N$200:$Y$200=$E158)*(Work_Codes!$N$203:$Y$210)*(M$131:M$138))</f>
        <v>0</v>
      </c>
      <c r="N158" s="81">
        <f ca="1">SUMPRODUCT((Work_Codes!$N$200:$Y$200=$E158)*(Work_Codes!$N$203:$Y$210)*(N$131:N$138))</f>
        <v>0</v>
      </c>
      <c r="O158" s="81">
        <f ca="1">SUMPRODUCT((Work_Codes!$N$200:$Y$200=$E158)*(Work_Codes!$N$203:$Y$210)*(O$131:O$138))</f>
        <v>0</v>
      </c>
      <c r="P158" s="81">
        <f ca="1">SUMPRODUCT((Work_Codes!$N$200:$Y$200=$E158)*(Work_Codes!$N$203:$Y$210)*(P$131:P$138))</f>
        <v>0</v>
      </c>
      <c r="Q158" s="81">
        <f ca="1">SUMPRODUCT((Work_Codes!$N$200:$Y$200=$E158)*(Work_Codes!$N$203:$Y$210)*(Q$131:Q$138))</f>
        <v>0</v>
      </c>
      <c r="R158" s="81">
        <f ca="1">SUMPRODUCT((Work_Codes!$N$200:$Y$200=$E158)*(Work_Codes!$N$203:$Y$210)*(R$131:R$138))</f>
        <v>0</v>
      </c>
      <c r="S158" s="81">
        <f ca="1">SUMPRODUCT((Work_Codes!$N$200:$Y$200=$E158)*(Work_Codes!$N$203:$Y$210)*(S$131:S$138))</f>
        <v>0</v>
      </c>
      <c r="T158" s="81">
        <f ca="1">SUMPRODUCT((Work_Codes!$N$200:$Y$200=$E158)*(Work_Codes!$N$203:$Y$210)*(T$131:T$138))</f>
        <v>0</v>
      </c>
    </row>
    <row r="159" spans="4:20" outlineLevel="2">
      <c r="E159" s="247" t="str">
        <f>GC!C52</f>
        <v>Transmission pipelines - post 1998</v>
      </c>
      <c r="F159" s="247"/>
      <c r="G159" s="247"/>
      <c r="H159" s="247"/>
      <c r="I159" s="247"/>
      <c r="J159" s="81">
        <f ca="1">SUMPRODUCT((Work_Codes!$N$200:$Y$200=$E159)*(Work_Codes!$N$203:$Y$210)*(J$131:J$138))</f>
        <v>0</v>
      </c>
      <c r="K159" s="81">
        <f ca="1">SUMPRODUCT((Work_Codes!$N$200:$Y$200=$E159)*(Work_Codes!$N$203:$Y$210)*(K$131:K$138))</f>
        <v>0</v>
      </c>
      <c r="L159" s="81">
        <f ca="1">SUMPRODUCT((Work_Codes!$N$200:$Y$200=$E159)*(Work_Codes!$N$203:$Y$210)*(L$131:L$138))</f>
        <v>0</v>
      </c>
      <c r="M159" s="81">
        <f ca="1">SUMPRODUCT((Work_Codes!$N$200:$Y$200=$E159)*(Work_Codes!$N$203:$Y$210)*(M$131:M$138))</f>
        <v>0</v>
      </c>
      <c r="N159" s="81">
        <f ca="1">SUMPRODUCT((Work_Codes!$N$200:$Y$200=$E159)*(Work_Codes!$N$203:$Y$210)*(N$131:N$138))</f>
        <v>0</v>
      </c>
      <c r="O159" s="81">
        <f ca="1">SUMPRODUCT((Work_Codes!$N$200:$Y$200=$E159)*(Work_Codes!$N$203:$Y$210)*(O$131:O$138))</f>
        <v>0</v>
      </c>
      <c r="P159" s="81">
        <f ca="1">SUMPRODUCT((Work_Codes!$N$200:$Y$200=$E159)*(Work_Codes!$N$203:$Y$210)*(P$131:P$138))</f>
        <v>0</v>
      </c>
      <c r="Q159" s="81">
        <f ca="1">SUMPRODUCT((Work_Codes!$N$200:$Y$200=$E159)*(Work_Codes!$N$203:$Y$210)*(Q$131:Q$138))</f>
        <v>0</v>
      </c>
      <c r="R159" s="81">
        <f ca="1">SUMPRODUCT((Work_Codes!$N$200:$Y$200=$E159)*(Work_Codes!$N$203:$Y$210)*(R$131:R$138))</f>
        <v>0</v>
      </c>
      <c r="S159" s="81">
        <f ca="1">SUMPRODUCT((Work_Codes!$N$200:$Y$200=$E159)*(Work_Codes!$N$203:$Y$210)*(S$131:S$138))</f>
        <v>0</v>
      </c>
      <c r="T159" s="81">
        <f ca="1">SUMPRODUCT((Work_Codes!$N$200:$Y$200=$E159)*(Work_Codes!$N$203:$Y$210)*(T$131:T$138))</f>
        <v>0</v>
      </c>
    </row>
    <row r="160" spans="4:20" outlineLevel="2">
      <c r="E160" s="247" t="str">
        <f>GC!C53</f>
        <v>Distribution pipelines - post 1998</v>
      </c>
      <c r="F160" s="247"/>
      <c r="G160" s="247"/>
      <c r="H160" s="247"/>
      <c r="I160" s="247"/>
      <c r="J160" s="81">
        <f ca="1">SUMPRODUCT((Work_Codes!$N$200:$Y$200=$E160)*(Work_Codes!$N$203:$Y$210)*(J$131:J$138))</f>
        <v>0</v>
      </c>
      <c r="K160" s="81">
        <f ca="1">SUMPRODUCT((Work_Codes!$N$200:$Y$200=$E160)*(Work_Codes!$N$203:$Y$210)*(K$131:K$138))</f>
        <v>0</v>
      </c>
      <c r="L160" s="81">
        <f ca="1">SUMPRODUCT((Work_Codes!$N$200:$Y$200=$E160)*(Work_Codes!$N$203:$Y$210)*(L$131:L$138))</f>
        <v>0</v>
      </c>
      <c r="M160" s="81">
        <f ca="1">SUMPRODUCT((Work_Codes!$N$200:$Y$200=$E160)*(Work_Codes!$N$203:$Y$210)*(M$131:M$138))</f>
        <v>0</v>
      </c>
      <c r="N160" s="81">
        <f ca="1">SUMPRODUCT((Work_Codes!$N$200:$Y$200=$E160)*(Work_Codes!$N$203:$Y$210)*(N$131:N$138))</f>
        <v>0</v>
      </c>
      <c r="O160" s="81">
        <f ca="1">SUMPRODUCT((Work_Codes!$N$200:$Y$200=$E160)*(Work_Codes!$N$203:$Y$210)*(O$131:O$138))</f>
        <v>0</v>
      </c>
      <c r="P160" s="81">
        <f ca="1">SUMPRODUCT((Work_Codes!$N$200:$Y$200=$E160)*(Work_Codes!$N$203:$Y$210)*(P$131:P$138))</f>
        <v>0</v>
      </c>
      <c r="Q160" s="81">
        <f ca="1">SUMPRODUCT((Work_Codes!$N$200:$Y$200=$E160)*(Work_Codes!$N$203:$Y$210)*(Q$131:Q$138))</f>
        <v>0</v>
      </c>
      <c r="R160" s="81">
        <f ca="1">SUMPRODUCT((Work_Codes!$N$200:$Y$200=$E160)*(Work_Codes!$N$203:$Y$210)*(R$131:R$138))</f>
        <v>0</v>
      </c>
      <c r="S160" s="81">
        <f ca="1">SUMPRODUCT((Work_Codes!$N$200:$Y$200=$E160)*(Work_Codes!$N$203:$Y$210)*(S$131:S$138))</f>
        <v>0</v>
      </c>
      <c r="T160" s="81">
        <f ca="1">SUMPRODUCT((Work_Codes!$N$200:$Y$200=$E160)*(Work_Codes!$N$203:$Y$210)*(T$131:T$138))</f>
        <v>0</v>
      </c>
    </row>
    <row r="161" spans="4:20" outlineLevel="2">
      <c r="E161" s="247" t="str">
        <f>GC!C54</f>
        <v>Service pipes - post 1998</v>
      </c>
      <c r="F161" s="247"/>
      <c r="G161" s="247"/>
      <c r="H161" s="247"/>
      <c r="I161" s="247"/>
      <c r="J161" s="81">
        <f ca="1">SUMPRODUCT((Work_Codes!$N$200:$Y$200=$E161)*(Work_Codes!$N$203:$Y$210)*(J$131:J$138))</f>
        <v>0</v>
      </c>
      <c r="K161" s="81">
        <f ca="1">SUMPRODUCT((Work_Codes!$N$200:$Y$200=$E161)*(Work_Codes!$N$203:$Y$210)*(K$131:K$138))</f>
        <v>0</v>
      </c>
      <c r="L161" s="81">
        <f ca="1">SUMPRODUCT((Work_Codes!$N$200:$Y$200=$E161)*(Work_Codes!$N$203:$Y$210)*(L$131:L$138))</f>
        <v>0</v>
      </c>
      <c r="M161" s="81">
        <f ca="1">SUMPRODUCT((Work_Codes!$N$200:$Y$200=$E161)*(Work_Codes!$N$203:$Y$210)*(M$131:M$138))</f>
        <v>0</v>
      </c>
      <c r="N161" s="81">
        <f ca="1">SUMPRODUCT((Work_Codes!$N$200:$Y$200=$E161)*(Work_Codes!$N$203:$Y$210)*(N$131:N$138))</f>
        <v>0</v>
      </c>
      <c r="O161" s="81">
        <f ca="1">SUMPRODUCT((Work_Codes!$N$200:$Y$200=$E161)*(Work_Codes!$N$203:$Y$210)*(O$131:O$138))</f>
        <v>0</v>
      </c>
      <c r="P161" s="81">
        <f ca="1">SUMPRODUCT((Work_Codes!$N$200:$Y$200=$E161)*(Work_Codes!$N$203:$Y$210)*(P$131:P$138))</f>
        <v>0</v>
      </c>
      <c r="Q161" s="81">
        <f ca="1">SUMPRODUCT((Work_Codes!$N$200:$Y$200=$E161)*(Work_Codes!$N$203:$Y$210)*(Q$131:Q$138))</f>
        <v>0</v>
      </c>
      <c r="R161" s="81">
        <f ca="1">SUMPRODUCT((Work_Codes!$N$200:$Y$200=$E161)*(Work_Codes!$N$203:$Y$210)*(R$131:R$138))</f>
        <v>0</v>
      </c>
      <c r="S161" s="81">
        <f ca="1">SUMPRODUCT((Work_Codes!$N$200:$Y$200=$E161)*(Work_Codes!$N$203:$Y$210)*(S$131:S$138))</f>
        <v>0</v>
      </c>
      <c r="T161" s="81">
        <f ca="1">SUMPRODUCT((Work_Codes!$N$200:$Y$200=$E161)*(Work_Codes!$N$203:$Y$210)*(T$131:T$138))</f>
        <v>0</v>
      </c>
    </row>
    <row r="162" spans="4:20" outlineLevel="2">
      <c r="E162" s="247" t="str">
        <f>GC!C55</f>
        <v>Cathodic protection - post 1998</v>
      </c>
      <c r="F162" s="247"/>
      <c r="G162" s="247"/>
      <c r="H162" s="247"/>
      <c r="I162" s="247"/>
      <c r="J162" s="81">
        <f ca="1">SUMPRODUCT((Work_Codes!$N$200:$Y$200=$E162)*(Work_Codes!$N$203:$Y$210)*(J$131:J$138))</f>
        <v>0</v>
      </c>
      <c r="K162" s="81">
        <f ca="1">SUMPRODUCT((Work_Codes!$N$200:$Y$200=$E162)*(Work_Codes!$N$203:$Y$210)*(K$131:K$138))</f>
        <v>0</v>
      </c>
      <c r="L162" s="81">
        <f ca="1">SUMPRODUCT((Work_Codes!$N$200:$Y$200=$E162)*(Work_Codes!$N$203:$Y$210)*(L$131:L$138))</f>
        <v>0</v>
      </c>
      <c r="M162" s="81">
        <f ca="1">SUMPRODUCT((Work_Codes!$N$200:$Y$200=$E162)*(Work_Codes!$N$203:$Y$210)*(M$131:M$138))</f>
        <v>0</v>
      </c>
      <c r="N162" s="81">
        <f ca="1">SUMPRODUCT((Work_Codes!$N$200:$Y$200=$E162)*(Work_Codes!$N$203:$Y$210)*(N$131:N$138))</f>
        <v>0</v>
      </c>
      <c r="O162" s="81">
        <f ca="1">SUMPRODUCT((Work_Codes!$N$200:$Y$200=$E162)*(Work_Codes!$N$203:$Y$210)*(O$131:O$138))</f>
        <v>0</v>
      </c>
      <c r="P162" s="81">
        <f ca="1">SUMPRODUCT((Work_Codes!$N$200:$Y$200=$E162)*(Work_Codes!$N$203:$Y$210)*(P$131:P$138))</f>
        <v>0</v>
      </c>
      <c r="Q162" s="81">
        <f ca="1">SUMPRODUCT((Work_Codes!$N$200:$Y$200=$E162)*(Work_Codes!$N$203:$Y$210)*(Q$131:Q$138))</f>
        <v>0</v>
      </c>
      <c r="R162" s="81">
        <f ca="1">SUMPRODUCT((Work_Codes!$N$200:$Y$200=$E162)*(Work_Codes!$N$203:$Y$210)*(R$131:R$138))</f>
        <v>0</v>
      </c>
      <c r="S162" s="81">
        <f ca="1">SUMPRODUCT((Work_Codes!$N$200:$Y$200=$E162)*(Work_Codes!$N$203:$Y$210)*(S$131:S$138))</f>
        <v>0</v>
      </c>
      <c r="T162" s="81">
        <f ca="1">SUMPRODUCT((Work_Codes!$N$200:$Y$200=$E162)*(Work_Codes!$N$203:$Y$210)*(T$131:T$138))</f>
        <v>0</v>
      </c>
    </row>
    <row r="163" spans="4:20" ht="12" customHeight="1" outlineLevel="2">
      <c r="E163" s="249" t="str">
        <f>"Total "&amp;D145</f>
        <v>Total Direct Costs</v>
      </c>
      <c r="F163" s="249"/>
      <c r="G163" s="249"/>
      <c r="H163" s="249"/>
      <c r="I163" s="249"/>
      <c r="J163" s="82">
        <f t="shared" ref="J163:T163" ca="1" si="22">SUM(J147:J162)</f>
        <v>0</v>
      </c>
      <c r="K163" s="82">
        <f t="shared" ca="1" si="22"/>
        <v>0</v>
      </c>
      <c r="L163" s="82">
        <f t="shared" ca="1" si="22"/>
        <v>0</v>
      </c>
      <c r="M163" s="82">
        <f t="shared" ca="1" si="22"/>
        <v>0</v>
      </c>
      <c r="N163" s="82">
        <f t="shared" ca="1" si="22"/>
        <v>503129.99272855395</v>
      </c>
      <c r="O163" s="82">
        <f t="shared" ca="1" si="22"/>
        <v>540056.11597457912</v>
      </c>
      <c r="P163" s="82">
        <f t="shared" ca="1" si="22"/>
        <v>2170443.9895577012</v>
      </c>
      <c r="Q163" s="82">
        <f t="shared" ca="1" si="22"/>
        <v>1760637.3765145189</v>
      </c>
      <c r="R163" s="82">
        <f t="shared" ca="1" si="22"/>
        <v>1510885.3150734035</v>
      </c>
      <c r="S163" s="82">
        <f t="shared" ca="1" si="22"/>
        <v>1621316.9378600011</v>
      </c>
      <c r="T163" s="82">
        <f t="shared" ca="1" si="22"/>
        <v>1901979.8809530465</v>
      </c>
    </row>
    <row r="164" spans="4:20" outlineLevel="2"/>
    <row r="165" spans="4:20" outlineLevel="2">
      <c r="D165" s="37" t="s">
        <v>364</v>
      </c>
    </row>
    <row r="166" spans="4:20" ht="5.9" customHeight="1" outlineLevel="2"/>
    <row r="167" spans="4:20" outlineLevel="2">
      <c r="E167" s="247" t="str">
        <f>GC!C40</f>
        <v>Transmission pipelines</v>
      </c>
      <c r="F167" s="247"/>
      <c r="G167" s="247"/>
      <c r="H167" s="247"/>
      <c r="I167" s="247"/>
      <c r="J167" s="81">
        <f ca="1">J147*(INDEX(J$35:J$37,MATCH(Work_Codes!$I$197,$D$35:$D$37,0)))</f>
        <v>0</v>
      </c>
      <c r="K167" s="81">
        <f ca="1">K147*(INDEX(K$35:K$37,MATCH(Work_Codes!$I$197,$D$35:$D$37,0)))</f>
        <v>0</v>
      </c>
      <c r="L167" s="81">
        <f ca="1">L147*(INDEX(L$35:L$37,MATCH(Work_Codes!$I$197,$D$35:$D$37,0)))</f>
        <v>0</v>
      </c>
      <c r="M167" s="81">
        <f ca="1">M147*(INDEX(M$35:M$37,MATCH(Work_Codes!$I$197,$D$35:$D$37,0)))</f>
        <v>0</v>
      </c>
      <c r="N167" s="81">
        <f ca="1">N147*(INDEX(N$35:N$37,MATCH(Work_Codes!$I$197,$D$35:$D$37,0)))</f>
        <v>0</v>
      </c>
      <c r="O167" s="81">
        <f ca="1">O147*(INDEX(O$35:O$37,MATCH(Work_Codes!$I$197,$D$35:$D$37,0)))</f>
        <v>0</v>
      </c>
      <c r="P167" s="81">
        <f ca="1">P147*(INDEX(P$35:P$37,MATCH(Work_Codes!$I$197,$D$35:$D$37,0)))</f>
        <v>0</v>
      </c>
      <c r="Q167" s="81">
        <f ca="1">Q147*(INDEX(Q$35:Q$37,MATCH(Work_Codes!$I$197,$D$35:$D$37,0)))</f>
        <v>0</v>
      </c>
      <c r="R167" s="81">
        <f ca="1">R147*(INDEX(R$35:R$37,MATCH(Work_Codes!$I$197,$D$35:$D$37,0)))</f>
        <v>0</v>
      </c>
      <c r="S167" s="81">
        <f ca="1">S147*(INDEX(S$35:S$37,MATCH(Work_Codes!$I$197,$D$35:$D$37,0)))</f>
        <v>0</v>
      </c>
      <c r="T167" s="81">
        <f ca="1">T147*(INDEX(T$35:T$37,MATCH(Work_Codes!$I$197,$D$35:$D$37,0)))</f>
        <v>0</v>
      </c>
    </row>
    <row r="168" spans="4:20" outlineLevel="2">
      <c r="E168" s="247" t="str">
        <f>GC!C41</f>
        <v>Distribution pipelines</v>
      </c>
      <c r="F168" s="247"/>
      <c r="G168" s="247"/>
      <c r="H168" s="247"/>
      <c r="I168" s="247"/>
      <c r="J168" s="81">
        <f ca="1">J148*(INDEX(J$35:J$37,MATCH(Work_Codes!$I$197,$D$35:$D$37,0)))</f>
        <v>0</v>
      </c>
      <c r="K168" s="81">
        <f ca="1">K148*(INDEX(K$35:K$37,MATCH(Work_Codes!$I$197,$D$35:$D$37,0)))</f>
        <v>0</v>
      </c>
      <c r="L168" s="81">
        <f ca="1">L148*(INDEX(L$35:L$37,MATCH(Work_Codes!$I$197,$D$35:$D$37,0)))</f>
        <v>0</v>
      </c>
      <c r="M168" s="81">
        <f ca="1">M148*(INDEX(M$35:M$37,MATCH(Work_Codes!$I$197,$D$35:$D$37,0)))</f>
        <v>0</v>
      </c>
      <c r="N168" s="81">
        <f ca="1">N148*(INDEX(N$35:N$37,MATCH(Work_Codes!$I$197,$D$35:$D$37,0)))</f>
        <v>0</v>
      </c>
      <c r="O168" s="81">
        <f ca="1">O148*(INDEX(O$35:O$37,MATCH(Work_Codes!$I$197,$D$35:$D$37,0)))</f>
        <v>0</v>
      </c>
      <c r="P168" s="81">
        <f ca="1">P148*(INDEX(P$35:P$37,MATCH(Work_Codes!$I$197,$D$35:$D$37,0)))</f>
        <v>0</v>
      </c>
      <c r="Q168" s="81">
        <f ca="1">Q148*(INDEX(Q$35:Q$37,MATCH(Work_Codes!$I$197,$D$35:$D$37,0)))</f>
        <v>0</v>
      </c>
      <c r="R168" s="81">
        <f ca="1">R148*(INDEX(R$35:R$37,MATCH(Work_Codes!$I$197,$D$35:$D$37,0)))</f>
        <v>0</v>
      </c>
      <c r="S168" s="81">
        <f ca="1">S148*(INDEX(S$35:S$37,MATCH(Work_Codes!$I$197,$D$35:$D$37,0)))</f>
        <v>0</v>
      </c>
      <c r="T168" s="81">
        <f ca="1">T148*(INDEX(T$35:T$37,MATCH(Work_Codes!$I$197,$D$35:$D$37,0)))</f>
        <v>0</v>
      </c>
    </row>
    <row r="169" spans="4:20" outlineLevel="2">
      <c r="E169" s="247" t="str">
        <f>GC!C42</f>
        <v>Service pipes</v>
      </c>
      <c r="F169" s="247"/>
      <c r="G169" s="247"/>
      <c r="H169" s="247"/>
      <c r="I169" s="247"/>
      <c r="J169" s="81">
        <f ca="1">J149*(INDEX(J$35:J$37,MATCH(Work_Codes!$I$197,$D$35:$D$37,0)))</f>
        <v>0</v>
      </c>
      <c r="K169" s="81">
        <f ca="1">K149*(INDEX(K$35:K$37,MATCH(Work_Codes!$I$197,$D$35:$D$37,0)))</f>
        <v>0</v>
      </c>
      <c r="L169" s="81">
        <f ca="1">L149*(INDEX(L$35:L$37,MATCH(Work_Codes!$I$197,$D$35:$D$37,0)))</f>
        <v>0</v>
      </c>
      <c r="M169" s="81">
        <f ca="1">M149*(INDEX(M$35:M$37,MATCH(Work_Codes!$I$197,$D$35:$D$37,0)))</f>
        <v>0</v>
      </c>
      <c r="N169" s="81">
        <f ca="1">N149*(INDEX(N$35:N$37,MATCH(Work_Codes!$I$197,$D$35:$D$37,0)))</f>
        <v>0</v>
      </c>
      <c r="O169" s="81">
        <f ca="1">O149*(INDEX(O$35:O$37,MATCH(Work_Codes!$I$197,$D$35:$D$37,0)))</f>
        <v>0</v>
      </c>
      <c r="P169" s="81">
        <f ca="1">P149*(INDEX(P$35:P$37,MATCH(Work_Codes!$I$197,$D$35:$D$37,0)))</f>
        <v>0</v>
      </c>
      <c r="Q169" s="81">
        <f ca="1">Q149*(INDEX(Q$35:Q$37,MATCH(Work_Codes!$I$197,$D$35:$D$37,0)))</f>
        <v>0</v>
      </c>
      <c r="R169" s="81">
        <f ca="1">R149*(INDEX(R$35:R$37,MATCH(Work_Codes!$I$197,$D$35:$D$37,0)))</f>
        <v>0</v>
      </c>
      <c r="S169" s="81">
        <f ca="1">S149*(INDEX(S$35:S$37,MATCH(Work_Codes!$I$197,$D$35:$D$37,0)))</f>
        <v>0</v>
      </c>
      <c r="T169" s="81">
        <f ca="1">T149*(INDEX(T$35:T$37,MATCH(Work_Codes!$I$197,$D$35:$D$37,0)))</f>
        <v>0</v>
      </c>
    </row>
    <row r="170" spans="4:20" outlineLevel="2">
      <c r="E170" s="247" t="str">
        <f>GC!C43</f>
        <v>Cathodic protection</v>
      </c>
      <c r="F170" s="247"/>
      <c r="G170" s="247"/>
      <c r="H170" s="247"/>
      <c r="I170" s="247"/>
      <c r="J170" s="81">
        <f ca="1">J150*(INDEX(J$35:J$37,MATCH(Work_Codes!$I$197,$D$35:$D$37,0)))</f>
        <v>0</v>
      </c>
      <c r="K170" s="81">
        <f ca="1">K150*(INDEX(K$35:K$37,MATCH(Work_Codes!$I$197,$D$35:$D$37,0)))</f>
        <v>0</v>
      </c>
      <c r="L170" s="81">
        <f ca="1">L150*(INDEX(L$35:L$37,MATCH(Work_Codes!$I$197,$D$35:$D$37,0)))</f>
        <v>0</v>
      </c>
      <c r="M170" s="81">
        <f ca="1">M150*(INDEX(M$35:M$37,MATCH(Work_Codes!$I$197,$D$35:$D$37,0)))</f>
        <v>0</v>
      </c>
      <c r="N170" s="81">
        <f ca="1">N150*(INDEX(N$35:N$37,MATCH(Work_Codes!$I$197,$D$35:$D$37,0)))</f>
        <v>0</v>
      </c>
      <c r="O170" s="81">
        <f ca="1">O150*(INDEX(O$35:O$37,MATCH(Work_Codes!$I$197,$D$35:$D$37,0)))</f>
        <v>0</v>
      </c>
      <c r="P170" s="81">
        <f ca="1">P150*(INDEX(P$35:P$37,MATCH(Work_Codes!$I$197,$D$35:$D$37,0)))</f>
        <v>0</v>
      </c>
      <c r="Q170" s="81">
        <f ca="1">Q150*(INDEX(Q$35:Q$37,MATCH(Work_Codes!$I$197,$D$35:$D$37,0)))</f>
        <v>0</v>
      </c>
      <c r="R170" s="81">
        <f ca="1">R150*(INDEX(R$35:R$37,MATCH(Work_Codes!$I$197,$D$35:$D$37,0)))</f>
        <v>0</v>
      </c>
      <c r="S170" s="81">
        <f ca="1">S150*(INDEX(S$35:S$37,MATCH(Work_Codes!$I$197,$D$35:$D$37,0)))</f>
        <v>0</v>
      </c>
      <c r="T170" s="81">
        <f ca="1">T150*(INDEX(T$35:T$37,MATCH(Work_Codes!$I$197,$D$35:$D$37,0)))</f>
        <v>0</v>
      </c>
    </row>
    <row r="171" spans="4:20" outlineLevel="2">
      <c r="E171" s="247" t="str">
        <f>GC!C44</f>
        <v>Supply Regulators / Valve Stations</v>
      </c>
      <c r="F171" s="247"/>
      <c r="G171" s="247"/>
      <c r="H171" s="247"/>
      <c r="I171" s="247"/>
      <c r="J171" s="81">
        <f ca="1">J151*(INDEX(J$35:J$37,MATCH(Work_Codes!$I$197,$D$35:$D$37,0)))</f>
        <v>0</v>
      </c>
      <c r="K171" s="81">
        <f ca="1">K151*(INDEX(K$35:K$37,MATCH(Work_Codes!$I$197,$D$35:$D$37,0)))</f>
        <v>0</v>
      </c>
      <c r="L171" s="81">
        <f ca="1">L151*(INDEX(L$35:L$37,MATCH(Work_Codes!$I$197,$D$35:$D$37,0)))</f>
        <v>0</v>
      </c>
      <c r="M171" s="81">
        <f ca="1">M151*(INDEX(M$35:M$37,MATCH(Work_Codes!$I$197,$D$35:$D$37,0)))</f>
        <v>0</v>
      </c>
      <c r="N171" s="81">
        <f ca="1">N151*(INDEX(N$35:N$37,MATCH(Work_Codes!$I$197,$D$35:$D$37,0)))</f>
        <v>18973.538870363565</v>
      </c>
      <c r="O171" s="81">
        <f ca="1">O151*(INDEX(O$35:O$37,MATCH(Work_Codes!$I$197,$D$35:$D$37,0)))</f>
        <v>17975.211051903025</v>
      </c>
      <c r="P171" s="81">
        <f ca="1">P151*(INDEX(P$35:P$37,MATCH(Work_Codes!$I$197,$D$35:$D$37,0)))</f>
        <v>58065.151216085353</v>
      </c>
      <c r="Q171" s="81">
        <f ca="1">Q151*(INDEX(Q$35:Q$37,MATCH(Work_Codes!$I$197,$D$35:$D$37,0)))</f>
        <v>45883.244140559858</v>
      </c>
      <c r="R171" s="81">
        <f ca="1">R151*(INDEX(R$35:R$37,MATCH(Work_Codes!$I$197,$D$35:$D$37,0)))</f>
        <v>40602.030118525057</v>
      </c>
      <c r="S171" s="81">
        <f ca="1">S151*(INDEX(S$35:S$37,MATCH(Work_Codes!$I$197,$D$35:$D$37,0)))</f>
        <v>46282.403407317288</v>
      </c>
      <c r="T171" s="81">
        <f ca="1">T151*(INDEX(T$35:T$37,MATCH(Work_Codes!$I$197,$D$35:$D$37,0)))</f>
        <v>56907.957373917838</v>
      </c>
    </row>
    <row r="172" spans="4:20" outlineLevel="2">
      <c r="E172" s="247" t="str">
        <f>GC!C45</f>
        <v>Meters</v>
      </c>
      <c r="F172" s="247"/>
      <c r="G172" s="247"/>
      <c r="H172" s="247"/>
      <c r="I172" s="247"/>
      <c r="J172" s="81">
        <f ca="1">J152*(INDEX(J$35:J$37,MATCH(Work_Codes!$I$197,$D$35:$D$37,0)))</f>
        <v>0</v>
      </c>
      <c r="K172" s="81">
        <f ca="1">K152*(INDEX(K$35:K$37,MATCH(Work_Codes!$I$197,$D$35:$D$37,0)))</f>
        <v>0</v>
      </c>
      <c r="L172" s="81">
        <f ca="1">L152*(INDEX(L$35:L$37,MATCH(Work_Codes!$I$197,$D$35:$D$37,0)))</f>
        <v>0</v>
      </c>
      <c r="M172" s="81">
        <f ca="1">M152*(INDEX(M$35:M$37,MATCH(Work_Codes!$I$197,$D$35:$D$37,0)))</f>
        <v>0</v>
      </c>
      <c r="N172" s="81">
        <f ca="1">N152*(INDEX(N$35:N$37,MATCH(Work_Codes!$I$197,$D$35:$D$37,0)))</f>
        <v>0</v>
      </c>
      <c r="O172" s="81">
        <f ca="1">O152*(INDEX(O$35:O$37,MATCH(Work_Codes!$I$197,$D$35:$D$37,0)))</f>
        <v>0</v>
      </c>
      <c r="P172" s="81">
        <f ca="1">P152*(INDEX(P$35:P$37,MATCH(Work_Codes!$I$197,$D$35:$D$37,0)))</f>
        <v>0</v>
      </c>
      <c r="Q172" s="81">
        <f ca="1">Q152*(INDEX(Q$35:Q$37,MATCH(Work_Codes!$I$197,$D$35:$D$37,0)))</f>
        <v>0</v>
      </c>
      <c r="R172" s="81">
        <f ca="1">R152*(INDEX(R$35:R$37,MATCH(Work_Codes!$I$197,$D$35:$D$37,0)))</f>
        <v>0</v>
      </c>
      <c r="S172" s="81">
        <f ca="1">S152*(INDEX(S$35:S$37,MATCH(Work_Codes!$I$197,$D$35:$D$37,0)))</f>
        <v>0</v>
      </c>
      <c r="T172" s="81">
        <f ca="1">T152*(INDEX(T$35:T$37,MATCH(Work_Codes!$I$197,$D$35:$D$37,0)))</f>
        <v>0</v>
      </c>
    </row>
    <row r="173" spans="4:20" outlineLevel="2">
      <c r="E173" s="247" t="str">
        <f>GC!C46</f>
        <v>SCADA and remote control</v>
      </c>
      <c r="F173" s="247"/>
      <c r="G173" s="247"/>
      <c r="H173" s="247"/>
      <c r="I173" s="247"/>
      <c r="J173" s="81">
        <f ca="1">J153*(INDEX(J$35:J$37,MATCH(Work_Codes!$I$197,$D$35:$D$37,0)))</f>
        <v>0</v>
      </c>
      <c r="K173" s="81">
        <f ca="1">K153*(INDEX(K$35:K$37,MATCH(Work_Codes!$I$197,$D$35:$D$37,0)))</f>
        <v>0</v>
      </c>
      <c r="L173" s="81">
        <f ca="1">L153*(INDEX(L$35:L$37,MATCH(Work_Codes!$I$197,$D$35:$D$37,0)))</f>
        <v>0</v>
      </c>
      <c r="M173" s="81">
        <f ca="1">M153*(INDEX(M$35:M$37,MATCH(Work_Codes!$I$197,$D$35:$D$37,0)))</f>
        <v>0</v>
      </c>
      <c r="N173" s="81">
        <f ca="1">N153*(INDEX(N$35:N$37,MATCH(Work_Codes!$I$197,$D$35:$D$37,0)))</f>
        <v>0</v>
      </c>
      <c r="O173" s="81">
        <f ca="1">O153*(INDEX(O$35:O$37,MATCH(Work_Codes!$I$197,$D$35:$D$37,0)))</f>
        <v>0</v>
      </c>
      <c r="P173" s="81">
        <f ca="1">P153*(INDEX(P$35:P$37,MATCH(Work_Codes!$I$197,$D$35:$D$37,0)))</f>
        <v>0</v>
      </c>
      <c r="Q173" s="81">
        <f ca="1">Q153*(INDEX(Q$35:Q$37,MATCH(Work_Codes!$I$197,$D$35:$D$37,0)))</f>
        <v>0</v>
      </c>
      <c r="R173" s="81">
        <f ca="1">R153*(INDEX(R$35:R$37,MATCH(Work_Codes!$I$197,$D$35:$D$37,0)))</f>
        <v>0</v>
      </c>
      <c r="S173" s="81">
        <f ca="1">S153*(INDEX(S$35:S$37,MATCH(Work_Codes!$I$197,$D$35:$D$37,0)))</f>
        <v>0</v>
      </c>
      <c r="T173" s="81">
        <f ca="1">T153*(INDEX(T$35:T$37,MATCH(Work_Codes!$I$197,$D$35:$D$37,0)))</f>
        <v>0</v>
      </c>
    </row>
    <row r="174" spans="4:20" outlineLevel="2">
      <c r="E174" s="247" t="str">
        <f>GC!C47</f>
        <v>Buildings</v>
      </c>
      <c r="F174" s="247"/>
      <c r="G174" s="247"/>
      <c r="H174" s="247"/>
      <c r="I174" s="247"/>
      <c r="J174" s="81">
        <f ca="1">J154*(INDEX(J$35:J$37,MATCH(Work_Codes!$I$197,$D$35:$D$37,0)))</f>
        <v>0</v>
      </c>
      <c r="K174" s="81">
        <f ca="1">K154*(INDEX(K$35:K$37,MATCH(Work_Codes!$I$197,$D$35:$D$37,0)))</f>
        <v>0</v>
      </c>
      <c r="L174" s="81">
        <f ca="1">L154*(INDEX(L$35:L$37,MATCH(Work_Codes!$I$197,$D$35:$D$37,0)))</f>
        <v>0</v>
      </c>
      <c r="M174" s="81">
        <f ca="1">M154*(INDEX(M$35:M$37,MATCH(Work_Codes!$I$197,$D$35:$D$37,0)))</f>
        <v>0</v>
      </c>
      <c r="N174" s="81">
        <f ca="1">N154*(INDEX(N$35:N$37,MATCH(Work_Codes!$I$197,$D$35:$D$37,0)))</f>
        <v>0</v>
      </c>
      <c r="O174" s="81">
        <f ca="1">O154*(INDEX(O$35:O$37,MATCH(Work_Codes!$I$197,$D$35:$D$37,0)))</f>
        <v>0</v>
      </c>
      <c r="P174" s="81">
        <f ca="1">P154*(INDEX(P$35:P$37,MATCH(Work_Codes!$I$197,$D$35:$D$37,0)))</f>
        <v>0</v>
      </c>
      <c r="Q174" s="81">
        <f ca="1">Q154*(INDEX(Q$35:Q$37,MATCH(Work_Codes!$I$197,$D$35:$D$37,0)))</f>
        <v>0</v>
      </c>
      <c r="R174" s="81">
        <f ca="1">R154*(INDEX(R$35:R$37,MATCH(Work_Codes!$I$197,$D$35:$D$37,0)))</f>
        <v>0</v>
      </c>
      <c r="S174" s="81">
        <f ca="1">S154*(INDEX(S$35:S$37,MATCH(Work_Codes!$I$197,$D$35:$D$37,0)))</f>
        <v>0</v>
      </c>
      <c r="T174" s="81">
        <f ca="1">T154*(INDEX(T$35:T$37,MATCH(Work_Codes!$I$197,$D$35:$D$37,0)))</f>
        <v>0</v>
      </c>
    </row>
    <row r="175" spans="4:20" outlineLevel="2">
      <c r="E175" s="247" t="str">
        <f>GC!C48</f>
        <v>Other - IT</v>
      </c>
      <c r="F175" s="247"/>
      <c r="G175" s="247"/>
      <c r="H175" s="247"/>
      <c r="I175" s="247"/>
      <c r="J175" s="81">
        <f ca="1">J155*(INDEX(J$35:J$37,MATCH(Work_Codes!$I$197,$D$35:$D$37,0)))</f>
        <v>0</v>
      </c>
      <c r="K175" s="81">
        <f ca="1">K155*(INDEX(K$35:K$37,MATCH(Work_Codes!$I$197,$D$35:$D$37,0)))</f>
        <v>0</v>
      </c>
      <c r="L175" s="81">
        <f ca="1">L155*(INDEX(L$35:L$37,MATCH(Work_Codes!$I$197,$D$35:$D$37,0)))</f>
        <v>0</v>
      </c>
      <c r="M175" s="81">
        <f ca="1">M155*(INDEX(M$35:M$37,MATCH(Work_Codes!$I$197,$D$35:$D$37,0)))</f>
        <v>0</v>
      </c>
      <c r="N175" s="81">
        <f ca="1">N155*(INDEX(N$35:N$37,MATCH(Work_Codes!$I$197,$D$35:$D$37,0)))</f>
        <v>0</v>
      </c>
      <c r="O175" s="81">
        <f ca="1">O155*(INDEX(O$35:O$37,MATCH(Work_Codes!$I$197,$D$35:$D$37,0)))</f>
        <v>0</v>
      </c>
      <c r="P175" s="81">
        <f ca="1">P155*(INDEX(P$35:P$37,MATCH(Work_Codes!$I$197,$D$35:$D$37,0)))</f>
        <v>0</v>
      </c>
      <c r="Q175" s="81">
        <f ca="1">Q155*(INDEX(Q$35:Q$37,MATCH(Work_Codes!$I$197,$D$35:$D$37,0)))</f>
        <v>0</v>
      </c>
      <c r="R175" s="81">
        <f ca="1">R155*(INDEX(R$35:R$37,MATCH(Work_Codes!$I$197,$D$35:$D$37,0)))</f>
        <v>0</v>
      </c>
      <c r="S175" s="81">
        <f ca="1">S155*(INDEX(S$35:S$37,MATCH(Work_Codes!$I$197,$D$35:$D$37,0)))</f>
        <v>0</v>
      </c>
      <c r="T175" s="81">
        <f ca="1">T155*(INDEX(T$35:T$37,MATCH(Work_Codes!$I$197,$D$35:$D$37,0)))</f>
        <v>0</v>
      </c>
    </row>
    <row r="176" spans="4:20" outlineLevel="2">
      <c r="E176" s="247" t="str">
        <f>GC!C49</f>
        <v>Other - non IT</v>
      </c>
      <c r="F176" s="247"/>
      <c r="G176" s="247"/>
      <c r="H176" s="247"/>
      <c r="I176" s="247"/>
      <c r="J176" s="81">
        <f ca="1">J156*(INDEX(J$35:J$37,MATCH(Work_Codes!$I$197,$D$35:$D$37,0)))</f>
        <v>0</v>
      </c>
      <c r="K176" s="81">
        <f ca="1">K156*(INDEX(K$35:K$37,MATCH(Work_Codes!$I$197,$D$35:$D$37,0)))</f>
        <v>0</v>
      </c>
      <c r="L176" s="81">
        <f ca="1">L156*(INDEX(L$35:L$37,MATCH(Work_Codes!$I$197,$D$35:$D$37,0)))</f>
        <v>0</v>
      </c>
      <c r="M176" s="81">
        <f ca="1">M156*(INDEX(M$35:M$37,MATCH(Work_Codes!$I$197,$D$35:$D$37,0)))</f>
        <v>0</v>
      </c>
      <c r="N176" s="81">
        <f ca="1">N156*(INDEX(N$35:N$37,MATCH(Work_Codes!$I$197,$D$35:$D$37,0)))</f>
        <v>0</v>
      </c>
      <c r="O176" s="81">
        <f ca="1">O156*(INDEX(O$35:O$37,MATCH(Work_Codes!$I$197,$D$35:$D$37,0)))</f>
        <v>0</v>
      </c>
      <c r="P176" s="81">
        <f ca="1">P156*(INDEX(P$35:P$37,MATCH(Work_Codes!$I$197,$D$35:$D$37,0)))</f>
        <v>0</v>
      </c>
      <c r="Q176" s="81">
        <f ca="1">Q156*(INDEX(Q$35:Q$37,MATCH(Work_Codes!$I$197,$D$35:$D$37,0)))</f>
        <v>0</v>
      </c>
      <c r="R176" s="81">
        <f ca="1">R156*(INDEX(R$35:R$37,MATCH(Work_Codes!$I$197,$D$35:$D$37,0)))</f>
        <v>0</v>
      </c>
      <c r="S176" s="81">
        <f ca="1">S156*(INDEX(S$35:S$37,MATCH(Work_Codes!$I$197,$D$35:$D$37,0)))</f>
        <v>0</v>
      </c>
      <c r="T176" s="81">
        <f ca="1">T156*(INDEX(T$35:T$37,MATCH(Work_Codes!$I$197,$D$35:$D$37,0)))</f>
        <v>0</v>
      </c>
    </row>
    <row r="177" spans="4:20" outlineLevel="2">
      <c r="E177" s="247" t="str">
        <f>GC!C50</f>
        <v>Land</v>
      </c>
      <c r="F177" s="247"/>
      <c r="G177" s="247"/>
      <c r="H177" s="247"/>
      <c r="I177" s="247"/>
      <c r="J177" s="81">
        <f ca="1">J157*(INDEX(J$35:J$37,MATCH(Work_Codes!$I$197,$D$35:$D$37,0)))</f>
        <v>0</v>
      </c>
      <c r="K177" s="81">
        <f ca="1">K157*(INDEX(K$35:K$37,MATCH(Work_Codes!$I$197,$D$35:$D$37,0)))</f>
        <v>0</v>
      </c>
      <c r="L177" s="81">
        <f ca="1">L157*(INDEX(L$35:L$37,MATCH(Work_Codes!$I$197,$D$35:$D$37,0)))</f>
        <v>0</v>
      </c>
      <c r="M177" s="81">
        <f ca="1">M157*(INDEX(M$35:M$37,MATCH(Work_Codes!$I$197,$D$35:$D$37,0)))</f>
        <v>0</v>
      </c>
      <c r="N177" s="81">
        <f ca="1">N157*(INDEX(N$35:N$37,MATCH(Work_Codes!$I$197,$D$35:$D$37,0)))</f>
        <v>0</v>
      </c>
      <c r="O177" s="81">
        <f ca="1">O157*(INDEX(O$35:O$37,MATCH(Work_Codes!$I$197,$D$35:$D$37,0)))</f>
        <v>0</v>
      </c>
      <c r="P177" s="81">
        <f ca="1">P157*(INDEX(P$35:P$37,MATCH(Work_Codes!$I$197,$D$35:$D$37,0)))</f>
        <v>0</v>
      </c>
      <c r="Q177" s="81">
        <f ca="1">Q157*(INDEX(Q$35:Q$37,MATCH(Work_Codes!$I$197,$D$35:$D$37,0)))</f>
        <v>0</v>
      </c>
      <c r="R177" s="81">
        <f ca="1">R157*(INDEX(R$35:R$37,MATCH(Work_Codes!$I$197,$D$35:$D$37,0)))</f>
        <v>0</v>
      </c>
      <c r="S177" s="81">
        <f ca="1">S157*(INDEX(S$35:S$37,MATCH(Work_Codes!$I$197,$D$35:$D$37,0)))</f>
        <v>0</v>
      </c>
      <c r="T177" s="81">
        <f ca="1">T157*(INDEX(T$35:T$37,MATCH(Work_Codes!$I$197,$D$35:$D$37,0)))</f>
        <v>0</v>
      </c>
    </row>
    <row r="178" spans="4:20" outlineLevel="2">
      <c r="E178" s="247" t="str">
        <f>GC!C51</f>
        <v>Capitalised Leases</v>
      </c>
      <c r="F178" s="247"/>
      <c r="G178" s="247"/>
      <c r="H178" s="247"/>
      <c r="I178" s="247"/>
      <c r="J178" s="81">
        <f ca="1">J158*(INDEX(J$35:J$37,MATCH(Work_Codes!$I$197,$D$35:$D$37,0)))</f>
        <v>0</v>
      </c>
      <c r="K178" s="81">
        <f ca="1">K158*(INDEX(K$35:K$37,MATCH(Work_Codes!$I$197,$D$35:$D$37,0)))</f>
        <v>0</v>
      </c>
      <c r="L178" s="81">
        <f ca="1">L158*(INDEX(L$35:L$37,MATCH(Work_Codes!$I$197,$D$35:$D$37,0)))</f>
        <v>0</v>
      </c>
      <c r="M178" s="81">
        <f ca="1">M158*(INDEX(M$35:M$37,MATCH(Work_Codes!$I$197,$D$35:$D$37,0)))</f>
        <v>0</v>
      </c>
      <c r="N178" s="81">
        <f ca="1">N158*(INDEX(N$35:N$37,MATCH(Work_Codes!$I$197,$D$35:$D$37,0)))</f>
        <v>0</v>
      </c>
      <c r="O178" s="81">
        <f ca="1">O158*(INDEX(O$35:O$37,MATCH(Work_Codes!$I$197,$D$35:$D$37,0)))</f>
        <v>0</v>
      </c>
      <c r="P178" s="81">
        <f ca="1">P158*(INDEX(P$35:P$37,MATCH(Work_Codes!$I$197,$D$35:$D$37,0)))</f>
        <v>0</v>
      </c>
      <c r="Q178" s="81">
        <f ca="1">Q158*(INDEX(Q$35:Q$37,MATCH(Work_Codes!$I$197,$D$35:$D$37,0)))</f>
        <v>0</v>
      </c>
      <c r="R178" s="81">
        <f ca="1">R158*(INDEX(R$35:R$37,MATCH(Work_Codes!$I$197,$D$35:$D$37,0)))</f>
        <v>0</v>
      </c>
      <c r="S178" s="81">
        <f ca="1">S158*(INDEX(S$35:S$37,MATCH(Work_Codes!$I$197,$D$35:$D$37,0)))</f>
        <v>0</v>
      </c>
      <c r="T178" s="81">
        <f ca="1">T158*(INDEX(T$35:T$37,MATCH(Work_Codes!$I$197,$D$35:$D$37,0)))</f>
        <v>0</v>
      </c>
    </row>
    <row r="179" spans="4:20" outlineLevel="2">
      <c r="E179" s="247" t="str">
        <f>GC!C52</f>
        <v>Transmission pipelines - post 1998</v>
      </c>
      <c r="F179" s="247"/>
      <c r="G179" s="247"/>
      <c r="H179" s="247"/>
      <c r="I179" s="247"/>
      <c r="J179" s="81">
        <f ca="1">J159*(INDEX(J$35:J$37,MATCH(Work_Codes!$I$197,$D$35:$D$37,0)))</f>
        <v>0</v>
      </c>
      <c r="K179" s="81">
        <f ca="1">K159*(INDEX(K$35:K$37,MATCH(Work_Codes!$I$197,$D$35:$D$37,0)))</f>
        <v>0</v>
      </c>
      <c r="L179" s="81">
        <f ca="1">L159*(INDEX(L$35:L$37,MATCH(Work_Codes!$I$197,$D$35:$D$37,0)))</f>
        <v>0</v>
      </c>
      <c r="M179" s="81">
        <f ca="1">M159*(INDEX(M$35:M$37,MATCH(Work_Codes!$I$197,$D$35:$D$37,0)))</f>
        <v>0</v>
      </c>
      <c r="N179" s="81">
        <f ca="1">N159*(INDEX(N$35:N$37,MATCH(Work_Codes!$I$197,$D$35:$D$37,0)))</f>
        <v>0</v>
      </c>
      <c r="O179" s="81">
        <f ca="1">O159*(INDEX(O$35:O$37,MATCH(Work_Codes!$I$197,$D$35:$D$37,0)))</f>
        <v>0</v>
      </c>
      <c r="P179" s="81">
        <f ca="1">P159*(INDEX(P$35:P$37,MATCH(Work_Codes!$I$197,$D$35:$D$37,0)))</f>
        <v>0</v>
      </c>
      <c r="Q179" s="81">
        <f ca="1">Q159*(INDEX(Q$35:Q$37,MATCH(Work_Codes!$I$197,$D$35:$D$37,0)))</f>
        <v>0</v>
      </c>
      <c r="R179" s="81">
        <f ca="1">R159*(INDEX(R$35:R$37,MATCH(Work_Codes!$I$197,$D$35:$D$37,0)))</f>
        <v>0</v>
      </c>
      <c r="S179" s="81">
        <f ca="1">S159*(INDEX(S$35:S$37,MATCH(Work_Codes!$I$197,$D$35:$D$37,0)))</f>
        <v>0</v>
      </c>
      <c r="T179" s="81">
        <f ca="1">T159*(INDEX(T$35:T$37,MATCH(Work_Codes!$I$197,$D$35:$D$37,0)))</f>
        <v>0</v>
      </c>
    </row>
    <row r="180" spans="4:20" outlineLevel="2">
      <c r="E180" s="247" t="str">
        <f>GC!C53</f>
        <v>Distribution pipelines - post 1998</v>
      </c>
      <c r="F180" s="247"/>
      <c r="G180" s="247"/>
      <c r="H180" s="247"/>
      <c r="I180" s="247"/>
      <c r="J180" s="81">
        <f ca="1">J160*(INDEX(J$35:J$37,MATCH(Work_Codes!$I$197,$D$35:$D$37,0)))</f>
        <v>0</v>
      </c>
      <c r="K180" s="81">
        <f ca="1">K160*(INDEX(K$35:K$37,MATCH(Work_Codes!$I$197,$D$35:$D$37,0)))</f>
        <v>0</v>
      </c>
      <c r="L180" s="81">
        <f ca="1">L160*(INDEX(L$35:L$37,MATCH(Work_Codes!$I$197,$D$35:$D$37,0)))</f>
        <v>0</v>
      </c>
      <c r="M180" s="81">
        <f ca="1">M160*(INDEX(M$35:M$37,MATCH(Work_Codes!$I$197,$D$35:$D$37,0)))</f>
        <v>0</v>
      </c>
      <c r="N180" s="81">
        <f ca="1">N160*(INDEX(N$35:N$37,MATCH(Work_Codes!$I$197,$D$35:$D$37,0)))</f>
        <v>0</v>
      </c>
      <c r="O180" s="81">
        <f ca="1">O160*(INDEX(O$35:O$37,MATCH(Work_Codes!$I$197,$D$35:$D$37,0)))</f>
        <v>0</v>
      </c>
      <c r="P180" s="81">
        <f ca="1">P160*(INDEX(P$35:P$37,MATCH(Work_Codes!$I$197,$D$35:$D$37,0)))</f>
        <v>0</v>
      </c>
      <c r="Q180" s="81">
        <f ca="1">Q160*(INDEX(Q$35:Q$37,MATCH(Work_Codes!$I$197,$D$35:$D$37,0)))</f>
        <v>0</v>
      </c>
      <c r="R180" s="81">
        <f ca="1">R160*(INDEX(R$35:R$37,MATCH(Work_Codes!$I$197,$D$35:$D$37,0)))</f>
        <v>0</v>
      </c>
      <c r="S180" s="81">
        <f ca="1">S160*(INDEX(S$35:S$37,MATCH(Work_Codes!$I$197,$D$35:$D$37,0)))</f>
        <v>0</v>
      </c>
      <c r="T180" s="81">
        <f ca="1">T160*(INDEX(T$35:T$37,MATCH(Work_Codes!$I$197,$D$35:$D$37,0)))</f>
        <v>0</v>
      </c>
    </row>
    <row r="181" spans="4:20" outlineLevel="2">
      <c r="E181" s="247" t="str">
        <f>GC!C54</f>
        <v>Service pipes - post 1998</v>
      </c>
      <c r="F181" s="247"/>
      <c r="G181" s="247"/>
      <c r="H181" s="247"/>
      <c r="I181" s="247"/>
      <c r="J181" s="81">
        <f ca="1">J161*(INDEX(J$35:J$37,MATCH(Work_Codes!$I$197,$D$35:$D$37,0)))</f>
        <v>0</v>
      </c>
      <c r="K181" s="81">
        <f ca="1">K161*(INDEX(K$35:K$37,MATCH(Work_Codes!$I$197,$D$35:$D$37,0)))</f>
        <v>0</v>
      </c>
      <c r="L181" s="81">
        <f ca="1">L161*(INDEX(L$35:L$37,MATCH(Work_Codes!$I$197,$D$35:$D$37,0)))</f>
        <v>0</v>
      </c>
      <c r="M181" s="81">
        <f ca="1">M161*(INDEX(M$35:M$37,MATCH(Work_Codes!$I$197,$D$35:$D$37,0)))</f>
        <v>0</v>
      </c>
      <c r="N181" s="81">
        <f ca="1">N161*(INDEX(N$35:N$37,MATCH(Work_Codes!$I$197,$D$35:$D$37,0)))</f>
        <v>0</v>
      </c>
      <c r="O181" s="81">
        <f ca="1">O161*(INDEX(O$35:O$37,MATCH(Work_Codes!$I$197,$D$35:$D$37,0)))</f>
        <v>0</v>
      </c>
      <c r="P181" s="81">
        <f ca="1">P161*(INDEX(P$35:P$37,MATCH(Work_Codes!$I$197,$D$35:$D$37,0)))</f>
        <v>0</v>
      </c>
      <c r="Q181" s="81">
        <f ca="1">Q161*(INDEX(Q$35:Q$37,MATCH(Work_Codes!$I$197,$D$35:$D$37,0)))</f>
        <v>0</v>
      </c>
      <c r="R181" s="81">
        <f ca="1">R161*(INDEX(R$35:R$37,MATCH(Work_Codes!$I$197,$D$35:$D$37,0)))</f>
        <v>0</v>
      </c>
      <c r="S181" s="81">
        <f ca="1">S161*(INDEX(S$35:S$37,MATCH(Work_Codes!$I$197,$D$35:$D$37,0)))</f>
        <v>0</v>
      </c>
      <c r="T181" s="81">
        <f ca="1">T161*(INDEX(T$35:T$37,MATCH(Work_Codes!$I$197,$D$35:$D$37,0)))</f>
        <v>0</v>
      </c>
    </row>
    <row r="182" spans="4:20" outlineLevel="2">
      <c r="E182" s="247" t="str">
        <f>GC!C55</f>
        <v>Cathodic protection - post 1998</v>
      </c>
      <c r="F182" s="247"/>
      <c r="G182" s="247"/>
      <c r="H182" s="247"/>
      <c r="I182" s="247"/>
      <c r="J182" s="81">
        <f ca="1">J162*(INDEX(J$35:J$37,MATCH(Work_Codes!$I$197,$D$35:$D$37,0)))</f>
        <v>0</v>
      </c>
      <c r="K182" s="81">
        <f ca="1">K162*(INDEX(K$35:K$37,MATCH(Work_Codes!$I$197,$D$35:$D$37,0)))</f>
        <v>0</v>
      </c>
      <c r="L182" s="81">
        <f ca="1">L162*(INDEX(L$35:L$37,MATCH(Work_Codes!$I$197,$D$35:$D$37,0)))</f>
        <v>0</v>
      </c>
      <c r="M182" s="81">
        <f ca="1">M162*(INDEX(M$35:M$37,MATCH(Work_Codes!$I$197,$D$35:$D$37,0)))</f>
        <v>0</v>
      </c>
      <c r="N182" s="81">
        <f ca="1">N162*(INDEX(N$35:N$37,MATCH(Work_Codes!$I$197,$D$35:$D$37,0)))</f>
        <v>0</v>
      </c>
      <c r="O182" s="81">
        <f ca="1">O162*(INDEX(O$35:O$37,MATCH(Work_Codes!$I$197,$D$35:$D$37,0)))</f>
        <v>0</v>
      </c>
      <c r="P182" s="81">
        <f ca="1">P162*(INDEX(P$35:P$37,MATCH(Work_Codes!$I$197,$D$35:$D$37,0)))</f>
        <v>0</v>
      </c>
      <c r="Q182" s="81">
        <f ca="1">Q162*(INDEX(Q$35:Q$37,MATCH(Work_Codes!$I$197,$D$35:$D$37,0)))</f>
        <v>0</v>
      </c>
      <c r="R182" s="81">
        <f ca="1">R162*(INDEX(R$35:R$37,MATCH(Work_Codes!$I$197,$D$35:$D$37,0)))</f>
        <v>0</v>
      </c>
      <c r="S182" s="81">
        <f ca="1">S162*(INDEX(S$35:S$37,MATCH(Work_Codes!$I$197,$D$35:$D$37,0)))</f>
        <v>0</v>
      </c>
      <c r="T182" s="81">
        <f ca="1">T162*(INDEX(T$35:T$37,MATCH(Work_Codes!$I$197,$D$35:$D$37,0)))</f>
        <v>0</v>
      </c>
    </row>
    <row r="183" spans="4:20" outlineLevel="2">
      <c r="E183" s="249" t="str">
        <f>"Total "&amp;D165</f>
        <v>Total Overheads</v>
      </c>
      <c r="F183" s="249"/>
      <c r="G183" s="249"/>
      <c r="H183" s="249"/>
      <c r="I183" s="249"/>
      <c r="J183" s="82">
        <f t="shared" ref="J183:T183" ca="1" si="23">SUM(J167:J182)</f>
        <v>0</v>
      </c>
      <c r="K183" s="82">
        <f t="shared" ca="1" si="23"/>
        <v>0</v>
      </c>
      <c r="L183" s="82">
        <f t="shared" ca="1" si="23"/>
        <v>0</v>
      </c>
      <c r="M183" s="82">
        <f t="shared" ca="1" si="23"/>
        <v>0</v>
      </c>
      <c r="N183" s="82">
        <f t="shared" ca="1" si="23"/>
        <v>18973.538870363565</v>
      </c>
      <c r="O183" s="82">
        <f t="shared" ca="1" si="23"/>
        <v>17975.211051903025</v>
      </c>
      <c r="P183" s="82">
        <f t="shared" ca="1" si="23"/>
        <v>58065.151216085353</v>
      </c>
      <c r="Q183" s="82">
        <f t="shared" ca="1" si="23"/>
        <v>45883.244140559858</v>
      </c>
      <c r="R183" s="82">
        <f t="shared" ca="1" si="23"/>
        <v>40602.030118525057</v>
      </c>
      <c r="S183" s="82">
        <f t="shared" ca="1" si="23"/>
        <v>46282.403407317288</v>
      </c>
      <c r="T183" s="82">
        <f t="shared" ca="1" si="23"/>
        <v>56907.957373917838</v>
      </c>
    </row>
    <row r="184" spans="4:20" outlineLevel="2"/>
    <row r="185" spans="4:20" outlineLevel="2">
      <c r="D185" s="37" t="s">
        <v>216</v>
      </c>
    </row>
    <row r="186" spans="4:20" ht="5.9" customHeight="1" outlineLevel="2"/>
    <row r="187" spans="4:20" ht="11.5" customHeight="1" outlineLevel="2">
      <c r="E187" s="247" t="str">
        <f>GC!C40</f>
        <v>Transmission pipelines</v>
      </c>
      <c r="F187" s="247"/>
      <c r="G187" s="247"/>
      <c r="H187" s="247"/>
      <c r="I187" s="247"/>
      <c r="J187" s="81">
        <f ca="1">J147*(1+INDEX(J$35:J$37,MATCH(Work_Codes!$I$197,$D$35:$D$37,0)))</f>
        <v>0</v>
      </c>
      <c r="K187" s="81">
        <f ca="1">K147*(1+INDEX(K$35:K$37,MATCH(Work_Codes!$I$197,$D$35:$D$37,0)))</f>
        <v>0</v>
      </c>
      <c r="L187" s="81">
        <f ca="1">L147*(1+INDEX(L$35:L$37,MATCH(Work_Codes!$I$197,$D$35:$D$37,0)))</f>
        <v>0</v>
      </c>
      <c r="M187" s="81">
        <f ca="1">M147*(1+INDEX(M$35:M$37,MATCH(Work_Codes!$I$197,$D$35:$D$37,0)))</f>
        <v>0</v>
      </c>
      <c r="N187" s="81">
        <f ca="1">N147*(1+INDEX(N$35:N$37,MATCH(Work_Codes!$I$197,$D$35:$D$37,0)))</f>
        <v>0</v>
      </c>
      <c r="O187" s="81">
        <f ca="1">O147*(1+INDEX(O$35:O$37,MATCH(Work_Codes!$I$197,$D$35:$D$37,0)))</f>
        <v>0</v>
      </c>
      <c r="P187" s="81">
        <f ca="1">P147*(1+INDEX(P$35:P$37,MATCH(Work_Codes!$I$197,$D$35:$D$37,0)))</f>
        <v>0</v>
      </c>
      <c r="Q187" s="81">
        <f ca="1">Q147*(1+INDEX(Q$35:Q$37,MATCH(Work_Codes!$I$197,$D$35:$D$37,0)))</f>
        <v>0</v>
      </c>
      <c r="R187" s="81">
        <f ca="1">R147*(1+INDEX(R$35:R$37,MATCH(Work_Codes!$I$197,$D$35:$D$37,0)))</f>
        <v>0</v>
      </c>
      <c r="S187" s="81">
        <f ca="1">S147*(1+INDEX(S$35:S$37,MATCH(Work_Codes!$I$197,$D$35:$D$37,0)))</f>
        <v>0</v>
      </c>
      <c r="T187" s="81">
        <f ca="1">T147*(1+INDEX(T$35:T$37,MATCH(Work_Codes!$I$197,$D$35:$D$37,0)))</f>
        <v>0</v>
      </c>
    </row>
    <row r="188" spans="4:20" ht="11.5" customHeight="1" outlineLevel="2">
      <c r="E188" s="247" t="str">
        <f>GC!C41</f>
        <v>Distribution pipelines</v>
      </c>
      <c r="F188" s="247"/>
      <c r="G188" s="247"/>
      <c r="H188" s="247"/>
      <c r="I188" s="247"/>
      <c r="J188" s="81">
        <f ca="1">J148*(1+INDEX(J$35:J$37,MATCH(Work_Codes!$I$197,$D$35:$D$37,0)))</f>
        <v>0</v>
      </c>
      <c r="K188" s="81">
        <f ca="1">K148*(1+INDEX(K$35:K$37,MATCH(Work_Codes!$I$197,$D$35:$D$37,0)))</f>
        <v>0</v>
      </c>
      <c r="L188" s="81">
        <f ca="1">L148*(1+INDEX(L$35:L$37,MATCH(Work_Codes!$I$197,$D$35:$D$37,0)))</f>
        <v>0</v>
      </c>
      <c r="M188" s="81">
        <f ca="1">M148*(1+INDEX(M$35:M$37,MATCH(Work_Codes!$I$197,$D$35:$D$37,0)))</f>
        <v>0</v>
      </c>
      <c r="N188" s="81">
        <f ca="1">N148*(1+INDEX(N$35:N$37,MATCH(Work_Codes!$I$197,$D$35:$D$37,0)))</f>
        <v>0</v>
      </c>
      <c r="O188" s="81">
        <f ca="1">O148*(1+INDEX(O$35:O$37,MATCH(Work_Codes!$I$197,$D$35:$D$37,0)))</f>
        <v>0</v>
      </c>
      <c r="P188" s="81">
        <f ca="1">P148*(1+INDEX(P$35:P$37,MATCH(Work_Codes!$I$197,$D$35:$D$37,0)))</f>
        <v>0</v>
      </c>
      <c r="Q188" s="81">
        <f ca="1">Q148*(1+INDEX(Q$35:Q$37,MATCH(Work_Codes!$I$197,$D$35:$D$37,0)))</f>
        <v>0</v>
      </c>
      <c r="R188" s="81">
        <f ca="1">R148*(1+INDEX(R$35:R$37,MATCH(Work_Codes!$I$197,$D$35:$D$37,0)))</f>
        <v>0</v>
      </c>
      <c r="S188" s="81">
        <f ca="1">S148*(1+INDEX(S$35:S$37,MATCH(Work_Codes!$I$197,$D$35:$D$37,0)))</f>
        <v>0</v>
      </c>
      <c r="T188" s="81">
        <f ca="1">T148*(1+INDEX(T$35:T$37,MATCH(Work_Codes!$I$197,$D$35:$D$37,0)))</f>
        <v>0</v>
      </c>
    </row>
    <row r="189" spans="4:20" ht="11.5" customHeight="1" outlineLevel="2">
      <c r="E189" s="247" t="str">
        <f>GC!C42</f>
        <v>Service pipes</v>
      </c>
      <c r="F189" s="247"/>
      <c r="G189" s="247"/>
      <c r="H189" s="247"/>
      <c r="I189" s="247"/>
      <c r="J189" s="81">
        <f ca="1">J149*(1+INDEX(J$35:J$37,MATCH(Work_Codes!$I$197,$D$35:$D$37,0)))</f>
        <v>0</v>
      </c>
      <c r="K189" s="81">
        <f ca="1">K149*(1+INDEX(K$35:K$37,MATCH(Work_Codes!$I$197,$D$35:$D$37,0)))</f>
        <v>0</v>
      </c>
      <c r="L189" s="81">
        <f ca="1">L149*(1+INDEX(L$35:L$37,MATCH(Work_Codes!$I$197,$D$35:$D$37,0)))</f>
        <v>0</v>
      </c>
      <c r="M189" s="81">
        <f ca="1">M149*(1+INDEX(M$35:M$37,MATCH(Work_Codes!$I$197,$D$35:$D$37,0)))</f>
        <v>0</v>
      </c>
      <c r="N189" s="81">
        <f ca="1">N149*(1+INDEX(N$35:N$37,MATCH(Work_Codes!$I$197,$D$35:$D$37,0)))</f>
        <v>0</v>
      </c>
      <c r="O189" s="81">
        <f ca="1">O149*(1+INDEX(O$35:O$37,MATCH(Work_Codes!$I$197,$D$35:$D$37,0)))</f>
        <v>0</v>
      </c>
      <c r="P189" s="81">
        <f ca="1">P149*(1+INDEX(P$35:P$37,MATCH(Work_Codes!$I$197,$D$35:$D$37,0)))</f>
        <v>0</v>
      </c>
      <c r="Q189" s="81">
        <f ca="1">Q149*(1+INDEX(Q$35:Q$37,MATCH(Work_Codes!$I$197,$D$35:$D$37,0)))</f>
        <v>0</v>
      </c>
      <c r="R189" s="81">
        <f ca="1">R149*(1+INDEX(R$35:R$37,MATCH(Work_Codes!$I$197,$D$35:$D$37,0)))</f>
        <v>0</v>
      </c>
      <c r="S189" s="81">
        <f ca="1">S149*(1+INDEX(S$35:S$37,MATCH(Work_Codes!$I$197,$D$35:$D$37,0)))</f>
        <v>0</v>
      </c>
      <c r="T189" s="81">
        <f ca="1">T149*(1+INDEX(T$35:T$37,MATCH(Work_Codes!$I$197,$D$35:$D$37,0)))</f>
        <v>0</v>
      </c>
    </row>
    <row r="190" spans="4:20" ht="11.5" customHeight="1" outlineLevel="2">
      <c r="E190" s="247" t="str">
        <f>GC!C43</f>
        <v>Cathodic protection</v>
      </c>
      <c r="F190" s="247"/>
      <c r="G190" s="247"/>
      <c r="H190" s="247"/>
      <c r="I190" s="247"/>
      <c r="J190" s="81">
        <f ca="1">J150*(1+INDEX(J$35:J$37,MATCH(Work_Codes!$I$197,$D$35:$D$37,0)))</f>
        <v>0</v>
      </c>
      <c r="K190" s="81">
        <f ca="1">K150*(1+INDEX(K$35:K$37,MATCH(Work_Codes!$I$197,$D$35:$D$37,0)))</f>
        <v>0</v>
      </c>
      <c r="L190" s="81">
        <f ca="1">L150*(1+INDEX(L$35:L$37,MATCH(Work_Codes!$I$197,$D$35:$D$37,0)))</f>
        <v>0</v>
      </c>
      <c r="M190" s="81">
        <f ca="1">M150*(1+INDEX(M$35:M$37,MATCH(Work_Codes!$I$197,$D$35:$D$37,0)))</f>
        <v>0</v>
      </c>
      <c r="N190" s="81">
        <f ca="1">N150*(1+INDEX(N$35:N$37,MATCH(Work_Codes!$I$197,$D$35:$D$37,0)))</f>
        <v>0</v>
      </c>
      <c r="O190" s="81">
        <f ca="1">O150*(1+INDEX(O$35:O$37,MATCH(Work_Codes!$I$197,$D$35:$D$37,0)))</f>
        <v>0</v>
      </c>
      <c r="P190" s="81">
        <f ca="1">P150*(1+INDEX(P$35:P$37,MATCH(Work_Codes!$I$197,$D$35:$D$37,0)))</f>
        <v>0</v>
      </c>
      <c r="Q190" s="81">
        <f ca="1">Q150*(1+INDEX(Q$35:Q$37,MATCH(Work_Codes!$I$197,$D$35:$D$37,0)))</f>
        <v>0</v>
      </c>
      <c r="R190" s="81">
        <f ca="1">R150*(1+INDEX(R$35:R$37,MATCH(Work_Codes!$I$197,$D$35:$D$37,0)))</f>
        <v>0</v>
      </c>
      <c r="S190" s="81">
        <f ca="1">S150*(1+INDEX(S$35:S$37,MATCH(Work_Codes!$I$197,$D$35:$D$37,0)))</f>
        <v>0</v>
      </c>
      <c r="T190" s="81">
        <f ca="1">T150*(1+INDEX(T$35:T$37,MATCH(Work_Codes!$I$197,$D$35:$D$37,0)))</f>
        <v>0</v>
      </c>
    </row>
    <row r="191" spans="4:20" ht="11.5" customHeight="1" outlineLevel="2">
      <c r="E191" s="247" t="str">
        <f>GC!C44</f>
        <v>Supply Regulators / Valve Stations</v>
      </c>
      <c r="F191" s="247"/>
      <c r="G191" s="247"/>
      <c r="H191" s="247"/>
      <c r="I191" s="247"/>
      <c r="J191" s="81">
        <f ca="1">J151*(1+INDEX(J$35:J$37,MATCH(Work_Codes!$I$197,$D$35:$D$37,0)))</f>
        <v>0</v>
      </c>
      <c r="K191" s="81">
        <f ca="1">K151*(1+INDEX(K$35:K$37,MATCH(Work_Codes!$I$197,$D$35:$D$37,0)))</f>
        <v>0</v>
      </c>
      <c r="L191" s="81">
        <f ca="1">L151*(1+INDEX(L$35:L$37,MATCH(Work_Codes!$I$197,$D$35:$D$37,0)))</f>
        <v>0</v>
      </c>
      <c r="M191" s="81">
        <f ca="1">M151*(1+INDEX(M$35:M$37,MATCH(Work_Codes!$I$197,$D$35:$D$37,0)))</f>
        <v>0</v>
      </c>
      <c r="N191" s="81">
        <f ca="1">N151*(1+INDEX(N$35:N$37,MATCH(Work_Codes!$I$197,$D$35:$D$37,0)))</f>
        <v>522103.5315989175</v>
      </c>
      <c r="O191" s="81">
        <f ca="1">O151*(1+INDEX(O$35:O$37,MATCH(Work_Codes!$I$197,$D$35:$D$37,0)))</f>
        <v>558031.32702648221</v>
      </c>
      <c r="P191" s="81">
        <f ca="1">P151*(1+INDEX(P$35:P$37,MATCH(Work_Codes!$I$197,$D$35:$D$37,0)))</f>
        <v>2228509.1407737862</v>
      </c>
      <c r="Q191" s="81">
        <f ca="1">Q151*(1+INDEX(Q$35:Q$37,MATCH(Work_Codes!$I$197,$D$35:$D$37,0)))</f>
        <v>1806520.6206550789</v>
      </c>
      <c r="R191" s="81">
        <f ca="1">R151*(1+INDEX(R$35:R$37,MATCH(Work_Codes!$I$197,$D$35:$D$37,0)))</f>
        <v>1551487.3451919288</v>
      </c>
      <c r="S191" s="81">
        <f ca="1">S151*(1+INDEX(S$35:S$37,MATCH(Work_Codes!$I$197,$D$35:$D$37,0)))</f>
        <v>1667599.3412673185</v>
      </c>
      <c r="T191" s="81">
        <f ca="1">T151*(1+INDEX(T$35:T$37,MATCH(Work_Codes!$I$197,$D$35:$D$37,0)))</f>
        <v>1958887.8383269643</v>
      </c>
    </row>
    <row r="192" spans="4:20" ht="11.5" customHeight="1" outlineLevel="2">
      <c r="E192" s="247" t="str">
        <f>GC!C45</f>
        <v>Meters</v>
      </c>
      <c r="F192" s="247"/>
      <c r="G192" s="247"/>
      <c r="H192" s="247"/>
      <c r="I192" s="247"/>
      <c r="J192" s="81">
        <f ca="1">J152*(1+INDEX(J$35:J$37,MATCH(Work_Codes!$I$197,$D$35:$D$37,0)))</f>
        <v>0</v>
      </c>
      <c r="K192" s="81">
        <f ca="1">K152*(1+INDEX(K$35:K$37,MATCH(Work_Codes!$I$197,$D$35:$D$37,0)))</f>
        <v>0</v>
      </c>
      <c r="L192" s="81">
        <f ca="1">L152*(1+INDEX(L$35:L$37,MATCH(Work_Codes!$I$197,$D$35:$D$37,0)))</f>
        <v>0</v>
      </c>
      <c r="M192" s="81">
        <f ca="1">M152*(1+INDEX(M$35:M$37,MATCH(Work_Codes!$I$197,$D$35:$D$37,0)))</f>
        <v>0</v>
      </c>
      <c r="N192" s="81">
        <f ca="1">N152*(1+INDEX(N$35:N$37,MATCH(Work_Codes!$I$197,$D$35:$D$37,0)))</f>
        <v>0</v>
      </c>
      <c r="O192" s="81">
        <f ca="1">O152*(1+INDEX(O$35:O$37,MATCH(Work_Codes!$I$197,$D$35:$D$37,0)))</f>
        <v>0</v>
      </c>
      <c r="P192" s="81">
        <f ca="1">P152*(1+INDEX(P$35:P$37,MATCH(Work_Codes!$I$197,$D$35:$D$37,0)))</f>
        <v>0</v>
      </c>
      <c r="Q192" s="81">
        <f ca="1">Q152*(1+INDEX(Q$35:Q$37,MATCH(Work_Codes!$I$197,$D$35:$D$37,0)))</f>
        <v>0</v>
      </c>
      <c r="R192" s="81">
        <f ca="1">R152*(1+INDEX(R$35:R$37,MATCH(Work_Codes!$I$197,$D$35:$D$37,0)))</f>
        <v>0</v>
      </c>
      <c r="S192" s="81">
        <f ca="1">S152*(1+INDEX(S$35:S$37,MATCH(Work_Codes!$I$197,$D$35:$D$37,0)))</f>
        <v>0</v>
      </c>
      <c r="T192" s="81">
        <f ca="1">T152*(1+INDEX(T$35:T$37,MATCH(Work_Codes!$I$197,$D$35:$D$37,0)))</f>
        <v>0</v>
      </c>
    </row>
    <row r="193" spans="4:20" ht="11.5" customHeight="1" outlineLevel="2">
      <c r="E193" s="247" t="str">
        <f>GC!C46</f>
        <v>SCADA and remote control</v>
      </c>
      <c r="F193" s="247"/>
      <c r="G193" s="247"/>
      <c r="H193" s="247"/>
      <c r="I193" s="247"/>
      <c r="J193" s="81">
        <f ca="1">J153*(1+INDEX(J$35:J$37,MATCH(Work_Codes!$I$197,$D$35:$D$37,0)))</f>
        <v>0</v>
      </c>
      <c r="K193" s="81">
        <f ca="1">K153*(1+INDEX(K$35:K$37,MATCH(Work_Codes!$I$197,$D$35:$D$37,0)))</f>
        <v>0</v>
      </c>
      <c r="L193" s="81">
        <f ca="1">L153*(1+INDEX(L$35:L$37,MATCH(Work_Codes!$I$197,$D$35:$D$37,0)))</f>
        <v>0</v>
      </c>
      <c r="M193" s="81">
        <f ca="1">M153*(1+INDEX(M$35:M$37,MATCH(Work_Codes!$I$197,$D$35:$D$37,0)))</f>
        <v>0</v>
      </c>
      <c r="N193" s="81">
        <f ca="1">N153*(1+INDEX(N$35:N$37,MATCH(Work_Codes!$I$197,$D$35:$D$37,0)))</f>
        <v>0</v>
      </c>
      <c r="O193" s="81">
        <f ca="1">O153*(1+INDEX(O$35:O$37,MATCH(Work_Codes!$I$197,$D$35:$D$37,0)))</f>
        <v>0</v>
      </c>
      <c r="P193" s="81">
        <f ca="1">P153*(1+INDEX(P$35:P$37,MATCH(Work_Codes!$I$197,$D$35:$D$37,0)))</f>
        <v>0</v>
      </c>
      <c r="Q193" s="81">
        <f ca="1">Q153*(1+INDEX(Q$35:Q$37,MATCH(Work_Codes!$I$197,$D$35:$D$37,0)))</f>
        <v>0</v>
      </c>
      <c r="R193" s="81">
        <f ca="1">R153*(1+INDEX(R$35:R$37,MATCH(Work_Codes!$I$197,$D$35:$D$37,0)))</f>
        <v>0</v>
      </c>
      <c r="S193" s="81">
        <f ca="1">S153*(1+INDEX(S$35:S$37,MATCH(Work_Codes!$I$197,$D$35:$D$37,0)))</f>
        <v>0</v>
      </c>
      <c r="T193" s="81">
        <f ca="1">T153*(1+INDEX(T$35:T$37,MATCH(Work_Codes!$I$197,$D$35:$D$37,0)))</f>
        <v>0</v>
      </c>
    </row>
    <row r="194" spans="4:20" ht="11.5" customHeight="1" outlineLevel="2">
      <c r="E194" s="247" t="str">
        <f>GC!C47</f>
        <v>Buildings</v>
      </c>
      <c r="F194" s="247"/>
      <c r="G194" s="247"/>
      <c r="H194" s="247"/>
      <c r="I194" s="247"/>
      <c r="J194" s="81">
        <f ca="1">J154*(1+INDEX(J$35:J$37,MATCH(Work_Codes!$I$197,$D$35:$D$37,0)))</f>
        <v>0</v>
      </c>
      <c r="K194" s="81">
        <f ca="1">K154*(1+INDEX(K$35:K$37,MATCH(Work_Codes!$I$197,$D$35:$D$37,0)))</f>
        <v>0</v>
      </c>
      <c r="L194" s="81">
        <f ca="1">L154*(1+INDEX(L$35:L$37,MATCH(Work_Codes!$I$197,$D$35:$D$37,0)))</f>
        <v>0</v>
      </c>
      <c r="M194" s="81">
        <f ca="1">M154*(1+INDEX(M$35:M$37,MATCH(Work_Codes!$I$197,$D$35:$D$37,0)))</f>
        <v>0</v>
      </c>
      <c r="N194" s="81">
        <f ca="1">N154*(1+INDEX(N$35:N$37,MATCH(Work_Codes!$I$197,$D$35:$D$37,0)))</f>
        <v>0</v>
      </c>
      <c r="O194" s="81">
        <f ca="1">O154*(1+INDEX(O$35:O$37,MATCH(Work_Codes!$I$197,$D$35:$D$37,0)))</f>
        <v>0</v>
      </c>
      <c r="P194" s="81">
        <f ca="1">P154*(1+INDEX(P$35:P$37,MATCH(Work_Codes!$I$197,$D$35:$D$37,0)))</f>
        <v>0</v>
      </c>
      <c r="Q194" s="81">
        <f ca="1">Q154*(1+INDEX(Q$35:Q$37,MATCH(Work_Codes!$I$197,$D$35:$D$37,0)))</f>
        <v>0</v>
      </c>
      <c r="R194" s="81">
        <f ca="1">R154*(1+INDEX(R$35:R$37,MATCH(Work_Codes!$I$197,$D$35:$D$37,0)))</f>
        <v>0</v>
      </c>
      <c r="S194" s="81">
        <f ca="1">S154*(1+INDEX(S$35:S$37,MATCH(Work_Codes!$I$197,$D$35:$D$37,0)))</f>
        <v>0</v>
      </c>
      <c r="T194" s="81">
        <f ca="1">T154*(1+INDEX(T$35:T$37,MATCH(Work_Codes!$I$197,$D$35:$D$37,0)))</f>
        <v>0</v>
      </c>
    </row>
    <row r="195" spans="4:20" ht="11.5" customHeight="1" outlineLevel="2">
      <c r="E195" s="247" t="str">
        <f>GC!C48</f>
        <v>Other - IT</v>
      </c>
      <c r="F195" s="247"/>
      <c r="G195" s="247"/>
      <c r="H195" s="247"/>
      <c r="I195" s="247"/>
      <c r="J195" s="81">
        <f ca="1">J155*(1+INDEX(J$35:J$37,MATCH(Work_Codes!$I$197,$D$35:$D$37,0)))</f>
        <v>0</v>
      </c>
      <c r="K195" s="81">
        <f ca="1">K155*(1+INDEX(K$35:K$37,MATCH(Work_Codes!$I$197,$D$35:$D$37,0)))</f>
        <v>0</v>
      </c>
      <c r="L195" s="81">
        <f ca="1">L155*(1+INDEX(L$35:L$37,MATCH(Work_Codes!$I$197,$D$35:$D$37,0)))</f>
        <v>0</v>
      </c>
      <c r="M195" s="81">
        <f ca="1">M155*(1+INDEX(M$35:M$37,MATCH(Work_Codes!$I$197,$D$35:$D$37,0)))</f>
        <v>0</v>
      </c>
      <c r="N195" s="81">
        <f ca="1">N155*(1+INDEX(N$35:N$37,MATCH(Work_Codes!$I$197,$D$35:$D$37,0)))</f>
        <v>0</v>
      </c>
      <c r="O195" s="81">
        <f ca="1">O155*(1+INDEX(O$35:O$37,MATCH(Work_Codes!$I$197,$D$35:$D$37,0)))</f>
        <v>0</v>
      </c>
      <c r="P195" s="81">
        <f ca="1">P155*(1+INDEX(P$35:P$37,MATCH(Work_Codes!$I$197,$D$35:$D$37,0)))</f>
        <v>0</v>
      </c>
      <c r="Q195" s="81">
        <f ca="1">Q155*(1+INDEX(Q$35:Q$37,MATCH(Work_Codes!$I$197,$D$35:$D$37,0)))</f>
        <v>0</v>
      </c>
      <c r="R195" s="81">
        <f ca="1">R155*(1+INDEX(R$35:R$37,MATCH(Work_Codes!$I$197,$D$35:$D$37,0)))</f>
        <v>0</v>
      </c>
      <c r="S195" s="81">
        <f ca="1">S155*(1+INDEX(S$35:S$37,MATCH(Work_Codes!$I$197,$D$35:$D$37,0)))</f>
        <v>0</v>
      </c>
      <c r="T195" s="81">
        <f ca="1">T155*(1+INDEX(T$35:T$37,MATCH(Work_Codes!$I$197,$D$35:$D$37,0)))</f>
        <v>0</v>
      </c>
    </row>
    <row r="196" spans="4:20" ht="11.5" customHeight="1" outlineLevel="2">
      <c r="E196" s="247" t="str">
        <f>GC!C49</f>
        <v>Other - non IT</v>
      </c>
      <c r="F196" s="247"/>
      <c r="G196" s="247"/>
      <c r="H196" s="247"/>
      <c r="I196" s="247"/>
      <c r="J196" s="81">
        <f ca="1">J156*(1+INDEX(J$35:J$37,MATCH(Work_Codes!$I$197,$D$35:$D$37,0)))</f>
        <v>0</v>
      </c>
      <c r="K196" s="81">
        <f ca="1">K156*(1+INDEX(K$35:K$37,MATCH(Work_Codes!$I$197,$D$35:$D$37,0)))</f>
        <v>0</v>
      </c>
      <c r="L196" s="81">
        <f ca="1">L156*(1+INDEX(L$35:L$37,MATCH(Work_Codes!$I$197,$D$35:$D$37,0)))</f>
        <v>0</v>
      </c>
      <c r="M196" s="81">
        <f ca="1">M156*(1+INDEX(M$35:M$37,MATCH(Work_Codes!$I$197,$D$35:$D$37,0)))</f>
        <v>0</v>
      </c>
      <c r="N196" s="81">
        <f ca="1">N156*(1+INDEX(N$35:N$37,MATCH(Work_Codes!$I$197,$D$35:$D$37,0)))</f>
        <v>0</v>
      </c>
      <c r="O196" s="81">
        <f ca="1">O156*(1+INDEX(O$35:O$37,MATCH(Work_Codes!$I$197,$D$35:$D$37,0)))</f>
        <v>0</v>
      </c>
      <c r="P196" s="81">
        <f ca="1">P156*(1+INDEX(P$35:P$37,MATCH(Work_Codes!$I$197,$D$35:$D$37,0)))</f>
        <v>0</v>
      </c>
      <c r="Q196" s="81">
        <f ca="1">Q156*(1+INDEX(Q$35:Q$37,MATCH(Work_Codes!$I$197,$D$35:$D$37,0)))</f>
        <v>0</v>
      </c>
      <c r="R196" s="81">
        <f ca="1">R156*(1+INDEX(R$35:R$37,MATCH(Work_Codes!$I$197,$D$35:$D$37,0)))</f>
        <v>0</v>
      </c>
      <c r="S196" s="81">
        <f ca="1">S156*(1+INDEX(S$35:S$37,MATCH(Work_Codes!$I$197,$D$35:$D$37,0)))</f>
        <v>0</v>
      </c>
      <c r="T196" s="81">
        <f ca="1">T156*(1+INDEX(T$35:T$37,MATCH(Work_Codes!$I$197,$D$35:$D$37,0)))</f>
        <v>0</v>
      </c>
    </row>
    <row r="197" spans="4:20" ht="11.5" customHeight="1" outlineLevel="2">
      <c r="E197" s="247" t="str">
        <f>GC!C50</f>
        <v>Land</v>
      </c>
      <c r="F197" s="247"/>
      <c r="G197" s="247"/>
      <c r="H197" s="247"/>
      <c r="I197" s="247"/>
      <c r="J197" s="81">
        <f ca="1">J157*(1+INDEX(J$35:J$37,MATCH(Work_Codes!$I$197,$D$35:$D$37,0)))</f>
        <v>0</v>
      </c>
      <c r="K197" s="81">
        <f ca="1">K157*(1+INDEX(K$35:K$37,MATCH(Work_Codes!$I$197,$D$35:$D$37,0)))</f>
        <v>0</v>
      </c>
      <c r="L197" s="81">
        <f ca="1">L157*(1+INDEX(L$35:L$37,MATCH(Work_Codes!$I$197,$D$35:$D$37,0)))</f>
        <v>0</v>
      </c>
      <c r="M197" s="81">
        <f ca="1">M157*(1+INDEX(M$35:M$37,MATCH(Work_Codes!$I$197,$D$35:$D$37,0)))</f>
        <v>0</v>
      </c>
      <c r="N197" s="81">
        <f ca="1">N157*(1+INDEX(N$35:N$37,MATCH(Work_Codes!$I$197,$D$35:$D$37,0)))</f>
        <v>0</v>
      </c>
      <c r="O197" s="81">
        <f ca="1">O157*(1+INDEX(O$35:O$37,MATCH(Work_Codes!$I$197,$D$35:$D$37,0)))</f>
        <v>0</v>
      </c>
      <c r="P197" s="81">
        <f ca="1">P157*(1+INDEX(P$35:P$37,MATCH(Work_Codes!$I$197,$D$35:$D$37,0)))</f>
        <v>0</v>
      </c>
      <c r="Q197" s="81">
        <f ca="1">Q157*(1+INDEX(Q$35:Q$37,MATCH(Work_Codes!$I$197,$D$35:$D$37,0)))</f>
        <v>0</v>
      </c>
      <c r="R197" s="81">
        <f ca="1">R157*(1+INDEX(R$35:R$37,MATCH(Work_Codes!$I$197,$D$35:$D$37,0)))</f>
        <v>0</v>
      </c>
      <c r="S197" s="81">
        <f ca="1">S157*(1+INDEX(S$35:S$37,MATCH(Work_Codes!$I$197,$D$35:$D$37,0)))</f>
        <v>0</v>
      </c>
      <c r="T197" s="81">
        <f ca="1">T157*(1+INDEX(T$35:T$37,MATCH(Work_Codes!$I$197,$D$35:$D$37,0)))</f>
        <v>0</v>
      </c>
    </row>
    <row r="198" spans="4:20" outlineLevel="2">
      <c r="E198" s="247" t="str">
        <f>GC!C51</f>
        <v>Capitalised Leases</v>
      </c>
      <c r="F198" s="247"/>
      <c r="G198" s="247"/>
      <c r="H198" s="247"/>
      <c r="I198" s="247"/>
      <c r="J198" s="81">
        <f ca="1">J158*(1+INDEX(J$35:J$37,MATCH(Work_Codes!$I$197,$D$35:$D$37,0)))</f>
        <v>0</v>
      </c>
      <c r="K198" s="81">
        <f ca="1">K158*(1+INDEX(K$35:K$37,MATCH(Work_Codes!$I$197,$D$35:$D$37,0)))</f>
        <v>0</v>
      </c>
      <c r="L198" s="81">
        <f ca="1">L158*(1+INDEX(L$35:L$37,MATCH(Work_Codes!$I$197,$D$35:$D$37,0)))</f>
        <v>0</v>
      </c>
      <c r="M198" s="81">
        <f ca="1">M158*(1+INDEX(M$35:M$37,MATCH(Work_Codes!$I$197,$D$35:$D$37,0)))</f>
        <v>0</v>
      </c>
      <c r="N198" s="81">
        <f ca="1">N158*(1+INDEX(N$35:N$37,MATCH(Work_Codes!$I$197,$D$35:$D$37,0)))</f>
        <v>0</v>
      </c>
      <c r="O198" s="81">
        <f ca="1">O158*(1+INDEX(O$35:O$37,MATCH(Work_Codes!$I$197,$D$35:$D$37,0)))</f>
        <v>0</v>
      </c>
      <c r="P198" s="81">
        <f ca="1">P158*(1+INDEX(P$35:P$37,MATCH(Work_Codes!$I$197,$D$35:$D$37,0)))</f>
        <v>0</v>
      </c>
      <c r="Q198" s="81">
        <f ca="1">Q158*(1+INDEX(Q$35:Q$37,MATCH(Work_Codes!$I$197,$D$35:$D$37,0)))</f>
        <v>0</v>
      </c>
      <c r="R198" s="81">
        <f ca="1">R158*(1+INDEX(R$35:R$37,MATCH(Work_Codes!$I$197,$D$35:$D$37,0)))</f>
        <v>0</v>
      </c>
      <c r="S198" s="81">
        <f ca="1">S158*(1+INDEX(S$35:S$37,MATCH(Work_Codes!$I$197,$D$35:$D$37,0)))</f>
        <v>0</v>
      </c>
      <c r="T198" s="81">
        <f ca="1">T158*(1+INDEX(T$35:T$37,MATCH(Work_Codes!$I$197,$D$35:$D$37,0)))</f>
        <v>0</v>
      </c>
    </row>
    <row r="199" spans="4:20" outlineLevel="2">
      <c r="E199" s="247" t="str">
        <f>GC!C52</f>
        <v>Transmission pipelines - post 1998</v>
      </c>
      <c r="F199" s="247"/>
      <c r="G199" s="247"/>
      <c r="H199" s="247"/>
      <c r="I199" s="247"/>
      <c r="J199" s="81">
        <f ca="1">J159*(1+INDEX(J$35:J$37,MATCH(Work_Codes!$I$197,$D$35:$D$37,0)))</f>
        <v>0</v>
      </c>
      <c r="K199" s="81">
        <f ca="1">K159*(1+INDEX(K$35:K$37,MATCH(Work_Codes!$I$197,$D$35:$D$37,0)))</f>
        <v>0</v>
      </c>
      <c r="L199" s="81">
        <f ca="1">L159*(1+INDEX(L$35:L$37,MATCH(Work_Codes!$I$197,$D$35:$D$37,0)))</f>
        <v>0</v>
      </c>
      <c r="M199" s="81">
        <f ca="1">M159*(1+INDEX(M$35:M$37,MATCH(Work_Codes!$I$197,$D$35:$D$37,0)))</f>
        <v>0</v>
      </c>
      <c r="N199" s="81">
        <f ca="1">N159*(1+INDEX(N$35:N$37,MATCH(Work_Codes!$I$197,$D$35:$D$37,0)))</f>
        <v>0</v>
      </c>
      <c r="O199" s="81">
        <f ca="1">O159*(1+INDEX(O$35:O$37,MATCH(Work_Codes!$I$197,$D$35:$D$37,0)))</f>
        <v>0</v>
      </c>
      <c r="P199" s="81">
        <f ca="1">P159*(1+INDEX(P$35:P$37,MATCH(Work_Codes!$I$197,$D$35:$D$37,0)))</f>
        <v>0</v>
      </c>
      <c r="Q199" s="81">
        <f ca="1">Q159*(1+INDEX(Q$35:Q$37,MATCH(Work_Codes!$I$197,$D$35:$D$37,0)))</f>
        <v>0</v>
      </c>
      <c r="R199" s="81">
        <f ca="1">R159*(1+INDEX(R$35:R$37,MATCH(Work_Codes!$I$197,$D$35:$D$37,0)))</f>
        <v>0</v>
      </c>
      <c r="S199" s="81">
        <f ca="1">S159*(1+INDEX(S$35:S$37,MATCH(Work_Codes!$I$197,$D$35:$D$37,0)))</f>
        <v>0</v>
      </c>
      <c r="T199" s="81">
        <f ca="1">T159*(1+INDEX(T$35:T$37,MATCH(Work_Codes!$I$197,$D$35:$D$37,0)))</f>
        <v>0</v>
      </c>
    </row>
    <row r="200" spans="4:20" outlineLevel="2">
      <c r="E200" s="247" t="str">
        <f>GC!C53</f>
        <v>Distribution pipelines - post 1998</v>
      </c>
      <c r="F200" s="247"/>
      <c r="G200" s="247"/>
      <c r="H200" s="247"/>
      <c r="I200" s="247"/>
      <c r="J200" s="81">
        <f ca="1">J160*(1+INDEX(J$35:J$37,MATCH(Work_Codes!$I$197,$D$35:$D$37,0)))</f>
        <v>0</v>
      </c>
      <c r="K200" s="81">
        <f ca="1">K160*(1+INDEX(K$35:K$37,MATCH(Work_Codes!$I$197,$D$35:$D$37,0)))</f>
        <v>0</v>
      </c>
      <c r="L200" s="81">
        <f ca="1">L160*(1+INDEX(L$35:L$37,MATCH(Work_Codes!$I$197,$D$35:$D$37,0)))</f>
        <v>0</v>
      </c>
      <c r="M200" s="81">
        <f ca="1">M160*(1+INDEX(M$35:M$37,MATCH(Work_Codes!$I$197,$D$35:$D$37,0)))</f>
        <v>0</v>
      </c>
      <c r="N200" s="81">
        <f ca="1">N160*(1+INDEX(N$35:N$37,MATCH(Work_Codes!$I$197,$D$35:$D$37,0)))</f>
        <v>0</v>
      </c>
      <c r="O200" s="81">
        <f ca="1">O160*(1+INDEX(O$35:O$37,MATCH(Work_Codes!$I$197,$D$35:$D$37,0)))</f>
        <v>0</v>
      </c>
      <c r="P200" s="81">
        <f ca="1">P160*(1+INDEX(P$35:P$37,MATCH(Work_Codes!$I$197,$D$35:$D$37,0)))</f>
        <v>0</v>
      </c>
      <c r="Q200" s="81">
        <f ca="1">Q160*(1+INDEX(Q$35:Q$37,MATCH(Work_Codes!$I$197,$D$35:$D$37,0)))</f>
        <v>0</v>
      </c>
      <c r="R200" s="81">
        <f ca="1">R160*(1+INDEX(R$35:R$37,MATCH(Work_Codes!$I$197,$D$35:$D$37,0)))</f>
        <v>0</v>
      </c>
      <c r="S200" s="81">
        <f ca="1">S160*(1+INDEX(S$35:S$37,MATCH(Work_Codes!$I$197,$D$35:$D$37,0)))</f>
        <v>0</v>
      </c>
      <c r="T200" s="81">
        <f ca="1">T160*(1+INDEX(T$35:T$37,MATCH(Work_Codes!$I$197,$D$35:$D$37,0)))</f>
        <v>0</v>
      </c>
    </row>
    <row r="201" spans="4:20" outlineLevel="2">
      <c r="E201" s="247" t="str">
        <f>GC!C54</f>
        <v>Service pipes - post 1998</v>
      </c>
      <c r="F201" s="247"/>
      <c r="G201" s="247"/>
      <c r="H201" s="247"/>
      <c r="I201" s="247"/>
      <c r="J201" s="81">
        <f ca="1">J161*(1+INDEX(J$35:J$37,MATCH(Work_Codes!$I$197,$D$35:$D$37,0)))</f>
        <v>0</v>
      </c>
      <c r="K201" s="81">
        <f ca="1">K161*(1+INDEX(K$35:K$37,MATCH(Work_Codes!$I$197,$D$35:$D$37,0)))</f>
        <v>0</v>
      </c>
      <c r="L201" s="81">
        <f ca="1">L161*(1+INDEX(L$35:L$37,MATCH(Work_Codes!$I$197,$D$35:$D$37,0)))</f>
        <v>0</v>
      </c>
      <c r="M201" s="81">
        <f ca="1">M161*(1+INDEX(M$35:M$37,MATCH(Work_Codes!$I$197,$D$35:$D$37,0)))</f>
        <v>0</v>
      </c>
      <c r="N201" s="81">
        <f ca="1">N161*(1+INDEX(N$35:N$37,MATCH(Work_Codes!$I$197,$D$35:$D$37,0)))</f>
        <v>0</v>
      </c>
      <c r="O201" s="81">
        <f ca="1">O161*(1+INDEX(O$35:O$37,MATCH(Work_Codes!$I$197,$D$35:$D$37,0)))</f>
        <v>0</v>
      </c>
      <c r="P201" s="81">
        <f ca="1">P161*(1+INDEX(P$35:P$37,MATCH(Work_Codes!$I$197,$D$35:$D$37,0)))</f>
        <v>0</v>
      </c>
      <c r="Q201" s="81">
        <f ca="1">Q161*(1+INDEX(Q$35:Q$37,MATCH(Work_Codes!$I$197,$D$35:$D$37,0)))</f>
        <v>0</v>
      </c>
      <c r="R201" s="81">
        <f ca="1">R161*(1+INDEX(R$35:R$37,MATCH(Work_Codes!$I$197,$D$35:$D$37,0)))</f>
        <v>0</v>
      </c>
      <c r="S201" s="81">
        <f ca="1">S161*(1+INDEX(S$35:S$37,MATCH(Work_Codes!$I$197,$D$35:$D$37,0)))</f>
        <v>0</v>
      </c>
      <c r="T201" s="81">
        <f ca="1">T161*(1+INDEX(T$35:T$37,MATCH(Work_Codes!$I$197,$D$35:$D$37,0)))</f>
        <v>0</v>
      </c>
    </row>
    <row r="202" spans="4:20" outlineLevel="2">
      <c r="E202" s="247" t="str">
        <f>GC!C55</f>
        <v>Cathodic protection - post 1998</v>
      </c>
      <c r="F202" s="247"/>
      <c r="G202" s="247"/>
      <c r="H202" s="247"/>
      <c r="I202" s="247"/>
      <c r="J202" s="81">
        <f ca="1">J162*(1+INDEX(J$35:J$37,MATCH(Work_Codes!$I$197,$D$35:$D$37,0)))</f>
        <v>0</v>
      </c>
      <c r="K202" s="81">
        <f ca="1">K162*(1+INDEX(K$35:K$37,MATCH(Work_Codes!$I$197,$D$35:$D$37,0)))</f>
        <v>0</v>
      </c>
      <c r="L202" s="81">
        <f ca="1">L162*(1+INDEX(L$35:L$37,MATCH(Work_Codes!$I$197,$D$35:$D$37,0)))</f>
        <v>0</v>
      </c>
      <c r="M202" s="81">
        <f ca="1">M162*(1+INDEX(M$35:M$37,MATCH(Work_Codes!$I$197,$D$35:$D$37,0)))</f>
        <v>0</v>
      </c>
      <c r="N202" s="81">
        <f ca="1">N162*(1+INDEX(N$35:N$37,MATCH(Work_Codes!$I$197,$D$35:$D$37,0)))</f>
        <v>0</v>
      </c>
      <c r="O202" s="81">
        <f ca="1">O162*(1+INDEX(O$35:O$37,MATCH(Work_Codes!$I$197,$D$35:$D$37,0)))</f>
        <v>0</v>
      </c>
      <c r="P202" s="81">
        <f ca="1">P162*(1+INDEX(P$35:P$37,MATCH(Work_Codes!$I$197,$D$35:$D$37,0)))</f>
        <v>0</v>
      </c>
      <c r="Q202" s="81">
        <f ca="1">Q162*(1+INDEX(Q$35:Q$37,MATCH(Work_Codes!$I$197,$D$35:$D$37,0)))</f>
        <v>0</v>
      </c>
      <c r="R202" s="81">
        <f ca="1">R162*(1+INDEX(R$35:R$37,MATCH(Work_Codes!$I$197,$D$35:$D$37,0)))</f>
        <v>0</v>
      </c>
      <c r="S202" s="81">
        <f ca="1">S162*(1+INDEX(S$35:S$37,MATCH(Work_Codes!$I$197,$D$35:$D$37,0)))</f>
        <v>0</v>
      </c>
      <c r="T202" s="81">
        <f ca="1">T162*(1+INDEX(T$35:T$37,MATCH(Work_Codes!$I$197,$D$35:$D$37,0)))</f>
        <v>0</v>
      </c>
    </row>
    <row r="203" spans="4:20" ht="12" customHeight="1" outlineLevel="2">
      <c r="E203" s="249" t="str">
        <f>"Total "&amp;D185</f>
        <v>Total Direct Costs + Overheads</v>
      </c>
      <c r="F203" s="249"/>
      <c r="G203" s="249"/>
      <c r="H203" s="249"/>
      <c r="I203" s="249"/>
      <c r="J203" s="82">
        <f t="shared" ref="J203:T203" ca="1" si="24">SUM(J187:J202)</f>
        <v>0</v>
      </c>
      <c r="K203" s="82">
        <f t="shared" ca="1" si="24"/>
        <v>0</v>
      </c>
      <c r="L203" s="82">
        <f t="shared" ca="1" si="24"/>
        <v>0</v>
      </c>
      <c r="M203" s="82">
        <f t="shared" ca="1" si="24"/>
        <v>0</v>
      </c>
      <c r="N203" s="82">
        <f t="shared" ca="1" si="24"/>
        <v>522103.5315989175</v>
      </c>
      <c r="O203" s="82">
        <f t="shared" ca="1" si="24"/>
        <v>558031.32702648221</v>
      </c>
      <c r="P203" s="82">
        <f t="shared" ca="1" si="24"/>
        <v>2228509.1407737862</v>
      </c>
      <c r="Q203" s="82">
        <f t="shared" ca="1" si="24"/>
        <v>1806520.6206550789</v>
      </c>
      <c r="R203" s="82">
        <f t="shared" ca="1" si="24"/>
        <v>1551487.3451919288</v>
      </c>
      <c r="S203" s="82">
        <f t="shared" ca="1" si="24"/>
        <v>1667599.3412673185</v>
      </c>
      <c r="T203" s="82">
        <f t="shared" ca="1" si="24"/>
        <v>1958887.8383269643</v>
      </c>
    </row>
    <row r="204" spans="4:20" outlineLevel="2"/>
    <row r="205" spans="4:20" outlineLevel="2">
      <c r="D205" s="37" t="s">
        <v>367</v>
      </c>
    </row>
    <row r="206" spans="4:20" ht="5.9" customHeight="1" outlineLevel="2"/>
    <row r="207" spans="4:20" outlineLevel="2">
      <c r="E207" s="247" t="str">
        <f>GC!C40</f>
        <v>Transmission pipelines</v>
      </c>
      <c r="F207" s="247"/>
      <c r="G207" s="247"/>
      <c r="H207" s="247"/>
      <c r="I207" s="247"/>
      <c r="J207" s="81">
        <f ca="1">SUMPRODUCT((Work_Codes!$N$200:$Y$200=$E207)*(Work_Codes!$N$214:$Y$214)*(J$83:J$83))</f>
        <v>0</v>
      </c>
      <c r="K207" s="81">
        <f ca="1">SUMPRODUCT((Work_Codes!$N$200:$Y$200=$E207)*(Work_Codes!$N$214:$Y$214)*(K$83:K$83))</f>
        <v>0</v>
      </c>
      <c r="L207" s="81">
        <f ca="1">SUMPRODUCT((Work_Codes!$N$200:$Y$200=$E207)*(Work_Codes!$N$214:$Y$214)*(L$83:L$83))</f>
        <v>0</v>
      </c>
      <c r="M207" s="81">
        <f ca="1">SUMPRODUCT((Work_Codes!$N$200:$Y$200=$E207)*(Work_Codes!$N$214:$Y$214)*(M$83:M$83))</f>
        <v>0</v>
      </c>
      <c r="N207" s="81">
        <f ca="1">SUMPRODUCT((Work_Codes!$N$200:$Y$200=$E207)*(Work_Codes!$N$214:$Y$214)*(N$83:N$83))</f>
        <v>0</v>
      </c>
      <c r="O207" s="81">
        <f ca="1">SUMPRODUCT((Work_Codes!$N$200:$Y$200=$E207)*(Work_Codes!$N$214:$Y$214)*(O$83:O$83))</f>
        <v>0</v>
      </c>
      <c r="P207" s="81">
        <f ca="1">SUMPRODUCT((Work_Codes!$N$200:$Y$200=$E207)*(Work_Codes!$N$214:$Y$214)*(P$83:P$83))</f>
        <v>0</v>
      </c>
      <c r="Q207" s="81">
        <f ca="1">SUMPRODUCT((Work_Codes!$N$200:$Y$200=$E207)*(Work_Codes!$N$214:$Y$214)*(Q$83:Q$83))</f>
        <v>0</v>
      </c>
      <c r="R207" s="81">
        <f ca="1">SUMPRODUCT((Work_Codes!$N$200:$Y$200=$E207)*(Work_Codes!$N$214:$Y$214)*(R$83:R$83))</f>
        <v>0</v>
      </c>
      <c r="S207" s="81">
        <f ca="1">SUMPRODUCT((Work_Codes!$N$200:$Y$200=$E207)*(Work_Codes!$N$214:$Y$214)*(S$83:S$83))</f>
        <v>0</v>
      </c>
      <c r="T207" s="81">
        <f ca="1">SUMPRODUCT((Work_Codes!$N$200:$Y$200=$E207)*(Work_Codes!$N$214:$Y$214)*(T$83:T$83))</f>
        <v>0</v>
      </c>
    </row>
    <row r="208" spans="4:20" outlineLevel="2">
      <c r="E208" s="247" t="str">
        <f>GC!C41</f>
        <v>Distribution pipelines</v>
      </c>
      <c r="F208" s="247"/>
      <c r="G208" s="247"/>
      <c r="H208" s="247"/>
      <c r="I208" s="247"/>
      <c r="J208" s="81">
        <f ca="1">SUMPRODUCT((Work_Codes!$N$200:$Y$200=$E208)*(Work_Codes!$N$214:$Y$214)*(J$83:J$83))</f>
        <v>0</v>
      </c>
      <c r="K208" s="81">
        <f ca="1">SUMPRODUCT((Work_Codes!$N$200:$Y$200=$E208)*(Work_Codes!$N$214:$Y$214)*(K$83:K$83))</f>
        <v>0</v>
      </c>
      <c r="L208" s="81">
        <f ca="1">SUMPRODUCT((Work_Codes!$N$200:$Y$200=$E208)*(Work_Codes!$N$214:$Y$214)*(L$83:L$83))</f>
        <v>0</v>
      </c>
      <c r="M208" s="81">
        <f ca="1">SUMPRODUCT((Work_Codes!$N$200:$Y$200=$E208)*(Work_Codes!$N$214:$Y$214)*(M$83:M$83))</f>
        <v>0</v>
      </c>
      <c r="N208" s="81">
        <f ca="1">SUMPRODUCT((Work_Codes!$N$200:$Y$200=$E208)*(Work_Codes!$N$214:$Y$214)*(N$83:N$83))</f>
        <v>0</v>
      </c>
      <c r="O208" s="81">
        <f ca="1">SUMPRODUCT((Work_Codes!$N$200:$Y$200=$E208)*(Work_Codes!$N$214:$Y$214)*(O$83:O$83))</f>
        <v>0</v>
      </c>
      <c r="P208" s="81">
        <f ca="1">SUMPRODUCT((Work_Codes!$N$200:$Y$200=$E208)*(Work_Codes!$N$214:$Y$214)*(P$83:P$83))</f>
        <v>0</v>
      </c>
      <c r="Q208" s="81">
        <f ca="1">SUMPRODUCT((Work_Codes!$N$200:$Y$200=$E208)*(Work_Codes!$N$214:$Y$214)*(Q$83:Q$83))</f>
        <v>0</v>
      </c>
      <c r="R208" s="81">
        <f ca="1">SUMPRODUCT((Work_Codes!$N$200:$Y$200=$E208)*(Work_Codes!$N$214:$Y$214)*(R$83:R$83))</f>
        <v>0</v>
      </c>
      <c r="S208" s="81">
        <f ca="1">SUMPRODUCT((Work_Codes!$N$200:$Y$200=$E208)*(Work_Codes!$N$214:$Y$214)*(S$83:S$83))</f>
        <v>0</v>
      </c>
      <c r="T208" s="81">
        <f ca="1">SUMPRODUCT((Work_Codes!$N$200:$Y$200=$E208)*(Work_Codes!$N$214:$Y$214)*(T$83:T$83))</f>
        <v>0</v>
      </c>
    </row>
    <row r="209" spans="2:20" outlineLevel="2">
      <c r="E209" s="247" t="str">
        <f>GC!C42</f>
        <v>Service pipes</v>
      </c>
      <c r="F209" s="247"/>
      <c r="G209" s="247"/>
      <c r="H209" s="247"/>
      <c r="I209" s="247"/>
      <c r="J209" s="81">
        <f ca="1">SUMPRODUCT((Work_Codes!$N$200:$Y$200=$E209)*(Work_Codes!$N$214:$Y$214)*(J$83:J$83))</f>
        <v>0</v>
      </c>
      <c r="K209" s="81">
        <f ca="1">SUMPRODUCT((Work_Codes!$N$200:$Y$200=$E209)*(Work_Codes!$N$214:$Y$214)*(K$83:K$83))</f>
        <v>0</v>
      </c>
      <c r="L209" s="81">
        <f ca="1">SUMPRODUCT((Work_Codes!$N$200:$Y$200=$E209)*(Work_Codes!$N$214:$Y$214)*(L$83:L$83))</f>
        <v>0</v>
      </c>
      <c r="M209" s="81">
        <f ca="1">SUMPRODUCT((Work_Codes!$N$200:$Y$200=$E209)*(Work_Codes!$N$214:$Y$214)*(M$83:M$83))</f>
        <v>0</v>
      </c>
      <c r="N209" s="81">
        <f ca="1">SUMPRODUCT((Work_Codes!$N$200:$Y$200=$E209)*(Work_Codes!$N$214:$Y$214)*(N$83:N$83))</f>
        <v>0</v>
      </c>
      <c r="O209" s="81">
        <f ca="1">SUMPRODUCT((Work_Codes!$N$200:$Y$200=$E209)*(Work_Codes!$N$214:$Y$214)*(O$83:O$83))</f>
        <v>0</v>
      </c>
      <c r="P209" s="81">
        <f ca="1">SUMPRODUCT((Work_Codes!$N$200:$Y$200=$E209)*(Work_Codes!$N$214:$Y$214)*(P$83:P$83))</f>
        <v>0</v>
      </c>
      <c r="Q209" s="81">
        <f ca="1">SUMPRODUCT((Work_Codes!$N$200:$Y$200=$E209)*(Work_Codes!$N$214:$Y$214)*(Q$83:Q$83))</f>
        <v>0</v>
      </c>
      <c r="R209" s="81">
        <f ca="1">SUMPRODUCT((Work_Codes!$N$200:$Y$200=$E209)*(Work_Codes!$N$214:$Y$214)*(R$83:R$83))</f>
        <v>0</v>
      </c>
      <c r="S209" s="81">
        <f ca="1">SUMPRODUCT((Work_Codes!$N$200:$Y$200=$E209)*(Work_Codes!$N$214:$Y$214)*(S$83:S$83))</f>
        <v>0</v>
      </c>
      <c r="T209" s="81">
        <f ca="1">SUMPRODUCT((Work_Codes!$N$200:$Y$200=$E209)*(Work_Codes!$N$214:$Y$214)*(T$83:T$83))</f>
        <v>0</v>
      </c>
    </row>
    <row r="210" spans="2:20" outlineLevel="2">
      <c r="E210" s="247" t="str">
        <f>GC!C43</f>
        <v>Cathodic protection</v>
      </c>
      <c r="F210" s="247"/>
      <c r="G210" s="247"/>
      <c r="H210" s="247"/>
      <c r="I210" s="247"/>
      <c r="J210" s="81">
        <f ca="1">SUMPRODUCT((Work_Codes!$N$200:$Y$200=$E210)*(Work_Codes!$N$214:$Y$214)*(J$83:J$83))</f>
        <v>0</v>
      </c>
      <c r="K210" s="81">
        <f ca="1">SUMPRODUCT((Work_Codes!$N$200:$Y$200=$E210)*(Work_Codes!$N$214:$Y$214)*(K$83:K$83))</f>
        <v>0</v>
      </c>
      <c r="L210" s="81">
        <f ca="1">SUMPRODUCT((Work_Codes!$N$200:$Y$200=$E210)*(Work_Codes!$N$214:$Y$214)*(L$83:L$83))</f>
        <v>0</v>
      </c>
      <c r="M210" s="81">
        <f ca="1">SUMPRODUCT((Work_Codes!$N$200:$Y$200=$E210)*(Work_Codes!$N$214:$Y$214)*(M$83:M$83))</f>
        <v>0</v>
      </c>
      <c r="N210" s="81">
        <f ca="1">SUMPRODUCT((Work_Codes!$N$200:$Y$200=$E210)*(Work_Codes!$N$214:$Y$214)*(N$83:N$83))</f>
        <v>0</v>
      </c>
      <c r="O210" s="81">
        <f ca="1">SUMPRODUCT((Work_Codes!$N$200:$Y$200=$E210)*(Work_Codes!$N$214:$Y$214)*(O$83:O$83))</f>
        <v>0</v>
      </c>
      <c r="P210" s="81">
        <f ca="1">SUMPRODUCT((Work_Codes!$N$200:$Y$200=$E210)*(Work_Codes!$N$214:$Y$214)*(P$83:P$83))</f>
        <v>0</v>
      </c>
      <c r="Q210" s="81">
        <f ca="1">SUMPRODUCT((Work_Codes!$N$200:$Y$200=$E210)*(Work_Codes!$N$214:$Y$214)*(Q$83:Q$83))</f>
        <v>0</v>
      </c>
      <c r="R210" s="81">
        <f ca="1">SUMPRODUCT((Work_Codes!$N$200:$Y$200=$E210)*(Work_Codes!$N$214:$Y$214)*(R$83:R$83))</f>
        <v>0</v>
      </c>
      <c r="S210" s="81">
        <f ca="1">SUMPRODUCT((Work_Codes!$N$200:$Y$200=$E210)*(Work_Codes!$N$214:$Y$214)*(S$83:S$83))</f>
        <v>0</v>
      </c>
      <c r="T210" s="81">
        <f ca="1">SUMPRODUCT((Work_Codes!$N$200:$Y$200=$E210)*(Work_Codes!$N$214:$Y$214)*(T$83:T$83))</f>
        <v>0</v>
      </c>
    </row>
    <row r="211" spans="2:20" outlineLevel="2">
      <c r="E211" s="247" t="str">
        <f>GC!C44</f>
        <v>Supply Regulators / Valve Stations</v>
      </c>
      <c r="F211" s="247"/>
      <c r="G211" s="247"/>
      <c r="H211" s="247"/>
      <c r="I211" s="247"/>
      <c r="J211" s="81">
        <f ca="1">SUMPRODUCT((Work_Codes!$N$200:$Y$200=$E211)*(Work_Codes!$N$214:$Y$214)*(J$83:J$83))</f>
        <v>0</v>
      </c>
      <c r="K211" s="81">
        <f ca="1">SUMPRODUCT((Work_Codes!$N$200:$Y$200=$E211)*(Work_Codes!$N$214:$Y$214)*(K$83:K$83))</f>
        <v>0</v>
      </c>
      <c r="L211" s="81">
        <f ca="1">SUMPRODUCT((Work_Codes!$N$200:$Y$200=$E211)*(Work_Codes!$N$214:$Y$214)*(L$83:L$83))</f>
        <v>0</v>
      </c>
      <c r="M211" s="81">
        <f ca="1">SUMPRODUCT((Work_Codes!$N$200:$Y$200=$E211)*(Work_Codes!$N$214:$Y$214)*(M$83:M$83))</f>
        <v>0</v>
      </c>
      <c r="N211" s="81">
        <f ca="1">SUMPRODUCT((Work_Codes!$N$200:$Y$200=$E211)*(Work_Codes!$N$214:$Y$214)*(N$83:N$83))</f>
        <v>0</v>
      </c>
      <c r="O211" s="81">
        <f ca="1">SUMPRODUCT((Work_Codes!$N$200:$Y$200=$E211)*(Work_Codes!$N$214:$Y$214)*(O$83:O$83))</f>
        <v>0</v>
      </c>
      <c r="P211" s="81">
        <f ca="1">SUMPRODUCT((Work_Codes!$N$200:$Y$200=$E211)*(Work_Codes!$N$214:$Y$214)*(P$83:P$83))</f>
        <v>0</v>
      </c>
      <c r="Q211" s="81">
        <f ca="1">SUMPRODUCT((Work_Codes!$N$200:$Y$200=$E211)*(Work_Codes!$N$214:$Y$214)*(Q$83:Q$83))</f>
        <v>0</v>
      </c>
      <c r="R211" s="81">
        <f ca="1">SUMPRODUCT((Work_Codes!$N$200:$Y$200=$E211)*(Work_Codes!$N$214:$Y$214)*(R$83:R$83))</f>
        <v>0</v>
      </c>
      <c r="S211" s="81">
        <f ca="1">SUMPRODUCT((Work_Codes!$N$200:$Y$200=$E211)*(Work_Codes!$N$214:$Y$214)*(S$83:S$83))</f>
        <v>0</v>
      </c>
      <c r="T211" s="81">
        <f ca="1">SUMPRODUCT((Work_Codes!$N$200:$Y$200=$E211)*(Work_Codes!$N$214:$Y$214)*(T$83:T$83))</f>
        <v>0</v>
      </c>
    </row>
    <row r="212" spans="2:20" outlineLevel="2">
      <c r="E212" s="247" t="str">
        <f>GC!C45</f>
        <v>Meters</v>
      </c>
      <c r="F212" s="247"/>
      <c r="G212" s="247"/>
      <c r="H212" s="247"/>
      <c r="I212" s="247"/>
      <c r="J212" s="81">
        <f ca="1">SUMPRODUCT((Work_Codes!$N$200:$Y$200=$E212)*(Work_Codes!$N$214:$Y$214)*(J$83:J$83))</f>
        <v>0</v>
      </c>
      <c r="K212" s="81">
        <f ca="1">SUMPRODUCT((Work_Codes!$N$200:$Y$200=$E212)*(Work_Codes!$N$214:$Y$214)*(K$83:K$83))</f>
        <v>0</v>
      </c>
      <c r="L212" s="81">
        <f ca="1">SUMPRODUCT((Work_Codes!$N$200:$Y$200=$E212)*(Work_Codes!$N$214:$Y$214)*(L$83:L$83))</f>
        <v>0</v>
      </c>
      <c r="M212" s="81">
        <f ca="1">SUMPRODUCT((Work_Codes!$N$200:$Y$200=$E212)*(Work_Codes!$N$214:$Y$214)*(M$83:M$83))</f>
        <v>0</v>
      </c>
      <c r="N212" s="81">
        <f ca="1">SUMPRODUCT((Work_Codes!$N$200:$Y$200=$E212)*(Work_Codes!$N$214:$Y$214)*(N$83:N$83))</f>
        <v>0</v>
      </c>
      <c r="O212" s="81">
        <f ca="1">SUMPRODUCT((Work_Codes!$N$200:$Y$200=$E212)*(Work_Codes!$N$214:$Y$214)*(O$83:O$83))</f>
        <v>0</v>
      </c>
      <c r="P212" s="81">
        <f ca="1">SUMPRODUCT((Work_Codes!$N$200:$Y$200=$E212)*(Work_Codes!$N$214:$Y$214)*(P$83:P$83))</f>
        <v>0</v>
      </c>
      <c r="Q212" s="81">
        <f ca="1">SUMPRODUCT((Work_Codes!$N$200:$Y$200=$E212)*(Work_Codes!$N$214:$Y$214)*(Q$83:Q$83))</f>
        <v>0</v>
      </c>
      <c r="R212" s="81">
        <f ca="1">SUMPRODUCT((Work_Codes!$N$200:$Y$200=$E212)*(Work_Codes!$N$214:$Y$214)*(R$83:R$83))</f>
        <v>0</v>
      </c>
      <c r="S212" s="81">
        <f ca="1">SUMPRODUCT((Work_Codes!$N$200:$Y$200=$E212)*(Work_Codes!$N$214:$Y$214)*(S$83:S$83))</f>
        <v>0</v>
      </c>
      <c r="T212" s="81">
        <f ca="1">SUMPRODUCT((Work_Codes!$N$200:$Y$200=$E212)*(Work_Codes!$N$214:$Y$214)*(T$83:T$83))</f>
        <v>0</v>
      </c>
    </row>
    <row r="213" spans="2:20" outlineLevel="2">
      <c r="E213" s="247" t="str">
        <f>GC!C46</f>
        <v>SCADA and remote control</v>
      </c>
      <c r="F213" s="247"/>
      <c r="G213" s="247"/>
      <c r="H213" s="247"/>
      <c r="I213" s="247"/>
      <c r="J213" s="81">
        <f ca="1">SUMPRODUCT((Work_Codes!$N$200:$Y$200=$E213)*(Work_Codes!$N$214:$Y$214)*(J$83:J$83))</f>
        <v>0</v>
      </c>
      <c r="K213" s="81">
        <f ca="1">SUMPRODUCT((Work_Codes!$N$200:$Y$200=$E213)*(Work_Codes!$N$214:$Y$214)*(K$83:K$83))</f>
        <v>0</v>
      </c>
      <c r="L213" s="81">
        <f ca="1">SUMPRODUCT((Work_Codes!$N$200:$Y$200=$E213)*(Work_Codes!$N$214:$Y$214)*(L$83:L$83))</f>
        <v>0</v>
      </c>
      <c r="M213" s="81">
        <f ca="1">SUMPRODUCT((Work_Codes!$N$200:$Y$200=$E213)*(Work_Codes!$N$214:$Y$214)*(M$83:M$83))</f>
        <v>0</v>
      </c>
      <c r="N213" s="81">
        <f ca="1">SUMPRODUCT((Work_Codes!$N$200:$Y$200=$E213)*(Work_Codes!$N$214:$Y$214)*(N$83:N$83))</f>
        <v>0</v>
      </c>
      <c r="O213" s="81">
        <f ca="1">SUMPRODUCT((Work_Codes!$N$200:$Y$200=$E213)*(Work_Codes!$N$214:$Y$214)*(O$83:O$83))</f>
        <v>0</v>
      </c>
      <c r="P213" s="81">
        <f ca="1">SUMPRODUCT((Work_Codes!$N$200:$Y$200=$E213)*(Work_Codes!$N$214:$Y$214)*(P$83:P$83))</f>
        <v>0</v>
      </c>
      <c r="Q213" s="81">
        <f ca="1">SUMPRODUCT((Work_Codes!$N$200:$Y$200=$E213)*(Work_Codes!$N$214:$Y$214)*(Q$83:Q$83))</f>
        <v>0</v>
      </c>
      <c r="R213" s="81">
        <f ca="1">SUMPRODUCT((Work_Codes!$N$200:$Y$200=$E213)*(Work_Codes!$N$214:$Y$214)*(R$83:R$83))</f>
        <v>0</v>
      </c>
      <c r="S213" s="81">
        <f ca="1">SUMPRODUCT((Work_Codes!$N$200:$Y$200=$E213)*(Work_Codes!$N$214:$Y$214)*(S$83:S$83))</f>
        <v>0</v>
      </c>
      <c r="T213" s="81">
        <f ca="1">SUMPRODUCT((Work_Codes!$N$200:$Y$200=$E213)*(Work_Codes!$N$214:$Y$214)*(T$83:T$83))</f>
        <v>0</v>
      </c>
    </row>
    <row r="214" spans="2:20" outlineLevel="2">
      <c r="E214" s="247" t="str">
        <f>GC!C47</f>
        <v>Buildings</v>
      </c>
      <c r="F214" s="247"/>
      <c r="G214" s="247"/>
      <c r="H214" s="247"/>
      <c r="I214" s="247"/>
      <c r="J214" s="81">
        <f ca="1">SUMPRODUCT((Work_Codes!$N$200:$Y$200=$E214)*(Work_Codes!$N$214:$Y$214)*(J$83:J$83))</f>
        <v>0</v>
      </c>
      <c r="K214" s="81">
        <f ca="1">SUMPRODUCT((Work_Codes!$N$200:$Y$200=$E214)*(Work_Codes!$N$214:$Y$214)*(K$83:K$83))</f>
        <v>0</v>
      </c>
      <c r="L214" s="81">
        <f ca="1">SUMPRODUCT((Work_Codes!$N$200:$Y$200=$E214)*(Work_Codes!$N$214:$Y$214)*(L$83:L$83))</f>
        <v>0</v>
      </c>
      <c r="M214" s="81">
        <f ca="1">SUMPRODUCT((Work_Codes!$N$200:$Y$200=$E214)*(Work_Codes!$N$214:$Y$214)*(M$83:M$83))</f>
        <v>0</v>
      </c>
      <c r="N214" s="81">
        <f ca="1">SUMPRODUCT((Work_Codes!$N$200:$Y$200=$E214)*(Work_Codes!$N$214:$Y$214)*(N$83:N$83))</f>
        <v>0</v>
      </c>
      <c r="O214" s="81">
        <f ca="1">SUMPRODUCT((Work_Codes!$N$200:$Y$200=$E214)*(Work_Codes!$N$214:$Y$214)*(O$83:O$83))</f>
        <v>0</v>
      </c>
      <c r="P214" s="81">
        <f ca="1">SUMPRODUCT((Work_Codes!$N$200:$Y$200=$E214)*(Work_Codes!$N$214:$Y$214)*(P$83:P$83))</f>
        <v>0</v>
      </c>
      <c r="Q214" s="81">
        <f ca="1">SUMPRODUCT((Work_Codes!$N$200:$Y$200=$E214)*(Work_Codes!$N$214:$Y$214)*(Q$83:Q$83))</f>
        <v>0</v>
      </c>
      <c r="R214" s="81">
        <f ca="1">SUMPRODUCT((Work_Codes!$N$200:$Y$200=$E214)*(Work_Codes!$N$214:$Y$214)*(R$83:R$83))</f>
        <v>0</v>
      </c>
      <c r="S214" s="81">
        <f ca="1">SUMPRODUCT((Work_Codes!$N$200:$Y$200=$E214)*(Work_Codes!$N$214:$Y$214)*(S$83:S$83))</f>
        <v>0</v>
      </c>
      <c r="T214" s="81">
        <f ca="1">SUMPRODUCT((Work_Codes!$N$200:$Y$200=$E214)*(Work_Codes!$N$214:$Y$214)*(T$83:T$83))</f>
        <v>0</v>
      </c>
    </row>
    <row r="215" spans="2:20" outlineLevel="2">
      <c r="E215" s="247" t="str">
        <f>GC!C48</f>
        <v>Other - IT</v>
      </c>
      <c r="F215" s="247"/>
      <c r="G215" s="247"/>
      <c r="H215" s="247"/>
      <c r="I215" s="247"/>
      <c r="J215" s="81">
        <f ca="1">SUMPRODUCT((Work_Codes!$N$200:$Y$200=$E215)*(Work_Codes!$N$214:$Y$214)*(J$83:J$83))</f>
        <v>0</v>
      </c>
      <c r="K215" s="81">
        <f ca="1">SUMPRODUCT((Work_Codes!$N$200:$Y$200=$E215)*(Work_Codes!$N$214:$Y$214)*(K$83:K$83))</f>
        <v>0</v>
      </c>
      <c r="L215" s="81">
        <f ca="1">SUMPRODUCT((Work_Codes!$N$200:$Y$200=$E215)*(Work_Codes!$N$214:$Y$214)*(L$83:L$83))</f>
        <v>0</v>
      </c>
      <c r="M215" s="81">
        <f ca="1">SUMPRODUCT((Work_Codes!$N$200:$Y$200=$E215)*(Work_Codes!$N$214:$Y$214)*(M$83:M$83))</f>
        <v>0</v>
      </c>
      <c r="N215" s="81">
        <f ca="1">SUMPRODUCT((Work_Codes!$N$200:$Y$200=$E215)*(Work_Codes!$N$214:$Y$214)*(N$83:N$83))</f>
        <v>0</v>
      </c>
      <c r="O215" s="81">
        <f ca="1">SUMPRODUCT((Work_Codes!$N$200:$Y$200=$E215)*(Work_Codes!$N$214:$Y$214)*(O$83:O$83))</f>
        <v>0</v>
      </c>
      <c r="P215" s="81">
        <f ca="1">SUMPRODUCT((Work_Codes!$N$200:$Y$200=$E215)*(Work_Codes!$N$214:$Y$214)*(P$83:P$83))</f>
        <v>0</v>
      </c>
      <c r="Q215" s="81">
        <f ca="1">SUMPRODUCT((Work_Codes!$N$200:$Y$200=$E215)*(Work_Codes!$N$214:$Y$214)*(Q$83:Q$83))</f>
        <v>0</v>
      </c>
      <c r="R215" s="81">
        <f ca="1">SUMPRODUCT((Work_Codes!$N$200:$Y$200=$E215)*(Work_Codes!$N$214:$Y$214)*(R$83:R$83))</f>
        <v>0</v>
      </c>
      <c r="S215" s="81">
        <f ca="1">SUMPRODUCT((Work_Codes!$N$200:$Y$200=$E215)*(Work_Codes!$N$214:$Y$214)*(S$83:S$83))</f>
        <v>0</v>
      </c>
      <c r="T215" s="81">
        <f ca="1">SUMPRODUCT((Work_Codes!$N$200:$Y$200=$E215)*(Work_Codes!$N$214:$Y$214)*(T$83:T$83))</f>
        <v>0</v>
      </c>
    </row>
    <row r="216" spans="2:20" outlineLevel="2">
      <c r="E216" s="247" t="str">
        <f>GC!C49</f>
        <v>Other - non IT</v>
      </c>
      <c r="F216" s="247"/>
      <c r="G216" s="247"/>
      <c r="H216" s="247"/>
      <c r="I216" s="247"/>
      <c r="J216" s="81">
        <f ca="1">SUMPRODUCT((Work_Codes!$N$200:$Y$200=$E216)*(Work_Codes!$N$214:$Y$214)*(J$83:J$83))</f>
        <v>0</v>
      </c>
      <c r="K216" s="81">
        <f ca="1">SUMPRODUCT((Work_Codes!$N$200:$Y$200=$E216)*(Work_Codes!$N$214:$Y$214)*(K$83:K$83))</f>
        <v>0</v>
      </c>
      <c r="L216" s="81">
        <f ca="1">SUMPRODUCT((Work_Codes!$N$200:$Y$200=$E216)*(Work_Codes!$N$214:$Y$214)*(L$83:L$83))</f>
        <v>0</v>
      </c>
      <c r="M216" s="81">
        <f ca="1">SUMPRODUCT((Work_Codes!$N$200:$Y$200=$E216)*(Work_Codes!$N$214:$Y$214)*(M$83:M$83))</f>
        <v>0</v>
      </c>
      <c r="N216" s="81">
        <f ca="1">SUMPRODUCT((Work_Codes!$N$200:$Y$200=$E216)*(Work_Codes!$N$214:$Y$214)*(N$83:N$83))</f>
        <v>0</v>
      </c>
      <c r="O216" s="81">
        <f ca="1">SUMPRODUCT((Work_Codes!$N$200:$Y$200=$E216)*(Work_Codes!$N$214:$Y$214)*(O$83:O$83))</f>
        <v>0</v>
      </c>
      <c r="P216" s="81">
        <f ca="1">SUMPRODUCT((Work_Codes!$N$200:$Y$200=$E216)*(Work_Codes!$N$214:$Y$214)*(P$83:P$83))</f>
        <v>0</v>
      </c>
      <c r="Q216" s="81">
        <f ca="1">SUMPRODUCT((Work_Codes!$N$200:$Y$200=$E216)*(Work_Codes!$N$214:$Y$214)*(Q$83:Q$83))</f>
        <v>0</v>
      </c>
      <c r="R216" s="81">
        <f ca="1">SUMPRODUCT((Work_Codes!$N$200:$Y$200=$E216)*(Work_Codes!$N$214:$Y$214)*(R$83:R$83))</f>
        <v>0</v>
      </c>
      <c r="S216" s="81">
        <f ca="1">SUMPRODUCT((Work_Codes!$N$200:$Y$200=$E216)*(Work_Codes!$N$214:$Y$214)*(S$83:S$83))</f>
        <v>0</v>
      </c>
      <c r="T216" s="81">
        <f ca="1">SUMPRODUCT((Work_Codes!$N$200:$Y$200=$E216)*(Work_Codes!$N$214:$Y$214)*(T$83:T$83))</f>
        <v>0</v>
      </c>
    </row>
    <row r="217" spans="2:20" outlineLevel="2">
      <c r="E217" s="247" t="str">
        <f>GC!C50</f>
        <v>Land</v>
      </c>
      <c r="F217" s="247"/>
      <c r="G217" s="247"/>
      <c r="H217" s="247"/>
      <c r="I217" s="247"/>
      <c r="J217" s="81">
        <f ca="1">SUMPRODUCT((Work_Codes!$N$200:$Y$200=$E217)*(Work_Codes!$N$214:$Y$214)*(J$83:J$83))</f>
        <v>0</v>
      </c>
      <c r="K217" s="81">
        <f ca="1">SUMPRODUCT((Work_Codes!$N$200:$Y$200=$E217)*(Work_Codes!$N$214:$Y$214)*(K$83:K$83))</f>
        <v>0</v>
      </c>
      <c r="L217" s="81">
        <f ca="1">SUMPRODUCT((Work_Codes!$N$200:$Y$200=$E217)*(Work_Codes!$N$214:$Y$214)*(L$83:L$83))</f>
        <v>0</v>
      </c>
      <c r="M217" s="81">
        <f ca="1">SUMPRODUCT((Work_Codes!$N$200:$Y$200=$E217)*(Work_Codes!$N$214:$Y$214)*(M$83:M$83))</f>
        <v>0</v>
      </c>
      <c r="N217" s="81">
        <f ca="1">SUMPRODUCT((Work_Codes!$N$200:$Y$200=$E217)*(Work_Codes!$N$214:$Y$214)*(N$83:N$83))</f>
        <v>0</v>
      </c>
      <c r="O217" s="81">
        <f ca="1">SUMPRODUCT((Work_Codes!$N$200:$Y$200=$E217)*(Work_Codes!$N$214:$Y$214)*(O$83:O$83))</f>
        <v>0</v>
      </c>
      <c r="P217" s="81">
        <f ca="1">SUMPRODUCT((Work_Codes!$N$200:$Y$200=$E217)*(Work_Codes!$N$214:$Y$214)*(P$83:P$83))</f>
        <v>0</v>
      </c>
      <c r="Q217" s="81">
        <f ca="1">SUMPRODUCT((Work_Codes!$N$200:$Y$200=$E217)*(Work_Codes!$N$214:$Y$214)*(Q$83:Q$83))</f>
        <v>0</v>
      </c>
      <c r="R217" s="81">
        <f ca="1">SUMPRODUCT((Work_Codes!$N$200:$Y$200=$E217)*(Work_Codes!$N$214:$Y$214)*(R$83:R$83))</f>
        <v>0</v>
      </c>
      <c r="S217" s="81">
        <f ca="1">SUMPRODUCT((Work_Codes!$N$200:$Y$200=$E217)*(Work_Codes!$N$214:$Y$214)*(S$83:S$83))</f>
        <v>0</v>
      </c>
      <c r="T217" s="81">
        <f ca="1">SUMPRODUCT((Work_Codes!$N$200:$Y$200=$E217)*(Work_Codes!$N$214:$Y$214)*(T$83:T$83))</f>
        <v>0</v>
      </c>
    </row>
    <row r="218" spans="2:20" outlineLevel="2">
      <c r="E218" s="247" t="str">
        <f>GC!C51</f>
        <v>Capitalised Leases</v>
      </c>
      <c r="F218" s="247"/>
      <c r="G218" s="247"/>
      <c r="H218" s="247"/>
      <c r="I218" s="247"/>
      <c r="J218" s="81">
        <f ca="1">SUMPRODUCT((Work_Codes!$N$200:$Y$200=$E218)*(Work_Codes!$N$214:$Y$214)*(J$83:J$83))</f>
        <v>0</v>
      </c>
      <c r="K218" s="81">
        <f ca="1">SUMPRODUCT((Work_Codes!$N$200:$Y$200=$E218)*(Work_Codes!$N$214:$Y$214)*(K$83:K$83))</f>
        <v>0</v>
      </c>
      <c r="L218" s="81">
        <f ca="1">SUMPRODUCT((Work_Codes!$N$200:$Y$200=$E218)*(Work_Codes!$N$214:$Y$214)*(L$83:L$83))</f>
        <v>0</v>
      </c>
      <c r="M218" s="81">
        <f ca="1">SUMPRODUCT((Work_Codes!$N$200:$Y$200=$E218)*(Work_Codes!$N$214:$Y$214)*(M$83:M$83))</f>
        <v>0</v>
      </c>
      <c r="N218" s="81">
        <f ca="1">SUMPRODUCT((Work_Codes!$N$200:$Y$200=$E218)*(Work_Codes!$N$214:$Y$214)*(N$83:N$83))</f>
        <v>0</v>
      </c>
      <c r="O218" s="81">
        <f ca="1">SUMPRODUCT((Work_Codes!$N$200:$Y$200=$E218)*(Work_Codes!$N$214:$Y$214)*(O$83:O$83))</f>
        <v>0</v>
      </c>
      <c r="P218" s="81">
        <f ca="1">SUMPRODUCT((Work_Codes!$N$200:$Y$200=$E218)*(Work_Codes!$N$214:$Y$214)*(P$83:P$83))</f>
        <v>0</v>
      </c>
      <c r="Q218" s="81">
        <f ca="1">SUMPRODUCT((Work_Codes!$N$200:$Y$200=$E218)*(Work_Codes!$N$214:$Y$214)*(Q$83:Q$83))</f>
        <v>0</v>
      </c>
      <c r="R218" s="81">
        <f ca="1">SUMPRODUCT((Work_Codes!$N$200:$Y$200=$E218)*(Work_Codes!$N$214:$Y$214)*(R$83:R$83))</f>
        <v>0</v>
      </c>
      <c r="S218" s="81">
        <f ca="1">SUMPRODUCT((Work_Codes!$N$200:$Y$200=$E218)*(Work_Codes!$N$214:$Y$214)*(S$83:S$83))</f>
        <v>0</v>
      </c>
      <c r="T218" s="81">
        <f ca="1">SUMPRODUCT((Work_Codes!$N$200:$Y$200=$E218)*(Work_Codes!$N$214:$Y$214)*(T$83:T$83))</f>
        <v>0</v>
      </c>
    </row>
    <row r="219" spans="2:20" outlineLevel="2">
      <c r="E219" s="247" t="str">
        <f>GC!C52</f>
        <v>Transmission pipelines - post 1998</v>
      </c>
      <c r="F219" s="247"/>
      <c r="G219" s="247"/>
      <c r="H219" s="247"/>
      <c r="I219" s="247"/>
      <c r="J219" s="81">
        <f ca="1">SUMPRODUCT((Work_Codes!$N$200:$Y$200=$E219)*(Work_Codes!$N$214:$Y$214)*(J$83:J$83))</f>
        <v>0</v>
      </c>
      <c r="K219" s="81">
        <f ca="1">SUMPRODUCT((Work_Codes!$N$200:$Y$200=$E219)*(Work_Codes!$N$214:$Y$214)*(K$83:K$83))</f>
        <v>0</v>
      </c>
      <c r="L219" s="81">
        <f ca="1">SUMPRODUCT((Work_Codes!$N$200:$Y$200=$E219)*(Work_Codes!$N$214:$Y$214)*(L$83:L$83))</f>
        <v>0</v>
      </c>
      <c r="M219" s="81">
        <f ca="1">SUMPRODUCT((Work_Codes!$N$200:$Y$200=$E219)*(Work_Codes!$N$214:$Y$214)*(M$83:M$83))</f>
        <v>0</v>
      </c>
      <c r="N219" s="81">
        <f ca="1">SUMPRODUCT((Work_Codes!$N$200:$Y$200=$E219)*(Work_Codes!$N$214:$Y$214)*(N$83:N$83))</f>
        <v>0</v>
      </c>
      <c r="O219" s="81">
        <f ca="1">SUMPRODUCT((Work_Codes!$N$200:$Y$200=$E219)*(Work_Codes!$N$214:$Y$214)*(O$83:O$83))</f>
        <v>0</v>
      </c>
      <c r="P219" s="81">
        <f ca="1">SUMPRODUCT((Work_Codes!$N$200:$Y$200=$E219)*(Work_Codes!$N$214:$Y$214)*(P$83:P$83))</f>
        <v>0</v>
      </c>
      <c r="Q219" s="81">
        <f ca="1">SUMPRODUCT((Work_Codes!$N$200:$Y$200=$E219)*(Work_Codes!$N$214:$Y$214)*(Q$83:Q$83))</f>
        <v>0</v>
      </c>
      <c r="R219" s="81">
        <f ca="1">SUMPRODUCT((Work_Codes!$N$200:$Y$200=$E219)*(Work_Codes!$N$214:$Y$214)*(R$83:R$83))</f>
        <v>0</v>
      </c>
      <c r="S219" s="81">
        <f ca="1">SUMPRODUCT((Work_Codes!$N$200:$Y$200=$E219)*(Work_Codes!$N$214:$Y$214)*(S$83:S$83))</f>
        <v>0</v>
      </c>
      <c r="T219" s="81">
        <f ca="1">SUMPRODUCT((Work_Codes!$N$200:$Y$200=$E219)*(Work_Codes!$N$214:$Y$214)*(T$83:T$83))</f>
        <v>0</v>
      </c>
    </row>
    <row r="220" spans="2:20" outlineLevel="2">
      <c r="E220" s="247" t="str">
        <f>GC!C53</f>
        <v>Distribution pipelines - post 1998</v>
      </c>
      <c r="F220" s="247"/>
      <c r="G220" s="247"/>
      <c r="H220" s="247"/>
      <c r="I220" s="247"/>
      <c r="J220" s="81">
        <f ca="1">SUMPRODUCT((Work_Codes!$N$200:$Y$200=$E220)*(Work_Codes!$N$214:$Y$214)*(J$83:J$83))</f>
        <v>0</v>
      </c>
      <c r="K220" s="81">
        <f ca="1">SUMPRODUCT((Work_Codes!$N$200:$Y$200=$E220)*(Work_Codes!$N$214:$Y$214)*(K$83:K$83))</f>
        <v>0</v>
      </c>
      <c r="L220" s="81">
        <f ca="1">SUMPRODUCT((Work_Codes!$N$200:$Y$200=$E220)*(Work_Codes!$N$214:$Y$214)*(L$83:L$83))</f>
        <v>0</v>
      </c>
      <c r="M220" s="81">
        <f ca="1">SUMPRODUCT((Work_Codes!$N$200:$Y$200=$E220)*(Work_Codes!$N$214:$Y$214)*(M$83:M$83))</f>
        <v>0</v>
      </c>
      <c r="N220" s="81">
        <f ca="1">SUMPRODUCT((Work_Codes!$N$200:$Y$200=$E220)*(Work_Codes!$N$214:$Y$214)*(N$83:N$83))</f>
        <v>0</v>
      </c>
      <c r="O220" s="81">
        <f ca="1">SUMPRODUCT((Work_Codes!$N$200:$Y$200=$E220)*(Work_Codes!$N$214:$Y$214)*(O$83:O$83))</f>
        <v>0</v>
      </c>
      <c r="P220" s="81">
        <f ca="1">SUMPRODUCT((Work_Codes!$N$200:$Y$200=$E220)*(Work_Codes!$N$214:$Y$214)*(P$83:P$83))</f>
        <v>0</v>
      </c>
      <c r="Q220" s="81">
        <f ca="1">SUMPRODUCT((Work_Codes!$N$200:$Y$200=$E220)*(Work_Codes!$N$214:$Y$214)*(Q$83:Q$83))</f>
        <v>0</v>
      </c>
      <c r="R220" s="81">
        <f ca="1">SUMPRODUCT((Work_Codes!$N$200:$Y$200=$E220)*(Work_Codes!$N$214:$Y$214)*(R$83:R$83))</f>
        <v>0</v>
      </c>
      <c r="S220" s="81">
        <f ca="1">SUMPRODUCT((Work_Codes!$N$200:$Y$200=$E220)*(Work_Codes!$N$214:$Y$214)*(S$83:S$83))</f>
        <v>0</v>
      </c>
      <c r="T220" s="81">
        <f ca="1">SUMPRODUCT((Work_Codes!$N$200:$Y$200=$E220)*(Work_Codes!$N$214:$Y$214)*(T$83:T$83))</f>
        <v>0</v>
      </c>
    </row>
    <row r="221" spans="2:20" outlineLevel="2">
      <c r="E221" s="247" t="str">
        <f>GC!C54</f>
        <v>Service pipes - post 1998</v>
      </c>
      <c r="F221" s="247"/>
      <c r="G221" s="247"/>
      <c r="H221" s="247"/>
      <c r="I221" s="247"/>
      <c r="J221" s="81">
        <f ca="1">SUMPRODUCT((Work_Codes!$N$200:$Y$200=$E221)*(Work_Codes!$N$214:$Y$214)*(J$83:J$83))</f>
        <v>0</v>
      </c>
      <c r="K221" s="81">
        <f ca="1">SUMPRODUCT((Work_Codes!$N$200:$Y$200=$E221)*(Work_Codes!$N$214:$Y$214)*(K$83:K$83))</f>
        <v>0</v>
      </c>
      <c r="L221" s="81">
        <f ca="1">SUMPRODUCT((Work_Codes!$N$200:$Y$200=$E221)*(Work_Codes!$N$214:$Y$214)*(L$83:L$83))</f>
        <v>0</v>
      </c>
      <c r="M221" s="81">
        <f ca="1">SUMPRODUCT((Work_Codes!$N$200:$Y$200=$E221)*(Work_Codes!$N$214:$Y$214)*(M$83:M$83))</f>
        <v>0</v>
      </c>
      <c r="N221" s="81">
        <f ca="1">SUMPRODUCT((Work_Codes!$N$200:$Y$200=$E221)*(Work_Codes!$N$214:$Y$214)*(N$83:N$83))</f>
        <v>0</v>
      </c>
      <c r="O221" s="81">
        <f ca="1">SUMPRODUCT((Work_Codes!$N$200:$Y$200=$E221)*(Work_Codes!$N$214:$Y$214)*(O$83:O$83))</f>
        <v>0</v>
      </c>
      <c r="P221" s="81">
        <f ca="1">SUMPRODUCT((Work_Codes!$N$200:$Y$200=$E221)*(Work_Codes!$N$214:$Y$214)*(P$83:P$83))</f>
        <v>0</v>
      </c>
      <c r="Q221" s="81">
        <f ca="1">SUMPRODUCT((Work_Codes!$N$200:$Y$200=$E221)*(Work_Codes!$N$214:$Y$214)*(Q$83:Q$83))</f>
        <v>0</v>
      </c>
      <c r="R221" s="81">
        <f ca="1">SUMPRODUCT((Work_Codes!$N$200:$Y$200=$E221)*(Work_Codes!$N$214:$Y$214)*(R$83:R$83))</f>
        <v>0</v>
      </c>
      <c r="S221" s="81">
        <f ca="1">SUMPRODUCT((Work_Codes!$N$200:$Y$200=$E221)*(Work_Codes!$N$214:$Y$214)*(S$83:S$83))</f>
        <v>0</v>
      </c>
      <c r="T221" s="81">
        <f ca="1">SUMPRODUCT((Work_Codes!$N$200:$Y$200=$E221)*(Work_Codes!$N$214:$Y$214)*(T$83:T$83))</f>
        <v>0</v>
      </c>
    </row>
    <row r="222" spans="2:20" outlineLevel="2">
      <c r="E222" s="247" t="str">
        <f>GC!C55</f>
        <v>Cathodic protection - post 1998</v>
      </c>
      <c r="F222" s="247"/>
      <c r="G222" s="247"/>
      <c r="H222" s="247"/>
      <c r="I222" s="247"/>
      <c r="J222" s="81">
        <f ca="1">SUMPRODUCT((Work_Codes!$N$200:$Y$200=$E222)*(Work_Codes!$N$214:$Y$214)*(J$83:J$83))</f>
        <v>0</v>
      </c>
      <c r="K222" s="81">
        <f ca="1">SUMPRODUCT((Work_Codes!$N$200:$Y$200=$E222)*(Work_Codes!$N$214:$Y$214)*(K$83:K$83))</f>
        <v>0</v>
      </c>
      <c r="L222" s="81">
        <f ca="1">SUMPRODUCT((Work_Codes!$N$200:$Y$200=$E222)*(Work_Codes!$N$214:$Y$214)*(L$83:L$83))</f>
        <v>0</v>
      </c>
      <c r="M222" s="81">
        <f ca="1">SUMPRODUCT((Work_Codes!$N$200:$Y$200=$E222)*(Work_Codes!$N$214:$Y$214)*(M$83:M$83))</f>
        <v>0</v>
      </c>
      <c r="N222" s="81">
        <f ca="1">SUMPRODUCT((Work_Codes!$N$200:$Y$200=$E222)*(Work_Codes!$N$214:$Y$214)*(N$83:N$83))</f>
        <v>0</v>
      </c>
      <c r="O222" s="81">
        <f ca="1">SUMPRODUCT((Work_Codes!$N$200:$Y$200=$E222)*(Work_Codes!$N$214:$Y$214)*(O$83:O$83))</f>
        <v>0</v>
      </c>
      <c r="P222" s="81">
        <f ca="1">SUMPRODUCT((Work_Codes!$N$200:$Y$200=$E222)*(Work_Codes!$N$214:$Y$214)*(P$83:P$83))</f>
        <v>0</v>
      </c>
      <c r="Q222" s="81">
        <f ca="1">SUMPRODUCT((Work_Codes!$N$200:$Y$200=$E222)*(Work_Codes!$N$214:$Y$214)*(Q$83:Q$83))</f>
        <v>0</v>
      </c>
      <c r="R222" s="81">
        <f ca="1">SUMPRODUCT((Work_Codes!$N$200:$Y$200=$E222)*(Work_Codes!$N$214:$Y$214)*(R$83:R$83))</f>
        <v>0</v>
      </c>
      <c r="S222" s="81">
        <f ca="1">SUMPRODUCT((Work_Codes!$N$200:$Y$200=$E222)*(Work_Codes!$N$214:$Y$214)*(S$83:S$83))</f>
        <v>0</v>
      </c>
      <c r="T222" s="81">
        <f ca="1">SUMPRODUCT((Work_Codes!$N$200:$Y$200=$E222)*(Work_Codes!$N$214:$Y$214)*(T$83:T$83))</f>
        <v>0</v>
      </c>
    </row>
    <row r="223" spans="2:20" outlineLevel="2">
      <c r="E223" s="249" t="str">
        <f>"Total "&amp;D205</f>
        <v>Total Customer Contributions</v>
      </c>
      <c r="F223" s="249"/>
      <c r="G223" s="249"/>
      <c r="H223" s="249"/>
      <c r="I223" s="249"/>
      <c r="J223" s="82">
        <f t="shared" ref="J223:T223" ca="1" si="25">SUM(J207:J222)</f>
        <v>0</v>
      </c>
      <c r="K223" s="82">
        <f t="shared" ca="1" si="25"/>
        <v>0</v>
      </c>
      <c r="L223" s="82">
        <f t="shared" ca="1" si="25"/>
        <v>0</v>
      </c>
      <c r="M223" s="82">
        <f t="shared" ca="1" si="25"/>
        <v>0</v>
      </c>
      <c r="N223" s="82">
        <f t="shared" ca="1" si="25"/>
        <v>0</v>
      </c>
      <c r="O223" s="82">
        <f t="shared" ca="1" si="25"/>
        <v>0</v>
      </c>
      <c r="P223" s="82">
        <f t="shared" ca="1" si="25"/>
        <v>0</v>
      </c>
      <c r="Q223" s="82">
        <f t="shared" ca="1" si="25"/>
        <v>0</v>
      </c>
      <c r="R223" s="82">
        <f t="shared" ca="1" si="25"/>
        <v>0</v>
      </c>
      <c r="S223" s="82">
        <f t="shared" ca="1" si="25"/>
        <v>0</v>
      </c>
      <c r="T223" s="82">
        <f t="shared" ca="1" si="25"/>
        <v>0</v>
      </c>
    </row>
    <row r="224" spans="2:20" outlineLevel="1">
      <c r="B224" s="12"/>
      <c r="C224" s="12"/>
      <c r="D224" s="12"/>
      <c r="E224" s="12"/>
      <c r="F224" s="12"/>
      <c r="G224" s="12"/>
      <c r="H224" s="12"/>
      <c r="I224" s="12"/>
      <c r="J224" s="12"/>
      <c r="K224" s="12"/>
      <c r="L224" s="12"/>
      <c r="M224" s="12"/>
      <c r="N224" s="12"/>
      <c r="O224" s="12"/>
      <c r="P224" s="12"/>
      <c r="Q224" s="12"/>
      <c r="R224" s="12"/>
      <c r="S224" s="12"/>
      <c r="T224" s="12"/>
    </row>
    <row r="225" spans="3:20" outlineLevel="1"/>
    <row r="226" spans="3:20" outlineLevel="1">
      <c r="C226" s="37" t="s">
        <v>196</v>
      </c>
    </row>
    <row r="227" spans="3:20" ht="5.9" customHeight="1" outlineLevel="2"/>
    <row r="228" spans="3:20" outlineLevel="2">
      <c r="D228" s="37" t="s">
        <v>215</v>
      </c>
    </row>
    <row r="229" spans="3:20" ht="5.9" customHeight="1" outlineLevel="2"/>
    <row r="230" spans="3:20" ht="12" customHeight="1" outlineLevel="2">
      <c r="E230" s="247" t="str">
        <f>GC!C60</f>
        <v>Mains replacement</v>
      </c>
      <c r="F230" s="247"/>
      <c r="G230" s="247"/>
      <c r="H230" s="247"/>
      <c r="I230" s="247"/>
      <c r="J230" s="81">
        <f ca="1">SUMPRODUCT((Work_Codes!$AC$200:$AO$200=$E230)*(Work_Codes!$AC$203:$AO$210)*(J$131:J$138))</f>
        <v>0</v>
      </c>
      <c r="K230" s="81">
        <f ca="1">SUMPRODUCT((Work_Codes!$AC$200:$AO$200=$E230)*(Work_Codes!$AC$203:$AO$210)*(K$131:K$138))</f>
        <v>0</v>
      </c>
      <c r="L230" s="81">
        <f ca="1">SUMPRODUCT((Work_Codes!$AC$200:$AO$200=$E230)*(Work_Codes!$AC$203:$AO$210)*(L$131:L$138))</f>
        <v>0</v>
      </c>
      <c r="M230" s="81">
        <f ca="1">SUMPRODUCT((Work_Codes!$AC$200:$AO$200=$E230)*(Work_Codes!$AC$203:$AO$210)*(M$131:M$138))</f>
        <v>0</v>
      </c>
      <c r="N230" s="81">
        <f ca="1">SUMPRODUCT((Work_Codes!$AC$200:$AO$200=$E230)*(Work_Codes!$AC$203:$AO$210)*(N$131:N$138))</f>
        <v>0</v>
      </c>
      <c r="O230" s="81">
        <f ca="1">SUMPRODUCT((Work_Codes!$AC$200:$AO$200=$E230)*(Work_Codes!$AC$203:$AO$210)*(O$131:O$138))</f>
        <v>0</v>
      </c>
      <c r="P230" s="81">
        <f ca="1">SUMPRODUCT((Work_Codes!$AC$200:$AO$200=$E230)*(Work_Codes!$AC$203:$AO$210)*(P$131:P$138))</f>
        <v>0</v>
      </c>
      <c r="Q230" s="81">
        <f ca="1">SUMPRODUCT((Work_Codes!$AC$200:$AO$200=$E230)*(Work_Codes!$AC$203:$AO$210)*(Q$131:Q$138))</f>
        <v>0</v>
      </c>
      <c r="R230" s="81">
        <f ca="1">SUMPRODUCT((Work_Codes!$AC$200:$AO$200=$E230)*(Work_Codes!$AC$203:$AO$210)*(R$131:R$138))</f>
        <v>0</v>
      </c>
      <c r="S230" s="81">
        <f ca="1">SUMPRODUCT((Work_Codes!$AC$200:$AO$200=$E230)*(Work_Codes!$AC$203:$AO$210)*(S$131:S$138))</f>
        <v>0</v>
      </c>
      <c r="T230" s="81">
        <f ca="1">SUMPRODUCT((Work_Codes!$AC$200:$AO$200=$E230)*(Work_Codes!$AC$203:$AO$210)*(T$131:T$138))</f>
        <v>0</v>
      </c>
    </row>
    <row r="231" spans="3:20" ht="12" customHeight="1" outlineLevel="2">
      <c r="E231" s="247" t="str">
        <f>GC!C61</f>
        <v>Residential new customer connections</v>
      </c>
      <c r="F231" s="247"/>
      <c r="G231" s="247"/>
      <c r="H231" s="247"/>
      <c r="I231" s="247"/>
      <c r="J231" s="81">
        <f ca="1">SUMPRODUCT((Work_Codes!$AC$200:$AO$200=$E231)*(Work_Codes!$AC$203:$AO$210)*(J$131:J$138))</f>
        <v>0</v>
      </c>
      <c r="K231" s="81">
        <f ca="1">SUMPRODUCT((Work_Codes!$AC$200:$AO$200=$E231)*(Work_Codes!$AC$203:$AO$210)*(K$131:K$138))</f>
        <v>0</v>
      </c>
      <c r="L231" s="81">
        <f ca="1">SUMPRODUCT((Work_Codes!$AC$200:$AO$200=$E231)*(Work_Codes!$AC$203:$AO$210)*(L$131:L$138))</f>
        <v>0</v>
      </c>
      <c r="M231" s="81">
        <f ca="1">SUMPRODUCT((Work_Codes!$AC$200:$AO$200=$E231)*(Work_Codes!$AC$203:$AO$210)*(M$131:M$138))</f>
        <v>0</v>
      </c>
      <c r="N231" s="81">
        <f ca="1">SUMPRODUCT((Work_Codes!$AC$200:$AO$200=$E231)*(Work_Codes!$AC$203:$AO$210)*(N$131:N$138))</f>
        <v>0</v>
      </c>
      <c r="O231" s="81">
        <f ca="1">SUMPRODUCT((Work_Codes!$AC$200:$AO$200=$E231)*(Work_Codes!$AC$203:$AO$210)*(O$131:O$138))</f>
        <v>0</v>
      </c>
      <c r="P231" s="81">
        <f ca="1">SUMPRODUCT((Work_Codes!$AC$200:$AO$200=$E231)*(Work_Codes!$AC$203:$AO$210)*(P$131:P$138))</f>
        <v>0</v>
      </c>
      <c r="Q231" s="81">
        <f ca="1">SUMPRODUCT((Work_Codes!$AC$200:$AO$200=$E231)*(Work_Codes!$AC$203:$AO$210)*(Q$131:Q$138))</f>
        <v>0</v>
      </c>
      <c r="R231" s="81">
        <f ca="1">SUMPRODUCT((Work_Codes!$AC$200:$AO$200=$E231)*(Work_Codes!$AC$203:$AO$210)*(R$131:R$138))</f>
        <v>0</v>
      </c>
      <c r="S231" s="81">
        <f ca="1">SUMPRODUCT((Work_Codes!$AC$200:$AO$200=$E231)*(Work_Codes!$AC$203:$AO$210)*(S$131:S$138))</f>
        <v>0</v>
      </c>
      <c r="T231" s="81">
        <f ca="1">SUMPRODUCT((Work_Codes!$AC$200:$AO$200=$E231)*(Work_Codes!$AC$203:$AO$210)*(T$131:T$138))</f>
        <v>0</v>
      </c>
    </row>
    <row r="232" spans="3:20" ht="12" customHeight="1" outlineLevel="2">
      <c r="E232" s="247" t="str">
        <f>GC!C62</f>
        <v>Commercial and industrial new customer connections</v>
      </c>
      <c r="F232" s="247"/>
      <c r="G232" s="247"/>
      <c r="H232" s="247"/>
      <c r="I232" s="247"/>
      <c r="J232" s="81">
        <f ca="1">SUMPRODUCT((Work_Codes!$AC$200:$AO$200=$E232)*(Work_Codes!$AC$203:$AO$210)*(J$131:J$138))</f>
        <v>0</v>
      </c>
      <c r="K232" s="81">
        <f ca="1">SUMPRODUCT((Work_Codes!$AC$200:$AO$200=$E232)*(Work_Codes!$AC$203:$AO$210)*(K$131:K$138))</f>
        <v>0</v>
      </c>
      <c r="L232" s="81">
        <f ca="1">SUMPRODUCT((Work_Codes!$AC$200:$AO$200=$E232)*(Work_Codes!$AC$203:$AO$210)*(L$131:L$138))</f>
        <v>0</v>
      </c>
      <c r="M232" s="81">
        <f ca="1">SUMPRODUCT((Work_Codes!$AC$200:$AO$200=$E232)*(Work_Codes!$AC$203:$AO$210)*(M$131:M$138))</f>
        <v>0</v>
      </c>
      <c r="N232" s="81">
        <f ca="1">SUMPRODUCT((Work_Codes!$AC$200:$AO$200=$E232)*(Work_Codes!$AC$203:$AO$210)*(N$131:N$138))</f>
        <v>0</v>
      </c>
      <c r="O232" s="81">
        <f ca="1">SUMPRODUCT((Work_Codes!$AC$200:$AO$200=$E232)*(Work_Codes!$AC$203:$AO$210)*(O$131:O$138))</f>
        <v>0</v>
      </c>
      <c r="P232" s="81">
        <f ca="1">SUMPRODUCT((Work_Codes!$AC$200:$AO$200=$E232)*(Work_Codes!$AC$203:$AO$210)*(P$131:P$138))</f>
        <v>0</v>
      </c>
      <c r="Q232" s="81">
        <f ca="1">SUMPRODUCT((Work_Codes!$AC$200:$AO$200=$E232)*(Work_Codes!$AC$203:$AO$210)*(Q$131:Q$138))</f>
        <v>0</v>
      </c>
      <c r="R232" s="81">
        <f ca="1">SUMPRODUCT((Work_Codes!$AC$200:$AO$200=$E232)*(Work_Codes!$AC$203:$AO$210)*(R$131:R$138))</f>
        <v>0</v>
      </c>
      <c r="S232" s="81">
        <f ca="1">SUMPRODUCT((Work_Codes!$AC$200:$AO$200=$E232)*(Work_Codes!$AC$203:$AO$210)*(S$131:S$138))</f>
        <v>0</v>
      </c>
      <c r="T232" s="81">
        <f ca="1">SUMPRODUCT((Work_Codes!$AC$200:$AO$200=$E232)*(Work_Codes!$AC$203:$AO$210)*(T$131:T$138))</f>
        <v>0</v>
      </c>
    </row>
    <row r="233" spans="3:20" ht="12" customHeight="1" outlineLevel="2">
      <c r="E233" s="247" t="str">
        <f>GC!C63</f>
        <v>Residential meter replacement</v>
      </c>
      <c r="F233" s="247"/>
      <c r="G233" s="247"/>
      <c r="H233" s="247"/>
      <c r="I233" s="247"/>
      <c r="J233" s="81">
        <f ca="1">SUMPRODUCT((Work_Codes!$AC$200:$AO$200=$E233)*(Work_Codes!$AC$203:$AO$210)*(J$131:J$138))</f>
        <v>0</v>
      </c>
      <c r="K233" s="81">
        <f ca="1">SUMPRODUCT((Work_Codes!$AC$200:$AO$200=$E233)*(Work_Codes!$AC$203:$AO$210)*(K$131:K$138))</f>
        <v>0</v>
      </c>
      <c r="L233" s="81">
        <f ca="1">SUMPRODUCT((Work_Codes!$AC$200:$AO$200=$E233)*(Work_Codes!$AC$203:$AO$210)*(L$131:L$138))</f>
        <v>0</v>
      </c>
      <c r="M233" s="81">
        <f ca="1">SUMPRODUCT((Work_Codes!$AC$200:$AO$200=$E233)*(Work_Codes!$AC$203:$AO$210)*(M$131:M$138))</f>
        <v>0</v>
      </c>
      <c r="N233" s="81">
        <f ca="1">SUMPRODUCT((Work_Codes!$AC$200:$AO$200=$E233)*(Work_Codes!$AC$203:$AO$210)*(N$131:N$138))</f>
        <v>0</v>
      </c>
      <c r="O233" s="81">
        <f ca="1">SUMPRODUCT((Work_Codes!$AC$200:$AO$200=$E233)*(Work_Codes!$AC$203:$AO$210)*(O$131:O$138))</f>
        <v>0</v>
      </c>
      <c r="P233" s="81">
        <f ca="1">SUMPRODUCT((Work_Codes!$AC$200:$AO$200=$E233)*(Work_Codes!$AC$203:$AO$210)*(P$131:P$138))</f>
        <v>0</v>
      </c>
      <c r="Q233" s="81">
        <f ca="1">SUMPRODUCT((Work_Codes!$AC$200:$AO$200=$E233)*(Work_Codes!$AC$203:$AO$210)*(Q$131:Q$138))</f>
        <v>0</v>
      </c>
      <c r="R233" s="81">
        <f ca="1">SUMPRODUCT((Work_Codes!$AC$200:$AO$200=$E233)*(Work_Codes!$AC$203:$AO$210)*(R$131:R$138))</f>
        <v>0</v>
      </c>
      <c r="S233" s="81">
        <f ca="1">SUMPRODUCT((Work_Codes!$AC$200:$AO$200=$E233)*(Work_Codes!$AC$203:$AO$210)*(S$131:S$138))</f>
        <v>0</v>
      </c>
      <c r="T233" s="81">
        <f ca="1">SUMPRODUCT((Work_Codes!$AC$200:$AO$200=$E233)*(Work_Codes!$AC$203:$AO$210)*(T$131:T$138))</f>
        <v>0</v>
      </c>
    </row>
    <row r="234" spans="3:20" ht="12" customHeight="1" outlineLevel="2">
      <c r="E234" s="247" t="str">
        <f>GC!C64</f>
        <v>Commercial and industrial meter replacement</v>
      </c>
      <c r="F234" s="247"/>
      <c r="G234" s="247"/>
      <c r="H234" s="247"/>
      <c r="I234" s="247"/>
      <c r="J234" s="81">
        <f ca="1">SUMPRODUCT((Work_Codes!$AC$200:$AO$200=$E234)*(Work_Codes!$AC$203:$AO$210)*(J$131:J$138))</f>
        <v>0</v>
      </c>
      <c r="K234" s="81">
        <f ca="1">SUMPRODUCT((Work_Codes!$AC$200:$AO$200=$E234)*(Work_Codes!$AC$203:$AO$210)*(K$131:K$138))</f>
        <v>0</v>
      </c>
      <c r="L234" s="81">
        <f ca="1">SUMPRODUCT((Work_Codes!$AC$200:$AO$200=$E234)*(Work_Codes!$AC$203:$AO$210)*(L$131:L$138))</f>
        <v>0</v>
      </c>
      <c r="M234" s="81">
        <f ca="1">SUMPRODUCT((Work_Codes!$AC$200:$AO$200=$E234)*(Work_Codes!$AC$203:$AO$210)*(M$131:M$138))</f>
        <v>0</v>
      </c>
      <c r="N234" s="81">
        <f ca="1">SUMPRODUCT((Work_Codes!$AC$200:$AO$200=$E234)*(Work_Codes!$AC$203:$AO$210)*(N$131:N$138))</f>
        <v>0</v>
      </c>
      <c r="O234" s="81">
        <f ca="1">SUMPRODUCT((Work_Codes!$AC$200:$AO$200=$E234)*(Work_Codes!$AC$203:$AO$210)*(O$131:O$138))</f>
        <v>0</v>
      </c>
      <c r="P234" s="81">
        <f ca="1">SUMPRODUCT((Work_Codes!$AC$200:$AO$200=$E234)*(Work_Codes!$AC$203:$AO$210)*(P$131:P$138))</f>
        <v>0</v>
      </c>
      <c r="Q234" s="81">
        <f ca="1">SUMPRODUCT((Work_Codes!$AC$200:$AO$200=$E234)*(Work_Codes!$AC$203:$AO$210)*(Q$131:Q$138))</f>
        <v>0</v>
      </c>
      <c r="R234" s="81">
        <f ca="1">SUMPRODUCT((Work_Codes!$AC$200:$AO$200=$E234)*(Work_Codes!$AC$203:$AO$210)*(R$131:R$138))</f>
        <v>0</v>
      </c>
      <c r="S234" s="81">
        <f ca="1">SUMPRODUCT((Work_Codes!$AC$200:$AO$200=$E234)*(Work_Codes!$AC$203:$AO$210)*(S$131:S$138))</f>
        <v>0</v>
      </c>
      <c r="T234" s="81">
        <f ca="1">SUMPRODUCT((Work_Codes!$AC$200:$AO$200=$E234)*(Work_Codes!$AC$203:$AO$210)*(T$131:T$138))</f>
        <v>0</v>
      </c>
    </row>
    <row r="235" spans="3:20" ht="12" customHeight="1" outlineLevel="2">
      <c r="E235" s="247" t="str">
        <f>GC!C65</f>
        <v>Augmentation</v>
      </c>
      <c r="F235" s="247"/>
      <c r="G235" s="247"/>
      <c r="H235" s="247"/>
      <c r="I235" s="247"/>
      <c r="J235" s="81">
        <f ca="1">SUMPRODUCT((Work_Codes!$AC$200:$AO$200=$E235)*(Work_Codes!$AC$203:$AO$210)*(J$131:J$138))</f>
        <v>0</v>
      </c>
      <c r="K235" s="81">
        <f ca="1">SUMPRODUCT((Work_Codes!$AC$200:$AO$200=$E235)*(Work_Codes!$AC$203:$AO$210)*(K$131:K$138))</f>
        <v>0</v>
      </c>
      <c r="L235" s="81">
        <f ca="1">SUMPRODUCT((Work_Codes!$AC$200:$AO$200=$E235)*(Work_Codes!$AC$203:$AO$210)*(L$131:L$138))</f>
        <v>0</v>
      </c>
      <c r="M235" s="81">
        <f ca="1">SUMPRODUCT((Work_Codes!$AC$200:$AO$200=$E235)*(Work_Codes!$AC$203:$AO$210)*(M$131:M$138))</f>
        <v>0</v>
      </c>
      <c r="N235" s="81">
        <f ca="1">SUMPRODUCT((Work_Codes!$AC$200:$AO$200=$E235)*(Work_Codes!$AC$203:$AO$210)*(N$131:N$138))</f>
        <v>0</v>
      </c>
      <c r="O235" s="81">
        <f ca="1">SUMPRODUCT((Work_Codes!$AC$200:$AO$200=$E235)*(Work_Codes!$AC$203:$AO$210)*(O$131:O$138))</f>
        <v>0</v>
      </c>
      <c r="P235" s="81">
        <f ca="1">SUMPRODUCT((Work_Codes!$AC$200:$AO$200=$E235)*(Work_Codes!$AC$203:$AO$210)*(P$131:P$138))</f>
        <v>0</v>
      </c>
      <c r="Q235" s="81">
        <f ca="1">SUMPRODUCT((Work_Codes!$AC$200:$AO$200=$E235)*(Work_Codes!$AC$203:$AO$210)*(Q$131:Q$138))</f>
        <v>0</v>
      </c>
      <c r="R235" s="81">
        <f ca="1">SUMPRODUCT((Work_Codes!$AC$200:$AO$200=$E235)*(Work_Codes!$AC$203:$AO$210)*(R$131:R$138))</f>
        <v>0</v>
      </c>
      <c r="S235" s="81">
        <f ca="1">SUMPRODUCT((Work_Codes!$AC$200:$AO$200=$E235)*(Work_Codes!$AC$203:$AO$210)*(S$131:S$138))</f>
        <v>0</v>
      </c>
      <c r="T235" s="81">
        <f ca="1">SUMPRODUCT((Work_Codes!$AC$200:$AO$200=$E235)*(Work_Codes!$AC$203:$AO$210)*(T$131:T$138))</f>
        <v>0</v>
      </c>
    </row>
    <row r="236" spans="3:20" ht="12" customHeight="1" outlineLevel="2">
      <c r="E236" s="247" t="str">
        <f>GC!C66</f>
        <v>IT capex</v>
      </c>
      <c r="F236" s="247"/>
      <c r="G236" s="247"/>
      <c r="H236" s="247"/>
      <c r="I236" s="247"/>
      <c r="J236" s="81">
        <f ca="1">SUMPRODUCT((Work_Codes!$AC$200:$AO$200=$E236)*(Work_Codes!$AC$203:$AO$210)*(J$131:J$138))</f>
        <v>0</v>
      </c>
      <c r="K236" s="81">
        <f ca="1">SUMPRODUCT((Work_Codes!$AC$200:$AO$200=$E236)*(Work_Codes!$AC$203:$AO$210)*(K$131:K$138))</f>
        <v>0</v>
      </c>
      <c r="L236" s="81">
        <f ca="1">SUMPRODUCT((Work_Codes!$AC$200:$AO$200=$E236)*(Work_Codes!$AC$203:$AO$210)*(L$131:L$138))</f>
        <v>0</v>
      </c>
      <c r="M236" s="81">
        <f ca="1">SUMPRODUCT((Work_Codes!$AC$200:$AO$200=$E236)*(Work_Codes!$AC$203:$AO$210)*(M$131:M$138))</f>
        <v>0</v>
      </c>
      <c r="N236" s="81">
        <f ca="1">SUMPRODUCT((Work_Codes!$AC$200:$AO$200=$E236)*(Work_Codes!$AC$203:$AO$210)*(N$131:N$138))</f>
        <v>0</v>
      </c>
      <c r="O236" s="81">
        <f ca="1">SUMPRODUCT((Work_Codes!$AC$200:$AO$200=$E236)*(Work_Codes!$AC$203:$AO$210)*(O$131:O$138))</f>
        <v>0</v>
      </c>
      <c r="P236" s="81">
        <f ca="1">SUMPRODUCT((Work_Codes!$AC$200:$AO$200=$E236)*(Work_Codes!$AC$203:$AO$210)*(P$131:P$138))</f>
        <v>0</v>
      </c>
      <c r="Q236" s="81">
        <f ca="1">SUMPRODUCT((Work_Codes!$AC$200:$AO$200=$E236)*(Work_Codes!$AC$203:$AO$210)*(Q$131:Q$138))</f>
        <v>0</v>
      </c>
      <c r="R236" s="81">
        <f ca="1">SUMPRODUCT((Work_Codes!$AC$200:$AO$200=$E236)*(Work_Codes!$AC$203:$AO$210)*(R$131:R$138))</f>
        <v>0</v>
      </c>
      <c r="S236" s="81">
        <f ca="1">SUMPRODUCT((Work_Codes!$AC$200:$AO$200=$E236)*(Work_Codes!$AC$203:$AO$210)*(S$131:S$138))</f>
        <v>0</v>
      </c>
      <c r="T236" s="81">
        <f ca="1">SUMPRODUCT((Work_Codes!$AC$200:$AO$200=$E236)*(Work_Codes!$AC$203:$AO$210)*(T$131:T$138))</f>
        <v>0</v>
      </c>
    </row>
    <row r="237" spans="3:20" ht="12" customHeight="1" outlineLevel="2">
      <c r="E237" s="247" t="str">
        <f>GC!C67</f>
        <v>SCADA</v>
      </c>
      <c r="F237" s="247"/>
      <c r="G237" s="247"/>
      <c r="H237" s="247"/>
      <c r="I237" s="247"/>
      <c r="J237" s="81">
        <f ca="1">SUMPRODUCT((Work_Codes!$AC$200:$AO$200=$E237)*(Work_Codes!$AC$203:$AO$210)*(J$131:J$138))</f>
        <v>0</v>
      </c>
      <c r="K237" s="81">
        <f ca="1">SUMPRODUCT((Work_Codes!$AC$200:$AO$200=$E237)*(Work_Codes!$AC$203:$AO$210)*(K$131:K$138))</f>
        <v>0</v>
      </c>
      <c r="L237" s="81">
        <f ca="1">SUMPRODUCT((Work_Codes!$AC$200:$AO$200=$E237)*(Work_Codes!$AC$203:$AO$210)*(L$131:L$138))</f>
        <v>0</v>
      </c>
      <c r="M237" s="81">
        <f ca="1">SUMPRODUCT((Work_Codes!$AC$200:$AO$200=$E237)*(Work_Codes!$AC$203:$AO$210)*(M$131:M$138))</f>
        <v>0</v>
      </c>
      <c r="N237" s="81">
        <f ca="1">SUMPRODUCT((Work_Codes!$AC$200:$AO$200=$E237)*(Work_Codes!$AC$203:$AO$210)*(N$131:N$138))</f>
        <v>0</v>
      </c>
      <c r="O237" s="81">
        <f ca="1">SUMPRODUCT((Work_Codes!$AC$200:$AO$200=$E237)*(Work_Codes!$AC$203:$AO$210)*(O$131:O$138))</f>
        <v>0</v>
      </c>
      <c r="P237" s="81">
        <f ca="1">SUMPRODUCT((Work_Codes!$AC$200:$AO$200=$E237)*(Work_Codes!$AC$203:$AO$210)*(P$131:P$138))</f>
        <v>0</v>
      </c>
      <c r="Q237" s="81">
        <f ca="1">SUMPRODUCT((Work_Codes!$AC$200:$AO$200=$E237)*(Work_Codes!$AC$203:$AO$210)*(Q$131:Q$138))</f>
        <v>0</v>
      </c>
      <c r="R237" s="81">
        <f ca="1">SUMPRODUCT((Work_Codes!$AC$200:$AO$200=$E237)*(Work_Codes!$AC$203:$AO$210)*(R$131:R$138))</f>
        <v>0</v>
      </c>
      <c r="S237" s="81">
        <f ca="1">SUMPRODUCT((Work_Codes!$AC$200:$AO$200=$E237)*(Work_Codes!$AC$203:$AO$210)*(S$131:S$138))</f>
        <v>0</v>
      </c>
      <c r="T237" s="81">
        <f ca="1">SUMPRODUCT((Work_Codes!$AC$200:$AO$200=$E237)*(Work_Codes!$AC$203:$AO$210)*(T$131:T$138))</f>
        <v>0</v>
      </c>
    </row>
    <row r="238" spans="3:20" ht="12" customHeight="1" outlineLevel="2">
      <c r="E238" s="247" t="str">
        <f>GC!C68</f>
        <v>Other</v>
      </c>
      <c r="F238" s="247"/>
      <c r="G238" s="247"/>
      <c r="H238" s="247"/>
      <c r="I238" s="247"/>
      <c r="J238" s="81">
        <f ca="1">SUMPRODUCT((Work_Codes!$AC$200:$AO$200=$E238)*(Work_Codes!$AC$203:$AO$210)*(J$131:J$138))</f>
        <v>0</v>
      </c>
      <c r="K238" s="81">
        <f ca="1">SUMPRODUCT((Work_Codes!$AC$200:$AO$200=$E238)*(Work_Codes!$AC$203:$AO$210)*(K$131:K$138))</f>
        <v>0</v>
      </c>
      <c r="L238" s="81">
        <f ca="1">SUMPRODUCT((Work_Codes!$AC$200:$AO$200=$E238)*(Work_Codes!$AC$203:$AO$210)*(L$131:L$138))</f>
        <v>0</v>
      </c>
      <c r="M238" s="81">
        <f ca="1">SUMPRODUCT((Work_Codes!$AC$200:$AO$200=$E238)*(Work_Codes!$AC$203:$AO$210)*(M$131:M$138))</f>
        <v>0</v>
      </c>
      <c r="N238" s="81">
        <f ca="1">SUMPRODUCT((Work_Codes!$AC$200:$AO$200=$E238)*(Work_Codes!$AC$203:$AO$210)*(N$131:N$138))</f>
        <v>503129.99272855395</v>
      </c>
      <c r="O238" s="81">
        <f ca="1">SUMPRODUCT((Work_Codes!$AC$200:$AO$200=$E238)*(Work_Codes!$AC$203:$AO$210)*(O$131:O$138))</f>
        <v>540056.11597457912</v>
      </c>
      <c r="P238" s="81">
        <f ca="1">SUMPRODUCT((Work_Codes!$AC$200:$AO$200=$E238)*(Work_Codes!$AC$203:$AO$210)*(P$131:P$138))</f>
        <v>2170443.9895577012</v>
      </c>
      <c r="Q238" s="81">
        <f ca="1">SUMPRODUCT((Work_Codes!$AC$200:$AO$200=$E238)*(Work_Codes!$AC$203:$AO$210)*(Q$131:Q$138))</f>
        <v>1760637.3765145189</v>
      </c>
      <c r="R238" s="81">
        <f ca="1">SUMPRODUCT((Work_Codes!$AC$200:$AO$200=$E238)*(Work_Codes!$AC$203:$AO$210)*(R$131:R$138))</f>
        <v>1510885.3150734035</v>
      </c>
      <c r="S238" s="81">
        <f ca="1">SUMPRODUCT((Work_Codes!$AC$200:$AO$200=$E238)*(Work_Codes!$AC$203:$AO$210)*(S$131:S$138))</f>
        <v>1621316.9378600011</v>
      </c>
      <c r="T238" s="81">
        <f ca="1">SUMPRODUCT((Work_Codes!$AC$200:$AO$200=$E238)*(Work_Codes!$AC$203:$AO$210)*(T$131:T$138))</f>
        <v>1901979.8809530465</v>
      </c>
    </row>
    <row r="239" spans="3:20" outlineLevel="2">
      <c r="E239" s="247" t="str">
        <f>GC!C69</f>
        <v>Capitalised Leases</v>
      </c>
      <c r="F239" s="247"/>
      <c r="G239" s="247"/>
      <c r="H239" s="247"/>
      <c r="I239" s="247"/>
      <c r="J239" s="81">
        <f ca="1">SUMPRODUCT((Work_Codes!$AC$200:$AO$200=$E239)*(Work_Codes!$AC$203:$AO$210)*(J$131:J$138))</f>
        <v>0</v>
      </c>
      <c r="K239" s="81">
        <f ca="1">SUMPRODUCT((Work_Codes!$AC$200:$AO$200=$E239)*(Work_Codes!$AC$203:$AO$210)*(K$131:K$138))</f>
        <v>0</v>
      </c>
      <c r="L239" s="81">
        <f ca="1">SUMPRODUCT((Work_Codes!$AC$200:$AO$200=$E239)*(Work_Codes!$AC$203:$AO$210)*(L$131:L$138))</f>
        <v>0</v>
      </c>
      <c r="M239" s="81">
        <f ca="1">SUMPRODUCT((Work_Codes!$AC$200:$AO$200=$E239)*(Work_Codes!$AC$203:$AO$210)*(M$131:M$138))</f>
        <v>0</v>
      </c>
      <c r="N239" s="81">
        <f ca="1">SUMPRODUCT((Work_Codes!$AC$200:$AO$200=$E239)*(Work_Codes!$AC$203:$AO$210)*(N$131:N$138))</f>
        <v>0</v>
      </c>
      <c r="O239" s="81">
        <f ca="1">SUMPRODUCT((Work_Codes!$AC$200:$AO$200=$E239)*(Work_Codes!$AC$203:$AO$210)*(O$131:O$138))</f>
        <v>0</v>
      </c>
      <c r="P239" s="81">
        <f ca="1">SUMPRODUCT((Work_Codes!$AC$200:$AO$200=$E239)*(Work_Codes!$AC$203:$AO$210)*(P$131:P$138))</f>
        <v>0</v>
      </c>
      <c r="Q239" s="81">
        <f ca="1">SUMPRODUCT((Work_Codes!$AC$200:$AO$200=$E239)*(Work_Codes!$AC$203:$AO$210)*(Q$131:Q$138))</f>
        <v>0</v>
      </c>
      <c r="R239" s="81">
        <f ca="1">SUMPRODUCT((Work_Codes!$AC$200:$AO$200=$E239)*(Work_Codes!$AC$203:$AO$210)*(R$131:R$138))</f>
        <v>0</v>
      </c>
      <c r="S239" s="81">
        <f ca="1">SUMPRODUCT((Work_Codes!$AC$200:$AO$200=$E239)*(Work_Codes!$AC$203:$AO$210)*(S$131:S$138))</f>
        <v>0</v>
      </c>
      <c r="T239" s="81">
        <f ca="1">SUMPRODUCT((Work_Codes!$AC$200:$AO$200=$E239)*(Work_Codes!$AC$203:$AO$210)*(T$131:T$138))</f>
        <v>0</v>
      </c>
    </row>
    <row r="240" spans="3:20" ht="12" customHeight="1" outlineLevel="2">
      <c r="E240" s="247" t="str">
        <f>GC!C70</f>
        <v>Gas Extensions - Energy for the Regions</v>
      </c>
      <c r="F240" s="247"/>
      <c r="G240" s="247"/>
      <c r="H240" s="247"/>
      <c r="I240" s="247"/>
      <c r="J240" s="81">
        <f ca="1">SUMPRODUCT((Work_Codes!$AC$200:$AO$200=$E240)*(Work_Codes!$AC$203:$AO$210)*(J$131:J$138))</f>
        <v>0</v>
      </c>
      <c r="K240" s="81">
        <f ca="1">SUMPRODUCT((Work_Codes!$AC$200:$AO$200=$E240)*(Work_Codes!$AC$203:$AO$210)*(K$131:K$138))</f>
        <v>0</v>
      </c>
      <c r="L240" s="81">
        <f ca="1">SUMPRODUCT((Work_Codes!$AC$200:$AO$200=$E240)*(Work_Codes!$AC$203:$AO$210)*(L$131:L$138))</f>
        <v>0</v>
      </c>
      <c r="M240" s="81">
        <f ca="1">SUMPRODUCT((Work_Codes!$AC$200:$AO$200=$E240)*(Work_Codes!$AC$203:$AO$210)*(M$131:M$138))</f>
        <v>0</v>
      </c>
      <c r="N240" s="81">
        <f ca="1">SUMPRODUCT((Work_Codes!$AC$200:$AO$200=$E240)*(Work_Codes!$AC$203:$AO$210)*(N$131:N$138))</f>
        <v>0</v>
      </c>
      <c r="O240" s="81">
        <f ca="1">SUMPRODUCT((Work_Codes!$AC$200:$AO$200=$E240)*(Work_Codes!$AC$203:$AO$210)*(O$131:O$138))</f>
        <v>0</v>
      </c>
      <c r="P240" s="81">
        <f ca="1">SUMPRODUCT((Work_Codes!$AC$200:$AO$200=$E240)*(Work_Codes!$AC$203:$AO$210)*(P$131:P$138))</f>
        <v>0</v>
      </c>
      <c r="Q240" s="81">
        <f ca="1">SUMPRODUCT((Work_Codes!$AC$200:$AO$200=$E240)*(Work_Codes!$AC$203:$AO$210)*(Q$131:Q$138))</f>
        <v>0</v>
      </c>
      <c r="R240" s="81">
        <f ca="1">SUMPRODUCT((Work_Codes!$AC$200:$AO$200=$E240)*(Work_Codes!$AC$203:$AO$210)*(R$131:R$138))</f>
        <v>0</v>
      </c>
      <c r="S240" s="81">
        <f ca="1">SUMPRODUCT((Work_Codes!$AC$200:$AO$200=$E240)*(Work_Codes!$AC$203:$AO$210)*(S$131:S$138))</f>
        <v>0</v>
      </c>
      <c r="T240" s="81">
        <f ca="1">SUMPRODUCT((Work_Codes!$AC$200:$AO$200=$E240)*(Work_Codes!$AC$203:$AO$210)*(T$131:T$138))</f>
        <v>0</v>
      </c>
    </row>
    <row r="241" spans="4:20" ht="12" customHeight="1" outlineLevel="2">
      <c r="E241" s="247" t="str">
        <f>GC!C71</f>
        <v>Gas Extensions - Other</v>
      </c>
      <c r="F241" s="247"/>
      <c r="G241" s="247"/>
      <c r="H241" s="247"/>
      <c r="I241" s="247"/>
      <c r="J241" s="81">
        <f ca="1">SUMPRODUCT((Work_Codes!$AC$200:$AO$200=$E241)*(Work_Codes!$AC$203:$AO$210)*(J$131:J$138))</f>
        <v>0</v>
      </c>
      <c r="K241" s="81">
        <f ca="1">SUMPRODUCT((Work_Codes!$AC$200:$AO$200=$E241)*(Work_Codes!$AC$203:$AO$210)*(K$131:K$138))</f>
        <v>0</v>
      </c>
      <c r="L241" s="81">
        <f ca="1">SUMPRODUCT((Work_Codes!$AC$200:$AO$200=$E241)*(Work_Codes!$AC$203:$AO$210)*(L$131:L$138))</f>
        <v>0</v>
      </c>
      <c r="M241" s="81">
        <f ca="1">SUMPRODUCT((Work_Codes!$AC$200:$AO$200=$E241)*(Work_Codes!$AC$203:$AO$210)*(M$131:M$138))</f>
        <v>0</v>
      </c>
      <c r="N241" s="81">
        <f ca="1">SUMPRODUCT((Work_Codes!$AC$200:$AO$200=$E241)*(Work_Codes!$AC$203:$AO$210)*(N$131:N$138))</f>
        <v>0</v>
      </c>
      <c r="O241" s="81">
        <f ca="1">SUMPRODUCT((Work_Codes!$AC$200:$AO$200=$E241)*(Work_Codes!$AC$203:$AO$210)*(O$131:O$138))</f>
        <v>0</v>
      </c>
      <c r="P241" s="81">
        <f ca="1">SUMPRODUCT((Work_Codes!$AC$200:$AO$200=$E241)*(Work_Codes!$AC$203:$AO$210)*(P$131:P$138))</f>
        <v>0</v>
      </c>
      <c r="Q241" s="81">
        <f ca="1">SUMPRODUCT((Work_Codes!$AC$200:$AO$200=$E241)*(Work_Codes!$AC$203:$AO$210)*(Q$131:Q$138))</f>
        <v>0</v>
      </c>
      <c r="R241" s="81">
        <f ca="1">SUMPRODUCT((Work_Codes!$AC$200:$AO$200=$E241)*(Work_Codes!$AC$203:$AO$210)*(R$131:R$138))</f>
        <v>0</v>
      </c>
      <c r="S241" s="81">
        <f ca="1">SUMPRODUCT((Work_Codes!$AC$200:$AO$200=$E241)*(Work_Codes!$AC$203:$AO$210)*(S$131:S$138))</f>
        <v>0</v>
      </c>
      <c r="T241" s="81">
        <f ca="1">SUMPRODUCT((Work_Codes!$AC$200:$AO$200=$E241)*(Work_Codes!$AC$203:$AO$210)*(T$131:T$138))</f>
        <v>0</v>
      </c>
    </row>
    <row r="242" spans="4:20" ht="12" customHeight="1" outlineLevel="2">
      <c r="E242" s="247" t="str">
        <f>GC!C72</f>
        <v>Customer contributions</v>
      </c>
      <c r="F242" s="247"/>
      <c r="G242" s="247"/>
      <c r="H242" s="247"/>
      <c r="I242" s="247"/>
      <c r="J242" s="81">
        <f ca="1">SUMPRODUCT((Work_Codes!$AC$200:$AO$200=$E242)*(Work_Codes!$AC$203:$AO$210)*(J$131:J$138))</f>
        <v>0</v>
      </c>
      <c r="K242" s="81">
        <f ca="1">SUMPRODUCT((Work_Codes!$AC$200:$AO$200=$E242)*(Work_Codes!$AC$203:$AO$210)*(K$131:K$138))</f>
        <v>0</v>
      </c>
      <c r="L242" s="81">
        <f ca="1">SUMPRODUCT((Work_Codes!$AC$200:$AO$200=$E242)*(Work_Codes!$AC$203:$AO$210)*(L$131:L$138))</f>
        <v>0</v>
      </c>
      <c r="M242" s="81">
        <f ca="1">SUMPRODUCT((Work_Codes!$AC$200:$AO$200=$E242)*(Work_Codes!$AC$203:$AO$210)*(M$131:M$138))</f>
        <v>0</v>
      </c>
      <c r="N242" s="81">
        <f ca="1">SUMPRODUCT((Work_Codes!$AC$200:$AO$200=$E242)*(Work_Codes!$AC$203:$AO$210)*(N$131:N$138))</f>
        <v>0</v>
      </c>
      <c r="O242" s="81">
        <f ca="1">SUMPRODUCT((Work_Codes!$AC$200:$AO$200=$E242)*(Work_Codes!$AC$203:$AO$210)*(O$131:O$138))</f>
        <v>0</v>
      </c>
      <c r="P242" s="81">
        <f ca="1">SUMPRODUCT((Work_Codes!$AC$200:$AO$200=$E242)*(Work_Codes!$AC$203:$AO$210)*(P$131:P$138))</f>
        <v>0</v>
      </c>
      <c r="Q242" s="81">
        <f ca="1">SUMPRODUCT((Work_Codes!$AC$200:$AO$200=$E242)*(Work_Codes!$AC$203:$AO$210)*(Q$131:Q$138))</f>
        <v>0</v>
      </c>
      <c r="R242" s="81">
        <f ca="1">SUMPRODUCT((Work_Codes!$AC$200:$AO$200=$E242)*(Work_Codes!$AC$203:$AO$210)*(R$131:R$138))</f>
        <v>0</v>
      </c>
      <c r="S242" s="81">
        <f ca="1">SUMPRODUCT((Work_Codes!$AC$200:$AO$200=$E242)*(Work_Codes!$AC$203:$AO$210)*(S$131:S$138))</f>
        <v>0</v>
      </c>
      <c r="T242" s="81">
        <f ca="1">SUMPRODUCT((Work_Codes!$AC$200:$AO$200=$E242)*(Work_Codes!$AC$203:$AO$210)*(T$131:T$138))</f>
        <v>0</v>
      </c>
    </row>
    <row r="243" spans="4:20" ht="12" customHeight="1" outlineLevel="2">
      <c r="E243" s="247" t="str">
        <f>GC!C73</f>
        <v>Government contributions</v>
      </c>
      <c r="F243" s="247"/>
      <c r="G243" s="247"/>
      <c r="H243" s="247"/>
      <c r="I243" s="247"/>
      <c r="J243" s="81">
        <f ca="1">SUMPRODUCT((Work_Codes!$AC$200:$AO$200=$E243)*(Work_Codes!$AC$203:$AO$210)*(J$131:J$138))</f>
        <v>0</v>
      </c>
      <c r="K243" s="81">
        <f ca="1">SUMPRODUCT((Work_Codes!$AC$200:$AO$200=$E243)*(Work_Codes!$AC$203:$AO$210)*(K$131:K$138))</f>
        <v>0</v>
      </c>
      <c r="L243" s="81">
        <f ca="1">SUMPRODUCT((Work_Codes!$AC$200:$AO$200=$E243)*(Work_Codes!$AC$203:$AO$210)*(L$131:L$138))</f>
        <v>0</v>
      </c>
      <c r="M243" s="81">
        <f ca="1">SUMPRODUCT((Work_Codes!$AC$200:$AO$200=$E243)*(Work_Codes!$AC$203:$AO$210)*(M$131:M$138))</f>
        <v>0</v>
      </c>
      <c r="N243" s="81">
        <f ca="1">SUMPRODUCT((Work_Codes!$AC$200:$AO$200=$E243)*(Work_Codes!$AC$203:$AO$210)*(N$131:N$138))</f>
        <v>0</v>
      </c>
      <c r="O243" s="81">
        <f ca="1">SUMPRODUCT((Work_Codes!$AC$200:$AO$200=$E243)*(Work_Codes!$AC$203:$AO$210)*(O$131:O$138))</f>
        <v>0</v>
      </c>
      <c r="P243" s="81">
        <f ca="1">SUMPRODUCT((Work_Codes!$AC$200:$AO$200=$E243)*(Work_Codes!$AC$203:$AO$210)*(P$131:P$138))</f>
        <v>0</v>
      </c>
      <c r="Q243" s="81">
        <f ca="1">SUMPRODUCT((Work_Codes!$AC$200:$AO$200=$E243)*(Work_Codes!$AC$203:$AO$210)*(Q$131:Q$138))</f>
        <v>0</v>
      </c>
      <c r="R243" s="81">
        <f ca="1">SUMPRODUCT((Work_Codes!$AC$200:$AO$200=$E243)*(Work_Codes!$AC$203:$AO$210)*(R$131:R$138))</f>
        <v>0</v>
      </c>
      <c r="S243" s="81">
        <f ca="1">SUMPRODUCT((Work_Codes!$AC$200:$AO$200=$E243)*(Work_Codes!$AC$203:$AO$210)*(S$131:S$138))</f>
        <v>0</v>
      </c>
      <c r="T243" s="81">
        <f ca="1">SUMPRODUCT((Work_Codes!$AC$200:$AO$200=$E243)*(Work_Codes!$AC$203:$AO$210)*(T$131:T$138))</f>
        <v>0</v>
      </c>
    </row>
    <row r="244" spans="4:20" ht="12" customHeight="1" outlineLevel="2">
      <c r="E244" s="249" t="str">
        <f>"Total "&amp;D228</f>
        <v>Total Direct Costs</v>
      </c>
      <c r="F244" s="249"/>
      <c r="G244" s="249"/>
      <c r="H244" s="249"/>
      <c r="I244" s="249"/>
      <c r="J244" s="82">
        <f t="shared" ref="J244:T244" ca="1" si="26">SUM(J230:J243)</f>
        <v>0</v>
      </c>
      <c r="K244" s="82">
        <f t="shared" ca="1" si="26"/>
        <v>0</v>
      </c>
      <c r="L244" s="82">
        <f t="shared" ca="1" si="26"/>
        <v>0</v>
      </c>
      <c r="M244" s="82">
        <f t="shared" ca="1" si="26"/>
        <v>0</v>
      </c>
      <c r="N244" s="82">
        <f t="shared" ca="1" si="26"/>
        <v>503129.99272855395</v>
      </c>
      <c r="O244" s="82">
        <f t="shared" ca="1" si="26"/>
        <v>540056.11597457912</v>
      </c>
      <c r="P244" s="82">
        <f t="shared" ca="1" si="26"/>
        <v>2170443.9895577012</v>
      </c>
      <c r="Q244" s="82">
        <f t="shared" ca="1" si="26"/>
        <v>1760637.3765145189</v>
      </c>
      <c r="R244" s="82">
        <f t="shared" ca="1" si="26"/>
        <v>1510885.3150734035</v>
      </c>
      <c r="S244" s="82">
        <f t="shared" ca="1" si="26"/>
        <v>1621316.9378600011</v>
      </c>
      <c r="T244" s="82">
        <f t="shared" ca="1" si="26"/>
        <v>1901979.8809530465</v>
      </c>
    </row>
    <row r="245" spans="4:20" outlineLevel="2"/>
    <row r="246" spans="4:20" outlineLevel="2">
      <c r="D246" s="37" t="s">
        <v>216</v>
      </c>
    </row>
    <row r="247" spans="4:20" ht="5.9" customHeight="1" outlineLevel="2"/>
    <row r="248" spans="4:20" s="41" customFormat="1" ht="12" customHeight="1" outlineLevel="2">
      <c r="E248" s="251" t="str">
        <f>GC!C60</f>
        <v>Mains replacement</v>
      </c>
      <c r="F248" s="251"/>
      <c r="G248" s="251"/>
      <c r="H248" s="251"/>
      <c r="I248" s="251"/>
      <c r="J248" s="80">
        <f ca="1">J230*(1+INDEX(J$35:J$37,MATCH(Work_Codes!$I$197,$D$35:$D$37,0)))</f>
        <v>0</v>
      </c>
      <c r="K248" s="80">
        <f ca="1">K230*(1+INDEX(K$35:K$37,MATCH(Work_Codes!$I$197,$D$35:$D$37,0)))</f>
        <v>0</v>
      </c>
      <c r="L248" s="80">
        <f ca="1">L230*(1+INDEX(L$35:L$37,MATCH(Work_Codes!$I$197,$D$35:$D$37,0)))</f>
        <v>0</v>
      </c>
      <c r="M248" s="80">
        <f ca="1">M230*(1+INDEX(M$35:M$37,MATCH(Work_Codes!$I$197,$D$35:$D$37,0)))</f>
        <v>0</v>
      </c>
      <c r="N248" s="80">
        <f ca="1">N230*(1+INDEX(N$35:N$37,MATCH(Work_Codes!$I$197,$D$35:$D$37,0)))</f>
        <v>0</v>
      </c>
      <c r="O248" s="80">
        <f ca="1">O230*(1+INDEX(O$35:O$37,MATCH(Work_Codes!$I$197,$D$35:$D$37,0)))</f>
        <v>0</v>
      </c>
      <c r="P248" s="80">
        <f ca="1">P230*(1+INDEX(P$35:P$37,MATCH(Work_Codes!$I$197,$D$35:$D$37,0)))</f>
        <v>0</v>
      </c>
      <c r="Q248" s="80">
        <f ca="1">Q230*(1+INDEX(Q$35:Q$37,MATCH(Work_Codes!$I$197,$D$35:$D$37,0)))</f>
        <v>0</v>
      </c>
      <c r="R248" s="80">
        <f ca="1">R230*(1+INDEX(R$35:R$37,MATCH(Work_Codes!$I$197,$D$35:$D$37,0)))</f>
        <v>0</v>
      </c>
      <c r="S248" s="80">
        <f ca="1">S230*(1+INDEX(S$35:S$37,MATCH(Work_Codes!$I$197,$D$35:$D$37,0)))</f>
        <v>0</v>
      </c>
      <c r="T248" s="80">
        <f ca="1">T230*(1+INDEX(T$35:T$37,MATCH(Work_Codes!$I$197,$D$35:$D$37,0)))</f>
        <v>0</v>
      </c>
    </row>
    <row r="249" spans="4:20" s="41" customFormat="1" ht="12" customHeight="1" outlineLevel="2">
      <c r="E249" s="251" t="str">
        <f>GC!C61</f>
        <v>Residential new customer connections</v>
      </c>
      <c r="F249" s="251"/>
      <c r="G249" s="251"/>
      <c r="H249" s="251"/>
      <c r="I249" s="251"/>
      <c r="J249" s="80">
        <f ca="1">J231*(1+INDEX(J$35:J$37,MATCH(Work_Codes!$I$197,$D$35:$D$37,0)))</f>
        <v>0</v>
      </c>
      <c r="K249" s="80">
        <f ca="1">K231*(1+INDEX(K$35:K$37,MATCH(Work_Codes!$I$197,$D$35:$D$37,0)))</f>
        <v>0</v>
      </c>
      <c r="L249" s="80">
        <f ca="1">L231*(1+INDEX(L$35:L$37,MATCH(Work_Codes!$I$197,$D$35:$D$37,0)))</f>
        <v>0</v>
      </c>
      <c r="M249" s="80">
        <f ca="1">M231*(1+INDEX(M$35:M$37,MATCH(Work_Codes!$I$197,$D$35:$D$37,0)))</f>
        <v>0</v>
      </c>
      <c r="N249" s="80">
        <f ca="1">N231*(1+INDEX(N$35:N$37,MATCH(Work_Codes!$I$197,$D$35:$D$37,0)))</f>
        <v>0</v>
      </c>
      <c r="O249" s="80">
        <f ca="1">O231*(1+INDEX(O$35:O$37,MATCH(Work_Codes!$I$197,$D$35:$D$37,0)))</f>
        <v>0</v>
      </c>
      <c r="P249" s="80">
        <f ca="1">P231*(1+INDEX(P$35:P$37,MATCH(Work_Codes!$I$197,$D$35:$D$37,0)))</f>
        <v>0</v>
      </c>
      <c r="Q249" s="80">
        <f ca="1">Q231*(1+INDEX(Q$35:Q$37,MATCH(Work_Codes!$I$197,$D$35:$D$37,0)))</f>
        <v>0</v>
      </c>
      <c r="R249" s="80">
        <f ca="1">R231*(1+INDEX(R$35:R$37,MATCH(Work_Codes!$I$197,$D$35:$D$37,0)))</f>
        <v>0</v>
      </c>
      <c r="S249" s="80">
        <f ca="1">S231*(1+INDEX(S$35:S$37,MATCH(Work_Codes!$I$197,$D$35:$D$37,0)))</f>
        <v>0</v>
      </c>
      <c r="T249" s="80">
        <f ca="1">T231*(1+INDEX(T$35:T$37,MATCH(Work_Codes!$I$197,$D$35:$D$37,0)))</f>
        <v>0</v>
      </c>
    </row>
    <row r="250" spans="4:20" s="41" customFormat="1" ht="12" customHeight="1" outlineLevel="2">
      <c r="E250" s="251" t="str">
        <f>GC!C62</f>
        <v>Commercial and industrial new customer connections</v>
      </c>
      <c r="F250" s="251"/>
      <c r="G250" s="251"/>
      <c r="H250" s="251"/>
      <c r="I250" s="251"/>
      <c r="J250" s="80">
        <f ca="1">J232*(1+INDEX(J$35:J$37,MATCH(Work_Codes!$I$197,$D$35:$D$37,0)))</f>
        <v>0</v>
      </c>
      <c r="K250" s="80">
        <f ca="1">K232*(1+INDEX(K$35:K$37,MATCH(Work_Codes!$I$197,$D$35:$D$37,0)))</f>
        <v>0</v>
      </c>
      <c r="L250" s="80">
        <f ca="1">L232*(1+INDEX(L$35:L$37,MATCH(Work_Codes!$I$197,$D$35:$D$37,0)))</f>
        <v>0</v>
      </c>
      <c r="M250" s="80">
        <f ca="1">M232*(1+INDEX(M$35:M$37,MATCH(Work_Codes!$I$197,$D$35:$D$37,0)))</f>
        <v>0</v>
      </c>
      <c r="N250" s="80">
        <f ca="1">N232*(1+INDEX(N$35:N$37,MATCH(Work_Codes!$I$197,$D$35:$D$37,0)))</f>
        <v>0</v>
      </c>
      <c r="O250" s="80">
        <f ca="1">O232*(1+INDEX(O$35:O$37,MATCH(Work_Codes!$I$197,$D$35:$D$37,0)))</f>
        <v>0</v>
      </c>
      <c r="P250" s="80">
        <f ca="1">P232*(1+INDEX(P$35:P$37,MATCH(Work_Codes!$I$197,$D$35:$D$37,0)))</f>
        <v>0</v>
      </c>
      <c r="Q250" s="80">
        <f ca="1">Q232*(1+INDEX(Q$35:Q$37,MATCH(Work_Codes!$I$197,$D$35:$D$37,0)))</f>
        <v>0</v>
      </c>
      <c r="R250" s="80">
        <f ca="1">R232*(1+INDEX(R$35:R$37,MATCH(Work_Codes!$I$197,$D$35:$D$37,0)))</f>
        <v>0</v>
      </c>
      <c r="S250" s="80">
        <f ca="1">S232*(1+INDEX(S$35:S$37,MATCH(Work_Codes!$I$197,$D$35:$D$37,0)))</f>
        <v>0</v>
      </c>
      <c r="T250" s="80">
        <f ca="1">T232*(1+INDEX(T$35:T$37,MATCH(Work_Codes!$I$197,$D$35:$D$37,0)))</f>
        <v>0</v>
      </c>
    </row>
    <row r="251" spans="4:20" s="41" customFormat="1" ht="12" customHeight="1" outlineLevel="2">
      <c r="E251" s="251" t="str">
        <f>GC!C63</f>
        <v>Residential meter replacement</v>
      </c>
      <c r="F251" s="251"/>
      <c r="G251" s="251"/>
      <c r="H251" s="251"/>
      <c r="I251" s="251"/>
      <c r="J251" s="80">
        <f ca="1">J233*(1+INDEX(J$35:J$37,MATCH(Work_Codes!$I$197,$D$35:$D$37,0)))</f>
        <v>0</v>
      </c>
      <c r="K251" s="80">
        <f ca="1">K233*(1+INDEX(K$35:K$37,MATCH(Work_Codes!$I$197,$D$35:$D$37,0)))</f>
        <v>0</v>
      </c>
      <c r="L251" s="80">
        <f ca="1">L233*(1+INDEX(L$35:L$37,MATCH(Work_Codes!$I$197,$D$35:$D$37,0)))</f>
        <v>0</v>
      </c>
      <c r="M251" s="80">
        <f ca="1">M233*(1+INDEX(M$35:M$37,MATCH(Work_Codes!$I$197,$D$35:$D$37,0)))</f>
        <v>0</v>
      </c>
      <c r="N251" s="80">
        <f ca="1">N233*(1+INDEX(N$35:N$37,MATCH(Work_Codes!$I$197,$D$35:$D$37,0)))</f>
        <v>0</v>
      </c>
      <c r="O251" s="80">
        <f ca="1">O233*(1+INDEX(O$35:O$37,MATCH(Work_Codes!$I$197,$D$35:$D$37,0)))</f>
        <v>0</v>
      </c>
      <c r="P251" s="80">
        <f ca="1">P233*(1+INDEX(P$35:P$37,MATCH(Work_Codes!$I$197,$D$35:$D$37,0)))</f>
        <v>0</v>
      </c>
      <c r="Q251" s="80">
        <f ca="1">Q233*(1+INDEX(Q$35:Q$37,MATCH(Work_Codes!$I$197,$D$35:$D$37,0)))</f>
        <v>0</v>
      </c>
      <c r="R251" s="80">
        <f ca="1">R233*(1+INDEX(R$35:R$37,MATCH(Work_Codes!$I$197,$D$35:$D$37,0)))</f>
        <v>0</v>
      </c>
      <c r="S251" s="80">
        <f ca="1">S233*(1+INDEX(S$35:S$37,MATCH(Work_Codes!$I$197,$D$35:$D$37,0)))</f>
        <v>0</v>
      </c>
      <c r="T251" s="80">
        <f ca="1">T233*(1+INDEX(T$35:T$37,MATCH(Work_Codes!$I$197,$D$35:$D$37,0)))</f>
        <v>0</v>
      </c>
    </row>
    <row r="252" spans="4:20" s="41" customFormat="1" ht="12" customHeight="1" outlineLevel="2">
      <c r="E252" s="251" t="str">
        <f>GC!C64</f>
        <v>Commercial and industrial meter replacement</v>
      </c>
      <c r="F252" s="251"/>
      <c r="G252" s="251"/>
      <c r="H252" s="251"/>
      <c r="I252" s="251"/>
      <c r="J252" s="80">
        <f ca="1">J234*(1+INDEX(J$35:J$37,MATCH(Work_Codes!$I$197,$D$35:$D$37,0)))</f>
        <v>0</v>
      </c>
      <c r="K252" s="80">
        <f ca="1">K234*(1+INDEX(K$35:K$37,MATCH(Work_Codes!$I$197,$D$35:$D$37,0)))</f>
        <v>0</v>
      </c>
      <c r="L252" s="80">
        <f ca="1">L234*(1+INDEX(L$35:L$37,MATCH(Work_Codes!$I$197,$D$35:$D$37,0)))</f>
        <v>0</v>
      </c>
      <c r="M252" s="80">
        <f ca="1">M234*(1+INDEX(M$35:M$37,MATCH(Work_Codes!$I$197,$D$35:$D$37,0)))</f>
        <v>0</v>
      </c>
      <c r="N252" s="80">
        <f ca="1">N234*(1+INDEX(N$35:N$37,MATCH(Work_Codes!$I$197,$D$35:$D$37,0)))</f>
        <v>0</v>
      </c>
      <c r="O252" s="80">
        <f ca="1">O234*(1+INDEX(O$35:O$37,MATCH(Work_Codes!$I$197,$D$35:$D$37,0)))</f>
        <v>0</v>
      </c>
      <c r="P252" s="80">
        <f ca="1">P234*(1+INDEX(P$35:P$37,MATCH(Work_Codes!$I$197,$D$35:$D$37,0)))</f>
        <v>0</v>
      </c>
      <c r="Q252" s="80">
        <f ca="1">Q234*(1+INDEX(Q$35:Q$37,MATCH(Work_Codes!$I$197,$D$35:$D$37,0)))</f>
        <v>0</v>
      </c>
      <c r="R252" s="80">
        <f ca="1">R234*(1+INDEX(R$35:R$37,MATCH(Work_Codes!$I$197,$D$35:$D$37,0)))</f>
        <v>0</v>
      </c>
      <c r="S252" s="80">
        <f ca="1">S234*(1+INDEX(S$35:S$37,MATCH(Work_Codes!$I$197,$D$35:$D$37,0)))</f>
        <v>0</v>
      </c>
      <c r="T252" s="80">
        <f ca="1">T234*(1+INDEX(T$35:T$37,MATCH(Work_Codes!$I$197,$D$35:$D$37,0)))</f>
        <v>0</v>
      </c>
    </row>
    <row r="253" spans="4:20" s="41" customFormat="1" ht="12" customHeight="1" outlineLevel="2">
      <c r="E253" s="251" t="str">
        <f>GC!C65</f>
        <v>Augmentation</v>
      </c>
      <c r="F253" s="251"/>
      <c r="G253" s="251"/>
      <c r="H253" s="251"/>
      <c r="I253" s="251"/>
      <c r="J253" s="80">
        <f ca="1">J235*(1+INDEX(J$35:J$37,MATCH(Work_Codes!$I$197,$D$35:$D$37,0)))</f>
        <v>0</v>
      </c>
      <c r="K253" s="80">
        <f ca="1">K235*(1+INDEX(K$35:K$37,MATCH(Work_Codes!$I$197,$D$35:$D$37,0)))</f>
        <v>0</v>
      </c>
      <c r="L253" s="80">
        <f ca="1">L235*(1+INDEX(L$35:L$37,MATCH(Work_Codes!$I$197,$D$35:$D$37,0)))</f>
        <v>0</v>
      </c>
      <c r="M253" s="80">
        <f ca="1">M235*(1+INDEX(M$35:M$37,MATCH(Work_Codes!$I$197,$D$35:$D$37,0)))</f>
        <v>0</v>
      </c>
      <c r="N253" s="80">
        <f ca="1">N235*(1+INDEX(N$35:N$37,MATCH(Work_Codes!$I$197,$D$35:$D$37,0)))</f>
        <v>0</v>
      </c>
      <c r="O253" s="80">
        <f ca="1">O235*(1+INDEX(O$35:O$37,MATCH(Work_Codes!$I$197,$D$35:$D$37,0)))</f>
        <v>0</v>
      </c>
      <c r="P253" s="80">
        <f ca="1">P235*(1+INDEX(P$35:P$37,MATCH(Work_Codes!$I$197,$D$35:$D$37,0)))</f>
        <v>0</v>
      </c>
      <c r="Q253" s="80">
        <f ca="1">Q235*(1+INDEX(Q$35:Q$37,MATCH(Work_Codes!$I$197,$D$35:$D$37,0)))</f>
        <v>0</v>
      </c>
      <c r="R253" s="80">
        <f ca="1">R235*(1+INDEX(R$35:R$37,MATCH(Work_Codes!$I$197,$D$35:$D$37,0)))</f>
        <v>0</v>
      </c>
      <c r="S253" s="80">
        <f ca="1">S235*(1+INDEX(S$35:S$37,MATCH(Work_Codes!$I$197,$D$35:$D$37,0)))</f>
        <v>0</v>
      </c>
      <c r="T253" s="80">
        <f ca="1">T235*(1+INDEX(T$35:T$37,MATCH(Work_Codes!$I$197,$D$35:$D$37,0)))</f>
        <v>0</v>
      </c>
    </row>
    <row r="254" spans="4:20" s="41" customFormat="1" ht="12" customHeight="1" outlineLevel="2">
      <c r="E254" s="251" t="str">
        <f>GC!C66</f>
        <v>IT capex</v>
      </c>
      <c r="F254" s="251"/>
      <c r="G254" s="251"/>
      <c r="H254" s="251"/>
      <c r="I254" s="251"/>
      <c r="J254" s="80">
        <f ca="1">J236*(1+INDEX(J$35:J$37,MATCH(Work_Codes!$I$197,$D$35:$D$37,0)))</f>
        <v>0</v>
      </c>
      <c r="K254" s="80">
        <f ca="1">K236*(1+INDEX(K$35:K$37,MATCH(Work_Codes!$I$197,$D$35:$D$37,0)))</f>
        <v>0</v>
      </c>
      <c r="L254" s="80">
        <f ca="1">L236*(1+INDEX(L$35:L$37,MATCH(Work_Codes!$I$197,$D$35:$D$37,0)))</f>
        <v>0</v>
      </c>
      <c r="M254" s="80">
        <f ca="1">M236*(1+INDEX(M$35:M$37,MATCH(Work_Codes!$I$197,$D$35:$D$37,0)))</f>
        <v>0</v>
      </c>
      <c r="N254" s="80">
        <f ca="1">N236*(1+INDEX(N$35:N$37,MATCH(Work_Codes!$I$197,$D$35:$D$37,0)))</f>
        <v>0</v>
      </c>
      <c r="O254" s="80">
        <f ca="1">O236*(1+INDEX(O$35:O$37,MATCH(Work_Codes!$I$197,$D$35:$D$37,0)))</f>
        <v>0</v>
      </c>
      <c r="P254" s="80">
        <f ca="1">P236*(1+INDEX(P$35:P$37,MATCH(Work_Codes!$I$197,$D$35:$D$37,0)))</f>
        <v>0</v>
      </c>
      <c r="Q254" s="80">
        <f ca="1">Q236*(1+INDEX(Q$35:Q$37,MATCH(Work_Codes!$I$197,$D$35:$D$37,0)))</f>
        <v>0</v>
      </c>
      <c r="R254" s="80">
        <f ca="1">R236*(1+INDEX(R$35:R$37,MATCH(Work_Codes!$I$197,$D$35:$D$37,0)))</f>
        <v>0</v>
      </c>
      <c r="S254" s="80">
        <f ca="1">S236*(1+INDEX(S$35:S$37,MATCH(Work_Codes!$I$197,$D$35:$D$37,0)))</f>
        <v>0</v>
      </c>
      <c r="T254" s="80">
        <f ca="1">T236*(1+INDEX(T$35:T$37,MATCH(Work_Codes!$I$197,$D$35:$D$37,0)))</f>
        <v>0</v>
      </c>
    </row>
    <row r="255" spans="4:20" s="41" customFormat="1" ht="12" customHeight="1" outlineLevel="2">
      <c r="E255" s="251" t="str">
        <f>GC!C67</f>
        <v>SCADA</v>
      </c>
      <c r="F255" s="251"/>
      <c r="G255" s="251"/>
      <c r="H255" s="251"/>
      <c r="I255" s="251"/>
      <c r="J255" s="80">
        <f ca="1">J237*(1+INDEX(J$35:J$37,MATCH(Work_Codes!$I$197,$D$35:$D$37,0)))</f>
        <v>0</v>
      </c>
      <c r="K255" s="80">
        <f ca="1">K237*(1+INDEX(K$35:K$37,MATCH(Work_Codes!$I$197,$D$35:$D$37,0)))</f>
        <v>0</v>
      </c>
      <c r="L255" s="80">
        <f ca="1">L237*(1+INDEX(L$35:L$37,MATCH(Work_Codes!$I$197,$D$35:$D$37,0)))</f>
        <v>0</v>
      </c>
      <c r="M255" s="80">
        <f ca="1">M237*(1+INDEX(M$35:M$37,MATCH(Work_Codes!$I$197,$D$35:$D$37,0)))</f>
        <v>0</v>
      </c>
      <c r="N255" s="80">
        <f ca="1">N237*(1+INDEX(N$35:N$37,MATCH(Work_Codes!$I$197,$D$35:$D$37,0)))</f>
        <v>0</v>
      </c>
      <c r="O255" s="80">
        <f ca="1">O237*(1+INDEX(O$35:O$37,MATCH(Work_Codes!$I$197,$D$35:$D$37,0)))</f>
        <v>0</v>
      </c>
      <c r="P255" s="80">
        <f ca="1">P237*(1+INDEX(P$35:P$37,MATCH(Work_Codes!$I$197,$D$35:$D$37,0)))</f>
        <v>0</v>
      </c>
      <c r="Q255" s="80">
        <f ca="1">Q237*(1+INDEX(Q$35:Q$37,MATCH(Work_Codes!$I$197,$D$35:$D$37,0)))</f>
        <v>0</v>
      </c>
      <c r="R255" s="80">
        <f ca="1">R237*(1+INDEX(R$35:R$37,MATCH(Work_Codes!$I$197,$D$35:$D$37,0)))</f>
        <v>0</v>
      </c>
      <c r="S255" s="80">
        <f ca="1">S237*(1+INDEX(S$35:S$37,MATCH(Work_Codes!$I$197,$D$35:$D$37,0)))</f>
        <v>0</v>
      </c>
      <c r="T255" s="80">
        <f ca="1">T237*(1+INDEX(T$35:T$37,MATCH(Work_Codes!$I$197,$D$35:$D$37,0)))</f>
        <v>0</v>
      </c>
    </row>
    <row r="256" spans="4:20" s="41" customFormat="1" ht="12" customHeight="1" outlineLevel="2">
      <c r="E256" s="251" t="str">
        <f>GC!C68</f>
        <v>Other</v>
      </c>
      <c r="F256" s="251"/>
      <c r="G256" s="251"/>
      <c r="H256" s="251"/>
      <c r="I256" s="251"/>
      <c r="J256" s="80">
        <f ca="1">J238*(1+INDEX(J$35:J$37,MATCH(Work_Codes!$I$197,$D$35:$D$37,0)))</f>
        <v>0</v>
      </c>
      <c r="K256" s="80">
        <f ca="1">K238*(1+INDEX(K$35:K$37,MATCH(Work_Codes!$I$197,$D$35:$D$37,0)))</f>
        <v>0</v>
      </c>
      <c r="L256" s="80">
        <f ca="1">L238*(1+INDEX(L$35:L$37,MATCH(Work_Codes!$I$197,$D$35:$D$37,0)))</f>
        <v>0</v>
      </c>
      <c r="M256" s="80">
        <f ca="1">M238*(1+INDEX(M$35:M$37,MATCH(Work_Codes!$I$197,$D$35:$D$37,0)))</f>
        <v>0</v>
      </c>
      <c r="N256" s="80">
        <f ca="1">N238*(1+INDEX(N$35:N$37,MATCH(Work_Codes!$I$197,$D$35:$D$37,0)))</f>
        <v>522103.5315989175</v>
      </c>
      <c r="O256" s="80">
        <f ca="1">O238*(1+INDEX(O$35:O$37,MATCH(Work_Codes!$I$197,$D$35:$D$37,0)))</f>
        <v>558031.32702648221</v>
      </c>
      <c r="P256" s="80">
        <f ca="1">P238*(1+INDEX(P$35:P$37,MATCH(Work_Codes!$I$197,$D$35:$D$37,0)))</f>
        <v>2228509.1407737862</v>
      </c>
      <c r="Q256" s="80">
        <f ca="1">Q238*(1+INDEX(Q$35:Q$37,MATCH(Work_Codes!$I$197,$D$35:$D$37,0)))</f>
        <v>1806520.6206550789</v>
      </c>
      <c r="R256" s="80">
        <f ca="1">R238*(1+INDEX(R$35:R$37,MATCH(Work_Codes!$I$197,$D$35:$D$37,0)))</f>
        <v>1551487.3451919288</v>
      </c>
      <c r="S256" s="80">
        <f ca="1">S238*(1+INDEX(S$35:S$37,MATCH(Work_Codes!$I$197,$D$35:$D$37,0)))</f>
        <v>1667599.3412673185</v>
      </c>
      <c r="T256" s="80">
        <f ca="1">T238*(1+INDEX(T$35:T$37,MATCH(Work_Codes!$I$197,$D$35:$D$37,0)))</f>
        <v>1958887.8383269643</v>
      </c>
    </row>
    <row r="257" spans="4:20" s="41" customFormat="1" outlineLevel="2">
      <c r="E257" s="251" t="str">
        <f>GC!C69</f>
        <v>Capitalised Leases</v>
      </c>
      <c r="F257" s="251"/>
      <c r="G257" s="251"/>
      <c r="H257" s="251"/>
      <c r="I257" s="251"/>
      <c r="J257" s="80">
        <f ca="1">J239*(1+INDEX(J$35:J$37,MATCH(Work_Codes!$I$197,$D$35:$D$37,0)))</f>
        <v>0</v>
      </c>
      <c r="K257" s="80">
        <f ca="1">K239*(1+INDEX(K$35:K$37,MATCH(Work_Codes!$I$197,$D$35:$D$37,0)))</f>
        <v>0</v>
      </c>
      <c r="L257" s="80">
        <f ca="1">L239*(1+INDEX(L$35:L$37,MATCH(Work_Codes!$I$197,$D$35:$D$37,0)))</f>
        <v>0</v>
      </c>
      <c r="M257" s="80">
        <f ca="1">M239*(1+INDEX(M$35:M$37,MATCH(Work_Codes!$I$197,$D$35:$D$37,0)))</f>
        <v>0</v>
      </c>
      <c r="N257" s="80">
        <f ca="1">N239*(1+INDEX(N$35:N$37,MATCH(Work_Codes!$I$197,$D$35:$D$37,0)))</f>
        <v>0</v>
      </c>
      <c r="O257" s="80">
        <f ca="1">O239*(1+INDEX(O$35:O$37,MATCH(Work_Codes!$I$197,$D$35:$D$37,0)))</f>
        <v>0</v>
      </c>
      <c r="P257" s="80">
        <f ca="1">P239*(1+INDEX(P$35:P$37,MATCH(Work_Codes!$I$197,$D$35:$D$37,0)))</f>
        <v>0</v>
      </c>
      <c r="Q257" s="80">
        <f ca="1">Q239*(1+INDEX(Q$35:Q$37,MATCH(Work_Codes!$I$197,$D$35:$D$37,0)))</f>
        <v>0</v>
      </c>
      <c r="R257" s="80">
        <f ca="1">R239*(1+INDEX(R$35:R$37,MATCH(Work_Codes!$I$197,$D$35:$D$37,0)))</f>
        <v>0</v>
      </c>
      <c r="S257" s="80">
        <f ca="1">S239*(1+INDEX(S$35:S$37,MATCH(Work_Codes!$I$197,$D$35:$D$37,0)))</f>
        <v>0</v>
      </c>
      <c r="T257" s="80">
        <f ca="1">T239*(1+INDEX(T$35:T$37,MATCH(Work_Codes!$I$197,$D$35:$D$37,0)))</f>
        <v>0</v>
      </c>
    </row>
    <row r="258" spans="4:20" s="41" customFormat="1" ht="12" customHeight="1" outlineLevel="2">
      <c r="E258" s="251" t="str">
        <f>GC!C70</f>
        <v>Gas Extensions - Energy for the Regions</v>
      </c>
      <c r="F258" s="251"/>
      <c r="G258" s="251"/>
      <c r="H258" s="251"/>
      <c r="I258" s="251"/>
      <c r="J258" s="80">
        <f ca="1">J240*(1+INDEX(J$35:J$37,MATCH(Work_Codes!$I$197,$D$35:$D$37,0)))</f>
        <v>0</v>
      </c>
      <c r="K258" s="80">
        <f ca="1">K240*(1+INDEX(K$35:K$37,MATCH(Work_Codes!$I$197,$D$35:$D$37,0)))</f>
        <v>0</v>
      </c>
      <c r="L258" s="80">
        <f ca="1">L240*(1+INDEX(L$35:L$37,MATCH(Work_Codes!$I$197,$D$35:$D$37,0)))</f>
        <v>0</v>
      </c>
      <c r="M258" s="80">
        <f ca="1">M240*(1+INDEX(M$35:M$37,MATCH(Work_Codes!$I$197,$D$35:$D$37,0)))</f>
        <v>0</v>
      </c>
      <c r="N258" s="80">
        <f ca="1">N240*(1+INDEX(N$35:N$37,MATCH(Work_Codes!$I$197,$D$35:$D$37,0)))</f>
        <v>0</v>
      </c>
      <c r="O258" s="80">
        <f ca="1">O240*(1+INDEX(O$35:O$37,MATCH(Work_Codes!$I$197,$D$35:$D$37,0)))</f>
        <v>0</v>
      </c>
      <c r="P258" s="80">
        <f ca="1">P240*(1+INDEX(P$35:P$37,MATCH(Work_Codes!$I$197,$D$35:$D$37,0)))</f>
        <v>0</v>
      </c>
      <c r="Q258" s="80">
        <f ca="1">Q240*(1+INDEX(Q$35:Q$37,MATCH(Work_Codes!$I$197,$D$35:$D$37,0)))</f>
        <v>0</v>
      </c>
      <c r="R258" s="80">
        <f ca="1">R240*(1+INDEX(R$35:R$37,MATCH(Work_Codes!$I$197,$D$35:$D$37,0)))</f>
        <v>0</v>
      </c>
      <c r="S258" s="80">
        <f ca="1">S240*(1+INDEX(S$35:S$37,MATCH(Work_Codes!$I$197,$D$35:$D$37,0)))</f>
        <v>0</v>
      </c>
      <c r="T258" s="80">
        <f ca="1">T240*(1+INDEX(T$35:T$37,MATCH(Work_Codes!$I$197,$D$35:$D$37,0)))</f>
        <v>0</v>
      </c>
    </row>
    <row r="259" spans="4:20" s="41" customFormat="1" ht="12" customHeight="1" outlineLevel="2">
      <c r="E259" s="251" t="str">
        <f>GC!C71</f>
        <v>Gas Extensions - Other</v>
      </c>
      <c r="F259" s="251"/>
      <c r="G259" s="251"/>
      <c r="H259" s="251"/>
      <c r="I259" s="251"/>
      <c r="J259" s="80">
        <f ca="1">J241*(1+INDEX(J$35:J$37,MATCH(Work_Codes!$I$197,$D$35:$D$37,0)))</f>
        <v>0</v>
      </c>
      <c r="K259" s="80">
        <f ca="1">K241*(1+INDEX(K$35:K$37,MATCH(Work_Codes!$I$197,$D$35:$D$37,0)))</f>
        <v>0</v>
      </c>
      <c r="L259" s="80">
        <f ca="1">L241*(1+INDEX(L$35:L$37,MATCH(Work_Codes!$I$197,$D$35:$D$37,0)))</f>
        <v>0</v>
      </c>
      <c r="M259" s="80">
        <f ca="1">M241*(1+INDEX(M$35:M$37,MATCH(Work_Codes!$I$197,$D$35:$D$37,0)))</f>
        <v>0</v>
      </c>
      <c r="N259" s="80">
        <f ca="1">N241*(1+INDEX(N$35:N$37,MATCH(Work_Codes!$I$197,$D$35:$D$37,0)))</f>
        <v>0</v>
      </c>
      <c r="O259" s="80">
        <f ca="1">O241*(1+INDEX(O$35:O$37,MATCH(Work_Codes!$I$197,$D$35:$D$37,0)))</f>
        <v>0</v>
      </c>
      <c r="P259" s="80">
        <f ca="1">P241*(1+INDEX(P$35:P$37,MATCH(Work_Codes!$I$197,$D$35:$D$37,0)))</f>
        <v>0</v>
      </c>
      <c r="Q259" s="80">
        <f ca="1">Q241*(1+INDEX(Q$35:Q$37,MATCH(Work_Codes!$I$197,$D$35:$D$37,0)))</f>
        <v>0</v>
      </c>
      <c r="R259" s="80">
        <f ca="1">R241*(1+INDEX(R$35:R$37,MATCH(Work_Codes!$I$197,$D$35:$D$37,0)))</f>
        <v>0</v>
      </c>
      <c r="S259" s="80">
        <f ca="1">S241*(1+INDEX(S$35:S$37,MATCH(Work_Codes!$I$197,$D$35:$D$37,0)))</f>
        <v>0</v>
      </c>
      <c r="T259" s="80">
        <f ca="1">T241*(1+INDEX(T$35:T$37,MATCH(Work_Codes!$I$197,$D$35:$D$37,0)))</f>
        <v>0</v>
      </c>
    </row>
    <row r="260" spans="4:20" s="41" customFormat="1" ht="12" customHeight="1" outlineLevel="2">
      <c r="E260" s="251" t="str">
        <f>GC!C72</f>
        <v>Customer contributions</v>
      </c>
      <c r="F260" s="251"/>
      <c r="G260" s="251"/>
      <c r="H260" s="251"/>
      <c r="I260" s="251"/>
      <c r="J260" s="80">
        <f ca="1">J242*(1+INDEX(J$35:J$37,MATCH(Work_Codes!$I$197,$D$35:$D$37,0)))</f>
        <v>0</v>
      </c>
      <c r="K260" s="80">
        <f ca="1">K242*(1+INDEX(K$35:K$37,MATCH(Work_Codes!$I$197,$D$35:$D$37,0)))</f>
        <v>0</v>
      </c>
      <c r="L260" s="80">
        <f ca="1">L242*(1+INDEX(L$35:L$37,MATCH(Work_Codes!$I$197,$D$35:$D$37,0)))</f>
        <v>0</v>
      </c>
      <c r="M260" s="80">
        <f ca="1">M242*(1+INDEX(M$35:M$37,MATCH(Work_Codes!$I$197,$D$35:$D$37,0)))</f>
        <v>0</v>
      </c>
      <c r="N260" s="80">
        <f ca="1">N242*(1+INDEX(N$35:N$37,MATCH(Work_Codes!$I$197,$D$35:$D$37,0)))</f>
        <v>0</v>
      </c>
      <c r="O260" s="80">
        <f ca="1">O242*(1+INDEX(O$35:O$37,MATCH(Work_Codes!$I$197,$D$35:$D$37,0)))</f>
        <v>0</v>
      </c>
      <c r="P260" s="80">
        <f ca="1">P242*(1+INDEX(P$35:P$37,MATCH(Work_Codes!$I$197,$D$35:$D$37,0)))</f>
        <v>0</v>
      </c>
      <c r="Q260" s="80">
        <f ca="1">Q242*(1+INDEX(Q$35:Q$37,MATCH(Work_Codes!$I$197,$D$35:$D$37,0)))</f>
        <v>0</v>
      </c>
      <c r="R260" s="80">
        <f ca="1">R242*(1+INDEX(R$35:R$37,MATCH(Work_Codes!$I$197,$D$35:$D$37,0)))</f>
        <v>0</v>
      </c>
      <c r="S260" s="80">
        <f ca="1">S242*(1+INDEX(S$35:S$37,MATCH(Work_Codes!$I$197,$D$35:$D$37,0)))</f>
        <v>0</v>
      </c>
      <c r="T260" s="80">
        <f ca="1">T242*(1+INDEX(T$35:T$37,MATCH(Work_Codes!$I$197,$D$35:$D$37,0)))</f>
        <v>0</v>
      </c>
    </row>
    <row r="261" spans="4:20" s="41" customFormat="1" ht="12" customHeight="1" outlineLevel="2">
      <c r="E261" s="251" t="str">
        <f>GC!C73</f>
        <v>Government contributions</v>
      </c>
      <c r="F261" s="251"/>
      <c r="G261" s="251"/>
      <c r="H261" s="251"/>
      <c r="I261" s="251"/>
      <c r="J261" s="80">
        <f ca="1">J243*(1+INDEX(J$35:J$37,MATCH(Work_Codes!$I$197,$D$35:$D$37,0)))</f>
        <v>0</v>
      </c>
      <c r="K261" s="80">
        <f ca="1">K243*(1+INDEX(K$35:K$37,MATCH(Work_Codes!$I$197,$D$35:$D$37,0)))</f>
        <v>0</v>
      </c>
      <c r="L261" s="80">
        <f ca="1">L243*(1+INDEX(L$35:L$37,MATCH(Work_Codes!$I$197,$D$35:$D$37,0)))</f>
        <v>0</v>
      </c>
      <c r="M261" s="80">
        <f ca="1">M243*(1+INDEX(M$35:M$37,MATCH(Work_Codes!$I$197,$D$35:$D$37,0)))</f>
        <v>0</v>
      </c>
      <c r="N261" s="80">
        <f ca="1">N243*(1+INDEX(N$35:N$37,MATCH(Work_Codes!$I$197,$D$35:$D$37,0)))</f>
        <v>0</v>
      </c>
      <c r="O261" s="80">
        <f ca="1">O243*(1+INDEX(O$35:O$37,MATCH(Work_Codes!$I$197,$D$35:$D$37,0)))</f>
        <v>0</v>
      </c>
      <c r="P261" s="80">
        <f ca="1">P243*(1+INDEX(P$35:P$37,MATCH(Work_Codes!$I$197,$D$35:$D$37,0)))</f>
        <v>0</v>
      </c>
      <c r="Q261" s="80">
        <f ca="1">Q243*(1+INDEX(Q$35:Q$37,MATCH(Work_Codes!$I$197,$D$35:$D$37,0)))</f>
        <v>0</v>
      </c>
      <c r="R261" s="80">
        <f ca="1">R243*(1+INDEX(R$35:R$37,MATCH(Work_Codes!$I$197,$D$35:$D$37,0)))</f>
        <v>0</v>
      </c>
      <c r="S261" s="80">
        <f ca="1">S243*(1+INDEX(S$35:S$37,MATCH(Work_Codes!$I$197,$D$35:$D$37,0)))</f>
        <v>0</v>
      </c>
      <c r="T261" s="80">
        <f ca="1">T243*(1+INDEX(T$35:T$37,MATCH(Work_Codes!$I$197,$D$35:$D$37,0)))</f>
        <v>0</v>
      </c>
    </row>
    <row r="262" spans="4:20" s="41" customFormat="1" ht="12" customHeight="1" outlineLevel="2">
      <c r="E262" s="250" t="str">
        <f>"Total "&amp;D246</f>
        <v>Total Direct Costs + Overheads</v>
      </c>
      <c r="F262" s="250"/>
      <c r="G262" s="250"/>
      <c r="H262" s="250"/>
      <c r="I262" s="250"/>
      <c r="J262" s="101">
        <f t="shared" ref="J262:T262" ca="1" si="27">SUM(J248:J261)</f>
        <v>0</v>
      </c>
      <c r="K262" s="101">
        <f t="shared" ca="1" si="27"/>
        <v>0</v>
      </c>
      <c r="L262" s="101">
        <f t="shared" ca="1" si="27"/>
        <v>0</v>
      </c>
      <c r="M262" s="101">
        <f t="shared" ca="1" si="27"/>
        <v>0</v>
      </c>
      <c r="N262" s="101">
        <f t="shared" ca="1" si="27"/>
        <v>522103.5315989175</v>
      </c>
      <c r="O262" s="101">
        <f t="shared" ca="1" si="27"/>
        <v>558031.32702648221</v>
      </c>
      <c r="P262" s="101">
        <f t="shared" ca="1" si="27"/>
        <v>2228509.1407737862</v>
      </c>
      <c r="Q262" s="101">
        <f t="shared" ca="1" si="27"/>
        <v>1806520.6206550789</v>
      </c>
      <c r="R262" s="101">
        <f t="shared" ca="1" si="27"/>
        <v>1551487.3451919288</v>
      </c>
      <c r="S262" s="101">
        <f t="shared" ca="1" si="27"/>
        <v>1667599.3412673185</v>
      </c>
      <c r="T262" s="101">
        <f t="shared" ca="1" si="27"/>
        <v>1958887.8383269643</v>
      </c>
    </row>
    <row r="263" spans="4:20" outlineLevel="2"/>
    <row r="264" spans="4:20" outlineLevel="2">
      <c r="D264" s="37" t="s">
        <v>367</v>
      </c>
    </row>
    <row r="265" spans="4:20" ht="5.75" customHeight="1" outlineLevel="2"/>
    <row r="266" spans="4:20" outlineLevel="2">
      <c r="E266" s="247" t="str">
        <f>GC!C60</f>
        <v>Mains replacement</v>
      </c>
      <c r="F266" s="247"/>
      <c r="G266" s="247"/>
      <c r="H266" s="247"/>
      <c r="I266" s="247"/>
      <c r="J266" s="81">
        <f ca="1">SUMPRODUCT((Work_Codes!$AC$200:$AO$200=$E266)*(Work_Codes!$AC$214:$AO$214)*(J$83:J$83))</f>
        <v>0</v>
      </c>
      <c r="K266" s="81">
        <f ca="1">SUMPRODUCT((Work_Codes!$AC$200:$AO$200=$E266)*(Work_Codes!$AC$214:$AO$214)*(K$83:K$83))</f>
        <v>0</v>
      </c>
      <c r="L266" s="81">
        <f ca="1">SUMPRODUCT((Work_Codes!$AC$200:$AO$200=$E266)*(Work_Codes!$AC$214:$AO$214)*(L$83:L$83))</f>
        <v>0</v>
      </c>
      <c r="M266" s="81">
        <f ca="1">SUMPRODUCT((Work_Codes!$AC$200:$AO$200=$E266)*(Work_Codes!$AC$214:$AO$214)*(M$83:M$83))</f>
        <v>0</v>
      </c>
      <c r="N266" s="81">
        <f ca="1">SUMPRODUCT((Work_Codes!$AC$200:$AO$200=$E266)*(Work_Codes!$AC$214:$AO$214)*(N$83:N$83))</f>
        <v>0</v>
      </c>
      <c r="O266" s="81">
        <f ca="1">SUMPRODUCT((Work_Codes!$AC$200:$AO$200=$E266)*(Work_Codes!$AC$214:$AO$214)*(O$83:O$83))</f>
        <v>0</v>
      </c>
      <c r="P266" s="81">
        <f ca="1">SUMPRODUCT((Work_Codes!$AC$200:$AO$200=$E266)*(Work_Codes!$AC$214:$AO$214)*(P$83:P$83))</f>
        <v>0</v>
      </c>
      <c r="Q266" s="81">
        <f ca="1">SUMPRODUCT((Work_Codes!$AC$200:$AO$200=$E266)*(Work_Codes!$AC$214:$AO$214)*(Q$83:Q$83))</f>
        <v>0</v>
      </c>
      <c r="R266" s="81">
        <f ca="1">SUMPRODUCT((Work_Codes!$AC$200:$AO$200=$E266)*(Work_Codes!$AC$214:$AO$214)*(R$83:R$83))</f>
        <v>0</v>
      </c>
      <c r="S266" s="81">
        <f ca="1">SUMPRODUCT((Work_Codes!$AC$200:$AO$200=$E266)*(Work_Codes!$AC$214:$AO$214)*(S$83:S$83))</f>
        <v>0</v>
      </c>
      <c r="T266" s="81">
        <f ca="1">SUMPRODUCT((Work_Codes!$AC$200:$AO$200=$E266)*(Work_Codes!$AC$214:$AO$214)*(T$83:T$83))</f>
        <v>0</v>
      </c>
    </row>
    <row r="267" spans="4:20" outlineLevel="2">
      <c r="E267" s="247" t="str">
        <f>GC!C61</f>
        <v>Residential new customer connections</v>
      </c>
      <c r="F267" s="247"/>
      <c r="G267" s="247"/>
      <c r="H267" s="247"/>
      <c r="I267" s="247"/>
      <c r="J267" s="81">
        <f ca="1">SUMPRODUCT((Work_Codes!$AC$200:$AO$200=$E267)*(Work_Codes!$AC$214:$AO$214)*(J$83:J$83))</f>
        <v>0</v>
      </c>
      <c r="K267" s="81">
        <f ca="1">SUMPRODUCT((Work_Codes!$AC$200:$AO$200=$E267)*(Work_Codes!$AC$214:$AO$214)*(K$83:K$83))</f>
        <v>0</v>
      </c>
      <c r="L267" s="81">
        <f ca="1">SUMPRODUCT((Work_Codes!$AC$200:$AO$200=$E267)*(Work_Codes!$AC$214:$AO$214)*(L$83:L$83))</f>
        <v>0</v>
      </c>
      <c r="M267" s="81">
        <f ca="1">SUMPRODUCT((Work_Codes!$AC$200:$AO$200=$E267)*(Work_Codes!$AC$214:$AO$214)*(M$83:M$83))</f>
        <v>0</v>
      </c>
      <c r="N267" s="81">
        <f ca="1">SUMPRODUCT((Work_Codes!$AC$200:$AO$200=$E267)*(Work_Codes!$AC$214:$AO$214)*(N$83:N$83))</f>
        <v>0</v>
      </c>
      <c r="O267" s="81">
        <f ca="1">SUMPRODUCT((Work_Codes!$AC$200:$AO$200=$E267)*(Work_Codes!$AC$214:$AO$214)*(O$83:O$83))</f>
        <v>0</v>
      </c>
      <c r="P267" s="81">
        <f ca="1">SUMPRODUCT((Work_Codes!$AC$200:$AO$200=$E267)*(Work_Codes!$AC$214:$AO$214)*(P$83:P$83))</f>
        <v>0</v>
      </c>
      <c r="Q267" s="81">
        <f ca="1">SUMPRODUCT((Work_Codes!$AC$200:$AO$200=$E267)*(Work_Codes!$AC$214:$AO$214)*(Q$83:Q$83))</f>
        <v>0</v>
      </c>
      <c r="R267" s="81">
        <f ca="1">SUMPRODUCT((Work_Codes!$AC$200:$AO$200=$E267)*(Work_Codes!$AC$214:$AO$214)*(R$83:R$83))</f>
        <v>0</v>
      </c>
      <c r="S267" s="81">
        <f ca="1">SUMPRODUCT((Work_Codes!$AC$200:$AO$200=$E267)*(Work_Codes!$AC$214:$AO$214)*(S$83:S$83))</f>
        <v>0</v>
      </c>
      <c r="T267" s="81">
        <f ca="1">SUMPRODUCT((Work_Codes!$AC$200:$AO$200=$E267)*(Work_Codes!$AC$214:$AO$214)*(T$83:T$83))</f>
        <v>0</v>
      </c>
    </row>
    <row r="268" spans="4:20" outlineLevel="2">
      <c r="E268" s="247" t="str">
        <f>GC!C62</f>
        <v>Commercial and industrial new customer connections</v>
      </c>
      <c r="F268" s="247"/>
      <c r="G268" s="247"/>
      <c r="H268" s="247"/>
      <c r="I268" s="247"/>
      <c r="J268" s="81">
        <f ca="1">SUMPRODUCT((Work_Codes!$AC$200:$AO$200=$E268)*(Work_Codes!$AC$214:$AO$214)*(J$83:J$83))</f>
        <v>0</v>
      </c>
      <c r="K268" s="81">
        <f ca="1">SUMPRODUCT((Work_Codes!$AC$200:$AO$200=$E268)*(Work_Codes!$AC$214:$AO$214)*(K$83:K$83))</f>
        <v>0</v>
      </c>
      <c r="L268" s="81">
        <f ca="1">SUMPRODUCT((Work_Codes!$AC$200:$AO$200=$E268)*(Work_Codes!$AC$214:$AO$214)*(L$83:L$83))</f>
        <v>0</v>
      </c>
      <c r="M268" s="81">
        <f ca="1">SUMPRODUCT((Work_Codes!$AC$200:$AO$200=$E268)*(Work_Codes!$AC$214:$AO$214)*(M$83:M$83))</f>
        <v>0</v>
      </c>
      <c r="N268" s="81">
        <f ca="1">SUMPRODUCT((Work_Codes!$AC$200:$AO$200=$E268)*(Work_Codes!$AC$214:$AO$214)*(N$83:N$83))</f>
        <v>0</v>
      </c>
      <c r="O268" s="81">
        <f ca="1">SUMPRODUCT((Work_Codes!$AC$200:$AO$200=$E268)*(Work_Codes!$AC$214:$AO$214)*(O$83:O$83))</f>
        <v>0</v>
      </c>
      <c r="P268" s="81">
        <f ca="1">SUMPRODUCT((Work_Codes!$AC$200:$AO$200=$E268)*(Work_Codes!$AC$214:$AO$214)*(P$83:P$83))</f>
        <v>0</v>
      </c>
      <c r="Q268" s="81">
        <f ca="1">SUMPRODUCT((Work_Codes!$AC$200:$AO$200=$E268)*(Work_Codes!$AC$214:$AO$214)*(Q$83:Q$83))</f>
        <v>0</v>
      </c>
      <c r="R268" s="81">
        <f ca="1">SUMPRODUCT((Work_Codes!$AC$200:$AO$200=$E268)*(Work_Codes!$AC$214:$AO$214)*(R$83:R$83))</f>
        <v>0</v>
      </c>
      <c r="S268" s="81">
        <f ca="1">SUMPRODUCT((Work_Codes!$AC$200:$AO$200=$E268)*(Work_Codes!$AC$214:$AO$214)*(S$83:S$83))</f>
        <v>0</v>
      </c>
      <c r="T268" s="81">
        <f ca="1">SUMPRODUCT((Work_Codes!$AC$200:$AO$200=$E268)*(Work_Codes!$AC$214:$AO$214)*(T$83:T$83))</f>
        <v>0</v>
      </c>
    </row>
    <row r="269" spans="4:20" outlineLevel="2">
      <c r="E269" s="247" t="str">
        <f>GC!C63</f>
        <v>Residential meter replacement</v>
      </c>
      <c r="F269" s="247"/>
      <c r="G269" s="247"/>
      <c r="H269" s="247"/>
      <c r="I269" s="247"/>
      <c r="J269" s="81">
        <f ca="1">SUMPRODUCT((Work_Codes!$AC$200:$AO$200=$E269)*(Work_Codes!$AC$214:$AO$214)*(J$83:J$83))</f>
        <v>0</v>
      </c>
      <c r="K269" s="81">
        <f ca="1">SUMPRODUCT((Work_Codes!$AC$200:$AO$200=$E269)*(Work_Codes!$AC$214:$AO$214)*(K$83:K$83))</f>
        <v>0</v>
      </c>
      <c r="L269" s="81">
        <f ca="1">SUMPRODUCT((Work_Codes!$AC$200:$AO$200=$E269)*(Work_Codes!$AC$214:$AO$214)*(L$83:L$83))</f>
        <v>0</v>
      </c>
      <c r="M269" s="81">
        <f ca="1">SUMPRODUCT((Work_Codes!$AC$200:$AO$200=$E269)*(Work_Codes!$AC$214:$AO$214)*(M$83:M$83))</f>
        <v>0</v>
      </c>
      <c r="N269" s="81">
        <f ca="1">SUMPRODUCT((Work_Codes!$AC$200:$AO$200=$E269)*(Work_Codes!$AC$214:$AO$214)*(N$83:N$83))</f>
        <v>0</v>
      </c>
      <c r="O269" s="81">
        <f ca="1">SUMPRODUCT((Work_Codes!$AC$200:$AO$200=$E269)*(Work_Codes!$AC$214:$AO$214)*(O$83:O$83))</f>
        <v>0</v>
      </c>
      <c r="P269" s="81">
        <f ca="1">SUMPRODUCT((Work_Codes!$AC$200:$AO$200=$E269)*(Work_Codes!$AC$214:$AO$214)*(P$83:P$83))</f>
        <v>0</v>
      </c>
      <c r="Q269" s="81">
        <f ca="1">SUMPRODUCT((Work_Codes!$AC$200:$AO$200=$E269)*(Work_Codes!$AC$214:$AO$214)*(Q$83:Q$83))</f>
        <v>0</v>
      </c>
      <c r="R269" s="81">
        <f ca="1">SUMPRODUCT((Work_Codes!$AC$200:$AO$200=$E269)*(Work_Codes!$AC$214:$AO$214)*(R$83:R$83))</f>
        <v>0</v>
      </c>
      <c r="S269" s="81">
        <f ca="1">SUMPRODUCT((Work_Codes!$AC$200:$AO$200=$E269)*(Work_Codes!$AC$214:$AO$214)*(S$83:S$83))</f>
        <v>0</v>
      </c>
      <c r="T269" s="81">
        <f ca="1">SUMPRODUCT((Work_Codes!$AC$200:$AO$200=$E269)*(Work_Codes!$AC$214:$AO$214)*(T$83:T$83))</f>
        <v>0</v>
      </c>
    </row>
    <row r="270" spans="4:20" outlineLevel="2">
      <c r="E270" s="247" t="str">
        <f>GC!C64</f>
        <v>Commercial and industrial meter replacement</v>
      </c>
      <c r="F270" s="247"/>
      <c r="G270" s="247"/>
      <c r="H270" s="247"/>
      <c r="I270" s="247"/>
      <c r="J270" s="81">
        <f ca="1">SUMPRODUCT((Work_Codes!$AC$200:$AO$200=$E270)*(Work_Codes!$AC$214:$AO$214)*(J$83:J$83))</f>
        <v>0</v>
      </c>
      <c r="K270" s="81">
        <f ca="1">SUMPRODUCT((Work_Codes!$AC$200:$AO$200=$E270)*(Work_Codes!$AC$214:$AO$214)*(K$83:K$83))</f>
        <v>0</v>
      </c>
      <c r="L270" s="81">
        <f ca="1">SUMPRODUCT((Work_Codes!$AC$200:$AO$200=$E270)*(Work_Codes!$AC$214:$AO$214)*(L$83:L$83))</f>
        <v>0</v>
      </c>
      <c r="M270" s="81">
        <f ca="1">SUMPRODUCT((Work_Codes!$AC$200:$AO$200=$E270)*(Work_Codes!$AC$214:$AO$214)*(M$83:M$83))</f>
        <v>0</v>
      </c>
      <c r="N270" s="81">
        <f ca="1">SUMPRODUCT((Work_Codes!$AC$200:$AO$200=$E270)*(Work_Codes!$AC$214:$AO$214)*(N$83:N$83))</f>
        <v>0</v>
      </c>
      <c r="O270" s="81">
        <f ca="1">SUMPRODUCT((Work_Codes!$AC$200:$AO$200=$E270)*(Work_Codes!$AC$214:$AO$214)*(O$83:O$83))</f>
        <v>0</v>
      </c>
      <c r="P270" s="81">
        <f ca="1">SUMPRODUCT((Work_Codes!$AC$200:$AO$200=$E270)*(Work_Codes!$AC$214:$AO$214)*(P$83:P$83))</f>
        <v>0</v>
      </c>
      <c r="Q270" s="81">
        <f ca="1">SUMPRODUCT((Work_Codes!$AC$200:$AO$200=$E270)*(Work_Codes!$AC$214:$AO$214)*(Q$83:Q$83))</f>
        <v>0</v>
      </c>
      <c r="R270" s="81">
        <f ca="1">SUMPRODUCT((Work_Codes!$AC$200:$AO$200=$E270)*(Work_Codes!$AC$214:$AO$214)*(R$83:R$83))</f>
        <v>0</v>
      </c>
      <c r="S270" s="81">
        <f ca="1">SUMPRODUCT((Work_Codes!$AC$200:$AO$200=$E270)*(Work_Codes!$AC$214:$AO$214)*(S$83:S$83))</f>
        <v>0</v>
      </c>
      <c r="T270" s="81">
        <f ca="1">SUMPRODUCT((Work_Codes!$AC$200:$AO$200=$E270)*(Work_Codes!$AC$214:$AO$214)*(T$83:T$83))</f>
        <v>0</v>
      </c>
    </row>
    <row r="271" spans="4:20" outlineLevel="2">
      <c r="E271" s="247" t="str">
        <f>GC!C65</f>
        <v>Augmentation</v>
      </c>
      <c r="F271" s="247"/>
      <c r="G271" s="247"/>
      <c r="H271" s="247"/>
      <c r="I271" s="247"/>
      <c r="J271" s="81">
        <f ca="1">SUMPRODUCT((Work_Codes!$AC$200:$AO$200=$E271)*(Work_Codes!$AC$214:$AO$214)*(J$83:J$83))</f>
        <v>0</v>
      </c>
      <c r="K271" s="81">
        <f ca="1">SUMPRODUCT((Work_Codes!$AC$200:$AO$200=$E271)*(Work_Codes!$AC$214:$AO$214)*(K$83:K$83))</f>
        <v>0</v>
      </c>
      <c r="L271" s="81">
        <f ca="1">SUMPRODUCT((Work_Codes!$AC$200:$AO$200=$E271)*(Work_Codes!$AC$214:$AO$214)*(L$83:L$83))</f>
        <v>0</v>
      </c>
      <c r="M271" s="81">
        <f ca="1">SUMPRODUCT((Work_Codes!$AC$200:$AO$200=$E271)*(Work_Codes!$AC$214:$AO$214)*(M$83:M$83))</f>
        <v>0</v>
      </c>
      <c r="N271" s="81">
        <f ca="1">SUMPRODUCT((Work_Codes!$AC$200:$AO$200=$E271)*(Work_Codes!$AC$214:$AO$214)*(N$83:N$83))</f>
        <v>0</v>
      </c>
      <c r="O271" s="81">
        <f ca="1">SUMPRODUCT((Work_Codes!$AC$200:$AO$200=$E271)*(Work_Codes!$AC$214:$AO$214)*(O$83:O$83))</f>
        <v>0</v>
      </c>
      <c r="P271" s="81">
        <f ca="1">SUMPRODUCT((Work_Codes!$AC$200:$AO$200=$E271)*(Work_Codes!$AC$214:$AO$214)*(P$83:P$83))</f>
        <v>0</v>
      </c>
      <c r="Q271" s="81">
        <f ca="1">SUMPRODUCT((Work_Codes!$AC$200:$AO$200=$E271)*(Work_Codes!$AC$214:$AO$214)*(Q$83:Q$83))</f>
        <v>0</v>
      </c>
      <c r="R271" s="81">
        <f ca="1">SUMPRODUCT((Work_Codes!$AC$200:$AO$200=$E271)*(Work_Codes!$AC$214:$AO$214)*(R$83:R$83))</f>
        <v>0</v>
      </c>
      <c r="S271" s="81">
        <f ca="1">SUMPRODUCT((Work_Codes!$AC$200:$AO$200=$E271)*(Work_Codes!$AC$214:$AO$214)*(S$83:S$83))</f>
        <v>0</v>
      </c>
      <c r="T271" s="81">
        <f ca="1">SUMPRODUCT((Work_Codes!$AC$200:$AO$200=$E271)*(Work_Codes!$AC$214:$AO$214)*(T$83:T$83))</f>
        <v>0</v>
      </c>
    </row>
    <row r="272" spans="4:20" outlineLevel="2">
      <c r="E272" s="247" t="str">
        <f>GC!C66</f>
        <v>IT capex</v>
      </c>
      <c r="F272" s="247"/>
      <c r="G272" s="247"/>
      <c r="H272" s="247"/>
      <c r="I272" s="247"/>
      <c r="J272" s="81">
        <f ca="1">SUMPRODUCT((Work_Codes!$AC$200:$AO$200=$E272)*(Work_Codes!$AC$214:$AO$214)*(J$83:J$83))</f>
        <v>0</v>
      </c>
      <c r="K272" s="81">
        <f ca="1">SUMPRODUCT((Work_Codes!$AC$200:$AO$200=$E272)*(Work_Codes!$AC$214:$AO$214)*(K$83:K$83))</f>
        <v>0</v>
      </c>
      <c r="L272" s="81">
        <f ca="1">SUMPRODUCT((Work_Codes!$AC$200:$AO$200=$E272)*(Work_Codes!$AC$214:$AO$214)*(L$83:L$83))</f>
        <v>0</v>
      </c>
      <c r="M272" s="81">
        <f ca="1">SUMPRODUCT((Work_Codes!$AC$200:$AO$200=$E272)*(Work_Codes!$AC$214:$AO$214)*(M$83:M$83))</f>
        <v>0</v>
      </c>
      <c r="N272" s="81">
        <f ca="1">SUMPRODUCT((Work_Codes!$AC$200:$AO$200=$E272)*(Work_Codes!$AC$214:$AO$214)*(N$83:N$83))</f>
        <v>0</v>
      </c>
      <c r="O272" s="81">
        <f ca="1">SUMPRODUCT((Work_Codes!$AC$200:$AO$200=$E272)*(Work_Codes!$AC$214:$AO$214)*(O$83:O$83))</f>
        <v>0</v>
      </c>
      <c r="P272" s="81">
        <f ca="1">SUMPRODUCT((Work_Codes!$AC$200:$AO$200=$E272)*(Work_Codes!$AC$214:$AO$214)*(P$83:P$83))</f>
        <v>0</v>
      </c>
      <c r="Q272" s="81">
        <f ca="1">SUMPRODUCT((Work_Codes!$AC$200:$AO$200=$E272)*(Work_Codes!$AC$214:$AO$214)*(Q$83:Q$83))</f>
        <v>0</v>
      </c>
      <c r="R272" s="81">
        <f ca="1">SUMPRODUCT((Work_Codes!$AC$200:$AO$200=$E272)*(Work_Codes!$AC$214:$AO$214)*(R$83:R$83))</f>
        <v>0</v>
      </c>
      <c r="S272" s="81">
        <f ca="1">SUMPRODUCT((Work_Codes!$AC$200:$AO$200=$E272)*(Work_Codes!$AC$214:$AO$214)*(S$83:S$83))</f>
        <v>0</v>
      </c>
      <c r="T272" s="81">
        <f ca="1">SUMPRODUCT((Work_Codes!$AC$200:$AO$200=$E272)*(Work_Codes!$AC$214:$AO$214)*(T$83:T$83))</f>
        <v>0</v>
      </c>
    </row>
    <row r="273" spans="2:20" outlineLevel="2">
      <c r="E273" s="247" t="str">
        <f>GC!C67</f>
        <v>SCADA</v>
      </c>
      <c r="F273" s="247"/>
      <c r="G273" s="247"/>
      <c r="H273" s="247"/>
      <c r="I273" s="247"/>
      <c r="J273" s="81">
        <f ca="1">SUMPRODUCT((Work_Codes!$AC$200:$AO$200=$E273)*(Work_Codes!$AC$214:$AO$214)*(J$83:J$83))</f>
        <v>0</v>
      </c>
      <c r="K273" s="81">
        <f ca="1">SUMPRODUCT((Work_Codes!$AC$200:$AO$200=$E273)*(Work_Codes!$AC$214:$AO$214)*(K$83:K$83))</f>
        <v>0</v>
      </c>
      <c r="L273" s="81">
        <f ca="1">SUMPRODUCT((Work_Codes!$AC$200:$AO$200=$E273)*(Work_Codes!$AC$214:$AO$214)*(L$83:L$83))</f>
        <v>0</v>
      </c>
      <c r="M273" s="81">
        <f ca="1">SUMPRODUCT((Work_Codes!$AC$200:$AO$200=$E273)*(Work_Codes!$AC$214:$AO$214)*(M$83:M$83))</f>
        <v>0</v>
      </c>
      <c r="N273" s="81">
        <f ca="1">SUMPRODUCT((Work_Codes!$AC$200:$AO$200=$E273)*(Work_Codes!$AC$214:$AO$214)*(N$83:N$83))</f>
        <v>0</v>
      </c>
      <c r="O273" s="81">
        <f ca="1">SUMPRODUCT((Work_Codes!$AC$200:$AO$200=$E273)*(Work_Codes!$AC$214:$AO$214)*(O$83:O$83))</f>
        <v>0</v>
      </c>
      <c r="P273" s="81">
        <f ca="1">SUMPRODUCT((Work_Codes!$AC$200:$AO$200=$E273)*(Work_Codes!$AC$214:$AO$214)*(P$83:P$83))</f>
        <v>0</v>
      </c>
      <c r="Q273" s="81">
        <f ca="1">SUMPRODUCT((Work_Codes!$AC$200:$AO$200=$E273)*(Work_Codes!$AC$214:$AO$214)*(Q$83:Q$83))</f>
        <v>0</v>
      </c>
      <c r="R273" s="81">
        <f ca="1">SUMPRODUCT((Work_Codes!$AC$200:$AO$200=$E273)*(Work_Codes!$AC$214:$AO$214)*(R$83:R$83))</f>
        <v>0</v>
      </c>
      <c r="S273" s="81">
        <f ca="1">SUMPRODUCT((Work_Codes!$AC$200:$AO$200=$E273)*(Work_Codes!$AC$214:$AO$214)*(S$83:S$83))</f>
        <v>0</v>
      </c>
      <c r="T273" s="81">
        <f ca="1">SUMPRODUCT((Work_Codes!$AC$200:$AO$200=$E273)*(Work_Codes!$AC$214:$AO$214)*(T$83:T$83))</f>
        <v>0</v>
      </c>
    </row>
    <row r="274" spans="2:20" outlineLevel="2">
      <c r="E274" s="247" t="str">
        <f>GC!C68</f>
        <v>Other</v>
      </c>
      <c r="F274" s="247"/>
      <c r="G274" s="247"/>
      <c r="H274" s="247"/>
      <c r="I274" s="247"/>
      <c r="J274" s="81">
        <f ca="1">SUMPRODUCT((Work_Codes!$AC$200:$AO$200=$E274)*(Work_Codes!$AC$214:$AO$214)*(J$83:J$83))</f>
        <v>0</v>
      </c>
      <c r="K274" s="81">
        <f ca="1">SUMPRODUCT((Work_Codes!$AC$200:$AO$200=$E274)*(Work_Codes!$AC$214:$AO$214)*(K$83:K$83))</f>
        <v>0</v>
      </c>
      <c r="L274" s="81">
        <f ca="1">SUMPRODUCT((Work_Codes!$AC$200:$AO$200=$E274)*(Work_Codes!$AC$214:$AO$214)*(L$83:L$83))</f>
        <v>0</v>
      </c>
      <c r="M274" s="81">
        <f ca="1">SUMPRODUCT((Work_Codes!$AC$200:$AO$200=$E274)*(Work_Codes!$AC$214:$AO$214)*(M$83:M$83))</f>
        <v>0</v>
      </c>
      <c r="N274" s="81">
        <f ca="1">SUMPRODUCT((Work_Codes!$AC$200:$AO$200=$E274)*(Work_Codes!$AC$214:$AO$214)*(N$83:N$83))</f>
        <v>0</v>
      </c>
      <c r="O274" s="81">
        <f ca="1">SUMPRODUCT((Work_Codes!$AC$200:$AO$200=$E274)*(Work_Codes!$AC$214:$AO$214)*(O$83:O$83))</f>
        <v>0</v>
      </c>
      <c r="P274" s="81">
        <f ca="1">SUMPRODUCT((Work_Codes!$AC$200:$AO$200=$E274)*(Work_Codes!$AC$214:$AO$214)*(P$83:P$83))</f>
        <v>0</v>
      </c>
      <c r="Q274" s="81">
        <f ca="1">SUMPRODUCT((Work_Codes!$AC$200:$AO$200=$E274)*(Work_Codes!$AC$214:$AO$214)*(Q$83:Q$83))</f>
        <v>0</v>
      </c>
      <c r="R274" s="81">
        <f ca="1">SUMPRODUCT((Work_Codes!$AC$200:$AO$200=$E274)*(Work_Codes!$AC$214:$AO$214)*(R$83:R$83))</f>
        <v>0</v>
      </c>
      <c r="S274" s="81">
        <f ca="1">SUMPRODUCT((Work_Codes!$AC$200:$AO$200=$E274)*(Work_Codes!$AC$214:$AO$214)*(S$83:S$83))</f>
        <v>0</v>
      </c>
      <c r="T274" s="81">
        <f ca="1">SUMPRODUCT((Work_Codes!$AC$200:$AO$200=$E274)*(Work_Codes!$AC$214:$AO$214)*(T$83:T$83))</f>
        <v>0</v>
      </c>
    </row>
    <row r="275" spans="2:20" outlineLevel="2">
      <c r="E275" s="247" t="str">
        <f>GC!C69</f>
        <v>Capitalised Leases</v>
      </c>
      <c r="F275" s="247"/>
      <c r="G275" s="247"/>
      <c r="H275" s="247"/>
      <c r="I275" s="247"/>
      <c r="J275" s="81">
        <f ca="1">SUMPRODUCT((Work_Codes!$AC$200:$AO$200=$E275)*(Work_Codes!$AC$214:$AO$214)*(J$83:J$83))</f>
        <v>0</v>
      </c>
      <c r="K275" s="81">
        <f ca="1">SUMPRODUCT((Work_Codes!$AC$200:$AO$200=$E275)*(Work_Codes!$AC$214:$AO$214)*(K$83:K$83))</f>
        <v>0</v>
      </c>
      <c r="L275" s="81">
        <f ca="1">SUMPRODUCT((Work_Codes!$AC$200:$AO$200=$E275)*(Work_Codes!$AC$214:$AO$214)*(L$83:L$83))</f>
        <v>0</v>
      </c>
      <c r="M275" s="81">
        <f ca="1">SUMPRODUCT((Work_Codes!$AC$200:$AO$200=$E275)*(Work_Codes!$AC$214:$AO$214)*(M$83:M$83))</f>
        <v>0</v>
      </c>
      <c r="N275" s="81">
        <f ca="1">SUMPRODUCT((Work_Codes!$AC$200:$AO$200=$E275)*(Work_Codes!$AC$214:$AO$214)*(N$83:N$83))</f>
        <v>0</v>
      </c>
      <c r="O275" s="81">
        <f ca="1">SUMPRODUCT((Work_Codes!$AC$200:$AO$200=$E275)*(Work_Codes!$AC$214:$AO$214)*(O$83:O$83))</f>
        <v>0</v>
      </c>
      <c r="P275" s="81">
        <f ca="1">SUMPRODUCT((Work_Codes!$AC$200:$AO$200=$E275)*(Work_Codes!$AC$214:$AO$214)*(P$83:P$83))</f>
        <v>0</v>
      </c>
      <c r="Q275" s="81">
        <f ca="1">SUMPRODUCT((Work_Codes!$AC$200:$AO$200=$E275)*(Work_Codes!$AC$214:$AO$214)*(Q$83:Q$83))</f>
        <v>0</v>
      </c>
      <c r="R275" s="81">
        <f ca="1">SUMPRODUCT((Work_Codes!$AC$200:$AO$200=$E275)*(Work_Codes!$AC$214:$AO$214)*(R$83:R$83))</f>
        <v>0</v>
      </c>
      <c r="S275" s="81">
        <f ca="1">SUMPRODUCT((Work_Codes!$AC$200:$AO$200=$E275)*(Work_Codes!$AC$214:$AO$214)*(S$83:S$83))</f>
        <v>0</v>
      </c>
      <c r="T275" s="81">
        <f ca="1">SUMPRODUCT((Work_Codes!$AC$200:$AO$200=$E275)*(Work_Codes!$AC$214:$AO$214)*(T$83:T$83))</f>
        <v>0</v>
      </c>
    </row>
    <row r="276" spans="2:20" outlineLevel="2">
      <c r="E276" s="247" t="str">
        <f>GC!C70</f>
        <v>Gas Extensions - Energy for the Regions</v>
      </c>
      <c r="F276" s="247"/>
      <c r="G276" s="247"/>
      <c r="H276" s="247"/>
      <c r="I276" s="247"/>
      <c r="J276" s="81">
        <f ca="1">SUMPRODUCT((Work_Codes!$AC$200:$AO$200=$E276)*(Work_Codes!$AC$214:$AO$214)*(J$83:J$83))</f>
        <v>0</v>
      </c>
      <c r="K276" s="81">
        <f ca="1">SUMPRODUCT((Work_Codes!$AC$200:$AO$200=$E276)*(Work_Codes!$AC$214:$AO$214)*(K$83:K$83))</f>
        <v>0</v>
      </c>
      <c r="L276" s="81">
        <f ca="1">SUMPRODUCT((Work_Codes!$AC$200:$AO$200=$E276)*(Work_Codes!$AC$214:$AO$214)*(L$83:L$83))</f>
        <v>0</v>
      </c>
      <c r="M276" s="81">
        <f ca="1">SUMPRODUCT((Work_Codes!$AC$200:$AO$200=$E276)*(Work_Codes!$AC$214:$AO$214)*(M$83:M$83))</f>
        <v>0</v>
      </c>
      <c r="N276" s="81">
        <f ca="1">SUMPRODUCT((Work_Codes!$AC$200:$AO$200=$E276)*(Work_Codes!$AC$214:$AO$214)*(N$83:N$83))</f>
        <v>0</v>
      </c>
      <c r="O276" s="81">
        <f ca="1">SUMPRODUCT((Work_Codes!$AC$200:$AO$200=$E276)*(Work_Codes!$AC$214:$AO$214)*(O$83:O$83))</f>
        <v>0</v>
      </c>
      <c r="P276" s="81">
        <f ca="1">SUMPRODUCT((Work_Codes!$AC$200:$AO$200=$E276)*(Work_Codes!$AC$214:$AO$214)*(P$83:P$83))</f>
        <v>0</v>
      </c>
      <c r="Q276" s="81">
        <f ca="1">SUMPRODUCT((Work_Codes!$AC$200:$AO$200=$E276)*(Work_Codes!$AC$214:$AO$214)*(Q$83:Q$83))</f>
        <v>0</v>
      </c>
      <c r="R276" s="81">
        <f ca="1">SUMPRODUCT((Work_Codes!$AC$200:$AO$200=$E276)*(Work_Codes!$AC$214:$AO$214)*(R$83:R$83))</f>
        <v>0</v>
      </c>
      <c r="S276" s="81">
        <f ca="1">SUMPRODUCT((Work_Codes!$AC$200:$AO$200=$E276)*(Work_Codes!$AC$214:$AO$214)*(S$83:S$83))</f>
        <v>0</v>
      </c>
      <c r="T276" s="81">
        <f ca="1">SUMPRODUCT((Work_Codes!$AC$200:$AO$200=$E276)*(Work_Codes!$AC$214:$AO$214)*(T$83:T$83))</f>
        <v>0</v>
      </c>
    </row>
    <row r="277" spans="2:20" outlineLevel="2">
      <c r="E277" s="247" t="str">
        <f>GC!C71</f>
        <v>Gas Extensions - Other</v>
      </c>
      <c r="F277" s="247"/>
      <c r="G277" s="247"/>
      <c r="H277" s="247"/>
      <c r="I277" s="247"/>
      <c r="J277" s="81">
        <f ca="1">SUMPRODUCT((Work_Codes!$AC$200:$AO$200=$E277)*(Work_Codes!$AC$214:$AO$214)*(J$83:J$83))</f>
        <v>0</v>
      </c>
      <c r="K277" s="81">
        <f ca="1">SUMPRODUCT((Work_Codes!$AC$200:$AO$200=$E277)*(Work_Codes!$AC$214:$AO$214)*(K$83:K$83))</f>
        <v>0</v>
      </c>
      <c r="L277" s="81">
        <f ca="1">SUMPRODUCT((Work_Codes!$AC$200:$AO$200=$E277)*(Work_Codes!$AC$214:$AO$214)*(L$83:L$83))</f>
        <v>0</v>
      </c>
      <c r="M277" s="81">
        <f ca="1">SUMPRODUCT((Work_Codes!$AC$200:$AO$200=$E277)*(Work_Codes!$AC$214:$AO$214)*(M$83:M$83))</f>
        <v>0</v>
      </c>
      <c r="N277" s="81">
        <f ca="1">SUMPRODUCT((Work_Codes!$AC$200:$AO$200=$E277)*(Work_Codes!$AC$214:$AO$214)*(N$83:N$83))</f>
        <v>0</v>
      </c>
      <c r="O277" s="81">
        <f ca="1">SUMPRODUCT((Work_Codes!$AC$200:$AO$200=$E277)*(Work_Codes!$AC$214:$AO$214)*(O$83:O$83))</f>
        <v>0</v>
      </c>
      <c r="P277" s="81">
        <f ca="1">SUMPRODUCT((Work_Codes!$AC$200:$AO$200=$E277)*(Work_Codes!$AC$214:$AO$214)*(P$83:P$83))</f>
        <v>0</v>
      </c>
      <c r="Q277" s="81">
        <f ca="1">SUMPRODUCT((Work_Codes!$AC$200:$AO$200=$E277)*(Work_Codes!$AC$214:$AO$214)*(Q$83:Q$83))</f>
        <v>0</v>
      </c>
      <c r="R277" s="81">
        <f ca="1">SUMPRODUCT((Work_Codes!$AC$200:$AO$200=$E277)*(Work_Codes!$AC$214:$AO$214)*(R$83:R$83))</f>
        <v>0</v>
      </c>
      <c r="S277" s="81">
        <f ca="1">SUMPRODUCT((Work_Codes!$AC$200:$AO$200=$E277)*(Work_Codes!$AC$214:$AO$214)*(S$83:S$83))</f>
        <v>0</v>
      </c>
      <c r="T277" s="81">
        <f ca="1">SUMPRODUCT((Work_Codes!$AC$200:$AO$200=$E277)*(Work_Codes!$AC$214:$AO$214)*(T$83:T$83))</f>
        <v>0</v>
      </c>
    </row>
    <row r="278" spans="2:20" outlineLevel="2">
      <c r="E278" s="247" t="str">
        <f>GC!C72</f>
        <v>Customer contributions</v>
      </c>
      <c r="F278" s="247"/>
      <c r="G278" s="247"/>
      <c r="H278" s="247"/>
      <c r="I278" s="247"/>
      <c r="J278" s="81">
        <f ca="1">SUMPRODUCT((Work_Codes!$AC$200:$AO$200=$E278)*(Work_Codes!$AC$214:$AO$214)*(J$83:J$83))</f>
        <v>0</v>
      </c>
      <c r="K278" s="81">
        <f ca="1">SUMPRODUCT((Work_Codes!$AC$200:$AO$200=$E278)*(Work_Codes!$AC$214:$AO$214)*(K$83:K$83))</f>
        <v>0</v>
      </c>
      <c r="L278" s="81">
        <f ca="1">SUMPRODUCT((Work_Codes!$AC$200:$AO$200=$E278)*(Work_Codes!$AC$214:$AO$214)*(L$83:L$83))</f>
        <v>0</v>
      </c>
      <c r="M278" s="81">
        <f ca="1">SUMPRODUCT((Work_Codes!$AC$200:$AO$200=$E278)*(Work_Codes!$AC$214:$AO$214)*(M$83:M$83))</f>
        <v>0</v>
      </c>
      <c r="N278" s="81">
        <f ca="1">SUMPRODUCT((Work_Codes!$AC$200:$AO$200=$E278)*(Work_Codes!$AC$214:$AO$214)*(N$83:N$83))</f>
        <v>0</v>
      </c>
      <c r="O278" s="81">
        <f ca="1">SUMPRODUCT((Work_Codes!$AC$200:$AO$200=$E278)*(Work_Codes!$AC$214:$AO$214)*(O$83:O$83))</f>
        <v>0</v>
      </c>
      <c r="P278" s="81">
        <f ca="1">SUMPRODUCT((Work_Codes!$AC$200:$AO$200=$E278)*(Work_Codes!$AC$214:$AO$214)*(P$83:P$83))</f>
        <v>0</v>
      </c>
      <c r="Q278" s="81">
        <f ca="1">SUMPRODUCT((Work_Codes!$AC$200:$AO$200=$E278)*(Work_Codes!$AC$214:$AO$214)*(Q$83:Q$83))</f>
        <v>0</v>
      </c>
      <c r="R278" s="81">
        <f ca="1">SUMPRODUCT((Work_Codes!$AC$200:$AO$200=$E278)*(Work_Codes!$AC$214:$AO$214)*(R$83:R$83))</f>
        <v>0</v>
      </c>
      <c r="S278" s="81">
        <f ca="1">SUMPRODUCT((Work_Codes!$AC$200:$AO$200=$E278)*(Work_Codes!$AC$214:$AO$214)*(S$83:S$83))</f>
        <v>0</v>
      </c>
      <c r="T278" s="81">
        <f ca="1">SUMPRODUCT((Work_Codes!$AC$200:$AO$200=$E278)*(Work_Codes!$AC$214:$AO$214)*(T$83:T$83))</f>
        <v>0</v>
      </c>
    </row>
    <row r="279" spans="2:20" outlineLevel="2">
      <c r="E279" s="247" t="str">
        <f>GC!C73</f>
        <v>Government contributions</v>
      </c>
      <c r="F279" s="247"/>
      <c r="G279" s="247"/>
      <c r="H279" s="247"/>
      <c r="I279" s="247"/>
      <c r="J279" s="81">
        <f ca="1">SUMPRODUCT((Work_Codes!$AC$200:$AO$200=$E279)*(Work_Codes!$AC$214:$AO$214)*(J$83:J$83))</f>
        <v>0</v>
      </c>
      <c r="K279" s="81">
        <f ca="1">SUMPRODUCT((Work_Codes!$AC$200:$AO$200=$E279)*(Work_Codes!$AC$214:$AO$214)*(K$83:K$83))</f>
        <v>0</v>
      </c>
      <c r="L279" s="81">
        <f ca="1">SUMPRODUCT((Work_Codes!$AC$200:$AO$200=$E279)*(Work_Codes!$AC$214:$AO$214)*(L$83:L$83))</f>
        <v>0</v>
      </c>
      <c r="M279" s="81">
        <f ca="1">SUMPRODUCT((Work_Codes!$AC$200:$AO$200=$E279)*(Work_Codes!$AC$214:$AO$214)*(M$83:M$83))</f>
        <v>0</v>
      </c>
      <c r="N279" s="81">
        <f ca="1">SUMPRODUCT((Work_Codes!$AC$200:$AO$200=$E279)*(Work_Codes!$AC$214:$AO$214)*(N$83:N$83))</f>
        <v>0</v>
      </c>
      <c r="O279" s="81">
        <f ca="1">SUMPRODUCT((Work_Codes!$AC$200:$AO$200=$E279)*(Work_Codes!$AC$214:$AO$214)*(O$83:O$83))</f>
        <v>0</v>
      </c>
      <c r="P279" s="81">
        <f ca="1">SUMPRODUCT((Work_Codes!$AC$200:$AO$200=$E279)*(Work_Codes!$AC$214:$AO$214)*(P$83:P$83))</f>
        <v>0</v>
      </c>
      <c r="Q279" s="81">
        <f ca="1">SUMPRODUCT((Work_Codes!$AC$200:$AO$200=$E279)*(Work_Codes!$AC$214:$AO$214)*(Q$83:Q$83))</f>
        <v>0</v>
      </c>
      <c r="R279" s="81">
        <f ca="1">SUMPRODUCT((Work_Codes!$AC$200:$AO$200=$E279)*(Work_Codes!$AC$214:$AO$214)*(R$83:R$83))</f>
        <v>0</v>
      </c>
      <c r="S279" s="81">
        <f ca="1">SUMPRODUCT((Work_Codes!$AC$200:$AO$200=$E279)*(Work_Codes!$AC$214:$AO$214)*(S$83:S$83))</f>
        <v>0</v>
      </c>
      <c r="T279" s="81">
        <f ca="1">SUMPRODUCT((Work_Codes!$AC$200:$AO$200=$E279)*(Work_Codes!$AC$214:$AO$214)*(T$83:T$83))</f>
        <v>0</v>
      </c>
    </row>
    <row r="280" spans="2:20" outlineLevel="2">
      <c r="E280" s="249" t="str">
        <f t="shared" ref="E280" si="28">"Total "&amp;D264</f>
        <v>Total Customer Contributions</v>
      </c>
      <c r="F280" s="249"/>
      <c r="G280" s="249"/>
      <c r="H280" s="249"/>
      <c r="I280" s="249"/>
      <c r="J280" s="82">
        <f t="shared" ref="J280:T280" ca="1" si="29">SUM(J266:J279)</f>
        <v>0</v>
      </c>
      <c r="K280" s="82">
        <f t="shared" ca="1" si="29"/>
        <v>0</v>
      </c>
      <c r="L280" s="82">
        <f t="shared" ca="1" si="29"/>
        <v>0</v>
      </c>
      <c r="M280" s="82">
        <f t="shared" ca="1" si="29"/>
        <v>0</v>
      </c>
      <c r="N280" s="82">
        <f t="shared" ca="1" si="29"/>
        <v>0</v>
      </c>
      <c r="O280" s="82">
        <f t="shared" ca="1" si="29"/>
        <v>0</v>
      </c>
      <c r="P280" s="82">
        <f t="shared" ca="1" si="29"/>
        <v>0</v>
      </c>
      <c r="Q280" s="82">
        <f t="shared" ca="1" si="29"/>
        <v>0</v>
      </c>
      <c r="R280" s="82">
        <f t="shared" ca="1" si="29"/>
        <v>0</v>
      </c>
      <c r="S280" s="82">
        <f t="shared" ca="1" si="29"/>
        <v>0</v>
      </c>
      <c r="T280" s="82">
        <f t="shared" ca="1" si="29"/>
        <v>0</v>
      </c>
    </row>
    <row r="281" spans="2:20" s="41" customFormat="1" outlineLevel="2">
      <c r="B281" s="109"/>
      <c r="C281" s="109"/>
      <c r="D281" s="109"/>
      <c r="E281" s="109"/>
      <c r="F281" s="109"/>
      <c r="G281" s="109"/>
      <c r="H281" s="109"/>
      <c r="I281" s="109"/>
      <c r="J281" s="109"/>
      <c r="K281" s="109"/>
      <c r="L281" s="109"/>
      <c r="M281" s="109"/>
      <c r="N281" s="109"/>
      <c r="O281" s="109"/>
      <c r="P281" s="109"/>
      <c r="Q281" s="109"/>
      <c r="R281" s="109"/>
      <c r="S281" s="109"/>
      <c r="T281" s="109"/>
    </row>
    <row r="282" spans="2:20" s="41" customFormat="1" outlineLevel="2"/>
    <row r="283" spans="2:20" s="41" customFormat="1" outlineLevel="2">
      <c r="C283" s="50" t="s">
        <v>311</v>
      </c>
    </row>
    <row r="284" spans="2:20" s="41" customFormat="1" ht="5.9" customHeight="1" outlineLevel="2"/>
    <row r="285" spans="2:20" s="41" customFormat="1" outlineLevel="2">
      <c r="D285" s="50" t="s">
        <v>215</v>
      </c>
    </row>
    <row r="286" spans="2:20" s="41" customFormat="1" ht="5.9" customHeight="1" outlineLevel="2"/>
    <row r="287" spans="2:20" s="41" customFormat="1" outlineLevel="2">
      <c r="E287" s="251" t="str">
        <f>GC!C78</f>
        <v>Mains &amp; Services</v>
      </c>
      <c r="F287" s="251"/>
      <c r="G287" s="251"/>
      <c r="H287" s="251"/>
      <c r="I287" s="251"/>
      <c r="J287" s="80">
        <f ca="1">SUMPRODUCT((Work_Codes!$AR$200:$AX$200=$E287)*(Work_Codes!$AR$203:$AX$210)*(J$131:J$138))</f>
        <v>0</v>
      </c>
      <c r="K287" s="80">
        <f ca="1">SUMPRODUCT((Work_Codes!$AR$200:$AX$200=$E287)*(Work_Codes!$AR$203:$AX$210)*(K$131:K$138))</f>
        <v>0</v>
      </c>
      <c r="L287" s="80">
        <f ca="1">SUMPRODUCT((Work_Codes!$AR$200:$AX$200=$E287)*(Work_Codes!$AR$203:$AX$210)*(L$131:L$138))</f>
        <v>0</v>
      </c>
      <c r="M287" s="80">
        <f ca="1">SUMPRODUCT((Work_Codes!$AR$200:$AX$200=$E287)*(Work_Codes!$AR$203:$AX$210)*(M$131:M$138))</f>
        <v>0</v>
      </c>
      <c r="N287" s="80">
        <f ca="1">SUMPRODUCT((Work_Codes!$AR$200:$AX$200=$E287)*(Work_Codes!$AR$203:$AX$210)*(N$131:N$138))</f>
        <v>0</v>
      </c>
      <c r="O287" s="80">
        <f ca="1">SUMPRODUCT((Work_Codes!$AR$200:$AX$200=$E287)*(Work_Codes!$AR$203:$AX$210)*(O$131:O$138))</f>
        <v>0</v>
      </c>
      <c r="P287" s="80">
        <f ca="1">SUMPRODUCT((Work_Codes!$AR$200:$AX$200=$E287)*(Work_Codes!$AR$203:$AX$210)*(P$131:P$138))</f>
        <v>0</v>
      </c>
      <c r="Q287" s="80">
        <f ca="1">SUMPRODUCT((Work_Codes!$AR$200:$AX$200=$E287)*(Work_Codes!$AR$203:$AX$210)*(Q$131:Q$138))</f>
        <v>0</v>
      </c>
      <c r="R287" s="80">
        <f ca="1">SUMPRODUCT((Work_Codes!$AR$200:$AX$200=$E287)*(Work_Codes!$AR$203:$AX$210)*(R$131:R$138))</f>
        <v>0</v>
      </c>
      <c r="S287" s="80">
        <f ca="1">SUMPRODUCT((Work_Codes!$AR$200:$AX$200=$E287)*(Work_Codes!$AR$203:$AX$210)*(S$131:S$138))</f>
        <v>0</v>
      </c>
      <c r="T287" s="80">
        <f ca="1">SUMPRODUCT((Work_Codes!$AR$200:$AX$200=$E287)*(Work_Codes!$AR$203:$AX$210)*(T$131:T$138))</f>
        <v>0</v>
      </c>
    </row>
    <row r="288" spans="2:20" s="41" customFormat="1" outlineLevel="2">
      <c r="E288" s="251" t="str">
        <f>GC!C79</f>
        <v>Meters Domestic</v>
      </c>
      <c r="F288" s="251"/>
      <c r="G288" s="251"/>
      <c r="H288" s="251"/>
      <c r="I288" s="251"/>
      <c r="J288" s="80">
        <f ca="1">SUMPRODUCT((Work_Codes!$AR$200:$AX$200=$E288)*(Work_Codes!$AR$203:$AX$210)*(J$131:J$138))</f>
        <v>0</v>
      </c>
      <c r="K288" s="80">
        <f ca="1">SUMPRODUCT((Work_Codes!$AR$200:$AX$200=$E288)*(Work_Codes!$AR$203:$AX$210)*(K$131:K$138))</f>
        <v>0</v>
      </c>
      <c r="L288" s="80">
        <f ca="1">SUMPRODUCT((Work_Codes!$AR$200:$AX$200=$E288)*(Work_Codes!$AR$203:$AX$210)*(L$131:L$138))</f>
        <v>0</v>
      </c>
      <c r="M288" s="80">
        <f ca="1">SUMPRODUCT((Work_Codes!$AR$200:$AX$200=$E288)*(Work_Codes!$AR$203:$AX$210)*(M$131:M$138))</f>
        <v>0</v>
      </c>
      <c r="N288" s="80">
        <f ca="1">SUMPRODUCT((Work_Codes!$AR$200:$AX$200=$E288)*(Work_Codes!$AR$203:$AX$210)*(N$131:N$138))</f>
        <v>0</v>
      </c>
      <c r="O288" s="80">
        <f ca="1">SUMPRODUCT((Work_Codes!$AR$200:$AX$200=$E288)*(Work_Codes!$AR$203:$AX$210)*(O$131:O$138))</f>
        <v>0</v>
      </c>
      <c r="P288" s="80">
        <f ca="1">SUMPRODUCT((Work_Codes!$AR$200:$AX$200=$E288)*(Work_Codes!$AR$203:$AX$210)*(P$131:P$138))</f>
        <v>0</v>
      </c>
      <c r="Q288" s="80">
        <f ca="1">SUMPRODUCT((Work_Codes!$AR$200:$AX$200=$E288)*(Work_Codes!$AR$203:$AX$210)*(Q$131:Q$138))</f>
        <v>0</v>
      </c>
      <c r="R288" s="80">
        <f ca="1">SUMPRODUCT((Work_Codes!$AR$200:$AX$200=$E288)*(Work_Codes!$AR$203:$AX$210)*(R$131:R$138))</f>
        <v>0</v>
      </c>
      <c r="S288" s="80">
        <f ca="1">SUMPRODUCT((Work_Codes!$AR$200:$AX$200=$E288)*(Work_Codes!$AR$203:$AX$210)*(S$131:S$138))</f>
        <v>0</v>
      </c>
      <c r="T288" s="80">
        <f ca="1">SUMPRODUCT((Work_Codes!$AR$200:$AX$200=$E288)*(Work_Codes!$AR$203:$AX$210)*(T$131:T$138))</f>
        <v>0</v>
      </c>
    </row>
    <row r="289" spans="4:20" s="41" customFormat="1" outlineLevel="2">
      <c r="E289" s="251" t="str">
        <f>GC!C80</f>
        <v>Meters Industrial &amp; Commercial</v>
      </c>
      <c r="F289" s="251"/>
      <c r="G289" s="251"/>
      <c r="H289" s="251"/>
      <c r="I289" s="251"/>
      <c r="J289" s="80">
        <f ca="1">SUMPRODUCT((Work_Codes!$AR$200:$AX$200=$E289)*(Work_Codes!$AR$203:$AX$210)*(J$131:J$138))</f>
        <v>0</v>
      </c>
      <c r="K289" s="80">
        <f ca="1">SUMPRODUCT((Work_Codes!$AR$200:$AX$200=$E289)*(Work_Codes!$AR$203:$AX$210)*(K$131:K$138))</f>
        <v>0</v>
      </c>
      <c r="L289" s="80">
        <f ca="1">SUMPRODUCT((Work_Codes!$AR$200:$AX$200=$E289)*(Work_Codes!$AR$203:$AX$210)*(L$131:L$138))</f>
        <v>0</v>
      </c>
      <c r="M289" s="80">
        <f ca="1">SUMPRODUCT((Work_Codes!$AR$200:$AX$200=$E289)*(Work_Codes!$AR$203:$AX$210)*(M$131:M$138))</f>
        <v>0</v>
      </c>
      <c r="N289" s="80">
        <f ca="1">SUMPRODUCT((Work_Codes!$AR$200:$AX$200=$E289)*(Work_Codes!$AR$203:$AX$210)*(N$131:N$138))</f>
        <v>0</v>
      </c>
      <c r="O289" s="80">
        <f ca="1">SUMPRODUCT((Work_Codes!$AR$200:$AX$200=$E289)*(Work_Codes!$AR$203:$AX$210)*(O$131:O$138))</f>
        <v>0</v>
      </c>
      <c r="P289" s="80">
        <f ca="1">SUMPRODUCT((Work_Codes!$AR$200:$AX$200=$E289)*(Work_Codes!$AR$203:$AX$210)*(P$131:P$138))</f>
        <v>0</v>
      </c>
      <c r="Q289" s="80">
        <f ca="1">SUMPRODUCT((Work_Codes!$AR$200:$AX$200=$E289)*(Work_Codes!$AR$203:$AX$210)*(Q$131:Q$138))</f>
        <v>0</v>
      </c>
      <c r="R289" s="80">
        <f ca="1">SUMPRODUCT((Work_Codes!$AR$200:$AX$200=$E289)*(Work_Codes!$AR$203:$AX$210)*(R$131:R$138))</f>
        <v>0</v>
      </c>
      <c r="S289" s="80">
        <f ca="1">SUMPRODUCT((Work_Codes!$AR$200:$AX$200=$E289)*(Work_Codes!$AR$203:$AX$210)*(S$131:S$138))</f>
        <v>0</v>
      </c>
      <c r="T289" s="80">
        <f ca="1">SUMPRODUCT((Work_Codes!$AR$200:$AX$200=$E289)*(Work_Codes!$AR$203:$AX$210)*(T$131:T$138))</f>
        <v>0</v>
      </c>
    </row>
    <row r="290" spans="4:20" s="41" customFormat="1" outlineLevel="2">
      <c r="E290" s="251" t="str">
        <f>GC!C81</f>
        <v>Buildings</v>
      </c>
      <c r="F290" s="251"/>
      <c r="G290" s="251"/>
      <c r="H290" s="251"/>
      <c r="I290" s="251"/>
      <c r="J290" s="80">
        <f ca="1">SUMPRODUCT((Work_Codes!$AR$200:$AX$200=$E290)*(Work_Codes!$AR$203:$AX$210)*(J$131:J$138))</f>
        <v>0</v>
      </c>
      <c r="K290" s="80">
        <f ca="1">SUMPRODUCT((Work_Codes!$AR$200:$AX$200=$E290)*(Work_Codes!$AR$203:$AX$210)*(K$131:K$138))</f>
        <v>0</v>
      </c>
      <c r="L290" s="80">
        <f ca="1">SUMPRODUCT((Work_Codes!$AR$200:$AX$200=$E290)*(Work_Codes!$AR$203:$AX$210)*(L$131:L$138))</f>
        <v>0</v>
      </c>
      <c r="M290" s="80">
        <f ca="1">SUMPRODUCT((Work_Codes!$AR$200:$AX$200=$E290)*(Work_Codes!$AR$203:$AX$210)*(M$131:M$138))</f>
        <v>0</v>
      </c>
      <c r="N290" s="80">
        <f ca="1">SUMPRODUCT((Work_Codes!$AR$200:$AX$200=$E290)*(Work_Codes!$AR$203:$AX$210)*(N$131:N$138))</f>
        <v>0</v>
      </c>
      <c r="O290" s="80">
        <f ca="1">SUMPRODUCT((Work_Codes!$AR$200:$AX$200=$E290)*(Work_Codes!$AR$203:$AX$210)*(O$131:O$138))</f>
        <v>0</v>
      </c>
      <c r="P290" s="80">
        <f ca="1">SUMPRODUCT((Work_Codes!$AR$200:$AX$200=$E290)*(Work_Codes!$AR$203:$AX$210)*(P$131:P$138))</f>
        <v>0</v>
      </c>
      <c r="Q290" s="80">
        <f ca="1">SUMPRODUCT((Work_Codes!$AR$200:$AX$200=$E290)*(Work_Codes!$AR$203:$AX$210)*(Q$131:Q$138))</f>
        <v>0</v>
      </c>
      <c r="R290" s="80">
        <f ca="1">SUMPRODUCT((Work_Codes!$AR$200:$AX$200=$E290)*(Work_Codes!$AR$203:$AX$210)*(R$131:R$138))</f>
        <v>0</v>
      </c>
      <c r="S290" s="80">
        <f ca="1">SUMPRODUCT((Work_Codes!$AR$200:$AX$200=$E290)*(Work_Codes!$AR$203:$AX$210)*(S$131:S$138))</f>
        <v>0</v>
      </c>
      <c r="T290" s="80">
        <f ca="1">SUMPRODUCT((Work_Codes!$AR$200:$AX$200=$E290)*(Work_Codes!$AR$203:$AX$210)*(T$131:T$138))</f>
        <v>0</v>
      </c>
    </row>
    <row r="291" spans="4:20" s="41" customFormat="1" outlineLevel="2">
      <c r="E291" s="251" t="str">
        <f>GC!C82</f>
        <v>Other Assets</v>
      </c>
      <c r="F291" s="251"/>
      <c r="G291" s="251"/>
      <c r="H291" s="251"/>
      <c r="I291" s="251"/>
      <c r="J291" s="80">
        <f ca="1">SUMPRODUCT((Work_Codes!$AR$200:$AX$200=$E291)*(Work_Codes!$AR$203:$AX$210)*(J$131:J$138))</f>
        <v>0</v>
      </c>
      <c r="K291" s="80">
        <f ca="1">SUMPRODUCT((Work_Codes!$AR$200:$AX$200=$E291)*(Work_Codes!$AR$203:$AX$210)*(K$131:K$138))</f>
        <v>0</v>
      </c>
      <c r="L291" s="80">
        <f ca="1">SUMPRODUCT((Work_Codes!$AR$200:$AX$200=$E291)*(Work_Codes!$AR$203:$AX$210)*(L$131:L$138))</f>
        <v>0</v>
      </c>
      <c r="M291" s="80">
        <f ca="1">SUMPRODUCT((Work_Codes!$AR$200:$AX$200=$E291)*(Work_Codes!$AR$203:$AX$210)*(M$131:M$138))</f>
        <v>0</v>
      </c>
      <c r="N291" s="80">
        <f ca="1">SUMPRODUCT((Work_Codes!$AR$200:$AX$200=$E291)*(Work_Codes!$AR$203:$AX$210)*(N$131:N$138))</f>
        <v>503129.99272855395</v>
      </c>
      <c r="O291" s="80">
        <f ca="1">SUMPRODUCT((Work_Codes!$AR$200:$AX$200=$E291)*(Work_Codes!$AR$203:$AX$210)*(O$131:O$138))</f>
        <v>540056.11597457912</v>
      </c>
      <c r="P291" s="80">
        <f ca="1">SUMPRODUCT((Work_Codes!$AR$200:$AX$200=$E291)*(Work_Codes!$AR$203:$AX$210)*(P$131:P$138))</f>
        <v>2170443.9895577012</v>
      </c>
      <c r="Q291" s="80">
        <f ca="1">SUMPRODUCT((Work_Codes!$AR$200:$AX$200=$E291)*(Work_Codes!$AR$203:$AX$210)*(Q$131:Q$138))</f>
        <v>1760637.3765145189</v>
      </c>
      <c r="R291" s="80">
        <f ca="1">SUMPRODUCT((Work_Codes!$AR$200:$AX$200=$E291)*(Work_Codes!$AR$203:$AX$210)*(R$131:R$138))</f>
        <v>1510885.3150734035</v>
      </c>
      <c r="S291" s="80">
        <f ca="1">SUMPRODUCT((Work_Codes!$AR$200:$AX$200=$E291)*(Work_Codes!$AR$203:$AX$210)*(S$131:S$138))</f>
        <v>1621316.9378600011</v>
      </c>
      <c r="T291" s="80">
        <f ca="1">SUMPRODUCT((Work_Codes!$AR$200:$AX$200=$E291)*(Work_Codes!$AR$203:$AX$210)*(T$131:T$138))</f>
        <v>1901979.8809530465</v>
      </c>
    </row>
    <row r="292" spans="4:20" s="41" customFormat="1" outlineLevel="2">
      <c r="E292" s="251" t="str">
        <f>GC!C83</f>
        <v>Repairs</v>
      </c>
      <c r="F292" s="251"/>
      <c r="G292" s="251"/>
      <c r="H292" s="251"/>
      <c r="I292" s="251"/>
      <c r="J292" s="80">
        <f ca="1">SUMPRODUCT((Work_Codes!$AR$200:$AX$200=$E292)*(Work_Codes!$AR$203:$AX$210)*(J$131:J$138))</f>
        <v>0</v>
      </c>
      <c r="K292" s="80">
        <f ca="1">SUMPRODUCT((Work_Codes!$AR$200:$AX$200=$E292)*(Work_Codes!$AR$203:$AX$210)*(K$131:K$138))</f>
        <v>0</v>
      </c>
      <c r="L292" s="80">
        <f ca="1">SUMPRODUCT((Work_Codes!$AR$200:$AX$200=$E292)*(Work_Codes!$AR$203:$AX$210)*(L$131:L$138))</f>
        <v>0</v>
      </c>
      <c r="M292" s="80">
        <f ca="1">SUMPRODUCT((Work_Codes!$AR$200:$AX$200=$E292)*(Work_Codes!$AR$203:$AX$210)*(M$131:M$138))</f>
        <v>0</v>
      </c>
      <c r="N292" s="80">
        <f ca="1">SUMPRODUCT((Work_Codes!$AR$200:$AX$200=$E292)*(Work_Codes!$AR$203:$AX$210)*(N$131:N$138))</f>
        <v>0</v>
      </c>
      <c r="O292" s="80">
        <f ca="1">SUMPRODUCT((Work_Codes!$AR$200:$AX$200=$E292)*(Work_Codes!$AR$203:$AX$210)*(O$131:O$138))</f>
        <v>0</v>
      </c>
      <c r="P292" s="80">
        <f ca="1">SUMPRODUCT((Work_Codes!$AR$200:$AX$200=$E292)*(Work_Codes!$AR$203:$AX$210)*(P$131:P$138))</f>
        <v>0</v>
      </c>
      <c r="Q292" s="80">
        <f ca="1">SUMPRODUCT((Work_Codes!$AR$200:$AX$200=$E292)*(Work_Codes!$AR$203:$AX$210)*(Q$131:Q$138))</f>
        <v>0</v>
      </c>
      <c r="R292" s="80">
        <f ca="1">SUMPRODUCT((Work_Codes!$AR$200:$AX$200=$E292)*(Work_Codes!$AR$203:$AX$210)*(R$131:R$138))</f>
        <v>0</v>
      </c>
      <c r="S292" s="80">
        <f ca="1">SUMPRODUCT((Work_Codes!$AR$200:$AX$200=$E292)*(Work_Codes!$AR$203:$AX$210)*(S$131:S$138))</f>
        <v>0</v>
      </c>
      <c r="T292" s="80">
        <f ca="1">SUMPRODUCT((Work_Codes!$AR$200:$AX$200=$E292)*(Work_Codes!$AR$203:$AX$210)*(T$131:T$138))</f>
        <v>0</v>
      </c>
    </row>
    <row r="293" spans="4:20" s="41" customFormat="1" outlineLevel="2">
      <c r="E293" s="251" t="str">
        <f>GC!C84</f>
        <v>Land</v>
      </c>
      <c r="F293" s="251"/>
      <c r="G293" s="251"/>
      <c r="H293" s="251"/>
      <c r="I293" s="251"/>
      <c r="J293" s="80">
        <f ca="1">SUMPRODUCT((Work_Codes!$AR$200:$AX$200=$E293)*(Work_Codes!$AR$203:$AX$210)*(J$131:J$138))</f>
        <v>0</v>
      </c>
      <c r="K293" s="80">
        <f ca="1">SUMPRODUCT((Work_Codes!$AR$200:$AX$200=$E293)*(Work_Codes!$AR$203:$AX$210)*(K$131:K$138))</f>
        <v>0</v>
      </c>
      <c r="L293" s="80">
        <f ca="1">SUMPRODUCT((Work_Codes!$AR$200:$AX$200=$E293)*(Work_Codes!$AR$203:$AX$210)*(L$131:L$138))</f>
        <v>0</v>
      </c>
      <c r="M293" s="80">
        <f ca="1">SUMPRODUCT((Work_Codes!$AR$200:$AX$200=$E293)*(Work_Codes!$AR$203:$AX$210)*(M$131:M$138))</f>
        <v>0</v>
      </c>
      <c r="N293" s="80">
        <f ca="1">SUMPRODUCT((Work_Codes!$AR$200:$AX$200=$E293)*(Work_Codes!$AR$203:$AX$210)*(N$131:N$138))</f>
        <v>0</v>
      </c>
      <c r="O293" s="80">
        <f ca="1">SUMPRODUCT((Work_Codes!$AR$200:$AX$200=$E293)*(Work_Codes!$AR$203:$AX$210)*(O$131:O$138))</f>
        <v>0</v>
      </c>
      <c r="P293" s="80">
        <f ca="1">SUMPRODUCT((Work_Codes!$AR$200:$AX$200=$E293)*(Work_Codes!$AR$203:$AX$210)*(P$131:P$138))</f>
        <v>0</v>
      </c>
      <c r="Q293" s="80">
        <f ca="1">SUMPRODUCT((Work_Codes!$AR$200:$AX$200=$E293)*(Work_Codes!$AR$203:$AX$210)*(Q$131:Q$138))</f>
        <v>0</v>
      </c>
      <c r="R293" s="80">
        <f ca="1">SUMPRODUCT((Work_Codes!$AR$200:$AX$200=$E293)*(Work_Codes!$AR$203:$AX$210)*(R$131:R$138))</f>
        <v>0</v>
      </c>
      <c r="S293" s="80">
        <f ca="1">SUMPRODUCT((Work_Codes!$AR$200:$AX$200=$E293)*(Work_Codes!$AR$203:$AX$210)*(S$131:S$138))</f>
        <v>0</v>
      </c>
      <c r="T293" s="80">
        <f ca="1">SUMPRODUCT((Work_Codes!$AR$200:$AX$200=$E293)*(Work_Codes!$AR$203:$AX$210)*(T$131:T$138))</f>
        <v>0</v>
      </c>
    </row>
    <row r="294" spans="4:20" s="41" customFormat="1" outlineLevel="2">
      <c r="E294" s="250" t="str">
        <f>"Total "&amp;D285</f>
        <v>Total Direct Costs</v>
      </c>
      <c r="F294" s="250"/>
      <c r="G294" s="250"/>
      <c r="H294" s="250"/>
      <c r="I294" s="250"/>
      <c r="J294" s="101">
        <f t="shared" ref="J294:T294" ca="1" si="30">SUM(J287:J293)</f>
        <v>0</v>
      </c>
      <c r="K294" s="101">
        <f t="shared" ca="1" si="30"/>
        <v>0</v>
      </c>
      <c r="L294" s="101">
        <f t="shared" ca="1" si="30"/>
        <v>0</v>
      </c>
      <c r="M294" s="101">
        <f t="shared" ca="1" si="30"/>
        <v>0</v>
      </c>
      <c r="N294" s="101">
        <f t="shared" ca="1" si="30"/>
        <v>503129.99272855395</v>
      </c>
      <c r="O294" s="101">
        <f t="shared" ca="1" si="30"/>
        <v>540056.11597457912</v>
      </c>
      <c r="P294" s="101">
        <f t="shared" ca="1" si="30"/>
        <v>2170443.9895577012</v>
      </c>
      <c r="Q294" s="101">
        <f t="shared" ca="1" si="30"/>
        <v>1760637.3765145189</v>
      </c>
      <c r="R294" s="101">
        <f t="shared" ca="1" si="30"/>
        <v>1510885.3150734035</v>
      </c>
      <c r="S294" s="101">
        <f t="shared" ca="1" si="30"/>
        <v>1621316.9378600011</v>
      </c>
      <c r="T294" s="101">
        <f t="shared" ca="1" si="30"/>
        <v>1901979.8809530465</v>
      </c>
    </row>
    <row r="295" spans="4:20" s="41" customFormat="1" outlineLevel="2"/>
    <row r="296" spans="4:20" s="41" customFormat="1" outlineLevel="2">
      <c r="D296" s="50" t="s">
        <v>313</v>
      </c>
    </row>
    <row r="297" spans="4:20" s="41" customFormat="1" ht="5.9" customHeight="1" outlineLevel="2"/>
    <row r="298" spans="4:20" s="41" customFormat="1" outlineLevel="2">
      <c r="E298" s="251" t="str">
        <f>GC!C78</f>
        <v>Mains &amp; Services</v>
      </c>
      <c r="F298" s="251"/>
      <c r="G298" s="251"/>
      <c r="H298" s="251"/>
      <c r="I298" s="251"/>
      <c r="J298" s="80">
        <f ca="1">J287*(1+INDEX(J$35:J$37,MATCH(Work_Codes!$I$197,$D$35:$D$37,0)))</f>
        <v>0</v>
      </c>
      <c r="K298" s="80">
        <f ca="1">K287*(1+INDEX(K$35:K$37,MATCH(Work_Codes!$I$197,$D$35:$D$37,0)))</f>
        <v>0</v>
      </c>
      <c r="L298" s="80">
        <f ca="1">L287*(1+INDEX(L$35:L$37,MATCH(Work_Codes!$I$197,$D$35:$D$37,0)))</f>
        <v>0</v>
      </c>
      <c r="M298" s="80">
        <f ca="1">M287*(1+INDEX(M$35:M$37,MATCH(Work_Codes!$I$197,$D$35:$D$37,0)))</f>
        <v>0</v>
      </c>
      <c r="N298" s="80">
        <f ca="1">N287*(1+INDEX(N$35:N$37,MATCH(Work_Codes!$I$197,$D$35:$D$37,0)))</f>
        <v>0</v>
      </c>
      <c r="O298" s="80">
        <f ca="1">O287*(1+INDEX(O$35:O$37,MATCH(Work_Codes!$I$197,$D$35:$D$37,0)))</f>
        <v>0</v>
      </c>
      <c r="P298" s="80">
        <f ca="1">P287*(1+INDEX(P$35:P$37,MATCH(Work_Codes!$I$197,$D$35:$D$37,0)))</f>
        <v>0</v>
      </c>
      <c r="Q298" s="80">
        <f ca="1">Q287*(1+INDEX(Q$35:Q$37,MATCH(Work_Codes!$I$197,$D$35:$D$37,0)))</f>
        <v>0</v>
      </c>
      <c r="R298" s="80">
        <f ca="1">R287*(1+INDEX(R$35:R$37,MATCH(Work_Codes!$I$197,$D$35:$D$37,0)))</f>
        <v>0</v>
      </c>
      <c r="S298" s="80">
        <f ca="1">S287*(1+INDEX(S$35:S$37,MATCH(Work_Codes!$I$197,$D$35:$D$37,0)))</f>
        <v>0</v>
      </c>
      <c r="T298" s="80">
        <f ca="1">T287*(1+INDEX(T$35:T$37,MATCH(Work_Codes!$I$197,$D$35:$D$37,0)))</f>
        <v>0</v>
      </c>
    </row>
    <row r="299" spans="4:20" s="41" customFormat="1" outlineLevel="2">
      <c r="E299" s="251" t="str">
        <f>GC!C79</f>
        <v>Meters Domestic</v>
      </c>
      <c r="F299" s="251"/>
      <c r="G299" s="251"/>
      <c r="H299" s="251"/>
      <c r="I299" s="251"/>
      <c r="J299" s="80">
        <f ca="1">J288*(1+INDEX(J$35:J$37,MATCH(Work_Codes!$I$197,$D$35:$D$37,0)))</f>
        <v>0</v>
      </c>
      <c r="K299" s="80">
        <f ca="1">K288*(1+INDEX(K$35:K$37,MATCH(Work_Codes!$I$197,$D$35:$D$37,0)))</f>
        <v>0</v>
      </c>
      <c r="L299" s="80">
        <f ca="1">L288*(1+INDEX(L$35:L$37,MATCH(Work_Codes!$I$197,$D$35:$D$37,0)))</f>
        <v>0</v>
      </c>
      <c r="M299" s="80">
        <f ca="1">M288*(1+INDEX(M$35:M$37,MATCH(Work_Codes!$I$197,$D$35:$D$37,0)))</f>
        <v>0</v>
      </c>
      <c r="N299" s="80">
        <f ca="1">N288*(1+INDEX(N$35:N$37,MATCH(Work_Codes!$I$197,$D$35:$D$37,0)))</f>
        <v>0</v>
      </c>
      <c r="O299" s="80">
        <f ca="1">O288*(1+INDEX(O$35:O$37,MATCH(Work_Codes!$I$197,$D$35:$D$37,0)))</f>
        <v>0</v>
      </c>
      <c r="P299" s="80">
        <f ca="1">P288*(1+INDEX(P$35:P$37,MATCH(Work_Codes!$I$197,$D$35:$D$37,0)))</f>
        <v>0</v>
      </c>
      <c r="Q299" s="80">
        <f ca="1">Q288*(1+INDEX(Q$35:Q$37,MATCH(Work_Codes!$I$197,$D$35:$D$37,0)))</f>
        <v>0</v>
      </c>
      <c r="R299" s="80">
        <f ca="1">R288*(1+INDEX(R$35:R$37,MATCH(Work_Codes!$I$197,$D$35:$D$37,0)))</f>
        <v>0</v>
      </c>
      <c r="S299" s="80">
        <f ca="1">S288*(1+INDEX(S$35:S$37,MATCH(Work_Codes!$I$197,$D$35:$D$37,0)))</f>
        <v>0</v>
      </c>
      <c r="T299" s="80">
        <f ca="1">T288*(1+INDEX(T$35:T$37,MATCH(Work_Codes!$I$197,$D$35:$D$37,0)))</f>
        <v>0</v>
      </c>
    </row>
    <row r="300" spans="4:20" s="41" customFormat="1" outlineLevel="2">
      <c r="E300" s="251" t="str">
        <f>GC!C80</f>
        <v>Meters Industrial &amp; Commercial</v>
      </c>
      <c r="F300" s="251"/>
      <c r="G300" s="251"/>
      <c r="H300" s="251"/>
      <c r="I300" s="251"/>
      <c r="J300" s="80">
        <f ca="1">J289*(1+INDEX(J$35:J$37,MATCH(Work_Codes!$I$197,$D$35:$D$37,0)))</f>
        <v>0</v>
      </c>
      <c r="K300" s="80">
        <f ca="1">K289*(1+INDEX(K$35:K$37,MATCH(Work_Codes!$I$197,$D$35:$D$37,0)))</f>
        <v>0</v>
      </c>
      <c r="L300" s="80">
        <f ca="1">L289*(1+INDEX(L$35:L$37,MATCH(Work_Codes!$I$197,$D$35:$D$37,0)))</f>
        <v>0</v>
      </c>
      <c r="M300" s="80">
        <f ca="1">M289*(1+INDEX(M$35:M$37,MATCH(Work_Codes!$I$197,$D$35:$D$37,0)))</f>
        <v>0</v>
      </c>
      <c r="N300" s="80">
        <f ca="1">N289*(1+INDEX(N$35:N$37,MATCH(Work_Codes!$I$197,$D$35:$D$37,0)))</f>
        <v>0</v>
      </c>
      <c r="O300" s="80">
        <f ca="1">O289*(1+INDEX(O$35:O$37,MATCH(Work_Codes!$I$197,$D$35:$D$37,0)))</f>
        <v>0</v>
      </c>
      <c r="P300" s="80">
        <f ca="1">P289*(1+INDEX(P$35:P$37,MATCH(Work_Codes!$I$197,$D$35:$D$37,0)))</f>
        <v>0</v>
      </c>
      <c r="Q300" s="80">
        <f ca="1">Q289*(1+INDEX(Q$35:Q$37,MATCH(Work_Codes!$I$197,$D$35:$D$37,0)))</f>
        <v>0</v>
      </c>
      <c r="R300" s="80">
        <f ca="1">R289*(1+INDEX(R$35:R$37,MATCH(Work_Codes!$I$197,$D$35:$D$37,0)))</f>
        <v>0</v>
      </c>
      <c r="S300" s="80">
        <f ca="1">S289*(1+INDEX(S$35:S$37,MATCH(Work_Codes!$I$197,$D$35:$D$37,0)))</f>
        <v>0</v>
      </c>
      <c r="T300" s="80">
        <f ca="1">T289*(1+INDEX(T$35:T$37,MATCH(Work_Codes!$I$197,$D$35:$D$37,0)))</f>
        <v>0</v>
      </c>
    </row>
    <row r="301" spans="4:20" s="41" customFormat="1" outlineLevel="2">
      <c r="E301" s="251" t="str">
        <f>GC!C81</f>
        <v>Buildings</v>
      </c>
      <c r="F301" s="251"/>
      <c r="G301" s="251"/>
      <c r="H301" s="251"/>
      <c r="I301" s="251"/>
      <c r="J301" s="80">
        <f ca="1">J290*(1+INDEX(J$35:J$37,MATCH(Work_Codes!$I$197,$D$35:$D$37,0)))</f>
        <v>0</v>
      </c>
      <c r="K301" s="80">
        <f ca="1">K290*(1+INDEX(K$35:K$37,MATCH(Work_Codes!$I$197,$D$35:$D$37,0)))</f>
        <v>0</v>
      </c>
      <c r="L301" s="80">
        <f ca="1">L290*(1+INDEX(L$35:L$37,MATCH(Work_Codes!$I$197,$D$35:$D$37,0)))</f>
        <v>0</v>
      </c>
      <c r="M301" s="80">
        <f ca="1">M290*(1+INDEX(M$35:M$37,MATCH(Work_Codes!$I$197,$D$35:$D$37,0)))</f>
        <v>0</v>
      </c>
      <c r="N301" s="80">
        <f ca="1">N290*(1+INDEX(N$35:N$37,MATCH(Work_Codes!$I$197,$D$35:$D$37,0)))</f>
        <v>0</v>
      </c>
      <c r="O301" s="80">
        <f ca="1">O290*(1+INDEX(O$35:O$37,MATCH(Work_Codes!$I$197,$D$35:$D$37,0)))</f>
        <v>0</v>
      </c>
      <c r="P301" s="80">
        <f ca="1">P290*(1+INDEX(P$35:P$37,MATCH(Work_Codes!$I$197,$D$35:$D$37,0)))</f>
        <v>0</v>
      </c>
      <c r="Q301" s="80">
        <f ca="1">Q290*(1+INDEX(Q$35:Q$37,MATCH(Work_Codes!$I$197,$D$35:$D$37,0)))</f>
        <v>0</v>
      </c>
      <c r="R301" s="80">
        <f ca="1">R290*(1+INDEX(R$35:R$37,MATCH(Work_Codes!$I$197,$D$35:$D$37,0)))</f>
        <v>0</v>
      </c>
      <c r="S301" s="80">
        <f ca="1">S290*(1+INDEX(S$35:S$37,MATCH(Work_Codes!$I$197,$D$35:$D$37,0)))</f>
        <v>0</v>
      </c>
      <c r="T301" s="80">
        <f ca="1">T290*(1+INDEX(T$35:T$37,MATCH(Work_Codes!$I$197,$D$35:$D$37,0)))</f>
        <v>0</v>
      </c>
    </row>
    <row r="302" spans="4:20" s="41" customFormat="1" outlineLevel="2">
      <c r="E302" s="251" t="str">
        <f>GC!C82</f>
        <v>Other Assets</v>
      </c>
      <c r="F302" s="251"/>
      <c r="G302" s="251"/>
      <c r="H302" s="251"/>
      <c r="I302" s="251"/>
      <c r="J302" s="80">
        <f ca="1">J291*(1+INDEX(J$35:J$37,MATCH(Work_Codes!$I$197,$D$35:$D$37,0)))</f>
        <v>0</v>
      </c>
      <c r="K302" s="80">
        <f ca="1">K291*(1+INDEX(K$35:K$37,MATCH(Work_Codes!$I$197,$D$35:$D$37,0)))</f>
        <v>0</v>
      </c>
      <c r="L302" s="80">
        <f ca="1">L291*(1+INDEX(L$35:L$37,MATCH(Work_Codes!$I$197,$D$35:$D$37,0)))</f>
        <v>0</v>
      </c>
      <c r="M302" s="80">
        <f ca="1">M291*(1+INDEX(M$35:M$37,MATCH(Work_Codes!$I$197,$D$35:$D$37,0)))</f>
        <v>0</v>
      </c>
      <c r="N302" s="80">
        <f ca="1">N291*(1+INDEX(N$35:N$37,MATCH(Work_Codes!$I$197,$D$35:$D$37,0)))</f>
        <v>522103.5315989175</v>
      </c>
      <c r="O302" s="80">
        <f ca="1">O291*(1+INDEX(O$35:O$37,MATCH(Work_Codes!$I$197,$D$35:$D$37,0)))</f>
        <v>558031.32702648221</v>
      </c>
      <c r="P302" s="80">
        <f ca="1">P291*(1+INDEX(P$35:P$37,MATCH(Work_Codes!$I$197,$D$35:$D$37,0)))</f>
        <v>2228509.1407737862</v>
      </c>
      <c r="Q302" s="80">
        <f ca="1">Q291*(1+INDEX(Q$35:Q$37,MATCH(Work_Codes!$I$197,$D$35:$D$37,0)))</f>
        <v>1806520.6206550789</v>
      </c>
      <c r="R302" s="80">
        <f ca="1">R291*(1+INDEX(R$35:R$37,MATCH(Work_Codes!$I$197,$D$35:$D$37,0)))</f>
        <v>1551487.3451919288</v>
      </c>
      <c r="S302" s="80">
        <f ca="1">S291*(1+INDEX(S$35:S$37,MATCH(Work_Codes!$I$197,$D$35:$D$37,0)))</f>
        <v>1667599.3412673185</v>
      </c>
      <c r="T302" s="80">
        <f ca="1">T291*(1+INDEX(T$35:T$37,MATCH(Work_Codes!$I$197,$D$35:$D$37,0)))</f>
        <v>1958887.8383269643</v>
      </c>
    </row>
    <row r="303" spans="4:20" s="41" customFormat="1" outlineLevel="2">
      <c r="E303" s="251" t="str">
        <f>GC!C83</f>
        <v>Repairs</v>
      </c>
      <c r="F303" s="251"/>
      <c r="G303" s="251"/>
      <c r="H303" s="251"/>
      <c r="I303" s="251"/>
      <c r="J303" s="80">
        <f ca="1">J292*(1+INDEX(J$35:J$37,MATCH(Work_Codes!$I$197,$D$35:$D$37,0)))</f>
        <v>0</v>
      </c>
      <c r="K303" s="80">
        <f ca="1">K292*(1+INDEX(K$35:K$37,MATCH(Work_Codes!$I$197,$D$35:$D$37,0)))</f>
        <v>0</v>
      </c>
      <c r="L303" s="80">
        <f ca="1">L292*(1+INDEX(L$35:L$37,MATCH(Work_Codes!$I$197,$D$35:$D$37,0)))</f>
        <v>0</v>
      </c>
      <c r="M303" s="80">
        <f ca="1">M292*(1+INDEX(M$35:M$37,MATCH(Work_Codes!$I$197,$D$35:$D$37,0)))</f>
        <v>0</v>
      </c>
      <c r="N303" s="80">
        <f ca="1">N292*(1+INDEX(N$35:N$37,MATCH(Work_Codes!$I$197,$D$35:$D$37,0)))</f>
        <v>0</v>
      </c>
      <c r="O303" s="80">
        <f ca="1">O292*(1+INDEX(O$35:O$37,MATCH(Work_Codes!$I$197,$D$35:$D$37,0)))</f>
        <v>0</v>
      </c>
      <c r="P303" s="80">
        <f ca="1">P292*(1+INDEX(P$35:P$37,MATCH(Work_Codes!$I$197,$D$35:$D$37,0)))</f>
        <v>0</v>
      </c>
      <c r="Q303" s="80">
        <f ca="1">Q292*(1+INDEX(Q$35:Q$37,MATCH(Work_Codes!$I$197,$D$35:$D$37,0)))</f>
        <v>0</v>
      </c>
      <c r="R303" s="80">
        <f ca="1">R292*(1+INDEX(R$35:R$37,MATCH(Work_Codes!$I$197,$D$35:$D$37,0)))</f>
        <v>0</v>
      </c>
      <c r="S303" s="80">
        <f ca="1">S292*(1+INDEX(S$35:S$37,MATCH(Work_Codes!$I$197,$D$35:$D$37,0)))</f>
        <v>0</v>
      </c>
      <c r="T303" s="80">
        <f ca="1">T292*(1+INDEX(T$35:T$37,MATCH(Work_Codes!$I$197,$D$35:$D$37,0)))</f>
        <v>0</v>
      </c>
    </row>
    <row r="304" spans="4:20" s="41" customFormat="1" outlineLevel="2">
      <c r="E304" s="251" t="str">
        <f>GC!C84</f>
        <v>Land</v>
      </c>
      <c r="F304" s="251"/>
      <c r="G304" s="251"/>
      <c r="H304" s="251"/>
      <c r="I304" s="251"/>
      <c r="J304" s="80">
        <f ca="1">J293*(1+INDEX(J$35:J$37,MATCH(Work_Codes!$I$197,$D$35:$D$37,0)))</f>
        <v>0</v>
      </c>
      <c r="K304" s="80">
        <f ca="1">K293*(1+INDEX(K$35:K$37,MATCH(Work_Codes!$I$197,$D$35:$D$37,0)))</f>
        <v>0</v>
      </c>
      <c r="L304" s="80">
        <f ca="1">L293*(1+INDEX(L$35:L$37,MATCH(Work_Codes!$I$197,$D$35:$D$37,0)))</f>
        <v>0</v>
      </c>
      <c r="M304" s="80">
        <f ca="1">M293*(1+INDEX(M$35:M$37,MATCH(Work_Codes!$I$197,$D$35:$D$37,0)))</f>
        <v>0</v>
      </c>
      <c r="N304" s="80">
        <f ca="1">N293*(1+INDEX(N$35:N$37,MATCH(Work_Codes!$I$197,$D$35:$D$37,0)))</f>
        <v>0</v>
      </c>
      <c r="O304" s="80">
        <f ca="1">O293*(1+INDEX(O$35:O$37,MATCH(Work_Codes!$I$197,$D$35:$D$37,0)))</f>
        <v>0</v>
      </c>
      <c r="P304" s="80">
        <f ca="1">P293*(1+INDEX(P$35:P$37,MATCH(Work_Codes!$I$197,$D$35:$D$37,0)))</f>
        <v>0</v>
      </c>
      <c r="Q304" s="80">
        <f ca="1">Q293*(1+INDEX(Q$35:Q$37,MATCH(Work_Codes!$I$197,$D$35:$D$37,0)))</f>
        <v>0</v>
      </c>
      <c r="R304" s="80">
        <f ca="1">R293*(1+INDEX(R$35:R$37,MATCH(Work_Codes!$I$197,$D$35:$D$37,0)))</f>
        <v>0</v>
      </c>
      <c r="S304" s="80">
        <f ca="1">S293*(1+INDEX(S$35:S$37,MATCH(Work_Codes!$I$197,$D$35:$D$37,0)))</f>
        <v>0</v>
      </c>
      <c r="T304" s="80">
        <f ca="1">T293*(1+INDEX(T$35:T$37,MATCH(Work_Codes!$I$197,$D$35:$D$37,0)))</f>
        <v>0</v>
      </c>
    </row>
    <row r="305" spans="2:20" s="41" customFormat="1" outlineLevel="2">
      <c r="E305" s="250" t="str">
        <f>"Total "&amp;D296</f>
        <v>Total Direct Costs +  Overheads</v>
      </c>
      <c r="F305" s="250"/>
      <c r="G305" s="250"/>
      <c r="H305" s="250"/>
      <c r="I305" s="250"/>
      <c r="J305" s="101">
        <f t="shared" ref="J305:T305" ca="1" si="31">SUM(J298:J304)</f>
        <v>0</v>
      </c>
      <c r="K305" s="101">
        <f t="shared" ca="1" si="31"/>
        <v>0</v>
      </c>
      <c r="L305" s="101">
        <f t="shared" ca="1" si="31"/>
        <v>0</v>
      </c>
      <c r="M305" s="101">
        <f t="shared" ca="1" si="31"/>
        <v>0</v>
      </c>
      <c r="N305" s="101">
        <f t="shared" ca="1" si="31"/>
        <v>522103.5315989175</v>
      </c>
      <c r="O305" s="101">
        <f t="shared" ca="1" si="31"/>
        <v>558031.32702648221</v>
      </c>
      <c r="P305" s="101">
        <f t="shared" ca="1" si="31"/>
        <v>2228509.1407737862</v>
      </c>
      <c r="Q305" s="101">
        <f t="shared" ca="1" si="31"/>
        <v>1806520.6206550789</v>
      </c>
      <c r="R305" s="101">
        <f t="shared" ca="1" si="31"/>
        <v>1551487.3451919288</v>
      </c>
      <c r="S305" s="101">
        <f t="shared" ca="1" si="31"/>
        <v>1667599.3412673185</v>
      </c>
      <c r="T305" s="101">
        <f t="shared" ca="1" si="31"/>
        <v>1958887.8383269643</v>
      </c>
    </row>
    <row r="306" spans="2:20" s="41" customFormat="1" outlineLevel="1">
      <c r="B306" s="109"/>
      <c r="C306" s="109"/>
      <c r="D306" s="109"/>
      <c r="E306" s="109"/>
      <c r="F306" s="109"/>
      <c r="G306" s="109"/>
      <c r="H306" s="109"/>
      <c r="I306" s="109"/>
      <c r="J306" s="109"/>
      <c r="K306" s="109"/>
      <c r="L306" s="109"/>
      <c r="M306" s="109"/>
      <c r="N306" s="109"/>
      <c r="O306" s="109"/>
      <c r="P306" s="109"/>
      <c r="Q306" s="109"/>
      <c r="R306" s="109"/>
      <c r="S306" s="109"/>
      <c r="T306" s="109"/>
    </row>
    <row r="307" spans="2:20" s="41" customFormat="1" outlineLevel="1"/>
    <row r="308" spans="2:20" s="41" customFormat="1" outlineLevel="1">
      <c r="C308" s="50" t="s">
        <v>19</v>
      </c>
    </row>
    <row r="309" spans="2:20" s="41" customFormat="1" ht="5.9" customHeight="1" outlineLevel="1"/>
    <row r="310" spans="2:20" s="41" customFormat="1" outlineLevel="1">
      <c r="F310" s="52" t="str">
        <f>$B$23&amp;" Work Code v RAB Category Direct Check"</f>
        <v>3011 - Inputs Work Code v RAB Category Direct Check</v>
      </c>
      <c r="I310" s="175">
        <f ca="1">IF(ISERROR(SUM(J310:T310)),1,MIN(SUM(J310:T310),1))</f>
        <v>0</v>
      </c>
      <c r="J310" s="80">
        <f t="shared" ref="J310:T310" ca="1" si="32">J140-J163</f>
        <v>0</v>
      </c>
      <c r="K310" s="80">
        <f t="shared" ca="1" si="32"/>
        <v>0</v>
      </c>
      <c r="L310" s="80">
        <f t="shared" ca="1" si="32"/>
        <v>0</v>
      </c>
      <c r="M310" s="80">
        <f t="shared" ca="1" si="32"/>
        <v>0</v>
      </c>
      <c r="N310" s="80">
        <f t="shared" ca="1" si="32"/>
        <v>0</v>
      </c>
      <c r="O310" s="80">
        <f t="shared" ca="1" si="32"/>
        <v>0</v>
      </c>
      <c r="P310" s="80">
        <f t="shared" ca="1" si="32"/>
        <v>0</v>
      </c>
      <c r="Q310" s="80">
        <f t="shared" ca="1" si="32"/>
        <v>0</v>
      </c>
      <c r="R310" s="80">
        <f t="shared" ca="1" si="32"/>
        <v>0</v>
      </c>
      <c r="S310" s="80">
        <f t="shared" ca="1" si="32"/>
        <v>0</v>
      </c>
      <c r="T310" s="80">
        <f t="shared" ca="1" si="32"/>
        <v>0</v>
      </c>
    </row>
    <row r="311" spans="2:20" s="41" customFormat="1" outlineLevel="1">
      <c r="F311" s="52" t="str">
        <f>$B$23&amp;" Work Code v RIN Category Direct Check"</f>
        <v>3011 - Inputs Work Code v RIN Category Direct Check</v>
      </c>
      <c r="I311" s="175">
        <f ca="1">IF(ISERROR(SUM(J311:T311)),1,MIN(SUM(J311:T311),1))</f>
        <v>0</v>
      </c>
      <c r="J311" s="80">
        <f t="shared" ref="J311:T311" ca="1" si="33">J140-J244</f>
        <v>0</v>
      </c>
      <c r="K311" s="80">
        <f t="shared" ca="1" si="33"/>
        <v>0</v>
      </c>
      <c r="L311" s="80">
        <f t="shared" ca="1" si="33"/>
        <v>0</v>
      </c>
      <c r="M311" s="80">
        <f t="shared" ca="1" si="33"/>
        <v>0</v>
      </c>
      <c r="N311" s="80">
        <f t="shared" ca="1" si="33"/>
        <v>0</v>
      </c>
      <c r="O311" s="80">
        <f t="shared" ca="1" si="33"/>
        <v>0</v>
      </c>
      <c r="P311" s="80">
        <f t="shared" ca="1" si="33"/>
        <v>0</v>
      </c>
      <c r="Q311" s="80">
        <f t="shared" ca="1" si="33"/>
        <v>0</v>
      </c>
      <c r="R311" s="80">
        <f t="shared" ca="1" si="33"/>
        <v>0</v>
      </c>
      <c r="S311" s="80">
        <f t="shared" ca="1" si="33"/>
        <v>0</v>
      </c>
      <c r="T311" s="80">
        <f t="shared" ca="1" si="33"/>
        <v>0</v>
      </c>
    </row>
    <row r="312" spans="2:20" s="41" customFormat="1" outlineLevel="1">
      <c r="F312" s="52" t="str">
        <f>$B$23&amp;" Work Code v Tax Category Direct Check"</f>
        <v>3011 - Inputs Work Code v Tax Category Direct Check</v>
      </c>
      <c r="I312" s="175">
        <f ca="1">IF(ISERROR(SUM(J312:T312)),1,MIN(SUM(J312:T312),1))</f>
        <v>0</v>
      </c>
      <c r="J312" s="80">
        <f t="shared" ref="J312:T312" ca="1" si="34">J140-J294</f>
        <v>0</v>
      </c>
      <c r="K312" s="80">
        <f t="shared" ca="1" si="34"/>
        <v>0</v>
      </c>
      <c r="L312" s="80">
        <f t="shared" ca="1" si="34"/>
        <v>0</v>
      </c>
      <c r="M312" s="80">
        <f t="shared" ca="1" si="34"/>
        <v>0</v>
      </c>
      <c r="N312" s="80">
        <f t="shared" ca="1" si="34"/>
        <v>0</v>
      </c>
      <c r="O312" s="80">
        <f t="shared" ca="1" si="34"/>
        <v>0</v>
      </c>
      <c r="P312" s="80">
        <f t="shared" ca="1" si="34"/>
        <v>0</v>
      </c>
      <c r="Q312" s="80">
        <f t="shared" ca="1" si="34"/>
        <v>0</v>
      </c>
      <c r="R312" s="80">
        <f t="shared" ca="1" si="34"/>
        <v>0</v>
      </c>
      <c r="S312" s="80">
        <f t="shared" ca="1" si="34"/>
        <v>0</v>
      </c>
      <c r="T312" s="80">
        <f t="shared" ca="1" si="34"/>
        <v>0</v>
      </c>
    </row>
    <row r="313" spans="2:20" s="41" customFormat="1" outlineLevel="1">
      <c r="F313" s="52" t="str">
        <f>$B$23&amp;" Customer Contributions v RAB Category Direct Check"</f>
        <v>3011 - Inputs Customer Contributions v RAB Category Direct Check</v>
      </c>
      <c r="I313" s="175">
        <f ca="1">IF(ISERROR(SUM(J313:T313)),1,MIN(SUM(J313:T313),1))</f>
        <v>0</v>
      </c>
      <c r="J313" s="80">
        <f t="shared" ref="J313:T313" ca="1" si="35">J85-J223</f>
        <v>0</v>
      </c>
      <c r="K313" s="80">
        <f t="shared" ca="1" si="35"/>
        <v>0</v>
      </c>
      <c r="L313" s="80">
        <f t="shared" ca="1" si="35"/>
        <v>0</v>
      </c>
      <c r="M313" s="80">
        <f t="shared" ca="1" si="35"/>
        <v>0</v>
      </c>
      <c r="N313" s="80">
        <f t="shared" ca="1" si="35"/>
        <v>0</v>
      </c>
      <c r="O313" s="80">
        <f t="shared" ca="1" si="35"/>
        <v>0</v>
      </c>
      <c r="P313" s="80">
        <f t="shared" ca="1" si="35"/>
        <v>0</v>
      </c>
      <c r="Q313" s="80">
        <f t="shared" ca="1" si="35"/>
        <v>0</v>
      </c>
      <c r="R313" s="80">
        <f t="shared" ca="1" si="35"/>
        <v>0</v>
      </c>
      <c r="S313" s="80">
        <f t="shared" ca="1" si="35"/>
        <v>0</v>
      </c>
      <c r="T313" s="80">
        <f t="shared" ca="1" si="35"/>
        <v>0</v>
      </c>
    </row>
    <row r="314" spans="2:20" s="41" customFormat="1" ht="5.9" customHeight="1" outlineLevel="1"/>
    <row r="315" spans="2:20" s="41" customFormat="1" outlineLevel="1">
      <c r="F315" s="52" t="str">
        <f>$B$23&amp;" RAB v RIN Direct + Overhead Check"</f>
        <v>3011 - Inputs RAB v RIN Direct + Overhead Check</v>
      </c>
      <c r="I315" s="175">
        <f ca="1">IF(ISERROR(SUM(J315:T315)),1,MIN(SUM(J315:T315),1))</f>
        <v>0</v>
      </c>
      <c r="J315" s="80">
        <f t="shared" ref="J315:T315" ca="1" si="36">J203-J262</f>
        <v>0</v>
      </c>
      <c r="K315" s="80">
        <f t="shared" ca="1" si="36"/>
        <v>0</v>
      </c>
      <c r="L315" s="80">
        <f t="shared" ca="1" si="36"/>
        <v>0</v>
      </c>
      <c r="M315" s="80">
        <f t="shared" ca="1" si="36"/>
        <v>0</v>
      </c>
      <c r="N315" s="80">
        <f t="shared" ca="1" si="36"/>
        <v>0</v>
      </c>
      <c r="O315" s="80">
        <f t="shared" ca="1" si="36"/>
        <v>0</v>
      </c>
      <c r="P315" s="80">
        <f t="shared" ca="1" si="36"/>
        <v>0</v>
      </c>
      <c r="Q315" s="80">
        <f t="shared" ca="1" si="36"/>
        <v>0</v>
      </c>
      <c r="R315" s="80">
        <f t="shared" ca="1" si="36"/>
        <v>0</v>
      </c>
      <c r="S315" s="80">
        <f t="shared" ca="1" si="36"/>
        <v>0</v>
      </c>
      <c r="T315" s="80">
        <f t="shared" ca="1" si="36"/>
        <v>0</v>
      </c>
    </row>
    <row r="316" spans="2:20" s="41" customFormat="1" outlineLevel="1">
      <c r="F316" s="52" t="str">
        <f>$B$23&amp;" RAB v Tax Direct + Overhead Check"</f>
        <v>3011 - Inputs RAB v Tax Direct + Overhead Check</v>
      </c>
      <c r="I316" s="175">
        <f ca="1">IF(ISERROR(SUM(J316:T316)),1,MIN(SUM(J316:T316),1))</f>
        <v>0</v>
      </c>
      <c r="J316" s="80">
        <f t="shared" ref="J316:T316" ca="1" si="37">J203-J305</f>
        <v>0</v>
      </c>
      <c r="K316" s="80">
        <f t="shared" ca="1" si="37"/>
        <v>0</v>
      </c>
      <c r="L316" s="80">
        <f t="shared" ca="1" si="37"/>
        <v>0</v>
      </c>
      <c r="M316" s="80">
        <f t="shared" ca="1" si="37"/>
        <v>0</v>
      </c>
      <c r="N316" s="80">
        <f t="shared" ca="1" si="37"/>
        <v>0</v>
      </c>
      <c r="O316" s="80">
        <f t="shared" ca="1" si="37"/>
        <v>0</v>
      </c>
      <c r="P316" s="80">
        <f t="shared" ca="1" si="37"/>
        <v>0</v>
      </c>
      <c r="Q316" s="80">
        <f t="shared" ca="1" si="37"/>
        <v>0</v>
      </c>
      <c r="R316" s="80">
        <f t="shared" ca="1" si="37"/>
        <v>0</v>
      </c>
      <c r="S316" s="80">
        <f t="shared" ca="1" si="37"/>
        <v>0</v>
      </c>
      <c r="T316" s="80">
        <f t="shared" ca="1" si="37"/>
        <v>0</v>
      </c>
    </row>
    <row r="317" spans="2:20" s="41" customFormat="1" ht="12" outlineLevel="1" thickBot="1">
      <c r="B317" s="104"/>
      <c r="C317" s="104"/>
      <c r="D317" s="104"/>
      <c r="E317" s="104"/>
      <c r="F317" s="104"/>
      <c r="G317" s="104"/>
      <c r="H317" s="104"/>
      <c r="I317" s="104"/>
      <c r="J317" s="104"/>
      <c r="K317" s="104"/>
      <c r="L317" s="104"/>
      <c r="M317" s="104"/>
      <c r="N317" s="104"/>
      <c r="O317" s="104"/>
      <c r="P317" s="104"/>
      <c r="Q317" s="104"/>
      <c r="R317" s="104"/>
      <c r="S317" s="104"/>
      <c r="T317" s="104"/>
    </row>
    <row r="319" spans="2:20" ht="14">
      <c r="B319" s="110" t="s">
        <v>248</v>
      </c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</row>
    <row r="320" spans="2:20" ht="5.9" customHeight="1"/>
    <row r="321" spans="2:20" ht="14">
      <c r="B321" s="56" t="str">
        <f>GC!F19</f>
        <v>Network Regulators - Ad Hoc</v>
      </c>
    </row>
    <row r="322" spans="2:20" ht="5.9" customHeight="1" outlineLevel="1"/>
    <row r="323" spans="2:20" hidden="1" outlineLevel="2">
      <c r="C323" s="37" t="s">
        <v>204</v>
      </c>
    </row>
    <row r="324" spans="2:20" ht="5.9" hidden="1" customHeight="1" outlineLevel="2"/>
    <row r="325" spans="2:20" hidden="1" outlineLevel="2">
      <c r="D325" s="51" t="s">
        <v>103</v>
      </c>
      <c r="J325" s="92">
        <f>Rates!J42</f>
        <v>1</v>
      </c>
      <c r="K325" s="92">
        <f>Rates!K42</f>
        <v>1</v>
      </c>
      <c r="L325" s="92">
        <f>Rates!L42</f>
        <v>1</v>
      </c>
      <c r="M325" s="92">
        <f>Rates!M42</f>
        <v>1</v>
      </c>
      <c r="N325" s="92">
        <f>Rates!N42</f>
        <v>1</v>
      </c>
      <c r="O325" s="92">
        <f>Rates!O42</f>
        <v>1.0051959235721353</v>
      </c>
      <c r="P325" s="92">
        <f>Rates!P42</f>
        <v>1.0102301741405761</v>
      </c>
      <c r="Q325" s="92">
        <f>Rates!Q42</f>
        <v>1.0181072873442809</v>
      </c>
      <c r="R325" s="92">
        <f>Rates!R42</f>
        <v>1.0293150686557422</v>
      </c>
      <c r="S325" s="92">
        <f>Rates!S42</f>
        <v>1.040646230246951</v>
      </c>
      <c r="T325" s="92">
        <f>Rates!T42</f>
        <v>1.0521021303433229</v>
      </c>
    </row>
    <row r="326" spans="2:20" hidden="1" outlineLevel="2">
      <c r="D326" s="51" t="s">
        <v>104</v>
      </c>
      <c r="J326" s="92">
        <f>Rates!J43</f>
        <v>1</v>
      </c>
      <c r="K326" s="92">
        <f>Rates!K43</f>
        <v>1</v>
      </c>
      <c r="L326" s="92">
        <f>Rates!L43</f>
        <v>1</v>
      </c>
      <c r="M326" s="92">
        <f>Rates!M43</f>
        <v>1</v>
      </c>
      <c r="N326" s="92">
        <f>Rates!N43</f>
        <v>1</v>
      </c>
      <c r="O326" s="92">
        <f>Rates!O43</f>
        <v>1</v>
      </c>
      <c r="P326" s="92">
        <f>Rates!P43</f>
        <v>1</v>
      </c>
      <c r="Q326" s="92">
        <f>Rates!Q43</f>
        <v>1</v>
      </c>
      <c r="R326" s="92">
        <f>Rates!R43</f>
        <v>1</v>
      </c>
      <c r="S326" s="92">
        <f>Rates!S43</f>
        <v>1</v>
      </c>
      <c r="T326" s="92">
        <f>Rates!T43</f>
        <v>1</v>
      </c>
    </row>
    <row r="327" spans="2:20" hidden="1" outlineLevel="2">
      <c r="D327" s="51" t="s">
        <v>130</v>
      </c>
      <c r="J327" s="92">
        <f>Rates!J45</f>
        <v>1</v>
      </c>
      <c r="K327" s="92">
        <f>Rates!K45</f>
        <v>1</v>
      </c>
      <c r="L327" s="92">
        <f>Rates!L45</f>
        <v>1</v>
      </c>
      <c r="M327" s="92">
        <f>Rates!M45</f>
        <v>1</v>
      </c>
      <c r="N327" s="92">
        <f>Rates!N45</f>
        <v>1</v>
      </c>
      <c r="O327" s="92">
        <f>Rates!O45</f>
        <v>1</v>
      </c>
      <c r="P327" s="92">
        <f>Rates!P45</f>
        <v>1</v>
      </c>
      <c r="Q327" s="92">
        <f>Rates!Q45</f>
        <v>1</v>
      </c>
      <c r="R327" s="92">
        <f>Rates!R45</f>
        <v>1</v>
      </c>
      <c r="S327" s="92">
        <f>Rates!S45</f>
        <v>1</v>
      </c>
      <c r="T327" s="92">
        <f>Rates!T45</f>
        <v>1</v>
      </c>
    </row>
    <row r="328" spans="2:20" ht="5.9" hidden="1" customHeight="1" outlineLevel="2"/>
    <row r="329" spans="2:20" hidden="1" outlineLevel="2">
      <c r="C329" s="37" t="s">
        <v>105</v>
      </c>
    </row>
    <row r="330" spans="2:20" ht="5.9" hidden="1" customHeight="1" outlineLevel="2"/>
    <row r="331" spans="2:20" hidden="1" outlineLevel="2">
      <c r="D331" s="51" t="s">
        <v>106</v>
      </c>
      <c r="J331" s="100">
        <f>Rates!J50</f>
        <v>6.9591273870889495E-2</v>
      </c>
      <c r="K331" s="100">
        <f>Rates!K50</f>
        <v>7.3934468928182201E-2</v>
      </c>
      <c r="L331" s="100">
        <f>Rates!L50</f>
        <v>7.5085976469407303E-2</v>
      </c>
      <c r="M331" s="100">
        <f>Rates!M50</f>
        <v>8.0103391005934096E-2</v>
      </c>
      <c r="N331" s="100">
        <f>Rates!N50</f>
        <v>3.7711007382937055E-2</v>
      </c>
      <c r="O331" s="100">
        <f>Rates!O50</f>
        <v>3.3283969054706777E-2</v>
      </c>
      <c r="P331" s="100">
        <f>Rates!P50</f>
        <v>2.6752660513445464E-2</v>
      </c>
      <c r="Q331" s="100">
        <f>Rates!Q50</f>
        <v>2.6060587348993774E-2</v>
      </c>
      <c r="R331" s="100">
        <f>Rates!R50</f>
        <v>2.6873005987587139E-2</v>
      </c>
      <c r="S331" s="100">
        <f>Rates!S50</f>
        <v>2.8546178928104012E-2</v>
      </c>
      <c r="T331" s="100">
        <f>Rates!T50</f>
        <v>2.9920378203686534E-2</v>
      </c>
    </row>
    <row r="332" spans="2:20" hidden="1" outlineLevel="2">
      <c r="D332" s="51" t="s">
        <v>107</v>
      </c>
      <c r="J332" s="100">
        <f>Rates!J51</f>
        <v>5.5842732834613398E-2</v>
      </c>
      <c r="K332" s="100">
        <f>Rates!K51</f>
        <v>5.16564294790849E-2</v>
      </c>
      <c r="L332" s="100">
        <f>Rates!L51</f>
        <v>6.0535031919173997E-2</v>
      </c>
      <c r="M332" s="100">
        <f>Rates!M51</f>
        <v>7.1630695797579302E-2</v>
      </c>
      <c r="N332" s="100">
        <f>Rates!N51</f>
        <v>7.4343858126268231E-2</v>
      </c>
      <c r="O332" s="100">
        <f>Rates!O51</f>
        <v>7.4059082290758096E-2</v>
      </c>
      <c r="P332" s="100">
        <f>Rates!P51</f>
        <v>2.4388539961794877E-2</v>
      </c>
      <c r="Q332" s="100">
        <f>Rates!Q51</f>
        <v>2.1171310758207256E-2</v>
      </c>
      <c r="R332" s="100">
        <f>Rates!R51</f>
        <v>2.0024144075344485E-2</v>
      </c>
      <c r="S332" s="100">
        <f>Rates!S51</f>
        <v>3.9620009613577346E-2</v>
      </c>
      <c r="T332" s="100">
        <f>Rates!T51</f>
        <v>5.404914337922874E-2</v>
      </c>
    </row>
    <row r="333" spans="2:20" hidden="1" outlineLevel="2">
      <c r="D333" s="51" t="s">
        <v>108</v>
      </c>
      <c r="J333" s="100">
        <f>Rates!J52</f>
        <v>0</v>
      </c>
      <c r="K333" s="100">
        <f>Rates!K52</f>
        <v>0</v>
      </c>
      <c r="L333" s="100">
        <f>Rates!L52</f>
        <v>0</v>
      </c>
      <c r="M333" s="100">
        <f>Rates!M52</f>
        <v>0</v>
      </c>
      <c r="N333" s="100">
        <f>Rates!N52</f>
        <v>0</v>
      </c>
      <c r="O333" s="100">
        <f>Rates!O52</f>
        <v>0</v>
      </c>
      <c r="P333" s="100">
        <f>Rates!P52</f>
        <v>0</v>
      </c>
      <c r="Q333" s="100">
        <f>Rates!Q52</f>
        <v>0</v>
      </c>
      <c r="R333" s="100">
        <f>Rates!R52</f>
        <v>0</v>
      </c>
      <c r="S333" s="100">
        <f>Rates!S52</f>
        <v>0</v>
      </c>
      <c r="T333" s="100">
        <f>Rates!T52</f>
        <v>0</v>
      </c>
    </row>
    <row r="334" spans="2:20" outlineLevel="1" collapsed="1"/>
    <row r="335" spans="2:20" ht="5.9" customHeight="1" outlineLevel="1"/>
    <row r="336" spans="2:20" outlineLevel="1">
      <c r="C336" s="37" t="s">
        <v>118</v>
      </c>
    </row>
    <row r="337" spans="3:20" ht="5.9" customHeight="1" outlineLevel="1"/>
    <row r="338" spans="3:20" outlineLevel="1">
      <c r="D338" s="37" t="s">
        <v>160</v>
      </c>
      <c r="H338" s="107" t="s">
        <v>192</v>
      </c>
    </row>
    <row r="339" spans="3:20" ht="5.9" customHeight="1" outlineLevel="1"/>
    <row r="340" spans="3:20" outlineLevel="1">
      <c r="D340" s="102" t="str">
        <f>Work_Codes!D224</f>
        <v>Miscellaneous network regulator capital works</v>
      </c>
      <c r="H340" s="63"/>
      <c r="J340" s="125"/>
      <c r="K340" s="125"/>
      <c r="L340" s="125"/>
      <c r="M340" s="125"/>
      <c r="N340" s="212"/>
      <c r="O340" s="211"/>
      <c r="P340" s="212"/>
      <c r="Q340" s="211"/>
      <c r="R340" s="211"/>
      <c r="S340" s="211"/>
      <c r="T340" s="211"/>
    </row>
    <row r="341" spans="3:20" outlineLevel="1">
      <c r="D341" s="102" t="str">
        <f>Work_Codes!D225</f>
        <v>Capex Items Category 2</v>
      </c>
      <c r="H341" s="63"/>
      <c r="J341" s="125"/>
      <c r="K341" s="125"/>
      <c r="L341" s="125"/>
      <c r="M341" s="178"/>
      <c r="N341" s="212"/>
      <c r="O341" s="212"/>
      <c r="P341" s="212"/>
      <c r="Q341" s="212"/>
      <c r="R341" s="212"/>
      <c r="S341" s="212"/>
      <c r="T341" s="212"/>
    </row>
    <row r="342" spans="3:20" outlineLevel="1">
      <c r="D342" s="105"/>
      <c r="H342" s="58"/>
      <c r="J342" s="66"/>
      <c r="K342" s="66"/>
      <c r="L342" s="66"/>
      <c r="M342" s="66"/>
      <c r="N342" s="66"/>
      <c r="O342" s="66"/>
      <c r="P342" s="66"/>
      <c r="Q342" s="66"/>
      <c r="R342" s="66"/>
      <c r="S342" s="66"/>
      <c r="T342" s="66"/>
    </row>
    <row r="343" spans="3:20" outlineLevel="1">
      <c r="C343" s="37" t="s">
        <v>119</v>
      </c>
    </row>
    <row r="344" spans="3:20" ht="5.9" customHeight="1" outlineLevel="1"/>
    <row r="345" spans="3:20" outlineLevel="1">
      <c r="D345" s="37" t="str">
        <f>D338</f>
        <v>Capex Category</v>
      </c>
    </row>
    <row r="346" spans="3:20" ht="5.9" customHeight="1" outlineLevel="1"/>
    <row r="347" spans="3:20" outlineLevel="1">
      <c r="D347" s="102" t="str">
        <f>Work_Codes!D224</f>
        <v>Miscellaneous network regulator capital works</v>
      </c>
      <c r="J347" s="163"/>
      <c r="K347" s="163"/>
      <c r="L347" s="163"/>
      <c r="M347" s="163"/>
      <c r="N347" s="213"/>
      <c r="O347" s="213"/>
      <c r="P347" s="213"/>
      <c r="Q347" s="213"/>
      <c r="R347" s="213"/>
      <c r="S347" s="213"/>
      <c r="T347" s="213"/>
    </row>
    <row r="348" spans="3:20" outlineLevel="1">
      <c r="D348" s="102" t="str">
        <f>Work_Codes!D225</f>
        <v>Capex Items Category 2</v>
      </c>
      <c r="J348" s="163"/>
      <c r="K348" s="163"/>
      <c r="L348" s="163"/>
      <c r="M348" s="163"/>
      <c r="N348" s="213"/>
      <c r="O348" s="213"/>
      <c r="P348" s="213"/>
      <c r="Q348" s="213"/>
      <c r="R348" s="213"/>
      <c r="S348" s="213"/>
      <c r="T348" s="213"/>
    </row>
    <row r="349" spans="3:20" outlineLevel="1"/>
    <row r="350" spans="3:20" outlineLevel="1">
      <c r="C350" s="37" t="s">
        <v>193</v>
      </c>
    </row>
    <row r="351" spans="3:20" ht="5.9" customHeight="1" outlineLevel="1"/>
    <row r="352" spans="3:20" outlineLevel="1">
      <c r="D352" s="37" t="str">
        <f>D338</f>
        <v>Capex Category</v>
      </c>
    </row>
    <row r="353" spans="3:20" ht="5.9" customHeight="1" outlineLevel="1"/>
    <row r="354" spans="3:20" outlineLevel="1">
      <c r="D354" s="102" t="str">
        <f>Work_Codes!D224</f>
        <v>Miscellaneous network regulator capital works</v>
      </c>
      <c r="J354" s="81">
        <v>0</v>
      </c>
      <c r="K354" s="81">
        <v>0</v>
      </c>
      <c r="L354" s="81">
        <v>0</v>
      </c>
      <c r="M354" s="81">
        <v>0</v>
      </c>
      <c r="N354" s="81">
        <v>100625.9985457108</v>
      </c>
      <c r="O354" s="81">
        <v>50000</v>
      </c>
      <c r="P354" s="81">
        <v>100000</v>
      </c>
      <c r="Q354" s="81">
        <v>100000</v>
      </c>
      <c r="R354" s="81">
        <v>100000</v>
      </c>
      <c r="S354" s="81">
        <v>100000</v>
      </c>
      <c r="T354" s="81">
        <v>100000</v>
      </c>
    </row>
    <row r="355" spans="3:20" outlineLevel="1">
      <c r="D355" s="102" t="str">
        <f>Work_Codes!D225</f>
        <v>Capex Items Category 2</v>
      </c>
      <c r="J355" s="81">
        <v>0</v>
      </c>
      <c r="K355" s="81">
        <v>0</v>
      </c>
      <c r="L355" s="81">
        <v>0</v>
      </c>
      <c r="M355" s="81">
        <v>0</v>
      </c>
      <c r="N355" s="81">
        <v>0</v>
      </c>
      <c r="O355" s="81">
        <v>0</v>
      </c>
      <c r="P355" s="81">
        <v>0</v>
      </c>
      <c r="Q355" s="81">
        <v>0</v>
      </c>
      <c r="R355" s="81">
        <v>0</v>
      </c>
      <c r="S355" s="81">
        <v>0</v>
      </c>
      <c r="T355" s="81">
        <v>0</v>
      </c>
    </row>
    <row r="356" spans="3:20" ht="5.9" customHeight="1" outlineLevel="1">
      <c r="D356" s="37"/>
      <c r="J356" s="78"/>
      <c r="K356" s="78"/>
      <c r="L356" s="78"/>
      <c r="M356" s="78"/>
      <c r="N356" s="78"/>
      <c r="O356" s="78"/>
      <c r="P356" s="78"/>
      <c r="Q356" s="78"/>
      <c r="R356" s="78"/>
      <c r="S356" s="78"/>
      <c r="T356" s="78"/>
    </row>
    <row r="357" spans="3:20" outlineLevel="1">
      <c r="D357" s="249" t="str">
        <f>"Total "&amp;B321</f>
        <v>Total Network Regulators - Ad Hoc</v>
      </c>
      <c r="E357" s="249"/>
      <c r="F357" s="249"/>
      <c r="G357" s="249"/>
      <c r="H357" s="249"/>
      <c r="I357" s="249"/>
      <c r="J357" s="82">
        <f t="shared" ref="J357:T357" si="38">SUM(J354:J356)</f>
        <v>0</v>
      </c>
      <c r="K357" s="82">
        <f t="shared" si="38"/>
        <v>0</v>
      </c>
      <c r="L357" s="82">
        <f t="shared" si="38"/>
        <v>0</v>
      </c>
      <c r="M357" s="82">
        <f t="shared" si="38"/>
        <v>0</v>
      </c>
      <c r="N357" s="82">
        <f t="shared" si="38"/>
        <v>100625.9985457108</v>
      </c>
      <c r="O357" s="82">
        <f t="shared" si="38"/>
        <v>50000</v>
      </c>
      <c r="P357" s="82">
        <f t="shared" si="38"/>
        <v>100000</v>
      </c>
      <c r="Q357" s="82">
        <f t="shared" si="38"/>
        <v>100000</v>
      </c>
      <c r="R357" s="82">
        <f t="shared" si="38"/>
        <v>100000</v>
      </c>
      <c r="S357" s="82">
        <f t="shared" si="38"/>
        <v>100000</v>
      </c>
      <c r="T357" s="82">
        <f t="shared" si="38"/>
        <v>100000</v>
      </c>
    </row>
    <row r="358" spans="3:20" outlineLevel="1"/>
    <row r="359" spans="3:20" outlineLevel="1">
      <c r="C359" s="37" t="s">
        <v>286</v>
      </c>
    </row>
    <row r="360" spans="3:20" ht="5.9" customHeight="1" outlineLevel="1"/>
    <row r="361" spans="3:20" outlineLevel="1">
      <c r="D361" s="143" t="str">
        <f>Work_Codes!D229</f>
        <v>Customer Contributions Category 1</v>
      </c>
      <c r="J361" s="148">
        <v>0</v>
      </c>
      <c r="K361" s="148">
        <v>0</v>
      </c>
      <c r="L361" s="148">
        <v>0</v>
      </c>
      <c r="M361" s="148">
        <v>0</v>
      </c>
      <c r="N361" s="148">
        <v>0</v>
      </c>
      <c r="O361" s="148">
        <v>0</v>
      </c>
      <c r="P361" s="148">
        <v>0</v>
      </c>
      <c r="Q361" s="148">
        <v>0</v>
      </c>
      <c r="R361" s="148">
        <v>0</v>
      </c>
      <c r="S361" s="148">
        <v>0</v>
      </c>
      <c r="T361" s="148">
        <v>0</v>
      </c>
    </row>
    <row r="362" spans="3:20" ht="5.9" customHeight="1" outlineLevel="1"/>
    <row r="363" spans="3:20" outlineLevel="1">
      <c r="D363" s="249" t="str">
        <f>"Total "&amp;C359</f>
        <v>Total Customer Connections</v>
      </c>
      <c r="E363" s="249"/>
      <c r="F363" s="249"/>
      <c r="G363" s="249"/>
      <c r="H363" s="249"/>
      <c r="I363" s="249"/>
      <c r="J363" s="82">
        <f t="shared" ref="J363:T363" si="39">SUM(J361:J362)</f>
        <v>0</v>
      </c>
      <c r="K363" s="82">
        <f t="shared" si="39"/>
        <v>0</v>
      </c>
      <c r="L363" s="82">
        <f t="shared" si="39"/>
        <v>0</v>
      </c>
      <c r="M363" s="82">
        <f t="shared" si="39"/>
        <v>0</v>
      </c>
      <c r="N363" s="82">
        <f t="shared" si="39"/>
        <v>0</v>
      </c>
      <c r="O363" s="82">
        <f t="shared" si="39"/>
        <v>0</v>
      </c>
      <c r="P363" s="82">
        <f t="shared" si="39"/>
        <v>0</v>
      </c>
      <c r="Q363" s="82">
        <f t="shared" si="39"/>
        <v>0</v>
      </c>
      <c r="R363" s="82">
        <f t="shared" si="39"/>
        <v>0</v>
      </c>
      <c r="S363" s="82">
        <f t="shared" si="39"/>
        <v>0</v>
      </c>
      <c r="T363" s="82">
        <f t="shared" si="39"/>
        <v>0</v>
      </c>
    </row>
    <row r="364" spans="3:20" outlineLevel="1">
      <c r="C364" s="12"/>
      <c r="D364" s="12"/>
      <c r="E364" s="12"/>
      <c r="F364" s="12"/>
      <c r="G364" s="12"/>
      <c r="H364" s="12"/>
      <c r="I364" s="12"/>
      <c r="J364" s="12"/>
      <c r="K364" s="12"/>
      <c r="L364" s="12"/>
      <c r="M364" s="12"/>
      <c r="N364" s="12"/>
      <c r="O364" s="12"/>
      <c r="P364" s="12"/>
      <c r="Q364" s="12"/>
      <c r="R364" s="12"/>
      <c r="S364" s="12"/>
      <c r="T364" s="12"/>
    </row>
    <row r="365" spans="3:20" outlineLevel="1"/>
    <row r="366" spans="3:20" outlineLevel="1">
      <c r="C366" s="37" t="s">
        <v>213</v>
      </c>
    </row>
    <row r="367" spans="3:20" ht="5.9" hidden="1" customHeight="1" outlineLevel="2"/>
    <row r="368" spans="3:20" hidden="1" outlineLevel="2">
      <c r="C368" s="37" t="s">
        <v>128</v>
      </c>
    </row>
    <row r="369" spans="3:20" ht="5.9" hidden="1" customHeight="1" outlineLevel="2"/>
    <row r="370" spans="3:20" hidden="1" outlineLevel="2">
      <c r="D370" s="102" t="str">
        <f>Work_Codes!D224</f>
        <v>Miscellaneous network regulator capital works</v>
      </c>
      <c r="J370" s="81">
        <f>Work_Codes!$I224*J354*J$325</f>
        <v>0</v>
      </c>
      <c r="K370" s="81">
        <f>Work_Codes!$I224*K354*K$325</f>
        <v>0</v>
      </c>
      <c r="L370" s="81">
        <f>Work_Codes!$I224*L354*L$325</f>
        <v>0</v>
      </c>
      <c r="M370" s="81">
        <f>Work_Codes!$I224*M354*M$325</f>
        <v>0</v>
      </c>
      <c r="N370" s="81">
        <f>Work_Codes!$I224*N354*N$325</f>
        <v>2012.5199709142159</v>
      </c>
      <c r="O370" s="81">
        <f>Work_Codes!$I224*O354*O$325</f>
        <v>1005.1959235721353</v>
      </c>
      <c r="P370" s="81">
        <f>Work_Codes!$I224*P354*P$325</f>
        <v>2020.4603482811524</v>
      </c>
      <c r="Q370" s="81">
        <f>Work_Codes!$I224*Q354*Q$325</f>
        <v>2036.2145746885619</v>
      </c>
      <c r="R370" s="81">
        <f>Work_Codes!$I224*R354*R$325</f>
        <v>2058.6301373114843</v>
      </c>
      <c r="S370" s="81">
        <f>Work_Codes!$I224*S354*S$325</f>
        <v>2081.2924604939021</v>
      </c>
      <c r="T370" s="81">
        <f>Work_Codes!$I224*T354*T$325</f>
        <v>2104.2042606866457</v>
      </c>
    </row>
    <row r="371" spans="3:20" hidden="1" outlineLevel="2">
      <c r="D371" s="102" t="str">
        <f>Work_Codes!D225</f>
        <v>Capex Items Category 2</v>
      </c>
      <c r="J371" s="81">
        <f>Work_Codes!$I225*J355*J$325</f>
        <v>0</v>
      </c>
      <c r="K371" s="81">
        <f>Work_Codes!$I225*K355*K$325</f>
        <v>0</v>
      </c>
      <c r="L371" s="81">
        <f>Work_Codes!$I225*L355*L$325</f>
        <v>0</v>
      </c>
      <c r="M371" s="81">
        <f>Work_Codes!$I225*M355*M$325</f>
        <v>0</v>
      </c>
      <c r="N371" s="81">
        <f>Work_Codes!$I225*N355*N$325</f>
        <v>0</v>
      </c>
      <c r="O371" s="81">
        <f>Work_Codes!$I225*O355*O$325</f>
        <v>0</v>
      </c>
      <c r="P371" s="81">
        <f>Work_Codes!$I225*P355*P$325</f>
        <v>0</v>
      </c>
      <c r="Q371" s="81">
        <f>Work_Codes!$I225*Q355*Q$325</f>
        <v>0</v>
      </c>
      <c r="R371" s="81">
        <f>Work_Codes!$I225*R355*R$325</f>
        <v>0</v>
      </c>
      <c r="S371" s="81">
        <f>Work_Codes!$I225*S355*S$325</f>
        <v>0</v>
      </c>
      <c r="T371" s="81">
        <f>Work_Codes!$I225*T355*T$325</f>
        <v>0</v>
      </c>
    </row>
    <row r="372" spans="3:20" ht="5.9" hidden="1" customHeight="1" outlineLevel="2"/>
    <row r="373" spans="3:20" hidden="1" outlineLevel="2">
      <c r="D373" s="249" t="str">
        <f>"Total "&amp;C368</f>
        <v>Total Internal Labour</v>
      </c>
      <c r="E373" s="249"/>
      <c r="F373" s="249"/>
      <c r="G373" s="249"/>
      <c r="H373" s="249"/>
      <c r="I373" s="249"/>
      <c r="J373" s="82">
        <f t="shared" ref="J373:T373" si="40">SUM(J370:J372)</f>
        <v>0</v>
      </c>
      <c r="K373" s="82">
        <f t="shared" si="40"/>
        <v>0</v>
      </c>
      <c r="L373" s="82">
        <f t="shared" si="40"/>
        <v>0</v>
      </c>
      <c r="M373" s="82">
        <f t="shared" si="40"/>
        <v>0</v>
      </c>
      <c r="N373" s="82">
        <f t="shared" si="40"/>
        <v>2012.5199709142159</v>
      </c>
      <c r="O373" s="82">
        <f t="shared" si="40"/>
        <v>1005.1959235721353</v>
      </c>
      <c r="P373" s="82">
        <f t="shared" si="40"/>
        <v>2020.4603482811524</v>
      </c>
      <c r="Q373" s="82">
        <f t="shared" si="40"/>
        <v>2036.2145746885619</v>
      </c>
      <c r="R373" s="82">
        <f t="shared" si="40"/>
        <v>2058.6301373114843</v>
      </c>
      <c r="S373" s="82">
        <f t="shared" si="40"/>
        <v>2081.2924604939021</v>
      </c>
      <c r="T373" s="82">
        <f t="shared" si="40"/>
        <v>2104.2042606866457</v>
      </c>
    </row>
    <row r="374" spans="3:20" hidden="1" outlineLevel="2"/>
    <row r="375" spans="3:20" hidden="1" outlineLevel="2">
      <c r="C375" s="37" t="s">
        <v>129</v>
      </c>
    </row>
    <row r="376" spans="3:20" ht="5.9" hidden="1" customHeight="1" outlineLevel="2"/>
    <row r="377" spans="3:20" hidden="1" outlineLevel="2">
      <c r="D377" s="102" t="str">
        <f>Work_Codes!D224</f>
        <v>Miscellaneous network regulator capital works</v>
      </c>
      <c r="J377" s="81">
        <f>Work_Codes!$J224*J354*J$326</f>
        <v>0</v>
      </c>
      <c r="K377" s="81">
        <f>Work_Codes!$J224*K354*K$326</f>
        <v>0</v>
      </c>
      <c r="L377" s="81">
        <f>Work_Codes!$J224*L354*L$326</f>
        <v>0</v>
      </c>
      <c r="M377" s="81">
        <f>Work_Codes!$J224*M354*M$326</f>
        <v>0</v>
      </c>
      <c r="N377" s="81">
        <f>Work_Codes!$J224*N354*N$326</f>
        <v>38237.879447370105</v>
      </c>
      <c r="O377" s="81">
        <f>Work_Codes!$J224*O354*O$326</f>
        <v>19000</v>
      </c>
      <c r="P377" s="81">
        <f>Work_Codes!$J224*P354*P$326</f>
        <v>38000</v>
      </c>
      <c r="Q377" s="81">
        <f>Work_Codes!$J224*Q354*Q$326</f>
        <v>38000</v>
      </c>
      <c r="R377" s="81">
        <f>Work_Codes!$J224*R354*R$326</f>
        <v>38000</v>
      </c>
      <c r="S377" s="81">
        <f>Work_Codes!$J224*S354*S$326</f>
        <v>38000</v>
      </c>
      <c r="T377" s="81">
        <f>Work_Codes!$J224*T354*T$326</f>
        <v>38000</v>
      </c>
    </row>
    <row r="378" spans="3:20" hidden="1" outlineLevel="2">
      <c r="D378" s="102" t="str">
        <f>Work_Codes!D225</f>
        <v>Capex Items Category 2</v>
      </c>
      <c r="J378" s="81">
        <f>Work_Codes!$J225*J355*J$326</f>
        <v>0</v>
      </c>
      <c r="K378" s="81">
        <f>Work_Codes!$J225*K355*K$326</f>
        <v>0</v>
      </c>
      <c r="L378" s="81">
        <f>Work_Codes!$J225*L355*L$326</f>
        <v>0</v>
      </c>
      <c r="M378" s="81">
        <f>Work_Codes!$J225*M355*M$326</f>
        <v>0</v>
      </c>
      <c r="N378" s="81">
        <f>Work_Codes!$J225*N355*N$326</f>
        <v>0</v>
      </c>
      <c r="O378" s="81">
        <f>Work_Codes!$J225*O355*O$326</f>
        <v>0</v>
      </c>
      <c r="P378" s="81">
        <f>Work_Codes!$J225*P355*P$326</f>
        <v>0</v>
      </c>
      <c r="Q378" s="81">
        <f>Work_Codes!$J225*Q355*Q$326</f>
        <v>0</v>
      </c>
      <c r="R378" s="81">
        <f>Work_Codes!$J225*R355*R$326</f>
        <v>0</v>
      </c>
      <c r="S378" s="81">
        <f>Work_Codes!$J225*S355*S$326</f>
        <v>0</v>
      </c>
      <c r="T378" s="81">
        <f>Work_Codes!$J225*T355*T$326</f>
        <v>0</v>
      </c>
    </row>
    <row r="379" spans="3:20" ht="5.9" hidden="1" customHeight="1" outlineLevel="2"/>
    <row r="380" spans="3:20" hidden="1" outlineLevel="2">
      <c r="D380" s="249" t="str">
        <f>"Total "&amp;C375</f>
        <v>Total External Labour</v>
      </c>
      <c r="E380" s="249"/>
      <c r="F380" s="249"/>
      <c r="G380" s="249"/>
      <c r="H380" s="249"/>
      <c r="I380" s="249"/>
      <c r="J380" s="82">
        <f t="shared" ref="J380:T380" si="41">SUM(J377:J379)</f>
        <v>0</v>
      </c>
      <c r="K380" s="82">
        <f t="shared" si="41"/>
        <v>0</v>
      </c>
      <c r="L380" s="82">
        <f t="shared" si="41"/>
        <v>0</v>
      </c>
      <c r="M380" s="82">
        <f t="shared" si="41"/>
        <v>0</v>
      </c>
      <c r="N380" s="82">
        <f t="shared" si="41"/>
        <v>38237.879447370105</v>
      </c>
      <c r="O380" s="82">
        <f t="shared" si="41"/>
        <v>19000</v>
      </c>
      <c r="P380" s="82">
        <f t="shared" si="41"/>
        <v>38000</v>
      </c>
      <c r="Q380" s="82">
        <f t="shared" si="41"/>
        <v>38000</v>
      </c>
      <c r="R380" s="82">
        <f t="shared" si="41"/>
        <v>38000</v>
      </c>
      <c r="S380" s="82">
        <f t="shared" si="41"/>
        <v>38000</v>
      </c>
      <c r="T380" s="82">
        <f t="shared" si="41"/>
        <v>38000</v>
      </c>
    </row>
    <row r="381" spans="3:20" hidden="1" outlineLevel="2"/>
    <row r="382" spans="3:20" hidden="1" outlineLevel="2">
      <c r="C382" s="37" t="s">
        <v>130</v>
      </c>
    </row>
    <row r="383" spans="3:20" ht="5.9" hidden="1" customHeight="1" outlineLevel="2"/>
    <row r="384" spans="3:20" hidden="1" outlineLevel="2">
      <c r="D384" s="102" t="str">
        <f>Work_Codes!D224</f>
        <v>Miscellaneous network regulator capital works</v>
      </c>
      <c r="J384" s="81">
        <f>Work_Codes!$K224*J354*J$327</f>
        <v>0</v>
      </c>
      <c r="K384" s="81">
        <f>Work_Codes!$K224*K354*K$327</f>
        <v>0</v>
      </c>
      <c r="L384" s="81">
        <f>Work_Codes!$K224*L354*L$327</f>
        <v>0</v>
      </c>
      <c r="M384" s="81">
        <f>Work_Codes!$K224*M354*M$327</f>
        <v>0</v>
      </c>
      <c r="N384" s="81">
        <f>Work_Codes!$K224*N354*N$327</f>
        <v>60375.599127426474</v>
      </c>
      <c r="O384" s="81">
        <f>Work_Codes!$K224*O354*O$327</f>
        <v>30000</v>
      </c>
      <c r="P384" s="81">
        <f>Work_Codes!$K224*P354*P$327</f>
        <v>60000</v>
      </c>
      <c r="Q384" s="81">
        <f>Work_Codes!$K224*Q354*Q$327</f>
        <v>60000</v>
      </c>
      <c r="R384" s="81">
        <f>Work_Codes!$K224*R354*R$327</f>
        <v>60000</v>
      </c>
      <c r="S384" s="81">
        <f>Work_Codes!$K224*S354*S$327</f>
        <v>60000</v>
      </c>
      <c r="T384" s="81">
        <f>Work_Codes!$K224*T354*T$327</f>
        <v>60000</v>
      </c>
    </row>
    <row r="385" spans="2:20" hidden="1" outlineLevel="2">
      <c r="D385" s="102" t="str">
        <f>Work_Codes!D225</f>
        <v>Capex Items Category 2</v>
      </c>
      <c r="J385" s="81">
        <f>Work_Codes!$K225*J355*J$327</f>
        <v>0</v>
      </c>
      <c r="K385" s="81">
        <f>Work_Codes!$K225*K355*K$327</f>
        <v>0</v>
      </c>
      <c r="L385" s="81">
        <f>Work_Codes!$K225*L355*L$327</f>
        <v>0</v>
      </c>
      <c r="M385" s="81">
        <f>Work_Codes!$K225*M355*M$327</f>
        <v>0</v>
      </c>
      <c r="N385" s="81">
        <f>Work_Codes!$K225*N355*N$327</f>
        <v>0</v>
      </c>
      <c r="O385" s="81">
        <f>Work_Codes!$K225*O355*O$327</f>
        <v>0</v>
      </c>
      <c r="P385" s="81">
        <f>Work_Codes!$K225*P355*P$327</f>
        <v>0</v>
      </c>
      <c r="Q385" s="81">
        <f>Work_Codes!$K225*Q355*Q$327</f>
        <v>0</v>
      </c>
      <c r="R385" s="81">
        <f>Work_Codes!$K225*R355*R$327</f>
        <v>0</v>
      </c>
      <c r="S385" s="81">
        <f>Work_Codes!$K225*S355*S$327</f>
        <v>0</v>
      </c>
      <c r="T385" s="81">
        <f>Work_Codes!$K225*T355*T$327</f>
        <v>0</v>
      </c>
    </row>
    <row r="386" spans="2:20" ht="5.9" hidden="1" customHeight="1" outlineLevel="2"/>
    <row r="387" spans="2:20" hidden="1" outlineLevel="2">
      <c r="D387" s="249" t="str">
        <f>"Total "&amp;C382</f>
        <v>Total Materials</v>
      </c>
      <c r="E387" s="249"/>
      <c r="F387" s="249"/>
      <c r="G387" s="249"/>
      <c r="H387" s="249"/>
      <c r="I387" s="249"/>
      <c r="J387" s="82">
        <f t="shared" ref="J387:T387" si="42">SUM(J384:J386)</f>
        <v>0</v>
      </c>
      <c r="K387" s="82">
        <f t="shared" si="42"/>
        <v>0</v>
      </c>
      <c r="L387" s="82">
        <f t="shared" si="42"/>
        <v>0</v>
      </c>
      <c r="M387" s="82">
        <f t="shared" si="42"/>
        <v>0</v>
      </c>
      <c r="N387" s="82">
        <f t="shared" si="42"/>
        <v>60375.599127426474</v>
      </c>
      <c r="O387" s="82">
        <f t="shared" si="42"/>
        <v>30000</v>
      </c>
      <c r="P387" s="82">
        <f t="shared" si="42"/>
        <v>60000</v>
      </c>
      <c r="Q387" s="82">
        <f t="shared" si="42"/>
        <v>60000</v>
      </c>
      <c r="R387" s="82">
        <f t="shared" si="42"/>
        <v>60000</v>
      </c>
      <c r="S387" s="82">
        <f t="shared" si="42"/>
        <v>60000</v>
      </c>
      <c r="T387" s="82">
        <f t="shared" si="42"/>
        <v>60000</v>
      </c>
    </row>
    <row r="388" spans="2:20" outlineLevel="1" collapsed="1"/>
    <row r="389" spans="2:20" outlineLevel="1">
      <c r="C389" s="37" t="s">
        <v>217</v>
      </c>
    </row>
    <row r="390" spans="2:20" ht="5.9" customHeight="1" outlineLevel="1"/>
    <row r="391" spans="2:20" outlineLevel="1">
      <c r="D391" s="102" t="str">
        <f>Work_Codes!D224</f>
        <v>Miscellaneous network regulator capital works</v>
      </c>
      <c r="J391" s="81">
        <f t="shared" ref="J391:T391" si="43">J370+J377+J384</f>
        <v>0</v>
      </c>
      <c r="K391" s="81">
        <f t="shared" si="43"/>
        <v>0</v>
      </c>
      <c r="L391" s="81">
        <f t="shared" si="43"/>
        <v>0</v>
      </c>
      <c r="M391" s="81">
        <f t="shared" si="43"/>
        <v>0</v>
      </c>
      <c r="N391" s="81">
        <f t="shared" si="43"/>
        <v>100625.9985457108</v>
      </c>
      <c r="O391" s="81">
        <f t="shared" si="43"/>
        <v>50005.195923572137</v>
      </c>
      <c r="P391" s="81">
        <f t="shared" si="43"/>
        <v>100020.46034828115</v>
      </c>
      <c r="Q391" s="81">
        <f t="shared" si="43"/>
        <v>100036.21457468857</v>
      </c>
      <c r="R391" s="81">
        <f t="shared" si="43"/>
        <v>100058.63013731148</v>
      </c>
      <c r="S391" s="81">
        <f t="shared" si="43"/>
        <v>100081.2924604939</v>
      </c>
      <c r="T391" s="81">
        <f t="shared" si="43"/>
        <v>100104.20426068665</v>
      </c>
    </row>
    <row r="392" spans="2:20" outlineLevel="1">
      <c r="D392" s="102" t="str">
        <f>Work_Codes!D225</f>
        <v>Capex Items Category 2</v>
      </c>
      <c r="J392" s="81">
        <f t="shared" ref="J392:T392" si="44">J371+J378+J385</f>
        <v>0</v>
      </c>
      <c r="K392" s="81">
        <f t="shared" si="44"/>
        <v>0</v>
      </c>
      <c r="L392" s="81">
        <f t="shared" si="44"/>
        <v>0</v>
      </c>
      <c r="M392" s="81">
        <f t="shared" si="44"/>
        <v>0</v>
      </c>
      <c r="N392" s="81">
        <f t="shared" si="44"/>
        <v>0</v>
      </c>
      <c r="O392" s="81">
        <f t="shared" si="44"/>
        <v>0</v>
      </c>
      <c r="P392" s="81">
        <f t="shared" si="44"/>
        <v>0</v>
      </c>
      <c r="Q392" s="81">
        <f t="shared" si="44"/>
        <v>0</v>
      </c>
      <c r="R392" s="81">
        <f t="shared" si="44"/>
        <v>0</v>
      </c>
      <c r="S392" s="81">
        <f t="shared" si="44"/>
        <v>0</v>
      </c>
      <c r="T392" s="81">
        <f t="shared" si="44"/>
        <v>0</v>
      </c>
    </row>
    <row r="393" spans="2:20" ht="5.9" customHeight="1" outlineLevel="1"/>
    <row r="394" spans="2:20" outlineLevel="1">
      <c r="D394" s="249" t="str">
        <f>C389</f>
        <v>Total Direct Capex including Escalation (Non CPI)</v>
      </c>
      <c r="E394" s="249"/>
      <c r="F394" s="249"/>
      <c r="G394" s="249"/>
      <c r="H394" s="249"/>
      <c r="I394" s="249"/>
      <c r="J394" s="82">
        <f t="shared" ref="J394:T394" si="45">SUM(J391:J393)</f>
        <v>0</v>
      </c>
      <c r="K394" s="82">
        <f t="shared" si="45"/>
        <v>0</v>
      </c>
      <c r="L394" s="82">
        <f t="shared" si="45"/>
        <v>0</v>
      </c>
      <c r="M394" s="82">
        <f t="shared" si="45"/>
        <v>0</v>
      </c>
      <c r="N394" s="82">
        <f t="shared" si="45"/>
        <v>100625.9985457108</v>
      </c>
      <c r="O394" s="82">
        <f t="shared" si="45"/>
        <v>50005.195923572137</v>
      </c>
      <c r="P394" s="82">
        <f t="shared" si="45"/>
        <v>100020.46034828115</v>
      </c>
      <c r="Q394" s="82">
        <f t="shared" si="45"/>
        <v>100036.21457468857</v>
      </c>
      <c r="R394" s="82">
        <f t="shared" si="45"/>
        <v>100058.63013731148</v>
      </c>
      <c r="S394" s="82">
        <f t="shared" si="45"/>
        <v>100081.2924604939</v>
      </c>
      <c r="T394" s="82">
        <f t="shared" si="45"/>
        <v>100104.20426068665</v>
      </c>
    </row>
    <row r="395" spans="2:20" outlineLevel="1">
      <c r="B395" s="12"/>
      <c r="C395" s="12"/>
      <c r="D395" s="12"/>
      <c r="E395" s="12"/>
      <c r="F395" s="12"/>
      <c r="G395" s="12"/>
      <c r="H395" s="12"/>
      <c r="I395" s="12"/>
      <c r="J395" s="12"/>
      <c r="K395" s="12"/>
      <c r="L395" s="12"/>
      <c r="M395" s="12"/>
      <c r="N395" s="12"/>
      <c r="O395" s="12"/>
      <c r="P395" s="12"/>
      <c r="Q395" s="12"/>
      <c r="R395" s="12"/>
      <c r="S395" s="12"/>
      <c r="T395" s="12"/>
    </row>
    <row r="396" spans="2:20" outlineLevel="1"/>
    <row r="397" spans="2:20" outlineLevel="1">
      <c r="C397" s="37" t="s">
        <v>195</v>
      </c>
    </row>
    <row r="398" spans="2:20" ht="5.9" customHeight="1" outlineLevel="2"/>
    <row r="399" spans="2:20" outlineLevel="2">
      <c r="D399" s="37" t="s">
        <v>215</v>
      </c>
    </row>
    <row r="400" spans="2:20" ht="5.9" customHeight="1" outlineLevel="2"/>
    <row r="401" spans="5:20" ht="11.5" customHeight="1" outlineLevel="2">
      <c r="E401" s="247" t="str">
        <f>GC!C40</f>
        <v>Transmission pipelines</v>
      </c>
      <c r="F401" s="247"/>
      <c r="G401" s="247"/>
      <c r="H401" s="247"/>
      <c r="I401" s="247"/>
      <c r="J401" s="81">
        <f ca="1">SUMPRODUCT((Work_Codes!$N$221:$Y$221=$E401)*(Work_Codes!$N$224:$Y$225)*(J$391:J$392))</f>
        <v>0</v>
      </c>
      <c r="K401" s="81">
        <f ca="1">SUMPRODUCT((Work_Codes!$N$221:$Y$221=$E401)*(Work_Codes!$N$224:$Y$225)*(K$391:K$392))</f>
        <v>0</v>
      </c>
      <c r="L401" s="81">
        <f ca="1">SUMPRODUCT((Work_Codes!$N$221:$Y$221=$E401)*(Work_Codes!$N$224:$Y$225)*(L$391:L$392))</f>
        <v>0</v>
      </c>
      <c r="M401" s="81">
        <f ca="1">SUMPRODUCT((Work_Codes!$N$221:$Y$221=$E401)*(Work_Codes!$N$224:$Y$225)*(M$391:M$392))</f>
        <v>0</v>
      </c>
      <c r="N401" s="81">
        <f ca="1">SUMPRODUCT((Work_Codes!$N$221:$Y$221=$E401)*(Work_Codes!$N$224:$Y$225)*(N$391:N$392))</f>
        <v>0</v>
      </c>
      <c r="O401" s="81">
        <f ca="1">SUMPRODUCT((Work_Codes!$N$221:$Y$221=$E401)*(Work_Codes!$N$224:$Y$225)*(O$391:O$392))</f>
        <v>0</v>
      </c>
      <c r="P401" s="81">
        <f ca="1">SUMPRODUCT((Work_Codes!$N$221:$Y$221=$E401)*(Work_Codes!$N$224:$Y$225)*(P$391:P$392))</f>
        <v>0</v>
      </c>
      <c r="Q401" s="81">
        <f ca="1">SUMPRODUCT((Work_Codes!$N$221:$Y$221=$E401)*(Work_Codes!$N$224:$Y$225)*(Q$391:Q$392))</f>
        <v>0</v>
      </c>
      <c r="R401" s="81">
        <f ca="1">SUMPRODUCT((Work_Codes!$N$221:$Y$221=$E401)*(Work_Codes!$N$224:$Y$225)*(R$391:R$392))</f>
        <v>0</v>
      </c>
      <c r="S401" s="81">
        <f ca="1">SUMPRODUCT((Work_Codes!$N$221:$Y$221=$E401)*(Work_Codes!$N$224:$Y$225)*(S$391:S$392))</f>
        <v>0</v>
      </c>
      <c r="T401" s="81">
        <f ca="1">SUMPRODUCT((Work_Codes!$N$221:$Y$221=$E401)*(Work_Codes!$N$224:$Y$225)*(T$391:T$392))</f>
        <v>0</v>
      </c>
    </row>
    <row r="402" spans="5:20" ht="11.5" customHeight="1" outlineLevel="2">
      <c r="E402" s="247" t="str">
        <f>GC!C41</f>
        <v>Distribution pipelines</v>
      </c>
      <c r="F402" s="247"/>
      <c r="G402" s="247"/>
      <c r="H402" s="247"/>
      <c r="I402" s="247"/>
      <c r="J402" s="81">
        <f ca="1">SUMPRODUCT((Work_Codes!$N$221:$Y$221=$E402)*(Work_Codes!$N$224:$Y$225)*(J$391:J$392))</f>
        <v>0</v>
      </c>
      <c r="K402" s="81">
        <f ca="1">SUMPRODUCT((Work_Codes!$N$221:$Y$221=$E402)*(Work_Codes!$N$224:$Y$225)*(K$391:K$392))</f>
        <v>0</v>
      </c>
      <c r="L402" s="81">
        <f ca="1">SUMPRODUCT((Work_Codes!$N$221:$Y$221=$E402)*(Work_Codes!$N$224:$Y$225)*(L$391:L$392))</f>
        <v>0</v>
      </c>
      <c r="M402" s="81">
        <f ca="1">SUMPRODUCT((Work_Codes!$N$221:$Y$221=$E402)*(Work_Codes!$N$224:$Y$225)*(M$391:M$392))</f>
        <v>0</v>
      </c>
      <c r="N402" s="81">
        <f ca="1">SUMPRODUCT((Work_Codes!$N$221:$Y$221=$E402)*(Work_Codes!$N$224:$Y$225)*(N$391:N$392))</f>
        <v>0</v>
      </c>
      <c r="O402" s="81">
        <f ca="1">SUMPRODUCT((Work_Codes!$N$221:$Y$221=$E402)*(Work_Codes!$N$224:$Y$225)*(O$391:O$392))</f>
        <v>0</v>
      </c>
      <c r="P402" s="81">
        <f ca="1">SUMPRODUCT((Work_Codes!$N$221:$Y$221=$E402)*(Work_Codes!$N$224:$Y$225)*(P$391:P$392))</f>
        <v>0</v>
      </c>
      <c r="Q402" s="81">
        <f ca="1">SUMPRODUCT((Work_Codes!$N$221:$Y$221=$E402)*(Work_Codes!$N$224:$Y$225)*(Q$391:Q$392))</f>
        <v>0</v>
      </c>
      <c r="R402" s="81">
        <f ca="1">SUMPRODUCT((Work_Codes!$N$221:$Y$221=$E402)*(Work_Codes!$N$224:$Y$225)*(R$391:R$392))</f>
        <v>0</v>
      </c>
      <c r="S402" s="81">
        <f ca="1">SUMPRODUCT((Work_Codes!$N$221:$Y$221=$E402)*(Work_Codes!$N$224:$Y$225)*(S$391:S$392))</f>
        <v>0</v>
      </c>
      <c r="T402" s="81">
        <f ca="1">SUMPRODUCT((Work_Codes!$N$221:$Y$221=$E402)*(Work_Codes!$N$224:$Y$225)*(T$391:T$392))</f>
        <v>0</v>
      </c>
    </row>
    <row r="403" spans="5:20" ht="11.5" customHeight="1" outlineLevel="2">
      <c r="E403" s="247" t="str">
        <f>GC!C42</f>
        <v>Service pipes</v>
      </c>
      <c r="F403" s="247"/>
      <c r="G403" s="247"/>
      <c r="H403" s="247"/>
      <c r="I403" s="247"/>
      <c r="J403" s="81">
        <f ca="1">SUMPRODUCT((Work_Codes!$N$221:$Y$221=$E403)*(Work_Codes!$N$224:$Y$225)*(J$391:J$392))</f>
        <v>0</v>
      </c>
      <c r="K403" s="81">
        <f ca="1">SUMPRODUCT((Work_Codes!$N$221:$Y$221=$E403)*(Work_Codes!$N$224:$Y$225)*(K$391:K$392))</f>
        <v>0</v>
      </c>
      <c r="L403" s="81">
        <f ca="1">SUMPRODUCT((Work_Codes!$N$221:$Y$221=$E403)*(Work_Codes!$N$224:$Y$225)*(L$391:L$392))</f>
        <v>0</v>
      </c>
      <c r="M403" s="81">
        <f ca="1">SUMPRODUCT((Work_Codes!$N$221:$Y$221=$E403)*(Work_Codes!$N$224:$Y$225)*(M$391:M$392))</f>
        <v>0</v>
      </c>
      <c r="N403" s="81">
        <f ca="1">SUMPRODUCT((Work_Codes!$N$221:$Y$221=$E403)*(Work_Codes!$N$224:$Y$225)*(N$391:N$392))</f>
        <v>0</v>
      </c>
      <c r="O403" s="81">
        <f ca="1">SUMPRODUCT((Work_Codes!$N$221:$Y$221=$E403)*(Work_Codes!$N$224:$Y$225)*(O$391:O$392))</f>
        <v>0</v>
      </c>
      <c r="P403" s="81">
        <f ca="1">SUMPRODUCT((Work_Codes!$N$221:$Y$221=$E403)*(Work_Codes!$N$224:$Y$225)*(P$391:P$392))</f>
        <v>0</v>
      </c>
      <c r="Q403" s="81">
        <f ca="1">SUMPRODUCT((Work_Codes!$N$221:$Y$221=$E403)*(Work_Codes!$N$224:$Y$225)*(Q$391:Q$392))</f>
        <v>0</v>
      </c>
      <c r="R403" s="81">
        <f ca="1">SUMPRODUCT((Work_Codes!$N$221:$Y$221=$E403)*(Work_Codes!$N$224:$Y$225)*(R$391:R$392))</f>
        <v>0</v>
      </c>
      <c r="S403" s="81">
        <f ca="1">SUMPRODUCT((Work_Codes!$N$221:$Y$221=$E403)*(Work_Codes!$N$224:$Y$225)*(S$391:S$392))</f>
        <v>0</v>
      </c>
      <c r="T403" s="81">
        <f ca="1">SUMPRODUCT((Work_Codes!$N$221:$Y$221=$E403)*(Work_Codes!$N$224:$Y$225)*(T$391:T$392))</f>
        <v>0</v>
      </c>
    </row>
    <row r="404" spans="5:20" ht="11.5" customHeight="1" outlineLevel="2">
      <c r="E404" s="247" t="str">
        <f>GC!C43</f>
        <v>Cathodic protection</v>
      </c>
      <c r="F404" s="247"/>
      <c r="G404" s="247"/>
      <c r="H404" s="247"/>
      <c r="I404" s="247"/>
      <c r="J404" s="81">
        <f ca="1">SUMPRODUCT((Work_Codes!$N$221:$Y$221=$E404)*(Work_Codes!$N$224:$Y$225)*(J$391:J$392))</f>
        <v>0</v>
      </c>
      <c r="K404" s="81">
        <f ca="1">SUMPRODUCT((Work_Codes!$N$221:$Y$221=$E404)*(Work_Codes!$N$224:$Y$225)*(K$391:K$392))</f>
        <v>0</v>
      </c>
      <c r="L404" s="81">
        <f ca="1">SUMPRODUCT((Work_Codes!$N$221:$Y$221=$E404)*(Work_Codes!$N$224:$Y$225)*(L$391:L$392))</f>
        <v>0</v>
      </c>
      <c r="M404" s="81">
        <f ca="1">SUMPRODUCT((Work_Codes!$N$221:$Y$221=$E404)*(Work_Codes!$N$224:$Y$225)*(M$391:M$392))</f>
        <v>0</v>
      </c>
      <c r="N404" s="81">
        <f ca="1">SUMPRODUCT((Work_Codes!$N$221:$Y$221=$E404)*(Work_Codes!$N$224:$Y$225)*(N$391:N$392))</f>
        <v>0</v>
      </c>
      <c r="O404" s="81">
        <f ca="1">SUMPRODUCT((Work_Codes!$N$221:$Y$221=$E404)*(Work_Codes!$N$224:$Y$225)*(O$391:O$392))</f>
        <v>0</v>
      </c>
      <c r="P404" s="81">
        <f ca="1">SUMPRODUCT((Work_Codes!$N$221:$Y$221=$E404)*(Work_Codes!$N$224:$Y$225)*(P$391:P$392))</f>
        <v>0</v>
      </c>
      <c r="Q404" s="81">
        <f ca="1">SUMPRODUCT((Work_Codes!$N$221:$Y$221=$E404)*(Work_Codes!$N$224:$Y$225)*(Q$391:Q$392))</f>
        <v>0</v>
      </c>
      <c r="R404" s="81">
        <f ca="1">SUMPRODUCT((Work_Codes!$N$221:$Y$221=$E404)*(Work_Codes!$N$224:$Y$225)*(R$391:R$392))</f>
        <v>0</v>
      </c>
      <c r="S404" s="81">
        <f ca="1">SUMPRODUCT((Work_Codes!$N$221:$Y$221=$E404)*(Work_Codes!$N$224:$Y$225)*(S$391:S$392))</f>
        <v>0</v>
      </c>
      <c r="T404" s="81">
        <f ca="1">SUMPRODUCT((Work_Codes!$N$221:$Y$221=$E404)*(Work_Codes!$N$224:$Y$225)*(T$391:T$392))</f>
        <v>0</v>
      </c>
    </row>
    <row r="405" spans="5:20" ht="11.5" customHeight="1" outlineLevel="2">
      <c r="E405" s="247" t="str">
        <f>GC!C44</f>
        <v>Supply Regulators / Valve Stations</v>
      </c>
      <c r="F405" s="247"/>
      <c r="G405" s="247"/>
      <c r="H405" s="247"/>
      <c r="I405" s="247"/>
      <c r="J405" s="81">
        <f ca="1">SUMPRODUCT((Work_Codes!$N$221:$Y$221=$E405)*(Work_Codes!$N$224:$Y$225)*(J$391:J$392))</f>
        <v>0</v>
      </c>
      <c r="K405" s="81">
        <f ca="1">SUMPRODUCT((Work_Codes!$N$221:$Y$221=$E405)*(Work_Codes!$N$224:$Y$225)*(K$391:K$392))</f>
        <v>0</v>
      </c>
      <c r="L405" s="81">
        <f ca="1">SUMPRODUCT((Work_Codes!$N$221:$Y$221=$E405)*(Work_Codes!$N$224:$Y$225)*(L$391:L$392))</f>
        <v>0</v>
      </c>
      <c r="M405" s="81">
        <f ca="1">SUMPRODUCT((Work_Codes!$N$221:$Y$221=$E405)*(Work_Codes!$N$224:$Y$225)*(M$391:M$392))</f>
        <v>0</v>
      </c>
      <c r="N405" s="81">
        <f ca="1">SUMPRODUCT((Work_Codes!$N$221:$Y$221=$E405)*(Work_Codes!$N$224:$Y$225)*(N$391:N$392))</f>
        <v>100625.9985457108</v>
      </c>
      <c r="O405" s="81">
        <f ca="1">SUMPRODUCT((Work_Codes!$N$221:$Y$221=$E405)*(Work_Codes!$N$224:$Y$225)*(O$391:O$392))</f>
        <v>50005.195923572137</v>
      </c>
      <c r="P405" s="81">
        <f ca="1">SUMPRODUCT((Work_Codes!$N$221:$Y$221=$E405)*(Work_Codes!$N$224:$Y$225)*(P$391:P$392))</f>
        <v>100020.46034828115</v>
      </c>
      <c r="Q405" s="81">
        <f ca="1">SUMPRODUCT((Work_Codes!$N$221:$Y$221=$E405)*(Work_Codes!$N$224:$Y$225)*(Q$391:Q$392))</f>
        <v>100036.21457468857</v>
      </c>
      <c r="R405" s="81">
        <f ca="1">SUMPRODUCT((Work_Codes!$N$221:$Y$221=$E405)*(Work_Codes!$N$224:$Y$225)*(R$391:R$392))</f>
        <v>100058.63013731148</v>
      </c>
      <c r="S405" s="81">
        <f ca="1">SUMPRODUCT((Work_Codes!$N$221:$Y$221=$E405)*(Work_Codes!$N$224:$Y$225)*(S$391:S$392))</f>
        <v>100081.2924604939</v>
      </c>
      <c r="T405" s="81">
        <f ca="1">SUMPRODUCT((Work_Codes!$N$221:$Y$221=$E405)*(Work_Codes!$N$224:$Y$225)*(T$391:T$392))</f>
        <v>100104.20426068665</v>
      </c>
    </row>
    <row r="406" spans="5:20" ht="11.5" customHeight="1" outlineLevel="2">
      <c r="E406" s="247" t="str">
        <f>GC!C45</f>
        <v>Meters</v>
      </c>
      <c r="F406" s="247"/>
      <c r="G406" s="247"/>
      <c r="H406" s="247"/>
      <c r="I406" s="247"/>
      <c r="J406" s="81">
        <f ca="1">SUMPRODUCT((Work_Codes!$N$221:$Y$221=$E406)*(Work_Codes!$N$224:$Y$225)*(J$391:J$392))</f>
        <v>0</v>
      </c>
      <c r="K406" s="81">
        <f ca="1">SUMPRODUCT((Work_Codes!$N$221:$Y$221=$E406)*(Work_Codes!$N$224:$Y$225)*(K$391:K$392))</f>
        <v>0</v>
      </c>
      <c r="L406" s="81">
        <f ca="1">SUMPRODUCT((Work_Codes!$N$221:$Y$221=$E406)*(Work_Codes!$N$224:$Y$225)*(L$391:L$392))</f>
        <v>0</v>
      </c>
      <c r="M406" s="81">
        <f ca="1">SUMPRODUCT((Work_Codes!$N$221:$Y$221=$E406)*(Work_Codes!$N$224:$Y$225)*(M$391:M$392))</f>
        <v>0</v>
      </c>
      <c r="N406" s="81">
        <f ca="1">SUMPRODUCT((Work_Codes!$N$221:$Y$221=$E406)*(Work_Codes!$N$224:$Y$225)*(N$391:N$392))</f>
        <v>0</v>
      </c>
      <c r="O406" s="81">
        <f ca="1">SUMPRODUCT((Work_Codes!$N$221:$Y$221=$E406)*(Work_Codes!$N$224:$Y$225)*(O$391:O$392))</f>
        <v>0</v>
      </c>
      <c r="P406" s="81">
        <f ca="1">SUMPRODUCT((Work_Codes!$N$221:$Y$221=$E406)*(Work_Codes!$N$224:$Y$225)*(P$391:P$392))</f>
        <v>0</v>
      </c>
      <c r="Q406" s="81">
        <f ca="1">SUMPRODUCT((Work_Codes!$N$221:$Y$221=$E406)*(Work_Codes!$N$224:$Y$225)*(Q$391:Q$392))</f>
        <v>0</v>
      </c>
      <c r="R406" s="81">
        <f ca="1">SUMPRODUCT((Work_Codes!$N$221:$Y$221=$E406)*(Work_Codes!$N$224:$Y$225)*(R$391:R$392))</f>
        <v>0</v>
      </c>
      <c r="S406" s="81">
        <f ca="1">SUMPRODUCT((Work_Codes!$N$221:$Y$221=$E406)*(Work_Codes!$N$224:$Y$225)*(S$391:S$392))</f>
        <v>0</v>
      </c>
      <c r="T406" s="81">
        <f ca="1">SUMPRODUCT((Work_Codes!$N$221:$Y$221=$E406)*(Work_Codes!$N$224:$Y$225)*(T$391:T$392))</f>
        <v>0</v>
      </c>
    </row>
    <row r="407" spans="5:20" ht="11.5" customHeight="1" outlineLevel="2">
      <c r="E407" s="247" t="str">
        <f>GC!C46</f>
        <v>SCADA and remote control</v>
      </c>
      <c r="F407" s="247"/>
      <c r="G407" s="247"/>
      <c r="H407" s="247"/>
      <c r="I407" s="247"/>
      <c r="J407" s="81">
        <f ca="1">SUMPRODUCT((Work_Codes!$N$221:$Y$221=$E407)*(Work_Codes!$N$224:$Y$225)*(J$391:J$392))</f>
        <v>0</v>
      </c>
      <c r="K407" s="81">
        <f ca="1">SUMPRODUCT((Work_Codes!$N$221:$Y$221=$E407)*(Work_Codes!$N$224:$Y$225)*(K$391:K$392))</f>
        <v>0</v>
      </c>
      <c r="L407" s="81">
        <f ca="1">SUMPRODUCT((Work_Codes!$N$221:$Y$221=$E407)*(Work_Codes!$N$224:$Y$225)*(L$391:L$392))</f>
        <v>0</v>
      </c>
      <c r="M407" s="81">
        <f ca="1">SUMPRODUCT((Work_Codes!$N$221:$Y$221=$E407)*(Work_Codes!$N$224:$Y$225)*(M$391:M$392))</f>
        <v>0</v>
      </c>
      <c r="N407" s="81">
        <f ca="1">SUMPRODUCT((Work_Codes!$N$221:$Y$221=$E407)*(Work_Codes!$N$224:$Y$225)*(N$391:N$392))</f>
        <v>0</v>
      </c>
      <c r="O407" s="81">
        <f ca="1">SUMPRODUCT((Work_Codes!$N$221:$Y$221=$E407)*(Work_Codes!$N$224:$Y$225)*(O$391:O$392))</f>
        <v>0</v>
      </c>
      <c r="P407" s="81">
        <f ca="1">SUMPRODUCT((Work_Codes!$N$221:$Y$221=$E407)*(Work_Codes!$N$224:$Y$225)*(P$391:P$392))</f>
        <v>0</v>
      </c>
      <c r="Q407" s="81">
        <f ca="1">SUMPRODUCT((Work_Codes!$N$221:$Y$221=$E407)*(Work_Codes!$N$224:$Y$225)*(Q$391:Q$392))</f>
        <v>0</v>
      </c>
      <c r="R407" s="81">
        <f ca="1">SUMPRODUCT((Work_Codes!$N$221:$Y$221=$E407)*(Work_Codes!$N$224:$Y$225)*(R$391:R$392))</f>
        <v>0</v>
      </c>
      <c r="S407" s="81">
        <f ca="1">SUMPRODUCT((Work_Codes!$N$221:$Y$221=$E407)*(Work_Codes!$N$224:$Y$225)*(S$391:S$392))</f>
        <v>0</v>
      </c>
      <c r="T407" s="81">
        <f ca="1">SUMPRODUCT((Work_Codes!$N$221:$Y$221=$E407)*(Work_Codes!$N$224:$Y$225)*(T$391:T$392))</f>
        <v>0</v>
      </c>
    </row>
    <row r="408" spans="5:20" ht="11.5" customHeight="1" outlineLevel="2">
      <c r="E408" s="247" t="str">
        <f>GC!C47</f>
        <v>Buildings</v>
      </c>
      <c r="F408" s="247"/>
      <c r="G408" s="247"/>
      <c r="H408" s="247"/>
      <c r="I408" s="247"/>
      <c r="J408" s="81">
        <f ca="1">SUMPRODUCT((Work_Codes!$N$221:$Y$221=$E408)*(Work_Codes!$N$224:$Y$225)*(J$391:J$392))</f>
        <v>0</v>
      </c>
      <c r="K408" s="81">
        <f ca="1">SUMPRODUCT((Work_Codes!$N$221:$Y$221=$E408)*(Work_Codes!$N$224:$Y$225)*(K$391:K$392))</f>
        <v>0</v>
      </c>
      <c r="L408" s="81">
        <f ca="1">SUMPRODUCT((Work_Codes!$N$221:$Y$221=$E408)*(Work_Codes!$N$224:$Y$225)*(L$391:L$392))</f>
        <v>0</v>
      </c>
      <c r="M408" s="81">
        <f ca="1">SUMPRODUCT((Work_Codes!$N$221:$Y$221=$E408)*(Work_Codes!$N$224:$Y$225)*(M$391:M$392))</f>
        <v>0</v>
      </c>
      <c r="N408" s="81">
        <f ca="1">SUMPRODUCT((Work_Codes!$N$221:$Y$221=$E408)*(Work_Codes!$N$224:$Y$225)*(N$391:N$392))</f>
        <v>0</v>
      </c>
      <c r="O408" s="81">
        <f ca="1">SUMPRODUCT((Work_Codes!$N$221:$Y$221=$E408)*(Work_Codes!$N$224:$Y$225)*(O$391:O$392))</f>
        <v>0</v>
      </c>
      <c r="P408" s="81">
        <f ca="1">SUMPRODUCT((Work_Codes!$N$221:$Y$221=$E408)*(Work_Codes!$N$224:$Y$225)*(P$391:P$392))</f>
        <v>0</v>
      </c>
      <c r="Q408" s="81">
        <f ca="1">SUMPRODUCT((Work_Codes!$N$221:$Y$221=$E408)*(Work_Codes!$N$224:$Y$225)*(Q$391:Q$392))</f>
        <v>0</v>
      </c>
      <c r="R408" s="81">
        <f ca="1">SUMPRODUCT((Work_Codes!$N$221:$Y$221=$E408)*(Work_Codes!$N$224:$Y$225)*(R$391:R$392))</f>
        <v>0</v>
      </c>
      <c r="S408" s="81">
        <f ca="1">SUMPRODUCT((Work_Codes!$N$221:$Y$221=$E408)*(Work_Codes!$N$224:$Y$225)*(S$391:S$392))</f>
        <v>0</v>
      </c>
      <c r="T408" s="81">
        <f ca="1">SUMPRODUCT((Work_Codes!$N$221:$Y$221=$E408)*(Work_Codes!$N$224:$Y$225)*(T$391:T$392))</f>
        <v>0</v>
      </c>
    </row>
    <row r="409" spans="5:20" ht="11.5" customHeight="1" outlineLevel="2">
      <c r="E409" s="247" t="str">
        <f>GC!C48</f>
        <v>Other - IT</v>
      </c>
      <c r="F409" s="247"/>
      <c r="G409" s="247"/>
      <c r="H409" s="247"/>
      <c r="I409" s="247"/>
      <c r="J409" s="81">
        <f ca="1">SUMPRODUCT((Work_Codes!$N$221:$Y$221=$E409)*(Work_Codes!$N$224:$Y$225)*(J$391:J$392))</f>
        <v>0</v>
      </c>
      <c r="K409" s="81">
        <f ca="1">SUMPRODUCT((Work_Codes!$N$221:$Y$221=$E409)*(Work_Codes!$N$224:$Y$225)*(K$391:K$392))</f>
        <v>0</v>
      </c>
      <c r="L409" s="81">
        <f ca="1">SUMPRODUCT((Work_Codes!$N$221:$Y$221=$E409)*(Work_Codes!$N$224:$Y$225)*(L$391:L$392))</f>
        <v>0</v>
      </c>
      <c r="M409" s="81">
        <f ca="1">SUMPRODUCT((Work_Codes!$N$221:$Y$221=$E409)*(Work_Codes!$N$224:$Y$225)*(M$391:M$392))</f>
        <v>0</v>
      </c>
      <c r="N409" s="81">
        <f ca="1">SUMPRODUCT((Work_Codes!$N$221:$Y$221=$E409)*(Work_Codes!$N$224:$Y$225)*(N$391:N$392))</f>
        <v>0</v>
      </c>
      <c r="O409" s="81">
        <f ca="1">SUMPRODUCT((Work_Codes!$N$221:$Y$221=$E409)*(Work_Codes!$N$224:$Y$225)*(O$391:O$392))</f>
        <v>0</v>
      </c>
      <c r="P409" s="81">
        <f ca="1">SUMPRODUCT((Work_Codes!$N$221:$Y$221=$E409)*(Work_Codes!$N$224:$Y$225)*(P$391:P$392))</f>
        <v>0</v>
      </c>
      <c r="Q409" s="81">
        <f ca="1">SUMPRODUCT((Work_Codes!$N$221:$Y$221=$E409)*(Work_Codes!$N$224:$Y$225)*(Q$391:Q$392))</f>
        <v>0</v>
      </c>
      <c r="R409" s="81">
        <f ca="1">SUMPRODUCT((Work_Codes!$N$221:$Y$221=$E409)*(Work_Codes!$N$224:$Y$225)*(R$391:R$392))</f>
        <v>0</v>
      </c>
      <c r="S409" s="81">
        <f ca="1">SUMPRODUCT((Work_Codes!$N$221:$Y$221=$E409)*(Work_Codes!$N$224:$Y$225)*(S$391:S$392))</f>
        <v>0</v>
      </c>
      <c r="T409" s="81">
        <f ca="1">SUMPRODUCT((Work_Codes!$N$221:$Y$221=$E409)*(Work_Codes!$N$224:$Y$225)*(T$391:T$392))</f>
        <v>0</v>
      </c>
    </row>
    <row r="410" spans="5:20" ht="11.5" customHeight="1" outlineLevel="2">
      <c r="E410" s="247" t="str">
        <f>GC!C49</f>
        <v>Other - non IT</v>
      </c>
      <c r="F410" s="247"/>
      <c r="G410" s="247"/>
      <c r="H410" s="247"/>
      <c r="I410" s="247"/>
      <c r="J410" s="81">
        <f ca="1">SUMPRODUCT((Work_Codes!$N$221:$Y$221=$E410)*(Work_Codes!$N$224:$Y$225)*(J$391:J$392))</f>
        <v>0</v>
      </c>
      <c r="K410" s="81">
        <f ca="1">SUMPRODUCT((Work_Codes!$N$221:$Y$221=$E410)*(Work_Codes!$N$224:$Y$225)*(K$391:K$392))</f>
        <v>0</v>
      </c>
      <c r="L410" s="81">
        <f ca="1">SUMPRODUCT((Work_Codes!$N$221:$Y$221=$E410)*(Work_Codes!$N$224:$Y$225)*(L$391:L$392))</f>
        <v>0</v>
      </c>
      <c r="M410" s="81">
        <f ca="1">SUMPRODUCT((Work_Codes!$N$221:$Y$221=$E410)*(Work_Codes!$N$224:$Y$225)*(M$391:M$392))</f>
        <v>0</v>
      </c>
      <c r="N410" s="81">
        <f ca="1">SUMPRODUCT((Work_Codes!$N$221:$Y$221=$E410)*(Work_Codes!$N$224:$Y$225)*(N$391:N$392))</f>
        <v>0</v>
      </c>
      <c r="O410" s="81">
        <f ca="1">SUMPRODUCT((Work_Codes!$N$221:$Y$221=$E410)*(Work_Codes!$N$224:$Y$225)*(O$391:O$392))</f>
        <v>0</v>
      </c>
      <c r="P410" s="81">
        <f ca="1">SUMPRODUCT((Work_Codes!$N$221:$Y$221=$E410)*(Work_Codes!$N$224:$Y$225)*(P$391:P$392))</f>
        <v>0</v>
      </c>
      <c r="Q410" s="81">
        <f ca="1">SUMPRODUCT((Work_Codes!$N$221:$Y$221=$E410)*(Work_Codes!$N$224:$Y$225)*(Q$391:Q$392))</f>
        <v>0</v>
      </c>
      <c r="R410" s="81">
        <f ca="1">SUMPRODUCT((Work_Codes!$N$221:$Y$221=$E410)*(Work_Codes!$N$224:$Y$225)*(R$391:R$392))</f>
        <v>0</v>
      </c>
      <c r="S410" s="81">
        <f ca="1">SUMPRODUCT((Work_Codes!$N$221:$Y$221=$E410)*(Work_Codes!$N$224:$Y$225)*(S$391:S$392))</f>
        <v>0</v>
      </c>
      <c r="T410" s="81">
        <f ca="1">SUMPRODUCT((Work_Codes!$N$221:$Y$221=$E410)*(Work_Codes!$N$224:$Y$225)*(T$391:T$392))</f>
        <v>0</v>
      </c>
    </row>
    <row r="411" spans="5:20" ht="11.5" customHeight="1" outlineLevel="2">
      <c r="E411" s="247" t="str">
        <f>GC!C50</f>
        <v>Land</v>
      </c>
      <c r="F411" s="247"/>
      <c r="G411" s="247"/>
      <c r="H411" s="247"/>
      <c r="I411" s="247"/>
      <c r="J411" s="81">
        <f ca="1">SUMPRODUCT((Work_Codes!$N$221:$Y$221=$E411)*(Work_Codes!$N$224:$Y$225)*(J$391:J$392))</f>
        <v>0</v>
      </c>
      <c r="K411" s="81">
        <f ca="1">SUMPRODUCT((Work_Codes!$N$221:$Y$221=$E411)*(Work_Codes!$N$224:$Y$225)*(K$391:K$392))</f>
        <v>0</v>
      </c>
      <c r="L411" s="81">
        <f ca="1">SUMPRODUCT((Work_Codes!$N$221:$Y$221=$E411)*(Work_Codes!$N$224:$Y$225)*(L$391:L$392))</f>
        <v>0</v>
      </c>
      <c r="M411" s="81">
        <f ca="1">SUMPRODUCT((Work_Codes!$N$221:$Y$221=$E411)*(Work_Codes!$N$224:$Y$225)*(M$391:M$392))</f>
        <v>0</v>
      </c>
      <c r="N411" s="81">
        <f ca="1">SUMPRODUCT((Work_Codes!$N$221:$Y$221=$E411)*(Work_Codes!$N$224:$Y$225)*(N$391:N$392))</f>
        <v>0</v>
      </c>
      <c r="O411" s="81">
        <f ca="1">SUMPRODUCT((Work_Codes!$N$221:$Y$221=$E411)*(Work_Codes!$N$224:$Y$225)*(O$391:O$392))</f>
        <v>0</v>
      </c>
      <c r="P411" s="81">
        <f ca="1">SUMPRODUCT((Work_Codes!$N$221:$Y$221=$E411)*(Work_Codes!$N$224:$Y$225)*(P$391:P$392))</f>
        <v>0</v>
      </c>
      <c r="Q411" s="81">
        <f ca="1">SUMPRODUCT((Work_Codes!$N$221:$Y$221=$E411)*(Work_Codes!$N$224:$Y$225)*(Q$391:Q$392))</f>
        <v>0</v>
      </c>
      <c r="R411" s="81">
        <f ca="1">SUMPRODUCT((Work_Codes!$N$221:$Y$221=$E411)*(Work_Codes!$N$224:$Y$225)*(R$391:R$392))</f>
        <v>0</v>
      </c>
      <c r="S411" s="81">
        <f ca="1">SUMPRODUCT((Work_Codes!$N$221:$Y$221=$E411)*(Work_Codes!$N$224:$Y$225)*(S$391:S$392))</f>
        <v>0</v>
      </c>
      <c r="T411" s="81">
        <f ca="1">SUMPRODUCT((Work_Codes!$N$221:$Y$221=$E411)*(Work_Codes!$N$224:$Y$225)*(T$391:T$392))</f>
        <v>0</v>
      </c>
    </row>
    <row r="412" spans="5:20" outlineLevel="2">
      <c r="E412" s="247" t="str">
        <f>GC!C51</f>
        <v>Capitalised Leases</v>
      </c>
      <c r="F412" s="247"/>
      <c r="G412" s="247"/>
      <c r="H412" s="247"/>
      <c r="I412" s="247"/>
      <c r="J412" s="81">
        <f ca="1">SUMPRODUCT((Work_Codes!$N$221:$Y$221=$E412)*(Work_Codes!$N$224:$Y$225)*(J$391:J$392))</f>
        <v>0</v>
      </c>
      <c r="K412" s="81">
        <f ca="1">SUMPRODUCT((Work_Codes!$N$221:$Y$221=$E412)*(Work_Codes!$N$224:$Y$225)*(K$391:K$392))</f>
        <v>0</v>
      </c>
      <c r="L412" s="81">
        <f ca="1">SUMPRODUCT((Work_Codes!$N$221:$Y$221=$E412)*(Work_Codes!$N$224:$Y$225)*(L$391:L$392))</f>
        <v>0</v>
      </c>
      <c r="M412" s="81">
        <f ca="1">SUMPRODUCT((Work_Codes!$N$221:$Y$221=$E412)*(Work_Codes!$N$224:$Y$225)*(M$391:M$392))</f>
        <v>0</v>
      </c>
      <c r="N412" s="81">
        <f ca="1">SUMPRODUCT((Work_Codes!$N$221:$Y$221=$E412)*(Work_Codes!$N$224:$Y$225)*(N$391:N$392))</f>
        <v>0</v>
      </c>
      <c r="O412" s="81">
        <f ca="1">SUMPRODUCT((Work_Codes!$N$221:$Y$221=$E412)*(Work_Codes!$N$224:$Y$225)*(O$391:O$392))</f>
        <v>0</v>
      </c>
      <c r="P412" s="81">
        <f ca="1">SUMPRODUCT((Work_Codes!$N$221:$Y$221=$E412)*(Work_Codes!$N$224:$Y$225)*(P$391:P$392))</f>
        <v>0</v>
      </c>
      <c r="Q412" s="81">
        <f ca="1">SUMPRODUCT((Work_Codes!$N$221:$Y$221=$E412)*(Work_Codes!$N$224:$Y$225)*(Q$391:Q$392))</f>
        <v>0</v>
      </c>
      <c r="R412" s="81">
        <f ca="1">SUMPRODUCT((Work_Codes!$N$221:$Y$221=$E412)*(Work_Codes!$N$224:$Y$225)*(R$391:R$392))</f>
        <v>0</v>
      </c>
      <c r="S412" s="81">
        <f ca="1">SUMPRODUCT((Work_Codes!$N$221:$Y$221=$E412)*(Work_Codes!$N$224:$Y$225)*(S$391:S$392))</f>
        <v>0</v>
      </c>
      <c r="T412" s="81">
        <f ca="1">SUMPRODUCT((Work_Codes!$N$221:$Y$221=$E412)*(Work_Codes!$N$224:$Y$225)*(T$391:T$392))</f>
        <v>0</v>
      </c>
    </row>
    <row r="413" spans="5:20" outlineLevel="2">
      <c r="E413" s="247" t="str">
        <f>GC!C52</f>
        <v>Transmission pipelines - post 1998</v>
      </c>
      <c r="F413" s="247"/>
      <c r="G413" s="247"/>
      <c r="H413" s="247"/>
      <c r="I413" s="247"/>
      <c r="J413" s="81">
        <f ca="1">SUMPRODUCT((Work_Codes!$N$221:$Y$221=$E413)*(Work_Codes!$N$224:$Y$225)*(J$391:J$392))</f>
        <v>0</v>
      </c>
      <c r="K413" s="81">
        <f ca="1">SUMPRODUCT((Work_Codes!$N$221:$Y$221=$E413)*(Work_Codes!$N$224:$Y$225)*(K$391:K$392))</f>
        <v>0</v>
      </c>
      <c r="L413" s="81">
        <f ca="1">SUMPRODUCT((Work_Codes!$N$221:$Y$221=$E413)*(Work_Codes!$N$224:$Y$225)*(L$391:L$392))</f>
        <v>0</v>
      </c>
      <c r="M413" s="81">
        <f ca="1">SUMPRODUCT((Work_Codes!$N$221:$Y$221=$E413)*(Work_Codes!$N$224:$Y$225)*(M$391:M$392))</f>
        <v>0</v>
      </c>
      <c r="N413" s="81">
        <f ca="1">SUMPRODUCT((Work_Codes!$N$221:$Y$221=$E413)*(Work_Codes!$N$224:$Y$225)*(N$391:N$392))</f>
        <v>0</v>
      </c>
      <c r="O413" s="81">
        <f ca="1">SUMPRODUCT((Work_Codes!$N$221:$Y$221=$E413)*(Work_Codes!$N$224:$Y$225)*(O$391:O$392))</f>
        <v>0</v>
      </c>
      <c r="P413" s="81">
        <f ca="1">SUMPRODUCT((Work_Codes!$N$221:$Y$221=$E413)*(Work_Codes!$N$224:$Y$225)*(P$391:P$392))</f>
        <v>0</v>
      </c>
      <c r="Q413" s="81">
        <f ca="1">SUMPRODUCT((Work_Codes!$N$221:$Y$221=$E413)*(Work_Codes!$N$224:$Y$225)*(Q$391:Q$392))</f>
        <v>0</v>
      </c>
      <c r="R413" s="81">
        <f ca="1">SUMPRODUCT((Work_Codes!$N$221:$Y$221=$E413)*(Work_Codes!$N$224:$Y$225)*(R$391:R$392))</f>
        <v>0</v>
      </c>
      <c r="S413" s="81">
        <f ca="1">SUMPRODUCT((Work_Codes!$N$221:$Y$221=$E413)*(Work_Codes!$N$224:$Y$225)*(S$391:S$392))</f>
        <v>0</v>
      </c>
      <c r="T413" s="81">
        <f ca="1">SUMPRODUCT((Work_Codes!$N$221:$Y$221=$E413)*(Work_Codes!$N$224:$Y$225)*(T$391:T$392))</f>
        <v>0</v>
      </c>
    </row>
    <row r="414" spans="5:20" outlineLevel="2">
      <c r="E414" s="247" t="str">
        <f>GC!C53</f>
        <v>Distribution pipelines - post 1998</v>
      </c>
      <c r="F414" s="247"/>
      <c r="G414" s="247"/>
      <c r="H414" s="247"/>
      <c r="I414" s="247"/>
      <c r="J414" s="81">
        <f ca="1">SUMPRODUCT((Work_Codes!$N$221:$Y$221=$E414)*(Work_Codes!$N$224:$Y$225)*(J$391:J$392))</f>
        <v>0</v>
      </c>
      <c r="K414" s="81">
        <f ca="1">SUMPRODUCT((Work_Codes!$N$221:$Y$221=$E414)*(Work_Codes!$N$224:$Y$225)*(K$391:K$392))</f>
        <v>0</v>
      </c>
      <c r="L414" s="81">
        <f ca="1">SUMPRODUCT((Work_Codes!$N$221:$Y$221=$E414)*(Work_Codes!$N$224:$Y$225)*(L$391:L$392))</f>
        <v>0</v>
      </c>
      <c r="M414" s="81">
        <f ca="1">SUMPRODUCT((Work_Codes!$N$221:$Y$221=$E414)*(Work_Codes!$N$224:$Y$225)*(M$391:M$392))</f>
        <v>0</v>
      </c>
      <c r="N414" s="81">
        <f ca="1">SUMPRODUCT((Work_Codes!$N$221:$Y$221=$E414)*(Work_Codes!$N$224:$Y$225)*(N$391:N$392))</f>
        <v>0</v>
      </c>
      <c r="O414" s="81">
        <f ca="1">SUMPRODUCT((Work_Codes!$N$221:$Y$221=$E414)*(Work_Codes!$N$224:$Y$225)*(O$391:O$392))</f>
        <v>0</v>
      </c>
      <c r="P414" s="81">
        <f ca="1">SUMPRODUCT((Work_Codes!$N$221:$Y$221=$E414)*(Work_Codes!$N$224:$Y$225)*(P$391:P$392))</f>
        <v>0</v>
      </c>
      <c r="Q414" s="81">
        <f ca="1">SUMPRODUCT((Work_Codes!$N$221:$Y$221=$E414)*(Work_Codes!$N$224:$Y$225)*(Q$391:Q$392))</f>
        <v>0</v>
      </c>
      <c r="R414" s="81">
        <f ca="1">SUMPRODUCT((Work_Codes!$N$221:$Y$221=$E414)*(Work_Codes!$N$224:$Y$225)*(R$391:R$392))</f>
        <v>0</v>
      </c>
      <c r="S414" s="81">
        <f ca="1">SUMPRODUCT((Work_Codes!$N$221:$Y$221=$E414)*(Work_Codes!$N$224:$Y$225)*(S$391:S$392))</f>
        <v>0</v>
      </c>
      <c r="T414" s="81">
        <f ca="1">SUMPRODUCT((Work_Codes!$N$221:$Y$221=$E414)*(Work_Codes!$N$224:$Y$225)*(T$391:T$392))</f>
        <v>0</v>
      </c>
    </row>
    <row r="415" spans="5:20" outlineLevel="2">
      <c r="E415" s="247" t="str">
        <f>GC!C54</f>
        <v>Service pipes - post 1998</v>
      </c>
      <c r="F415" s="247"/>
      <c r="G415" s="247"/>
      <c r="H415" s="247"/>
      <c r="I415" s="247"/>
      <c r="J415" s="81">
        <f ca="1">SUMPRODUCT((Work_Codes!$N$221:$Y$221=$E415)*(Work_Codes!$N$224:$Y$225)*(J$391:J$392))</f>
        <v>0</v>
      </c>
      <c r="K415" s="81">
        <f ca="1">SUMPRODUCT((Work_Codes!$N$221:$Y$221=$E415)*(Work_Codes!$N$224:$Y$225)*(K$391:K$392))</f>
        <v>0</v>
      </c>
      <c r="L415" s="81">
        <f ca="1">SUMPRODUCT((Work_Codes!$N$221:$Y$221=$E415)*(Work_Codes!$N$224:$Y$225)*(L$391:L$392))</f>
        <v>0</v>
      </c>
      <c r="M415" s="81">
        <f ca="1">SUMPRODUCT((Work_Codes!$N$221:$Y$221=$E415)*(Work_Codes!$N$224:$Y$225)*(M$391:M$392))</f>
        <v>0</v>
      </c>
      <c r="N415" s="81">
        <f ca="1">SUMPRODUCT((Work_Codes!$N$221:$Y$221=$E415)*(Work_Codes!$N$224:$Y$225)*(N$391:N$392))</f>
        <v>0</v>
      </c>
      <c r="O415" s="81">
        <f ca="1">SUMPRODUCT((Work_Codes!$N$221:$Y$221=$E415)*(Work_Codes!$N$224:$Y$225)*(O$391:O$392))</f>
        <v>0</v>
      </c>
      <c r="P415" s="81">
        <f ca="1">SUMPRODUCT((Work_Codes!$N$221:$Y$221=$E415)*(Work_Codes!$N$224:$Y$225)*(P$391:P$392))</f>
        <v>0</v>
      </c>
      <c r="Q415" s="81">
        <f ca="1">SUMPRODUCT((Work_Codes!$N$221:$Y$221=$E415)*(Work_Codes!$N$224:$Y$225)*(Q$391:Q$392))</f>
        <v>0</v>
      </c>
      <c r="R415" s="81">
        <f ca="1">SUMPRODUCT((Work_Codes!$N$221:$Y$221=$E415)*(Work_Codes!$N$224:$Y$225)*(R$391:R$392))</f>
        <v>0</v>
      </c>
      <c r="S415" s="81">
        <f ca="1">SUMPRODUCT((Work_Codes!$N$221:$Y$221=$E415)*(Work_Codes!$N$224:$Y$225)*(S$391:S$392))</f>
        <v>0</v>
      </c>
      <c r="T415" s="81">
        <f ca="1">SUMPRODUCT((Work_Codes!$N$221:$Y$221=$E415)*(Work_Codes!$N$224:$Y$225)*(T$391:T$392))</f>
        <v>0</v>
      </c>
    </row>
    <row r="416" spans="5:20" outlineLevel="2">
      <c r="E416" s="247" t="str">
        <f>GC!C55</f>
        <v>Cathodic protection - post 1998</v>
      </c>
      <c r="F416" s="247"/>
      <c r="G416" s="247"/>
      <c r="H416" s="247"/>
      <c r="I416" s="247"/>
      <c r="J416" s="81">
        <f ca="1">SUMPRODUCT((Work_Codes!$N$221:$Y$221=$E416)*(Work_Codes!$N$224:$Y$225)*(J$391:J$392))</f>
        <v>0</v>
      </c>
      <c r="K416" s="81">
        <f ca="1">SUMPRODUCT((Work_Codes!$N$221:$Y$221=$E416)*(Work_Codes!$N$224:$Y$225)*(K$391:K$392))</f>
        <v>0</v>
      </c>
      <c r="L416" s="81">
        <f ca="1">SUMPRODUCT((Work_Codes!$N$221:$Y$221=$E416)*(Work_Codes!$N$224:$Y$225)*(L$391:L$392))</f>
        <v>0</v>
      </c>
      <c r="M416" s="81">
        <f ca="1">SUMPRODUCT((Work_Codes!$N$221:$Y$221=$E416)*(Work_Codes!$N$224:$Y$225)*(M$391:M$392))</f>
        <v>0</v>
      </c>
      <c r="N416" s="81">
        <f ca="1">SUMPRODUCT((Work_Codes!$N$221:$Y$221=$E416)*(Work_Codes!$N$224:$Y$225)*(N$391:N$392))</f>
        <v>0</v>
      </c>
      <c r="O416" s="81">
        <f ca="1">SUMPRODUCT((Work_Codes!$N$221:$Y$221=$E416)*(Work_Codes!$N$224:$Y$225)*(O$391:O$392))</f>
        <v>0</v>
      </c>
      <c r="P416" s="81">
        <f ca="1">SUMPRODUCT((Work_Codes!$N$221:$Y$221=$E416)*(Work_Codes!$N$224:$Y$225)*(P$391:P$392))</f>
        <v>0</v>
      </c>
      <c r="Q416" s="81">
        <f ca="1">SUMPRODUCT((Work_Codes!$N$221:$Y$221=$E416)*(Work_Codes!$N$224:$Y$225)*(Q$391:Q$392))</f>
        <v>0</v>
      </c>
      <c r="R416" s="81">
        <f ca="1">SUMPRODUCT((Work_Codes!$N$221:$Y$221=$E416)*(Work_Codes!$N$224:$Y$225)*(R$391:R$392))</f>
        <v>0</v>
      </c>
      <c r="S416" s="81">
        <f ca="1">SUMPRODUCT((Work_Codes!$N$221:$Y$221=$E416)*(Work_Codes!$N$224:$Y$225)*(S$391:S$392))</f>
        <v>0</v>
      </c>
      <c r="T416" s="81">
        <f ca="1">SUMPRODUCT((Work_Codes!$N$221:$Y$221=$E416)*(Work_Codes!$N$224:$Y$225)*(T$391:T$392))</f>
        <v>0</v>
      </c>
    </row>
    <row r="417" spans="4:20" ht="12" customHeight="1" outlineLevel="2">
      <c r="E417" s="249" t="str">
        <f>"Total "&amp;D399</f>
        <v>Total Direct Costs</v>
      </c>
      <c r="F417" s="249"/>
      <c r="G417" s="249"/>
      <c r="H417" s="249"/>
      <c r="I417" s="249"/>
      <c r="J417" s="82">
        <f t="shared" ref="J417:T417" ca="1" si="46">SUM(J401:J416)</f>
        <v>0</v>
      </c>
      <c r="K417" s="82">
        <f t="shared" ca="1" si="46"/>
        <v>0</v>
      </c>
      <c r="L417" s="82">
        <f t="shared" ca="1" si="46"/>
        <v>0</v>
      </c>
      <c r="M417" s="82">
        <f t="shared" ca="1" si="46"/>
        <v>0</v>
      </c>
      <c r="N417" s="82">
        <f t="shared" ca="1" si="46"/>
        <v>100625.9985457108</v>
      </c>
      <c r="O417" s="82">
        <f t="shared" ca="1" si="46"/>
        <v>50005.195923572137</v>
      </c>
      <c r="P417" s="82">
        <f t="shared" ca="1" si="46"/>
        <v>100020.46034828115</v>
      </c>
      <c r="Q417" s="82">
        <f t="shared" ca="1" si="46"/>
        <v>100036.21457468857</v>
      </c>
      <c r="R417" s="82">
        <f t="shared" ca="1" si="46"/>
        <v>100058.63013731148</v>
      </c>
      <c r="S417" s="82">
        <f t="shared" ca="1" si="46"/>
        <v>100081.2924604939</v>
      </c>
      <c r="T417" s="82">
        <f t="shared" ca="1" si="46"/>
        <v>100104.20426068665</v>
      </c>
    </row>
    <row r="418" spans="4:20" outlineLevel="2"/>
    <row r="419" spans="4:20" outlineLevel="2">
      <c r="D419" s="37" t="s">
        <v>364</v>
      </c>
    </row>
    <row r="420" spans="4:20" ht="5.9" customHeight="1" outlineLevel="2"/>
    <row r="421" spans="4:20" outlineLevel="2">
      <c r="E421" s="247" t="str">
        <f>GC!C40</f>
        <v>Transmission pipelines</v>
      </c>
      <c r="F421" s="247"/>
      <c r="G421" s="247"/>
      <c r="H421" s="247"/>
      <c r="I421" s="247"/>
      <c r="J421" s="81">
        <f ca="1">J401*(INDEX(J$331:J$333,MATCH(Work_Codes!$I$218,$D$331:$D$333,0)))</f>
        <v>0</v>
      </c>
      <c r="K421" s="81">
        <f ca="1">K401*(INDEX(K$331:K$333,MATCH(Work_Codes!$I$218,$D$331:$D$333,0)))</f>
        <v>0</v>
      </c>
      <c r="L421" s="81">
        <f ca="1">L401*(INDEX(L$331:L$333,MATCH(Work_Codes!$I$218,$D$331:$D$333,0)))</f>
        <v>0</v>
      </c>
      <c r="M421" s="81">
        <f ca="1">M401*(INDEX(M$331:M$333,MATCH(Work_Codes!$I$218,$D$331:$D$333,0)))</f>
        <v>0</v>
      </c>
      <c r="N421" s="81">
        <f ca="1">N401*(INDEX(N$331:N$333,MATCH(Work_Codes!$I$218,$D$331:$D$333,0)))</f>
        <v>0</v>
      </c>
      <c r="O421" s="81">
        <f ca="1">O401*(INDEX(O$331:O$333,MATCH(Work_Codes!$I$218,$D$331:$D$333,0)))</f>
        <v>0</v>
      </c>
      <c r="P421" s="81">
        <f ca="1">P401*(INDEX(P$331:P$333,MATCH(Work_Codes!$I$218,$D$331:$D$333,0)))</f>
        <v>0</v>
      </c>
      <c r="Q421" s="81">
        <f ca="1">Q401*(INDEX(Q$331:Q$333,MATCH(Work_Codes!$I$218,$D$331:$D$333,0)))</f>
        <v>0</v>
      </c>
      <c r="R421" s="81">
        <f ca="1">R401*(INDEX(R$331:R$333,MATCH(Work_Codes!$I$218,$D$331:$D$333,0)))</f>
        <v>0</v>
      </c>
      <c r="S421" s="81">
        <f ca="1">S401*(INDEX(S$331:S$333,MATCH(Work_Codes!$I$218,$D$331:$D$333,0)))</f>
        <v>0</v>
      </c>
      <c r="T421" s="81">
        <f ca="1">T401*(INDEX(T$331:T$333,MATCH(Work_Codes!$I$218,$D$331:$D$333,0)))</f>
        <v>0</v>
      </c>
    </row>
    <row r="422" spans="4:20" outlineLevel="2">
      <c r="E422" s="247" t="str">
        <f>GC!C41</f>
        <v>Distribution pipelines</v>
      </c>
      <c r="F422" s="247"/>
      <c r="G422" s="247"/>
      <c r="H422" s="247"/>
      <c r="I422" s="247"/>
      <c r="J422" s="81">
        <f ca="1">J402*(INDEX(J$331:J$333,MATCH(Work_Codes!$I$218,$D$331:$D$333,0)))</f>
        <v>0</v>
      </c>
      <c r="K422" s="81">
        <f ca="1">K402*(INDEX(K$331:K$333,MATCH(Work_Codes!$I$218,$D$331:$D$333,0)))</f>
        <v>0</v>
      </c>
      <c r="L422" s="81">
        <f ca="1">L402*(INDEX(L$331:L$333,MATCH(Work_Codes!$I$218,$D$331:$D$333,0)))</f>
        <v>0</v>
      </c>
      <c r="M422" s="81">
        <f ca="1">M402*(INDEX(M$331:M$333,MATCH(Work_Codes!$I$218,$D$331:$D$333,0)))</f>
        <v>0</v>
      </c>
      <c r="N422" s="81">
        <f ca="1">N402*(INDEX(N$331:N$333,MATCH(Work_Codes!$I$218,$D$331:$D$333,0)))</f>
        <v>0</v>
      </c>
      <c r="O422" s="81">
        <f ca="1">O402*(INDEX(O$331:O$333,MATCH(Work_Codes!$I$218,$D$331:$D$333,0)))</f>
        <v>0</v>
      </c>
      <c r="P422" s="81">
        <f ca="1">P402*(INDEX(P$331:P$333,MATCH(Work_Codes!$I$218,$D$331:$D$333,0)))</f>
        <v>0</v>
      </c>
      <c r="Q422" s="81">
        <f ca="1">Q402*(INDEX(Q$331:Q$333,MATCH(Work_Codes!$I$218,$D$331:$D$333,0)))</f>
        <v>0</v>
      </c>
      <c r="R422" s="81">
        <f ca="1">R402*(INDEX(R$331:R$333,MATCH(Work_Codes!$I$218,$D$331:$D$333,0)))</f>
        <v>0</v>
      </c>
      <c r="S422" s="81">
        <f ca="1">S402*(INDEX(S$331:S$333,MATCH(Work_Codes!$I$218,$D$331:$D$333,0)))</f>
        <v>0</v>
      </c>
      <c r="T422" s="81">
        <f ca="1">T402*(INDEX(T$331:T$333,MATCH(Work_Codes!$I$218,$D$331:$D$333,0)))</f>
        <v>0</v>
      </c>
    </row>
    <row r="423" spans="4:20" outlineLevel="2">
      <c r="E423" s="247" t="str">
        <f>GC!C42</f>
        <v>Service pipes</v>
      </c>
      <c r="F423" s="247"/>
      <c r="G423" s="247"/>
      <c r="H423" s="247"/>
      <c r="I423" s="247"/>
      <c r="J423" s="81">
        <f ca="1">J403*(INDEX(J$331:J$333,MATCH(Work_Codes!$I$218,$D$331:$D$333,0)))</f>
        <v>0</v>
      </c>
      <c r="K423" s="81">
        <f ca="1">K403*(INDEX(K$331:K$333,MATCH(Work_Codes!$I$218,$D$331:$D$333,0)))</f>
        <v>0</v>
      </c>
      <c r="L423" s="81">
        <f ca="1">L403*(INDEX(L$331:L$333,MATCH(Work_Codes!$I$218,$D$331:$D$333,0)))</f>
        <v>0</v>
      </c>
      <c r="M423" s="81">
        <f ca="1">M403*(INDEX(M$331:M$333,MATCH(Work_Codes!$I$218,$D$331:$D$333,0)))</f>
        <v>0</v>
      </c>
      <c r="N423" s="81">
        <f ca="1">N403*(INDEX(N$331:N$333,MATCH(Work_Codes!$I$218,$D$331:$D$333,0)))</f>
        <v>0</v>
      </c>
      <c r="O423" s="81">
        <f ca="1">O403*(INDEX(O$331:O$333,MATCH(Work_Codes!$I$218,$D$331:$D$333,0)))</f>
        <v>0</v>
      </c>
      <c r="P423" s="81">
        <f ca="1">P403*(INDEX(P$331:P$333,MATCH(Work_Codes!$I$218,$D$331:$D$333,0)))</f>
        <v>0</v>
      </c>
      <c r="Q423" s="81">
        <f ca="1">Q403*(INDEX(Q$331:Q$333,MATCH(Work_Codes!$I$218,$D$331:$D$333,0)))</f>
        <v>0</v>
      </c>
      <c r="R423" s="81">
        <f ca="1">R403*(INDEX(R$331:R$333,MATCH(Work_Codes!$I$218,$D$331:$D$333,0)))</f>
        <v>0</v>
      </c>
      <c r="S423" s="81">
        <f ca="1">S403*(INDEX(S$331:S$333,MATCH(Work_Codes!$I$218,$D$331:$D$333,0)))</f>
        <v>0</v>
      </c>
      <c r="T423" s="81">
        <f ca="1">T403*(INDEX(T$331:T$333,MATCH(Work_Codes!$I$218,$D$331:$D$333,0)))</f>
        <v>0</v>
      </c>
    </row>
    <row r="424" spans="4:20" outlineLevel="2">
      <c r="E424" s="247" t="str">
        <f>GC!C43</f>
        <v>Cathodic protection</v>
      </c>
      <c r="F424" s="247"/>
      <c r="G424" s="247"/>
      <c r="H424" s="247"/>
      <c r="I424" s="247"/>
      <c r="J424" s="81">
        <f ca="1">J404*(INDEX(J$331:J$333,MATCH(Work_Codes!$I$218,$D$331:$D$333,0)))</f>
        <v>0</v>
      </c>
      <c r="K424" s="81">
        <f ca="1">K404*(INDEX(K$331:K$333,MATCH(Work_Codes!$I$218,$D$331:$D$333,0)))</f>
        <v>0</v>
      </c>
      <c r="L424" s="81">
        <f ca="1">L404*(INDEX(L$331:L$333,MATCH(Work_Codes!$I$218,$D$331:$D$333,0)))</f>
        <v>0</v>
      </c>
      <c r="M424" s="81">
        <f ca="1">M404*(INDEX(M$331:M$333,MATCH(Work_Codes!$I$218,$D$331:$D$333,0)))</f>
        <v>0</v>
      </c>
      <c r="N424" s="81">
        <f ca="1">N404*(INDEX(N$331:N$333,MATCH(Work_Codes!$I$218,$D$331:$D$333,0)))</f>
        <v>0</v>
      </c>
      <c r="O424" s="81">
        <f ca="1">O404*(INDEX(O$331:O$333,MATCH(Work_Codes!$I$218,$D$331:$D$333,0)))</f>
        <v>0</v>
      </c>
      <c r="P424" s="81">
        <f ca="1">P404*(INDEX(P$331:P$333,MATCH(Work_Codes!$I$218,$D$331:$D$333,0)))</f>
        <v>0</v>
      </c>
      <c r="Q424" s="81">
        <f ca="1">Q404*(INDEX(Q$331:Q$333,MATCH(Work_Codes!$I$218,$D$331:$D$333,0)))</f>
        <v>0</v>
      </c>
      <c r="R424" s="81">
        <f ca="1">R404*(INDEX(R$331:R$333,MATCH(Work_Codes!$I$218,$D$331:$D$333,0)))</f>
        <v>0</v>
      </c>
      <c r="S424" s="81">
        <f ca="1">S404*(INDEX(S$331:S$333,MATCH(Work_Codes!$I$218,$D$331:$D$333,0)))</f>
        <v>0</v>
      </c>
      <c r="T424" s="81">
        <f ca="1">T404*(INDEX(T$331:T$333,MATCH(Work_Codes!$I$218,$D$331:$D$333,0)))</f>
        <v>0</v>
      </c>
    </row>
    <row r="425" spans="4:20" outlineLevel="2">
      <c r="E425" s="247" t="str">
        <f>GC!C44</f>
        <v>Supply Regulators / Valve Stations</v>
      </c>
      <c r="F425" s="247"/>
      <c r="G425" s="247"/>
      <c r="H425" s="247"/>
      <c r="I425" s="247"/>
      <c r="J425" s="81">
        <f ca="1">J405*(INDEX(J$331:J$333,MATCH(Work_Codes!$I$218,$D$331:$D$333,0)))</f>
        <v>0</v>
      </c>
      <c r="K425" s="81">
        <f ca="1">K405*(INDEX(K$331:K$333,MATCH(Work_Codes!$I$218,$D$331:$D$333,0)))</f>
        <v>0</v>
      </c>
      <c r="L425" s="81">
        <f ca="1">L405*(INDEX(L$331:L$333,MATCH(Work_Codes!$I$218,$D$331:$D$333,0)))</f>
        <v>0</v>
      </c>
      <c r="M425" s="81">
        <f ca="1">M405*(INDEX(M$331:M$333,MATCH(Work_Codes!$I$218,$D$331:$D$333,0)))</f>
        <v>0</v>
      </c>
      <c r="N425" s="81">
        <f ca="1">N405*(INDEX(N$331:N$333,MATCH(Work_Codes!$I$218,$D$331:$D$333,0)))</f>
        <v>3794.7077740727132</v>
      </c>
      <c r="O425" s="81">
        <f ca="1">O405*(INDEX(O$331:O$333,MATCH(Work_Codes!$I$218,$D$331:$D$333,0)))</f>
        <v>1664.3713936947245</v>
      </c>
      <c r="P425" s="81">
        <f ca="1">P405*(INDEX(P$331:P$333,MATCH(Work_Codes!$I$218,$D$331:$D$333,0)))</f>
        <v>2675.813420096099</v>
      </c>
      <c r="Q425" s="81">
        <f ca="1">Q405*(INDEX(Q$331:Q$333,MATCH(Work_Codes!$I$218,$D$331:$D$333,0)))</f>
        <v>2607.0025079863553</v>
      </c>
      <c r="R425" s="81">
        <f ca="1">R405*(INDEX(R$331:R$333,MATCH(Work_Codes!$I$218,$D$331:$D$333,0)))</f>
        <v>2688.8761667897384</v>
      </c>
      <c r="S425" s="81">
        <f ca="1">S405*(INDEX(S$331:S$333,MATCH(Work_Codes!$I$218,$D$331:$D$333,0)))</f>
        <v>2856.9384819331658</v>
      </c>
      <c r="T425" s="81">
        <f ca="1">T405*(INDEX(T$331:T$333,MATCH(Work_Codes!$I$218,$D$331:$D$333,0)))</f>
        <v>2995.1556512588331</v>
      </c>
    </row>
    <row r="426" spans="4:20" outlineLevel="2">
      <c r="E426" s="247" t="str">
        <f>GC!C45</f>
        <v>Meters</v>
      </c>
      <c r="F426" s="247"/>
      <c r="G426" s="247"/>
      <c r="H426" s="247"/>
      <c r="I426" s="247"/>
      <c r="J426" s="81">
        <f ca="1">J406*(INDEX(J$331:J$333,MATCH(Work_Codes!$I$218,$D$331:$D$333,0)))</f>
        <v>0</v>
      </c>
      <c r="K426" s="81">
        <f ca="1">K406*(INDEX(K$331:K$333,MATCH(Work_Codes!$I$218,$D$331:$D$333,0)))</f>
        <v>0</v>
      </c>
      <c r="L426" s="81">
        <f ca="1">L406*(INDEX(L$331:L$333,MATCH(Work_Codes!$I$218,$D$331:$D$333,0)))</f>
        <v>0</v>
      </c>
      <c r="M426" s="81">
        <f ca="1">M406*(INDEX(M$331:M$333,MATCH(Work_Codes!$I$218,$D$331:$D$333,0)))</f>
        <v>0</v>
      </c>
      <c r="N426" s="81">
        <f ca="1">N406*(INDEX(N$331:N$333,MATCH(Work_Codes!$I$218,$D$331:$D$333,0)))</f>
        <v>0</v>
      </c>
      <c r="O426" s="81">
        <f ca="1">O406*(INDEX(O$331:O$333,MATCH(Work_Codes!$I$218,$D$331:$D$333,0)))</f>
        <v>0</v>
      </c>
      <c r="P426" s="81">
        <f ca="1">P406*(INDEX(P$331:P$333,MATCH(Work_Codes!$I$218,$D$331:$D$333,0)))</f>
        <v>0</v>
      </c>
      <c r="Q426" s="81">
        <f ca="1">Q406*(INDEX(Q$331:Q$333,MATCH(Work_Codes!$I$218,$D$331:$D$333,0)))</f>
        <v>0</v>
      </c>
      <c r="R426" s="81">
        <f ca="1">R406*(INDEX(R$331:R$333,MATCH(Work_Codes!$I$218,$D$331:$D$333,0)))</f>
        <v>0</v>
      </c>
      <c r="S426" s="81">
        <f ca="1">S406*(INDEX(S$331:S$333,MATCH(Work_Codes!$I$218,$D$331:$D$333,0)))</f>
        <v>0</v>
      </c>
      <c r="T426" s="81">
        <f ca="1">T406*(INDEX(T$331:T$333,MATCH(Work_Codes!$I$218,$D$331:$D$333,0)))</f>
        <v>0</v>
      </c>
    </row>
    <row r="427" spans="4:20" outlineLevel="2">
      <c r="E427" s="247" t="str">
        <f>GC!C46</f>
        <v>SCADA and remote control</v>
      </c>
      <c r="F427" s="247"/>
      <c r="G427" s="247"/>
      <c r="H427" s="247"/>
      <c r="I427" s="247"/>
      <c r="J427" s="81">
        <f ca="1">J407*(INDEX(J$331:J$333,MATCH(Work_Codes!$I$218,$D$331:$D$333,0)))</f>
        <v>0</v>
      </c>
      <c r="K427" s="81">
        <f ca="1">K407*(INDEX(K$331:K$333,MATCH(Work_Codes!$I$218,$D$331:$D$333,0)))</f>
        <v>0</v>
      </c>
      <c r="L427" s="81">
        <f ca="1">L407*(INDEX(L$331:L$333,MATCH(Work_Codes!$I$218,$D$331:$D$333,0)))</f>
        <v>0</v>
      </c>
      <c r="M427" s="81">
        <f ca="1">M407*(INDEX(M$331:M$333,MATCH(Work_Codes!$I$218,$D$331:$D$333,0)))</f>
        <v>0</v>
      </c>
      <c r="N427" s="81">
        <f ca="1">N407*(INDEX(N$331:N$333,MATCH(Work_Codes!$I$218,$D$331:$D$333,0)))</f>
        <v>0</v>
      </c>
      <c r="O427" s="81">
        <f ca="1">O407*(INDEX(O$331:O$333,MATCH(Work_Codes!$I$218,$D$331:$D$333,0)))</f>
        <v>0</v>
      </c>
      <c r="P427" s="81">
        <f ca="1">P407*(INDEX(P$331:P$333,MATCH(Work_Codes!$I$218,$D$331:$D$333,0)))</f>
        <v>0</v>
      </c>
      <c r="Q427" s="81">
        <f ca="1">Q407*(INDEX(Q$331:Q$333,MATCH(Work_Codes!$I$218,$D$331:$D$333,0)))</f>
        <v>0</v>
      </c>
      <c r="R427" s="81">
        <f ca="1">R407*(INDEX(R$331:R$333,MATCH(Work_Codes!$I$218,$D$331:$D$333,0)))</f>
        <v>0</v>
      </c>
      <c r="S427" s="81">
        <f ca="1">S407*(INDEX(S$331:S$333,MATCH(Work_Codes!$I$218,$D$331:$D$333,0)))</f>
        <v>0</v>
      </c>
      <c r="T427" s="81">
        <f ca="1">T407*(INDEX(T$331:T$333,MATCH(Work_Codes!$I$218,$D$331:$D$333,0)))</f>
        <v>0</v>
      </c>
    </row>
    <row r="428" spans="4:20" outlineLevel="2">
      <c r="E428" s="247" t="str">
        <f>GC!C47</f>
        <v>Buildings</v>
      </c>
      <c r="F428" s="247"/>
      <c r="G428" s="247"/>
      <c r="H428" s="247"/>
      <c r="I428" s="247"/>
      <c r="J428" s="81">
        <f ca="1">J408*(INDEX(J$331:J$333,MATCH(Work_Codes!$I$218,$D$331:$D$333,0)))</f>
        <v>0</v>
      </c>
      <c r="K428" s="81">
        <f ca="1">K408*(INDEX(K$331:K$333,MATCH(Work_Codes!$I$218,$D$331:$D$333,0)))</f>
        <v>0</v>
      </c>
      <c r="L428" s="81">
        <f ca="1">L408*(INDEX(L$331:L$333,MATCH(Work_Codes!$I$218,$D$331:$D$333,0)))</f>
        <v>0</v>
      </c>
      <c r="M428" s="81">
        <f ca="1">M408*(INDEX(M$331:M$333,MATCH(Work_Codes!$I$218,$D$331:$D$333,0)))</f>
        <v>0</v>
      </c>
      <c r="N428" s="81">
        <f ca="1">N408*(INDEX(N$331:N$333,MATCH(Work_Codes!$I$218,$D$331:$D$333,0)))</f>
        <v>0</v>
      </c>
      <c r="O428" s="81">
        <f ca="1">O408*(INDEX(O$331:O$333,MATCH(Work_Codes!$I$218,$D$331:$D$333,0)))</f>
        <v>0</v>
      </c>
      <c r="P428" s="81">
        <f ca="1">P408*(INDEX(P$331:P$333,MATCH(Work_Codes!$I$218,$D$331:$D$333,0)))</f>
        <v>0</v>
      </c>
      <c r="Q428" s="81">
        <f ca="1">Q408*(INDEX(Q$331:Q$333,MATCH(Work_Codes!$I$218,$D$331:$D$333,0)))</f>
        <v>0</v>
      </c>
      <c r="R428" s="81">
        <f ca="1">R408*(INDEX(R$331:R$333,MATCH(Work_Codes!$I$218,$D$331:$D$333,0)))</f>
        <v>0</v>
      </c>
      <c r="S428" s="81">
        <f ca="1">S408*(INDEX(S$331:S$333,MATCH(Work_Codes!$I$218,$D$331:$D$333,0)))</f>
        <v>0</v>
      </c>
      <c r="T428" s="81">
        <f ca="1">T408*(INDEX(T$331:T$333,MATCH(Work_Codes!$I$218,$D$331:$D$333,0)))</f>
        <v>0</v>
      </c>
    </row>
    <row r="429" spans="4:20" outlineLevel="2">
      <c r="E429" s="247" t="str">
        <f>GC!C48</f>
        <v>Other - IT</v>
      </c>
      <c r="F429" s="247"/>
      <c r="G429" s="247"/>
      <c r="H429" s="247"/>
      <c r="I429" s="247"/>
      <c r="J429" s="81">
        <f ca="1">J409*(INDEX(J$331:J$333,MATCH(Work_Codes!$I$218,$D$331:$D$333,0)))</f>
        <v>0</v>
      </c>
      <c r="K429" s="81">
        <f ca="1">K409*(INDEX(K$331:K$333,MATCH(Work_Codes!$I$218,$D$331:$D$333,0)))</f>
        <v>0</v>
      </c>
      <c r="L429" s="81">
        <f ca="1">L409*(INDEX(L$331:L$333,MATCH(Work_Codes!$I$218,$D$331:$D$333,0)))</f>
        <v>0</v>
      </c>
      <c r="M429" s="81">
        <f ca="1">M409*(INDEX(M$331:M$333,MATCH(Work_Codes!$I$218,$D$331:$D$333,0)))</f>
        <v>0</v>
      </c>
      <c r="N429" s="81">
        <f ca="1">N409*(INDEX(N$331:N$333,MATCH(Work_Codes!$I$218,$D$331:$D$333,0)))</f>
        <v>0</v>
      </c>
      <c r="O429" s="81">
        <f ca="1">O409*(INDEX(O$331:O$333,MATCH(Work_Codes!$I$218,$D$331:$D$333,0)))</f>
        <v>0</v>
      </c>
      <c r="P429" s="81">
        <f ca="1">P409*(INDEX(P$331:P$333,MATCH(Work_Codes!$I$218,$D$331:$D$333,0)))</f>
        <v>0</v>
      </c>
      <c r="Q429" s="81">
        <f ca="1">Q409*(INDEX(Q$331:Q$333,MATCH(Work_Codes!$I$218,$D$331:$D$333,0)))</f>
        <v>0</v>
      </c>
      <c r="R429" s="81">
        <f ca="1">R409*(INDEX(R$331:R$333,MATCH(Work_Codes!$I$218,$D$331:$D$333,0)))</f>
        <v>0</v>
      </c>
      <c r="S429" s="81">
        <f ca="1">S409*(INDEX(S$331:S$333,MATCH(Work_Codes!$I$218,$D$331:$D$333,0)))</f>
        <v>0</v>
      </c>
      <c r="T429" s="81">
        <f ca="1">T409*(INDEX(T$331:T$333,MATCH(Work_Codes!$I$218,$D$331:$D$333,0)))</f>
        <v>0</v>
      </c>
    </row>
    <row r="430" spans="4:20" outlineLevel="2">
      <c r="E430" s="247" t="str">
        <f>GC!C49</f>
        <v>Other - non IT</v>
      </c>
      <c r="F430" s="247"/>
      <c r="G430" s="247"/>
      <c r="H430" s="247"/>
      <c r="I430" s="247"/>
      <c r="J430" s="81">
        <f ca="1">J410*(INDEX(J$331:J$333,MATCH(Work_Codes!$I$218,$D$331:$D$333,0)))</f>
        <v>0</v>
      </c>
      <c r="K430" s="81">
        <f ca="1">K410*(INDEX(K$331:K$333,MATCH(Work_Codes!$I$218,$D$331:$D$333,0)))</f>
        <v>0</v>
      </c>
      <c r="L430" s="81">
        <f ca="1">L410*(INDEX(L$331:L$333,MATCH(Work_Codes!$I$218,$D$331:$D$333,0)))</f>
        <v>0</v>
      </c>
      <c r="M430" s="81">
        <f ca="1">M410*(INDEX(M$331:M$333,MATCH(Work_Codes!$I$218,$D$331:$D$333,0)))</f>
        <v>0</v>
      </c>
      <c r="N430" s="81">
        <f ca="1">N410*(INDEX(N$331:N$333,MATCH(Work_Codes!$I$218,$D$331:$D$333,0)))</f>
        <v>0</v>
      </c>
      <c r="O430" s="81">
        <f ca="1">O410*(INDEX(O$331:O$333,MATCH(Work_Codes!$I$218,$D$331:$D$333,0)))</f>
        <v>0</v>
      </c>
      <c r="P430" s="81">
        <f ca="1">P410*(INDEX(P$331:P$333,MATCH(Work_Codes!$I$218,$D$331:$D$333,0)))</f>
        <v>0</v>
      </c>
      <c r="Q430" s="81">
        <f ca="1">Q410*(INDEX(Q$331:Q$333,MATCH(Work_Codes!$I$218,$D$331:$D$333,0)))</f>
        <v>0</v>
      </c>
      <c r="R430" s="81">
        <f ca="1">R410*(INDEX(R$331:R$333,MATCH(Work_Codes!$I$218,$D$331:$D$333,0)))</f>
        <v>0</v>
      </c>
      <c r="S430" s="81">
        <f ca="1">S410*(INDEX(S$331:S$333,MATCH(Work_Codes!$I$218,$D$331:$D$333,0)))</f>
        <v>0</v>
      </c>
      <c r="T430" s="81">
        <f ca="1">T410*(INDEX(T$331:T$333,MATCH(Work_Codes!$I$218,$D$331:$D$333,0)))</f>
        <v>0</v>
      </c>
    </row>
    <row r="431" spans="4:20" outlineLevel="2">
      <c r="E431" s="247" t="str">
        <f>GC!C50</f>
        <v>Land</v>
      </c>
      <c r="F431" s="247"/>
      <c r="G431" s="247"/>
      <c r="H431" s="247"/>
      <c r="I431" s="247"/>
      <c r="J431" s="81">
        <f ca="1">J411*(INDEX(J$331:J$333,MATCH(Work_Codes!$I$218,$D$331:$D$333,0)))</f>
        <v>0</v>
      </c>
      <c r="K431" s="81">
        <f ca="1">K411*(INDEX(K$331:K$333,MATCH(Work_Codes!$I$218,$D$331:$D$333,0)))</f>
        <v>0</v>
      </c>
      <c r="L431" s="81">
        <f ca="1">L411*(INDEX(L$331:L$333,MATCH(Work_Codes!$I$218,$D$331:$D$333,0)))</f>
        <v>0</v>
      </c>
      <c r="M431" s="81">
        <f ca="1">M411*(INDEX(M$331:M$333,MATCH(Work_Codes!$I$218,$D$331:$D$333,0)))</f>
        <v>0</v>
      </c>
      <c r="N431" s="81">
        <f ca="1">N411*(INDEX(N$331:N$333,MATCH(Work_Codes!$I$218,$D$331:$D$333,0)))</f>
        <v>0</v>
      </c>
      <c r="O431" s="81">
        <f ca="1">O411*(INDEX(O$331:O$333,MATCH(Work_Codes!$I$218,$D$331:$D$333,0)))</f>
        <v>0</v>
      </c>
      <c r="P431" s="81">
        <f ca="1">P411*(INDEX(P$331:P$333,MATCH(Work_Codes!$I$218,$D$331:$D$333,0)))</f>
        <v>0</v>
      </c>
      <c r="Q431" s="81">
        <f ca="1">Q411*(INDEX(Q$331:Q$333,MATCH(Work_Codes!$I$218,$D$331:$D$333,0)))</f>
        <v>0</v>
      </c>
      <c r="R431" s="81">
        <f ca="1">R411*(INDEX(R$331:R$333,MATCH(Work_Codes!$I$218,$D$331:$D$333,0)))</f>
        <v>0</v>
      </c>
      <c r="S431" s="81">
        <f ca="1">S411*(INDEX(S$331:S$333,MATCH(Work_Codes!$I$218,$D$331:$D$333,0)))</f>
        <v>0</v>
      </c>
      <c r="T431" s="81">
        <f ca="1">T411*(INDEX(T$331:T$333,MATCH(Work_Codes!$I$218,$D$331:$D$333,0)))</f>
        <v>0</v>
      </c>
    </row>
    <row r="432" spans="4:20" outlineLevel="2">
      <c r="E432" s="247" t="str">
        <f>GC!C51</f>
        <v>Capitalised Leases</v>
      </c>
      <c r="F432" s="247"/>
      <c r="G432" s="247"/>
      <c r="H432" s="247"/>
      <c r="I432" s="247"/>
      <c r="J432" s="81">
        <f ca="1">J412*(INDEX(J$331:J$333,MATCH(Work_Codes!$I$218,$D$331:$D$333,0)))</f>
        <v>0</v>
      </c>
      <c r="K432" s="81">
        <f ca="1">K412*(INDEX(K$331:K$333,MATCH(Work_Codes!$I$218,$D$331:$D$333,0)))</f>
        <v>0</v>
      </c>
      <c r="L432" s="81">
        <f ca="1">L412*(INDEX(L$331:L$333,MATCH(Work_Codes!$I$218,$D$331:$D$333,0)))</f>
        <v>0</v>
      </c>
      <c r="M432" s="81">
        <f ca="1">M412*(INDEX(M$331:M$333,MATCH(Work_Codes!$I$218,$D$331:$D$333,0)))</f>
        <v>0</v>
      </c>
      <c r="N432" s="81">
        <f ca="1">N412*(INDEX(N$331:N$333,MATCH(Work_Codes!$I$218,$D$331:$D$333,0)))</f>
        <v>0</v>
      </c>
      <c r="O432" s="81">
        <f ca="1">O412*(INDEX(O$331:O$333,MATCH(Work_Codes!$I$218,$D$331:$D$333,0)))</f>
        <v>0</v>
      </c>
      <c r="P432" s="81">
        <f ca="1">P412*(INDEX(P$331:P$333,MATCH(Work_Codes!$I$218,$D$331:$D$333,0)))</f>
        <v>0</v>
      </c>
      <c r="Q432" s="81">
        <f ca="1">Q412*(INDEX(Q$331:Q$333,MATCH(Work_Codes!$I$218,$D$331:$D$333,0)))</f>
        <v>0</v>
      </c>
      <c r="R432" s="81">
        <f ca="1">R412*(INDEX(R$331:R$333,MATCH(Work_Codes!$I$218,$D$331:$D$333,0)))</f>
        <v>0</v>
      </c>
      <c r="S432" s="81">
        <f ca="1">S412*(INDEX(S$331:S$333,MATCH(Work_Codes!$I$218,$D$331:$D$333,0)))</f>
        <v>0</v>
      </c>
      <c r="T432" s="81">
        <f ca="1">T412*(INDEX(T$331:T$333,MATCH(Work_Codes!$I$218,$D$331:$D$333,0)))</f>
        <v>0</v>
      </c>
    </row>
    <row r="433" spans="4:20" outlineLevel="2">
      <c r="E433" s="247" t="str">
        <f>GC!C52</f>
        <v>Transmission pipelines - post 1998</v>
      </c>
      <c r="F433" s="247"/>
      <c r="G433" s="247"/>
      <c r="H433" s="247"/>
      <c r="I433" s="247"/>
      <c r="J433" s="81">
        <f ca="1">J413*(INDEX(J$331:J$333,MATCH(Work_Codes!$I$218,$D$331:$D$333,0)))</f>
        <v>0</v>
      </c>
      <c r="K433" s="81">
        <f ca="1">K413*(INDEX(K$331:K$333,MATCH(Work_Codes!$I$218,$D$331:$D$333,0)))</f>
        <v>0</v>
      </c>
      <c r="L433" s="81">
        <f ca="1">L413*(INDEX(L$331:L$333,MATCH(Work_Codes!$I$218,$D$331:$D$333,0)))</f>
        <v>0</v>
      </c>
      <c r="M433" s="81">
        <f ca="1">M413*(INDEX(M$331:M$333,MATCH(Work_Codes!$I$218,$D$331:$D$333,0)))</f>
        <v>0</v>
      </c>
      <c r="N433" s="81">
        <f ca="1">N413*(INDEX(N$331:N$333,MATCH(Work_Codes!$I$218,$D$331:$D$333,0)))</f>
        <v>0</v>
      </c>
      <c r="O433" s="81">
        <f ca="1">O413*(INDEX(O$331:O$333,MATCH(Work_Codes!$I$218,$D$331:$D$333,0)))</f>
        <v>0</v>
      </c>
      <c r="P433" s="81">
        <f ca="1">P413*(INDEX(P$331:P$333,MATCH(Work_Codes!$I$218,$D$331:$D$333,0)))</f>
        <v>0</v>
      </c>
      <c r="Q433" s="81">
        <f ca="1">Q413*(INDEX(Q$331:Q$333,MATCH(Work_Codes!$I$218,$D$331:$D$333,0)))</f>
        <v>0</v>
      </c>
      <c r="R433" s="81">
        <f ca="1">R413*(INDEX(R$331:R$333,MATCH(Work_Codes!$I$218,$D$331:$D$333,0)))</f>
        <v>0</v>
      </c>
      <c r="S433" s="81">
        <f ca="1">S413*(INDEX(S$331:S$333,MATCH(Work_Codes!$I$218,$D$331:$D$333,0)))</f>
        <v>0</v>
      </c>
      <c r="T433" s="81">
        <f ca="1">T413*(INDEX(T$331:T$333,MATCH(Work_Codes!$I$218,$D$331:$D$333,0)))</f>
        <v>0</v>
      </c>
    </row>
    <row r="434" spans="4:20" outlineLevel="2">
      <c r="E434" s="247" t="str">
        <f>GC!C53</f>
        <v>Distribution pipelines - post 1998</v>
      </c>
      <c r="F434" s="247"/>
      <c r="G434" s="247"/>
      <c r="H434" s="247"/>
      <c r="I434" s="247"/>
      <c r="J434" s="81">
        <f ca="1">J414*(INDEX(J$331:J$333,MATCH(Work_Codes!$I$218,$D$331:$D$333,0)))</f>
        <v>0</v>
      </c>
      <c r="K434" s="81">
        <f ca="1">K414*(INDEX(K$331:K$333,MATCH(Work_Codes!$I$218,$D$331:$D$333,0)))</f>
        <v>0</v>
      </c>
      <c r="L434" s="81">
        <f ca="1">L414*(INDEX(L$331:L$333,MATCH(Work_Codes!$I$218,$D$331:$D$333,0)))</f>
        <v>0</v>
      </c>
      <c r="M434" s="81">
        <f ca="1">M414*(INDEX(M$331:M$333,MATCH(Work_Codes!$I$218,$D$331:$D$333,0)))</f>
        <v>0</v>
      </c>
      <c r="N434" s="81">
        <f ca="1">N414*(INDEX(N$331:N$333,MATCH(Work_Codes!$I$218,$D$331:$D$333,0)))</f>
        <v>0</v>
      </c>
      <c r="O434" s="81">
        <f ca="1">O414*(INDEX(O$331:O$333,MATCH(Work_Codes!$I$218,$D$331:$D$333,0)))</f>
        <v>0</v>
      </c>
      <c r="P434" s="81">
        <f ca="1">P414*(INDEX(P$331:P$333,MATCH(Work_Codes!$I$218,$D$331:$D$333,0)))</f>
        <v>0</v>
      </c>
      <c r="Q434" s="81">
        <f ca="1">Q414*(INDEX(Q$331:Q$333,MATCH(Work_Codes!$I$218,$D$331:$D$333,0)))</f>
        <v>0</v>
      </c>
      <c r="R434" s="81">
        <f ca="1">R414*(INDEX(R$331:R$333,MATCH(Work_Codes!$I$218,$D$331:$D$333,0)))</f>
        <v>0</v>
      </c>
      <c r="S434" s="81">
        <f ca="1">S414*(INDEX(S$331:S$333,MATCH(Work_Codes!$I$218,$D$331:$D$333,0)))</f>
        <v>0</v>
      </c>
      <c r="T434" s="81">
        <f ca="1">T414*(INDEX(T$331:T$333,MATCH(Work_Codes!$I$218,$D$331:$D$333,0)))</f>
        <v>0</v>
      </c>
    </row>
    <row r="435" spans="4:20" outlineLevel="2">
      <c r="E435" s="247" t="str">
        <f>GC!C54</f>
        <v>Service pipes - post 1998</v>
      </c>
      <c r="F435" s="247"/>
      <c r="G435" s="247"/>
      <c r="H435" s="247"/>
      <c r="I435" s="247"/>
      <c r="J435" s="81">
        <f ca="1">J415*(INDEX(J$331:J$333,MATCH(Work_Codes!$I$218,$D$331:$D$333,0)))</f>
        <v>0</v>
      </c>
      <c r="K435" s="81">
        <f ca="1">K415*(INDEX(K$331:K$333,MATCH(Work_Codes!$I$218,$D$331:$D$333,0)))</f>
        <v>0</v>
      </c>
      <c r="L435" s="81">
        <f ca="1">L415*(INDEX(L$331:L$333,MATCH(Work_Codes!$I$218,$D$331:$D$333,0)))</f>
        <v>0</v>
      </c>
      <c r="M435" s="81">
        <f ca="1">M415*(INDEX(M$331:M$333,MATCH(Work_Codes!$I$218,$D$331:$D$333,0)))</f>
        <v>0</v>
      </c>
      <c r="N435" s="81">
        <f ca="1">N415*(INDEX(N$331:N$333,MATCH(Work_Codes!$I$218,$D$331:$D$333,0)))</f>
        <v>0</v>
      </c>
      <c r="O435" s="81">
        <f ca="1">O415*(INDEX(O$331:O$333,MATCH(Work_Codes!$I$218,$D$331:$D$333,0)))</f>
        <v>0</v>
      </c>
      <c r="P435" s="81">
        <f ca="1">P415*(INDEX(P$331:P$333,MATCH(Work_Codes!$I$218,$D$331:$D$333,0)))</f>
        <v>0</v>
      </c>
      <c r="Q435" s="81">
        <f ca="1">Q415*(INDEX(Q$331:Q$333,MATCH(Work_Codes!$I$218,$D$331:$D$333,0)))</f>
        <v>0</v>
      </c>
      <c r="R435" s="81">
        <f ca="1">R415*(INDEX(R$331:R$333,MATCH(Work_Codes!$I$218,$D$331:$D$333,0)))</f>
        <v>0</v>
      </c>
      <c r="S435" s="81">
        <f ca="1">S415*(INDEX(S$331:S$333,MATCH(Work_Codes!$I$218,$D$331:$D$333,0)))</f>
        <v>0</v>
      </c>
      <c r="T435" s="81">
        <f ca="1">T415*(INDEX(T$331:T$333,MATCH(Work_Codes!$I$218,$D$331:$D$333,0)))</f>
        <v>0</v>
      </c>
    </row>
    <row r="436" spans="4:20" outlineLevel="2">
      <c r="E436" s="247" t="str">
        <f>GC!C55</f>
        <v>Cathodic protection - post 1998</v>
      </c>
      <c r="F436" s="247"/>
      <c r="G436" s="247"/>
      <c r="H436" s="247"/>
      <c r="I436" s="247"/>
      <c r="J436" s="81">
        <f ca="1">J416*(INDEX(J$331:J$333,MATCH(Work_Codes!$I$218,$D$331:$D$333,0)))</f>
        <v>0</v>
      </c>
      <c r="K436" s="81">
        <f ca="1">K416*(INDEX(K$331:K$333,MATCH(Work_Codes!$I$218,$D$331:$D$333,0)))</f>
        <v>0</v>
      </c>
      <c r="L436" s="81">
        <f ca="1">L416*(INDEX(L$331:L$333,MATCH(Work_Codes!$I$218,$D$331:$D$333,0)))</f>
        <v>0</v>
      </c>
      <c r="M436" s="81">
        <f ca="1">M416*(INDEX(M$331:M$333,MATCH(Work_Codes!$I$218,$D$331:$D$333,0)))</f>
        <v>0</v>
      </c>
      <c r="N436" s="81">
        <f ca="1">N416*(INDEX(N$331:N$333,MATCH(Work_Codes!$I$218,$D$331:$D$333,0)))</f>
        <v>0</v>
      </c>
      <c r="O436" s="81">
        <f ca="1">O416*(INDEX(O$331:O$333,MATCH(Work_Codes!$I$218,$D$331:$D$333,0)))</f>
        <v>0</v>
      </c>
      <c r="P436" s="81">
        <f ca="1">P416*(INDEX(P$331:P$333,MATCH(Work_Codes!$I$218,$D$331:$D$333,0)))</f>
        <v>0</v>
      </c>
      <c r="Q436" s="81">
        <f ca="1">Q416*(INDEX(Q$331:Q$333,MATCH(Work_Codes!$I$218,$D$331:$D$333,0)))</f>
        <v>0</v>
      </c>
      <c r="R436" s="81">
        <f ca="1">R416*(INDEX(R$331:R$333,MATCH(Work_Codes!$I$218,$D$331:$D$333,0)))</f>
        <v>0</v>
      </c>
      <c r="S436" s="81">
        <f ca="1">S416*(INDEX(S$331:S$333,MATCH(Work_Codes!$I$218,$D$331:$D$333,0)))</f>
        <v>0</v>
      </c>
      <c r="T436" s="81">
        <f ca="1">T416*(INDEX(T$331:T$333,MATCH(Work_Codes!$I$218,$D$331:$D$333,0)))</f>
        <v>0</v>
      </c>
    </row>
    <row r="437" spans="4:20" outlineLevel="2">
      <c r="E437" s="249" t="str">
        <f>"Total "&amp;D419</f>
        <v>Total Overheads</v>
      </c>
      <c r="F437" s="249"/>
      <c r="G437" s="249"/>
      <c r="H437" s="249"/>
      <c r="I437" s="249"/>
      <c r="J437" s="82">
        <f t="shared" ref="J437:T437" ca="1" si="47">SUM(J421:J436)</f>
        <v>0</v>
      </c>
      <c r="K437" s="82">
        <f t="shared" ca="1" si="47"/>
        <v>0</v>
      </c>
      <c r="L437" s="82">
        <f t="shared" ca="1" si="47"/>
        <v>0</v>
      </c>
      <c r="M437" s="82">
        <f t="shared" ca="1" si="47"/>
        <v>0</v>
      </c>
      <c r="N437" s="82">
        <f t="shared" ca="1" si="47"/>
        <v>3794.7077740727132</v>
      </c>
      <c r="O437" s="82">
        <f t="shared" ca="1" si="47"/>
        <v>1664.3713936947245</v>
      </c>
      <c r="P437" s="82">
        <f t="shared" ca="1" si="47"/>
        <v>2675.813420096099</v>
      </c>
      <c r="Q437" s="82">
        <f t="shared" ca="1" si="47"/>
        <v>2607.0025079863553</v>
      </c>
      <c r="R437" s="82">
        <f t="shared" ca="1" si="47"/>
        <v>2688.8761667897384</v>
      </c>
      <c r="S437" s="82">
        <f t="shared" ca="1" si="47"/>
        <v>2856.9384819331658</v>
      </c>
      <c r="T437" s="82">
        <f t="shared" ca="1" si="47"/>
        <v>2995.1556512588331</v>
      </c>
    </row>
    <row r="438" spans="4:20" outlineLevel="2"/>
    <row r="439" spans="4:20" outlineLevel="2">
      <c r="D439" s="37" t="s">
        <v>216</v>
      </c>
    </row>
    <row r="440" spans="4:20" ht="5.9" customHeight="1" outlineLevel="2"/>
    <row r="441" spans="4:20" ht="11.5" customHeight="1" outlineLevel="2">
      <c r="E441" s="247" t="str">
        <f>GC!C40</f>
        <v>Transmission pipelines</v>
      </c>
      <c r="F441" s="247"/>
      <c r="G441" s="247"/>
      <c r="H441" s="247"/>
      <c r="I441" s="247"/>
      <c r="J441" s="81">
        <f ca="1">J401*(1+INDEX(J$331:J$333,MATCH(Work_Codes!$I$218,$D$331:$D$333,0)))</f>
        <v>0</v>
      </c>
      <c r="K441" s="81">
        <f ca="1">K401*(1+INDEX(K$331:K$333,MATCH(Work_Codes!$I$218,$D$331:$D$333,0)))</f>
        <v>0</v>
      </c>
      <c r="L441" s="81">
        <f ca="1">L401*(1+INDEX(L$331:L$333,MATCH(Work_Codes!$I$218,$D$331:$D$333,0)))</f>
        <v>0</v>
      </c>
      <c r="M441" s="81">
        <f ca="1">M401*(1+INDEX(M$331:M$333,MATCH(Work_Codes!$I$218,$D$331:$D$333,0)))</f>
        <v>0</v>
      </c>
      <c r="N441" s="81">
        <f ca="1">N401*(1+INDEX(N$331:N$333,MATCH(Work_Codes!$I$218,$D$331:$D$333,0)))</f>
        <v>0</v>
      </c>
      <c r="O441" s="81">
        <f ca="1">O401*(1+INDEX(O$331:O$333,MATCH(Work_Codes!$I$218,$D$331:$D$333,0)))</f>
        <v>0</v>
      </c>
      <c r="P441" s="81">
        <f ca="1">P401*(1+INDEX(P$331:P$333,MATCH(Work_Codes!$I$218,$D$331:$D$333,0)))</f>
        <v>0</v>
      </c>
      <c r="Q441" s="81">
        <f ca="1">Q401*(1+INDEX(Q$331:Q$333,MATCH(Work_Codes!$I$218,$D$331:$D$333,0)))</f>
        <v>0</v>
      </c>
      <c r="R441" s="81">
        <f ca="1">R401*(1+INDEX(R$331:R$333,MATCH(Work_Codes!$I$218,$D$331:$D$333,0)))</f>
        <v>0</v>
      </c>
      <c r="S441" s="81">
        <f ca="1">S401*(1+INDEX(S$331:S$333,MATCH(Work_Codes!$I$218,$D$331:$D$333,0)))</f>
        <v>0</v>
      </c>
      <c r="T441" s="81">
        <f ca="1">T401*(1+INDEX(T$331:T$333,MATCH(Work_Codes!$I$218,$D$331:$D$333,0)))</f>
        <v>0</v>
      </c>
    </row>
    <row r="442" spans="4:20" ht="11.5" customHeight="1" outlineLevel="2">
      <c r="E442" s="247" t="str">
        <f>GC!C41</f>
        <v>Distribution pipelines</v>
      </c>
      <c r="F442" s="247"/>
      <c r="G442" s="247"/>
      <c r="H442" s="247"/>
      <c r="I442" s="247"/>
      <c r="J442" s="81">
        <f ca="1">J402*(1+INDEX(J$331:J$333,MATCH(Work_Codes!$I$218,$D$331:$D$333,0)))</f>
        <v>0</v>
      </c>
      <c r="K442" s="81">
        <f ca="1">K402*(1+INDEX(K$331:K$333,MATCH(Work_Codes!$I$218,$D$331:$D$333,0)))</f>
        <v>0</v>
      </c>
      <c r="L442" s="81">
        <f ca="1">L402*(1+INDEX(L$331:L$333,MATCH(Work_Codes!$I$218,$D$331:$D$333,0)))</f>
        <v>0</v>
      </c>
      <c r="M442" s="81">
        <f ca="1">M402*(1+INDEX(M$331:M$333,MATCH(Work_Codes!$I$218,$D$331:$D$333,0)))</f>
        <v>0</v>
      </c>
      <c r="N442" s="81">
        <f ca="1">N402*(1+INDEX(N$331:N$333,MATCH(Work_Codes!$I$218,$D$331:$D$333,0)))</f>
        <v>0</v>
      </c>
      <c r="O442" s="81">
        <f ca="1">O402*(1+INDEX(O$331:O$333,MATCH(Work_Codes!$I$218,$D$331:$D$333,0)))</f>
        <v>0</v>
      </c>
      <c r="P442" s="81">
        <f ca="1">P402*(1+INDEX(P$331:P$333,MATCH(Work_Codes!$I$218,$D$331:$D$333,0)))</f>
        <v>0</v>
      </c>
      <c r="Q442" s="81">
        <f ca="1">Q402*(1+INDEX(Q$331:Q$333,MATCH(Work_Codes!$I$218,$D$331:$D$333,0)))</f>
        <v>0</v>
      </c>
      <c r="R442" s="81">
        <f ca="1">R402*(1+INDEX(R$331:R$333,MATCH(Work_Codes!$I$218,$D$331:$D$333,0)))</f>
        <v>0</v>
      </c>
      <c r="S442" s="81">
        <f ca="1">S402*(1+INDEX(S$331:S$333,MATCH(Work_Codes!$I$218,$D$331:$D$333,0)))</f>
        <v>0</v>
      </c>
      <c r="T442" s="81">
        <f ca="1">T402*(1+INDEX(T$331:T$333,MATCH(Work_Codes!$I$218,$D$331:$D$333,0)))</f>
        <v>0</v>
      </c>
    </row>
    <row r="443" spans="4:20" ht="11.5" customHeight="1" outlineLevel="2">
      <c r="E443" s="247" t="str">
        <f>GC!C42</f>
        <v>Service pipes</v>
      </c>
      <c r="F443" s="247"/>
      <c r="G443" s="247"/>
      <c r="H443" s="247"/>
      <c r="I443" s="247"/>
      <c r="J443" s="81">
        <f ca="1">J403*(1+INDEX(J$331:J$333,MATCH(Work_Codes!$I$218,$D$331:$D$333,0)))</f>
        <v>0</v>
      </c>
      <c r="K443" s="81">
        <f ca="1">K403*(1+INDEX(K$331:K$333,MATCH(Work_Codes!$I$218,$D$331:$D$333,0)))</f>
        <v>0</v>
      </c>
      <c r="L443" s="81">
        <f ca="1">L403*(1+INDEX(L$331:L$333,MATCH(Work_Codes!$I$218,$D$331:$D$333,0)))</f>
        <v>0</v>
      </c>
      <c r="M443" s="81">
        <f ca="1">M403*(1+INDEX(M$331:M$333,MATCH(Work_Codes!$I$218,$D$331:$D$333,0)))</f>
        <v>0</v>
      </c>
      <c r="N443" s="81">
        <f ca="1">N403*(1+INDEX(N$331:N$333,MATCH(Work_Codes!$I$218,$D$331:$D$333,0)))</f>
        <v>0</v>
      </c>
      <c r="O443" s="81">
        <f ca="1">O403*(1+INDEX(O$331:O$333,MATCH(Work_Codes!$I$218,$D$331:$D$333,0)))</f>
        <v>0</v>
      </c>
      <c r="P443" s="81">
        <f ca="1">P403*(1+INDEX(P$331:P$333,MATCH(Work_Codes!$I$218,$D$331:$D$333,0)))</f>
        <v>0</v>
      </c>
      <c r="Q443" s="81">
        <f ca="1">Q403*(1+INDEX(Q$331:Q$333,MATCH(Work_Codes!$I$218,$D$331:$D$333,0)))</f>
        <v>0</v>
      </c>
      <c r="R443" s="81">
        <f ca="1">R403*(1+INDEX(R$331:R$333,MATCH(Work_Codes!$I$218,$D$331:$D$333,0)))</f>
        <v>0</v>
      </c>
      <c r="S443" s="81">
        <f ca="1">S403*(1+INDEX(S$331:S$333,MATCH(Work_Codes!$I$218,$D$331:$D$333,0)))</f>
        <v>0</v>
      </c>
      <c r="T443" s="81">
        <f ca="1">T403*(1+INDEX(T$331:T$333,MATCH(Work_Codes!$I$218,$D$331:$D$333,0)))</f>
        <v>0</v>
      </c>
    </row>
    <row r="444" spans="4:20" ht="11.5" customHeight="1" outlineLevel="2">
      <c r="E444" s="247" t="str">
        <f>GC!C43</f>
        <v>Cathodic protection</v>
      </c>
      <c r="F444" s="247"/>
      <c r="G444" s="247"/>
      <c r="H444" s="247"/>
      <c r="I444" s="247"/>
      <c r="J444" s="81">
        <f ca="1">J404*(1+INDEX(J$331:J$333,MATCH(Work_Codes!$I$218,$D$331:$D$333,0)))</f>
        <v>0</v>
      </c>
      <c r="K444" s="81">
        <f ca="1">K404*(1+INDEX(K$331:K$333,MATCH(Work_Codes!$I$218,$D$331:$D$333,0)))</f>
        <v>0</v>
      </c>
      <c r="L444" s="81">
        <f ca="1">L404*(1+INDEX(L$331:L$333,MATCH(Work_Codes!$I$218,$D$331:$D$333,0)))</f>
        <v>0</v>
      </c>
      <c r="M444" s="81">
        <f ca="1">M404*(1+INDEX(M$331:M$333,MATCH(Work_Codes!$I$218,$D$331:$D$333,0)))</f>
        <v>0</v>
      </c>
      <c r="N444" s="81">
        <f ca="1">N404*(1+INDEX(N$331:N$333,MATCH(Work_Codes!$I$218,$D$331:$D$333,0)))</f>
        <v>0</v>
      </c>
      <c r="O444" s="81">
        <f ca="1">O404*(1+INDEX(O$331:O$333,MATCH(Work_Codes!$I$218,$D$331:$D$333,0)))</f>
        <v>0</v>
      </c>
      <c r="P444" s="81">
        <f ca="1">P404*(1+INDEX(P$331:P$333,MATCH(Work_Codes!$I$218,$D$331:$D$333,0)))</f>
        <v>0</v>
      </c>
      <c r="Q444" s="81">
        <f ca="1">Q404*(1+INDEX(Q$331:Q$333,MATCH(Work_Codes!$I$218,$D$331:$D$333,0)))</f>
        <v>0</v>
      </c>
      <c r="R444" s="81">
        <f ca="1">R404*(1+INDEX(R$331:R$333,MATCH(Work_Codes!$I$218,$D$331:$D$333,0)))</f>
        <v>0</v>
      </c>
      <c r="S444" s="81">
        <f ca="1">S404*(1+INDEX(S$331:S$333,MATCH(Work_Codes!$I$218,$D$331:$D$333,0)))</f>
        <v>0</v>
      </c>
      <c r="T444" s="81">
        <f ca="1">T404*(1+INDEX(T$331:T$333,MATCH(Work_Codes!$I$218,$D$331:$D$333,0)))</f>
        <v>0</v>
      </c>
    </row>
    <row r="445" spans="4:20" ht="11.5" customHeight="1" outlineLevel="2">
      <c r="E445" s="247" t="str">
        <f>GC!C44</f>
        <v>Supply Regulators / Valve Stations</v>
      </c>
      <c r="F445" s="247"/>
      <c r="G445" s="247"/>
      <c r="H445" s="247"/>
      <c r="I445" s="247"/>
      <c r="J445" s="81">
        <f ca="1">J405*(1+INDEX(J$331:J$333,MATCH(Work_Codes!$I$218,$D$331:$D$333,0)))</f>
        <v>0</v>
      </c>
      <c r="K445" s="81">
        <f ca="1">K405*(1+INDEX(K$331:K$333,MATCH(Work_Codes!$I$218,$D$331:$D$333,0)))</f>
        <v>0</v>
      </c>
      <c r="L445" s="81">
        <f ca="1">L405*(1+INDEX(L$331:L$333,MATCH(Work_Codes!$I$218,$D$331:$D$333,0)))</f>
        <v>0</v>
      </c>
      <c r="M445" s="81">
        <f ca="1">M405*(1+INDEX(M$331:M$333,MATCH(Work_Codes!$I$218,$D$331:$D$333,0)))</f>
        <v>0</v>
      </c>
      <c r="N445" s="81">
        <f ca="1">N405*(1+INDEX(N$331:N$333,MATCH(Work_Codes!$I$218,$D$331:$D$333,0)))</f>
        <v>104420.70631978351</v>
      </c>
      <c r="O445" s="81">
        <f ca="1">O405*(1+INDEX(O$331:O$333,MATCH(Work_Codes!$I$218,$D$331:$D$333,0)))</f>
        <v>51669.567317266868</v>
      </c>
      <c r="P445" s="81">
        <f ca="1">P405*(1+INDEX(P$331:P$333,MATCH(Work_Codes!$I$218,$D$331:$D$333,0)))</f>
        <v>102696.27376837724</v>
      </c>
      <c r="Q445" s="81">
        <f ca="1">Q405*(1+INDEX(Q$331:Q$333,MATCH(Work_Codes!$I$218,$D$331:$D$333,0)))</f>
        <v>102643.21708267494</v>
      </c>
      <c r="R445" s="81">
        <f ca="1">R405*(1+INDEX(R$331:R$333,MATCH(Work_Codes!$I$218,$D$331:$D$333,0)))</f>
        <v>102747.50630410123</v>
      </c>
      <c r="S445" s="81">
        <f ca="1">S405*(1+INDEX(S$331:S$333,MATCH(Work_Codes!$I$218,$D$331:$D$333,0)))</f>
        <v>102938.23094242708</v>
      </c>
      <c r="T445" s="81">
        <f ca="1">T405*(1+INDEX(T$331:T$333,MATCH(Work_Codes!$I$218,$D$331:$D$333,0)))</f>
        <v>103099.35991194547</v>
      </c>
    </row>
    <row r="446" spans="4:20" ht="11.5" customHeight="1" outlineLevel="2">
      <c r="E446" s="247" t="str">
        <f>GC!C45</f>
        <v>Meters</v>
      </c>
      <c r="F446" s="247"/>
      <c r="G446" s="247"/>
      <c r="H446" s="247"/>
      <c r="I446" s="247"/>
      <c r="J446" s="81">
        <f ca="1">J406*(1+INDEX(J$331:J$333,MATCH(Work_Codes!$I$218,$D$331:$D$333,0)))</f>
        <v>0</v>
      </c>
      <c r="K446" s="81">
        <f ca="1">K406*(1+INDEX(K$331:K$333,MATCH(Work_Codes!$I$218,$D$331:$D$333,0)))</f>
        <v>0</v>
      </c>
      <c r="L446" s="81">
        <f ca="1">L406*(1+INDEX(L$331:L$333,MATCH(Work_Codes!$I$218,$D$331:$D$333,0)))</f>
        <v>0</v>
      </c>
      <c r="M446" s="81">
        <f ca="1">M406*(1+INDEX(M$331:M$333,MATCH(Work_Codes!$I$218,$D$331:$D$333,0)))</f>
        <v>0</v>
      </c>
      <c r="N446" s="81">
        <f ca="1">N406*(1+INDEX(N$331:N$333,MATCH(Work_Codes!$I$218,$D$331:$D$333,0)))</f>
        <v>0</v>
      </c>
      <c r="O446" s="81">
        <f ca="1">O406*(1+INDEX(O$331:O$333,MATCH(Work_Codes!$I$218,$D$331:$D$333,0)))</f>
        <v>0</v>
      </c>
      <c r="P446" s="81">
        <f ca="1">P406*(1+INDEX(P$331:P$333,MATCH(Work_Codes!$I$218,$D$331:$D$333,0)))</f>
        <v>0</v>
      </c>
      <c r="Q446" s="81">
        <f ca="1">Q406*(1+INDEX(Q$331:Q$333,MATCH(Work_Codes!$I$218,$D$331:$D$333,0)))</f>
        <v>0</v>
      </c>
      <c r="R446" s="81">
        <f ca="1">R406*(1+INDEX(R$331:R$333,MATCH(Work_Codes!$I$218,$D$331:$D$333,0)))</f>
        <v>0</v>
      </c>
      <c r="S446" s="81">
        <f ca="1">S406*(1+INDEX(S$331:S$333,MATCH(Work_Codes!$I$218,$D$331:$D$333,0)))</f>
        <v>0</v>
      </c>
      <c r="T446" s="81">
        <f ca="1">T406*(1+INDEX(T$331:T$333,MATCH(Work_Codes!$I$218,$D$331:$D$333,0)))</f>
        <v>0</v>
      </c>
    </row>
    <row r="447" spans="4:20" ht="11.5" customHeight="1" outlineLevel="2">
      <c r="E447" s="247" t="str">
        <f>GC!C46</f>
        <v>SCADA and remote control</v>
      </c>
      <c r="F447" s="247"/>
      <c r="G447" s="247"/>
      <c r="H447" s="247"/>
      <c r="I447" s="247"/>
      <c r="J447" s="81">
        <f ca="1">J407*(1+INDEX(J$331:J$333,MATCH(Work_Codes!$I$218,$D$331:$D$333,0)))</f>
        <v>0</v>
      </c>
      <c r="K447" s="81">
        <f ca="1">K407*(1+INDEX(K$331:K$333,MATCH(Work_Codes!$I$218,$D$331:$D$333,0)))</f>
        <v>0</v>
      </c>
      <c r="L447" s="81">
        <f ca="1">L407*(1+INDEX(L$331:L$333,MATCH(Work_Codes!$I$218,$D$331:$D$333,0)))</f>
        <v>0</v>
      </c>
      <c r="M447" s="81">
        <f ca="1">M407*(1+INDEX(M$331:M$333,MATCH(Work_Codes!$I$218,$D$331:$D$333,0)))</f>
        <v>0</v>
      </c>
      <c r="N447" s="81">
        <f ca="1">N407*(1+INDEX(N$331:N$333,MATCH(Work_Codes!$I$218,$D$331:$D$333,0)))</f>
        <v>0</v>
      </c>
      <c r="O447" s="81">
        <f ca="1">O407*(1+INDEX(O$331:O$333,MATCH(Work_Codes!$I$218,$D$331:$D$333,0)))</f>
        <v>0</v>
      </c>
      <c r="P447" s="81">
        <f ca="1">P407*(1+INDEX(P$331:P$333,MATCH(Work_Codes!$I$218,$D$331:$D$333,0)))</f>
        <v>0</v>
      </c>
      <c r="Q447" s="81">
        <f ca="1">Q407*(1+INDEX(Q$331:Q$333,MATCH(Work_Codes!$I$218,$D$331:$D$333,0)))</f>
        <v>0</v>
      </c>
      <c r="R447" s="81">
        <f ca="1">R407*(1+INDEX(R$331:R$333,MATCH(Work_Codes!$I$218,$D$331:$D$333,0)))</f>
        <v>0</v>
      </c>
      <c r="S447" s="81">
        <f ca="1">S407*(1+INDEX(S$331:S$333,MATCH(Work_Codes!$I$218,$D$331:$D$333,0)))</f>
        <v>0</v>
      </c>
      <c r="T447" s="81">
        <f ca="1">T407*(1+INDEX(T$331:T$333,MATCH(Work_Codes!$I$218,$D$331:$D$333,0)))</f>
        <v>0</v>
      </c>
    </row>
    <row r="448" spans="4:20" ht="11.5" customHeight="1" outlineLevel="2">
      <c r="E448" s="247" t="str">
        <f>GC!C47</f>
        <v>Buildings</v>
      </c>
      <c r="F448" s="247"/>
      <c r="G448" s="247"/>
      <c r="H448" s="247"/>
      <c r="I448" s="247"/>
      <c r="J448" s="81">
        <f ca="1">J408*(1+INDEX(J$331:J$333,MATCH(Work_Codes!$I$218,$D$331:$D$333,0)))</f>
        <v>0</v>
      </c>
      <c r="K448" s="81">
        <f ca="1">K408*(1+INDEX(K$331:K$333,MATCH(Work_Codes!$I$218,$D$331:$D$333,0)))</f>
        <v>0</v>
      </c>
      <c r="L448" s="81">
        <f ca="1">L408*(1+INDEX(L$331:L$333,MATCH(Work_Codes!$I$218,$D$331:$D$333,0)))</f>
        <v>0</v>
      </c>
      <c r="M448" s="81">
        <f ca="1">M408*(1+INDEX(M$331:M$333,MATCH(Work_Codes!$I$218,$D$331:$D$333,0)))</f>
        <v>0</v>
      </c>
      <c r="N448" s="81">
        <f ca="1">N408*(1+INDEX(N$331:N$333,MATCH(Work_Codes!$I$218,$D$331:$D$333,0)))</f>
        <v>0</v>
      </c>
      <c r="O448" s="81">
        <f ca="1">O408*(1+INDEX(O$331:O$333,MATCH(Work_Codes!$I$218,$D$331:$D$333,0)))</f>
        <v>0</v>
      </c>
      <c r="P448" s="81">
        <f ca="1">P408*(1+INDEX(P$331:P$333,MATCH(Work_Codes!$I$218,$D$331:$D$333,0)))</f>
        <v>0</v>
      </c>
      <c r="Q448" s="81">
        <f ca="1">Q408*(1+INDEX(Q$331:Q$333,MATCH(Work_Codes!$I$218,$D$331:$D$333,0)))</f>
        <v>0</v>
      </c>
      <c r="R448" s="81">
        <f ca="1">R408*(1+INDEX(R$331:R$333,MATCH(Work_Codes!$I$218,$D$331:$D$333,0)))</f>
        <v>0</v>
      </c>
      <c r="S448" s="81">
        <f ca="1">S408*(1+INDEX(S$331:S$333,MATCH(Work_Codes!$I$218,$D$331:$D$333,0)))</f>
        <v>0</v>
      </c>
      <c r="T448" s="81">
        <f ca="1">T408*(1+INDEX(T$331:T$333,MATCH(Work_Codes!$I$218,$D$331:$D$333,0)))</f>
        <v>0</v>
      </c>
    </row>
    <row r="449" spans="4:20" ht="11.5" customHeight="1" outlineLevel="2">
      <c r="E449" s="247" t="str">
        <f>GC!C48</f>
        <v>Other - IT</v>
      </c>
      <c r="F449" s="247"/>
      <c r="G449" s="247"/>
      <c r="H449" s="247"/>
      <c r="I449" s="247"/>
      <c r="J449" s="81">
        <f ca="1">J409*(1+INDEX(J$331:J$333,MATCH(Work_Codes!$I$218,$D$331:$D$333,0)))</f>
        <v>0</v>
      </c>
      <c r="K449" s="81">
        <f ca="1">K409*(1+INDEX(K$331:K$333,MATCH(Work_Codes!$I$218,$D$331:$D$333,0)))</f>
        <v>0</v>
      </c>
      <c r="L449" s="81">
        <f ca="1">L409*(1+INDEX(L$331:L$333,MATCH(Work_Codes!$I$218,$D$331:$D$333,0)))</f>
        <v>0</v>
      </c>
      <c r="M449" s="81">
        <f ca="1">M409*(1+INDEX(M$331:M$333,MATCH(Work_Codes!$I$218,$D$331:$D$333,0)))</f>
        <v>0</v>
      </c>
      <c r="N449" s="81">
        <f ca="1">N409*(1+INDEX(N$331:N$333,MATCH(Work_Codes!$I$218,$D$331:$D$333,0)))</f>
        <v>0</v>
      </c>
      <c r="O449" s="81">
        <f ca="1">O409*(1+INDEX(O$331:O$333,MATCH(Work_Codes!$I$218,$D$331:$D$333,0)))</f>
        <v>0</v>
      </c>
      <c r="P449" s="81">
        <f ca="1">P409*(1+INDEX(P$331:P$333,MATCH(Work_Codes!$I$218,$D$331:$D$333,0)))</f>
        <v>0</v>
      </c>
      <c r="Q449" s="81">
        <f ca="1">Q409*(1+INDEX(Q$331:Q$333,MATCH(Work_Codes!$I$218,$D$331:$D$333,0)))</f>
        <v>0</v>
      </c>
      <c r="R449" s="81">
        <f ca="1">R409*(1+INDEX(R$331:R$333,MATCH(Work_Codes!$I$218,$D$331:$D$333,0)))</f>
        <v>0</v>
      </c>
      <c r="S449" s="81">
        <f ca="1">S409*(1+INDEX(S$331:S$333,MATCH(Work_Codes!$I$218,$D$331:$D$333,0)))</f>
        <v>0</v>
      </c>
      <c r="T449" s="81">
        <f ca="1">T409*(1+INDEX(T$331:T$333,MATCH(Work_Codes!$I$218,$D$331:$D$333,0)))</f>
        <v>0</v>
      </c>
    </row>
    <row r="450" spans="4:20" ht="11.5" customHeight="1" outlineLevel="2">
      <c r="E450" s="247" t="str">
        <f>GC!C49</f>
        <v>Other - non IT</v>
      </c>
      <c r="F450" s="247"/>
      <c r="G450" s="247"/>
      <c r="H450" s="247"/>
      <c r="I450" s="247"/>
      <c r="J450" s="81">
        <f ca="1">J410*(1+INDEX(J$331:J$333,MATCH(Work_Codes!$I$218,$D$331:$D$333,0)))</f>
        <v>0</v>
      </c>
      <c r="K450" s="81">
        <f ca="1">K410*(1+INDEX(K$331:K$333,MATCH(Work_Codes!$I$218,$D$331:$D$333,0)))</f>
        <v>0</v>
      </c>
      <c r="L450" s="81">
        <f ca="1">L410*(1+INDEX(L$331:L$333,MATCH(Work_Codes!$I$218,$D$331:$D$333,0)))</f>
        <v>0</v>
      </c>
      <c r="M450" s="81">
        <f ca="1">M410*(1+INDEX(M$331:M$333,MATCH(Work_Codes!$I$218,$D$331:$D$333,0)))</f>
        <v>0</v>
      </c>
      <c r="N450" s="81">
        <f ca="1">N410*(1+INDEX(N$331:N$333,MATCH(Work_Codes!$I$218,$D$331:$D$333,0)))</f>
        <v>0</v>
      </c>
      <c r="O450" s="81">
        <f ca="1">O410*(1+INDEX(O$331:O$333,MATCH(Work_Codes!$I$218,$D$331:$D$333,0)))</f>
        <v>0</v>
      </c>
      <c r="P450" s="81">
        <f ca="1">P410*(1+INDEX(P$331:P$333,MATCH(Work_Codes!$I$218,$D$331:$D$333,0)))</f>
        <v>0</v>
      </c>
      <c r="Q450" s="81">
        <f ca="1">Q410*(1+INDEX(Q$331:Q$333,MATCH(Work_Codes!$I$218,$D$331:$D$333,0)))</f>
        <v>0</v>
      </c>
      <c r="R450" s="81">
        <f ca="1">R410*(1+INDEX(R$331:R$333,MATCH(Work_Codes!$I$218,$D$331:$D$333,0)))</f>
        <v>0</v>
      </c>
      <c r="S450" s="81">
        <f ca="1">S410*(1+INDEX(S$331:S$333,MATCH(Work_Codes!$I$218,$D$331:$D$333,0)))</f>
        <v>0</v>
      </c>
      <c r="T450" s="81">
        <f ca="1">T410*(1+INDEX(T$331:T$333,MATCH(Work_Codes!$I$218,$D$331:$D$333,0)))</f>
        <v>0</v>
      </c>
    </row>
    <row r="451" spans="4:20" ht="11.5" customHeight="1" outlineLevel="2">
      <c r="E451" s="247" t="str">
        <f>GC!C50</f>
        <v>Land</v>
      </c>
      <c r="F451" s="247"/>
      <c r="G451" s="247"/>
      <c r="H451" s="247"/>
      <c r="I451" s="247"/>
      <c r="J451" s="81">
        <f ca="1">J411*(1+INDEX(J$331:J$333,MATCH(Work_Codes!$I$218,$D$331:$D$333,0)))</f>
        <v>0</v>
      </c>
      <c r="K451" s="81">
        <f ca="1">K411*(1+INDEX(K$331:K$333,MATCH(Work_Codes!$I$218,$D$331:$D$333,0)))</f>
        <v>0</v>
      </c>
      <c r="L451" s="81">
        <f ca="1">L411*(1+INDEX(L$331:L$333,MATCH(Work_Codes!$I$218,$D$331:$D$333,0)))</f>
        <v>0</v>
      </c>
      <c r="M451" s="81">
        <f ca="1">M411*(1+INDEX(M$331:M$333,MATCH(Work_Codes!$I$218,$D$331:$D$333,0)))</f>
        <v>0</v>
      </c>
      <c r="N451" s="81">
        <f ca="1">N411*(1+INDEX(N$331:N$333,MATCH(Work_Codes!$I$218,$D$331:$D$333,0)))</f>
        <v>0</v>
      </c>
      <c r="O451" s="81">
        <f ca="1">O411*(1+INDEX(O$331:O$333,MATCH(Work_Codes!$I$218,$D$331:$D$333,0)))</f>
        <v>0</v>
      </c>
      <c r="P451" s="81">
        <f ca="1">P411*(1+INDEX(P$331:P$333,MATCH(Work_Codes!$I$218,$D$331:$D$333,0)))</f>
        <v>0</v>
      </c>
      <c r="Q451" s="81">
        <f ca="1">Q411*(1+INDEX(Q$331:Q$333,MATCH(Work_Codes!$I$218,$D$331:$D$333,0)))</f>
        <v>0</v>
      </c>
      <c r="R451" s="81">
        <f ca="1">R411*(1+INDEX(R$331:R$333,MATCH(Work_Codes!$I$218,$D$331:$D$333,0)))</f>
        <v>0</v>
      </c>
      <c r="S451" s="81">
        <f ca="1">S411*(1+INDEX(S$331:S$333,MATCH(Work_Codes!$I$218,$D$331:$D$333,0)))</f>
        <v>0</v>
      </c>
      <c r="T451" s="81">
        <f ca="1">T411*(1+INDEX(T$331:T$333,MATCH(Work_Codes!$I$218,$D$331:$D$333,0)))</f>
        <v>0</v>
      </c>
    </row>
    <row r="452" spans="4:20" outlineLevel="2">
      <c r="E452" s="247" t="str">
        <f>GC!C51</f>
        <v>Capitalised Leases</v>
      </c>
      <c r="F452" s="247"/>
      <c r="G452" s="247"/>
      <c r="H452" s="247"/>
      <c r="I452" s="247"/>
      <c r="J452" s="81">
        <f ca="1">J412*(1+INDEX(J$331:J$333,MATCH(Work_Codes!$I$218,$D$331:$D$333,0)))</f>
        <v>0</v>
      </c>
      <c r="K452" s="81">
        <f ca="1">K412*(1+INDEX(K$331:K$333,MATCH(Work_Codes!$I$218,$D$331:$D$333,0)))</f>
        <v>0</v>
      </c>
      <c r="L452" s="81">
        <f ca="1">L412*(1+INDEX(L$331:L$333,MATCH(Work_Codes!$I$218,$D$331:$D$333,0)))</f>
        <v>0</v>
      </c>
      <c r="M452" s="81">
        <f ca="1">M412*(1+INDEX(M$331:M$333,MATCH(Work_Codes!$I$218,$D$331:$D$333,0)))</f>
        <v>0</v>
      </c>
      <c r="N452" s="81">
        <f ca="1">N412*(1+INDEX(N$331:N$333,MATCH(Work_Codes!$I$218,$D$331:$D$333,0)))</f>
        <v>0</v>
      </c>
      <c r="O452" s="81">
        <f ca="1">O412*(1+INDEX(O$331:O$333,MATCH(Work_Codes!$I$218,$D$331:$D$333,0)))</f>
        <v>0</v>
      </c>
      <c r="P452" s="81">
        <f ca="1">P412*(1+INDEX(P$331:P$333,MATCH(Work_Codes!$I$218,$D$331:$D$333,0)))</f>
        <v>0</v>
      </c>
      <c r="Q452" s="81">
        <f ca="1">Q412*(1+INDEX(Q$331:Q$333,MATCH(Work_Codes!$I$218,$D$331:$D$333,0)))</f>
        <v>0</v>
      </c>
      <c r="R452" s="81">
        <f ca="1">R412*(1+INDEX(R$331:R$333,MATCH(Work_Codes!$I$218,$D$331:$D$333,0)))</f>
        <v>0</v>
      </c>
      <c r="S452" s="81">
        <f ca="1">S412*(1+INDEX(S$331:S$333,MATCH(Work_Codes!$I$218,$D$331:$D$333,0)))</f>
        <v>0</v>
      </c>
      <c r="T452" s="81">
        <f ca="1">T412*(1+INDEX(T$331:T$333,MATCH(Work_Codes!$I$218,$D$331:$D$333,0)))</f>
        <v>0</v>
      </c>
    </row>
    <row r="453" spans="4:20" outlineLevel="2">
      <c r="E453" s="247" t="str">
        <f>GC!C52</f>
        <v>Transmission pipelines - post 1998</v>
      </c>
      <c r="F453" s="247"/>
      <c r="G453" s="247"/>
      <c r="H453" s="247"/>
      <c r="I453" s="247"/>
      <c r="J453" s="81">
        <f ca="1">J413*(1+INDEX(J$331:J$333,MATCH(Work_Codes!$I$218,$D$331:$D$333,0)))</f>
        <v>0</v>
      </c>
      <c r="K453" s="81">
        <f ca="1">K413*(1+INDEX(K$331:K$333,MATCH(Work_Codes!$I$218,$D$331:$D$333,0)))</f>
        <v>0</v>
      </c>
      <c r="L453" s="81">
        <f ca="1">L413*(1+INDEX(L$331:L$333,MATCH(Work_Codes!$I$218,$D$331:$D$333,0)))</f>
        <v>0</v>
      </c>
      <c r="M453" s="81">
        <f ca="1">M413*(1+INDEX(M$331:M$333,MATCH(Work_Codes!$I$218,$D$331:$D$333,0)))</f>
        <v>0</v>
      </c>
      <c r="N453" s="81">
        <f ca="1">N413*(1+INDEX(N$331:N$333,MATCH(Work_Codes!$I$218,$D$331:$D$333,0)))</f>
        <v>0</v>
      </c>
      <c r="O453" s="81">
        <f ca="1">O413*(1+INDEX(O$331:O$333,MATCH(Work_Codes!$I$218,$D$331:$D$333,0)))</f>
        <v>0</v>
      </c>
      <c r="P453" s="81">
        <f ca="1">P413*(1+INDEX(P$331:P$333,MATCH(Work_Codes!$I$218,$D$331:$D$333,0)))</f>
        <v>0</v>
      </c>
      <c r="Q453" s="81">
        <f ca="1">Q413*(1+INDEX(Q$331:Q$333,MATCH(Work_Codes!$I$218,$D$331:$D$333,0)))</f>
        <v>0</v>
      </c>
      <c r="R453" s="81">
        <f ca="1">R413*(1+INDEX(R$331:R$333,MATCH(Work_Codes!$I$218,$D$331:$D$333,0)))</f>
        <v>0</v>
      </c>
      <c r="S453" s="81">
        <f ca="1">S413*(1+INDEX(S$331:S$333,MATCH(Work_Codes!$I$218,$D$331:$D$333,0)))</f>
        <v>0</v>
      </c>
      <c r="T453" s="81">
        <f ca="1">T413*(1+INDEX(T$331:T$333,MATCH(Work_Codes!$I$218,$D$331:$D$333,0)))</f>
        <v>0</v>
      </c>
    </row>
    <row r="454" spans="4:20" outlineLevel="2">
      <c r="E454" s="247" t="str">
        <f>GC!C53</f>
        <v>Distribution pipelines - post 1998</v>
      </c>
      <c r="F454" s="247"/>
      <c r="G454" s="247"/>
      <c r="H454" s="247"/>
      <c r="I454" s="247"/>
      <c r="J454" s="81">
        <f ca="1">J414*(1+INDEX(J$331:J$333,MATCH(Work_Codes!$I$218,$D$331:$D$333,0)))</f>
        <v>0</v>
      </c>
      <c r="K454" s="81">
        <f ca="1">K414*(1+INDEX(K$331:K$333,MATCH(Work_Codes!$I$218,$D$331:$D$333,0)))</f>
        <v>0</v>
      </c>
      <c r="L454" s="81">
        <f ca="1">L414*(1+INDEX(L$331:L$333,MATCH(Work_Codes!$I$218,$D$331:$D$333,0)))</f>
        <v>0</v>
      </c>
      <c r="M454" s="81">
        <f ca="1">M414*(1+INDEX(M$331:M$333,MATCH(Work_Codes!$I$218,$D$331:$D$333,0)))</f>
        <v>0</v>
      </c>
      <c r="N454" s="81">
        <f ca="1">N414*(1+INDEX(N$331:N$333,MATCH(Work_Codes!$I$218,$D$331:$D$333,0)))</f>
        <v>0</v>
      </c>
      <c r="O454" s="81">
        <f ca="1">O414*(1+INDEX(O$331:O$333,MATCH(Work_Codes!$I$218,$D$331:$D$333,0)))</f>
        <v>0</v>
      </c>
      <c r="P454" s="81">
        <f ca="1">P414*(1+INDEX(P$331:P$333,MATCH(Work_Codes!$I$218,$D$331:$D$333,0)))</f>
        <v>0</v>
      </c>
      <c r="Q454" s="81">
        <f ca="1">Q414*(1+INDEX(Q$331:Q$333,MATCH(Work_Codes!$I$218,$D$331:$D$333,0)))</f>
        <v>0</v>
      </c>
      <c r="R454" s="81">
        <f ca="1">R414*(1+INDEX(R$331:R$333,MATCH(Work_Codes!$I$218,$D$331:$D$333,0)))</f>
        <v>0</v>
      </c>
      <c r="S454" s="81">
        <f ca="1">S414*(1+INDEX(S$331:S$333,MATCH(Work_Codes!$I$218,$D$331:$D$333,0)))</f>
        <v>0</v>
      </c>
      <c r="T454" s="81">
        <f ca="1">T414*(1+INDEX(T$331:T$333,MATCH(Work_Codes!$I$218,$D$331:$D$333,0)))</f>
        <v>0</v>
      </c>
    </row>
    <row r="455" spans="4:20" outlineLevel="2">
      <c r="E455" s="247" t="str">
        <f>GC!C54</f>
        <v>Service pipes - post 1998</v>
      </c>
      <c r="F455" s="247"/>
      <c r="G455" s="247"/>
      <c r="H455" s="247"/>
      <c r="I455" s="247"/>
      <c r="J455" s="81">
        <f ca="1">J415*(1+INDEX(J$331:J$333,MATCH(Work_Codes!$I$218,$D$331:$D$333,0)))</f>
        <v>0</v>
      </c>
      <c r="K455" s="81">
        <f ca="1">K415*(1+INDEX(K$331:K$333,MATCH(Work_Codes!$I$218,$D$331:$D$333,0)))</f>
        <v>0</v>
      </c>
      <c r="L455" s="81">
        <f ca="1">L415*(1+INDEX(L$331:L$333,MATCH(Work_Codes!$I$218,$D$331:$D$333,0)))</f>
        <v>0</v>
      </c>
      <c r="M455" s="81">
        <f ca="1">M415*(1+INDEX(M$331:M$333,MATCH(Work_Codes!$I$218,$D$331:$D$333,0)))</f>
        <v>0</v>
      </c>
      <c r="N455" s="81">
        <f ca="1">N415*(1+INDEX(N$331:N$333,MATCH(Work_Codes!$I$218,$D$331:$D$333,0)))</f>
        <v>0</v>
      </c>
      <c r="O455" s="81">
        <f ca="1">O415*(1+INDEX(O$331:O$333,MATCH(Work_Codes!$I$218,$D$331:$D$333,0)))</f>
        <v>0</v>
      </c>
      <c r="P455" s="81">
        <f ca="1">P415*(1+INDEX(P$331:P$333,MATCH(Work_Codes!$I$218,$D$331:$D$333,0)))</f>
        <v>0</v>
      </c>
      <c r="Q455" s="81">
        <f ca="1">Q415*(1+INDEX(Q$331:Q$333,MATCH(Work_Codes!$I$218,$D$331:$D$333,0)))</f>
        <v>0</v>
      </c>
      <c r="R455" s="81">
        <f ca="1">R415*(1+INDEX(R$331:R$333,MATCH(Work_Codes!$I$218,$D$331:$D$333,0)))</f>
        <v>0</v>
      </c>
      <c r="S455" s="81">
        <f ca="1">S415*(1+INDEX(S$331:S$333,MATCH(Work_Codes!$I$218,$D$331:$D$333,0)))</f>
        <v>0</v>
      </c>
      <c r="T455" s="81">
        <f ca="1">T415*(1+INDEX(T$331:T$333,MATCH(Work_Codes!$I$218,$D$331:$D$333,0)))</f>
        <v>0</v>
      </c>
    </row>
    <row r="456" spans="4:20" outlineLevel="2">
      <c r="E456" s="247" t="str">
        <f>GC!C55</f>
        <v>Cathodic protection - post 1998</v>
      </c>
      <c r="F456" s="247"/>
      <c r="G456" s="247"/>
      <c r="H456" s="247"/>
      <c r="I456" s="247"/>
      <c r="J456" s="81">
        <f ca="1">J416*(1+INDEX(J$331:J$333,MATCH(Work_Codes!$I$218,$D$331:$D$333,0)))</f>
        <v>0</v>
      </c>
      <c r="K456" s="81">
        <f ca="1">K416*(1+INDEX(K$331:K$333,MATCH(Work_Codes!$I$218,$D$331:$D$333,0)))</f>
        <v>0</v>
      </c>
      <c r="L456" s="81">
        <f ca="1">L416*(1+INDEX(L$331:L$333,MATCH(Work_Codes!$I$218,$D$331:$D$333,0)))</f>
        <v>0</v>
      </c>
      <c r="M456" s="81">
        <f ca="1">M416*(1+INDEX(M$331:M$333,MATCH(Work_Codes!$I$218,$D$331:$D$333,0)))</f>
        <v>0</v>
      </c>
      <c r="N456" s="81">
        <f ca="1">N416*(1+INDEX(N$331:N$333,MATCH(Work_Codes!$I$218,$D$331:$D$333,0)))</f>
        <v>0</v>
      </c>
      <c r="O456" s="81">
        <f ca="1">O416*(1+INDEX(O$331:O$333,MATCH(Work_Codes!$I$218,$D$331:$D$333,0)))</f>
        <v>0</v>
      </c>
      <c r="P456" s="81">
        <f ca="1">P416*(1+INDEX(P$331:P$333,MATCH(Work_Codes!$I$218,$D$331:$D$333,0)))</f>
        <v>0</v>
      </c>
      <c r="Q456" s="81">
        <f ca="1">Q416*(1+INDEX(Q$331:Q$333,MATCH(Work_Codes!$I$218,$D$331:$D$333,0)))</f>
        <v>0</v>
      </c>
      <c r="R456" s="81">
        <f ca="1">R416*(1+INDEX(R$331:R$333,MATCH(Work_Codes!$I$218,$D$331:$D$333,0)))</f>
        <v>0</v>
      </c>
      <c r="S456" s="81">
        <f ca="1">S416*(1+INDEX(S$331:S$333,MATCH(Work_Codes!$I$218,$D$331:$D$333,0)))</f>
        <v>0</v>
      </c>
      <c r="T456" s="81">
        <f ca="1">T416*(1+INDEX(T$331:T$333,MATCH(Work_Codes!$I$218,$D$331:$D$333,0)))</f>
        <v>0</v>
      </c>
    </row>
    <row r="457" spans="4:20" ht="12" customHeight="1" outlineLevel="2">
      <c r="E457" s="249" t="str">
        <f>"Total "&amp;D439</f>
        <v>Total Direct Costs + Overheads</v>
      </c>
      <c r="F457" s="249"/>
      <c r="G457" s="249"/>
      <c r="H457" s="249"/>
      <c r="I457" s="249"/>
      <c r="J457" s="82">
        <f t="shared" ref="J457:T457" ca="1" si="48">SUM(J441:J456)</f>
        <v>0</v>
      </c>
      <c r="K457" s="82">
        <f t="shared" ca="1" si="48"/>
        <v>0</v>
      </c>
      <c r="L457" s="82">
        <f t="shared" ca="1" si="48"/>
        <v>0</v>
      </c>
      <c r="M457" s="82">
        <f t="shared" ca="1" si="48"/>
        <v>0</v>
      </c>
      <c r="N457" s="82">
        <f t="shared" ca="1" si="48"/>
        <v>104420.70631978351</v>
      </c>
      <c r="O457" s="82">
        <f t="shared" ca="1" si="48"/>
        <v>51669.567317266868</v>
      </c>
      <c r="P457" s="82">
        <f t="shared" ca="1" si="48"/>
        <v>102696.27376837724</v>
      </c>
      <c r="Q457" s="82">
        <f t="shared" ca="1" si="48"/>
        <v>102643.21708267494</v>
      </c>
      <c r="R457" s="82">
        <f t="shared" ca="1" si="48"/>
        <v>102747.50630410123</v>
      </c>
      <c r="S457" s="82">
        <f t="shared" ca="1" si="48"/>
        <v>102938.23094242708</v>
      </c>
      <c r="T457" s="82">
        <f t="shared" ca="1" si="48"/>
        <v>103099.35991194547</v>
      </c>
    </row>
    <row r="458" spans="4:20" outlineLevel="2"/>
    <row r="459" spans="4:20" outlineLevel="2">
      <c r="D459" s="37" t="s">
        <v>367</v>
      </c>
    </row>
    <row r="460" spans="4:20" ht="5.9" customHeight="1" outlineLevel="2"/>
    <row r="461" spans="4:20" outlineLevel="2">
      <c r="E461" s="247" t="str">
        <f>GC!C40</f>
        <v>Transmission pipelines</v>
      </c>
      <c r="F461" s="247"/>
      <c r="G461" s="247"/>
      <c r="H461" s="247"/>
      <c r="I461" s="247"/>
      <c r="J461" s="81">
        <f ca="1">SUMPRODUCT((Work_Codes!$N$221:$Y$221=$E461)*(Work_Codes!$N$229:$Y$229)*(J$361:J$361))</f>
        <v>0</v>
      </c>
      <c r="K461" s="81">
        <f ca="1">SUMPRODUCT((Work_Codes!$N$221:$Y$221=$E461)*(Work_Codes!$N$229:$Y$229)*(K$361:K$361))</f>
        <v>0</v>
      </c>
      <c r="L461" s="81">
        <f ca="1">SUMPRODUCT((Work_Codes!$N$221:$Y$221=$E461)*(Work_Codes!$N$229:$Y$229)*(L$361:L$361))</f>
        <v>0</v>
      </c>
      <c r="M461" s="81">
        <f ca="1">SUMPRODUCT((Work_Codes!$N$221:$Y$221=$E461)*(Work_Codes!$N$229:$Y$229)*(M$361:M$361))</f>
        <v>0</v>
      </c>
      <c r="N461" s="81">
        <f ca="1">SUMPRODUCT((Work_Codes!$N$221:$Y$221=$E461)*(Work_Codes!$N$229:$Y$229)*(N$361:N$361))</f>
        <v>0</v>
      </c>
      <c r="O461" s="81">
        <f ca="1">SUMPRODUCT((Work_Codes!$N$221:$Y$221=$E461)*(Work_Codes!$N$229:$Y$229)*(O$361:O$361))</f>
        <v>0</v>
      </c>
      <c r="P461" s="81">
        <f ca="1">SUMPRODUCT((Work_Codes!$N$221:$Y$221=$E461)*(Work_Codes!$N$229:$Y$229)*(P$361:P$361))</f>
        <v>0</v>
      </c>
      <c r="Q461" s="81">
        <f ca="1">SUMPRODUCT((Work_Codes!$N$221:$Y$221=$E461)*(Work_Codes!$N$229:$Y$229)*(Q$361:Q$361))</f>
        <v>0</v>
      </c>
      <c r="R461" s="81">
        <f ca="1">SUMPRODUCT((Work_Codes!$N$221:$Y$221=$E461)*(Work_Codes!$N$229:$Y$229)*(R$361:R$361))</f>
        <v>0</v>
      </c>
      <c r="S461" s="81">
        <f ca="1">SUMPRODUCT((Work_Codes!$N$221:$Y$221=$E461)*(Work_Codes!$N$229:$Y$229)*(S$361:S$361))</f>
        <v>0</v>
      </c>
      <c r="T461" s="81">
        <f ca="1">SUMPRODUCT((Work_Codes!$N$221:$Y$221=$E461)*(Work_Codes!$N$229:$Y$229)*(T$361:T$361))</f>
        <v>0</v>
      </c>
    </row>
    <row r="462" spans="4:20" outlineLevel="2">
      <c r="E462" s="247" t="str">
        <f>GC!C41</f>
        <v>Distribution pipelines</v>
      </c>
      <c r="F462" s="247"/>
      <c r="G462" s="247"/>
      <c r="H462" s="247"/>
      <c r="I462" s="247"/>
      <c r="J462" s="81">
        <f ca="1">SUMPRODUCT((Work_Codes!$N$221:$Y$221=$E462)*(Work_Codes!$N$229:$Y$229)*(J$361:J$361))</f>
        <v>0</v>
      </c>
      <c r="K462" s="81">
        <f ca="1">SUMPRODUCT((Work_Codes!$N$221:$Y$221=$E462)*(Work_Codes!$N$229:$Y$229)*(K$361:K$361))</f>
        <v>0</v>
      </c>
      <c r="L462" s="81">
        <f ca="1">SUMPRODUCT((Work_Codes!$N$221:$Y$221=$E462)*(Work_Codes!$N$229:$Y$229)*(L$361:L$361))</f>
        <v>0</v>
      </c>
      <c r="M462" s="81">
        <f ca="1">SUMPRODUCT((Work_Codes!$N$221:$Y$221=$E462)*(Work_Codes!$N$229:$Y$229)*(M$361:M$361))</f>
        <v>0</v>
      </c>
      <c r="N462" s="81">
        <f ca="1">SUMPRODUCT((Work_Codes!$N$221:$Y$221=$E462)*(Work_Codes!$N$229:$Y$229)*(N$361:N$361))</f>
        <v>0</v>
      </c>
      <c r="O462" s="81">
        <f ca="1">SUMPRODUCT((Work_Codes!$N$221:$Y$221=$E462)*(Work_Codes!$N$229:$Y$229)*(O$361:O$361))</f>
        <v>0</v>
      </c>
      <c r="P462" s="81">
        <f ca="1">SUMPRODUCT((Work_Codes!$N$221:$Y$221=$E462)*(Work_Codes!$N$229:$Y$229)*(P$361:P$361))</f>
        <v>0</v>
      </c>
      <c r="Q462" s="81">
        <f ca="1">SUMPRODUCT((Work_Codes!$N$221:$Y$221=$E462)*(Work_Codes!$N$229:$Y$229)*(Q$361:Q$361))</f>
        <v>0</v>
      </c>
      <c r="R462" s="81">
        <f ca="1">SUMPRODUCT((Work_Codes!$N$221:$Y$221=$E462)*(Work_Codes!$N$229:$Y$229)*(R$361:R$361))</f>
        <v>0</v>
      </c>
      <c r="S462" s="81">
        <f ca="1">SUMPRODUCT((Work_Codes!$N$221:$Y$221=$E462)*(Work_Codes!$N$229:$Y$229)*(S$361:S$361))</f>
        <v>0</v>
      </c>
      <c r="T462" s="81">
        <f ca="1">SUMPRODUCT((Work_Codes!$N$221:$Y$221=$E462)*(Work_Codes!$N$229:$Y$229)*(T$361:T$361))</f>
        <v>0</v>
      </c>
    </row>
    <row r="463" spans="4:20" outlineLevel="2">
      <c r="E463" s="247" t="str">
        <f>GC!C42</f>
        <v>Service pipes</v>
      </c>
      <c r="F463" s="247"/>
      <c r="G463" s="247"/>
      <c r="H463" s="247"/>
      <c r="I463" s="247"/>
      <c r="J463" s="81">
        <f ca="1">SUMPRODUCT((Work_Codes!$N$221:$Y$221=$E463)*(Work_Codes!$N$229:$Y$229)*(J$361:J$361))</f>
        <v>0</v>
      </c>
      <c r="K463" s="81">
        <f ca="1">SUMPRODUCT((Work_Codes!$N$221:$Y$221=$E463)*(Work_Codes!$N$229:$Y$229)*(K$361:K$361))</f>
        <v>0</v>
      </c>
      <c r="L463" s="81">
        <f ca="1">SUMPRODUCT((Work_Codes!$N$221:$Y$221=$E463)*(Work_Codes!$N$229:$Y$229)*(L$361:L$361))</f>
        <v>0</v>
      </c>
      <c r="M463" s="81">
        <f ca="1">SUMPRODUCT((Work_Codes!$N$221:$Y$221=$E463)*(Work_Codes!$N$229:$Y$229)*(M$361:M$361))</f>
        <v>0</v>
      </c>
      <c r="N463" s="81">
        <f ca="1">SUMPRODUCT((Work_Codes!$N$221:$Y$221=$E463)*(Work_Codes!$N$229:$Y$229)*(N$361:N$361))</f>
        <v>0</v>
      </c>
      <c r="O463" s="81">
        <f ca="1">SUMPRODUCT((Work_Codes!$N$221:$Y$221=$E463)*(Work_Codes!$N$229:$Y$229)*(O$361:O$361))</f>
        <v>0</v>
      </c>
      <c r="P463" s="81">
        <f ca="1">SUMPRODUCT((Work_Codes!$N$221:$Y$221=$E463)*(Work_Codes!$N$229:$Y$229)*(P$361:P$361))</f>
        <v>0</v>
      </c>
      <c r="Q463" s="81">
        <f ca="1">SUMPRODUCT((Work_Codes!$N$221:$Y$221=$E463)*(Work_Codes!$N$229:$Y$229)*(Q$361:Q$361))</f>
        <v>0</v>
      </c>
      <c r="R463" s="81">
        <f ca="1">SUMPRODUCT((Work_Codes!$N$221:$Y$221=$E463)*(Work_Codes!$N$229:$Y$229)*(R$361:R$361))</f>
        <v>0</v>
      </c>
      <c r="S463" s="81">
        <f ca="1">SUMPRODUCT((Work_Codes!$N$221:$Y$221=$E463)*(Work_Codes!$N$229:$Y$229)*(S$361:S$361))</f>
        <v>0</v>
      </c>
      <c r="T463" s="81">
        <f ca="1">SUMPRODUCT((Work_Codes!$N$221:$Y$221=$E463)*(Work_Codes!$N$229:$Y$229)*(T$361:T$361))</f>
        <v>0</v>
      </c>
    </row>
    <row r="464" spans="4:20" outlineLevel="2">
      <c r="E464" s="247" t="str">
        <f>GC!C43</f>
        <v>Cathodic protection</v>
      </c>
      <c r="F464" s="247"/>
      <c r="G464" s="247"/>
      <c r="H464" s="247"/>
      <c r="I464" s="247"/>
      <c r="J464" s="81">
        <f ca="1">SUMPRODUCT((Work_Codes!$N$221:$Y$221=$E464)*(Work_Codes!$N$229:$Y$229)*(J$361:J$361))</f>
        <v>0</v>
      </c>
      <c r="K464" s="81">
        <f ca="1">SUMPRODUCT((Work_Codes!$N$221:$Y$221=$E464)*(Work_Codes!$N$229:$Y$229)*(K$361:K$361))</f>
        <v>0</v>
      </c>
      <c r="L464" s="81">
        <f ca="1">SUMPRODUCT((Work_Codes!$N$221:$Y$221=$E464)*(Work_Codes!$N$229:$Y$229)*(L$361:L$361))</f>
        <v>0</v>
      </c>
      <c r="M464" s="81">
        <f ca="1">SUMPRODUCT((Work_Codes!$N$221:$Y$221=$E464)*(Work_Codes!$N$229:$Y$229)*(M$361:M$361))</f>
        <v>0</v>
      </c>
      <c r="N464" s="81">
        <f ca="1">SUMPRODUCT((Work_Codes!$N$221:$Y$221=$E464)*(Work_Codes!$N$229:$Y$229)*(N$361:N$361))</f>
        <v>0</v>
      </c>
      <c r="O464" s="81">
        <f ca="1">SUMPRODUCT((Work_Codes!$N$221:$Y$221=$E464)*(Work_Codes!$N$229:$Y$229)*(O$361:O$361))</f>
        <v>0</v>
      </c>
      <c r="P464" s="81">
        <f ca="1">SUMPRODUCT((Work_Codes!$N$221:$Y$221=$E464)*(Work_Codes!$N$229:$Y$229)*(P$361:P$361))</f>
        <v>0</v>
      </c>
      <c r="Q464" s="81">
        <f ca="1">SUMPRODUCT((Work_Codes!$N$221:$Y$221=$E464)*(Work_Codes!$N$229:$Y$229)*(Q$361:Q$361))</f>
        <v>0</v>
      </c>
      <c r="R464" s="81">
        <f ca="1">SUMPRODUCT((Work_Codes!$N$221:$Y$221=$E464)*(Work_Codes!$N$229:$Y$229)*(R$361:R$361))</f>
        <v>0</v>
      </c>
      <c r="S464" s="81">
        <f ca="1">SUMPRODUCT((Work_Codes!$N$221:$Y$221=$E464)*(Work_Codes!$N$229:$Y$229)*(S$361:S$361))</f>
        <v>0</v>
      </c>
      <c r="T464" s="81">
        <f ca="1">SUMPRODUCT((Work_Codes!$N$221:$Y$221=$E464)*(Work_Codes!$N$229:$Y$229)*(T$361:T$361))</f>
        <v>0</v>
      </c>
    </row>
    <row r="465" spans="2:20" outlineLevel="2">
      <c r="E465" s="247" t="str">
        <f>GC!C44</f>
        <v>Supply Regulators / Valve Stations</v>
      </c>
      <c r="F465" s="247"/>
      <c r="G465" s="247"/>
      <c r="H465" s="247"/>
      <c r="I465" s="247"/>
      <c r="J465" s="81">
        <f ca="1">SUMPRODUCT((Work_Codes!$N$221:$Y$221=$E465)*(Work_Codes!$N$229:$Y$229)*(J$361:J$361))</f>
        <v>0</v>
      </c>
      <c r="K465" s="81">
        <f ca="1">SUMPRODUCT((Work_Codes!$N$221:$Y$221=$E465)*(Work_Codes!$N$229:$Y$229)*(K$361:K$361))</f>
        <v>0</v>
      </c>
      <c r="L465" s="81">
        <f ca="1">SUMPRODUCT((Work_Codes!$N$221:$Y$221=$E465)*(Work_Codes!$N$229:$Y$229)*(L$361:L$361))</f>
        <v>0</v>
      </c>
      <c r="M465" s="81">
        <f ca="1">SUMPRODUCT((Work_Codes!$N$221:$Y$221=$E465)*(Work_Codes!$N$229:$Y$229)*(M$361:M$361))</f>
        <v>0</v>
      </c>
      <c r="N465" s="81">
        <f ca="1">SUMPRODUCT((Work_Codes!$N$221:$Y$221=$E465)*(Work_Codes!$N$229:$Y$229)*(N$361:N$361))</f>
        <v>0</v>
      </c>
      <c r="O465" s="81">
        <f ca="1">SUMPRODUCT((Work_Codes!$N$221:$Y$221=$E465)*(Work_Codes!$N$229:$Y$229)*(O$361:O$361))</f>
        <v>0</v>
      </c>
      <c r="P465" s="81">
        <f ca="1">SUMPRODUCT((Work_Codes!$N$221:$Y$221=$E465)*(Work_Codes!$N$229:$Y$229)*(P$361:P$361))</f>
        <v>0</v>
      </c>
      <c r="Q465" s="81">
        <f ca="1">SUMPRODUCT((Work_Codes!$N$221:$Y$221=$E465)*(Work_Codes!$N$229:$Y$229)*(Q$361:Q$361))</f>
        <v>0</v>
      </c>
      <c r="R465" s="81">
        <f ca="1">SUMPRODUCT((Work_Codes!$N$221:$Y$221=$E465)*(Work_Codes!$N$229:$Y$229)*(R$361:R$361))</f>
        <v>0</v>
      </c>
      <c r="S465" s="81">
        <f ca="1">SUMPRODUCT((Work_Codes!$N$221:$Y$221=$E465)*(Work_Codes!$N$229:$Y$229)*(S$361:S$361))</f>
        <v>0</v>
      </c>
      <c r="T465" s="81">
        <f ca="1">SUMPRODUCT((Work_Codes!$N$221:$Y$221=$E465)*(Work_Codes!$N$229:$Y$229)*(T$361:T$361))</f>
        <v>0</v>
      </c>
    </row>
    <row r="466" spans="2:20" outlineLevel="2">
      <c r="E466" s="247" t="str">
        <f>GC!C45</f>
        <v>Meters</v>
      </c>
      <c r="F466" s="247"/>
      <c r="G466" s="247"/>
      <c r="H466" s="247"/>
      <c r="I466" s="247"/>
      <c r="J466" s="81">
        <f ca="1">SUMPRODUCT((Work_Codes!$N$221:$Y$221=$E466)*(Work_Codes!$N$229:$Y$229)*(J$361:J$361))</f>
        <v>0</v>
      </c>
      <c r="K466" s="81">
        <f ca="1">SUMPRODUCT((Work_Codes!$N$221:$Y$221=$E466)*(Work_Codes!$N$229:$Y$229)*(K$361:K$361))</f>
        <v>0</v>
      </c>
      <c r="L466" s="81">
        <f ca="1">SUMPRODUCT((Work_Codes!$N$221:$Y$221=$E466)*(Work_Codes!$N$229:$Y$229)*(L$361:L$361))</f>
        <v>0</v>
      </c>
      <c r="M466" s="81">
        <f ca="1">SUMPRODUCT((Work_Codes!$N$221:$Y$221=$E466)*(Work_Codes!$N$229:$Y$229)*(M$361:M$361))</f>
        <v>0</v>
      </c>
      <c r="N466" s="81">
        <f ca="1">SUMPRODUCT((Work_Codes!$N$221:$Y$221=$E466)*(Work_Codes!$N$229:$Y$229)*(N$361:N$361))</f>
        <v>0</v>
      </c>
      <c r="O466" s="81">
        <f ca="1">SUMPRODUCT((Work_Codes!$N$221:$Y$221=$E466)*(Work_Codes!$N$229:$Y$229)*(O$361:O$361))</f>
        <v>0</v>
      </c>
      <c r="P466" s="81">
        <f ca="1">SUMPRODUCT((Work_Codes!$N$221:$Y$221=$E466)*(Work_Codes!$N$229:$Y$229)*(P$361:P$361))</f>
        <v>0</v>
      </c>
      <c r="Q466" s="81">
        <f ca="1">SUMPRODUCT((Work_Codes!$N$221:$Y$221=$E466)*(Work_Codes!$N$229:$Y$229)*(Q$361:Q$361))</f>
        <v>0</v>
      </c>
      <c r="R466" s="81">
        <f ca="1">SUMPRODUCT((Work_Codes!$N$221:$Y$221=$E466)*(Work_Codes!$N$229:$Y$229)*(R$361:R$361))</f>
        <v>0</v>
      </c>
      <c r="S466" s="81">
        <f ca="1">SUMPRODUCT((Work_Codes!$N$221:$Y$221=$E466)*(Work_Codes!$N$229:$Y$229)*(S$361:S$361))</f>
        <v>0</v>
      </c>
      <c r="T466" s="81">
        <f ca="1">SUMPRODUCT((Work_Codes!$N$221:$Y$221=$E466)*(Work_Codes!$N$229:$Y$229)*(T$361:T$361))</f>
        <v>0</v>
      </c>
    </row>
    <row r="467" spans="2:20" outlineLevel="2">
      <c r="E467" s="247" t="str">
        <f>GC!C46</f>
        <v>SCADA and remote control</v>
      </c>
      <c r="F467" s="247"/>
      <c r="G467" s="247"/>
      <c r="H467" s="247"/>
      <c r="I467" s="247"/>
      <c r="J467" s="81">
        <f ca="1">SUMPRODUCT((Work_Codes!$N$221:$Y$221=$E467)*(Work_Codes!$N$229:$Y$229)*(J$361:J$361))</f>
        <v>0</v>
      </c>
      <c r="K467" s="81">
        <f ca="1">SUMPRODUCT((Work_Codes!$N$221:$Y$221=$E467)*(Work_Codes!$N$229:$Y$229)*(K$361:K$361))</f>
        <v>0</v>
      </c>
      <c r="L467" s="81">
        <f ca="1">SUMPRODUCT((Work_Codes!$N$221:$Y$221=$E467)*(Work_Codes!$N$229:$Y$229)*(L$361:L$361))</f>
        <v>0</v>
      </c>
      <c r="M467" s="81">
        <f ca="1">SUMPRODUCT((Work_Codes!$N$221:$Y$221=$E467)*(Work_Codes!$N$229:$Y$229)*(M$361:M$361))</f>
        <v>0</v>
      </c>
      <c r="N467" s="81">
        <f ca="1">SUMPRODUCT((Work_Codes!$N$221:$Y$221=$E467)*(Work_Codes!$N$229:$Y$229)*(N$361:N$361))</f>
        <v>0</v>
      </c>
      <c r="O467" s="81">
        <f ca="1">SUMPRODUCT((Work_Codes!$N$221:$Y$221=$E467)*(Work_Codes!$N$229:$Y$229)*(O$361:O$361))</f>
        <v>0</v>
      </c>
      <c r="P467" s="81">
        <f ca="1">SUMPRODUCT((Work_Codes!$N$221:$Y$221=$E467)*(Work_Codes!$N$229:$Y$229)*(P$361:P$361))</f>
        <v>0</v>
      </c>
      <c r="Q467" s="81">
        <f ca="1">SUMPRODUCT((Work_Codes!$N$221:$Y$221=$E467)*(Work_Codes!$N$229:$Y$229)*(Q$361:Q$361))</f>
        <v>0</v>
      </c>
      <c r="R467" s="81">
        <f ca="1">SUMPRODUCT((Work_Codes!$N$221:$Y$221=$E467)*(Work_Codes!$N$229:$Y$229)*(R$361:R$361))</f>
        <v>0</v>
      </c>
      <c r="S467" s="81">
        <f ca="1">SUMPRODUCT((Work_Codes!$N$221:$Y$221=$E467)*(Work_Codes!$N$229:$Y$229)*(S$361:S$361))</f>
        <v>0</v>
      </c>
      <c r="T467" s="81">
        <f ca="1">SUMPRODUCT((Work_Codes!$N$221:$Y$221=$E467)*(Work_Codes!$N$229:$Y$229)*(T$361:T$361))</f>
        <v>0</v>
      </c>
    </row>
    <row r="468" spans="2:20" outlineLevel="2">
      <c r="E468" s="247" t="str">
        <f>GC!C47</f>
        <v>Buildings</v>
      </c>
      <c r="F468" s="247"/>
      <c r="G468" s="247"/>
      <c r="H468" s="247"/>
      <c r="I468" s="247"/>
      <c r="J468" s="81">
        <f ca="1">SUMPRODUCT((Work_Codes!$N$221:$Y$221=$E468)*(Work_Codes!$N$229:$Y$229)*(J$361:J$361))</f>
        <v>0</v>
      </c>
      <c r="K468" s="81">
        <f ca="1">SUMPRODUCT((Work_Codes!$N$221:$Y$221=$E468)*(Work_Codes!$N$229:$Y$229)*(K$361:K$361))</f>
        <v>0</v>
      </c>
      <c r="L468" s="81">
        <f ca="1">SUMPRODUCT((Work_Codes!$N$221:$Y$221=$E468)*(Work_Codes!$N$229:$Y$229)*(L$361:L$361))</f>
        <v>0</v>
      </c>
      <c r="M468" s="81">
        <f ca="1">SUMPRODUCT((Work_Codes!$N$221:$Y$221=$E468)*(Work_Codes!$N$229:$Y$229)*(M$361:M$361))</f>
        <v>0</v>
      </c>
      <c r="N468" s="81">
        <f ca="1">SUMPRODUCT((Work_Codes!$N$221:$Y$221=$E468)*(Work_Codes!$N$229:$Y$229)*(N$361:N$361))</f>
        <v>0</v>
      </c>
      <c r="O468" s="81">
        <f ca="1">SUMPRODUCT((Work_Codes!$N$221:$Y$221=$E468)*(Work_Codes!$N$229:$Y$229)*(O$361:O$361))</f>
        <v>0</v>
      </c>
      <c r="P468" s="81">
        <f ca="1">SUMPRODUCT((Work_Codes!$N$221:$Y$221=$E468)*(Work_Codes!$N$229:$Y$229)*(P$361:P$361))</f>
        <v>0</v>
      </c>
      <c r="Q468" s="81">
        <f ca="1">SUMPRODUCT((Work_Codes!$N$221:$Y$221=$E468)*(Work_Codes!$N$229:$Y$229)*(Q$361:Q$361))</f>
        <v>0</v>
      </c>
      <c r="R468" s="81">
        <f ca="1">SUMPRODUCT((Work_Codes!$N$221:$Y$221=$E468)*(Work_Codes!$N$229:$Y$229)*(R$361:R$361))</f>
        <v>0</v>
      </c>
      <c r="S468" s="81">
        <f ca="1">SUMPRODUCT((Work_Codes!$N$221:$Y$221=$E468)*(Work_Codes!$N$229:$Y$229)*(S$361:S$361))</f>
        <v>0</v>
      </c>
      <c r="T468" s="81">
        <f ca="1">SUMPRODUCT((Work_Codes!$N$221:$Y$221=$E468)*(Work_Codes!$N$229:$Y$229)*(T$361:T$361))</f>
        <v>0</v>
      </c>
    </row>
    <row r="469" spans="2:20" outlineLevel="2">
      <c r="E469" s="247" t="str">
        <f>GC!C48</f>
        <v>Other - IT</v>
      </c>
      <c r="F469" s="247"/>
      <c r="G469" s="247"/>
      <c r="H469" s="247"/>
      <c r="I469" s="247"/>
      <c r="J469" s="81">
        <f ca="1">SUMPRODUCT((Work_Codes!$N$221:$Y$221=$E469)*(Work_Codes!$N$229:$Y$229)*(J$361:J$361))</f>
        <v>0</v>
      </c>
      <c r="K469" s="81">
        <f ca="1">SUMPRODUCT((Work_Codes!$N$221:$Y$221=$E469)*(Work_Codes!$N$229:$Y$229)*(K$361:K$361))</f>
        <v>0</v>
      </c>
      <c r="L469" s="81">
        <f ca="1">SUMPRODUCT((Work_Codes!$N$221:$Y$221=$E469)*(Work_Codes!$N$229:$Y$229)*(L$361:L$361))</f>
        <v>0</v>
      </c>
      <c r="M469" s="81">
        <f ca="1">SUMPRODUCT((Work_Codes!$N$221:$Y$221=$E469)*(Work_Codes!$N$229:$Y$229)*(M$361:M$361))</f>
        <v>0</v>
      </c>
      <c r="N469" s="81">
        <f ca="1">SUMPRODUCT((Work_Codes!$N$221:$Y$221=$E469)*(Work_Codes!$N$229:$Y$229)*(N$361:N$361))</f>
        <v>0</v>
      </c>
      <c r="O469" s="81">
        <f ca="1">SUMPRODUCT((Work_Codes!$N$221:$Y$221=$E469)*(Work_Codes!$N$229:$Y$229)*(O$361:O$361))</f>
        <v>0</v>
      </c>
      <c r="P469" s="81">
        <f ca="1">SUMPRODUCT((Work_Codes!$N$221:$Y$221=$E469)*(Work_Codes!$N$229:$Y$229)*(P$361:P$361))</f>
        <v>0</v>
      </c>
      <c r="Q469" s="81">
        <f ca="1">SUMPRODUCT((Work_Codes!$N$221:$Y$221=$E469)*(Work_Codes!$N$229:$Y$229)*(Q$361:Q$361))</f>
        <v>0</v>
      </c>
      <c r="R469" s="81">
        <f ca="1">SUMPRODUCT((Work_Codes!$N$221:$Y$221=$E469)*(Work_Codes!$N$229:$Y$229)*(R$361:R$361))</f>
        <v>0</v>
      </c>
      <c r="S469" s="81">
        <f ca="1">SUMPRODUCT((Work_Codes!$N$221:$Y$221=$E469)*(Work_Codes!$N$229:$Y$229)*(S$361:S$361))</f>
        <v>0</v>
      </c>
      <c r="T469" s="81">
        <f ca="1">SUMPRODUCT((Work_Codes!$N$221:$Y$221=$E469)*(Work_Codes!$N$229:$Y$229)*(T$361:T$361))</f>
        <v>0</v>
      </c>
    </row>
    <row r="470" spans="2:20" outlineLevel="2">
      <c r="E470" s="247" t="str">
        <f>GC!C49</f>
        <v>Other - non IT</v>
      </c>
      <c r="F470" s="247"/>
      <c r="G470" s="247"/>
      <c r="H470" s="247"/>
      <c r="I470" s="247"/>
      <c r="J470" s="81">
        <f ca="1">SUMPRODUCT((Work_Codes!$N$221:$Y$221=$E470)*(Work_Codes!$N$229:$Y$229)*(J$361:J$361))</f>
        <v>0</v>
      </c>
      <c r="K470" s="81">
        <f ca="1">SUMPRODUCT((Work_Codes!$N$221:$Y$221=$E470)*(Work_Codes!$N$229:$Y$229)*(K$361:K$361))</f>
        <v>0</v>
      </c>
      <c r="L470" s="81">
        <f ca="1">SUMPRODUCT((Work_Codes!$N$221:$Y$221=$E470)*(Work_Codes!$N$229:$Y$229)*(L$361:L$361))</f>
        <v>0</v>
      </c>
      <c r="M470" s="81">
        <f ca="1">SUMPRODUCT((Work_Codes!$N$221:$Y$221=$E470)*(Work_Codes!$N$229:$Y$229)*(M$361:M$361))</f>
        <v>0</v>
      </c>
      <c r="N470" s="81">
        <f ca="1">SUMPRODUCT((Work_Codes!$N$221:$Y$221=$E470)*(Work_Codes!$N$229:$Y$229)*(N$361:N$361))</f>
        <v>0</v>
      </c>
      <c r="O470" s="81">
        <f ca="1">SUMPRODUCT((Work_Codes!$N$221:$Y$221=$E470)*(Work_Codes!$N$229:$Y$229)*(O$361:O$361))</f>
        <v>0</v>
      </c>
      <c r="P470" s="81">
        <f ca="1">SUMPRODUCT((Work_Codes!$N$221:$Y$221=$E470)*(Work_Codes!$N$229:$Y$229)*(P$361:P$361))</f>
        <v>0</v>
      </c>
      <c r="Q470" s="81">
        <f ca="1">SUMPRODUCT((Work_Codes!$N$221:$Y$221=$E470)*(Work_Codes!$N$229:$Y$229)*(Q$361:Q$361))</f>
        <v>0</v>
      </c>
      <c r="R470" s="81">
        <f ca="1">SUMPRODUCT((Work_Codes!$N$221:$Y$221=$E470)*(Work_Codes!$N$229:$Y$229)*(R$361:R$361))</f>
        <v>0</v>
      </c>
      <c r="S470" s="81">
        <f ca="1">SUMPRODUCT((Work_Codes!$N$221:$Y$221=$E470)*(Work_Codes!$N$229:$Y$229)*(S$361:S$361))</f>
        <v>0</v>
      </c>
      <c r="T470" s="81">
        <f ca="1">SUMPRODUCT((Work_Codes!$N$221:$Y$221=$E470)*(Work_Codes!$N$229:$Y$229)*(T$361:T$361))</f>
        <v>0</v>
      </c>
    </row>
    <row r="471" spans="2:20" outlineLevel="2">
      <c r="E471" s="247" t="str">
        <f>GC!C50</f>
        <v>Land</v>
      </c>
      <c r="F471" s="247"/>
      <c r="G471" s="247"/>
      <c r="H471" s="247"/>
      <c r="I471" s="247"/>
      <c r="J471" s="81">
        <f ca="1">SUMPRODUCT((Work_Codes!$N$221:$Y$221=$E471)*(Work_Codes!$N$229:$Y$229)*(J$361:J$361))</f>
        <v>0</v>
      </c>
      <c r="K471" s="81">
        <f ca="1">SUMPRODUCT((Work_Codes!$N$221:$Y$221=$E471)*(Work_Codes!$N$229:$Y$229)*(K$361:K$361))</f>
        <v>0</v>
      </c>
      <c r="L471" s="81">
        <f ca="1">SUMPRODUCT((Work_Codes!$N$221:$Y$221=$E471)*(Work_Codes!$N$229:$Y$229)*(L$361:L$361))</f>
        <v>0</v>
      </c>
      <c r="M471" s="81">
        <f ca="1">SUMPRODUCT((Work_Codes!$N$221:$Y$221=$E471)*(Work_Codes!$N$229:$Y$229)*(M$361:M$361))</f>
        <v>0</v>
      </c>
      <c r="N471" s="81">
        <f ca="1">SUMPRODUCT((Work_Codes!$N$221:$Y$221=$E471)*(Work_Codes!$N$229:$Y$229)*(N$361:N$361))</f>
        <v>0</v>
      </c>
      <c r="O471" s="81">
        <f ca="1">SUMPRODUCT((Work_Codes!$N$221:$Y$221=$E471)*(Work_Codes!$N$229:$Y$229)*(O$361:O$361))</f>
        <v>0</v>
      </c>
      <c r="P471" s="81">
        <f ca="1">SUMPRODUCT((Work_Codes!$N$221:$Y$221=$E471)*(Work_Codes!$N$229:$Y$229)*(P$361:P$361))</f>
        <v>0</v>
      </c>
      <c r="Q471" s="81">
        <f ca="1">SUMPRODUCT((Work_Codes!$N$221:$Y$221=$E471)*(Work_Codes!$N$229:$Y$229)*(Q$361:Q$361))</f>
        <v>0</v>
      </c>
      <c r="R471" s="81">
        <f ca="1">SUMPRODUCT((Work_Codes!$N$221:$Y$221=$E471)*(Work_Codes!$N$229:$Y$229)*(R$361:R$361))</f>
        <v>0</v>
      </c>
      <c r="S471" s="81">
        <f ca="1">SUMPRODUCT((Work_Codes!$N$221:$Y$221=$E471)*(Work_Codes!$N$229:$Y$229)*(S$361:S$361))</f>
        <v>0</v>
      </c>
      <c r="T471" s="81">
        <f ca="1">SUMPRODUCT((Work_Codes!$N$221:$Y$221=$E471)*(Work_Codes!$N$229:$Y$229)*(T$361:T$361))</f>
        <v>0</v>
      </c>
    </row>
    <row r="472" spans="2:20" outlineLevel="2">
      <c r="E472" s="247" t="str">
        <f>GC!C51</f>
        <v>Capitalised Leases</v>
      </c>
      <c r="F472" s="247"/>
      <c r="G472" s="247"/>
      <c r="H472" s="247"/>
      <c r="I472" s="247"/>
      <c r="J472" s="81">
        <f ca="1">SUMPRODUCT((Work_Codes!$N$221:$Y$221=$E472)*(Work_Codes!$N$229:$Y$229)*(J$361:J$361))</f>
        <v>0</v>
      </c>
      <c r="K472" s="81">
        <f ca="1">SUMPRODUCT((Work_Codes!$N$221:$Y$221=$E472)*(Work_Codes!$N$229:$Y$229)*(K$361:K$361))</f>
        <v>0</v>
      </c>
      <c r="L472" s="81">
        <f ca="1">SUMPRODUCT((Work_Codes!$N$221:$Y$221=$E472)*(Work_Codes!$N$229:$Y$229)*(L$361:L$361))</f>
        <v>0</v>
      </c>
      <c r="M472" s="81">
        <f ca="1">SUMPRODUCT((Work_Codes!$N$221:$Y$221=$E472)*(Work_Codes!$N$229:$Y$229)*(M$361:M$361))</f>
        <v>0</v>
      </c>
      <c r="N472" s="81">
        <f ca="1">SUMPRODUCT((Work_Codes!$N$221:$Y$221=$E472)*(Work_Codes!$N$229:$Y$229)*(N$361:N$361))</f>
        <v>0</v>
      </c>
      <c r="O472" s="81">
        <f ca="1">SUMPRODUCT((Work_Codes!$N$221:$Y$221=$E472)*(Work_Codes!$N$229:$Y$229)*(O$361:O$361))</f>
        <v>0</v>
      </c>
      <c r="P472" s="81">
        <f ca="1">SUMPRODUCT((Work_Codes!$N$221:$Y$221=$E472)*(Work_Codes!$N$229:$Y$229)*(P$361:P$361))</f>
        <v>0</v>
      </c>
      <c r="Q472" s="81">
        <f ca="1">SUMPRODUCT((Work_Codes!$N$221:$Y$221=$E472)*(Work_Codes!$N$229:$Y$229)*(Q$361:Q$361))</f>
        <v>0</v>
      </c>
      <c r="R472" s="81">
        <f ca="1">SUMPRODUCT((Work_Codes!$N$221:$Y$221=$E472)*(Work_Codes!$N$229:$Y$229)*(R$361:R$361))</f>
        <v>0</v>
      </c>
      <c r="S472" s="81">
        <f ca="1">SUMPRODUCT((Work_Codes!$N$221:$Y$221=$E472)*(Work_Codes!$N$229:$Y$229)*(S$361:S$361))</f>
        <v>0</v>
      </c>
      <c r="T472" s="81">
        <f ca="1">SUMPRODUCT((Work_Codes!$N$221:$Y$221=$E472)*(Work_Codes!$N$229:$Y$229)*(T$361:T$361))</f>
        <v>0</v>
      </c>
    </row>
    <row r="473" spans="2:20" outlineLevel="2">
      <c r="E473" s="247" t="str">
        <f>GC!C52</f>
        <v>Transmission pipelines - post 1998</v>
      </c>
      <c r="F473" s="247"/>
      <c r="G473" s="247"/>
      <c r="H473" s="247"/>
      <c r="I473" s="247"/>
      <c r="J473" s="81">
        <f ca="1">SUMPRODUCT((Work_Codes!$N$221:$Y$221=$E473)*(Work_Codes!$N$229:$Y$229)*(J$361:J$361))</f>
        <v>0</v>
      </c>
      <c r="K473" s="81">
        <f ca="1">SUMPRODUCT((Work_Codes!$N$221:$Y$221=$E473)*(Work_Codes!$N$229:$Y$229)*(K$361:K$361))</f>
        <v>0</v>
      </c>
      <c r="L473" s="81">
        <f ca="1">SUMPRODUCT((Work_Codes!$N$221:$Y$221=$E473)*(Work_Codes!$N$229:$Y$229)*(L$361:L$361))</f>
        <v>0</v>
      </c>
      <c r="M473" s="81">
        <f ca="1">SUMPRODUCT((Work_Codes!$N$221:$Y$221=$E473)*(Work_Codes!$N$229:$Y$229)*(M$361:M$361))</f>
        <v>0</v>
      </c>
      <c r="N473" s="81">
        <f ca="1">SUMPRODUCT((Work_Codes!$N$221:$Y$221=$E473)*(Work_Codes!$N$229:$Y$229)*(N$361:N$361))</f>
        <v>0</v>
      </c>
      <c r="O473" s="81">
        <f ca="1">SUMPRODUCT((Work_Codes!$N$221:$Y$221=$E473)*(Work_Codes!$N$229:$Y$229)*(O$361:O$361))</f>
        <v>0</v>
      </c>
      <c r="P473" s="81">
        <f ca="1">SUMPRODUCT((Work_Codes!$N$221:$Y$221=$E473)*(Work_Codes!$N$229:$Y$229)*(P$361:P$361))</f>
        <v>0</v>
      </c>
      <c r="Q473" s="81">
        <f ca="1">SUMPRODUCT((Work_Codes!$N$221:$Y$221=$E473)*(Work_Codes!$N$229:$Y$229)*(Q$361:Q$361))</f>
        <v>0</v>
      </c>
      <c r="R473" s="81">
        <f ca="1">SUMPRODUCT((Work_Codes!$N$221:$Y$221=$E473)*(Work_Codes!$N$229:$Y$229)*(R$361:R$361))</f>
        <v>0</v>
      </c>
      <c r="S473" s="81">
        <f ca="1">SUMPRODUCT((Work_Codes!$N$221:$Y$221=$E473)*(Work_Codes!$N$229:$Y$229)*(S$361:S$361))</f>
        <v>0</v>
      </c>
      <c r="T473" s="81">
        <f ca="1">SUMPRODUCT((Work_Codes!$N$221:$Y$221=$E473)*(Work_Codes!$N$229:$Y$229)*(T$361:T$361))</f>
        <v>0</v>
      </c>
    </row>
    <row r="474" spans="2:20" outlineLevel="2">
      <c r="E474" s="247" t="str">
        <f>GC!C53</f>
        <v>Distribution pipelines - post 1998</v>
      </c>
      <c r="F474" s="247"/>
      <c r="G474" s="247"/>
      <c r="H474" s="247"/>
      <c r="I474" s="247"/>
      <c r="J474" s="81">
        <f ca="1">SUMPRODUCT((Work_Codes!$N$221:$Y$221=$E474)*(Work_Codes!$N$229:$Y$229)*(J$361:J$361))</f>
        <v>0</v>
      </c>
      <c r="K474" s="81">
        <f ca="1">SUMPRODUCT((Work_Codes!$N$221:$Y$221=$E474)*(Work_Codes!$N$229:$Y$229)*(K$361:K$361))</f>
        <v>0</v>
      </c>
      <c r="L474" s="81">
        <f ca="1">SUMPRODUCT((Work_Codes!$N$221:$Y$221=$E474)*(Work_Codes!$N$229:$Y$229)*(L$361:L$361))</f>
        <v>0</v>
      </c>
      <c r="M474" s="81">
        <f ca="1">SUMPRODUCT((Work_Codes!$N$221:$Y$221=$E474)*(Work_Codes!$N$229:$Y$229)*(M$361:M$361))</f>
        <v>0</v>
      </c>
      <c r="N474" s="81">
        <f ca="1">SUMPRODUCT((Work_Codes!$N$221:$Y$221=$E474)*(Work_Codes!$N$229:$Y$229)*(N$361:N$361))</f>
        <v>0</v>
      </c>
      <c r="O474" s="81">
        <f ca="1">SUMPRODUCT((Work_Codes!$N$221:$Y$221=$E474)*(Work_Codes!$N$229:$Y$229)*(O$361:O$361))</f>
        <v>0</v>
      </c>
      <c r="P474" s="81">
        <f ca="1">SUMPRODUCT((Work_Codes!$N$221:$Y$221=$E474)*(Work_Codes!$N$229:$Y$229)*(P$361:P$361))</f>
        <v>0</v>
      </c>
      <c r="Q474" s="81">
        <f ca="1">SUMPRODUCT((Work_Codes!$N$221:$Y$221=$E474)*(Work_Codes!$N$229:$Y$229)*(Q$361:Q$361))</f>
        <v>0</v>
      </c>
      <c r="R474" s="81">
        <f ca="1">SUMPRODUCT((Work_Codes!$N$221:$Y$221=$E474)*(Work_Codes!$N$229:$Y$229)*(R$361:R$361))</f>
        <v>0</v>
      </c>
      <c r="S474" s="81">
        <f ca="1">SUMPRODUCT((Work_Codes!$N$221:$Y$221=$E474)*(Work_Codes!$N$229:$Y$229)*(S$361:S$361))</f>
        <v>0</v>
      </c>
      <c r="T474" s="81">
        <f ca="1">SUMPRODUCT((Work_Codes!$N$221:$Y$221=$E474)*(Work_Codes!$N$229:$Y$229)*(T$361:T$361))</f>
        <v>0</v>
      </c>
    </row>
    <row r="475" spans="2:20" outlineLevel="2">
      <c r="E475" s="247" t="str">
        <f>GC!C54</f>
        <v>Service pipes - post 1998</v>
      </c>
      <c r="F475" s="247"/>
      <c r="G475" s="247"/>
      <c r="H475" s="247"/>
      <c r="I475" s="247"/>
      <c r="J475" s="81">
        <f ca="1">SUMPRODUCT((Work_Codes!$N$221:$Y$221=$E475)*(Work_Codes!$N$229:$Y$229)*(J$361:J$361))</f>
        <v>0</v>
      </c>
      <c r="K475" s="81">
        <f ca="1">SUMPRODUCT((Work_Codes!$N$221:$Y$221=$E475)*(Work_Codes!$N$229:$Y$229)*(K$361:K$361))</f>
        <v>0</v>
      </c>
      <c r="L475" s="81">
        <f ca="1">SUMPRODUCT((Work_Codes!$N$221:$Y$221=$E475)*(Work_Codes!$N$229:$Y$229)*(L$361:L$361))</f>
        <v>0</v>
      </c>
      <c r="M475" s="81">
        <f ca="1">SUMPRODUCT((Work_Codes!$N$221:$Y$221=$E475)*(Work_Codes!$N$229:$Y$229)*(M$361:M$361))</f>
        <v>0</v>
      </c>
      <c r="N475" s="81">
        <f ca="1">SUMPRODUCT((Work_Codes!$N$221:$Y$221=$E475)*(Work_Codes!$N$229:$Y$229)*(N$361:N$361))</f>
        <v>0</v>
      </c>
      <c r="O475" s="81">
        <f ca="1">SUMPRODUCT((Work_Codes!$N$221:$Y$221=$E475)*(Work_Codes!$N$229:$Y$229)*(O$361:O$361))</f>
        <v>0</v>
      </c>
      <c r="P475" s="81">
        <f ca="1">SUMPRODUCT((Work_Codes!$N$221:$Y$221=$E475)*(Work_Codes!$N$229:$Y$229)*(P$361:P$361))</f>
        <v>0</v>
      </c>
      <c r="Q475" s="81">
        <f ca="1">SUMPRODUCT((Work_Codes!$N$221:$Y$221=$E475)*(Work_Codes!$N$229:$Y$229)*(Q$361:Q$361))</f>
        <v>0</v>
      </c>
      <c r="R475" s="81">
        <f ca="1">SUMPRODUCT((Work_Codes!$N$221:$Y$221=$E475)*(Work_Codes!$N$229:$Y$229)*(R$361:R$361))</f>
        <v>0</v>
      </c>
      <c r="S475" s="81">
        <f ca="1">SUMPRODUCT((Work_Codes!$N$221:$Y$221=$E475)*(Work_Codes!$N$229:$Y$229)*(S$361:S$361))</f>
        <v>0</v>
      </c>
      <c r="T475" s="81">
        <f ca="1">SUMPRODUCT((Work_Codes!$N$221:$Y$221=$E475)*(Work_Codes!$N$229:$Y$229)*(T$361:T$361))</f>
        <v>0</v>
      </c>
    </row>
    <row r="476" spans="2:20" outlineLevel="2">
      <c r="E476" s="247" t="str">
        <f>GC!C55</f>
        <v>Cathodic protection - post 1998</v>
      </c>
      <c r="F476" s="247"/>
      <c r="G476" s="247"/>
      <c r="H476" s="247"/>
      <c r="I476" s="247"/>
      <c r="J476" s="81">
        <f ca="1">SUMPRODUCT((Work_Codes!$N$221:$Y$221=$E476)*(Work_Codes!$N$229:$Y$229)*(J$361:J$361))</f>
        <v>0</v>
      </c>
      <c r="K476" s="81">
        <f ca="1">SUMPRODUCT((Work_Codes!$N$221:$Y$221=$E476)*(Work_Codes!$N$229:$Y$229)*(K$361:K$361))</f>
        <v>0</v>
      </c>
      <c r="L476" s="81">
        <f ca="1">SUMPRODUCT((Work_Codes!$N$221:$Y$221=$E476)*(Work_Codes!$N$229:$Y$229)*(L$361:L$361))</f>
        <v>0</v>
      </c>
      <c r="M476" s="81">
        <f ca="1">SUMPRODUCT((Work_Codes!$N$221:$Y$221=$E476)*(Work_Codes!$N$229:$Y$229)*(M$361:M$361))</f>
        <v>0</v>
      </c>
      <c r="N476" s="81">
        <f ca="1">SUMPRODUCT((Work_Codes!$N$221:$Y$221=$E476)*(Work_Codes!$N$229:$Y$229)*(N$361:N$361))</f>
        <v>0</v>
      </c>
      <c r="O476" s="81">
        <f ca="1">SUMPRODUCT((Work_Codes!$N$221:$Y$221=$E476)*(Work_Codes!$N$229:$Y$229)*(O$361:O$361))</f>
        <v>0</v>
      </c>
      <c r="P476" s="81">
        <f ca="1">SUMPRODUCT((Work_Codes!$N$221:$Y$221=$E476)*(Work_Codes!$N$229:$Y$229)*(P$361:P$361))</f>
        <v>0</v>
      </c>
      <c r="Q476" s="81">
        <f ca="1">SUMPRODUCT((Work_Codes!$N$221:$Y$221=$E476)*(Work_Codes!$N$229:$Y$229)*(Q$361:Q$361))</f>
        <v>0</v>
      </c>
      <c r="R476" s="81">
        <f ca="1">SUMPRODUCT((Work_Codes!$N$221:$Y$221=$E476)*(Work_Codes!$N$229:$Y$229)*(R$361:R$361))</f>
        <v>0</v>
      </c>
      <c r="S476" s="81">
        <f ca="1">SUMPRODUCT((Work_Codes!$N$221:$Y$221=$E476)*(Work_Codes!$N$229:$Y$229)*(S$361:S$361))</f>
        <v>0</v>
      </c>
      <c r="T476" s="81">
        <f ca="1">SUMPRODUCT((Work_Codes!$N$221:$Y$221=$E476)*(Work_Codes!$N$229:$Y$229)*(T$361:T$361))</f>
        <v>0</v>
      </c>
    </row>
    <row r="477" spans="2:20" outlineLevel="2">
      <c r="E477" s="249" t="str">
        <f>"Total "&amp;D459</f>
        <v>Total Customer Contributions</v>
      </c>
      <c r="F477" s="249"/>
      <c r="G477" s="249"/>
      <c r="H477" s="249"/>
      <c r="I477" s="249"/>
      <c r="J477" s="82">
        <f t="shared" ref="J477:T477" ca="1" si="49">SUM(J461:J476)</f>
        <v>0</v>
      </c>
      <c r="K477" s="82">
        <f t="shared" ca="1" si="49"/>
        <v>0</v>
      </c>
      <c r="L477" s="82">
        <f t="shared" ca="1" si="49"/>
        <v>0</v>
      </c>
      <c r="M477" s="82">
        <f t="shared" ca="1" si="49"/>
        <v>0</v>
      </c>
      <c r="N477" s="82">
        <f t="shared" ca="1" si="49"/>
        <v>0</v>
      </c>
      <c r="O477" s="82">
        <f t="shared" ca="1" si="49"/>
        <v>0</v>
      </c>
      <c r="P477" s="82">
        <f t="shared" ca="1" si="49"/>
        <v>0</v>
      </c>
      <c r="Q477" s="82">
        <f t="shared" ca="1" si="49"/>
        <v>0</v>
      </c>
      <c r="R477" s="82">
        <f t="shared" ca="1" si="49"/>
        <v>0</v>
      </c>
      <c r="S477" s="82">
        <f t="shared" ca="1" si="49"/>
        <v>0</v>
      </c>
      <c r="T477" s="82">
        <f t="shared" ca="1" si="49"/>
        <v>0</v>
      </c>
    </row>
    <row r="478" spans="2:20" outlineLevel="1">
      <c r="B478" s="12"/>
      <c r="C478" s="12"/>
      <c r="D478" s="12"/>
      <c r="E478" s="12"/>
      <c r="F478" s="12"/>
      <c r="G478" s="12"/>
      <c r="H478" s="12"/>
      <c r="I478" s="12"/>
      <c r="J478" s="12"/>
      <c r="K478" s="12"/>
      <c r="L478" s="12"/>
      <c r="M478" s="12"/>
      <c r="N478" s="12"/>
      <c r="O478" s="12"/>
      <c r="P478" s="12"/>
      <c r="Q478" s="12"/>
      <c r="R478" s="12"/>
      <c r="S478" s="12"/>
      <c r="T478" s="12"/>
    </row>
    <row r="479" spans="2:20" outlineLevel="1"/>
    <row r="480" spans="2:20" outlineLevel="1">
      <c r="C480" s="37" t="s">
        <v>196</v>
      </c>
    </row>
    <row r="481" spans="4:20" ht="5.9" customHeight="1" outlineLevel="2"/>
    <row r="482" spans="4:20" outlineLevel="2">
      <c r="D482" s="37" t="s">
        <v>215</v>
      </c>
    </row>
    <row r="483" spans="4:20" ht="5.9" customHeight="1" outlineLevel="2"/>
    <row r="484" spans="4:20" ht="12" customHeight="1" outlineLevel="2">
      <c r="E484" s="247" t="str">
        <f>GC!C60</f>
        <v>Mains replacement</v>
      </c>
      <c r="F484" s="247"/>
      <c r="G484" s="247"/>
      <c r="H484" s="247"/>
      <c r="I484" s="247"/>
      <c r="J484" s="81">
        <f ca="1">SUMPRODUCT((Work_Codes!$AC$221:$AO$221=$E484)*(Work_Codes!$AC$224:$AO$225)*(J$391:J$392))</f>
        <v>0</v>
      </c>
      <c r="K484" s="81">
        <f ca="1">SUMPRODUCT((Work_Codes!$AC$221:$AO$221=$E484)*(Work_Codes!$AC$224:$AO$225)*(K$391:K$392))</f>
        <v>0</v>
      </c>
      <c r="L484" s="81">
        <f ca="1">SUMPRODUCT((Work_Codes!$AC$221:$AO$221=$E484)*(Work_Codes!$AC$224:$AO$225)*(L$391:L$392))</f>
        <v>0</v>
      </c>
      <c r="M484" s="81">
        <f ca="1">SUMPRODUCT((Work_Codes!$AC$221:$AO$221=$E484)*(Work_Codes!$AC$224:$AO$225)*(M$391:M$392))</f>
        <v>0</v>
      </c>
      <c r="N484" s="81">
        <f ca="1">SUMPRODUCT((Work_Codes!$AC$221:$AO$221=$E484)*(Work_Codes!$AC$224:$AO$225)*(N$391:N$392))</f>
        <v>0</v>
      </c>
      <c r="O484" s="81">
        <f ca="1">SUMPRODUCT((Work_Codes!$AC$221:$AO$221=$E484)*(Work_Codes!$AC$224:$AO$225)*(O$391:O$392))</f>
        <v>0</v>
      </c>
      <c r="P484" s="81">
        <f ca="1">SUMPRODUCT((Work_Codes!$AC$221:$AO$221=$E484)*(Work_Codes!$AC$224:$AO$225)*(P$391:P$392))</f>
        <v>0</v>
      </c>
      <c r="Q484" s="81">
        <f ca="1">SUMPRODUCT((Work_Codes!$AC$221:$AO$221=$E484)*(Work_Codes!$AC$224:$AO$225)*(Q$391:Q$392))</f>
        <v>0</v>
      </c>
      <c r="R484" s="81">
        <f ca="1">SUMPRODUCT((Work_Codes!$AC$221:$AO$221=$E484)*(Work_Codes!$AC$224:$AO$225)*(R$391:R$392))</f>
        <v>0</v>
      </c>
      <c r="S484" s="81">
        <f ca="1">SUMPRODUCT((Work_Codes!$AC$221:$AO$221=$E484)*(Work_Codes!$AC$224:$AO$225)*(S$391:S$392))</f>
        <v>0</v>
      </c>
      <c r="T484" s="81">
        <f ca="1">SUMPRODUCT((Work_Codes!$AC$221:$AO$221=$E484)*(Work_Codes!$AC$224:$AO$225)*(T$391:T$392))</f>
        <v>0</v>
      </c>
    </row>
    <row r="485" spans="4:20" ht="12" customHeight="1" outlineLevel="2">
      <c r="E485" s="247" t="str">
        <f>GC!C61</f>
        <v>Residential new customer connections</v>
      </c>
      <c r="F485" s="247"/>
      <c r="G485" s="247"/>
      <c r="H485" s="247"/>
      <c r="I485" s="247"/>
      <c r="J485" s="81">
        <f ca="1">SUMPRODUCT((Work_Codes!$AC$221:$AO$221=$E485)*(Work_Codes!$AC$224:$AO$225)*(J$391:J$392))</f>
        <v>0</v>
      </c>
      <c r="K485" s="81">
        <f ca="1">SUMPRODUCT((Work_Codes!$AC$221:$AO$221=$E485)*(Work_Codes!$AC$224:$AO$225)*(K$391:K$392))</f>
        <v>0</v>
      </c>
      <c r="L485" s="81">
        <f ca="1">SUMPRODUCT((Work_Codes!$AC$221:$AO$221=$E485)*(Work_Codes!$AC$224:$AO$225)*(L$391:L$392))</f>
        <v>0</v>
      </c>
      <c r="M485" s="81">
        <f ca="1">SUMPRODUCT((Work_Codes!$AC$221:$AO$221=$E485)*(Work_Codes!$AC$224:$AO$225)*(M$391:M$392))</f>
        <v>0</v>
      </c>
      <c r="N485" s="81">
        <f ca="1">SUMPRODUCT((Work_Codes!$AC$221:$AO$221=$E485)*(Work_Codes!$AC$224:$AO$225)*(N$391:N$392))</f>
        <v>0</v>
      </c>
      <c r="O485" s="81">
        <f ca="1">SUMPRODUCT((Work_Codes!$AC$221:$AO$221=$E485)*(Work_Codes!$AC$224:$AO$225)*(O$391:O$392))</f>
        <v>0</v>
      </c>
      <c r="P485" s="81">
        <f ca="1">SUMPRODUCT((Work_Codes!$AC$221:$AO$221=$E485)*(Work_Codes!$AC$224:$AO$225)*(P$391:P$392))</f>
        <v>0</v>
      </c>
      <c r="Q485" s="81">
        <f ca="1">SUMPRODUCT((Work_Codes!$AC$221:$AO$221=$E485)*(Work_Codes!$AC$224:$AO$225)*(Q$391:Q$392))</f>
        <v>0</v>
      </c>
      <c r="R485" s="81">
        <f ca="1">SUMPRODUCT((Work_Codes!$AC$221:$AO$221=$E485)*(Work_Codes!$AC$224:$AO$225)*(R$391:R$392))</f>
        <v>0</v>
      </c>
      <c r="S485" s="81">
        <f ca="1">SUMPRODUCT((Work_Codes!$AC$221:$AO$221=$E485)*(Work_Codes!$AC$224:$AO$225)*(S$391:S$392))</f>
        <v>0</v>
      </c>
      <c r="T485" s="81">
        <f ca="1">SUMPRODUCT((Work_Codes!$AC$221:$AO$221=$E485)*(Work_Codes!$AC$224:$AO$225)*(T$391:T$392))</f>
        <v>0</v>
      </c>
    </row>
    <row r="486" spans="4:20" ht="12" customHeight="1" outlineLevel="2">
      <c r="E486" s="247" t="str">
        <f>GC!C62</f>
        <v>Commercial and industrial new customer connections</v>
      </c>
      <c r="F486" s="247"/>
      <c r="G486" s="247"/>
      <c r="H486" s="247"/>
      <c r="I486" s="247"/>
      <c r="J486" s="81">
        <f ca="1">SUMPRODUCT((Work_Codes!$AC$221:$AO$221=$E486)*(Work_Codes!$AC$224:$AO$225)*(J$391:J$392))</f>
        <v>0</v>
      </c>
      <c r="K486" s="81">
        <f ca="1">SUMPRODUCT((Work_Codes!$AC$221:$AO$221=$E486)*(Work_Codes!$AC$224:$AO$225)*(K$391:K$392))</f>
        <v>0</v>
      </c>
      <c r="L486" s="81">
        <f ca="1">SUMPRODUCT((Work_Codes!$AC$221:$AO$221=$E486)*(Work_Codes!$AC$224:$AO$225)*(L$391:L$392))</f>
        <v>0</v>
      </c>
      <c r="M486" s="81">
        <f ca="1">SUMPRODUCT((Work_Codes!$AC$221:$AO$221=$E486)*(Work_Codes!$AC$224:$AO$225)*(M$391:M$392))</f>
        <v>0</v>
      </c>
      <c r="N486" s="81">
        <f ca="1">SUMPRODUCT((Work_Codes!$AC$221:$AO$221=$E486)*(Work_Codes!$AC$224:$AO$225)*(N$391:N$392))</f>
        <v>0</v>
      </c>
      <c r="O486" s="81">
        <f ca="1">SUMPRODUCT((Work_Codes!$AC$221:$AO$221=$E486)*(Work_Codes!$AC$224:$AO$225)*(O$391:O$392))</f>
        <v>0</v>
      </c>
      <c r="P486" s="81">
        <f ca="1">SUMPRODUCT((Work_Codes!$AC$221:$AO$221=$E486)*(Work_Codes!$AC$224:$AO$225)*(P$391:P$392))</f>
        <v>0</v>
      </c>
      <c r="Q486" s="81">
        <f ca="1">SUMPRODUCT((Work_Codes!$AC$221:$AO$221=$E486)*(Work_Codes!$AC$224:$AO$225)*(Q$391:Q$392))</f>
        <v>0</v>
      </c>
      <c r="R486" s="81">
        <f ca="1">SUMPRODUCT((Work_Codes!$AC$221:$AO$221=$E486)*(Work_Codes!$AC$224:$AO$225)*(R$391:R$392))</f>
        <v>0</v>
      </c>
      <c r="S486" s="81">
        <f ca="1">SUMPRODUCT((Work_Codes!$AC$221:$AO$221=$E486)*(Work_Codes!$AC$224:$AO$225)*(S$391:S$392))</f>
        <v>0</v>
      </c>
      <c r="T486" s="81">
        <f ca="1">SUMPRODUCT((Work_Codes!$AC$221:$AO$221=$E486)*(Work_Codes!$AC$224:$AO$225)*(T$391:T$392))</f>
        <v>0</v>
      </c>
    </row>
    <row r="487" spans="4:20" ht="12" customHeight="1" outlineLevel="2">
      <c r="E487" s="247" t="str">
        <f>GC!C63</f>
        <v>Residential meter replacement</v>
      </c>
      <c r="F487" s="247"/>
      <c r="G487" s="247"/>
      <c r="H487" s="247"/>
      <c r="I487" s="247"/>
      <c r="J487" s="81">
        <f ca="1">SUMPRODUCT((Work_Codes!$AC$221:$AO$221=$E487)*(Work_Codes!$AC$224:$AO$225)*(J$391:J$392))</f>
        <v>0</v>
      </c>
      <c r="K487" s="81">
        <f ca="1">SUMPRODUCT((Work_Codes!$AC$221:$AO$221=$E487)*(Work_Codes!$AC$224:$AO$225)*(K$391:K$392))</f>
        <v>0</v>
      </c>
      <c r="L487" s="81">
        <f ca="1">SUMPRODUCT((Work_Codes!$AC$221:$AO$221=$E487)*(Work_Codes!$AC$224:$AO$225)*(L$391:L$392))</f>
        <v>0</v>
      </c>
      <c r="M487" s="81">
        <f ca="1">SUMPRODUCT((Work_Codes!$AC$221:$AO$221=$E487)*(Work_Codes!$AC$224:$AO$225)*(M$391:M$392))</f>
        <v>0</v>
      </c>
      <c r="N487" s="81">
        <f ca="1">SUMPRODUCT((Work_Codes!$AC$221:$AO$221=$E487)*(Work_Codes!$AC$224:$AO$225)*(N$391:N$392))</f>
        <v>0</v>
      </c>
      <c r="O487" s="81">
        <f ca="1">SUMPRODUCT((Work_Codes!$AC$221:$AO$221=$E487)*(Work_Codes!$AC$224:$AO$225)*(O$391:O$392))</f>
        <v>0</v>
      </c>
      <c r="P487" s="81">
        <f ca="1">SUMPRODUCT((Work_Codes!$AC$221:$AO$221=$E487)*(Work_Codes!$AC$224:$AO$225)*(P$391:P$392))</f>
        <v>0</v>
      </c>
      <c r="Q487" s="81">
        <f ca="1">SUMPRODUCT((Work_Codes!$AC$221:$AO$221=$E487)*(Work_Codes!$AC$224:$AO$225)*(Q$391:Q$392))</f>
        <v>0</v>
      </c>
      <c r="R487" s="81">
        <f ca="1">SUMPRODUCT((Work_Codes!$AC$221:$AO$221=$E487)*(Work_Codes!$AC$224:$AO$225)*(R$391:R$392))</f>
        <v>0</v>
      </c>
      <c r="S487" s="81">
        <f ca="1">SUMPRODUCT((Work_Codes!$AC$221:$AO$221=$E487)*(Work_Codes!$AC$224:$AO$225)*(S$391:S$392))</f>
        <v>0</v>
      </c>
      <c r="T487" s="81">
        <f ca="1">SUMPRODUCT((Work_Codes!$AC$221:$AO$221=$E487)*(Work_Codes!$AC$224:$AO$225)*(T$391:T$392))</f>
        <v>0</v>
      </c>
    </row>
    <row r="488" spans="4:20" ht="12" customHeight="1" outlineLevel="2">
      <c r="E488" s="247" t="str">
        <f>GC!C64</f>
        <v>Commercial and industrial meter replacement</v>
      </c>
      <c r="F488" s="247"/>
      <c r="G488" s="247"/>
      <c r="H488" s="247"/>
      <c r="I488" s="247"/>
      <c r="J488" s="81">
        <f ca="1">SUMPRODUCT((Work_Codes!$AC$221:$AO$221=$E488)*(Work_Codes!$AC$224:$AO$225)*(J$391:J$392))</f>
        <v>0</v>
      </c>
      <c r="K488" s="81">
        <f ca="1">SUMPRODUCT((Work_Codes!$AC$221:$AO$221=$E488)*(Work_Codes!$AC$224:$AO$225)*(K$391:K$392))</f>
        <v>0</v>
      </c>
      <c r="L488" s="81">
        <f ca="1">SUMPRODUCT((Work_Codes!$AC$221:$AO$221=$E488)*(Work_Codes!$AC$224:$AO$225)*(L$391:L$392))</f>
        <v>0</v>
      </c>
      <c r="M488" s="81">
        <f ca="1">SUMPRODUCT((Work_Codes!$AC$221:$AO$221=$E488)*(Work_Codes!$AC$224:$AO$225)*(M$391:M$392))</f>
        <v>0</v>
      </c>
      <c r="N488" s="81">
        <f ca="1">SUMPRODUCT((Work_Codes!$AC$221:$AO$221=$E488)*(Work_Codes!$AC$224:$AO$225)*(N$391:N$392))</f>
        <v>0</v>
      </c>
      <c r="O488" s="81">
        <f ca="1">SUMPRODUCT((Work_Codes!$AC$221:$AO$221=$E488)*(Work_Codes!$AC$224:$AO$225)*(O$391:O$392))</f>
        <v>0</v>
      </c>
      <c r="P488" s="81">
        <f ca="1">SUMPRODUCT((Work_Codes!$AC$221:$AO$221=$E488)*(Work_Codes!$AC$224:$AO$225)*(P$391:P$392))</f>
        <v>0</v>
      </c>
      <c r="Q488" s="81">
        <f ca="1">SUMPRODUCT((Work_Codes!$AC$221:$AO$221=$E488)*(Work_Codes!$AC$224:$AO$225)*(Q$391:Q$392))</f>
        <v>0</v>
      </c>
      <c r="R488" s="81">
        <f ca="1">SUMPRODUCT((Work_Codes!$AC$221:$AO$221=$E488)*(Work_Codes!$AC$224:$AO$225)*(R$391:R$392))</f>
        <v>0</v>
      </c>
      <c r="S488" s="81">
        <f ca="1">SUMPRODUCT((Work_Codes!$AC$221:$AO$221=$E488)*(Work_Codes!$AC$224:$AO$225)*(S$391:S$392))</f>
        <v>0</v>
      </c>
      <c r="T488" s="81">
        <f ca="1">SUMPRODUCT((Work_Codes!$AC$221:$AO$221=$E488)*(Work_Codes!$AC$224:$AO$225)*(T$391:T$392))</f>
        <v>0</v>
      </c>
    </row>
    <row r="489" spans="4:20" ht="12" customHeight="1" outlineLevel="2">
      <c r="E489" s="247" t="str">
        <f>GC!C65</f>
        <v>Augmentation</v>
      </c>
      <c r="F489" s="247"/>
      <c r="G489" s="247"/>
      <c r="H489" s="247"/>
      <c r="I489" s="247"/>
      <c r="J489" s="81">
        <f ca="1">SUMPRODUCT((Work_Codes!$AC$221:$AO$221=$E489)*(Work_Codes!$AC$224:$AO$225)*(J$391:J$392))</f>
        <v>0</v>
      </c>
      <c r="K489" s="81">
        <f ca="1">SUMPRODUCT((Work_Codes!$AC$221:$AO$221=$E489)*(Work_Codes!$AC$224:$AO$225)*(K$391:K$392))</f>
        <v>0</v>
      </c>
      <c r="L489" s="81">
        <f ca="1">SUMPRODUCT((Work_Codes!$AC$221:$AO$221=$E489)*(Work_Codes!$AC$224:$AO$225)*(L$391:L$392))</f>
        <v>0</v>
      </c>
      <c r="M489" s="81">
        <f ca="1">SUMPRODUCT((Work_Codes!$AC$221:$AO$221=$E489)*(Work_Codes!$AC$224:$AO$225)*(M$391:M$392))</f>
        <v>0</v>
      </c>
      <c r="N489" s="81">
        <f ca="1">SUMPRODUCT((Work_Codes!$AC$221:$AO$221=$E489)*(Work_Codes!$AC$224:$AO$225)*(N$391:N$392))</f>
        <v>0</v>
      </c>
      <c r="O489" s="81">
        <f ca="1">SUMPRODUCT((Work_Codes!$AC$221:$AO$221=$E489)*(Work_Codes!$AC$224:$AO$225)*(O$391:O$392))</f>
        <v>0</v>
      </c>
      <c r="P489" s="81">
        <f ca="1">SUMPRODUCT((Work_Codes!$AC$221:$AO$221=$E489)*(Work_Codes!$AC$224:$AO$225)*(P$391:P$392))</f>
        <v>0</v>
      </c>
      <c r="Q489" s="81">
        <f ca="1">SUMPRODUCT((Work_Codes!$AC$221:$AO$221=$E489)*(Work_Codes!$AC$224:$AO$225)*(Q$391:Q$392))</f>
        <v>0</v>
      </c>
      <c r="R489" s="81">
        <f ca="1">SUMPRODUCT((Work_Codes!$AC$221:$AO$221=$E489)*(Work_Codes!$AC$224:$AO$225)*(R$391:R$392))</f>
        <v>0</v>
      </c>
      <c r="S489" s="81">
        <f ca="1">SUMPRODUCT((Work_Codes!$AC$221:$AO$221=$E489)*(Work_Codes!$AC$224:$AO$225)*(S$391:S$392))</f>
        <v>0</v>
      </c>
      <c r="T489" s="81">
        <f ca="1">SUMPRODUCT((Work_Codes!$AC$221:$AO$221=$E489)*(Work_Codes!$AC$224:$AO$225)*(T$391:T$392))</f>
        <v>0</v>
      </c>
    </row>
    <row r="490" spans="4:20" ht="12" customHeight="1" outlineLevel="2">
      <c r="E490" s="247" t="str">
        <f>GC!C66</f>
        <v>IT capex</v>
      </c>
      <c r="F490" s="247"/>
      <c r="G490" s="247"/>
      <c r="H490" s="247"/>
      <c r="I490" s="247"/>
      <c r="J490" s="81">
        <f ca="1">SUMPRODUCT((Work_Codes!$AC$221:$AO$221=$E490)*(Work_Codes!$AC$224:$AO$225)*(J$391:J$392))</f>
        <v>0</v>
      </c>
      <c r="K490" s="81">
        <f ca="1">SUMPRODUCT((Work_Codes!$AC$221:$AO$221=$E490)*(Work_Codes!$AC$224:$AO$225)*(K$391:K$392))</f>
        <v>0</v>
      </c>
      <c r="L490" s="81">
        <f ca="1">SUMPRODUCT((Work_Codes!$AC$221:$AO$221=$E490)*(Work_Codes!$AC$224:$AO$225)*(L$391:L$392))</f>
        <v>0</v>
      </c>
      <c r="M490" s="81">
        <f ca="1">SUMPRODUCT((Work_Codes!$AC$221:$AO$221=$E490)*(Work_Codes!$AC$224:$AO$225)*(M$391:M$392))</f>
        <v>0</v>
      </c>
      <c r="N490" s="81">
        <f ca="1">SUMPRODUCT((Work_Codes!$AC$221:$AO$221=$E490)*(Work_Codes!$AC$224:$AO$225)*(N$391:N$392))</f>
        <v>0</v>
      </c>
      <c r="O490" s="81">
        <f ca="1">SUMPRODUCT((Work_Codes!$AC$221:$AO$221=$E490)*(Work_Codes!$AC$224:$AO$225)*(O$391:O$392))</f>
        <v>0</v>
      </c>
      <c r="P490" s="81">
        <f ca="1">SUMPRODUCT((Work_Codes!$AC$221:$AO$221=$E490)*(Work_Codes!$AC$224:$AO$225)*(P$391:P$392))</f>
        <v>0</v>
      </c>
      <c r="Q490" s="81">
        <f ca="1">SUMPRODUCT((Work_Codes!$AC$221:$AO$221=$E490)*(Work_Codes!$AC$224:$AO$225)*(Q$391:Q$392))</f>
        <v>0</v>
      </c>
      <c r="R490" s="81">
        <f ca="1">SUMPRODUCT((Work_Codes!$AC$221:$AO$221=$E490)*(Work_Codes!$AC$224:$AO$225)*(R$391:R$392))</f>
        <v>0</v>
      </c>
      <c r="S490" s="81">
        <f ca="1">SUMPRODUCT((Work_Codes!$AC$221:$AO$221=$E490)*(Work_Codes!$AC$224:$AO$225)*(S$391:S$392))</f>
        <v>0</v>
      </c>
      <c r="T490" s="81">
        <f ca="1">SUMPRODUCT((Work_Codes!$AC$221:$AO$221=$E490)*(Work_Codes!$AC$224:$AO$225)*(T$391:T$392))</f>
        <v>0</v>
      </c>
    </row>
    <row r="491" spans="4:20" ht="12" customHeight="1" outlineLevel="2">
      <c r="E491" s="247" t="str">
        <f>GC!C67</f>
        <v>SCADA</v>
      </c>
      <c r="F491" s="247"/>
      <c r="G491" s="247"/>
      <c r="H491" s="247"/>
      <c r="I491" s="247"/>
      <c r="J491" s="81">
        <f ca="1">SUMPRODUCT((Work_Codes!$AC$221:$AO$221=$E491)*(Work_Codes!$AC$224:$AO$225)*(J$391:J$392))</f>
        <v>0</v>
      </c>
      <c r="K491" s="81">
        <f ca="1">SUMPRODUCT((Work_Codes!$AC$221:$AO$221=$E491)*(Work_Codes!$AC$224:$AO$225)*(K$391:K$392))</f>
        <v>0</v>
      </c>
      <c r="L491" s="81">
        <f ca="1">SUMPRODUCT((Work_Codes!$AC$221:$AO$221=$E491)*(Work_Codes!$AC$224:$AO$225)*(L$391:L$392))</f>
        <v>0</v>
      </c>
      <c r="M491" s="81">
        <f ca="1">SUMPRODUCT((Work_Codes!$AC$221:$AO$221=$E491)*(Work_Codes!$AC$224:$AO$225)*(M$391:M$392))</f>
        <v>0</v>
      </c>
      <c r="N491" s="81">
        <f ca="1">SUMPRODUCT((Work_Codes!$AC$221:$AO$221=$E491)*(Work_Codes!$AC$224:$AO$225)*(N$391:N$392))</f>
        <v>0</v>
      </c>
      <c r="O491" s="81">
        <f ca="1">SUMPRODUCT((Work_Codes!$AC$221:$AO$221=$E491)*(Work_Codes!$AC$224:$AO$225)*(O$391:O$392))</f>
        <v>0</v>
      </c>
      <c r="P491" s="81">
        <f ca="1">SUMPRODUCT((Work_Codes!$AC$221:$AO$221=$E491)*(Work_Codes!$AC$224:$AO$225)*(P$391:P$392))</f>
        <v>0</v>
      </c>
      <c r="Q491" s="81">
        <f ca="1">SUMPRODUCT((Work_Codes!$AC$221:$AO$221=$E491)*(Work_Codes!$AC$224:$AO$225)*(Q$391:Q$392))</f>
        <v>0</v>
      </c>
      <c r="R491" s="81">
        <f ca="1">SUMPRODUCT((Work_Codes!$AC$221:$AO$221=$E491)*(Work_Codes!$AC$224:$AO$225)*(R$391:R$392))</f>
        <v>0</v>
      </c>
      <c r="S491" s="81">
        <f ca="1">SUMPRODUCT((Work_Codes!$AC$221:$AO$221=$E491)*(Work_Codes!$AC$224:$AO$225)*(S$391:S$392))</f>
        <v>0</v>
      </c>
      <c r="T491" s="81">
        <f ca="1">SUMPRODUCT((Work_Codes!$AC$221:$AO$221=$E491)*(Work_Codes!$AC$224:$AO$225)*(T$391:T$392))</f>
        <v>0</v>
      </c>
    </row>
    <row r="492" spans="4:20" ht="12" customHeight="1" outlineLevel="2">
      <c r="E492" s="247" t="str">
        <f>GC!C68</f>
        <v>Other</v>
      </c>
      <c r="F492" s="247"/>
      <c r="G492" s="247"/>
      <c r="H492" s="247"/>
      <c r="I492" s="247"/>
      <c r="J492" s="81">
        <f ca="1">SUMPRODUCT((Work_Codes!$AC$221:$AO$221=$E492)*(Work_Codes!$AC$224:$AO$225)*(J$391:J$392))</f>
        <v>0</v>
      </c>
      <c r="K492" s="81">
        <f ca="1">SUMPRODUCT((Work_Codes!$AC$221:$AO$221=$E492)*(Work_Codes!$AC$224:$AO$225)*(K$391:K$392))</f>
        <v>0</v>
      </c>
      <c r="L492" s="81">
        <f ca="1">SUMPRODUCT((Work_Codes!$AC$221:$AO$221=$E492)*(Work_Codes!$AC$224:$AO$225)*(L$391:L$392))</f>
        <v>0</v>
      </c>
      <c r="M492" s="81">
        <f ca="1">SUMPRODUCT((Work_Codes!$AC$221:$AO$221=$E492)*(Work_Codes!$AC$224:$AO$225)*(M$391:M$392))</f>
        <v>0</v>
      </c>
      <c r="N492" s="81">
        <f ca="1">SUMPRODUCT((Work_Codes!$AC$221:$AO$221=$E492)*(Work_Codes!$AC$224:$AO$225)*(N$391:N$392))</f>
        <v>100625.9985457108</v>
      </c>
      <c r="O492" s="81">
        <f ca="1">SUMPRODUCT((Work_Codes!$AC$221:$AO$221=$E492)*(Work_Codes!$AC$224:$AO$225)*(O$391:O$392))</f>
        <v>50005.195923572137</v>
      </c>
      <c r="P492" s="81">
        <f ca="1">SUMPRODUCT((Work_Codes!$AC$221:$AO$221=$E492)*(Work_Codes!$AC$224:$AO$225)*(P$391:P$392))</f>
        <v>100020.46034828115</v>
      </c>
      <c r="Q492" s="81">
        <f ca="1">SUMPRODUCT((Work_Codes!$AC$221:$AO$221=$E492)*(Work_Codes!$AC$224:$AO$225)*(Q$391:Q$392))</f>
        <v>100036.21457468857</v>
      </c>
      <c r="R492" s="81">
        <f ca="1">SUMPRODUCT((Work_Codes!$AC$221:$AO$221=$E492)*(Work_Codes!$AC$224:$AO$225)*(R$391:R$392))</f>
        <v>100058.63013731148</v>
      </c>
      <c r="S492" s="81">
        <f ca="1">SUMPRODUCT((Work_Codes!$AC$221:$AO$221=$E492)*(Work_Codes!$AC$224:$AO$225)*(S$391:S$392))</f>
        <v>100081.2924604939</v>
      </c>
      <c r="T492" s="81">
        <f ca="1">SUMPRODUCT((Work_Codes!$AC$221:$AO$221=$E492)*(Work_Codes!$AC$224:$AO$225)*(T$391:T$392))</f>
        <v>100104.20426068665</v>
      </c>
    </row>
    <row r="493" spans="4:20" outlineLevel="2">
      <c r="E493" s="247" t="str">
        <f>GC!C69</f>
        <v>Capitalised Leases</v>
      </c>
      <c r="F493" s="247"/>
      <c r="G493" s="247"/>
      <c r="H493" s="247"/>
      <c r="I493" s="247"/>
      <c r="J493" s="81">
        <f ca="1">SUMPRODUCT((Work_Codes!$AC$221:$AO$221=$E493)*(Work_Codes!$AC$224:$AO$225)*(J$391:J$392))</f>
        <v>0</v>
      </c>
      <c r="K493" s="81">
        <f ca="1">SUMPRODUCT((Work_Codes!$AC$221:$AO$221=$E493)*(Work_Codes!$AC$224:$AO$225)*(K$391:K$392))</f>
        <v>0</v>
      </c>
      <c r="L493" s="81">
        <f ca="1">SUMPRODUCT((Work_Codes!$AC$221:$AO$221=$E493)*(Work_Codes!$AC$224:$AO$225)*(L$391:L$392))</f>
        <v>0</v>
      </c>
      <c r="M493" s="81">
        <f ca="1">SUMPRODUCT((Work_Codes!$AC$221:$AO$221=$E493)*(Work_Codes!$AC$224:$AO$225)*(M$391:M$392))</f>
        <v>0</v>
      </c>
      <c r="N493" s="81">
        <f ca="1">SUMPRODUCT((Work_Codes!$AC$221:$AO$221=$E493)*(Work_Codes!$AC$224:$AO$225)*(N$391:N$392))</f>
        <v>0</v>
      </c>
      <c r="O493" s="81">
        <f ca="1">SUMPRODUCT((Work_Codes!$AC$221:$AO$221=$E493)*(Work_Codes!$AC$224:$AO$225)*(O$391:O$392))</f>
        <v>0</v>
      </c>
      <c r="P493" s="81">
        <f ca="1">SUMPRODUCT((Work_Codes!$AC$221:$AO$221=$E493)*(Work_Codes!$AC$224:$AO$225)*(P$391:P$392))</f>
        <v>0</v>
      </c>
      <c r="Q493" s="81">
        <f ca="1">SUMPRODUCT((Work_Codes!$AC$221:$AO$221=$E493)*(Work_Codes!$AC$224:$AO$225)*(Q$391:Q$392))</f>
        <v>0</v>
      </c>
      <c r="R493" s="81">
        <f ca="1">SUMPRODUCT((Work_Codes!$AC$221:$AO$221=$E493)*(Work_Codes!$AC$224:$AO$225)*(R$391:R$392))</f>
        <v>0</v>
      </c>
      <c r="S493" s="81">
        <f ca="1">SUMPRODUCT((Work_Codes!$AC$221:$AO$221=$E493)*(Work_Codes!$AC$224:$AO$225)*(S$391:S$392))</f>
        <v>0</v>
      </c>
      <c r="T493" s="81">
        <f ca="1">SUMPRODUCT((Work_Codes!$AC$221:$AO$221=$E493)*(Work_Codes!$AC$224:$AO$225)*(T$391:T$392))</f>
        <v>0</v>
      </c>
    </row>
    <row r="494" spans="4:20" ht="12" customHeight="1" outlineLevel="2">
      <c r="E494" s="247" t="str">
        <f>GC!C70</f>
        <v>Gas Extensions - Energy for the Regions</v>
      </c>
      <c r="F494" s="247"/>
      <c r="G494" s="247"/>
      <c r="H494" s="247"/>
      <c r="I494" s="247"/>
      <c r="J494" s="81">
        <f ca="1">SUMPRODUCT((Work_Codes!$AC$221:$AO$221=$E494)*(Work_Codes!$AC$224:$AO$225)*(J$391:J$392))</f>
        <v>0</v>
      </c>
      <c r="K494" s="81">
        <f ca="1">SUMPRODUCT((Work_Codes!$AC$221:$AO$221=$E494)*(Work_Codes!$AC$224:$AO$225)*(K$391:K$392))</f>
        <v>0</v>
      </c>
      <c r="L494" s="81">
        <f ca="1">SUMPRODUCT((Work_Codes!$AC$221:$AO$221=$E494)*(Work_Codes!$AC$224:$AO$225)*(L$391:L$392))</f>
        <v>0</v>
      </c>
      <c r="M494" s="81">
        <f ca="1">SUMPRODUCT((Work_Codes!$AC$221:$AO$221=$E494)*(Work_Codes!$AC$224:$AO$225)*(M$391:M$392))</f>
        <v>0</v>
      </c>
      <c r="N494" s="81">
        <f ca="1">SUMPRODUCT((Work_Codes!$AC$221:$AO$221=$E494)*(Work_Codes!$AC$224:$AO$225)*(N$391:N$392))</f>
        <v>0</v>
      </c>
      <c r="O494" s="81">
        <f ca="1">SUMPRODUCT((Work_Codes!$AC$221:$AO$221=$E494)*(Work_Codes!$AC$224:$AO$225)*(O$391:O$392))</f>
        <v>0</v>
      </c>
      <c r="P494" s="81">
        <f ca="1">SUMPRODUCT((Work_Codes!$AC$221:$AO$221=$E494)*(Work_Codes!$AC$224:$AO$225)*(P$391:P$392))</f>
        <v>0</v>
      </c>
      <c r="Q494" s="81">
        <f ca="1">SUMPRODUCT((Work_Codes!$AC$221:$AO$221=$E494)*(Work_Codes!$AC$224:$AO$225)*(Q$391:Q$392))</f>
        <v>0</v>
      </c>
      <c r="R494" s="81">
        <f ca="1">SUMPRODUCT((Work_Codes!$AC$221:$AO$221=$E494)*(Work_Codes!$AC$224:$AO$225)*(R$391:R$392))</f>
        <v>0</v>
      </c>
      <c r="S494" s="81">
        <f ca="1">SUMPRODUCT((Work_Codes!$AC$221:$AO$221=$E494)*(Work_Codes!$AC$224:$AO$225)*(S$391:S$392))</f>
        <v>0</v>
      </c>
      <c r="T494" s="81">
        <f ca="1">SUMPRODUCT((Work_Codes!$AC$221:$AO$221=$E494)*(Work_Codes!$AC$224:$AO$225)*(T$391:T$392))</f>
        <v>0</v>
      </c>
    </row>
    <row r="495" spans="4:20" ht="12" customHeight="1" outlineLevel="2">
      <c r="E495" s="247" t="str">
        <f>GC!C71</f>
        <v>Gas Extensions - Other</v>
      </c>
      <c r="F495" s="247"/>
      <c r="G495" s="247"/>
      <c r="H495" s="247"/>
      <c r="I495" s="247"/>
      <c r="J495" s="81">
        <f ca="1">SUMPRODUCT((Work_Codes!$AC$221:$AO$221=$E495)*(Work_Codes!$AC$224:$AO$225)*(J$391:J$392))</f>
        <v>0</v>
      </c>
      <c r="K495" s="81">
        <f ca="1">SUMPRODUCT((Work_Codes!$AC$221:$AO$221=$E495)*(Work_Codes!$AC$224:$AO$225)*(K$391:K$392))</f>
        <v>0</v>
      </c>
      <c r="L495" s="81">
        <f ca="1">SUMPRODUCT((Work_Codes!$AC$221:$AO$221=$E495)*(Work_Codes!$AC$224:$AO$225)*(L$391:L$392))</f>
        <v>0</v>
      </c>
      <c r="M495" s="81">
        <f ca="1">SUMPRODUCT((Work_Codes!$AC$221:$AO$221=$E495)*(Work_Codes!$AC$224:$AO$225)*(M$391:M$392))</f>
        <v>0</v>
      </c>
      <c r="N495" s="81">
        <f ca="1">SUMPRODUCT((Work_Codes!$AC$221:$AO$221=$E495)*(Work_Codes!$AC$224:$AO$225)*(N$391:N$392))</f>
        <v>0</v>
      </c>
      <c r="O495" s="81">
        <f ca="1">SUMPRODUCT((Work_Codes!$AC$221:$AO$221=$E495)*(Work_Codes!$AC$224:$AO$225)*(O$391:O$392))</f>
        <v>0</v>
      </c>
      <c r="P495" s="81">
        <f ca="1">SUMPRODUCT((Work_Codes!$AC$221:$AO$221=$E495)*(Work_Codes!$AC$224:$AO$225)*(P$391:P$392))</f>
        <v>0</v>
      </c>
      <c r="Q495" s="81">
        <f ca="1">SUMPRODUCT((Work_Codes!$AC$221:$AO$221=$E495)*(Work_Codes!$AC$224:$AO$225)*(Q$391:Q$392))</f>
        <v>0</v>
      </c>
      <c r="R495" s="81">
        <f ca="1">SUMPRODUCT((Work_Codes!$AC$221:$AO$221=$E495)*(Work_Codes!$AC$224:$AO$225)*(R$391:R$392))</f>
        <v>0</v>
      </c>
      <c r="S495" s="81">
        <f ca="1">SUMPRODUCT((Work_Codes!$AC$221:$AO$221=$E495)*(Work_Codes!$AC$224:$AO$225)*(S$391:S$392))</f>
        <v>0</v>
      </c>
      <c r="T495" s="81">
        <f ca="1">SUMPRODUCT((Work_Codes!$AC$221:$AO$221=$E495)*(Work_Codes!$AC$224:$AO$225)*(T$391:T$392))</f>
        <v>0</v>
      </c>
    </row>
    <row r="496" spans="4:20" ht="12" customHeight="1" outlineLevel="2">
      <c r="E496" s="247" t="str">
        <f>GC!C72</f>
        <v>Customer contributions</v>
      </c>
      <c r="F496" s="247"/>
      <c r="G496" s="247"/>
      <c r="H496" s="247"/>
      <c r="I496" s="247"/>
      <c r="J496" s="81">
        <f ca="1">SUMPRODUCT((Work_Codes!$AC$221:$AO$221=$E496)*(Work_Codes!$AC$224:$AO$225)*(J$391:J$392))</f>
        <v>0</v>
      </c>
      <c r="K496" s="81">
        <f ca="1">SUMPRODUCT((Work_Codes!$AC$221:$AO$221=$E496)*(Work_Codes!$AC$224:$AO$225)*(K$391:K$392))</f>
        <v>0</v>
      </c>
      <c r="L496" s="81">
        <f ca="1">SUMPRODUCT((Work_Codes!$AC$221:$AO$221=$E496)*(Work_Codes!$AC$224:$AO$225)*(L$391:L$392))</f>
        <v>0</v>
      </c>
      <c r="M496" s="81">
        <f ca="1">SUMPRODUCT((Work_Codes!$AC$221:$AO$221=$E496)*(Work_Codes!$AC$224:$AO$225)*(M$391:M$392))</f>
        <v>0</v>
      </c>
      <c r="N496" s="81">
        <f ca="1">SUMPRODUCT((Work_Codes!$AC$221:$AO$221=$E496)*(Work_Codes!$AC$224:$AO$225)*(N$391:N$392))</f>
        <v>0</v>
      </c>
      <c r="O496" s="81">
        <f ca="1">SUMPRODUCT((Work_Codes!$AC$221:$AO$221=$E496)*(Work_Codes!$AC$224:$AO$225)*(O$391:O$392))</f>
        <v>0</v>
      </c>
      <c r="P496" s="81">
        <f ca="1">SUMPRODUCT((Work_Codes!$AC$221:$AO$221=$E496)*(Work_Codes!$AC$224:$AO$225)*(P$391:P$392))</f>
        <v>0</v>
      </c>
      <c r="Q496" s="81">
        <f ca="1">SUMPRODUCT((Work_Codes!$AC$221:$AO$221=$E496)*(Work_Codes!$AC$224:$AO$225)*(Q$391:Q$392))</f>
        <v>0</v>
      </c>
      <c r="R496" s="81">
        <f ca="1">SUMPRODUCT((Work_Codes!$AC$221:$AO$221=$E496)*(Work_Codes!$AC$224:$AO$225)*(R$391:R$392))</f>
        <v>0</v>
      </c>
      <c r="S496" s="81">
        <f ca="1">SUMPRODUCT((Work_Codes!$AC$221:$AO$221=$E496)*(Work_Codes!$AC$224:$AO$225)*(S$391:S$392))</f>
        <v>0</v>
      </c>
      <c r="T496" s="81">
        <f ca="1">SUMPRODUCT((Work_Codes!$AC$221:$AO$221=$E496)*(Work_Codes!$AC$224:$AO$225)*(T$391:T$392))</f>
        <v>0</v>
      </c>
    </row>
    <row r="497" spans="4:20" ht="12" customHeight="1" outlineLevel="2">
      <c r="E497" s="247" t="str">
        <f>GC!C73</f>
        <v>Government contributions</v>
      </c>
      <c r="F497" s="247"/>
      <c r="G497" s="247"/>
      <c r="H497" s="247"/>
      <c r="I497" s="247"/>
      <c r="J497" s="81">
        <f ca="1">SUMPRODUCT((Work_Codes!$AC$221:$AO$221=$E497)*(Work_Codes!$AC$224:$AO$225)*(J$391:J$392))</f>
        <v>0</v>
      </c>
      <c r="K497" s="81">
        <f ca="1">SUMPRODUCT((Work_Codes!$AC$221:$AO$221=$E497)*(Work_Codes!$AC$224:$AO$225)*(K$391:K$392))</f>
        <v>0</v>
      </c>
      <c r="L497" s="81">
        <f ca="1">SUMPRODUCT((Work_Codes!$AC$221:$AO$221=$E497)*(Work_Codes!$AC$224:$AO$225)*(L$391:L$392))</f>
        <v>0</v>
      </c>
      <c r="M497" s="81">
        <f ca="1">SUMPRODUCT((Work_Codes!$AC$221:$AO$221=$E497)*(Work_Codes!$AC$224:$AO$225)*(M$391:M$392))</f>
        <v>0</v>
      </c>
      <c r="N497" s="81">
        <f ca="1">SUMPRODUCT((Work_Codes!$AC$221:$AO$221=$E497)*(Work_Codes!$AC$224:$AO$225)*(N$391:N$392))</f>
        <v>0</v>
      </c>
      <c r="O497" s="81">
        <f ca="1">SUMPRODUCT((Work_Codes!$AC$221:$AO$221=$E497)*(Work_Codes!$AC$224:$AO$225)*(O$391:O$392))</f>
        <v>0</v>
      </c>
      <c r="P497" s="81">
        <f ca="1">SUMPRODUCT((Work_Codes!$AC$221:$AO$221=$E497)*(Work_Codes!$AC$224:$AO$225)*(P$391:P$392))</f>
        <v>0</v>
      </c>
      <c r="Q497" s="81">
        <f ca="1">SUMPRODUCT((Work_Codes!$AC$221:$AO$221=$E497)*(Work_Codes!$AC$224:$AO$225)*(Q$391:Q$392))</f>
        <v>0</v>
      </c>
      <c r="R497" s="81">
        <f ca="1">SUMPRODUCT((Work_Codes!$AC$221:$AO$221=$E497)*(Work_Codes!$AC$224:$AO$225)*(R$391:R$392))</f>
        <v>0</v>
      </c>
      <c r="S497" s="81">
        <f ca="1">SUMPRODUCT((Work_Codes!$AC$221:$AO$221=$E497)*(Work_Codes!$AC$224:$AO$225)*(S$391:S$392))</f>
        <v>0</v>
      </c>
      <c r="T497" s="81">
        <f ca="1">SUMPRODUCT((Work_Codes!$AC$221:$AO$221=$E497)*(Work_Codes!$AC$224:$AO$225)*(T$391:T$392))</f>
        <v>0</v>
      </c>
    </row>
    <row r="498" spans="4:20" ht="12" customHeight="1" outlineLevel="2">
      <c r="E498" s="249" t="str">
        <f>"Total "&amp;D482</f>
        <v>Total Direct Costs</v>
      </c>
      <c r="F498" s="249"/>
      <c r="G498" s="249"/>
      <c r="H498" s="249"/>
      <c r="I498" s="249"/>
      <c r="J498" s="82">
        <f t="shared" ref="J498:T498" ca="1" si="50">SUM(J484:J497)</f>
        <v>0</v>
      </c>
      <c r="K498" s="82">
        <f t="shared" ca="1" si="50"/>
        <v>0</v>
      </c>
      <c r="L498" s="82">
        <f t="shared" ca="1" si="50"/>
        <v>0</v>
      </c>
      <c r="M498" s="82">
        <f t="shared" ca="1" si="50"/>
        <v>0</v>
      </c>
      <c r="N498" s="82">
        <f t="shared" ca="1" si="50"/>
        <v>100625.9985457108</v>
      </c>
      <c r="O498" s="82">
        <f t="shared" ca="1" si="50"/>
        <v>50005.195923572137</v>
      </c>
      <c r="P498" s="82">
        <f t="shared" ca="1" si="50"/>
        <v>100020.46034828115</v>
      </c>
      <c r="Q498" s="82">
        <f t="shared" ca="1" si="50"/>
        <v>100036.21457468857</v>
      </c>
      <c r="R498" s="82">
        <f t="shared" ca="1" si="50"/>
        <v>100058.63013731148</v>
      </c>
      <c r="S498" s="82">
        <f t="shared" ca="1" si="50"/>
        <v>100081.2924604939</v>
      </c>
      <c r="T498" s="82">
        <f t="shared" ca="1" si="50"/>
        <v>100104.20426068665</v>
      </c>
    </row>
    <row r="499" spans="4:20" outlineLevel="2"/>
    <row r="500" spans="4:20" outlineLevel="2">
      <c r="D500" s="37" t="s">
        <v>216</v>
      </c>
    </row>
    <row r="501" spans="4:20" ht="5.9" customHeight="1" outlineLevel="2"/>
    <row r="502" spans="4:20" ht="12" customHeight="1" outlineLevel="2">
      <c r="E502" s="247" t="str">
        <f>GC!C60</f>
        <v>Mains replacement</v>
      </c>
      <c r="F502" s="247"/>
      <c r="G502" s="247"/>
      <c r="H502" s="247"/>
      <c r="I502" s="247"/>
      <c r="J502" s="81">
        <f ca="1">J484*(1+INDEX(J$331:J$333,MATCH(Work_Codes!$I$218,$D$331:$D$333,0)))</f>
        <v>0</v>
      </c>
      <c r="K502" s="81">
        <f ca="1">K484*(1+INDEX(K$331:K$333,MATCH(Work_Codes!$I$218,$D$331:$D$333,0)))</f>
        <v>0</v>
      </c>
      <c r="L502" s="81">
        <f ca="1">L484*(1+INDEX(L$331:L$333,MATCH(Work_Codes!$I$218,$D$331:$D$333,0)))</f>
        <v>0</v>
      </c>
      <c r="M502" s="81">
        <f ca="1">M484*(1+INDEX(M$331:M$333,MATCH(Work_Codes!$I$218,$D$331:$D$333,0)))</f>
        <v>0</v>
      </c>
      <c r="N502" s="81">
        <f ca="1">N484*(1+INDEX(N$331:N$333,MATCH(Work_Codes!$I$218,$D$331:$D$333,0)))</f>
        <v>0</v>
      </c>
      <c r="O502" s="81">
        <f ca="1">O484*(1+INDEX(O$331:O$333,MATCH(Work_Codes!$I$218,$D$331:$D$333,0)))</f>
        <v>0</v>
      </c>
      <c r="P502" s="81">
        <f ca="1">P484*(1+INDEX(P$331:P$333,MATCH(Work_Codes!$I$218,$D$331:$D$333,0)))</f>
        <v>0</v>
      </c>
      <c r="Q502" s="81">
        <f ca="1">Q484*(1+INDEX(Q$331:Q$333,MATCH(Work_Codes!$I$218,$D$331:$D$333,0)))</f>
        <v>0</v>
      </c>
      <c r="R502" s="81">
        <f ca="1">R484*(1+INDEX(R$331:R$333,MATCH(Work_Codes!$I$218,$D$331:$D$333,0)))</f>
        <v>0</v>
      </c>
      <c r="S502" s="81">
        <f ca="1">S484*(1+INDEX(S$331:S$333,MATCH(Work_Codes!$I$218,$D$331:$D$333,0)))</f>
        <v>0</v>
      </c>
      <c r="T502" s="81">
        <f ca="1">T484*(1+INDEX(T$331:T$333,MATCH(Work_Codes!$I$218,$D$331:$D$333,0)))</f>
        <v>0</v>
      </c>
    </row>
    <row r="503" spans="4:20" ht="12" customHeight="1" outlineLevel="2">
      <c r="E503" s="247" t="str">
        <f>GC!C61</f>
        <v>Residential new customer connections</v>
      </c>
      <c r="F503" s="247"/>
      <c r="G503" s="247"/>
      <c r="H503" s="247"/>
      <c r="I503" s="247"/>
      <c r="J503" s="81">
        <f ca="1">J485*(1+INDEX(J$331:J$333,MATCH(Work_Codes!$I$218,$D$331:$D$333,0)))</f>
        <v>0</v>
      </c>
      <c r="K503" s="81">
        <f ca="1">K485*(1+INDEX(K$331:K$333,MATCH(Work_Codes!$I$218,$D$331:$D$333,0)))</f>
        <v>0</v>
      </c>
      <c r="L503" s="81">
        <f ca="1">L485*(1+INDEX(L$331:L$333,MATCH(Work_Codes!$I$218,$D$331:$D$333,0)))</f>
        <v>0</v>
      </c>
      <c r="M503" s="81">
        <f ca="1">M485*(1+INDEX(M$331:M$333,MATCH(Work_Codes!$I$218,$D$331:$D$333,0)))</f>
        <v>0</v>
      </c>
      <c r="N503" s="81">
        <f ca="1">N485*(1+INDEX(N$331:N$333,MATCH(Work_Codes!$I$218,$D$331:$D$333,0)))</f>
        <v>0</v>
      </c>
      <c r="O503" s="81">
        <f ca="1">O485*(1+INDEX(O$331:O$333,MATCH(Work_Codes!$I$218,$D$331:$D$333,0)))</f>
        <v>0</v>
      </c>
      <c r="P503" s="81">
        <f ca="1">P485*(1+INDEX(P$331:P$333,MATCH(Work_Codes!$I$218,$D$331:$D$333,0)))</f>
        <v>0</v>
      </c>
      <c r="Q503" s="81">
        <f ca="1">Q485*(1+INDEX(Q$331:Q$333,MATCH(Work_Codes!$I$218,$D$331:$D$333,0)))</f>
        <v>0</v>
      </c>
      <c r="R503" s="81">
        <f ca="1">R485*(1+INDEX(R$331:R$333,MATCH(Work_Codes!$I$218,$D$331:$D$333,0)))</f>
        <v>0</v>
      </c>
      <c r="S503" s="81">
        <f ca="1">S485*(1+INDEX(S$331:S$333,MATCH(Work_Codes!$I$218,$D$331:$D$333,0)))</f>
        <v>0</v>
      </c>
      <c r="T503" s="81">
        <f ca="1">T485*(1+INDEX(T$331:T$333,MATCH(Work_Codes!$I$218,$D$331:$D$333,0)))</f>
        <v>0</v>
      </c>
    </row>
    <row r="504" spans="4:20" ht="12" customHeight="1" outlineLevel="2">
      <c r="E504" s="247" t="str">
        <f>GC!C62</f>
        <v>Commercial and industrial new customer connections</v>
      </c>
      <c r="F504" s="247"/>
      <c r="G504" s="247"/>
      <c r="H504" s="247"/>
      <c r="I504" s="247"/>
      <c r="J504" s="81">
        <f ca="1">J486*(1+INDEX(J$331:J$333,MATCH(Work_Codes!$I$218,$D$331:$D$333,0)))</f>
        <v>0</v>
      </c>
      <c r="K504" s="81">
        <f ca="1">K486*(1+INDEX(K$331:K$333,MATCH(Work_Codes!$I$218,$D$331:$D$333,0)))</f>
        <v>0</v>
      </c>
      <c r="L504" s="81">
        <f ca="1">L486*(1+INDEX(L$331:L$333,MATCH(Work_Codes!$I$218,$D$331:$D$333,0)))</f>
        <v>0</v>
      </c>
      <c r="M504" s="81">
        <f ca="1">M486*(1+INDEX(M$331:M$333,MATCH(Work_Codes!$I$218,$D$331:$D$333,0)))</f>
        <v>0</v>
      </c>
      <c r="N504" s="81">
        <f ca="1">N486*(1+INDEX(N$331:N$333,MATCH(Work_Codes!$I$218,$D$331:$D$333,0)))</f>
        <v>0</v>
      </c>
      <c r="O504" s="81">
        <f ca="1">O486*(1+INDEX(O$331:O$333,MATCH(Work_Codes!$I$218,$D$331:$D$333,0)))</f>
        <v>0</v>
      </c>
      <c r="P504" s="81">
        <f ca="1">P486*(1+INDEX(P$331:P$333,MATCH(Work_Codes!$I$218,$D$331:$D$333,0)))</f>
        <v>0</v>
      </c>
      <c r="Q504" s="81">
        <f ca="1">Q486*(1+INDEX(Q$331:Q$333,MATCH(Work_Codes!$I$218,$D$331:$D$333,0)))</f>
        <v>0</v>
      </c>
      <c r="R504" s="81">
        <f ca="1">R486*(1+INDEX(R$331:R$333,MATCH(Work_Codes!$I$218,$D$331:$D$333,0)))</f>
        <v>0</v>
      </c>
      <c r="S504" s="81">
        <f ca="1">S486*(1+INDEX(S$331:S$333,MATCH(Work_Codes!$I$218,$D$331:$D$333,0)))</f>
        <v>0</v>
      </c>
      <c r="T504" s="81">
        <f ca="1">T486*(1+INDEX(T$331:T$333,MATCH(Work_Codes!$I$218,$D$331:$D$333,0)))</f>
        <v>0</v>
      </c>
    </row>
    <row r="505" spans="4:20" ht="12" customHeight="1" outlineLevel="2">
      <c r="E505" s="247" t="str">
        <f>GC!C63</f>
        <v>Residential meter replacement</v>
      </c>
      <c r="F505" s="247"/>
      <c r="G505" s="247"/>
      <c r="H505" s="247"/>
      <c r="I505" s="247"/>
      <c r="J505" s="81">
        <f ca="1">J487*(1+INDEX(J$331:J$333,MATCH(Work_Codes!$I$218,$D$331:$D$333,0)))</f>
        <v>0</v>
      </c>
      <c r="K505" s="81">
        <f ca="1">K487*(1+INDEX(K$331:K$333,MATCH(Work_Codes!$I$218,$D$331:$D$333,0)))</f>
        <v>0</v>
      </c>
      <c r="L505" s="81">
        <f ca="1">L487*(1+INDEX(L$331:L$333,MATCH(Work_Codes!$I$218,$D$331:$D$333,0)))</f>
        <v>0</v>
      </c>
      <c r="M505" s="81">
        <f ca="1">M487*(1+INDEX(M$331:M$333,MATCH(Work_Codes!$I$218,$D$331:$D$333,0)))</f>
        <v>0</v>
      </c>
      <c r="N505" s="81">
        <f ca="1">N487*(1+INDEX(N$331:N$333,MATCH(Work_Codes!$I$218,$D$331:$D$333,0)))</f>
        <v>0</v>
      </c>
      <c r="O505" s="81">
        <f ca="1">O487*(1+INDEX(O$331:O$333,MATCH(Work_Codes!$I$218,$D$331:$D$333,0)))</f>
        <v>0</v>
      </c>
      <c r="P505" s="81">
        <f ca="1">P487*(1+INDEX(P$331:P$333,MATCH(Work_Codes!$I$218,$D$331:$D$333,0)))</f>
        <v>0</v>
      </c>
      <c r="Q505" s="81">
        <f ca="1">Q487*(1+INDEX(Q$331:Q$333,MATCH(Work_Codes!$I$218,$D$331:$D$333,0)))</f>
        <v>0</v>
      </c>
      <c r="R505" s="81">
        <f ca="1">R487*(1+INDEX(R$331:R$333,MATCH(Work_Codes!$I$218,$D$331:$D$333,0)))</f>
        <v>0</v>
      </c>
      <c r="S505" s="81">
        <f ca="1">S487*(1+INDEX(S$331:S$333,MATCH(Work_Codes!$I$218,$D$331:$D$333,0)))</f>
        <v>0</v>
      </c>
      <c r="T505" s="81">
        <f ca="1">T487*(1+INDEX(T$331:T$333,MATCH(Work_Codes!$I$218,$D$331:$D$333,0)))</f>
        <v>0</v>
      </c>
    </row>
    <row r="506" spans="4:20" ht="12" customHeight="1" outlineLevel="2">
      <c r="E506" s="247" t="str">
        <f>GC!C64</f>
        <v>Commercial and industrial meter replacement</v>
      </c>
      <c r="F506" s="247"/>
      <c r="G506" s="247"/>
      <c r="H506" s="247"/>
      <c r="I506" s="247"/>
      <c r="J506" s="81">
        <f ca="1">J488*(1+INDEX(J$331:J$333,MATCH(Work_Codes!$I$218,$D$331:$D$333,0)))</f>
        <v>0</v>
      </c>
      <c r="K506" s="81">
        <f ca="1">K488*(1+INDEX(K$331:K$333,MATCH(Work_Codes!$I$218,$D$331:$D$333,0)))</f>
        <v>0</v>
      </c>
      <c r="L506" s="81">
        <f ca="1">L488*(1+INDEX(L$331:L$333,MATCH(Work_Codes!$I$218,$D$331:$D$333,0)))</f>
        <v>0</v>
      </c>
      <c r="M506" s="81">
        <f ca="1">M488*(1+INDEX(M$331:M$333,MATCH(Work_Codes!$I$218,$D$331:$D$333,0)))</f>
        <v>0</v>
      </c>
      <c r="N506" s="81">
        <f ca="1">N488*(1+INDEX(N$331:N$333,MATCH(Work_Codes!$I$218,$D$331:$D$333,0)))</f>
        <v>0</v>
      </c>
      <c r="O506" s="81">
        <f ca="1">O488*(1+INDEX(O$331:O$333,MATCH(Work_Codes!$I$218,$D$331:$D$333,0)))</f>
        <v>0</v>
      </c>
      <c r="P506" s="81">
        <f ca="1">P488*(1+INDEX(P$331:P$333,MATCH(Work_Codes!$I$218,$D$331:$D$333,0)))</f>
        <v>0</v>
      </c>
      <c r="Q506" s="81">
        <f ca="1">Q488*(1+INDEX(Q$331:Q$333,MATCH(Work_Codes!$I$218,$D$331:$D$333,0)))</f>
        <v>0</v>
      </c>
      <c r="R506" s="81">
        <f ca="1">R488*(1+INDEX(R$331:R$333,MATCH(Work_Codes!$I$218,$D$331:$D$333,0)))</f>
        <v>0</v>
      </c>
      <c r="S506" s="81">
        <f ca="1">S488*(1+INDEX(S$331:S$333,MATCH(Work_Codes!$I$218,$D$331:$D$333,0)))</f>
        <v>0</v>
      </c>
      <c r="T506" s="81">
        <f ca="1">T488*(1+INDEX(T$331:T$333,MATCH(Work_Codes!$I$218,$D$331:$D$333,0)))</f>
        <v>0</v>
      </c>
    </row>
    <row r="507" spans="4:20" ht="12" customHeight="1" outlineLevel="2">
      <c r="E507" s="247" t="str">
        <f>GC!C65</f>
        <v>Augmentation</v>
      </c>
      <c r="F507" s="247"/>
      <c r="G507" s="247"/>
      <c r="H507" s="247"/>
      <c r="I507" s="247"/>
      <c r="J507" s="81">
        <f ca="1">J489*(1+INDEX(J$331:J$333,MATCH(Work_Codes!$I$218,$D$331:$D$333,0)))</f>
        <v>0</v>
      </c>
      <c r="K507" s="81">
        <f ca="1">K489*(1+INDEX(K$331:K$333,MATCH(Work_Codes!$I$218,$D$331:$D$333,0)))</f>
        <v>0</v>
      </c>
      <c r="L507" s="81">
        <f ca="1">L489*(1+INDEX(L$331:L$333,MATCH(Work_Codes!$I$218,$D$331:$D$333,0)))</f>
        <v>0</v>
      </c>
      <c r="M507" s="81">
        <f ca="1">M489*(1+INDEX(M$331:M$333,MATCH(Work_Codes!$I$218,$D$331:$D$333,0)))</f>
        <v>0</v>
      </c>
      <c r="N507" s="81">
        <f ca="1">N489*(1+INDEX(N$331:N$333,MATCH(Work_Codes!$I$218,$D$331:$D$333,0)))</f>
        <v>0</v>
      </c>
      <c r="O507" s="81">
        <f ca="1">O489*(1+INDEX(O$331:O$333,MATCH(Work_Codes!$I$218,$D$331:$D$333,0)))</f>
        <v>0</v>
      </c>
      <c r="P507" s="81">
        <f ca="1">P489*(1+INDEX(P$331:P$333,MATCH(Work_Codes!$I$218,$D$331:$D$333,0)))</f>
        <v>0</v>
      </c>
      <c r="Q507" s="81">
        <f ca="1">Q489*(1+INDEX(Q$331:Q$333,MATCH(Work_Codes!$I$218,$D$331:$D$333,0)))</f>
        <v>0</v>
      </c>
      <c r="R507" s="81">
        <f ca="1">R489*(1+INDEX(R$331:R$333,MATCH(Work_Codes!$I$218,$D$331:$D$333,0)))</f>
        <v>0</v>
      </c>
      <c r="S507" s="81">
        <f ca="1">S489*(1+INDEX(S$331:S$333,MATCH(Work_Codes!$I$218,$D$331:$D$333,0)))</f>
        <v>0</v>
      </c>
      <c r="T507" s="81">
        <f ca="1">T489*(1+INDEX(T$331:T$333,MATCH(Work_Codes!$I$218,$D$331:$D$333,0)))</f>
        <v>0</v>
      </c>
    </row>
    <row r="508" spans="4:20" ht="12" customHeight="1" outlineLevel="2">
      <c r="E508" s="247" t="str">
        <f>GC!C66</f>
        <v>IT capex</v>
      </c>
      <c r="F508" s="247"/>
      <c r="G508" s="247"/>
      <c r="H508" s="247"/>
      <c r="I508" s="247"/>
      <c r="J508" s="81">
        <f ca="1">J490*(1+INDEX(J$331:J$333,MATCH(Work_Codes!$I$218,$D$331:$D$333,0)))</f>
        <v>0</v>
      </c>
      <c r="K508" s="81">
        <f ca="1">K490*(1+INDEX(K$331:K$333,MATCH(Work_Codes!$I$218,$D$331:$D$333,0)))</f>
        <v>0</v>
      </c>
      <c r="L508" s="81">
        <f ca="1">L490*(1+INDEX(L$331:L$333,MATCH(Work_Codes!$I$218,$D$331:$D$333,0)))</f>
        <v>0</v>
      </c>
      <c r="M508" s="81">
        <f ca="1">M490*(1+INDEX(M$331:M$333,MATCH(Work_Codes!$I$218,$D$331:$D$333,0)))</f>
        <v>0</v>
      </c>
      <c r="N508" s="81">
        <f ca="1">N490*(1+INDEX(N$331:N$333,MATCH(Work_Codes!$I$218,$D$331:$D$333,0)))</f>
        <v>0</v>
      </c>
      <c r="O508" s="81">
        <f ca="1">O490*(1+INDEX(O$331:O$333,MATCH(Work_Codes!$I$218,$D$331:$D$333,0)))</f>
        <v>0</v>
      </c>
      <c r="P508" s="81">
        <f ca="1">P490*(1+INDEX(P$331:P$333,MATCH(Work_Codes!$I$218,$D$331:$D$333,0)))</f>
        <v>0</v>
      </c>
      <c r="Q508" s="81">
        <f ca="1">Q490*(1+INDEX(Q$331:Q$333,MATCH(Work_Codes!$I$218,$D$331:$D$333,0)))</f>
        <v>0</v>
      </c>
      <c r="R508" s="81">
        <f ca="1">R490*(1+INDEX(R$331:R$333,MATCH(Work_Codes!$I$218,$D$331:$D$333,0)))</f>
        <v>0</v>
      </c>
      <c r="S508" s="81">
        <f ca="1">S490*(1+INDEX(S$331:S$333,MATCH(Work_Codes!$I$218,$D$331:$D$333,0)))</f>
        <v>0</v>
      </c>
      <c r="T508" s="81">
        <f ca="1">T490*(1+INDEX(T$331:T$333,MATCH(Work_Codes!$I$218,$D$331:$D$333,0)))</f>
        <v>0</v>
      </c>
    </row>
    <row r="509" spans="4:20" ht="12" customHeight="1" outlineLevel="2">
      <c r="E509" s="247" t="str">
        <f>GC!C67</f>
        <v>SCADA</v>
      </c>
      <c r="F509" s="247"/>
      <c r="G509" s="247"/>
      <c r="H509" s="247"/>
      <c r="I509" s="247"/>
      <c r="J509" s="81">
        <f ca="1">J491*(1+INDEX(J$331:J$333,MATCH(Work_Codes!$I$218,$D$331:$D$333,0)))</f>
        <v>0</v>
      </c>
      <c r="K509" s="81">
        <f ca="1">K491*(1+INDEX(K$331:K$333,MATCH(Work_Codes!$I$218,$D$331:$D$333,0)))</f>
        <v>0</v>
      </c>
      <c r="L509" s="81">
        <f ca="1">L491*(1+INDEX(L$331:L$333,MATCH(Work_Codes!$I$218,$D$331:$D$333,0)))</f>
        <v>0</v>
      </c>
      <c r="M509" s="81">
        <f ca="1">M491*(1+INDEX(M$331:M$333,MATCH(Work_Codes!$I$218,$D$331:$D$333,0)))</f>
        <v>0</v>
      </c>
      <c r="N509" s="81">
        <f ca="1">N491*(1+INDEX(N$331:N$333,MATCH(Work_Codes!$I$218,$D$331:$D$333,0)))</f>
        <v>0</v>
      </c>
      <c r="O509" s="81">
        <f ca="1">O491*(1+INDEX(O$331:O$333,MATCH(Work_Codes!$I$218,$D$331:$D$333,0)))</f>
        <v>0</v>
      </c>
      <c r="P509" s="81">
        <f ca="1">P491*(1+INDEX(P$331:P$333,MATCH(Work_Codes!$I$218,$D$331:$D$333,0)))</f>
        <v>0</v>
      </c>
      <c r="Q509" s="81">
        <f ca="1">Q491*(1+INDEX(Q$331:Q$333,MATCH(Work_Codes!$I$218,$D$331:$D$333,0)))</f>
        <v>0</v>
      </c>
      <c r="R509" s="81">
        <f ca="1">R491*(1+INDEX(R$331:R$333,MATCH(Work_Codes!$I$218,$D$331:$D$333,0)))</f>
        <v>0</v>
      </c>
      <c r="S509" s="81">
        <f ca="1">S491*(1+INDEX(S$331:S$333,MATCH(Work_Codes!$I$218,$D$331:$D$333,0)))</f>
        <v>0</v>
      </c>
      <c r="T509" s="81">
        <f ca="1">T491*(1+INDEX(T$331:T$333,MATCH(Work_Codes!$I$218,$D$331:$D$333,0)))</f>
        <v>0</v>
      </c>
    </row>
    <row r="510" spans="4:20" ht="12" customHeight="1" outlineLevel="2">
      <c r="E510" s="247" t="str">
        <f>GC!C68</f>
        <v>Other</v>
      </c>
      <c r="F510" s="247"/>
      <c r="G510" s="247"/>
      <c r="H510" s="247"/>
      <c r="I510" s="247"/>
      <c r="J510" s="81">
        <f ca="1">J492*(1+INDEX(J$331:J$333,MATCH(Work_Codes!$I$218,$D$331:$D$333,0)))</f>
        <v>0</v>
      </c>
      <c r="K510" s="81">
        <f ca="1">K492*(1+INDEX(K$331:K$333,MATCH(Work_Codes!$I$218,$D$331:$D$333,0)))</f>
        <v>0</v>
      </c>
      <c r="L510" s="81">
        <f ca="1">L492*(1+INDEX(L$331:L$333,MATCH(Work_Codes!$I$218,$D$331:$D$333,0)))</f>
        <v>0</v>
      </c>
      <c r="M510" s="81">
        <f ca="1">M492*(1+INDEX(M$331:M$333,MATCH(Work_Codes!$I$218,$D$331:$D$333,0)))</f>
        <v>0</v>
      </c>
      <c r="N510" s="81">
        <f ca="1">N492*(1+INDEX(N$331:N$333,MATCH(Work_Codes!$I$218,$D$331:$D$333,0)))</f>
        <v>104420.70631978351</v>
      </c>
      <c r="O510" s="81">
        <f ca="1">O492*(1+INDEX(O$331:O$333,MATCH(Work_Codes!$I$218,$D$331:$D$333,0)))</f>
        <v>51669.567317266868</v>
      </c>
      <c r="P510" s="81">
        <f ca="1">P492*(1+INDEX(P$331:P$333,MATCH(Work_Codes!$I$218,$D$331:$D$333,0)))</f>
        <v>102696.27376837724</v>
      </c>
      <c r="Q510" s="81">
        <f ca="1">Q492*(1+INDEX(Q$331:Q$333,MATCH(Work_Codes!$I$218,$D$331:$D$333,0)))</f>
        <v>102643.21708267494</v>
      </c>
      <c r="R510" s="81">
        <f ca="1">R492*(1+INDEX(R$331:R$333,MATCH(Work_Codes!$I$218,$D$331:$D$333,0)))</f>
        <v>102747.50630410123</v>
      </c>
      <c r="S510" s="81">
        <f ca="1">S492*(1+INDEX(S$331:S$333,MATCH(Work_Codes!$I$218,$D$331:$D$333,0)))</f>
        <v>102938.23094242708</v>
      </c>
      <c r="T510" s="81">
        <f ca="1">T492*(1+INDEX(T$331:T$333,MATCH(Work_Codes!$I$218,$D$331:$D$333,0)))</f>
        <v>103099.35991194547</v>
      </c>
    </row>
    <row r="511" spans="4:20" outlineLevel="2">
      <c r="E511" s="247" t="str">
        <f>GC!C69</f>
        <v>Capitalised Leases</v>
      </c>
      <c r="F511" s="247"/>
      <c r="G511" s="247"/>
      <c r="H511" s="247"/>
      <c r="I511" s="247"/>
      <c r="J511" s="81">
        <f ca="1">J493*(1+INDEX(J$331:J$333,MATCH(Work_Codes!$I$218,$D$331:$D$333,0)))</f>
        <v>0</v>
      </c>
      <c r="K511" s="81">
        <f ca="1">K493*(1+INDEX(K$331:K$333,MATCH(Work_Codes!$I$218,$D$331:$D$333,0)))</f>
        <v>0</v>
      </c>
      <c r="L511" s="81">
        <f ca="1">L493*(1+INDEX(L$331:L$333,MATCH(Work_Codes!$I$218,$D$331:$D$333,0)))</f>
        <v>0</v>
      </c>
      <c r="M511" s="81">
        <f ca="1">M493*(1+INDEX(M$331:M$333,MATCH(Work_Codes!$I$218,$D$331:$D$333,0)))</f>
        <v>0</v>
      </c>
      <c r="N511" s="81">
        <f ca="1">N493*(1+INDEX(N$331:N$333,MATCH(Work_Codes!$I$218,$D$331:$D$333,0)))</f>
        <v>0</v>
      </c>
      <c r="O511" s="81">
        <f ca="1">O493*(1+INDEX(O$331:O$333,MATCH(Work_Codes!$I$218,$D$331:$D$333,0)))</f>
        <v>0</v>
      </c>
      <c r="P511" s="81">
        <f ca="1">P493*(1+INDEX(P$331:P$333,MATCH(Work_Codes!$I$218,$D$331:$D$333,0)))</f>
        <v>0</v>
      </c>
      <c r="Q511" s="81">
        <f ca="1">Q493*(1+INDEX(Q$331:Q$333,MATCH(Work_Codes!$I$218,$D$331:$D$333,0)))</f>
        <v>0</v>
      </c>
      <c r="R511" s="81">
        <f ca="1">R493*(1+INDEX(R$331:R$333,MATCH(Work_Codes!$I$218,$D$331:$D$333,0)))</f>
        <v>0</v>
      </c>
      <c r="S511" s="81">
        <f ca="1">S493*(1+INDEX(S$331:S$333,MATCH(Work_Codes!$I$218,$D$331:$D$333,0)))</f>
        <v>0</v>
      </c>
      <c r="T511" s="81">
        <f ca="1">T493*(1+INDEX(T$331:T$333,MATCH(Work_Codes!$I$218,$D$331:$D$333,0)))</f>
        <v>0</v>
      </c>
    </row>
    <row r="512" spans="4:20" ht="12" customHeight="1" outlineLevel="2">
      <c r="E512" s="247" t="str">
        <f>GC!C70</f>
        <v>Gas Extensions - Energy for the Regions</v>
      </c>
      <c r="F512" s="247"/>
      <c r="G512" s="247"/>
      <c r="H512" s="247"/>
      <c r="I512" s="247"/>
      <c r="J512" s="81">
        <f ca="1">J494*(1+INDEX(J$331:J$333,MATCH(Work_Codes!$I$218,$D$331:$D$333,0)))</f>
        <v>0</v>
      </c>
      <c r="K512" s="81">
        <f ca="1">K494*(1+INDEX(K$331:K$333,MATCH(Work_Codes!$I$218,$D$331:$D$333,0)))</f>
        <v>0</v>
      </c>
      <c r="L512" s="81">
        <f ca="1">L494*(1+INDEX(L$331:L$333,MATCH(Work_Codes!$I$218,$D$331:$D$333,0)))</f>
        <v>0</v>
      </c>
      <c r="M512" s="81">
        <f ca="1">M494*(1+INDEX(M$331:M$333,MATCH(Work_Codes!$I$218,$D$331:$D$333,0)))</f>
        <v>0</v>
      </c>
      <c r="N512" s="81">
        <f ca="1">N494*(1+INDEX(N$331:N$333,MATCH(Work_Codes!$I$218,$D$331:$D$333,0)))</f>
        <v>0</v>
      </c>
      <c r="O512" s="81">
        <f ca="1">O494*(1+INDEX(O$331:O$333,MATCH(Work_Codes!$I$218,$D$331:$D$333,0)))</f>
        <v>0</v>
      </c>
      <c r="P512" s="81">
        <f ca="1">P494*(1+INDEX(P$331:P$333,MATCH(Work_Codes!$I$218,$D$331:$D$333,0)))</f>
        <v>0</v>
      </c>
      <c r="Q512" s="81">
        <f ca="1">Q494*(1+INDEX(Q$331:Q$333,MATCH(Work_Codes!$I$218,$D$331:$D$333,0)))</f>
        <v>0</v>
      </c>
      <c r="R512" s="81">
        <f ca="1">R494*(1+INDEX(R$331:R$333,MATCH(Work_Codes!$I$218,$D$331:$D$333,0)))</f>
        <v>0</v>
      </c>
      <c r="S512" s="81">
        <f ca="1">S494*(1+INDEX(S$331:S$333,MATCH(Work_Codes!$I$218,$D$331:$D$333,0)))</f>
        <v>0</v>
      </c>
      <c r="T512" s="81">
        <f ca="1">T494*(1+INDEX(T$331:T$333,MATCH(Work_Codes!$I$218,$D$331:$D$333,0)))</f>
        <v>0</v>
      </c>
    </row>
    <row r="513" spans="4:20" ht="12" customHeight="1" outlineLevel="2">
      <c r="E513" s="247" t="str">
        <f>GC!C71</f>
        <v>Gas Extensions - Other</v>
      </c>
      <c r="F513" s="247"/>
      <c r="G513" s="247"/>
      <c r="H513" s="247"/>
      <c r="I513" s="247"/>
      <c r="J513" s="81">
        <f ca="1">J495*(1+INDEX(J$331:J$333,MATCH(Work_Codes!$I$218,$D$331:$D$333,0)))</f>
        <v>0</v>
      </c>
      <c r="K513" s="81">
        <f ca="1">K495*(1+INDEX(K$331:K$333,MATCH(Work_Codes!$I$218,$D$331:$D$333,0)))</f>
        <v>0</v>
      </c>
      <c r="L513" s="81">
        <f ca="1">L495*(1+INDEX(L$331:L$333,MATCH(Work_Codes!$I$218,$D$331:$D$333,0)))</f>
        <v>0</v>
      </c>
      <c r="M513" s="81">
        <f ca="1">M495*(1+INDEX(M$331:M$333,MATCH(Work_Codes!$I$218,$D$331:$D$333,0)))</f>
        <v>0</v>
      </c>
      <c r="N513" s="81">
        <f ca="1">N495*(1+INDEX(N$331:N$333,MATCH(Work_Codes!$I$218,$D$331:$D$333,0)))</f>
        <v>0</v>
      </c>
      <c r="O513" s="81">
        <f ca="1">O495*(1+INDEX(O$331:O$333,MATCH(Work_Codes!$I$218,$D$331:$D$333,0)))</f>
        <v>0</v>
      </c>
      <c r="P513" s="81">
        <f ca="1">P495*(1+INDEX(P$331:P$333,MATCH(Work_Codes!$I$218,$D$331:$D$333,0)))</f>
        <v>0</v>
      </c>
      <c r="Q513" s="81">
        <f ca="1">Q495*(1+INDEX(Q$331:Q$333,MATCH(Work_Codes!$I$218,$D$331:$D$333,0)))</f>
        <v>0</v>
      </c>
      <c r="R513" s="81">
        <f ca="1">R495*(1+INDEX(R$331:R$333,MATCH(Work_Codes!$I$218,$D$331:$D$333,0)))</f>
        <v>0</v>
      </c>
      <c r="S513" s="81">
        <f ca="1">S495*(1+INDEX(S$331:S$333,MATCH(Work_Codes!$I$218,$D$331:$D$333,0)))</f>
        <v>0</v>
      </c>
      <c r="T513" s="81">
        <f ca="1">T495*(1+INDEX(T$331:T$333,MATCH(Work_Codes!$I$218,$D$331:$D$333,0)))</f>
        <v>0</v>
      </c>
    </row>
    <row r="514" spans="4:20" ht="12" customHeight="1" outlineLevel="2">
      <c r="E514" s="247" t="str">
        <f>GC!C72</f>
        <v>Customer contributions</v>
      </c>
      <c r="F514" s="247"/>
      <c r="G514" s="247"/>
      <c r="H514" s="247"/>
      <c r="I514" s="247"/>
      <c r="J514" s="81">
        <f ca="1">J496*(1+INDEX(J$331:J$333,MATCH(Work_Codes!$I$218,$D$331:$D$333,0)))</f>
        <v>0</v>
      </c>
      <c r="K514" s="81">
        <f ca="1">K496*(1+INDEX(K$331:K$333,MATCH(Work_Codes!$I$218,$D$331:$D$333,0)))</f>
        <v>0</v>
      </c>
      <c r="L514" s="81">
        <f ca="1">L496*(1+INDEX(L$331:L$333,MATCH(Work_Codes!$I$218,$D$331:$D$333,0)))</f>
        <v>0</v>
      </c>
      <c r="M514" s="81">
        <f ca="1">M496*(1+INDEX(M$331:M$333,MATCH(Work_Codes!$I$218,$D$331:$D$333,0)))</f>
        <v>0</v>
      </c>
      <c r="N514" s="81">
        <f ca="1">N496*(1+INDEX(N$331:N$333,MATCH(Work_Codes!$I$218,$D$331:$D$333,0)))</f>
        <v>0</v>
      </c>
      <c r="O514" s="81">
        <f ca="1">O496*(1+INDEX(O$331:O$333,MATCH(Work_Codes!$I$218,$D$331:$D$333,0)))</f>
        <v>0</v>
      </c>
      <c r="P514" s="81">
        <f ca="1">P496*(1+INDEX(P$331:P$333,MATCH(Work_Codes!$I$218,$D$331:$D$333,0)))</f>
        <v>0</v>
      </c>
      <c r="Q514" s="81">
        <f ca="1">Q496*(1+INDEX(Q$331:Q$333,MATCH(Work_Codes!$I$218,$D$331:$D$333,0)))</f>
        <v>0</v>
      </c>
      <c r="R514" s="81">
        <f ca="1">R496*(1+INDEX(R$331:R$333,MATCH(Work_Codes!$I$218,$D$331:$D$333,0)))</f>
        <v>0</v>
      </c>
      <c r="S514" s="81">
        <f ca="1">S496*(1+INDEX(S$331:S$333,MATCH(Work_Codes!$I$218,$D$331:$D$333,0)))</f>
        <v>0</v>
      </c>
      <c r="T514" s="81">
        <f ca="1">T496*(1+INDEX(T$331:T$333,MATCH(Work_Codes!$I$218,$D$331:$D$333,0)))</f>
        <v>0</v>
      </c>
    </row>
    <row r="515" spans="4:20" ht="12" customHeight="1" outlineLevel="2">
      <c r="E515" s="247" t="str">
        <f>GC!C73</f>
        <v>Government contributions</v>
      </c>
      <c r="F515" s="247"/>
      <c r="G515" s="247"/>
      <c r="H515" s="247"/>
      <c r="I515" s="247"/>
      <c r="J515" s="81">
        <f ca="1">J497*(1+INDEX(J$331:J$333,MATCH(Work_Codes!$I$218,$D$331:$D$333,0)))</f>
        <v>0</v>
      </c>
      <c r="K515" s="81">
        <f ca="1">K497*(1+INDEX(K$331:K$333,MATCH(Work_Codes!$I$218,$D$331:$D$333,0)))</f>
        <v>0</v>
      </c>
      <c r="L515" s="81">
        <f ca="1">L497*(1+INDEX(L$331:L$333,MATCH(Work_Codes!$I$218,$D$331:$D$333,0)))</f>
        <v>0</v>
      </c>
      <c r="M515" s="81">
        <f ca="1">M497*(1+INDEX(M$331:M$333,MATCH(Work_Codes!$I$218,$D$331:$D$333,0)))</f>
        <v>0</v>
      </c>
      <c r="N515" s="81">
        <f ca="1">N497*(1+INDEX(N$331:N$333,MATCH(Work_Codes!$I$218,$D$331:$D$333,0)))</f>
        <v>0</v>
      </c>
      <c r="O515" s="81">
        <f ca="1">O497*(1+INDEX(O$331:O$333,MATCH(Work_Codes!$I$218,$D$331:$D$333,0)))</f>
        <v>0</v>
      </c>
      <c r="P515" s="81">
        <f ca="1">P497*(1+INDEX(P$331:P$333,MATCH(Work_Codes!$I$218,$D$331:$D$333,0)))</f>
        <v>0</v>
      </c>
      <c r="Q515" s="81">
        <f ca="1">Q497*(1+INDEX(Q$331:Q$333,MATCH(Work_Codes!$I$218,$D$331:$D$333,0)))</f>
        <v>0</v>
      </c>
      <c r="R515" s="81">
        <f ca="1">R497*(1+INDEX(R$331:R$333,MATCH(Work_Codes!$I$218,$D$331:$D$333,0)))</f>
        <v>0</v>
      </c>
      <c r="S515" s="81">
        <f ca="1">S497*(1+INDEX(S$331:S$333,MATCH(Work_Codes!$I$218,$D$331:$D$333,0)))</f>
        <v>0</v>
      </c>
      <c r="T515" s="81">
        <f ca="1">T497*(1+INDEX(T$331:T$333,MATCH(Work_Codes!$I$218,$D$331:$D$333,0)))</f>
        <v>0</v>
      </c>
    </row>
    <row r="516" spans="4:20" ht="12" customHeight="1" outlineLevel="2">
      <c r="E516" s="249" t="str">
        <f>"Total "&amp;D500</f>
        <v>Total Direct Costs + Overheads</v>
      </c>
      <c r="F516" s="249"/>
      <c r="G516" s="249"/>
      <c r="H516" s="249"/>
      <c r="I516" s="249"/>
      <c r="J516" s="82">
        <f t="shared" ref="J516:T516" ca="1" si="51">SUM(J502:J515)</f>
        <v>0</v>
      </c>
      <c r="K516" s="82">
        <f t="shared" ca="1" si="51"/>
        <v>0</v>
      </c>
      <c r="L516" s="82">
        <f t="shared" ca="1" si="51"/>
        <v>0</v>
      </c>
      <c r="M516" s="82">
        <f t="shared" ca="1" si="51"/>
        <v>0</v>
      </c>
      <c r="N516" s="82">
        <f t="shared" ca="1" si="51"/>
        <v>104420.70631978351</v>
      </c>
      <c r="O516" s="82">
        <f t="shared" ca="1" si="51"/>
        <v>51669.567317266868</v>
      </c>
      <c r="P516" s="82">
        <f t="shared" ca="1" si="51"/>
        <v>102696.27376837724</v>
      </c>
      <c r="Q516" s="82">
        <f t="shared" ca="1" si="51"/>
        <v>102643.21708267494</v>
      </c>
      <c r="R516" s="82">
        <f t="shared" ca="1" si="51"/>
        <v>102747.50630410123</v>
      </c>
      <c r="S516" s="82">
        <f t="shared" ca="1" si="51"/>
        <v>102938.23094242708</v>
      </c>
      <c r="T516" s="82">
        <f t="shared" ca="1" si="51"/>
        <v>103099.35991194547</v>
      </c>
    </row>
    <row r="517" spans="4:20" outlineLevel="2"/>
    <row r="518" spans="4:20" outlineLevel="2">
      <c r="D518" s="37" t="s">
        <v>367</v>
      </c>
    </row>
    <row r="519" spans="4:20" ht="5.75" customHeight="1" outlineLevel="2"/>
    <row r="520" spans="4:20" outlineLevel="2">
      <c r="E520" s="247" t="str">
        <f>GC!C60</f>
        <v>Mains replacement</v>
      </c>
      <c r="F520" s="247"/>
      <c r="G520" s="247"/>
      <c r="H520" s="247"/>
      <c r="I520" s="247"/>
      <c r="J520" s="81">
        <f ca="1">SUMPRODUCT((Work_Codes!$AC$221:$AO$221=$E520)*(Work_Codes!$AC$229:$AO$229)*(J$361:J$361))</f>
        <v>0</v>
      </c>
      <c r="K520" s="81">
        <f ca="1">SUMPRODUCT((Work_Codes!$AC$221:$AO$221=$E520)*(Work_Codes!$AC$229:$AO$229)*(K$361:K$361))</f>
        <v>0</v>
      </c>
      <c r="L520" s="81">
        <f ca="1">SUMPRODUCT((Work_Codes!$AC$221:$AO$221=$E520)*(Work_Codes!$AC$229:$AO$229)*(L$361:L$361))</f>
        <v>0</v>
      </c>
      <c r="M520" s="81">
        <f ca="1">SUMPRODUCT((Work_Codes!$AC$221:$AO$221=$E520)*(Work_Codes!$AC$229:$AO$229)*(M$361:M$361))</f>
        <v>0</v>
      </c>
      <c r="N520" s="81">
        <f ca="1">SUMPRODUCT((Work_Codes!$AC$221:$AO$221=$E520)*(Work_Codes!$AC$229:$AO$229)*(N$361:N$361))</f>
        <v>0</v>
      </c>
      <c r="O520" s="81">
        <f ca="1">SUMPRODUCT((Work_Codes!$AC$221:$AO$221=$E520)*(Work_Codes!$AC$229:$AO$229)*(O$361:O$361))</f>
        <v>0</v>
      </c>
      <c r="P520" s="81">
        <f ca="1">SUMPRODUCT((Work_Codes!$AC$221:$AO$221=$E520)*(Work_Codes!$AC$229:$AO$229)*(P$361:P$361))</f>
        <v>0</v>
      </c>
      <c r="Q520" s="81">
        <f ca="1">SUMPRODUCT((Work_Codes!$AC$221:$AO$221=$E520)*(Work_Codes!$AC$229:$AO$229)*(Q$361:Q$361))</f>
        <v>0</v>
      </c>
      <c r="R520" s="81">
        <f ca="1">SUMPRODUCT((Work_Codes!$AC$221:$AO$221=$E520)*(Work_Codes!$AC$229:$AO$229)*(R$361:R$361))</f>
        <v>0</v>
      </c>
      <c r="S520" s="81">
        <f ca="1">SUMPRODUCT((Work_Codes!$AC$221:$AO$221=$E520)*(Work_Codes!$AC$229:$AO$229)*(S$361:S$361))</f>
        <v>0</v>
      </c>
      <c r="T520" s="81">
        <f ca="1">SUMPRODUCT((Work_Codes!$AC$221:$AO$221=$E520)*(Work_Codes!$AC$229:$AO$229)*(T$361:T$361))</f>
        <v>0</v>
      </c>
    </row>
    <row r="521" spans="4:20" outlineLevel="2">
      <c r="E521" s="247" t="str">
        <f>GC!C61</f>
        <v>Residential new customer connections</v>
      </c>
      <c r="F521" s="247"/>
      <c r="G521" s="247"/>
      <c r="H521" s="247"/>
      <c r="I521" s="247"/>
      <c r="J521" s="81">
        <f ca="1">SUMPRODUCT((Work_Codes!$AC$221:$AO$221=$E521)*(Work_Codes!$AC$229:$AO$229)*(J$361:J$361))</f>
        <v>0</v>
      </c>
      <c r="K521" s="81">
        <f ca="1">SUMPRODUCT((Work_Codes!$AC$221:$AO$221=$E521)*(Work_Codes!$AC$229:$AO$229)*(K$361:K$361))</f>
        <v>0</v>
      </c>
      <c r="L521" s="81">
        <f ca="1">SUMPRODUCT((Work_Codes!$AC$221:$AO$221=$E521)*(Work_Codes!$AC$229:$AO$229)*(L$361:L$361))</f>
        <v>0</v>
      </c>
      <c r="M521" s="81">
        <f ca="1">SUMPRODUCT((Work_Codes!$AC$221:$AO$221=$E521)*(Work_Codes!$AC$229:$AO$229)*(M$361:M$361))</f>
        <v>0</v>
      </c>
      <c r="N521" s="81">
        <f ca="1">SUMPRODUCT((Work_Codes!$AC$221:$AO$221=$E521)*(Work_Codes!$AC$229:$AO$229)*(N$361:N$361))</f>
        <v>0</v>
      </c>
      <c r="O521" s="81">
        <f ca="1">SUMPRODUCT((Work_Codes!$AC$221:$AO$221=$E521)*(Work_Codes!$AC$229:$AO$229)*(O$361:O$361))</f>
        <v>0</v>
      </c>
      <c r="P521" s="81">
        <f ca="1">SUMPRODUCT((Work_Codes!$AC$221:$AO$221=$E521)*(Work_Codes!$AC$229:$AO$229)*(P$361:P$361))</f>
        <v>0</v>
      </c>
      <c r="Q521" s="81">
        <f ca="1">SUMPRODUCT((Work_Codes!$AC$221:$AO$221=$E521)*(Work_Codes!$AC$229:$AO$229)*(Q$361:Q$361))</f>
        <v>0</v>
      </c>
      <c r="R521" s="81">
        <f ca="1">SUMPRODUCT((Work_Codes!$AC$221:$AO$221=$E521)*(Work_Codes!$AC$229:$AO$229)*(R$361:R$361))</f>
        <v>0</v>
      </c>
      <c r="S521" s="81">
        <f ca="1">SUMPRODUCT((Work_Codes!$AC$221:$AO$221=$E521)*(Work_Codes!$AC$229:$AO$229)*(S$361:S$361))</f>
        <v>0</v>
      </c>
      <c r="T521" s="81">
        <f ca="1">SUMPRODUCT((Work_Codes!$AC$221:$AO$221=$E521)*(Work_Codes!$AC$229:$AO$229)*(T$361:T$361))</f>
        <v>0</v>
      </c>
    </row>
    <row r="522" spans="4:20" outlineLevel="2">
      <c r="E522" s="247" t="str">
        <f>GC!C62</f>
        <v>Commercial and industrial new customer connections</v>
      </c>
      <c r="F522" s="247"/>
      <c r="G522" s="247"/>
      <c r="H522" s="247"/>
      <c r="I522" s="247"/>
      <c r="J522" s="81">
        <f ca="1">SUMPRODUCT((Work_Codes!$AC$221:$AO$221=$E522)*(Work_Codes!$AC$229:$AO$229)*(J$361:J$361))</f>
        <v>0</v>
      </c>
      <c r="K522" s="81">
        <f ca="1">SUMPRODUCT((Work_Codes!$AC$221:$AO$221=$E522)*(Work_Codes!$AC$229:$AO$229)*(K$361:K$361))</f>
        <v>0</v>
      </c>
      <c r="L522" s="81">
        <f ca="1">SUMPRODUCT((Work_Codes!$AC$221:$AO$221=$E522)*(Work_Codes!$AC$229:$AO$229)*(L$361:L$361))</f>
        <v>0</v>
      </c>
      <c r="M522" s="81">
        <f ca="1">SUMPRODUCT((Work_Codes!$AC$221:$AO$221=$E522)*(Work_Codes!$AC$229:$AO$229)*(M$361:M$361))</f>
        <v>0</v>
      </c>
      <c r="N522" s="81">
        <f ca="1">SUMPRODUCT((Work_Codes!$AC$221:$AO$221=$E522)*(Work_Codes!$AC$229:$AO$229)*(N$361:N$361))</f>
        <v>0</v>
      </c>
      <c r="O522" s="81">
        <f ca="1">SUMPRODUCT((Work_Codes!$AC$221:$AO$221=$E522)*(Work_Codes!$AC$229:$AO$229)*(O$361:O$361))</f>
        <v>0</v>
      </c>
      <c r="P522" s="81">
        <f ca="1">SUMPRODUCT((Work_Codes!$AC$221:$AO$221=$E522)*(Work_Codes!$AC$229:$AO$229)*(P$361:P$361))</f>
        <v>0</v>
      </c>
      <c r="Q522" s="81">
        <f ca="1">SUMPRODUCT((Work_Codes!$AC$221:$AO$221=$E522)*(Work_Codes!$AC$229:$AO$229)*(Q$361:Q$361))</f>
        <v>0</v>
      </c>
      <c r="R522" s="81">
        <f ca="1">SUMPRODUCT((Work_Codes!$AC$221:$AO$221=$E522)*(Work_Codes!$AC$229:$AO$229)*(R$361:R$361))</f>
        <v>0</v>
      </c>
      <c r="S522" s="81">
        <f ca="1">SUMPRODUCT((Work_Codes!$AC$221:$AO$221=$E522)*(Work_Codes!$AC$229:$AO$229)*(S$361:S$361))</f>
        <v>0</v>
      </c>
      <c r="T522" s="81">
        <f ca="1">SUMPRODUCT((Work_Codes!$AC$221:$AO$221=$E522)*(Work_Codes!$AC$229:$AO$229)*(T$361:T$361))</f>
        <v>0</v>
      </c>
    </row>
    <row r="523" spans="4:20" outlineLevel="2">
      <c r="E523" s="247" t="str">
        <f>GC!C63</f>
        <v>Residential meter replacement</v>
      </c>
      <c r="F523" s="247"/>
      <c r="G523" s="247"/>
      <c r="H523" s="247"/>
      <c r="I523" s="247"/>
      <c r="J523" s="81">
        <f ca="1">SUMPRODUCT((Work_Codes!$AC$221:$AO$221=$E523)*(Work_Codes!$AC$229:$AO$229)*(J$361:J$361))</f>
        <v>0</v>
      </c>
      <c r="K523" s="81">
        <f ca="1">SUMPRODUCT((Work_Codes!$AC$221:$AO$221=$E523)*(Work_Codes!$AC$229:$AO$229)*(K$361:K$361))</f>
        <v>0</v>
      </c>
      <c r="L523" s="81">
        <f ca="1">SUMPRODUCT((Work_Codes!$AC$221:$AO$221=$E523)*(Work_Codes!$AC$229:$AO$229)*(L$361:L$361))</f>
        <v>0</v>
      </c>
      <c r="M523" s="81">
        <f ca="1">SUMPRODUCT((Work_Codes!$AC$221:$AO$221=$E523)*(Work_Codes!$AC$229:$AO$229)*(M$361:M$361))</f>
        <v>0</v>
      </c>
      <c r="N523" s="81">
        <f ca="1">SUMPRODUCT((Work_Codes!$AC$221:$AO$221=$E523)*(Work_Codes!$AC$229:$AO$229)*(N$361:N$361))</f>
        <v>0</v>
      </c>
      <c r="O523" s="81">
        <f ca="1">SUMPRODUCT((Work_Codes!$AC$221:$AO$221=$E523)*(Work_Codes!$AC$229:$AO$229)*(O$361:O$361))</f>
        <v>0</v>
      </c>
      <c r="P523" s="81">
        <f ca="1">SUMPRODUCT((Work_Codes!$AC$221:$AO$221=$E523)*(Work_Codes!$AC$229:$AO$229)*(P$361:P$361))</f>
        <v>0</v>
      </c>
      <c r="Q523" s="81">
        <f ca="1">SUMPRODUCT((Work_Codes!$AC$221:$AO$221=$E523)*(Work_Codes!$AC$229:$AO$229)*(Q$361:Q$361))</f>
        <v>0</v>
      </c>
      <c r="R523" s="81">
        <f ca="1">SUMPRODUCT((Work_Codes!$AC$221:$AO$221=$E523)*(Work_Codes!$AC$229:$AO$229)*(R$361:R$361))</f>
        <v>0</v>
      </c>
      <c r="S523" s="81">
        <f ca="1">SUMPRODUCT((Work_Codes!$AC$221:$AO$221=$E523)*(Work_Codes!$AC$229:$AO$229)*(S$361:S$361))</f>
        <v>0</v>
      </c>
      <c r="T523" s="81">
        <f ca="1">SUMPRODUCT((Work_Codes!$AC$221:$AO$221=$E523)*(Work_Codes!$AC$229:$AO$229)*(T$361:T$361))</f>
        <v>0</v>
      </c>
    </row>
    <row r="524" spans="4:20" outlineLevel="2">
      <c r="E524" s="247" t="str">
        <f>GC!C64</f>
        <v>Commercial and industrial meter replacement</v>
      </c>
      <c r="F524" s="247"/>
      <c r="G524" s="247"/>
      <c r="H524" s="247"/>
      <c r="I524" s="247"/>
      <c r="J524" s="81">
        <f ca="1">SUMPRODUCT((Work_Codes!$AC$221:$AO$221=$E524)*(Work_Codes!$AC$229:$AO$229)*(J$361:J$361))</f>
        <v>0</v>
      </c>
      <c r="K524" s="81">
        <f ca="1">SUMPRODUCT((Work_Codes!$AC$221:$AO$221=$E524)*(Work_Codes!$AC$229:$AO$229)*(K$361:K$361))</f>
        <v>0</v>
      </c>
      <c r="L524" s="81">
        <f ca="1">SUMPRODUCT((Work_Codes!$AC$221:$AO$221=$E524)*(Work_Codes!$AC$229:$AO$229)*(L$361:L$361))</f>
        <v>0</v>
      </c>
      <c r="M524" s="81">
        <f ca="1">SUMPRODUCT((Work_Codes!$AC$221:$AO$221=$E524)*(Work_Codes!$AC$229:$AO$229)*(M$361:M$361))</f>
        <v>0</v>
      </c>
      <c r="N524" s="81">
        <f ca="1">SUMPRODUCT((Work_Codes!$AC$221:$AO$221=$E524)*(Work_Codes!$AC$229:$AO$229)*(N$361:N$361))</f>
        <v>0</v>
      </c>
      <c r="O524" s="81">
        <f ca="1">SUMPRODUCT((Work_Codes!$AC$221:$AO$221=$E524)*(Work_Codes!$AC$229:$AO$229)*(O$361:O$361))</f>
        <v>0</v>
      </c>
      <c r="P524" s="81">
        <f ca="1">SUMPRODUCT((Work_Codes!$AC$221:$AO$221=$E524)*(Work_Codes!$AC$229:$AO$229)*(P$361:P$361))</f>
        <v>0</v>
      </c>
      <c r="Q524" s="81">
        <f ca="1">SUMPRODUCT((Work_Codes!$AC$221:$AO$221=$E524)*(Work_Codes!$AC$229:$AO$229)*(Q$361:Q$361))</f>
        <v>0</v>
      </c>
      <c r="R524" s="81">
        <f ca="1">SUMPRODUCT((Work_Codes!$AC$221:$AO$221=$E524)*(Work_Codes!$AC$229:$AO$229)*(R$361:R$361))</f>
        <v>0</v>
      </c>
      <c r="S524" s="81">
        <f ca="1">SUMPRODUCT((Work_Codes!$AC$221:$AO$221=$E524)*(Work_Codes!$AC$229:$AO$229)*(S$361:S$361))</f>
        <v>0</v>
      </c>
      <c r="T524" s="81">
        <f ca="1">SUMPRODUCT((Work_Codes!$AC$221:$AO$221=$E524)*(Work_Codes!$AC$229:$AO$229)*(T$361:T$361))</f>
        <v>0</v>
      </c>
    </row>
    <row r="525" spans="4:20" outlineLevel="2">
      <c r="E525" s="247" t="str">
        <f>GC!C65</f>
        <v>Augmentation</v>
      </c>
      <c r="F525" s="247"/>
      <c r="G525" s="247"/>
      <c r="H525" s="247"/>
      <c r="I525" s="247"/>
      <c r="J525" s="81">
        <f ca="1">SUMPRODUCT((Work_Codes!$AC$221:$AO$221=$E525)*(Work_Codes!$AC$229:$AO$229)*(J$361:J$361))</f>
        <v>0</v>
      </c>
      <c r="K525" s="81">
        <f ca="1">SUMPRODUCT((Work_Codes!$AC$221:$AO$221=$E525)*(Work_Codes!$AC$229:$AO$229)*(K$361:K$361))</f>
        <v>0</v>
      </c>
      <c r="L525" s="81">
        <f ca="1">SUMPRODUCT((Work_Codes!$AC$221:$AO$221=$E525)*(Work_Codes!$AC$229:$AO$229)*(L$361:L$361))</f>
        <v>0</v>
      </c>
      <c r="M525" s="81">
        <f ca="1">SUMPRODUCT((Work_Codes!$AC$221:$AO$221=$E525)*(Work_Codes!$AC$229:$AO$229)*(M$361:M$361))</f>
        <v>0</v>
      </c>
      <c r="N525" s="81">
        <f ca="1">SUMPRODUCT((Work_Codes!$AC$221:$AO$221=$E525)*(Work_Codes!$AC$229:$AO$229)*(N$361:N$361))</f>
        <v>0</v>
      </c>
      <c r="O525" s="81">
        <f ca="1">SUMPRODUCT((Work_Codes!$AC$221:$AO$221=$E525)*(Work_Codes!$AC$229:$AO$229)*(O$361:O$361))</f>
        <v>0</v>
      </c>
      <c r="P525" s="81">
        <f ca="1">SUMPRODUCT((Work_Codes!$AC$221:$AO$221=$E525)*(Work_Codes!$AC$229:$AO$229)*(P$361:P$361))</f>
        <v>0</v>
      </c>
      <c r="Q525" s="81">
        <f ca="1">SUMPRODUCT((Work_Codes!$AC$221:$AO$221=$E525)*(Work_Codes!$AC$229:$AO$229)*(Q$361:Q$361))</f>
        <v>0</v>
      </c>
      <c r="R525" s="81">
        <f ca="1">SUMPRODUCT((Work_Codes!$AC$221:$AO$221=$E525)*(Work_Codes!$AC$229:$AO$229)*(R$361:R$361))</f>
        <v>0</v>
      </c>
      <c r="S525" s="81">
        <f ca="1">SUMPRODUCT((Work_Codes!$AC$221:$AO$221=$E525)*(Work_Codes!$AC$229:$AO$229)*(S$361:S$361))</f>
        <v>0</v>
      </c>
      <c r="T525" s="81">
        <f ca="1">SUMPRODUCT((Work_Codes!$AC$221:$AO$221=$E525)*(Work_Codes!$AC$229:$AO$229)*(T$361:T$361))</f>
        <v>0</v>
      </c>
    </row>
    <row r="526" spans="4:20" outlineLevel="2">
      <c r="E526" s="247" t="str">
        <f>GC!C66</f>
        <v>IT capex</v>
      </c>
      <c r="F526" s="247"/>
      <c r="G526" s="247"/>
      <c r="H526" s="247"/>
      <c r="I526" s="247"/>
      <c r="J526" s="81">
        <f ca="1">SUMPRODUCT((Work_Codes!$AC$221:$AO$221=$E526)*(Work_Codes!$AC$229:$AO$229)*(J$361:J$361))</f>
        <v>0</v>
      </c>
      <c r="K526" s="81">
        <f ca="1">SUMPRODUCT((Work_Codes!$AC$221:$AO$221=$E526)*(Work_Codes!$AC$229:$AO$229)*(K$361:K$361))</f>
        <v>0</v>
      </c>
      <c r="L526" s="81">
        <f ca="1">SUMPRODUCT((Work_Codes!$AC$221:$AO$221=$E526)*(Work_Codes!$AC$229:$AO$229)*(L$361:L$361))</f>
        <v>0</v>
      </c>
      <c r="M526" s="81">
        <f ca="1">SUMPRODUCT((Work_Codes!$AC$221:$AO$221=$E526)*(Work_Codes!$AC$229:$AO$229)*(M$361:M$361))</f>
        <v>0</v>
      </c>
      <c r="N526" s="81">
        <f ca="1">SUMPRODUCT((Work_Codes!$AC$221:$AO$221=$E526)*(Work_Codes!$AC$229:$AO$229)*(N$361:N$361))</f>
        <v>0</v>
      </c>
      <c r="O526" s="81">
        <f ca="1">SUMPRODUCT((Work_Codes!$AC$221:$AO$221=$E526)*(Work_Codes!$AC$229:$AO$229)*(O$361:O$361))</f>
        <v>0</v>
      </c>
      <c r="P526" s="81">
        <f ca="1">SUMPRODUCT((Work_Codes!$AC$221:$AO$221=$E526)*(Work_Codes!$AC$229:$AO$229)*(P$361:P$361))</f>
        <v>0</v>
      </c>
      <c r="Q526" s="81">
        <f ca="1">SUMPRODUCT((Work_Codes!$AC$221:$AO$221=$E526)*(Work_Codes!$AC$229:$AO$229)*(Q$361:Q$361))</f>
        <v>0</v>
      </c>
      <c r="R526" s="81">
        <f ca="1">SUMPRODUCT((Work_Codes!$AC$221:$AO$221=$E526)*(Work_Codes!$AC$229:$AO$229)*(R$361:R$361))</f>
        <v>0</v>
      </c>
      <c r="S526" s="81">
        <f ca="1">SUMPRODUCT((Work_Codes!$AC$221:$AO$221=$E526)*(Work_Codes!$AC$229:$AO$229)*(S$361:S$361))</f>
        <v>0</v>
      </c>
      <c r="T526" s="81">
        <f ca="1">SUMPRODUCT((Work_Codes!$AC$221:$AO$221=$E526)*(Work_Codes!$AC$229:$AO$229)*(T$361:T$361))</f>
        <v>0</v>
      </c>
    </row>
    <row r="527" spans="4:20" outlineLevel="2">
      <c r="E527" s="247" t="str">
        <f>GC!C67</f>
        <v>SCADA</v>
      </c>
      <c r="F527" s="247"/>
      <c r="G527" s="247"/>
      <c r="H527" s="247"/>
      <c r="I527" s="247"/>
      <c r="J527" s="81">
        <f ca="1">SUMPRODUCT((Work_Codes!$AC$221:$AO$221=$E527)*(Work_Codes!$AC$229:$AO$229)*(J$361:J$361))</f>
        <v>0</v>
      </c>
      <c r="K527" s="81">
        <f ca="1">SUMPRODUCT((Work_Codes!$AC$221:$AO$221=$E527)*(Work_Codes!$AC$229:$AO$229)*(K$361:K$361))</f>
        <v>0</v>
      </c>
      <c r="L527" s="81">
        <f ca="1">SUMPRODUCT((Work_Codes!$AC$221:$AO$221=$E527)*(Work_Codes!$AC$229:$AO$229)*(L$361:L$361))</f>
        <v>0</v>
      </c>
      <c r="M527" s="81">
        <f ca="1">SUMPRODUCT((Work_Codes!$AC$221:$AO$221=$E527)*(Work_Codes!$AC$229:$AO$229)*(M$361:M$361))</f>
        <v>0</v>
      </c>
      <c r="N527" s="81">
        <f ca="1">SUMPRODUCT((Work_Codes!$AC$221:$AO$221=$E527)*(Work_Codes!$AC$229:$AO$229)*(N$361:N$361))</f>
        <v>0</v>
      </c>
      <c r="O527" s="81">
        <f ca="1">SUMPRODUCT((Work_Codes!$AC$221:$AO$221=$E527)*(Work_Codes!$AC$229:$AO$229)*(O$361:O$361))</f>
        <v>0</v>
      </c>
      <c r="P527" s="81">
        <f ca="1">SUMPRODUCT((Work_Codes!$AC$221:$AO$221=$E527)*(Work_Codes!$AC$229:$AO$229)*(P$361:P$361))</f>
        <v>0</v>
      </c>
      <c r="Q527" s="81">
        <f ca="1">SUMPRODUCT((Work_Codes!$AC$221:$AO$221=$E527)*(Work_Codes!$AC$229:$AO$229)*(Q$361:Q$361))</f>
        <v>0</v>
      </c>
      <c r="R527" s="81">
        <f ca="1">SUMPRODUCT((Work_Codes!$AC$221:$AO$221=$E527)*(Work_Codes!$AC$229:$AO$229)*(R$361:R$361))</f>
        <v>0</v>
      </c>
      <c r="S527" s="81">
        <f ca="1">SUMPRODUCT((Work_Codes!$AC$221:$AO$221=$E527)*(Work_Codes!$AC$229:$AO$229)*(S$361:S$361))</f>
        <v>0</v>
      </c>
      <c r="T527" s="81">
        <f ca="1">SUMPRODUCT((Work_Codes!$AC$221:$AO$221=$E527)*(Work_Codes!$AC$229:$AO$229)*(T$361:T$361))</f>
        <v>0</v>
      </c>
    </row>
    <row r="528" spans="4:20" outlineLevel="2">
      <c r="E528" s="247" t="str">
        <f>GC!C68</f>
        <v>Other</v>
      </c>
      <c r="F528" s="247"/>
      <c r="G528" s="247"/>
      <c r="H528" s="247"/>
      <c r="I528" s="247"/>
      <c r="J528" s="81">
        <f ca="1">SUMPRODUCT((Work_Codes!$AC$221:$AO$221=$E528)*(Work_Codes!$AC$229:$AO$229)*(J$361:J$361))</f>
        <v>0</v>
      </c>
      <c r="K528" s="81">
        <f ca="1">SUMPRODUCT((Work_Codes!$AC$221:$AO$221=$E528)*(Work_Codes!$AC$229:$AO$229)*(K$361:K$361))</f>
        <v>0</v>
      </c>
      <c r="L528" s="81">
        <f ca="1">SUMPRODUCT((Work_Codes!$AC$221:$AO$221=$E528)*(Work_Codes!$AC$229:$AO$229)*(L$361:L$361))</f>
        <v>0</v>
      </c>
      <c r="M528" s="81">
        <f ca="1">SUMPRODUCT((Work_Codes!$AC$221:$AO$221=$E528)*(Work_Codes!$AC$229:$AO$229)*(M$361:M$361))</f>
        <v>0</v>
      </c>
      <c r="N528" s="81">
        <f ca="1">SUMPRODUCT((Work_Codes!$AC$221:$AO$221=$E528)*(Work_Codes!$AC$229:$AO$229)*(N$361:N$361))</f>
        <v>0</v>
      </c>
      <c r="O528" s="81">
        <f ca="1">SUMPRODUCT((Work_Codes!$AC$221:$AO$221=$E528)*(Work_Codes!$AC$229:$AO$229)*(O$361:O$361))</f>
        <v>0</v>
      </c>
      <c r="P528" s="81">
        <f ca="1">SUMPRODUCT((Work_Codes!$AC$221:$AO$221=$E528)*(Work_Codes!$AC$229:$AO$229)*(P$361:P$361))</f>
        <v>0</v>
      </c>
      <c r="Q528" s="81">
        <f ca="1">SUMPRODUCT((Work_Codes!$AC$221:$AO$221=$E528)*(Work_Codes!$AC$229:$AO$229)*(Q$361:Q$361))</f>
        <v>0</v>
      </c>
      <c r="R528" s="81">
        <f ca="1">SUMPRODUCT((Work_Codes!$AC$221:$AO$221=$E528)*(Work_Codes!$AC$229:$AO$229)*(R$361:R$361))</f>
        <v>0</v>
      </c>
      <c r="S528" s="81">
        <f ca="1">SUMPRODUCT((Work_Codes!$AC$221:$AO$221=$E528)*(Work_Codes!$AC$229:$AO$229)*(S$361:S$361))</f>
        <v>0</v>
      </c>
      <c r="T528" s="81">
        <f ca="1">SUMPRODUCT((Work_Codes!$AC$221:$AO$221=$E528)*(Work_Codes!$AC$229:$AO$229)*(T$361:T$361))</f>
        <v>0</v>
      </c>
    </row>
    <row r="529" spans="2:20" outlineLevel="2">
      <c r="E529" s="247" t="str">
        <f>GC!C69</f>
        <v>Capitalised Leases</v>
      </c>
      <c r="F529" s="247"/>
      <c r="G529" s="247"/>
      <c r="H529" s="247"/>
      <c r="I529" s="247"/>
      <c r="J529" s="81">
        <f ca="1">SUMPRODUCT((Work_Codes!$AC$221:$AO$221=$E529)*(Work_Codes!$AC$229:$AO$229)*(J$361:J$361))</f>
        <v>0</v>
      </c>
      <c r="K529" s="81">
        <f ca="1">SUMPRODUCT((Work_Codes!$AC$221:$AO$221=$E529)*(Work_Codes!$AC$229:$AO$229)*(K$361:K$361))</f>
        <v>0</v>
      </c>
      <c r="L529" s="81">
        <f ca="1">SUMPRODUCT((Work_Codes!$AC$221:$AO$221=$E529)*(Work_Codes!$AC$229:$AO$229)*(L$361:L$361))</f>
        <v>0</v>
      </c>
      <c r="M529" s="81">
        <f ca="1">SUMPRODUCT((Work_Codes!$AC$221:$AO$221=$E529)*(Work_Codes!$AC$229:$AO$229)*(M$361:M$361))</f>
        <v>0</v>
      </c>
      <c r="N529" s="81">
        <f ca="1">SUMPRODUCT((Work_Codes!$AC$221:$AO$221=$E529)*(Work_Codes!$AC$229:$AO$229)*(N$361:N$361))</f>
        <v>0</v>
      </c>
      <c r="O529" s="81">
        <f ca="1">SUMPRODUCT((Work_Codes!$AC$221:$AO$221=$E529)*(Work_Codes!$AC$229:$AO$229)*(O$361:O$361))</f>
        <v>0</v>
      </c>
      <c r="P529" s="81">
        <f ca="1">SUMPRODUCT((Work_Codes!$AC$221:$AO$221=$E529)*(Work_Codes!$AC$229:$AO$229)*(P$361:P$361))</f>
        <v>0</v>
      </c>
      <c r="Q529" s="81">
        <f ca="1">SUMPRODUCT((Work_Codes!$AC$221:$AO$221=$E529)*(Work_Codes!$AC$229:$AO$229)*(Q$361:Q$361))</f>
        <v>0</v>
      </c>
      <c r="R529" s="81">
        <f ca="1">SUMPRODUCT((Work_Codes!$AC$221:$AO$221=$E529)*(Work_Codes!$AC$229:$AO$229)*(R$361:R$361))</f>
        <v>0</v>
      </c>
      <c r="S529" s="81">
        <f ca="1">SUMPRODUCT((Work_Codes!$AC$221:$AO$221=$E529)*(Work_Codes!$AC$229:$AO$229)*(S$361:S$361))</f>
        <v>0</v>
      </c>
      <c r="T529" s="81">
        <f ca="1">SUMPRODUCT((Work_Codes!$AC$221:$AO$221=$E529)*(Work_Codes!$AC$229:$AO$229)*(T$361:T$361))</f>
        <v>0</v>
      </c>
    </row>
    <row r="530" spans="2:20" outlineLevel="2">
      <c r="E530" s="247" t="str">
        <f>GC!C70</f>
        <v>Gas Extensions - Energy for the Regions</v>
      </c>
      <c r="F530" s="247"/>
      <c r="G530" s="247"/>
      <c r="H530" s="247"/>
      <c r="I530" s="247"/>
      <c r="J530" s="81">
        <f ca="1">SUMPRODUCT((Work_Codes!$AC$221:$AO$221=$E530)*(Work_Codes!$AC$229:$AO$229)*(J$361:J$361))</f>
        <v>0</v>
      </c>
      <c r="K530" s="81">
        <f ca="1">SUMPRODUCT((Work_Codes!$AC$221:$AO$221=$E530)*(Work_Codes!$AC$229:$AO$229)*(K$361:K$361))</f>
        <v>0</v>
      </c>
      <c r="L530" s="81">
        <f ca="1">SUMPRODUCT((Work_Codes!$AC$221:$AO$221=$E530)*(Work_Codes!$AC$229:$AO$229)*(L$361:L$361))</f>
        <v>0</v>
      </c>
      <c r="M530" s="81">
        <f ca="1">SUMPRODUCT((Work_Codes!$AC$221:$AO$221=$E530)*(Work_Codes!$AC$229:$AO$229)*(M$361:M$361))</f>
        <v>0</v>
      </c>
      <c r="N530" s="81">
        <f ca="1">SUMPRODUCT((Work_Codes!$AC$221:$AO$221=$E530)*(Work_Codes!$AC$229:$AO$229)*(N$361:N$361))</f>
        <v>0</v>
      </c>
      <c r="O530" s="81">
        <f ca="1">SUMPRODUCT((Work_Codes!$AC$221:$AO$221=$E530)*(Work_Codes!$AC$229:$AO$229)*(O$361:O$361))</f>
        <v>0</v>
      </c>
      <c r="P530" s="81">
        <f ca="1">SUMPRODUCT((Work_Codes!$AC$221:$AO$221=$E530)*(Work_Codes!$AC$229:$AO$229)*(P$361:P$361))</f>
        <v>0</v>
      </c>
      <c r="Q530" s="81">
        <f ca="1">SUMPRODUCT((Work_Codes!$AC$221:$AO$221=$E530)*(Work_Codes!$AC$229:$AO$229)*(Q$361:Q$361))</f>
        <v>0</v>
      </c>
      <c r="R530" s="81">
        <f ca="1">SUMPRODUCT((Work_Codes!$AC$221:$AO$221=$E530)*(Work_Codes!$AC$229:$AO$229)*(R$361:R$361))</f>
        <v>0</v>
      </c>
      <c r="S530" s="81">
        <f ca="1">SUMPRODUCT((Work_Codes!$AC$221:$AO$221=$E530)*(Work_Codes!$AC$229:$AO$229)*(S$361:S$361))</f>
        <v>0</v>
      </c>
      <c r="T530" s="81">
        <f ca="1">SUMPRODUCT((Work_Codes!$AC$221:$AO$221=$E530)*(Work_Codes!$AC$229:$AO$229)*(T$361:T$361))</f>
        <v>0</v>
      </c>
    </row>
    <row r="531" spans="2:20" outlineLevel="2">
      <c r="E531" s="247" t="str">
        <f>GC!C71</f>
        <v>Gas Extensions - Other</v>
      </c>
      <c r="F531" s="247"/>
      <c r="G531" s="247"/>
      <c r="H531" s="247"/>
      <c r="I531" s="247"/>
      <c r="J531" s="81">
        <f ca="1">SUMPRODUCT((Work_Codes!$AC$221:$AO$221=$E531)*(Work_Codes!$AC$229:$AO$229)*(J$361:J$361))</f>
        <v>0</v>
      </c>
      <c r="K531" s="81">
        <f ca="1">SUMPRODUCT((Work_Codes!$AC$221:$AO$221=$E531)*(Work_Codes!$AC$229:$AO$229)*(K$361:K$361))</f>
        <v>0</v>
      </c>
      <c r="L531" s="81">
        <f ca="1">SUMPRODUCT((Work_Codes!$AC$221:$AO$221=$E531)*(Work_Codes!$AC$229:$AO$229)*(L$361:L$361))</f>
        <v>0</v>
      </c>
      <c r="M531" s="81">
        <f ca="1">SUMPRODUCT((Work_Codes!$AC$221:$AO$221=$E531)*(Work_Codes!$AC$229:$AO$229)*(M$361:M$361))</f>
        <v>0</v>
      </c>
      <c r="N531" s="81">
        <f ca="1">SUMPRODUCT((Work_Codes!$AC$221:$AO$221=$E531)*(Work_Codes!$AC$229:$AO$229)*(N$361:N$361))</f>
        <v>0</v>
      </c>
      <c r="O531" s="81">
        <f ca="1">SUMPRODUCT((Work_Codes!$AC$221:$AO$221=$E531)*(Work_Codes!$AC$229:$AO$229)*(O$361:O$361))</f>
        <v>0</v>
      </c>
      <c r="P531" s="81">
        <f ca="1">SUMPRODUCT((Work_Codes!$AC$221:$AO$221=$E531)*(Work_Codes!$AC$229:$AO$229)*(P$361:P$361))</f>
        <v>0</v>
      </c>
      <c r="Q531" s="81">
        <f ca="1">SUMPRODUCT((Work_Codes!$AC$221:$AO$221=$E531)*(Work_Codes!$AC$229:$AO$229)*(Q$361:Q$361))</f>
        <v>0</v>
      </c>
      <c r="R531" s="81">
        <f ca="1">SUMPRODUCT((Work_Codes!$AC$221:$AO$221=$E531)*(Work_Codes!$AC$229:$AO$229)*(R$361:R$361))</f>
        <v>0</v>
      </c>
      <c r="S531" s="81">
        <f ca="1">SUMPRODUCT((Work_Codes!$AC$221:$AO$221=$E531)*(Work_Codes!$AC$229:$AO$229)*(S$361:S$361))</f>
        <v>0</v>
      </c>
      <c r="T531" s="81">
        <f ca="1">SUMPRODUCT((Work_Codes!$AC$221:$AO$221=$E531)*(Work_Codes!$AC$229:$AO$229)*(T$361:T$361))</f>
        <v>0</v>
      </c>
    </row>
    <row r="532" spans="2:20" outlineLevel="2">
      <c r="E532" s="247" t="str">
        <f>GC!C72</f>
        <v>Customer contributions</v>
      </c>
      <c r="F532" s="247"/>
      <c r="G532" s="247"/>
      <c r="H532" s="247"/>
      <c r="I532" s="247"/>
      <c r="J532" s="81">
        <f ca="1">SUMPRODUCT((Work_Codes!$AC$221:$AO$221=$E532)*(Work_Codes!$AC$229:$AO$229)*(J$361:J$361))</f>
        <v>0</v>
      </c>
      <c r="K532" s="81">
        <f ca="1">SUMPRODUCT((Work_Codes!$AC$221:$AO$221=$E532)*(Work_Codes!$AC$229:$AO$229)*(K$361:K$361))</f>
        <v>0</v>
      </c>
      <c r="L532" s="81">
        <f ca="1">SUMPRODUCT((Work_Codes!$AC$221:$AO$221=$E532)*(Work_Codes!$AC$229:$AO$229)*(L$361:L$361))</f>
        <v>0</v>
      </c>
      <c r="M532" s="81">
        <f ca="1">SUMPRODUCT((Work_Codes!$AC$221:$AO$221=$E532)*(Work_Codes!$AC$229:$AO$229)*(M$361:M$361))</f>
        <v>0</v>
      </c>
      <c r="N532" s="81">
        <f ca="1">SUMPRODUCT((Work_Codes!$AC$221:$AO$221=$E532)*(Work_Codes!$AC$229:$AO$229)*(N$361:N$361))</f>
        <v>0</v>
      </c>
      <c r="O532" s="81">
        <f ca="1">SUMPRODUCT((Work_Codes!$AC$221:$AO$221=$E532)*(Work_Codes!$AC$229:$AO$229)*(O$361:O$361))</f>
        <v>0</v>
      </c>
      <c r="P532" s="81">
        <f ca="1">SUMPRODUCT((Work_Codes!$AC$221:$AO$221=$E532)*(Work_Codes!$AC$229:$AO$229)*(P$361:P$361))</f>
        <v>0</v>
      </c>
      <c r="Q532" s="81">
        <f ca="1">SUMPRODUCT((Work_Codes!$AC$221:$AO$221=$E532)*(Work_Codes!$AC$229:$AO$229)*(Q$361:Q$361))</f>
        <v>0</v>
      </c>
      <c r="R532" s="81">
        <f ca="1">SUMPRODUCT((Work_Codes!$AC$221:$AO$221=$E532)*(Work_Codes!$AC$229:$AO$229)*(R$361:R$361))</f>
        <v>0</v>
      </c>
      <c r="S532" s="81">
        <f ca="1">SUMPRODUCT((Work_Codes!$AC$221:$AO$221=$E532)*(Work_Codes!$AC$229:$AO$229)*(S$361:S$361))</f>
        <v>0</v>
      </c>
      <c r="T532" s="81">
        <f ca="1">SUMPRODUCT((Work_Codes!$AC$221:$AO$221=$E532)*(Work_Codes!$AC$229:$AO$229)*(T$361:T$361))</f>
        <v>0</v>
      </c>
    </row>
    <row r="533" spans="2:20" outlineLevel="2">
      <c r="E533" s="247" t="str">
        <f>GC!C73</f>
        <v>Government contributions</v>
      </c>
      <c r="F533" s="247"/>
      <c r="G533" s="247"/>
      <c r="H533" s="247"/>
      <c r="I533" s="247"/>
      <c r="J533" s="81">
        <f ca="1">SUMPRODUCT((Work_Codes!$AC$221:$AO$221=$E533)*(Work_Codes!$AC$229:$AO$229)*(J$361:J$361))</f>
        <v>0</v>
      </c>
      <c r="K533" s="81">
        <f ca="1">SUMPRODUCT((Work_Codes!$AC$221:$AO$221=$E533)*(Work_Codes!$AC$229:$AO$229)*(K$361:K$361))</f>
        <v>0</v>
      </c>
      <c r="L533" s="81">
        <f ca="1">SUMPRODUCT((Work_Codes!$AC$221:$AO$221=$E533)*(Work_Codes!$AC$229:$AO$229)*(L$361:L$361))</f>
        <v>0</v>
      </c>
      <c r="M533" s="81">
        <f ca="1">SUMPRODUCT((Work_Codes!$AC$221:$AO$221=$E533)*(Work_Codes!$AC$229:$AO$229)*(M$361:M$361))</f>
        <v>0</v>
      </c>
      <c r="N533" s="81">
        <f ca="1">SUMPRODUCT((Work_Codes!$AC$221:$AO$221=$E533)*(Work_Codes!$AC$229:$AO$229)*(N$361:N$361))</f>
        <v>0</v>
      </c>
      <c r="O533" s="81">
        <f ca="1">SUMPRODUCT((Work_Codes!$AC$221:$AO$221=$E533)*(Work_Codes!$AC$229:$AO$229)*(O$361:O$361))</f>
        <v>0</v>
      </c>
      <c r="P533" s="81">
        <f ca="1">SUMPRODUCT((Work_Codes!$AC$221:$AO$221=$E533)*(Work_Codes!$AC$229:$AO$229)*(P$361:P$361))</f>
        <v>0</v>
      </c>
      <c r="Q533" s="81">
        <f ca="1">SUMPRODUCT((Work_Codes!$AC$221:$AO$221=$E533)*(Work_Codes!$AC$229:$AO$229)*(Q$361:Q$361))</f>
        <v>0</v>
      </c>
      <c r="R533" s="81">
        <f ca="1">SUMPRODUCT((Work_Codes!$AC$221:$AO$221=$E533)*(Work_Codes!$AC$229:$AO$229)*(R$361:R$361))</f>
        <v>0</v>
      </c>
      <c r="S533" s="81">
        <f ca="1">SUMPRODUCT((Work_Codes!$AC$221:$AO$221=$E533)*(Work_Codes!$AC$229:$AO$229)*(S$361:S$361))</f>
        <v>0</v>
      </c>
      <c r="T533" s="81">
        <f ca="1">SUMPRODUCT((Work_Codes!$AC$221:$AO$221=$E533)*(Work_Codes!$AC$229:$AO$229)*(T$361:T$361))</f>
        <v>0</v>
      </c>
    </row>
    <row r="534" spans="2:20" outlineLevel="2">
      <c r="E534" s="249" t="str">
        <f t="shared" ref="E534" si="52">"Total "&amp;D518</f>
        <v>Total Customer Contributions</v>
      </c>
      <c r="F534" s="249"/>
      <c r="G534" s="249"/>
      <c r="H534" s="249"/>
      <c r="I534" s="249"/>
      <c r="J534" s="82">
        <f t="shared" ref="J534:T534" ca="1" si="53">SUM(J520:J533)</f>
        <v>0</v>
      </c>
      <c r="K534" s="82">
        <f t="shared" ca="1" si="53"/>
        <v>0</v>
      </c>
      <c r="L534" s="82">
        <f t="shared" ca="1" si="53"/>
        <v>0</v>
      </c>
      <c r="M534" s="82">
        <f t="shared" ca="1" si="53"/>
        <v>0</v>
      </c>
      <c r="N534" s="82">
        <f t="shared" ca="1" si="53"/>
        <v>0</v>
      </c>
      <c r="O534" s="82">
        <f t="shared" ca="1" si="53"/>
        <v>0</v>
      </c>
      <c r="P534" s="82">
        <f t="shared" ca="1" si="53"/>
        <v>0</v>
      </c>
      <c r="Q534" s="82">
        <f t="shared" ca="1" si="53"/>
        <v>0</v>
      </c>
      <c r="R534" s="82">
        <f t="shared" ca="1" si="53"/>
        <v>0</v>
      </c>
      <c r="S534" s="82">
        <f t="shared" ca="1" si="53"/>
        <v>0</v>
      </c>
      <c r="T534" s="82">
        <f t="shared" ca="1" si="53"/>
        <v>0</v>
      </c>
    </row>
    <row r="535" spans="2:20" outlineLevel="2">
      <c r="B535" s="12"/>
      <c r="C535" s="12"/>
      <c r="D535" s="12"/>
      <c r="E535" s="12"/>
      <c r="F535" s="12"/>
      <c r="G535" s="12"/>
      <c r="H535" s="12"/>
      <c r="I535" s="12"/>
      <c r="J535" s="12"/>
      <c r="K535" s="12"/>
      <c r="L535" s="12"/>
      <c r="M535" s="12"/>
      <c r="N535" s="12"/>
      <c r="O535" s="12"/>
      <c r="P535" s="12"/>
      <c r="Q535" s="12"/>
      <c r="R535" s="12"/>
      <c r="S535" s="12"/>
      <c r="T535" s="12"/>
    </row>
    <row r="536" spans="2:20" outlineLevel="2"/>
    <row r="537" spans="2:20" outlineLevel="2">
      <c r="C537" s="37" t="s">
        <v>311</v>
      </c>
    </row>
    <row r="538" spans="2:20" ht="5.9" customHeight="1" outlineLevel="2"/>
    <row r="539" spans="2:20" outlineLevel="2">
      <c r="D539" s="37" t="s">
        <v>215</v>
      </c>
    </row>
    <row r="540" spans="2:20" ht="5.9" customHeight="1" outlineLevel="2"/>
    <row r="541" spans="2:20" outlineLevel="2">
      <c r="E541" s="247" t="str">
        <f>GC!C78</f>
        <v>Mains &amp; Services</v>
      </c>
      <c r="F541" s="247"/>
      <c r="G541" s="247"/>
      <c r="H541" s="247"/>
      <c r="I541" s="247"/>
      <c r="J541" s="81">
        <f ca="1">SUMPRODUCT((Work_Codes!$AR$221:$AX$221=$E541)*(Work_Codes!$AR$224:$AX$225)*(J$391:J$392))</f>
        <v>0</v>
      </c>
      <c r="K541" s="81">
        <f ca="1">SUMPRODUCT((Work_Codes!$AR$221:$AX$221=$E541)*(Work_Codes!$AR$224:$AX$225)*(K$391:K$392))</f>
        <v>0</v>
      </c>
      <c r="L541" s="81">
        <f ca="1">SUMPRODUCT((Work_Codes!$AR$221:$AX$221=$E541)*(Work_Codes!$AR$224:$AX$225)*(L$391:L$392))</f>
        <v>0</v>
      </c>
      <c r="M541" s="81">
        <f ca="1">SUMPRODUCT((Work_Codes!$AR$221:$AX$221=$E541)*(Work_Codes!$AR$224:$AX$225)*(M$391:M$392))</f>
        <v>0</v>
      </c>
      <c r="N541" s="81">
        <f ca="1">SUMPRODUCT((Work_Codes!$AR$221:$AX$221=$E541)*(Work_Codes!$AR$224:$AX$225)*(N$391:N$392))</f>
        <v>0</v>
      </c>
      <c r="O541" s="81">
        <f ca="1">SUMPRODUCT((Work_Codes!$AR$221:$AX$221=$E541)*(Work_Codes!$AR$224:$AX$225)*(O$391:O$392))</f>
        <v>0</v>
      </c>
      <c r="P541" s="81">
        <f ca="1">SUMPRODUCT((Work_Codes!$AR$221:$AX$221=$E541)*(Work_Codes!$AR$224:$AX$225)*(P$391:P$392))</f>
        <v>0</v>
      </c>
      <c r="Q541" s="81">
        <f ca="1">SUMPRODUCT((Work_Codes!$AR$221:$AX$221=$E541)*(Work_Codes!$AR$224:$AX$225)*(Q$391:Q$392))</f>
        <v>0</v>
      </c>
      <c r="R541" s="81">
        <f ca="1">SUMPRODUCT((Work_Codes!$AR$221:$AX$221=$E541)*(Work_Codes!$AR$224:$AX$225)*(R$391:R$392))</f>
        <v>0</v>
      </c>
      <c r="S541" s="81">
        <f ca="1">SUMPRODUCT((Work_Codes!$AR$221:$AX$221=$E541)*(Work_Codes!$AR$224:$AX$225)*(S$391:S$392))</f>
        <v>0</v>
      </c>
      <c r="T541" s="81">
        <f ca="1">SUMPRODUCT((Work_Codes!$AR$221:$AX$221=$E541)*(Work_Codes!$AR$224:$AX$225)*(T$391:T$392))</f>
        <v>0</v>
      </c>
    </row>
    <row r="542" spans="2:20" outlineLevel="2">
      <c r="E542" s="247" t="str">
        <f>GC!C79</f>
        <v>Meters Domestic</v>
      </c>
      <c r="F542" s="247"/>
      <c r="G542" s="247"/>
      <c r="H542" s="247"/>
      <c r="I542" s="247"/>
      <c r="J542" s="81">
        <f ca="1">SUMPRODUCT((Work_Codes!$AR$221:$AX$221=$E542)*(Work_Codes!$AR$224:$AX$225)*(J$391:J$392))</f>
        <v>0</v>
      </c>
      <c r="K542" s="81">
        <f ca="1">SUMPRODUCT((Work_Codes!$AR$221:$AX$221=$E542)*(Work_Codes!$AR$224:$AX$225)*(K$391:K$392))</f>
        <v>0</v>
      </c>
      <c r="L542" s="81">
        <f ca="1">SUMPRODUCT((Work_Codes!$AR$221:$AX$221=$E542)*(Work_Codes!$AR$224:$AX$225)*(L$391:L$392))</f>
        <v>0</v>
      </c>
      <c r="M542" s="81">
        <f ca="1">SUMPRODUCT((Work_Codes!$AR$221:$AX$221=$E542)*(Work_Codes!$AR$224:$AX$225)*(M$391:M$392))</f>
        <v>0</v>
      </c>
      <c r="N542" s="81">
        <f ca="1">SUMPRODUCT((Work_Codes!$AR$221:$AX$221=$E542)*(Work_Codes!$AR$224:$AX$225)*(N$391:N$392))</f>
        <v>0</v>
      </c>
      <c r="O542" s="81">
        <f ca="1">SUMPRODUCT((Work_Codes!$AR$221:$AX$221=$E542)*(Work_Codes!$AR$224:$AX$225)*(O$391:O$392))</f>
        <v>0</v>
      </c>
      <c r="P542" s="81">
        <f ca="1">SUMPRODUCT((Work_Codes!$AR$221:$AX$221=$E542)*(Work_Codes!$AR$224:$AX$225)*(P$391:P$392))</f>
        <v>0</v>
      </c>
      <c r="Q542" s="81">
        <f ca="1">SUMPRODUCT((Work_Codes!$AR$221:$AX$221=$E542)*(Work_Codes!$AR$224:$AX$225)*(Q$391:Q$392))</f>
        <v>0</v>
      </c>
      <c r="R542" s="81">
        <f ca="1">SUMPRODUCT((Work_Codes!$AR$221:$AX$221=$E542)*(Work_Codes!$AR$224:$AX$225)*(R$391:R$392))</f>
        <v>0</v>
      </c>
      <c r="S542" s="81">
        <f ca="1">SUMPRODUCT((Work_Codes!$AR$221:$AX$221=$E542)*(Work_Codes!$AR$224:$AX$225)*(S$391:S$392))</f>
        <v>0</v>
      </c>
      <c r="T542" s="81">
        <f ca="1">SUMPRODUCT((Work_Codes!$AR$221:$AX$221=$E542)*(Work_Codes!$AR$224:$AX$225)*(T$391:T$392))</f>
        <v>0</v>
      </c>
    </row>
    <row r="543" spans="2:20" outlineLevel="2">
      <c r="E543" s="247" t="str">
        <f>GC!C80</f>
        <v>Meters Industrial &amp; Commercial</v>
      </c>
      <c r="F543" s="247"/>
      <c r="G543" s="247"/>
      <c r="H543" s="247"/>
      <c r="I543" s="247"/>
      <c r="J543" s="81">
        <f ca="1">SUMPRODUCT((Work_Codes!$AR$221:$AX$221=$E543)*(Work_Codes!$AR$224:$AX$225)*(J$391:J$392))</f>
        <v>0</v>
      </c>
      <c r="K543" s="81">
        <f ca="1">SUMPRODUCT((Work_Codes!$AR$221:$AX$221=$E543)*(Work_Codes!$AR$224:$AX$225)*(K$391:K$392))</f>
        <v>0</v>
      </c>
      <c r="L543" s="81">
        <f ca="1">SUMPRODUCT((Work_Codes!$AR$221:$AX$221=$E543)*(Work_Codes!$AR$224:$AX$225)*(L$391:L$392))</f>
        <v>0</v>
      </c>
      <c r="M543" s="81">
        <f ca="1">SUMPRODUCT((Work_Codes!$AR$221:$AX$221=$E543)*(Work_Codes!$AR$224:$AX$225)*(M$391:M$392))</f>
        <v>0</v>
      </c>
      <c r="N543" s="81">
        <f ca="1">SUMPRODUCT((Work_Codes!$AR$221:$AX$221=$E543)*(Work_Codes!$AR$224:$AX$225)*(N$391:N$392))</f>
        <v>0</v>
      </c>
      <c r="O543" s="81">
        <f ca="1">SUMPRODUCT((Work_Codes!$AR$221:$AX$221=$E543)*(Work_Codes!$AR$224:$AX$225)*(O$391:O$392))</f>
        <v>0</v>
      </c>
      <c r="P543" s="81">
        <f ca="1">SUMPRODUCT((Work_Codes!$AR$221:$AX$221=$E543)*(Work_Codes!$AR$224:$AX$225)*(P$391:P$392))</f>
        <v>0</v>
      </c>
      <c r="Q543" s="81">
        <f ca="1">SUMPRODUCT((Work_Codes!$AR$221:$AX$221=$E543)*(Work_Codes!$AR$224:$AX$225)*(Q$391:Q$392))</f>
        <v>0</v>
      </c>
      <c r="R543" s="81">
        <f ca="1">SUMPRODUCT((Work_Codes!$AR$221:$AX$221=$E543)*(Work_Codes!$AR$224:$AX$225)*(R$391:R$392))</f>
        <v>0</v>
      </c>
      <c r="S543" s="81">
        <f ca="1">SUMPRODUCT((Work_Codes!$AR$221:$AX$221=$E543)*(Work_Codes!$AR$224:$AX$225)*(S$391:S$392))</f>
        <v>0</v>
      </c>
      <c r="T543" s="81">
        <f ca="1">SUMPRODUCT((Work_Codes!$AR$221:$AX$221=$E543)*(Work_Codes!$AR$224:$AX$225)*(T$391:T$392))</f>
        <v>0</v>
      </c>
    </row>
    <row r="544" spans="2:20" outlineLevel="2">
      <c r="E544" s="247" t="str">
        <f>GC!C81</f>
        <v>Buildings</v>
      </c>
      <c r="F544" s="247"/>
      <c r="G544" s="247"/>
      <c r="H544" s="247"/>
      <c r="I544" s="247"/>
      <c r="J544" s="81">
        <f ca="1">SUMPRODUCT((Work_Codes!$AR$221:$AX$221=$E544)*(Work_Codes!$AR$224:$AX$225)*(J$391:J$392))</f>
        <v>0</v>
      </c>
      <c r="K544" s="81">
        <f ca="1">SUMPRODUCT((Work_Codes!$AR$221:$AX$221=$E544)*(Work_Codes!$AR$224:$AX$225)*(K$391:K$392))</f>
        <v>0</v>
      </c>
      <c r="L544" s="81">
        <f ca="1">SUMPRODUCT((Work_Codes!$AR$221:$AX$221=$E544)*(Work_Codes!$AR$224:$AX$225)*(L$391:L$392))</f>
        <v>0</v>
      </c>
      <c r="M544" s="81">
        <f ca="1">SUMPRODUCT((Work_Codes!$AR$221:$AX$221=$E544)*(Work_Codes!$AR$224:$AX$225)*(M$391:M$392))</f>
        <v>0</v>
      </c>
      <c r="N544" s="81">
        <f ca="1">SUMPRODUCT((Work_Codes!$AR$221:$AX$221=$E544)*(Work_Codes!$AR$224:$AX$225)*(N$391:N$392))</f>
        <v>0</v>
      </c>
      <c r="O544" s="81">
        <f ca="1">SUMPRODUCT((Work_Codes!$AR$221:$AX$221=$E544)*(Work_Codes!$AR$224:$AX$225)*(O$391:O$392))</f>
        <v>0</v>
      </c>
      <c r="P544" s="81">
        <f ca="1">SUMPRODUCT((Work_Codes!$AR$221:$AX$221=$E544)*(Work_Codes!$AR$224:$AX$225)*(P$391:P$392))</f>
        <v>0</v>
      </c>
      <c r="Q544" s="81">
        <f ca="1">SUMPRODUCT((Work_Codes!$AR$221:$AX$221=$E544)*(Work_Codes!$AR$224:$AX$225)*(Q$391:Q$392))</f>
        <v>0</v>
      </c>
      <c r="R544" s="81">
        <f ca="1">SUMPRODUCT((Work_Codes!$AR$221:$AX$221=$E544)*(Work_Codes!$AR$224:$AX$225)*(R$391:R$392))</f>
        <v>0</v>
      </c>
      <c r="S544" s="81">
        <f ca="1">SUMPRODUCT((Work_Codes!$AR$221:$AX$221=$E544)*(Work_Codes!$AR$224:$AX$225)*(S$391:S$392))</f>
        <v>0</v>
      </c>
      <c r="T544" s="81">
        <f ca="1">SUMPRODUCT((Work_Codes!$AR$221:$AX$221=$E544)*(Work_Codes!$AR$224:$AX$225)*(T$391:T$392))</f>
        <v>0</v>
      </c>
    </row>
    <row r="545" spans="2:20" outlineLevel="2">
      <c r="E545" s="247" t="str">
        <f>GC!C82</f>
        <v>Other Assets</v>
      </c>
      <c r="F545" s="247"/>
      <c r="G545" s="247"/>
      <c r="H545" s="247"/>
      <c r="I545" s="247"/>
      <c r="J545" s="81">
        <f ca="1">SUMPRODUCT((Work_Codes!$AR$221:$AX$221=$E545)*(Work_Codes!$AR$224:$AX$225)*(J$391:J$392))</f>
        <v>0</v>
      </c>
      <c r="K545" s="81">
        <f ca="1">SUMPRODUCT((Work_Codes!$AR$221:$AX$221=$E545)*(Work_Codes!$AR$224:$AX$225)*(K$391:K$392))</f>
        <v>0</v>
      </c>
      <c r="L545" s="81">
        <f ca="1">SUMPRODUCT((Work_Codes!$AR$221:$AX$221=$E545)*(Work_Codes!$AR$224:$AX$225)*(L$391:L$392))</f>
        <v>0</v>
      </c>
      <c r="M545" s="81">
        <f ca="1">SUMPRODUCT((Work_Codes!$AR$221:$AX$221=$E545)*(Work_Codes!$AR$224:$AX$225)*(M$391:M$392))</f>
        <v>0</v>
      </c>
      <c r="N545" s="81">
        <f ca="1">SUMPRODUCT((Work_Codes!$AR$221:$AX$221=$E545)*(Work_Codes!$AR$224:$AX$225)*(N$391:N$392))</f>
        <v>100625.9985457108</v>
      </c>
      <c r="O545" s="81">
        <f ca="1">SUMPRODUCT((Work_Codes!$AR$221:$AX$221=$E545)*(Work_Codes!$AR$224:$AX$225)*(O$391:O$392))</f>
        <v>50005.195923572137</v>
      </c>
      <c r="P545" s="81">
        <f ca="1">SUMPRODUCT((Work_Codes!$AR$221:$AX$221=$E545)*(Work_Codes!$AR$224:$AX$225)*(P$391:P$392))</f>
        <v>100020.46034828115</v>
      </c>
      <c r="Q545" s="81">
        <f ca="1">SUMPRODUCT((Work_Codes!$AR$221:$AX$221=$E545)*(Work_Codes!$AR$224:$AX$225)*(Q$391:Q$392))</f>
        <v>100036.21457468857</v>
      </c>
      <c r="R545" s="81">
        <f ca="1">SUMPRODUCT((Work_Codes!$AR$221:$AX$221=$E545)*(Work_Codes!$AR$224:$AX$225)*(R$391:R$392))</f>
        <v>100058.63013731148</v>
      </c>
      <c r="S545" s="81">
        <f ca="1">SUMPRODUCT((Work_Codes!$AR$221:$AX$221=$E545)*(Work_Codes!$AR$224:$AX$225)*(S$391:S$392))</f>
        <v>100081.2924604939</v>
      </c>
      <c r="T545" s="81">
        <f ca="1">SUMPRODUCT((Work_Codes!$AR$221:$AX$221=$E545)*(Work_Codes!$AR$224:$AX$225)*(T$391:T$392))</f>
        <v>100104.20426068665</v>
      </c>
    </row>
    <row r="546" spans="2:20" outlineLevel="2">
      <c r="E546" s="247" t="str">
        <f>GC!C83</f>
        <v>Repairs</v>
      </c>
      <c r="F546" s="247"/>
      <c r="G546" s="247"/>
      <c r="H546" s="247"/>
      <c r="I546" s="247"/>
      <c r="J546" s="81">
        <f ca="1">SUMPRODUCT((Work_Codes!$AR$221:$AX$221=$E546)*(Work_Codes!$AR$224:$AX$225)*(J$391:J$392))</f>
        <v>0</v>
      </c>
      <c r="K546" s="81">
        <f ca="1">SUMPRODUCT((Work_Codes!$AR$221:$AX$221=$E546)*(Work_Codes!$AR$224:$AX$225)*(K$391:K$392))</f>
        <v>0</v>
      </c>
      <c r="L546" s="81">
        <f ca="1">SUMPRODUCT((Work_Codes!$AR$221:$AX$221=$E546)*(Work_Codes!$AR$224:$AX$225)*(L$391:L$392))</f>
        <v>0</v>
      </c>
      <c r="M546" s="81">
        <f ca="1">SUMPRODUCT((Work_Codes!$AR$221:$AX$221=$E546)*(Work_Codes!$AR$224:$AX$225)*(M$391:M$392))</f>
        <v>0</v>
      </c>
      <c r="N546" s="81">
        <f ca="1">SUMPRODUCT((Work_Codes!$AR$221:$AX$221=$E546)*(Work_Codes!$AR$224:$AX$225)*(N$391:N$392))</f>
        <v>0</v>
      </c>
      <c r="O546" s="81">
        <f ca="1">SUMPRODUCT((Work_Codes!$AR$221:$AX$221=$E546)*(Work_Codes!$AR$224:$AX$225)*(O$391:O$392))</f>
        <v>0</v>
      </c>
      <c r="P546" s="81">
        <f ca="1">SUMPRODUCT((Work_Codes!$AR$221:$AX$221=$E546)*(Work_Codes!$AR$224:$AX$225)*(P$391:P$392))</f>
        <v>0</v>
      </c>
      <c r="Q546" s="81">
        <f ca="1">SUMPRODUCT((Work_Codes!$AR$221:$AX$221=$E546)*(Work_Codes!$AR$224:$AX$225)*(Q$391:Q$392))</f>
        <v>0</v>
      </c>
      <c r="R546" s="81">
        <f ca="1">SUMPRODUCT((Work_Codes!$AR$221:$AX$221=$E546)*(Work_Codes!$AR$224:$AX$225)*(R$391:R$392))</f>
        <v>0</v>
      </c>
      <c r="S546" s="81">
        <f ca="1">SUMPRODUCT((Work_Codes!$AR$221:$AX$221=$E546)*(Work_Codes!$AR$224:$AX$225)*(S$391:S$392))</f>
        <v>0</v>
      </c>
      <c r="T546" s="81">
        <f ca="1">SUMPRODUCT((Work_Codes!$AR$221:$AX$221=$E546)*(Work_Codes!$AR$224:$AX$225)*(T$391:T$392))</f>
        <v>0</v>
      </c>
    </row>
    <row r="547" spans="2:20" outlineLevel="2">
      <c r="E547" s="247" t="str">
        <f>GC!C84</f>
        <v>Land</v>
      </c>
      <c r="F547" s="247"/>
      <c r="G547" s="247"/>
      <c r="H547" s="247"/>
      <c r="I547" s="247"/>
      <c r="J547" s="81">
        <f ca="1">SUMPRODUCT((Work_Codes!$AR$221:$AX$221=$E547)*(Work_Codes!$AR$224:$AX$225)*(J$391:J$392))</f>
        <v>0</v>
      </c>
      <c r="K547" s="81">
        <f ca="1">SUMPRODUCT((Work_Codes!$AR$221:$AX$221=$E547)*(Work_Codes!$AR$224:$AX$225)*(K$391:K$392))</f>
        <v>0</v>
      </c>
      <c r="L547" s="81">
        <f ca="1">SUMPRODUCT((Work_Codes!$AR$221:$AX$221=$E547)*(Work_Codes!$AR$224:$AX$225)*(L$391:L$392))</f>
        <v>0</v>
      </c>
      <c r="M547" s="81">
        <f ca="1">SUMPRODUCT((Work_Codes!$AR$221:$AX$221=$E547)*(Work_Codes!$AR$224:$AX$225)*(M$391:M$392))</f>
        <v>0</v>
      </c>
      <c r="N547" s="81">
        <f ca="1">SUMPRODUCT((Work_Codes!$AR$221:$AX$221=$E547)*(Work_Codes!$AR$224:$AX$225)*(N$391:N$392))</f>
        <v>0</v>
      </c>
      <c r="O547" s="81">
        <f ca="1">SUMPRODUCT((Work_Codes!$AR$221:$AX$221=$E547)*(Work_Codes!$AR$224:$AX$225)*(O$391:O$392))</f>
        <v>0</v>
      </c>
      <c r="P547" s="81">
        <f ca="1">SUMPRODUCT((Work_Codes!$AR$221:$AX$221=$E547)*(Work_Codes!$AR$224:$AX$225)*(P$391:P$392))</f>
        <v>0</v>
      </c>
      <c r="Q547" s="81">
        <f ca="1">SUMPRODUCT((Work_Codes!$AR$221:$AX$221=$E547)*(Work_Codes!$AR$224:$AX$225)*(Q$391:Q$392))</f>
        <v>0</v>
      </c>
      <c r="R547" s="81">
        <f ca="1">SUMPRODUCT((Work_Codes!$AR$221:$AX$221=$E547)*(Work_Codes!$AR$224:$AX$225)*(R$391:R$392))</f>
        <v>0</v>
      </c>
      <c r="S547" s="81">
        <f ca="1">SUMPRODUCT((Work_Codes!$AR$221:$AX$221=$E547)*(Work_Codes!$AR$224:$AX$225)*(S$391:S$392))</f>
        <v>0</v>
      </c>
      <c r="T547" s="81">
        <f ca="1">SUMPRODUCT((Work_Codes!$AR$221:$AX$221=$E547)*(Work_Codes!$AR$224:$AX$225)*(T$391:T$392))</f>
        <v>0</v>
      </c>
    </row>
    <row r="548" spans="2:20" outlineLevel="2">
      <c r="E548" s="249" t="str">
        <f>"Total "&amp;D539</f>
        <v>Total Direct Costs</v>
      </c>
      <c r="F548" s="249"/>
      <c r="G548" s="249"/>
      <c r="H548" s="249"/>
      <c r="I548" s="249"/>
      <c r="J548" s="82">
        <f t="shared" ref="J548:T548" ca="1" si="54">SUM(J541:J547)</f>
        <v>0</v>
      </c>
      <c r="K548" s="82">
        <f t="shared" ca="1" si="54"/>
        <v>0</v>
      </c>
      <c r="L548" s="82">
        <f t="shared" ca="1" si="54"/>
        <v>0</v>
      </c>
      <c r="M548" s="82">
        <f t="shared" ca="1" si="54"/>
        <v>0</v>
      </c>
      <c r="N548" s="82">
        <f t="shared" ca="1" si="54"/>
        <v>100625.9985457108</v>
      </c>
      <c r="O548" s="82">
        <f t="shared" ca="1" si="54"/>
        <v>50005.195923572137</v>
      </c>
      <c r="P548" s="82">
        <f t="shared" ca="1" si="54"/>
        <v>100020.46034828115</v>
      </c>
      <c r="Q548" s="82">
        <f t="shared" ca="1" si="54"/>
        <v>100036.21457468857</v>
      </c>
      <c r="R548" s="82">
        <f t="shared" ca="1" si="54"/>
        <v>100058.63013731148</v>
      </c>
      <c r="S548" s="82">
        <f t="shared" ca="1" si="54"/>
        <v>100081.2924604939</v>
      </c>
      <c r="T548" s="82">
        <f t="shared" ca="1" si="54"/>
        <v>100104.20426068665</v>
      </c>
    </row>
    <row r="549" spans="2:20" outlineLevel="2"/>
    <row r="550" spans="2:20" outlineLevel="2">
      <c r="D550" s="37" t="s">
        <v>313</v>
      </c>
    </row>
    <row r="551" spans="2:20" ht="5.9" customHeight="1" outlineLevel="2"/>
    <row r="552" spans="2:20" outlineLevel="2">
      <c r="E552" s="247" t="str">
        <f>GC!C78</f>
        <v>Mains &amp; Services</v>
      </c>
      <c r="F552" s="247"/>
      <c r="G552" s="247"/>
      <c r="H552" s="247"/>
      <c r="I552" s="247"/>
      <c r="J552" s="81">
        <f ca="1">J541*(1+INDEX(J$331:J$333,MATCH(Work_Codes!$I$218,$D$331:$D$333,0)))</f>
        <v>0</v>
      </c>
      <c r="K552" s="81">
        <f ca="1">K541*(1+INDEX(K$331:K$333,MATCH(Work_Codes!$I$218,$D$331:$D$333,0)))</f>
        <v>0</v>
      </c>
      <c r="L552" s="81">
        <f ca="1">L541*(1+INDEX(L$331:L$333,MATCH(Work_Codes!$I$218,$D$331:$D$333,0)))</f>
        <v>0</v>
      </c>
      <c r="M552" s="81">
        <f ca="1">M541*(1+INDEX(M$331:M$333,MATCH(Work_Codes!$I$218,$D$331:$D$333,0)))</f>
        <v>0</v>
      </c>
      <c r="N552" s="81">
        <f ca="1">N541*(1+INDEX(N$331:N$333,MATCH(Work_Codes!$I$218,$D$331:$D$333,0)))</f>
        <v>0</v>
      </c>
      <c r="O552" s="81">
        <f ca="1">O541*(1+INDEX(O$331:O$333,MATCH(Work_Codes!$I$218,$D$331:$D$333,0)))</f>
        <v>0</v>
      </c>
      <c r="P552" s="81">
        <f ca="1">P541*(1+INDEX(P$331:P$333,MATCH(Work_Codes!$I$218,$D$331:$D$333,0)))</f>
        <v>0</v>
      </c>
      <c r="Q552" s="81">
        <f ca="1">Q541*(1+INDEX(Q$331:Q$333,MATCH(Work_Codes!$I$218,$D$331:$D$333,0)))</f>
        <v>0</v>
      </c>
      <c r="R552" s="81">
        <f ca="1">R541*(1+INDEX(R$331:R$333,MATCH(Work_Codes!$I$218,$D$331:$D$333,0)))</f>
        <v>0</v>
      </c>
      <c r="S552" s="81">
        <f ca="1">S541*(1+INDEX(S$331:S$333,MATCH(Work_Codes!$I$218,$D$331:$D$333,0)))</f>
        <v>0</v>
      </c>
      <c r="T552" s="81">
        <f ca="1">T541*(1+INDEX(T$331:T$333,MATCH(Work_Codes!$I$218,$D$331:$D$333,0)))</f>
        <v>0</v>
      </c>
    </row>
    <row r="553" spans="2:20" outlineLevel="2">
      <c r="E553" s="247" t="str">
        <f>GC!C79</f>
        <v>Meters Domestic</v>
      </c>
      <c r="F553" s="247"/>
      <c r="G553" s="247"/>
      <c r="H553" s="247"/>
      <c r="I553" s="247"/>
      <c r="J553" s="81">
        <f ca="1">J542*(1+INDEX(J$331:J$333,MATCH(Work_Codes!$I$218,$D$331:$D$333,0)))</f>
        <v>0</v>
      </c>
      <c r="K553" s="81">
        <f ca="1">K542*(1+INDEX(K$331:K$333,MATCH(Work_Codes!$I$218,$D$331:$D$333,0)))</f>
        <v>0</v>
      </c>
      <c r="L553" s="81">
        <f ca="1">L542*(1+INDEX(L$331:L$333,MATCH(Work_Codes!$I$218,$D$331:$D$333,0)))</f>
        <v>0</v>
      </c>
      <c r="M553" s="81">
        <f ca="1">M542*(1+INDEX(M$331:M$333,MATCH(Work_Codes!$I$218,$D$331:$D$333,0)))</f>
        <v>0</v>
      </c>
      <c r="N553" s="81">
        <f ca="1">N542*(1+INDEX(N$331:N$333,MATCH(Work_Codes!$I$218,$D$331:$D$333,0)))</f>
        <v>0</v>
      </c>
      <c r="O553" s="81">
        <f ca="1">O542*(1+INDEX(O$331:O$333,MATCH(Work_Codes!$I$218,$D$331:$D$333,0)))</f>
        <v>0</v>
      </c>
      <c r="P553" s="81">
        <f ca="1">P542*(1+INDEX(P$331:P$333,MATCH(Work_Codes!$I$218,$D$331:$D$333,0)))</f>
        <v>0</v>
      </c>
      <c r="Q553" s="81">
        <f ca="1">Q542*(1+INDEX(Q$331:Q$333,MATCH(Work_Codes!$I$218,$D$331:$D$333,0)))</f>
        <v>0</v>
      </c>
      <c r="R553" s="81">
        <f ca="1">R542*(1+INDEX(R$331:R$333,MATCH(Work_Codes!$I$218,$D$331:$D$333,0)))</f>
        <v>0</v>
      </c>
      <c r="S553" s="81">
        <f ca="1">S542*(1+INDEX(S$331:S$333,MATCH(Work_Codes!$I$218,$D$331:$D$333,0)))</f>
        <v>0</v>
      </c>
      <c r="T553" s="81">
        <f ca="1">T542*(1+INDEX(T$331:T$333,MATCH(Work_Codes!$I$218,$D$331:$D$333,0)))</f>
        <v>0</v>
      </c>
    </row>
    <row r="554" spans="2:20" outlineLevel="2">
      <c r="E554" s="247" t="str">
        <f>GC!C80</f>
        <v>Meters Industrial &amp; Commercial</v>
      </c>
      <c r="F554" s="247"/>
      <c r="G554" s="247"/>
      <c r="H554" s="247"/>
      <c r="I554" s="247"/>
      <c r="J554" s="81">
        <f ca="1">J543*(1+INDEX(J$331:J$333,MATCH(Work_Codes!$I$218,$D$331:$D$333,0)))</f>
        <v>0</v>
      </c>
      <c r="K554" s="81">
        <f ca="1">K543*(1+INDEX(K$331:K$333,MATCH(Work_Codes!$I$218,$D$331:$D$333,0)))</f>
        <v>0</v>
      </c>
      <c r="L554" s="81">
        <f ca="1">L543*(1+INDEX(L$331:L$333,MATCH(Work_Codes!$I$218,$D$331:$D$333,0)))</f>
        <v>0</v>
      </c>
      <c r="M554" s="81">
        <f ca="1">M543*(1+INDEX(M$331:M$333,MATCH(Work_Codes!$I$218,$D$331:$D$333,0)))</f>
        <v>0</v>
      </c>
      <c r="N554" s="81">
        <f ca="1">N543*(1+INDEX(N$331:N$333,MATCH(Work_Codes!$I$218,$D$331:$D$333,0)))</f>
        <v>0</v>
      </c>
      <c r="O554" s="81">
        <f ca="1">O543*(1+INDEX(O$331:O$333,MATCH(Work_Codes!$I$218,$D$331:$D$333,0)))</f>
        <v>0</v>
      </c>
      <c r="P554" s="81">
        <f ca="1">P543*(1+INDEX(P$331:P$333,MATCH(Work_Codes!$I$218,$D$331:$D$333,0)))</f>
        <v>0</v>
      </c>
      <c r="Q554" s="81">
        <f ca="1">Q543*(1+INDEX(Q$331:Q$333,MATCH(Work_Codes!$I$218,$D$331:$D$333,0)))</f>
        <v>0</v>
      </c>
      <c r="R554" s="81">
        <f ca="1">R543*(1+INDEX(R$331:R$333,MATCH(Work_Codes!$I$218,$D$331:$D$333,0)))</f>
        <v>0</v>
      </c>
      <c r="S554" s="81">
        <f ca="1">S543*(1+INDEX(S$331:S$333,MATCH(Work_Codes!$I$218,$D$331:$D$333,0)))</f>
        <v>0</v>
      </c>
      <c r="T554" s="81">
        <f ca="1">T543*(1+INDEX(T$331:T$333,MATCH(Work_Codes!$I$218,$D$331:$D$333,0)))</f>
        <v>0</v>
      </c>
    </row>
    <row r="555" spans="2:20" outlineLevel="2">
      <c r="E555" s="247" t="str">
        <f>GC!C81</f>
        <v>Buildings</v>
      </c>
      <c r="F555" s="247"/>
      <c r="G555" s="247"/>
      <c r="H555" s="247"/>
      <c r="I555" s="247"/>
      <c r="J555" s="81">
        <f ca="1">J544*(1+INDEX(J$331:J$333,MATCH(Work_Codes!$I$218,$D$331:$D$333,0)))</f>
        <v>0</v>
      </c>
      <c r="K555" s="81">
        <f ca="1">K544*(1+INDEX(K$331:K$333,MATCH(Work_Codes!$I$218,$D$331:$D$333,0)))</f>
        <v>0</v>
      </c>
      <c r="L555" s="81">
        <f ca="1">L544*(1+INDEX(L$331:L$333,MATCH(Work_Codes!$I$218,$D$331:$D$333,0)))</f>
        <v>0</v>
      </c>
      <c r="M555" s="81">
        <f ca="1">M544*(1+INDEX(M$331:M$333,MATCH(Work_Codes!$I$218,$D$331:$D$333,0)))</f>
        <v>0</v>
      </c>
      <c r="N555" s="81">
        <f ca="1">N544*(1+INDEX(N$331:N$333,MATCH(Work_Codes!$I$218,$D$331:$D$333,0)))</f>
        <v>0</v>
      </c>
      <c r="O555" s="81">
        <f ca="1">O544*(1+INDEX(O$331:O$333,MATCH(Work_Codes!$I$218,$D$331:$D$333,0)))</f>
        <v>0</v>
      </c>
      <c r="P555" s="81">
        <f ca="1">P544*(1+INDEX(P$331:P$333,MATCH(Work_Codes!$I$218,$D$331:$D$333,0)))</f>
        <v>0</v>
      </c>
      <c r="Q555" s="81">
        <f ca="1">Q544*(1+INDEX(Q$331:Q$333,MATCH(Work_Codes!$I$218,$D$331:$D$333,0)))</f>
        <v>0</v>
      </c>
      <c r="R555" s="81">
        <f ca="1">R544*(1+INDEX(R$331:R$333,MATCH(Work_Codes!$I$218,$D$331:$D$333,0)))</f>
        <v>0</v>
      </c>
      <c r="S555" s="81">
        <f ca="1">S544*(1+INDEX(S$331:S$333,MATCH(Work_Codes!$I$218,$D$331:$D$333,0)))</f>
        <v>0</v>
      </c>
      <c r="T555" s="81">
        <f ca="1">T544*(1+INDEX(T$331:T$333,MATCH(Work_Codes!$I$218,$D$331:$D$333,0)))</f>
        <v>0</v>
      </c>
    </row>
    <row r="556" spans="2:20" outlineLevel="2">
      <c r="E556" s="247" t="str">
        <f>GC!C82</f>
        <v>Other Assets</v>
      </c>
      <c r="F556" s="247"/>
      <c r="G556" s="247"/>
      <c r="H556" s="247"/>
      <c r="I556" s="247"/>
      <c r="J556" s="81">
        <f ca="1">J545*(1+INDEX(J$331:J$333,MATCH(Work_Codes!$I$218,$D$331:$D$333,0)))</f>
        <v>0</v>
      </c>
      <c r="K556" s="81">
        <f ca="1">K545*(1+INDEX(K$331:K$333,MATCH(Work_Codes!$I$218,$D$331:$D$333,0)))</f>
        <v>0</v>
      </c>
      <c r="L556" s="81">
        <f ca="1">L545*(1+INDEX(L$331:L$333,MATCH(Work_Codes!$I$218,$D$331:$D$333,0)))</f>
        <v>0</v>
      </c>
      <c r="M556" s="81">
        <f ca="1">M545*(1+INDEX(M$331:M$333,MATCH(Work_Codes!$I$218,$D$331:$D$333,0)))</f>
        <v>0</v>
      </c>
      <c r="N556" s="81">
        <f ca="1">N545*(1+INDEX(N$331:N$333,MATCH(Work_Codes!$I$218,$D$331:$D$333,0)))</f>
        <v>104420.70631978351</v>
      </c>
      <c r="O556" s="81">
        <f ca="1">O545*(1+INDEX(O$331:O$333,MATCH(Work_Codes!$I$218,$D$331:$D$333,0)))</f>
        <v>51669.567317266868</v>
      </c>
      <c r="P556" s="81">
        <f ca="1">P545*(1+INDEX(P$331:P$333,MATCH(Work_Codes!$I$218,$D$331:$D$333,0)))</f>
        <v>102696.27376837724</v>
      </c>
      <c r="Q556" s="81">
        <f ca="1">Q545*(1+INDEX(Q$331:Q$333,MATCH(Work_Codes!$I$218,$D$331:$D$333,0)))</f>
        <v>102643.21708267494</v>
      </c>
      <c r="R556" s="81">
        <f ca="1">R545*(1+INDEX(R$331:R$333,MATCH(Work_Codes!$I$218,$D$331:$D$333,0)))</f>
        <v>102747.50630410123</v>
      </c>
      <c r="S556" s="81">
        <f ca="1">S545*(1+INDEX(S$331:S$333,MATCH(Work_Codes!$I$218,$D$331:$D$333,0)))</f>
        <v>102938.23094242708</v>
      </c>
      <c r="T556" s="81">
        <f ca="1">T545*(1+INDEX(T$331:T$333,MATCH(Work_Codes!$I$218,$D$331:$D$333,0)))</f>
        <v>103099.35991194547</v>
      </c>
    </row>
    <row r="557" spans="2:20" outlineLevel="2">
      <c r="E557" s="247" t="str">
        <f>GC!C83</f>
        <v>Repairs</v>
      </c>
      <c r="F557" s="247"/>
      <c r="G557" s="247"/>
      <c r="H557" s="247"/>
      <c r="I557" s="247"/>
      <c r="J557" s="81">
        <f ca="1">J546*(1+INDEX(J$331:J$333,MATCH(Work_Codes!$I$218,$D$331:$D$333,0)))</f>
        <v>0</v>
      </c>
      <c r="K557" s="81">
        <f ca="1">K546*(1+INDEX(K$331:K$333,MATCH(Work_Codes!$I$218,$D$331:$D$333,0)))</f>
        <v>0</v>
      </c>
      <c r="L557" s="81">
        <f ca="1">L546*(1+INDEX(L$331:L$333,MATCH(Work_Codes!$I$218,$D$331:$D$333,0)))</f>
        <v>0</v>
      </c>
      <c r="M557" s="81">
        <f ca="1">M546*(1+INDEX(M$331:M$333,MATCH(Work_Codes!$I$218,$D$331:$D$333,0)))</f>
        <v>0</v>
      </c>
      <c r="N557" s="81">
        <f ca="1">N546*(1+INDEX(N$331:N$333,MATCH(Work_Codes!$I$218,$D$331:$D$333,0)))</f>
        <v>0</v>
      </c>
      <c r="O557" s="81">
        <f ca="1">O546*(1+INDEX(O$331:O$333,MATCH(Work_Codes!$I$218,$D$331:$D$333,0)))</f>
        <v>0</v>
      </c>
      <c r="P557" s="81">
        <f ca="1">P546*(1+INDEX(P$331:P$333,MATCH(Work_Codes!$I$218,$D$331:$D$333,0)))</f>
        <v>0</v>
      </c>
      <c r="Q557" s="81">
        <f ca="1">Q546*(1+INDEX(Q$331:Q$333,MATCH(Work_Codes!$I$218,$D$331:$D$333,0)))</f>
        <v>0</v>
      </c>
      <c r="R557" s="81">
        <f ca="1">R546*(1+INDEX(R$331:R$333,MATCH(Work_Codes!$I$218,$D$331:$D$333,0)))</f>
        <v>0</v>
      </c>
      <c r="S557" s="81">
        <f ca="1">S546*(1+INDEX(S$331:S$333,MATCH(Work_Codes!$I$218,$D$331:$D$333,0)))</f>
        <v>0</v>
      </c>
      <c r="T557" s="81">
        <f ca="1">T546*(1+INDEX(T$331:T$333,MATCH(Work_Codes!$I$218,$D$331:$D$333,0)))</f>
        <v>0</v>
      </c>
    </row>
    <row r="558" spans="2:20" outlineLevel="2">
      <c r="E558" s="247" t="str">
        <f>GC!C84</f>
        <v>Land</v>
      </c>
      <c r="F558" s="247"/>
      <c r="G558" s="247"/>
      <c r="H558" s="247"/>
      <c r="I558" s="247"/>
      <c r="J558" s="81">
        <f ca="1">J547*(1+INDEX(J$331:J$333,MATCH(Work_Codes!$I$218,$D$331:$D$333,0)))</f>
        <v>0</v>
      </c>
      <c r="K558" s="81">
        <f ca="1">K547*(1+INDEX(K$331:K$333,MATCH(Work_Codes!$I$218,$D$331:$D$333,0)))</f>
        <v>0</v>
      </c>
      <c r="L558" s="81">
        <f ca="1">L547*(1+INDEX(L$331:L$333,MATCH(Work_Codes!$I$218,$D$331:$D$333,0)))</f>
        <v>0</v>
      </c>
      <c r="M558" s="81">
        <f ca="1">M547*(1+INDEX(M$331:M$333,MATCH(Work_Codes!$I$218,$D$331:$D$333,0)))</f>
        <v>0</v>
      </c>
      <c r="N558" s="81">
        <f ca="1">N547*(1+INDEX(N$331:N$333,MATCH(Work_Codes!$I$218,$D$331:$D$333,0)))</f>
        <v>0</v>
      </c>
      <c r="O558" s="81">
        <f ca="1">O547*(1+INDEX(O$331:O$333,MATCH(Work_Codes!$I$218,$D$331:$D$333,0)))</f>
        <v>0</v>
      </c>
      <c r="P558" s="81">
        <f ca="1">P547*(1+INDEX(P$331:P$333,MATCH(Work_Codes!$I$218,$D$331:$D$333,0)))</f>
        <v>0</v>
      </c>
      <c r="Q558" s="81">
        <f ca="1">Q547*(1+INDEX(Q$331:Q$333,MATCH(Work_Codes!$I$218,$D$331:$D$333,0)))</f>
        <v>0</v>
      </c>
      <c r="R558" s="81">
        <f ca="1">R547*(1+INDEX(R$331:R$333,MATCH(Work_Codes!$I$218,$D$331:$D$333,0)))</f>
        <v>0</v>
      </c>
      <c r="S558" s="81">
        <f ca="1">S547*(1+INDEX(S$331:S$333,MATCH(Work_Codes!$I$218,$D$331:$D$333,0)))</f>
        <v>0</v>
      </c>
      <c r="T558" s="81">
        <f ca="1">T547*(1+INDEX(T$331:T$333,MATCH(Work_Codes!$I$218,$D$331:$D$333,0)))</f>
        <v>0</v>
      </c>
    </row>
    <row r="559" spans="2:20" outlineLevel="2">
      <c r="E559" s="249" t="str">
        <f>"Total "&amp;D550</f>
        <v>Total Direct Costs +  Overheads</v>
      </c>
      <c r="F559" s="249"/>
      <c r="G559" s="249"/>
      <c r="H559" s="249"/>
      <c r="I559" s="249"/>
      <c r="J559" s="82">
        <f t="shared" ref="J559:T559" ca="1" si="55">SUM(J552:J558)</f>
        <v>0</v>
      </c>
      <c r="K559" s="82">
        <f t="shared" ca="1" si="55"/>
        <v>0</v>
      </c>
      <c r="L559" s="82">
        <f t="shared" ca="1" si="55"/>
        <v>0</v>
      </c>
      <c r="M559" s="82">
        <f t="shared" ca="1" si="55"/>
        <v>0</v>
      </c>
      <c r="N559" s="82">
        <f t="shared" ca="1" si="55"/>
        <v>104420.70631978351</v>
      </c>
      <c r="O559" s="82">
        <f t="shared" ca="1" si="55"/>
        <v>51669.567317266868</v>
      </c>
      <c r="P559" s="82">
        <f t="shared" ca="1" si="55"/>
        <v>102696.27376837724</v>
      </c>
      <c r="Q559" s="82">
        <f t="shared" ca="1" si="55"/>
        <v>102643.21708267494</v>
      </c>
      <c r="R559" s="82">
        <f t="shared" ca="1" si="55"/>
        <v>102747.50630410123</v>
      </c>
      <c r="S559" s="82">
        <f t="shared" ca="1" si="55"/>
        <v>102938.23094242708</v>
      </c>
      <c r="T559" s="82">
        <f t="shared" ca="1" si="55"/>
        <v>103099.35991194547</v>
      </c>
    </row>
    <row r="560" spans="2:20" outlineLevel="1">
      <c r="B560" s="12"/>
      <c r="C560" s="12"/>
      <c r="D560" s="12"/>
      <c r="E560" s="12"/>
      <c r="F560" s="12"/>
      <c r="G560" s="12"/>
      <c r="H560" s="12"/>
      <c r="I560" s="12"/>
      <c r="J560" s="12"/>
      <c r="K560" s="12"/>
      <c r="L560" s="12"/>
      <c r="M560" s="12"/>
      <c r="N560" s="12"/>
      <c r="O560" s="12"/>
      <c r="P560" s="12"/>
      <c r="Q560" s="12"/>
      <c r="R560" s="12"/>
      <c r="S560" s="12"/>
      <c r="T560" s="12"/>
    </row>
    <row r="561" spans="2:20" outlineLevel="1"/>
    <row r="562" spans="2:20" outlineLevel="1">
      <c r="C562" s="37" t="s">
        <v>19</v>
      </c>
    </row>
    <row r="563" spans="2:20" ht="5.9" customHeight="1" outlineLevel="1"/>
    <row r="564" spans="2:20" outlineLevel="1">
      <c r="F564" s="51" t="str">
        <f>$B$319&amp;" Work Code v RAB Category Direct Check"</f>
        <v>3012 - Inputs Work Code v RAB Category Direct Check</v>
      </c>
      <c r="I564" s="130">
        <f ca="1">IF(ISERROR(SUM(J564:T564)),1,MIN(SUM(J564:T564),1))</f>
        <v>0</v>
      </c>
      <c r="J564" s="81">
        <f t="shared" ref="J564:T564" ca="1" si="56">J394-J417</f>
        <v>0</v>
      </c>
      <c r="K564" s="81">
        <f t="shared" ca="1" si="56"/>
        <v>0</v>
      </c>
      <c r="L564" s="81">
        <f t="shared" ca="1" si="56"/>
        <v>0</v>
      </c>
      <c r="M564" s="81">
        <f t="shared" ca="1" si="56"/>
        <v>0</v>
      </c>
      <c r="N564" s="81">
        <f t="shared" ca="1" si="56"/>
        <v>0</v>
      </c>
      <c r="O564" s="81">
        <f t="shared" ca="1" si="56"/>
        <v>0</v>
      </c>
      <c r="P564" s="81">
        <f t="shared" ca="1" si="56"/>
        <v>0</v>
      </c>
      <c r="Q564" s="81">
        <f t="shared" ca="1" si="56"/>
        <v>0</v>
      </c>
      <c r="R564" s="81">
        <f t="shared" ca="1" si="56"/>
        <v>0</v>
      </c>
      <c r="S564" s="81">
        <f t="shared" ca="1" si="56"/>
        <v>0</v>
      </c>
      <c r="T564" s="81">
        <f t="shared" ca="1" si="56"/>
        <v>0</v>
      </c>
    </row>
    <row r="565" spans="2:20" outlineLevel="1">
      <c r="F565" s="51" t="str">
        <f>$B$319&amp;" Work Code v RIN Category Direct Check"</f>
        <v>3012 - Inputs Work Code v RIN Category Direct Check</v>
      </c>
      <c r="I565" s="130">
        <f ca="1">IF(ISERROR(SUM(J565:T565)),1,MIN(SUM(J565:T565),1))</f>
        <v>0</v>
      </c>
      <c r="J565" s="81">
        <f t="shared" ref="J565:T565" ca="1" si="57">J394-J498</f>
        <v>0</v>
      </c>
      <c r="K565" s="81">
        <f t="shared" ca="1" si="57"/>
        <v>0</v>
      </c>
      <c r="L565" s="81">
        <f t="shared" ca="1" si="57"/>
        <v>0</v>
      </c>
      <c r="M565" s="81">
        <f t="shared" ca="1" si="57"/>
        <v>0</v>
      </c>
      <c r="N565" s="81">
        <f t="shared" ca="1" si="57"/>
        <v>0</v>
      </c>
      <c r="O565" s="81">
        <f t="shared" ca="1" si="57"/>
        <v>0</v>
      </c>
      <c r="P565" s="81">
        <f t="shared" ca="1" si="57"/>
        <v>0</v>
      </c>
      <c r="Q565" s="81">
        <f t="shared" ca="1" si="57"/>
        <v>0</v>
      </c>
      <c r="R565" s="81">
        <f t="shared" ca="1" si="57"/>
        <v>0</v>
      </c>
      <c r="S565" s="81">
        <f t="shared" ca="1" si="57"/>
        <v>0</v>
      </c>
      <c r="T565" s="81">
        <f t="shared" ca="1" si="57"/>
        <v>0</v>
      </c>
    </row>
    <row r="566" spans="2:20" outlineLevel="1">
      <c r="F566" s="51" t="str">
        <f>$B$319&amp;" Work Code v Tax Category Direct Check"</f>
        <v>3012 - Inputs Work Code v Tax Category Direct Check</v>
      </c>
      <c r="I566" s="130">
        <f ca="1">IF(ISERROR(SUM(J566:T566)),1,MIN(SUM(J566:T566),1))</f>
        <v>0</v>
      </c>
      <c r="J566" s="81">
        <f t="shared" ref="J566:T566" ca="1" si="58">J394-J548</f>
        <v>0</v>
      </c>
      <c r="K566" s="81">
        <f t="shared" ca="1" si="58"/>
        <v>0</v>
      </c>
      <c r="L566" s="81">
        <f t="shared" ca="1" si="58"/>
        <v>0</v>
      </c>
      <c r="M566" s="81">
        <f t="shared" ca="1" si="58"/>
        <v>0</v>
      </c>
      <c r="N566" s="81">
        <f t="shared" ca="1" si="58"/>
        <v>0</v>
      </c>
      <c r="O566" s="81">
        <f t="shared" ca="1" si="58"/>
        <v>0</v>
      </c>
      <c r="P566" s="81">
        <f t="shared" ca="1" si="58"/>
        <v>0</v>
      </c>
      <c r="Q566" s="81">
        <f t="shared" ca="1" si="58"/>
        <v>0</v>
      </c>
      <c r="R566" s="81">
        <f t="shared" ca="1" si="58"/>
        <v>0</v>
      </c>
      <c r="S566" s="81">
        <f t="shared" ca="1" si="58"/>
        <v>0</v>
      </c>
      <c r="T566" s="81">
        <f t="shared" ca="1" si="58"/>
        <v>0</v>
      </c>
    </row>
    <row r="567" spans="2:20" outlineLevel="1">
      <c r="F567" s="51" t="str">
        <f>$B$319&amp;" Customer Contributions v RAB Category Direct Check"</f>
        <v>3012 - Inputs Customer Contributions v RAB Category Direct Check</v>
      </c>
      <c r="I567" s="130">
        <f ca="1">IF(ISERROR(SUM(J567:T567)),1,MIN(SUM(J567:T567),1))</f>
        <v>0</v>
      </c>
      <c r="J567" s="81">
        <f t="shared" ref="J567:T567" ca="1" si="59">J363-J477</f>
        <v>0</v>
      </c>
      <c r="K567" s="81">
        <f t="shared" ca="1" si="59"/>
        <v>0</v>
      </c>
      <c r="L567" s="81">
        <f t="shared" ca="1" si="59"/>
        <v>0</v>
      </c>
      <c r="M567" s="81">
        <f t="shared" ca="1" si="59"/>
        <v>0</v>
      </c>
      <c r="N567" s="81">
        <f t="shared" ca="1" si="59"/>
        <v>0</v>
      </c>
      <c r="O567" s="81">
        <f t="shared" ca="1" si="59"/>
        <v>0</v>
      </c>
      <c r="P567" s="81">
        <f t="shared" ca="1" si="59"/>
        <v>0</v>
      </c>
      <c r="Q567" s="81">
        <f t="shared" ca="1" si="59"/>
        <v>0</v>
      </c>
      <c r="R567" s="81">
        <f t="shared" ca="1" si="59"/>
        <v>0</v>
      </c>
      <c r="S567" s="81">
        <f t="shared" ca="1" si="59"/>
        <v>0</v>
      </c>
      <c r="T567" s="81">
        <f t="shared" ca="1" si="59"/>
        <v>0</v>
      </c>
    </row>
    <row r="568" spans="2:20" ht="5.9" customHeight="1" outlineLevel="1"/>
    <row r="569" spans="2:20" outlineLevel="1">
      <c r="F569" s="51" t="str">
        <f>$B$319&amp;" RAB v RIN Direct + Overhead Check"</f>
        <v>3012 - Inputs RAB v RIN Direct + Overhead Check</v>
      </c>
      <c r="I569" s="130">
        <f ca="1">IF(ISERROR(SUM(J569:T569)),1,MIN(SUM(J569:T569),1))</f>
        <v>0</v>
      </c>
      <c r="J569" s="81">
        <f t="shared" ref="J569:T569" ca="1" si="60">J457-J516</f>
        <v>0</v>
      </c>
      <c r="K569" s="81">
        <f t="shared" ca="1" si="60"/>
        <v>0</v>
      </c>
      <c r="L569" s="81">
        <f t="shared" ca="1" si="60"/>
        <v>0</v>
      </c>
      <c r="M569" s="81">
        <f t="shared" ca="1" si="60"/>
        <v>0</v>
      </c>
      <c r="N569" s="81">
        <f t="shared" ca="1" si="60"/>
        <v>0</v>
      </c>
      <c r="O569" s="81">
        <f t="shared" ca="1" si="60"/>
        <v>0</v>
      </c>
      <c r="P569" s="81">
        <f t="shared" ca="1" si="60"/>
        <v>0</v>
      </c>
      <c r="Q569" s="81">
        <f t="shared" ca="1" si="60"/>
        <v>0</v>
      </c>
      <c r="R569" s="81">
        <f t="shared" ca="1" si="60"/>
        <v>0</v>
      </c>
      <c r="S569" s="81">
        <f t="shared" ca="1" si="60"/>
        <v>0</v>
      </c>
      <c r="T569" s="81">
        <f t="shared" ca="1" si="60"/>
        <v>0</v>
      </c>
    </row>
    <row r="570" spans="2:20" outlineLevel="1">
      <c r="F570" s="51" t="str">
        <f>$B$319&amp;" RAB v Tax Direct + Overhead Check"</f>
        <v>3012 - Inputs RAB v Tax Direct + Overhead Check</v>
      </c>
      <c r="I570" s="130">
        <f ca="1">IF(ISERROR(SUM(J570:T570)),1,MIN(SUM(J570:T570),1))</f>
        <v>0</v>
      </c>
      <c r="J570" s="81">
        <f t="shared" ref="J570:T570" ca="1" si="61">J457-J559</f>
        <v>0</v>
      </c>
      <c r="K570" s="81">
        <f t="shared" ca="1" si="61"/>
        <v>0</v>
      </c>
      <c r="L570" s="81">
        <f t="shared" ca="1" si="61"/>
        <v>0</v>
      </c>
      <c r="M570" s="81">
        <f t="shared" ca="1" si="61"/>
        <v>0</v>
      </c>
      <c r="N570" s="81">
        <f t="shared" ca="1" si="61"/>
        <v>0</v>
      </c>
      <c r="O570" s="81">
        <f t="shared" ca="1" si="61"/>
        <v>0</v>
      </c>
      <c r="P570" s="81">
        <f t="shared" ca="1" si="61"/>
        <v>0</v>
      </c>
      <c r="Q570" s="81">
        <f t="shared" ca="1" si="61"/>
        <v>0</v>
      </c>
      <c r="R570" s="81">
        <f t="shared" ca="1" si="61"/>
        <v>0</v>
      </c>
      <c r="S570" s="81">
        <f t="shared" ca="1" si="61"/>
        <v>0</v>
      </c>
      <c r="T570" s="81">
        <f t="shared" ca="1" si="61"/>
        <v>0</v>
      </c>
    </row>
    <row r="571" spans="2:20" ht="12" outlineLevel="1" thickBot="1">
      <c r="B571" s="94"/>
      <c r="C571" s="94"/>
      <c r="D571" s="94"/>
      <c r="E571" s="94"/>
      <c r="F571" s="94"/>
      <c r="G571" s="94"/>
      <c r="H571" s="94"/>
      <c r="I571" s="94"/>
      <c r="J571" s="94"/>
      <c r="K571" s="94"/>
      <c r="L571" s="94"/>
      <c r="M571" s="94"/>
      <c r="N571" s="94"/>
      <c r="O571" s="94"/>
      <c r="P571" s="94"/>
      <c r="Q571" s="94"/>
      <c r="R571" s="94"/>
      <c r="S571" s="94"/>
      <c r="T571" s="94"/>
    </row>
  </sheetData>
  <sheetProtection formatColumns="0" formatRows="0"/>
  <mergeCells count="271">
    <mergeCell ref="E279:I279"/>
    <mergeCell ref="E534:I534"/>
    <mergeCell ref="E520:I520"/>
    <mergeCell ref="E521:I521"/>
    <mergeCell ref="E522:I522"/>
    <mergeCell ref="E523:I523"/>
    <mergeCell ref="E524:I524"/>
    <mergeCell ref="E525:I525"/>
    <mergeCell ref="E526:I526"/>
    <mergeCell ref="E527:I527"/>
    <mergeCell ref="E528:I528"/>
    <mergeCell ref="E529:I529"/>
    <mergeCell ref="E530:I530"/>
    <mergeCell ref="E531:I531"/>
    <mergeCell ref="E532:I532"/>
    <mergeCell ref="E533:I533"/>
    <mergeCell ref="E477:I477"/>
    <mergeCell ref="E461:I461"/>
    <mergeCell ref="E462:I462"/>
    <mergeCell ref="E463:I463"/>
    <mergeCell ref="E464:I464"/>
    <mergeCell ref="E465:I465"/>
    <mergeCell ref="E466:I466"/>
    <mergeCell ref="E467:I467"/>
    <mergeCell ref="E270:I270"/>
    <mergeCell ref="E271:I271"/>
    <mergeCell ref="E272:I272"/>
    <mergeCell ref="E273:I273"/>
    <mergeCell ref="E274:I274"/>
    <mergeCell ref="E275:I275"/>
    <mergeCell ref="E276:I276"/>
    <mergeCell ref="E277:I277"/>
    <mergeCell ref="E278:I278"/>
    <mergeCell ref="E401:I401"/>
    <mergeCell ref="E468:I468"/>
    <mergeCell ref="E469:I469"/>
    <mergeCell ref="E470:I470"/>
    <mergeCell ref="E471:I471"/>
    <mergeCell ref="E472:I472"/>
    <mergeCell ref="E474:I474"/>
    <mergeCell ref="E475:I475"/>
    <mergeCell ref="E476:I476"/>
    <mergeCell ref="E405:I405"/>
    <mergeCell ref="E455:I455"/>
    <mergeCell ref="E456:I456"/>
    <mergeCell ref="E473:I473"/>
    <mergeCell ref="E449:I449"/>
    <mergeCell ref="E452:I452"/>
    <mergeCell ref="E451:I451"/>
    <mergeCell ref="E448:I448"/>
    <mergeCell ref="E433:I433"/>
    <mergeCell ref="E434:I434"/>
    <mergeCell ref="E435:I435"/>
    <mergeCell ref="E436:I436"/>
    <mergeCell ref="D85:I85"/>
    <mergeCell ref="E193:I193"/>
    <mergeCell ref="E442:I442"/>
    <mergeCell ref="E234:I234"/>
    <mergeCell ref="E235:I235"/>
    <mergeCell ref="E431:I431"/>
    <mergeCell ref="E422:I422"/>
    <mergeCell ref="E447:I447"/>
    <mergeCell ref="E210:I210"/>
    <mergeCell ref="E211:I211"/>
    <mergeCell ref="E212:I212"/>
    <mergeCell ref="E213:I213"/>
    <mergeCell ref="E214:I214"/>
    <mergeCell ref="E241:I241"/>
    <mergeCell ref="E426:I426"/>
    <mergeCell ref="E427:I427"/>
    <mergeCell ref="E432:I432"/>
    <mergeCell ref="E430:I430"/>
    <mergeCell ref="E443:I443"/>
    <mergeCell ref="E444:I444"/>
    <mergeCell ref="E445:I445"/>
    <mergeCell ref="E446:I446"/>
    <mergeCell ref="E203:I203"/>
    <mergeCell ref="E240:I240"/>
    <mergeCell ref="E242:I242"/>
    <mergeCell ref="D79:I79"/>
    <mergeCell ref="D101:I101"/>
    <mergeCell ref="D114:I114"/>
    <mergeCell ref="D127:I127"/>
    <mergeCell ref="D140:I140"/>
    <mergeCell ref="E244:I244"/>
    <mergeCell ref="E230:I230"/>
    <mergeCell ref="E231:I231"/>
    <mergeCell ref="E232:I232"/>
    <mergeCell ref="E233:I233"/>
    <mergeCell ref="E147:I147"/>
    <mergeCell ref="E148:I148"/>
    <mergeCell ref="E149:I149"/>
    <mergeCell ref="E150:I150"/>
    <mergeCell ref="E151:I151"/>
    <mergeCell ref="E152:I152"/>
    <mergeCell ref="E183:I183"/>
    <mergeCell ref="E167:I167"/>
    <mergeCell ref="E168:I168"/>
    <mergeCell ref="E169:I169"/>
    <mergeCell ref="E170:I170"/>
    <mergeCell ref="E238:I238"/>
    <mergeCell ref="E236:I236"/>
    <mergeCell ref="E200:I200"/>
    <mergeCell ref="E201:I201"/>
    <mergeCell ref="E202:I202"/>
    <mergeCell ref="E219:I219"/>
    <mergeCell ref="E220:I220"/>
    <mergeCell ref="E221:I221"/>
    <mergeCell ref="E222:I222"/>
    <mergeCell ref="E223:I223"/>
    <mergeCell ref="E207:I207"/>
    <mergeCell ref="E208:I208"/>
    <mergeCell ref="E209:I209"/>
    <mergeCell ref="E269:I269"/>
    <mergeCell ref="E454:I454"/>
    <mergeCell ref="E199:I199"/>
    <mergeCell ref="E194:I194"/>
    <mergeCell ref="E195:I195"/>
    <mergeCell ref="E453:I453"/>
    <mergeCell ref="E437:I437"/>
    <mergeCell ref="E413:I413"/>
    <mergeCell ref="E414:I414"/>
    <mergeCell ref="E293:I293"/>
    <mergeCell ref="D394:I394"/>
    <mergeCell ref="E305:I305"/>
    <mergeCell ref="E298:I298"/>
    <mergeCell ref="E299:I299"/>
    <mergeCell ref="E300:I300"/>
    <mergeCell ref="E301:I301"/>
    <mergeCell ref="E302:I302"/>
    <mergeCell ref="E248:I248"/>
    <mergeCell ref="E198:I198"/>
    <mergeCell ref="E215:I215"/>
    <mergeCell ref="E216:I216"/>
    <mergeCell ref="E217:I217"/>
    <mergeCell ref="E218:I218"/>
    <mergeCell ref="E237:I237"/>
    <mergeCell ref="E153:I153"/>
    <mergeCell ref="E154:I154"/>
    <mergeCell ref="E155:I155"/>
    <mergeCell ref="E156:I156"/>
    <mergeCell ref="E157:I157"/>
    <mergeCell ref="E196:I196"/>
    <mergeCell ref="E197:I197"/>
    <mergeCell ref="E158:I158"/>
    <mergeCell ref="E429:I429"/>
    <mergeCell ref="E423:I423"/>
    <mergeCell ref="E424:I424"/>
    <mergeCell ref="E249:I249"/>
    <mergeCell ref="E250:I250"/>
    <mergeCell ref="E251:I251"/>
    <mergeCell ref="E252:I252"/>
    <mergeCell ref="E253:I253"/>
    <mergeCell ref="E254:I254"/>
    <mergeCell ref="E255:I255"/>
    <mergeCell ref="E256:I256"/>
    <mergeCell ref="E415:I415"/>
    <mergeCell ref="E159:I159"/>
    <mergeCell ref="E160:I160"/>
    <mergeCell ref="E161:I161"/>
    <mergeCell ref="E162:I162"/>
    <mergeCell ref="E508:I508"/>
    <mergeCell ref="E509:I509"/>
    <mergeCell ref="E510:I510"/>
    <mergeCell ref="E486:I486"/>
    <mergeCell ref="E487:I487"/>
    <mergeCell ref="E488:I488"/>
    <mergeCell ref="E489:I489"/>
    <mergeCell ref="E490:I490"/>
    <mergeCell ref="E491:I491"/>
    <mergeCell ref="E492:I492"/>
    <mergeCell ref="E494:I494"/>
    <mergeCell ref="E495:I495"/>
    <mergeCell ref="E496:I496"/>
    <mergeCell ref="E497:I497"/>
    <mergeCell ref="E512:I512"/>
    <mergeCell ref="E513:I513"/>
    <mergeCell ref="E258:I258"/>
    <mergeCell ref="E259:I259"/>
    <mergeCell ref="E260:I260"/>
    <mergeCell ref="E261:I261"/>
    <mergeCell ref="E502:I502"/>
    <mergeCell ref="E503:I503"/>
    <mergeCell ref="E504:I504"/>
    <mergeCell ref="E505:I505"/>
    <mergeCell ref="E506:I506"/>
    <mergeCell ref="E262:I262"/>
    <mergeCell ref="E294:I294"/>
    <mergeCell ref="E287:I287"/>
    <mergeCell ref="E288:I288"/>
    <mergeCell ref="E289:I289"/>
    <mergeCell ref="E290:I290"/>
    <mergeCell ref="E291:I291"/>
    <mergeCell ref="E292:I292"/>
    <mergeCell ref="E441:I441"/>
    <mergeCell ref="E507:I507"/>
    <mergeCell ref="E498:I498"/>
    <mergeCell ref="E484:I484"/>
    <mergeCell ref="E485:I485"/>
    <mergeCell ref="E516:I516"/>
    <mergeCell ref="E239:I239"/>
    <mergeCell ref="E257:I257"/>
    <mergeCell ref="E493:I493"/>
    <mergeCell ref="E511:I511"/>
    <mergeCell ref="E457:I457"/>
    <mergeCell ref="E559:I559"/>
    <mergeCell ref="E552:I552"/>
    <mergeCell ref="E553:I553"/>
    <mergeCell ref="E554:I554"/>
    <mergeCell ref="E555:I555"/>
    <mergeCell ref="E556:I556"/>
    <mergeCell ref="E557:I557"/>
    <mergeCell ref="E558:I558"/>
    <mergeCell ref="E514:I514"/>
    <mergeCell ref="E515:I515"/>
    <mergeCell ref="E548:I548"/>
    <mergeCell ref="E541:I541"/>
    <mergeCell ref="E542:I542"/>
    <mergeCell ref="E543:I543"/>
    <mergeCell ref="E544:I544"/>
    <mergeCell ref="E545:I545"/>
    <mergeCell ref="E546:I546"/>
    <mergeCell ref="E547:I547"/>
    <mergeCell ref="D387:I387"/>
    <mergeCell ref="E163:I163"/>
    <mergeCell ref="E187:I187"/>
    <mergeCell ref="E188:I188"/>
    <mergeCell ref="E189:I189"/>
    <mergeCell ref="E190:I190"/>
    <mergeCell ref="E174:I174"/>
    <mergeCell ref="E171:I171"/>
    <mergeCell ref="E172:I172"/>
    <mergeCell ref="E173:I173"/>
    <mergeCell ref="E175:I175"/>
    <mergeCell ref="E176:I176"/>
    <mergeCell ref="E177:I177"/>
    <mergeCell ref="E178:I178"/>
    <mergeCell ref="E179:I179"/>
    <mergeCell ref="E180:I180"/>
    <mergeCell ref="E181:I181"/>
    <mergeCell ref="E182:I182"/>
    <mergeCell ref="E191:I191"/>
    <mergeCell ref="E192:I192"/>
    <mergeCell ref="E280:I280"/>
    <mergeCell ref="E266:I266"/>
    <mergeCell ref="E267:I267"/>
    <mergeCell ref="E268:I268"/>
    <mergeCell ref="N2:O2"/>
    <mergeCell ref="E243:I243"/>
    <mergeCell ref="E450:I450"/>
    <mergeCell ref="E417:I417"/>
    <mergeCell ref="E408:I408"/>
    <mergeCell ref="E409:I409"/>
    <mergeCell ref="E410:I410"/>
    <mergeCell ref="E411:I411"/>
    <mergeCell ref="E403:I403"/>
    <mergeCell ref="E404:I404"/>
    <mergeCell ref="E303:I303"/>
    <mergeCell ref="E304:I304"/>
    <mergeCell ref="D363:I363"/>
    <mergeCell ref="E428:I428"/>
    <mergeCell ref="E402:I402"/>
    <mergeCell ref="E406:I406"/>
    <mergeCell ref="E412:I412"/>
    <mergeCell ref="E421:I421"/>
    <mergeCell ref="E416:I416"/>
    <mergeCell ref="E425:I425"/>
    <mergeCell ref="E407:I407"/>
    <mergeCell ref="D357:I357"/>
    <mergeCell ref="D373:I373"/>
    <mergeCell ref="D380:I380"/>
  </mergeCells>
  <conditionalFormatting sqref="I310">
    <cfRule type="cellIs" dxfId="863" priority="1" operator="notEqual">
      <formula>0</formula>
    </cfRule>
  </conditionalFormatting>
  <conditionalFormatting sqref="I564">
    <cfRule type="cellIs" dxfId="862" priority="2" operator="notEqual">
      <formula>0</formula>
    </cfRule>
  </conditionalFormatting>
  <conditionalFormatting sqref="J310:T310">
    <cfRule type="cellIs" dxfId="861" priority="3" operator="notEqual">
      <formula>0</formula>
    </cfRule>
  </conditionalFormatting>
  <conditionalFormatting sqref="J564:T564">
    <cfRule type="cellIs" dxfId="860" priority="4" operator="notEqual">
      <formula>0</formula>
    </cfRule>
  </conditionalFormatting>
  <conditionalFormatting sqref="I311">
    <cfRule type="cellIs" dxfId="859" priority="5" operator="notEqual">
      <formula>0</formula>
    </cfRule>
  </conditionalFormatting>
  <conditionalFormatting sqref="I565">
    <cfRule type="cellIs" dxfId="858" priority="6" operator="notEqual">
      <formula>0</formula>
    </cfRule>
  </conditionalFormatting>
  <conditionalFormatting sqref="J311:T311">
    <cfRule type="cellIs" dxfId="857" priority="7" operator="notEqual">
      <formula>0</formula>
    </cfRule>
  </conditionalFormatting>
  <conditionalFormatting sqref="J565:T565">
    <cfRule type="cellIs" dxfId="856" priority="8" operator="notEqual">
      <formula>0</formula>
    </cfRule>
  </conditionalFormatting>
  <conditionalFormatting sqref="I312">
    <cfRule type="cellIs" dxfId="855" priority="9" operator="notEqual">
      <formula>0</formula>
    </cfRule>
  </conditionalFormatting>
  <conditionalFormatting sqref="I566">
    <cfRule type="cellIs" dxfId="854" priority="10" operator="notEqual">
      <formula>0</formula>
    </cfRule>
  </conditionalFormatting>
  <conditionalFormatting sqref="J312:T312">
    <cfRule type="cellIs" dxfId="853" priority="11" operator="notEqual">
      <formula>0</formula>
    </cfRule>
  </conditionalFormatting>
  <conditionalFormatting sqref="J566:T566">
    <cfRule type="cellIs" dxfId="852" priority="12" operator="notEqual">
      <formula>0</formula>
    </cfRule>
  </conditionalFormatting>
  <conditionalFormatting sqref="I315">
    <cfRule type="cellIs" dxfId="851" priority="13" operator="notEqual">
      <formula>0</formula>
    </cfRule>
  </conditionalFormatting>
  <conditionalFormatting sqref="I569">
    <cfRule type="cellIs" dxfId="850" priority="14" operator="notEqual">
      <formula>0</formula>
    </cfRule>
  </conditionalFormatting>
  <conditionalFormatting sqref="J315:T315">
    <cfRule type="cellIs" dxfId="849" priority="15" operator="notEqual">
      <formula>0</formula>
    </cfRule>
  </conditionalFormatting>
  <conditionalFormatting sqref="J569:T569">
    <cfRule type="cellIs" dxfId="848" priority="16" operator="notEqual">
      <formula>0</formula>
    </cfRule>
  </conditionalFormatting>
  <conditionalFormatting sqref="I316">
    <cfRule type="cellIs" dxfId="847" priority="17" operator="notEqual">
      <formula>0</formula>
    </cfRule>
  </conditionalFormatting>
  <conditionalFormatting sqref="I570">
    <cfRule type="cellIs" dxfId="846" priority="18" operator="notEqual">
      <formula>0</formula>
    </cfRule>
  </conditionalFormatting>
  <conditionalFormatting sqref="J316:T316">
    <cfRule type="cellIs" dxfId="845" priority="19" operator="notEqual">
      <formula>0</formula>
    </cfRule>
  </conditionalFormatting>
  <conditionalFormatting sqref="J570:T570">
    <cfRule type="cellIs" dxfId="844" priority="20" operator="notEqual">
      <formula>0</formula>
    </cfRule>
  </conditionalFormatting>
  <conditionalFormatting sqref="I313">
    <cfRule type="cellIs" dxfId="843" priority="21" operator="notEqual">
      <formula>0</formula>
    </cfRule>
  </conditionalFormatting>
  <conditionalFormatting sqref="I567">
    <cfRule type="cellIs" dxfId="842" priority="22" operator="notEqual">
      <formula>0</formula>
    </cfRule>
  </conditionalFormatting>
  <conditionalFormatting sqref="J313:T313">
    <cfRule type="cellIs" dxfId="841" priority="23" operator="notEqual">
      <formula>0</formula>
    </cfRule>
  </conditionalFormatting>
  <conditionalFormatting sqref="J567:T567">
    <cfRule type="cellIs" dxfId="840" priority="24" operator="notEqual">
      <formula>0</formula>
    </cfRule>
  </conditionalFormatting>
  <dataValidations count="1">
    <dataValidation type="custom" showErrorMessage="1" errorTitle="Invalid Assumption" error="Assumption must be a number." sqref="J57:T64 J44:T51 J347:T348 J340:T341 J361:T361 J83:T83" xr:uid="{08278BA5-500E-4868-B78C-C6D38FF78D15}">
      <formula1>NOT(ISERROR(J44/1))</formula1>
    </dataValidation>
  </dataValidations>
  <hyperlinks>
    <hyperlink ref="A1" location="HL_Home" tooltip="Go to Table of Contents" display="HL_Home" xr:uid="{DB1E4050-9245-4971-A496-4F7BB5786DC3}"/>
    <hyperlink ref="A2" location="HL_Err_Chk" tooltip="Go to Error Checks" display="HL_Err_Chk" xr:uid="{4F3B0BEB-E3FF-4A7F-A145-31CF8E977EF9}"/>
  </hyperlinks>
  <pageMargins left="0.39370078740157499" right="0.39370078740157499" top="0.59055118110236204" bottom="0.98425196850393704" header="0" footer="0.31496062992126"/>
  <pageSetup paperSize="9" orientation="landscape" r:id="rId1"/>
  <headerFooter>
    <oddFooter>&amp;L&amp;F
&amp;A
Printed: &amp;T on &amp;D&amp;CPage &amp;P of &amp;N</oddFooter>
  </headerFooter>
  <customProperties>
    <customPr name="EpmWorksheetKeyString_GUID" r:id="rId2"/>
  </customProperties>
  <legacyDrawing r:id="rId3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C60CDD-D7FF-410C-A796-6F307A0371A0}">
  <sheetPr>
    <pageSetUpPr autoPageBreaks="0"/>
  </sheetPr>
  <dimension ref="A1:T571"/>
  <sheetViews>
    <sheetView showGridLines="0" zoomScaleNormal="100" workbookViewId="0">
      <pane xSplit="9" ySplit="21" topLeftCell="J22" activePane="bottomRight" state="frozen"/>
      <selection activeCell="N2" sqref="N2:O2"/>
      <selection pane="topRight" activeCell="N2" sqref="N2:O2"/>
      <selection pane="bottomLeft" activeCell="N2" sqref="N2:O2"/>
      <selection pane="bottomRight" activeCell="N2" sqref="N2:O2"/>
    </sheetView>
  </sheetViews>
  <sheetFormatPr defaultColWidth="11.59765625" defaultRowHeight="11.5" outlineLevelRow="3"/>
  <cols>
    <col min="1" max="5" width="3.59765625" customWidth="1"/>
    <col min="6" max="7" width="15.59765625" customWidth="1"/>
  </cols>
  <sheetData>
    <row r="1" spans="1:20" ht="14">
      <c r="A1" s="10" t="s">
        <v>11</v>
      </c>
      <c r="B1" s="6" t="s">
        <v>287</v>
      </c>
    </row>
    <row r="2" spans="1:20" ht="13">
      <c r="A2" s="23" t="s">
        <v>26</v>
      </c>
      <c r="B2" s="7" t="str">
        <f ca="1">Model_Name</f>
        <v>GAAR Capex Forecast</v>
      </c>
      <c r="N2" s="253" t="s">
        <v>493</v>
      </c>
      <c r="O2" s="253"/>
    </row>
    <row r="3" spans="1:20">
      <c r="B3" s="30"/>
      <c r="C3" s="30"/>
      <c r="D3" s="30"/>
      <c r="E3" s="30"/>
      <c r="F3" s="30"/>
      <c r="G3" s="30"/>
      <c r="H3" s="30"/>
      <c r="I3" s="30"/>
      <c r="J3" s="30"/>
      <c r="K3" s="30"/>
      <c r="L3" s="30"/>
      <c r="M3" s="30"/>
      <c r="N3" s="30"/>
      <c r="O3" s="30"/>
      <c r="P3" s="30"/>
      <c r="Q3" s="30"/>
      <c r="R3" s="30"/>
      <c r="S3" s="30"/>
      <c r="T3" s="30"/>
    </row>
    <row r="4" spans="1:20">
      <c r="B4" s="116" t="s">
        <v>74</v>
      </c>
      <c r="C4" s="118"/>
      <c r="D4" s="118"/>
      <c r="E4" s="118"/>
      <c r="F4" s="118"/>
      <c r="G4" s="118"/>
      <c r="H4" s="118"/>
      <c r="I4" s="118"/>
      <c r="J4" s="119">
        <f t="shared" ref="J4:T4" si="0">J8</f>
        <v>43465</v>
      </c>
      <c r="K4" s="119">
        <f t="shared" si="0"/>
        <v>43830</v>
      </c>
      <c r="L4" s="119">
        <f t="shared" si="0"/>
        <v>44196</v>
      </c>
      <c r="M4" s="119">
        <f t="shared" si="0"/>
        <v>44561</v>
      </c>
      <c r="N4" s="119">
        <f t="shared" si="0"/>
        <v>44926</v>
      </c>
      <c r="O4" s="121">
        <f t="shared" si="0"/>
        <v>45107</v>
      </c>
      <c r="P4" s="121">
        <f t="shared" si="0"/>
        <v>45473</v>
      </c>
      <c r="Q4" s="121">
        <f t="shared" si="0"/>
        <v>45838</v>
      </c>
      <c r="R4" s="121">
        <f t="shared" si="0"/>
        <v>46203</v>
      </c>
      <c r="S4" s="121">
        <f t="shared" si="0"/>
        <v>46568</v>
      </c>
      <c r="T4" s="121">
        <f t="shared" si="0"/>
        <v>46934</v>
      </c>
    </row>
    <row r="5" spans="1:20">
      <c r="B5" s="117" t="s">
        <v>100</v>
      </c>
      <c r="C5" s="117"/>
      <c r="D5" s="117"/>
      <c r="E5" s="117"/>
      <c r="F5" s="117"/>
      <c r="G5" s="117"/>
      <c r="H5" s="117"/>
      <c r="I5" s="117"/>
      <c r="J5" s="120">
        <f t="shared" ref="J5:T5" si="1">YEAR(J8)</f>
        <v>2018</v>
      </c>
      <c r="K5" s="120">
        <f t="shared" si="1"/>
        <v>2019</v>
      </c>
      <c r="L5" s="120">
        <f t="shared" si="1"/>
        <v>2020</v>
      </c>
      <c r="M5" s="120">
        <f t="shared" si="1"/>
        <v>2021</v>
      </c>
      <c r="N5" s="120">
        <f t="shared" si="1"/>
        <v>2022</v>
      </c>
      <c r="O5" s="120">
        <f t="shared" si="1"/>
        <v>2023</v>
      </c>
      <c r="P5" s="120">
        <f t="shared" si="1"/>
        <v>2024</v>
      </c>
      <c r="Q5" s="120">
        <f t="shared" si="1"/>
        <v>2025</v>
      </c>
      <c r="R5" s="120">
        <f t="shared" si="1"/>
        <v>2026</v>
      </c>
      <c r="S5" s="120">
        <f t="shared" si="1"/>
        <v>2027</v>
      </c>
      <c r="T5" s="120">
        <f t="shared" si="1"/>
        <v>2028</v>
      </c>
    </row>
    <row r="6" spans="1:20">
      <c r="B6" s="113" t="s">
        <v>91</v>
      </c>
      <c r="C6" s="113"/>
      <c r="D6" s="113"/>
      <c r="E6" s="113"/>
      <c r="F6" s="113"/>
      <c r="G6" s="113"/>
      <c r="H6" s="113"/>
      <c r="I6" s="113"/>
      <c r="J6" s="115" t="str">
        <f t="shared" ref="J6:T6" si="2">IF(J$17,"Actual","Forecast")</f>
        <v>Actual</v>
      </c>
      <c r="K6" s="115" t="str">
        <f t="shared" si="2"/>
        <v>Actual</v>
      </c>
      <c r="L6" s="115" t="str">
        <f t="shared" si="2"/>
        <v>Actual</v>
      </c>
      <c r="M6" s="115" t="str">
        <f t="shared" si="2"/>
        <v>Actual</v>
      </c>
      <c r="N6" s="115" t="str">
        <f t="shared" si="2"/>
        <v>Forecast</v>
      </c>
      <c r="O6" s="114" t="str">
        <f t="shared" si="2"/>
        <v>Forecast</v>
      </c>
      <c r="P6" s="114" t="str">
        <f t="shared" si="2"/>
        <v>Forecast</v>
      </c>
      <c r="Q6" s="114" t="str">
        <f t="shared" si="2"/>
        <v>Forecast</v>
      </c>
      <c r="R6" s="114" t="str">
        <f t="shared" si="2"/>
        <v>Forecast</v>
      </c>
      <c r="S6" s="114" t="str">
        <f t="shared" si="2"/>
        <v>Forecast</v>
      </c>
      <c r="T6" s="114" t="str">
        <f t="shared" si="2"/>
        <v>Forecast</v>
      </c>
    </row>
    <row r="7" spans="1:20" hidden="1" outlineLevel="3">
      <c r="B7" s="30" t="s">
        <v>101</v>
      </c>
      <c r="C7" s="30"/>
      <c r="D7" s="30"/>
      <c r="E7" s="30"/>
      <c r="F7" s="30"/>
      <c r="G7" s="30"/>
      <c r="H7" s="30"/>
      <c r="I7" s="30"/>
      <c r="J7" s="36">
        <f>EDATE(Ts_Start_Date,(J10-1)*Ts_Mths_In_Yr)</f>
        <v>43101</v>
      </c>
      <c r="K7" s="36">
        <f>EDATE(Ts_Start_Date,(K10-1)*Ts_Mths_In_Yr)</f>
        <v>43466</v>
      </c>
      <c r="L7" s="36">
        <f>EDATE(Ts_Start_Date,(L10-1)*Ts_Mths_In_Yr)</f>
        <v>43831</v>
      </c>
      <c r="M7" s="36">
        <f>EDATE(Ts_Start_Date,(M10-1)*Ts_Mths_In_Yr)</f>
        <v>44197</v>
      </c>
      <c r="N7" s="36">
        <f>EDATE(Ts_Start_Date,(N10-1)*Ts_Mths_In_Yr)</f>
        <v>44562</v>
      </c>
      <c r="O7" s="36">
        <f>Ts_Stub_Start_Date</f>
        <v>44927</v>
      </c>
      <c r="P7" s="36">
        <f>EDATE(Ts_Forecast_Reg_Start_Date,(P16-1)*Ts_Mths_In_Yr)</f>
        <v>45108</v>
      </c>
      <c r="Q7" s="36">
        <f>EDATE(Ts_Forecast_Reg_Start_Date,(Q16-1)*Ts_Mths_In_Yr)</f>
        <v>45474</v>
      </c>
      <c r="R7" s="36">
        <f>EDATE(Ts_Forecast_Reg_Start_Date,(R16-1)*Ts_Mths_In_Yr)</f>
        <v>45839</v>
      </c>
      <c r="S7" s="36">
        <f>EDATE(Ts_Forecast_Reg_Start_Date,(S16-1)*Ts_Mths_In_Yr)</f>
        <v>46204</v>
      </c>
      <c r="T7" s="36">
        <f>EDATE(Ts_Forecast_Reg_Start_Date,(T16-1)*Ts_Mths_In_Yr)</f>
        <v>46569</v>
      </c>
    </row>
    <row r="8" spans="1:20" hidden="1" outlineLevel="3">
      <c r="B8" s="30" t="s">
        <v>102</v>
      </c>
      <c r="C8" s="30"/>
      <c r="D8" s="30"/>
      <c r="E8" s="30"/>
      <c r="F8" s="30"/>
      <c r="G8" s="30"/>
      <c r="H8" s="30"/>
      <c r="I8" s="30"/>
      <c r="J8" s="36">
        <f>EOMONTH(J7,Ts_Mths_In_Yr-1)</f>
        <v>43465</v>
      </c>
      <c r="K8" s="36">
        <f>EOMONTH(K7,Ts_Mths_In_Yr-1)</f>
        <v>43830</v>
      </c>
      <c r="L8" s="36">
        <f>EOMONTH(L7,Ts_Mths_In_Yr-1)</f>
        <v>44196</v>
      </c>
      <c r="M8" s="36">
        <f>EOMONTH(M7,Ts_Mths_In_Yr-1)</f>
        <v>44561</v>
      </c>
      <c r="N8" s="36">
        <f>EOMONTH(N7,Ts_Mths_In_Yr-1)</f>
        <v>44926</v>
      </c>
      <c r="O8" s="36">
        <f>EOMONTH(O7,Ts_Stub_Length-1)</f>
        <v>45107</v>
      </c>
      <c r="P8" s="36">
        <f>EOMONTH(P7,Ts_Mths_In_Yr-1)</f>
        <v>45473</v>
      </c>
      <c r="Q8" s="36">
        <f>EOMONTH(Q7,Ts_Mths_In_Yr-1)</f>
        <v>45838</v>
      </c>
      <c r="R8" s="36">
        <f>EOMONTH(R7,Ts_Mths_In_Yr-1)</f>
        <v>46203</v>
      </c>
      <c r="S8" s="36">
        <f>EOMONTH(S7,Ts_Mths_In_Yr-1)</f>
        <v>46568</v>
      </c>
      <c r="T8" s="36">
        <f>EOMONTH(T7,Ts_Mths_In_Yr-1)</f>
        <v>46934</v>
      </c>
    </row>
    <row r="9" spans="1:20" hidden="1" outlineLevel="3">
      <c r="B9" s="30" t="s">
        <v>87</v>
      </c>
      <c r="C9" s="30"/>
      <c r="D9" s="30"/>
      <c r="E9" s="30"/>
      <c r="F9" s="30"/>
      <c r="G9" s="30"/>
      <c r="H9" s="30"/>
      <c r="I9" s="30"/>
      <c r="J9" s="14">
        <f t="shared" ref="J9:T9" si="3">DATEDIF(J7,J8,"m")+1</f>
        <v>12</v>
      </c>
      <c r="K9" s="14">
        <f t="shared" si="3"/>
        <v>12</v>
      </c>
      <c r="L9" s="14">
        <f t="shared" si="3"/>
        <v>12</v>
      </c>
      <c r="M9" s="14">
        <f t="shared" si="3"/>
        <v>12</v>
      </c>
      <c r="N9" s="14">
        <f t="shared" si="3"/>
        <v>12</v>
      </c>
      <c r="O9" s="14">
        <f t="shared" si="3"/>
        <v>6</v>
      </c>
      <c r="P9" s="38">
        <f t="shared" si="3"/>
        <v>12</v>
      </c>
      <c r="Q9" s="38">
        <f t="shared" si="3"/>
        <v>12</v>
      </c>
      <c r="R9" s="38">
        <f t="shared" si="3"/>
        <v>12</v>
      </c>
      <c r="S9" s="38">
        <f t="shared" si="3"/>
        <v>12</v>
      </c>
      <c r="T9" s="38">
        <f t="shared" si="3"/>
        <v>12</v>
      </c>
    </row>
    <row r="10" spans="1:20" hidden="1" outlineLevel="3">
      <c r="B10" s="30" t="s">
        <v>72</v>
      </c>
      <c r="C10" s="30"/>
      <c r="D10" s="30"/>
      <c r="E10" s="30"/>
      <c r="F10" s="30"/>
      <c r="G10" s="30"/>
      <c r="H10" s="30"/>
      <c r="I10" s="30"/>
      <c r="J10" s="40">
        <f>COLUMNS($J$10:J10)</f>
        <v>1</v>
      </c>
      <c r="K10" s="40">
        <f>COLUMNS($J$10:K10)</f>
        <v>2</v>
      </c>
      <c r="L10" s="40">
        <f>COLUMNS($J$10:L10)</f>
        <v>3</v>
      </c>
      <c r="M10" s="40">
        <f>COLUMNS($J$10:M10)</f>
        <v>4</v>
      </c>
      <c r="N10" s="40">
        <f>COLUMNS($J$10:N10)</f>
        <v>5</v>
      </c>
      <c r="O10" s="40">
        <f>COLUMNS($J$10:O10)</f>
        <v>6</v>
      </c>
      <c r="P10" s="40">
        <f>COLUMNS($J$10:P10)</f>
        <v>7</v>
      </c>
      <c r="Q10" s="40">
        <f>COLUMNS($J$10:Q10)</f>
        <v>8</v>
      </c>
      <c r="R10" s="40">
        <f>COLUMNS($J$10:R10)</f>
        <v>9</v>
      </c>
      <c r="S10" s="40">
        <f>COLUMNS($J$10:S10)</f>
        <v>10</v>
      </c>
      <c r="T10" s="40">
        <f>COLUMNS($J$10:T10)</f>
        <v>11</v>
      </c>
    </row>
    <row r="11" spans="1:20" hidden="1" outlineLevel="3">
      <c r="B11" s="30" t="s">
        <v>76</v>
      </c>
      <c r="C11" s="30"/>
      <c r="D11" s="30"/>
      <c r="E11" s="30"/>
      <c r="F11" s="30"/>
      <c r="G11" s="30"/>
      <c r="H11" s="30"/>
      <c r="I11" s="30"/>
      <c r="J11" s="40">
        <f>(J12&lt;&gt;0)*1</f>
        <v>1</v>
      </c>
      <c r="K11" s="40">
        <f>(K12&lt;&gt;0)*1</f>
        <v>1</v>
      </c>
      <c r="L11" s="40">
        <f>(L12&lt;&gt;0)*1</f>
        <v>1</v>
      </c>
      <c r="M11" s="40">
        <f>(M12&lt;&gt;0)*1</f>
        <v>1</v>
      </c>
      <c r="N11" s="40">
        <f>(N12&lt;&gt;0)*1</f>
        <v>1</v>
      </c>
      <c r="O11" s="45">
        <v>0</v>
      </c>
      <c r="P11" s="45">
        <v>0</v>
      </c>
      <c r="Q11" s="45">
        <v>0</v>
      </c>
      <c r="R11" s="45">
        <v>0</v>
      </c>
      <c r="S11" s="45">
        <v>0</v>
      </c>
      <c r="T11" s="45">
        <v>0</v>
      </c>
    </row>
    <row r="12" spans="1:20" hidden="1" outlineLevel="3">
      <c r="B12" s="30" t="s">
        <v>96</v>
      </c>
      <c r="C12" s="30"/>
      <c r="D12" s="30"/>
      <c r="E12" s="30"/>
      <c r="F12" s="30"/>
      <c r="G12" s="30"/>
      <c r="H12" s="30"/>
      <c r="I12" s="30"/>
      <c r="J12" s="40">
        <f>COLUMNS($J$10:J10)</f>
        <v>1</v>
      </c>
      <c r="K12" s="40">
        <f>COLUMNS($J$10:K10)</f>
        <v>2</v>
      </c>
      <c r="L12" s="40">
        <f>COLUMNS($J$10:L10)</f>
        <v>3</v>
      </c>
      <c r="M12" s="40">
        <f>COLUMNS($J$10:M10)</f>
        <v>4</v>
      </c>
      <c r="N12" s="40">
        <f>COLUMNS($J$10:N10)</f>
        <v>5</v>
      </c>
      <c r="O12" s="45">
        <v>0</v>
      </c>
      <c r="P12" s="45">
        <v>0</v>
      </c>
      <c r="Q12" s="45">
        <v>0</v>
      </c>
      <c r="R12" s="45">
        <v>0</v>
      </c>
      <c r="S12" s="45">
        <v>0</v>
      </c>
      <c r="T12" s="45">
        <v>0</v>
      </c>
    </row>
    <row r="13" spans="1:20" hidden="1" outlineLevel="3">
      <c r="B13" s="30" t="s">
        <v>79</v>
      </c>
      <c r="C13" s="30"/>
      <c r="D13" s="30"/>
      <c r="E13" s="30"/>
      <c r="F13" s="30"/>
      <c r="G13" s="30"/>
      <c r="H13" s="30"/>
      <c r="I13" s="30"/>
      <c r="J13" s="45">
        <v>0</v>
      </c>
      <c r="K13" s="45">
        <v>0</v>
      </c>
      <c r="L13" s="45">
        <v>0</v>
      </c>
      <c r="M13" s="45">
        <v>0</v>
      </c>
      <c r="N13" s="45">
        <v>0</v>
      </c>
      <c r="O13" s="40">
        <f>(O14&lt;&gt;0)*1</f>
        <v>1</v>
      </c>
      <c r="P13" s="45">
        <v>0</v>
      </c>
      <c r="Q13" s="45">
        <v>0</v>
      </c>
      <c r="R13" s="45">
        <v>0</v>
      </c>
      <c r="S13" s="45">
        <v>0</v>
      </c>
      <c r="T13" s="45">
        <v>0</v>
      </c>
    </row>
    <row r="14" spans="1:20" hidden="1" outlineLevel="3">
      <c r="B14" s="30" t="s">
        <v>97</v>
      </c>
      <c r="C14" s="30"/>
      <c r="D14" s="30"/>
      <c r="E14" s="30"/>
      <c r="F14" s="30"/>
      <c r="G14" s="30"/>
      <c r="H14" s="30"/>
      <c r="I14" s="30"/>
      <c r="J14" s="45">
        <v>0</v>
      </c>
      <c r="K14" s="45">
        <v>0</v>
      </c>
      <c r="L14" s="45">
        <v>0</v>
      </c>
      <c r="M14" s="45">
        <v>0</v>
      </c>
      <c r="N14" s="45">
        <v>0</v>
      </c>
      <c r="O14" s="40">
        <f>COLUMNS($O$14:O14)</f>
        <v>1</v>
      </c>
      <c r="P14" s="45">
        <v>0</v>
      </c>
      <c r="Q14" s="45">
        <v>0</v>
      </c>
      <c r="R14" s="45">
        <v>0</v>
      </c>
      <c r="S14" s="45">
        <v>0</v>
      </c>
      <c r="T14" s="45">
        <v>0</v>
      </c>
    </row>
    <row r="15" spans="1:20" hidden="1" outlineLevel="3">
      <c r="B15" s="30" t="s">
        <v>82</v>
      </c>
      <c r="C15" s="30"/>
      <c r="D15" s="30"/>
      <c r="E15" s="30"/>
      <c r="F15" s="30"/>
      <c r="G15" s="30"/>
      <c r="H15" s="30"/>
      <c r="I15" s="30"/>
      <c r="J15" s="45">
        <v>0</v>
      </c>
      <c r="K15" s="45">
        <v>0</v>
      </c>
      <c r="L15" s="45">
        <v>0</v>
      </c>
      <c r="M15" s="45">
        <v>0</v>
      </c>
      <c r="N15" s="45">
        <v>0</v>
      </c>
      <c r="O15" s="45">
        <v>0</v>
      </c>
      <c r="P15" s="39">
        <f>(P16&lt;&gt;0)*1</f>
        <v>1</v>
      </c>
      <c r="Q15" s="39">
        <f>(Q16&lt;&gt;0)*1</f>
        <v>1</v>
      </c>
      <c r="R15" s="39">
        <f>(R16&lt;&gt;0)*1</f>
        <v>1</v>
      </c>
      <c r="S15" s="39">
        <f>(S16&lt;&gt;0)*1</f>
        <v>1</v>
      </c>
      <c r="T15" s="39">
        <f>(T16&lt;&gt;0)*1</f>
        <v>1</v>
      </c>
    </row>
    <row r="16" spans="1:20" hidden="1" outlineLevel="3">
      <c r="B16" s="30" t="s">
        <v>98</v>
      </c>
      <c r="C16" s="30"/>
      <c r="D16" s="30"/>
      <c r="E16" s="30"/>
      <c r="F16" s="30"/>
      <c r="G16" s="30"/>
      <c r="H16" s="30"/>
      <c r="I16" s="30"/>
      <c r="J16" s="45">
        <v>0</v>
      </c>
      <c r="K16" s="45">
        <v>0</v>
      </c>
      <c r="L16" s="45">
        <v>0</v>
      </c>
      <c r="M16" s="45">
        <v>0</v>
      </c>
      <c r="N16" s="45">
        <v>0</v>
      </c>
      <c r="O16" s="45">
        <v>0</v>
      </c>
      <c r="P16" s="39">
        <f>COLUMNS($P$16:P16)</f>
        <v>1</v>
      </c>
      <c r="Q16" s="39">
        <f>COLUMNS($P$16:Q16)</f>
        <v>2</v>
      </c>
      <c r="R16" s="39">
        <f>COLUMNS($P$16:R16)</f>
        <v>3</v>
      </c>
      <c r="S16" s="39">
        <f>COLUMNS($P$16:S16)</f>
        <v>4</v>
      </c>
      <c r="T16" s="39">
        <f>COLUMNS($P$16:T16)</f>
        <v>5</v>
      </c>
    </row>
    <row r="17" spans="2:20" hidden="1" outlineLevel="3">
      <c r="B17" s="30" t="s">
        <v>206</v>
      </c>
      <c r="C17" s="30"/>
      <c r="D17" s="30"/>
      <c r="E17" s="30"/>
      <c r="F17" s="30"/>
      <c r="G17" s="30"/>
      <c r="H17" s="30"/>
      <c r="I17" s="30"/>
      <c r="J17" s="39">
        <f t="shared" ref="J17:T17" si="4">IF(J$5&lt;=Ts_Last_Actual_Year,1,0)</f>
        <v>1</v>
      </c>
      <c r="K17" s="39">
        <f t="shared" si="4"/>
        <v>1</v>
      </c>
      <c r="L17" s="39">
        <f t="shared" si="4"/>
        <v>1</v>
      </c>
      <c r="M17" s="39">
        <f t="shared" si="4"/>
        <v>1</v>
      </c>
      <c r="N17" s="39">
        <f t="shared" si="4"/>
        <v>0</v>
      </c>
      <c r="O17" s="39">
        <f t="shared" si="4"/>
        <v>0</v>
      </c>
      <c r="P17" s="39">
        <f t="shared" si="4"/>
        <v>0</v>
      </c>
      <c r="Q17" s="39">
        <f t="shared" si="4"/>
        <v>0</v>
      </c>
      <c r="R17" s="39">
        <f t="shared" si="4"/>
        <v>0</v>
      </c>
      <c r="S17" s="39">
        <f t="shared" si="4"/>
        <v>0</v>
      </c>
      <c r="T17" s="39">
        <f t="shared" si="4"/>
        <v>0</v>
      </c>
    </row>
    <row r="18" spans="2:20" hidden="1" outlineLevel="3">
      <c r="B18" s="30" t="s">
        <v>207</v>
      </c>
      <c r="C18" s="30"/>
      <c r="D18" s="30"/>
      <c r="E18" s="30"/>
      <c r="F18" s="30"/>
      <c r="G18" s="30"/>
      <c r="H18" s="30"/>
      <c r="I18" s="30"/>
      <c r="J18" s="39">
        <f t="shared" ref="J18:T18" si="5">IF(J$5&gt;Ts_Last_Actual_Year,1,0)</f>
        <v>0</v>
      </c>
      <c r="K18" s="39">
        <f t="shared" si="5"/>
        <v>0</v>
      </c>
      <c r="L18" s="39">
        <f t="shared" si="5"/>
        <v>0</v>
      </c>
      <c r="M18" s="39">
        <f t="shared" si="5"/>
        <v>0</v>
      </c>
      <c r="N18" s="39">
        <f t="shared" si="5"/>
        <v>1</v>
      </c>
      <c r="O18" s="40">
        <f t="shared" si="5"/>
        <v>1</v>
      </c>
      <c r="P18" s="40">
        <f t="shared" si="5"/>
        <v>1</v>
      </c>
      <c r="Q18" s="40">
        <f t="shared" si="5"/>
        <v>1</v>
      </c>
      <c r="R18" s="40">
        <f t="shared" si="5"/>
        <v>1</v>
      </c>
      <c r="S18" s="40">
        <f t="shared" si="5"/>
        <v>1</v>
      </c>
      <c r="T18" s="40">
        <f t="shared" si="5"/>
        <v>1</v>
      </c>
    </row>
    <row r="19" spans="2:20" hidden="1" outlineLevel="3">
      <c r="B19" s="30" t="s">
        <v>208</v>
      </c>
      <c r="C19" s="30"/>
      <c r="D19" s="30"/>
      <c r="E19" s="30"/>
      <c r="F19" s="30"/>
      <c r="G19" s="30"/>
      <c r="H19" s="30"/>
      <c r="I19" s="30"/>
      <c r="J19" s="39">
        <f>SUM($J18:J18)</f>
        <v>0</v>
      </c>
      <c r="K19" s="39">
        <f>SUM($J18:K18)</f>
        <v>0</v>
      </c>
      <c r="L19" s="39">
        <f>SUM($J18:L18)</f>
        <v>0</v>
      </c>
      <c r="M19" s="39">
        <f>SUM($J18:M18)</f>
        <v>0</v>
      </c>
      <c r="N19" s="39">
        <f>SUM($J18:N18)</f>
        <v>1</v>
      </c>
      <c r="O19" s="40">
        <f>SUM($J18:O18)</f>
        <v>2</v>
      </c>
      <c r="P19" s="40">
        <f>SUM($J18:P18)</f>
        <v>3</v>
      </c>
      <c r="Q19" s="40">
        <f>SUM($J18:Q18)</f>
        <v>4</v>
      </c>
      <c r="R19" s="40">
        <f>SUM($J18:R18)</f>
        <v>5</v>
      </c>
      <c r="S19" s="40">
        <f>SUM($J18:S18)</f>
        <v>6</v>
      </c>
      <c r="T19" s="40">
        <f>SUM($J18:T18)</f>
        <v>7</v>
      </c>
    </row>
    <row r="20" spans="2:20" hidden="1" outlineLevel="3">
      <c r="B20" s="30" t="s">
        <v>481</v>
      </c>
      <c r="C20" s="30"/>
      <c r="D20" s="30"/>
      <c r="E20" s="30"/>
      <c r="F20" s="30"/>
      <c r="G20" s="30"/>
      <c r="H20" s="30"/>
      <c r="I20" s="30"/>
      <c r="J20" s="38">
        <f t="shared" ref="J20:N20" si="6">J9/12</f>
        <v>1</v>
      </c>
      <c r="K20" s="38">
        <f t="shared" si="6"/>
        <v>1</v>
      </c>
      <c r="L20" s="38">
        <f t="shared" si="6"/>
        <v>1</v>
      </c>
      <c r="M20" s="38">
        <f t="shared" si="6"/>
        <v>1</v>
      </c>
      <c r="N20" s="38">
        <f t="shared" si="6"/>
        <v>1</v>
      </c>
      <c r="O20" s="38">
        <f>O9/12</f>
        <v>0.5</v>
      </c>
      <c r="P20" s="38">
        <f t="shared" ref="P20:T20" si="7">P9/12</f>
        <v>1</v>
      </c>
      <c r="Q20" s="38">
        <f t="shared" si="7"/>
        <v>1</v>
      </c>
      <c r="R20" s="38">
        <f t="shared" si="7"/>
        <v>1</v>
      </c>
      <c r="S20" s="38">
        <f t="shared" si="7"/>
        <v>1</v>
      </c>
      <c r="T20" s="38">
        <f t="shared" si="7"/>
        <v>1</v>
      </c>
    </row>
    <row r="21" spans="2:20" hidden="1" outlineLevel="3">
      <c r="B21" s="30"/>
      <c r="C21" s="30"/>
      <c r="D21" s="30"/>
      <c r="E21" s="30"/>
      <c r="F21" s="30"/>
      <c r="G21" s="30"/>
      <c r="H21" s="30"/>
      <c r="I21" s="30"/>
      <c r="J21" s="30"/>
      <c r="K21" s="30"/>
      <c r="L21" s="30"/>
      <c r="M21" s="30"/>
      <c r="N21" s="30"/>
      <c r="O21" s="30"/>
      <c r="P21" s="30"/>
      <c r="Q21" s="30"/>
      <c r="R21" s="30"/>
      <c r="S21" s="30"/>
      <c r="T21" s="30"/>
    </row>
    <row r="22" spans="2:20" collapsed="1"/>
    <row r="23" spans="2:20" ht="14">
      <c r="B23" s="110" t="s">
        <v>250</v>
      </c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</row>
    <row r="24" spans="2:20" ht="5.9" customHeight="1"/>
    <row r="25" spans="2:20" ht="14">
      <c r="B25" s="56" t="str">
        <f>GC!F20</f>
        <v>Customer Regulators - Planned</v>
      </c>
    </row>
    <row r="26" spans="2:20" ht="5.9" customHeight="1" outlineLevel="1"/>
    <row r="27" spans="2:20" hidden="1" outlineLevel="2">
      <c r="C27" s="37" t="s">
        <v>204</v>
      </c>
    </row>
    <row r="28" spans="2:20" ht="5.9" hidden="1" customHeight="1" outlineLevel="2"/>
    <row r="29" spans="2:20" hidden="1" outlineLevel="2">
      <c r="D29" s="51" t="s">
        <v>103</v>
      </c>
      <c r="J29" s="92">
        <f>Rates!J42</f>
        <v>1</v>
      </c>
      <c r="K29" s="92">
        <f>Rates!K42</f>
        <v>1</v>
      </c>
      <c r="L29" s="92">
        <f>Rates!L42</f>
        <v>1</v>
      </c>
      <c r="M29" s="92">
        <f>Rates!M42</f>
        <v>1</v>
      </c>
      <c r="N29" s="92">
        <f>Rates!N42</f>
        <v>1</v>
      </c>
      <c r="O29" s="92">
        <f>Rates!O42</f>
        <v>1.0051959235721353</v>
      </c>
      <c r="P29" s="92">
        <f>Rates!P42</f>
        <v>1.0102301741405761</v>
      </c>
      <c r="Q29" s="92">
        <f>Rates!Q42</f>
        <v>1.0181072873442809</v>
      </c>
      <c r="R29" s="92">
        <f>Rates!R42</f>
        <v>1.0293150686557422</v>
      </c>
      <c r="S29" s="92">
        <f>Rates!S42</f>
        <v>1.040646230246951</v>
      </c>
      <c r="T29" s="92">
        <f>Rates!T42</f>
        <v>1.0521021303433229</v>
      </c>
    </row>
    <row r="30" spans="2:20" hidden="1" outlineLevel="2">
      <c r="D30" s="51" t="s">
        <v>104</v>
      </c>
      <c r="J30" s="92">
        <f>Rates!J43</f>
        <v>1</v>
      </c>
      <c r="K30" s="92">
        <f>Rates!K43</f>
        <v>1</v>
      </c>
      <c r="L30" s="92">
        <f>Rates!L43</f>
        <v>1</v>
      </c>
      <c r="M30" s="92">
        <f>Rates!M43</f>
        <v>1</v>
      </c>
      <c r="N30" s="92">
        <f>Rates!N43</f>
        <v>1</v>
      </c>
      <c r="O30" s="92">
        <f>Rates!O43</f>
        <v>1</v>
      </c>
      <c r="P30" s="92">
        <f>Rates!P43</f>
        <v>1</v>
      </c>
      <c r="Q30" s="92">
        <f>Rates!Q43</f>
        <v>1</v>
      </c>
      <c r="R30" s="92">
        <f>Rates!R43</f>
        <v>1</v>
      </c>
      <c r="S30" s="92">
        <f>Rates!S43</f>
        <v>1</v>
      </c>
      <c r="T30" s="92">
        <f>Rates!T43</f>
        <v>1</v>
      </c>
    </row>
    <row r="31" spans="2:20" hidden="1" outlineLevel="2">
      <c r="D31" s="51" t="s">
        <v>130</v>
      </c>
      <c r="J31" s="92">
        <f>Rates!J45</f>
        <v>1</v>
      </c>
      <c r="K31" s="92">
        <f>Rates!K45</f>
        <v>1</v>
      </c>
      <c r="L31" s="92">
        <f>Rates!L45</f>
        <v>1</v>
      </c>
      <c r="M31" s="92">
        <f>Rates!M45</f>
        <v>1</v>
      </c>
      <c r="N31" s="92">
        <f>Rates!N45</f>
        <v>1</v>
      </c>
      <c r="O31" s="92">
        <f>Rates!O45</f>
        <v>1</v>
      </c>
      <c r="P31" s="92">
        <f>Rates!P45</f>
        <v>1</v>
      </c>
      <c r="Q31" s="92">
        <f>Rates!Q45</f>
        <v>1</v>
      </c>
      <c r="R31" s="92">
        <f>Rates!R45</f>
        <v>1</v>
      </c>
      <c r="S31" s="92">
        <f>Rates!S45</f>
        <v>1</v>
      </c>
      <c r="T31" s="92">
        <f>Rates!T45</f>
        <v>1</v>
      </c>
    </row>
    <row r="32" spans="2:20" ht="5.9" hidden="1" customHeight="1" outlineLevel="2"/>
    <row r="33" spans="3:20" hidden="1" outlineLevel="2">
      <c r="C33" s="37" t="s">
        <v>105</v>
      </c>
    </row>
    <row r="34" spans="3:20" ht="5.9" hidden="1" customHeight="1" outlineLevel="2"/>
    <row r="35" spans="3:20" hidden="1" outlineLevel="2">
      <c r="D35" s="51" t="s">
        <v>106</v>
      </c>
      <c r="J35" s="100">
        <f>Rates!J50</f>
        <v>6.9591273870889495E-2</v>
      </c>
      <c r="K35" s="100">
        <f>Rates!K50</f>
        <v>7.3934468928182201E-2</v>
      </c>
      <c r="L35" s="100">
        <f>Rates!L50</f>
        <v>7.5085976469407303E-2</v>
      </c>
      <c r="M35" s="100">
        <f>Rates!M50</f>
        <v>8.0103391005934096E-2</v>
      </c>
      <c r="N35" s="100">
        <f>Rates!N50</f>
        <v>3.7711007382937055E-2</v>
      </c>
      <c r="O35" s="100">
        <f>Rates!O50</f>
        <v>3.3283969054706777E-2</v>
      </c>
      <c r="P35" s="100">
        <f>Rates!P50</f>
        <v>2.6752660513445464E-2</v>
      </c>
      <c r="Q35" s="100">
        <f>Rates!Q50</f>
        <v>2.6060587348993774E-2</v>
      </c>
      <c r="R35" s="100">
        <f>Rates!R50</f>
        <v>2.6873005987587139E-2</v>
      </c>
      <c r="S35" s="100">
        <f>Rates!S50</f>
        <v>2.8546178928104012E-2</v>
      </c>
      <c r="T35" s="100">
        <f>Rates!T50</f>
        <v>2.9920378203686534E-2</v>
      </c>
    </row>
    <row r="36" spans="3:20" hidden="1" outlineLevel="2">
      <c r="D36" s="51" t="s">
        <v>107</v>
      </c>
      <c r="J36" s="100">
        <f>Rates!J51</f>
        <v>5.5842732834613398E-2</v>
      </c>
      <c r="K36" s="100">
        <f>Rates!K51</f>
        <v>5.16564294790849E-2</v>
      </c>
      <c r="L36" s="100">
        <f>Rates!L51</f>
        <v>6.0535031919173997E-2</v>
      </c>
      <c r="M36" s="100">
        <f>Rates!M51</f>
        <v>7.1630695797579302E-2</v>
      </c>
      <c r="N36" s="100">
        <f>Rates!N51</f>
        <v>7.4343858126268231E-2</v>
      </c>
      <c r="O36" s="100">
        <f>Rates!O51</f>
        <v>7.4059082290758096E-2</v>
      </c>
      <c r="P36" s="100">
        <f>Rates!P51</f>
        <v>2.4388539961794877E-2</v>
      </c>
      <c r="Q36" s="100">
        <f>Rates!Q51</f>
        <v>2.1171310758207256E-2</v>
      </c>
      <c r="R36" s="100">
        <f>Rates!R51</f>
        <v>2.0024144075344485E-2</v>
      </c>
      <c r="S36" s="100">
        <f>Rates!S51</f>
        <v>3.9620009613577346E-2</v>
      </c>
      <c r="T36" s="100">
        <f>Rates!T51</f>
        <v>5.404914337922874E-2</v>
      </c>
    </row>
    <row r="37" spans="3:20" hidden="1" outlineLevel="2">
      <c r="D37" s="51" t="s">
        <v>108</v>
      </c>
      <c r="J37" s="100">
        <f>Rates!J52</f>
        <v>0</v>
      </c>
      <c r="K37" s="100">
        <f>Rates!K52</f>
        <v>0</v>
      </c>
      <c r="L37" s="100">
        <f>Rates!L52</f>
        <v>0</v>
      </c>
      <c r="M37" s="100">
        <f>Rates!M52</f>
        <v>0</v>
      </c>
      <c r="N37" s="100">
        <f>Rates!N52</f>
        <v>0</v>
      </c>
      <c r="O37" s="100">
        <f>Rates!O52</f>
        <v>0</v>
      </c>
      <c r="P37" s="100">
        <f>Rates!P52</f>
        <v>0</v>
      </c>
      <c r="Q37" s="100">
        <f>Rates!Q52</f>
        <v>0</v>
      </c>
      <c r="R37" s="100">
        <f>Rates!R52</f>
        <v>0</v>
      </c>
      <c r="S37" s="100">
        <f>Rates!S52</f>
        <v>0</v>
      </c>
      <c r="T37" s="100">
        <f>Rates!T52</f>
        <v>0</v>
      </c>
    </row>
    <row r="38" spans="3:20" outlineLevel="1" collapsed="1"/>
    <row r="39" spans="3:20" ht="5.9" customHeight="1" outlineLevel="1"/>
    <row r="40" spans="3:20" outlineLevel="1">
      <c r="C40" s="37" t="s">
        <v>118</v>
      </c>
    </row>
    <row r="41" spans="3:20" ht="5.9" customHeight="1" outlineLevel="1"/>
    <row r="42" spans="3:20" outlineLevel="1">
      <c r="D42" s="37" t="s">
        <v>160</v>
      </c>
      <c r="H42" s="107" t="s">
        <v>192</v>
      </c>
    </row>
    <row r="43" spans="3:20" ht="5.9" customHeight="1" outlineLevel="1"/>
    <row r="44" spans="3:20" outlineLevel="1">
      <c r="D44" s="102" t="str">
        <f>Work_Codes!D239</f>
        <v>Replaced I/C with TEMP</v>
      </c>
      <c r="H44" s="63"/>
      <c r="J44" s="125"/>
      <c r="K44" s="125"/>
      <c r="L44" s="125"/>
      <c r="M44" s="178"/>
      <c r="N44" s="178"/>
      <c r="O44" s="211"/>
      <c r="P44" s="212"/>
      <c r="Q44" s="212"/>
      <c r="R44" s="212"/>
      <c r="S44" s="212"/>
      <c r="T44" s="212"/>
    </row>
    <row r="45" spans="3:20" outlineLevel="1">
      <c r="D45" s="102" t="str">
        <f>Work_Codes!D240</f>
        <v>Obsolete Dival (say 100 sites)</v>
      </c>
      <c r="H45" s="63"/>
      <c r="J45" s="125"/>
      <c r="K45" s="125"/>
      <c r="L45" s="125"/>
      <c r="M45" s="178"/>
      <c r="N45" s="178"/>
      <c r="O45" s="211"/>
      <c r="P45" s="212"/>
      <c r="Q45" s="212"/>
      <c r="R45" s="212"/>
      <c r="S45" s="212"/>
      <c r="T45" s="212"/>
    </row>
    <row r="46" spans="3:20" outlineLevel="1">
      <c r="D46" s="102" t="str">
        <f>Work_Codes!D241</f>
        <v>Replace Reliance 1813</v>
      </c>
      <c r="H46" s="63"/>
      <c r="J46" s="125"/>
      <c r="K46" s="125"/>
      <c r="L46" s="125"/>
      <c r="M46" s="178"/>
      <c r="N46" s="178"/>
      <c r="O46" s="211"/>
      <c r="P46" s="212"/>
      <c r="Q46" s="212"/>
      <c r="R46" s="212"/>
      <c r="S46" s="212"/>
      <c r="T46" s="212"/>
    </row>
    <row r="47" spans="3:20" outlineLevel="1">
      <c r="D47" s="174" t="str">
        <f>Work_Codes!D242</f>
        <v>Misc Actuator Replacement</v>
      </c>
      <c r="H47" s="63"/>
      <c r="J47" s="125"/>
      <c r="K47" s="125"/>
      <c r="L47" s="125"/>
      <c r="M47" s="178"/>
      <c r="N47" s="178"/>
      <c r="O47" s="211"/>
      <c r="P47" s="212"/>
      <c r="Q47" s="212"/>
      <c r="R47" s="212"/>
      <c r="S47" s="212"/>
      <c r="T47" s="212"/>
    </row>
    <row r="48" spans="3:20" outlineLevel="1">
      <c r="D48" s="174" t="str">
        <f>Work_Codes!D243</f>
        <v>Capex Items Category 5</v>
      </c>
      <c r="H48" s="63"/>
      <c r="J48" s="125"/>
      <c r="K48" s="125"/>
      <c r="L48" s="125"/>
      <c r="M48" s="125"/>
      <c r="N48" s="125"/>
      <c r="O48" s="212"/>
      <c r="P48" s="212"/>
      <c r="Q48" s="212"/>
      <c r="R48" s="212"/>
      <c r="S48" s="212"/>
      <c r="T48" s="212"/>
    </row>
    <row r="49" spans="3:20" outlineLevel="1">
      <c r="D49" s="105"/>
      <c r="H49" s="58"/>
      <c r="J49" s="66"/>
      <c r="K49" s="66"/>
      <c r="L49" s="66"/>
      <c r="M49" s="66"/>
      <c r="N49" s="66"/>
      <c r="O49" s="66"/>
      <c r="P49" s="66"/>
      <c r="Q49" s="66"/>
      <c r="R49" s="66"/>
      <c r="S49" s="66"/>
      <c r="T49" s="66"/>
    </row>
    <row r="50" spans="3:20" outlineLevel="1">
      <c r="C50" s="37" t="s">
        <v>119</v>
      </c>
    </row>
    <row r="51" spans="3:20" ht="5.9" customHeight="1" outlineLevel="1"/>
    <row r="52" spans="3:20" outlineLevel="1">
      <c r="D52" s="37" t="str">
        <f>D42</f>
        <v>Capex Category</v>
      </c>
    </row>
    <row r="53" spans="3:20" ht="5.9" customHeight="1" outlineLevel="1"/>
    <row r="54" spans="3:20" outlineLevel="1">
      <c r="D54" s="102" t="str">
        <f>Work_Codes!D239</f>
        <v>Replaced I/C with TEMP</v>
      </c>
      <c r="J54" s="163"/>
      <c r="K54" s="163"/>
      <c r="L54" s="163"/>
      <c r="M54" s="163"/>
      <c r="N54" s="163"/>
      <c r="O54" s="213"/>
      <c r="P54" s="213"/>
      <c r="Q54" s="213"/>
      <c r="R54" s="213"/>
      <c r="S54" s="213"/>
      <c r="T54" s="213"/>
    </row>
    <row r="55" spans="3:20" outlineLevel="1">
      <c r="D55" s="102" t="str">
        <f>Work_Codes!D240</f>
        <v>Obsolete Dival (say 100 sites)</v>
      </c>
      <c r="J55" s="163"/>
      <c r="K55" s="163"/>
      <c r="L55" s="163"/>
      <c r="M55" s="163"/>
      <c r="N55" s="163"/>
      <c r="O55" s="213"/>
      <c r="P55" s="213"/>
      <c r="Q55" s="213"/>
      <c r="R55" s="213"/>
      <c r="S55" s="213"/>
      <c r="T55" s="213"/>
    </row>
    <row r="56" spans="3:20" outlineLevel="1">
      <c r="D56" s="102" t="str">
        <f>Work_Codes!D241</f>
        <v>Replace Reliance 1813</v>
      </c>
      <c r="J56" s="163"/>
      <c r="K56" s="163"/>
      <c r="L56" s="163"/>
      <c r="M56" s="163"/>
      <c r="N56" s="163"/>
      <c r="O56" s="213"/>
      <c r="P56" s="213"/>
      <c r="Q56" s="213"/>
      <c r="R56" s="213"/>
      <c r="S56" s="213"/>
      <c r="T56" s="213"/>
    </row>
    <row r="57" spans="3:20" outlineLevel="1">
      <c r="D57" s="174" t="str">
        <f>Work_Codes!D242</f>
        <v>Misc Actuator Replacement</v>
      </c>
      <c r="J57" s="163"/>
      <c r="K57" s="163"/>
      <c r="L57" s="163"/>
      <c r="M57" s="163"/>
      <c r="N57" s="163"/>
      <c r="O57" s="213"/>
      <c r="P57" s="213"/>
      <c r="Q57" s="213"/>
      <c r="R57" s="213"/>
      <c r="S57" s="213"/>
      <c r="T57" s="213"/>
    </row>
    <row r="58" spans="3:20" outlineLevel="1">
      <c r="D58" s="174" t="str">
        <f>Work_Codes!D243</f>
        <v>Capex Items Category 5</v>
      </c>
      <c r="J58" s="163"/>
      <c r="K58" s="163"/>
      <c r="L58" s="163"/>
      <c r="M58" s="163"/>
      <c r="N58" s="163"/>
      <c r="O58" s="214"/>
      <c r="P58" s="213"/>
      <c r="Q58" s="213"/>
      <c r="R58" s="213"/>
      <c r="S58" s="213"/>
      <c r="T58" s="213"/>
    </row>
    <row r="59" spans="3:20" outlineLevel="1"/>
    <row r="60" spans="3:20" outlineLevel="1">
      <c r="C60" s="37" t="s">
        <v>193</v>
      </c>
    </row>
    <row r="61" spans="3:20" ht="5.9" customHeight="1" outlineLevel="1"/>
    <row r="62" spans="3:20" outlineLevel="1">
      <c r="D62" s="37" t="str">
        <f>D42</f>
        <v>Capex Category</v>
      </c>
    </row>
    <row r="63" spans="3:20" ht="5.9" customHeight="1" outlineLevel="1"/>
    <row r="64" spans="3:20" outlineLevel="1">
      <c r="D64" s="102" t="str">
        <f>Work_Codes!D239</f>
        <v>Replaced I/C with TEMP</v>
      </c>
      <c r="J64" s="81">
        <v>0</v>
      </c>
      <c r="K64" s="81">
        <v>0</v>
      </c>
      <c r="L64" s="81">
        <v>0</v>
      </c>
      <c r="M64" s="81">
        <v>0</v>
      </c>
      <c r="N64" s="81">
        <v>0</v>
      </c>
      <c r="O64" s="81">
        <v>500000</v>
      </c>
      <c r="P64" s="81">
        <v>1029975</v>
      </c>
      <c r="Q64" s="81">
        <v>855550</v>
      </c>
      <c r="R64" s="81">
        <v>564250</v>
      </c>
      <c r="S64" s="81">
        <v>506550</v>
      </c>
      <c r="T64" s="81">
        <v>558775</v>
      </c>
    </row>
    <row r="65" spans="3:20" outlineLevel="1">
      <c r="D65" s="102" t="str">
        <f>Work_Codes!D240</f>
        <v>Obsolete Dival (say 100 sites)</v>
      </c>
      <c r="J65" s="81">
        <v>0</v>
      </c>
      <c r="K65" s="81">
        <v>0</v>
      </c>
      <c r="L65" s="81">
        <v>0</v>
      </c>
      <c r="M65" s="81">
        <v>0</v>
      </c>
      <c r="N65" s="81">
        <v>0</v>
      </c>
      <c r="O65" s="81">
        <v>12000</v>
      </c>
      <c r="P65" s="81">
        <v>30000</v>
      </c>
      <c r="Q65" s="81">
        <v>60000</v>
      </c>
      <c r="R65" s="81">
        <v>60000</v>
      </c>
      <c r="S65" s="81">
        <v>60000</v>
      </c>
      <c r="T65" s="81">
        <v>60000</v>
      </c>
    </row>
    <row r="66" spans="3:20" outlineLevel="1">
      <c r="D66" s="102" t="str">
        <f>Work_Codes!D241</f>
        <v>Replace Reliance 1813</v>
      </c>
      <c r="J66" s="81">
        <v>0</v>
      </c>
      <c r="K66" s="81">
        <v>0</v>
      </c>
      <c r="L66" s="81">
        <v>0</v>
      </c>
      <c r="M66" s="81">
        <v>0</v>
      </c>
      <c r="N66" s="81">
        <v>0</v>
      </c>
      <c r="O66" s="81">
        <v>12000</v>
      </c>
      <c r="P66" s="81">
        <v>30000</v>
      </c>
      <c r="Q66" s="81">
        <v>30000</v>
      </c>
      <c r="R66" s="81">
        <v>30000</v>
      </c>
      <c r="S66" s="81">
        <v>30000</v>
      </c>
      <c r="T66" s="81">
        <v>18000</v>
      </c>
    </row>
    <row r="67" spans="3:20" outlineLevel="1">
      <c r="D67" s="174" t="str">
        <f>Work_Codes!D242</f>
        <v>Misc Actuator Replacement</v>
      </c>
      <c r="J67" s="81">
        <v>0</v>
      </c>
      <c r="K67" s="81">
        <v>0</v>
      </c>
      <c r="L67" s="81">
        <v>0</v>
      </c>
      <c r="M67" s="81">
        <v>0</v>
      </c>
      <c r="N67" s="81">
        <v>0</v>
      </c>
      <c r="O67" s="81">
        <v>30000</v>
      </c>
      <c r="P67" s="81">
        <v>60000</v>
      </c>
      <c r="Q67" s="81">
        <v>60000</v>
      </c>
      <c r="R67" s="81">
        <v>60000</v>
      </c>
      <c r="S67" s="81">
        <v>60000</v>
      </c>
      <c r="T67" s="81">
        <v>60000</v>
      </c>
    </row>
    <row r="68" spans="3:20" outlineLevel="1">
      <c r="D68" s="174" t="str">
        <f>Work_Codes!D243</f>
        <v>Capex Items Category 5</v>
      </c>
      <c r="J68" s="81">
        <v>0</v>
      </c>
      <c r="K68" s="81">
        <v>0</v>
      </c>
      <c r="L68" s="81">
        <v>0</v>
      </c>
      <c r="M68" s="81">
        <v>0</v>
      </c>
      <c r="N68" s="81">
        <v>0</v>
      </c>
      <c r="O68" s="81">
        <v>0</v>
      </c>
      <c r="P68" s="81">
        <v>0</v>
      </c>
      <c r="Q68" s="81">
        <v>0</v>
      </c>
      <c r="R68" s="81">
        <v>0</v>
      </c>
      <c r="S68" s="81">
        <v>0</v>
      </c>
      <c r="T68" s="81">
        <v>0</v>
      </c>
    </row>
    <row r="69" spans="3:20" ht="5.9" customHeight="1" outlineLevel="1">
      <c r="D69" s="37"/>
      <c r="J69" s="78"/>
      <c r="K69" s="78"/>
      <c r="L69" s="78"/>
      <c r="M69" s="78"/>
      <c r="N69" s="78"/>
      <c r="O69" s="78"/>
      <c r="P69" s="78"/>
      <c r="Q69" s="78"/>
      <c r="R69" s="78"/>
      <c r="S69" s="78"/>
      <c r="T69" s="78"/>
    </row>
    <row r="70" spans="3:20" outlineLevel="1">
      <c r="D70" s="249" t="str">
        <f>"Total "&amp;B25</f>
        <v>Total Customer Regulators - Planned</v>
      </c>
      <c r="E70" s="249"/>
      <c r="F70" s="249"/>
      <c r="G70" s="249"/>
      <c r="H70" s="249"/>
      <c r="I70" s="249"/>
      <c r="J70" s="82">
        <f t="shared" ref="J70:T70" si="8">SUM(J64:J69)</f>
        <v>0</v>
      </c>
      <c r="K70" s="82">
        <f t="shared" si="8"/>
        <v>0</v>
      </c>
      <c r="L70" s="82">
        <f t="shared" si="8"/>
        <v>0</v>
      </c>
      <c r="M70" s="82">
        <f t="shared" si="8"/>
        <v>0</v>
      </c>
      <c r="N70" s="82">
        <f t="shared" si="8"/>
        <v>0</v>
      </c>
      <c r="O70" s="82">
        <f t="shared" si="8"/>
        <v>554000</v>
      </c>
      <c r="P70" s="82">
        <f t="shared" si="8"/>
        <v>1149975</v>
      </c>
      <c r="Q70" s="82">
        <f t="shared" si="8"/>
        <v>1005550</v>
      </c>
      <c r="R70" s="82">
        <f t="shared" si="8"/>
        <v>714250</v>
      </c>
      <c r="S70" s="82">
        <f t="shared" si="8"/>
        <v>656550</v>
      </c>
      <c r="T70" s="82">
        <f t="shared" si="8"/>
        <v>696775</v>
      </c>
    </row>
    <row r="71" spans="3:20" outlineLevel="1"/>
    <row r="72" spans="3:20" outlineLevel="1">
      <c r="C72" s="37" t="s">
        <v>286</v>
      </c>
    </row>
    <row r="73" spans="3:20" ht="5.9" customHeight="1" outlineLevel="1"/>
    <row r="74" spans="3:20" outlineLevel="1">
      <c r="D74" s="143" t="str">
        <f>Work_Codes!D247</f>
        <v>Customer Contributions Category 1</v>
      </c>
      <c r="J74" s="148">
        <v>0</v>
      </c>
      <c r="K74" s="148">
        <v>0</v>
      </c>
      <c r="L74" s="148">
        <v>0</v>
      </c>
      <c r="M74" s="148">
        <v>0</v>
      </c>
      <c r="N74" s="148">
        <v>0</v>
      </c>
      <c r="O74" s="148">
        <v>0</v>
      </c>
      <c r="P74" s="148">
        <v>0</v>
      </c>
      <c r="Q74" s="148">
        <v>0</v>
      </c>
      <c r="R74" s="148">
        <v>0</v>
      </c>
      <c r="S74" s="148">
        <v>0</v>
      </c>
      <c r="T74" s="148">
        <v>0</v>
      </c>
    </row>
    <row r="75" spans="3:20" ht="5.9" customHeight="1" outlineLevel="1"/>
    <row r="76" spans="3:20" outlineLevel="1">
      <c r="D76" s="249" t="str">
        <f>"Total "&amp;C72</f>
        <v>Total Customer Connections</v>
      </c>
      <c r="E76" s="249"/>
      <c r="F76" s="249"/>
      <c r="G76" s="249"/>
      <c r="H76" s="249"/>
      <c r="I76" s="249"/>
      <c r="J76" s="82">
        <f t="shared" ref="J76:T76" si="9">SUM(J74:J75)</f>
        <v>0</v>
      </c>
      <c r="K76" s="82">
        <f t="shared" si="9"/>
        <v>0</v>
      </c>
      <c r="L76" s="82">
        <f t="shared" si="9"/>
        <v>0</v>
      </c>
      <c r="M76" s="82">
        <f t="shared" si="9"/>
        <v>0</v>
      </c>
      <c r="N76" s="82">
        <f t="shared" si="9"/>
        <v>0</v>
      </c>
      <c r="O76" s="82">
        <f t="shared" si="9"/>
        <v>0</v>
      </c>
      <c r="P76" s="82">
        <f t="shared" si="9"/>
        <v>0</v>
      </c>
      <c r="Q76" s="82">
        <f t="shared" si="9"/>
        <v>0</v>
      </c>
      <c r="R76" s="82">
        <f t="shared" si="9"/>
        <v>0</v>
      </c>
      <c r="S76" s="82">
        <f t="shared" si="9"/>
        <v>0</v>
      </c>
      <c r="T76" s="82">
        <f t="shared" si="9"/>
        <v>0</v>
      </c>
    </row>
    <row r="77" spans="3:20" outlineLevel="1">
      <c r="C77" s="12"/>
      <c r="D77" s="12"/>
      <c r="E77" s="12"/>
      <c r="F77" s="12"/>
      <c r="G77" s="12"/>
      <c r="H77" s="12"/>
      <c r="I77" s="12"/>
      <c r="J77" s="12"/>
      <c r="K77" s="12"/>
      <c r="L77" s="12"/>
      <c r="M77" s="12"/>
      <c r="N77" s="12"/>
      <c r="O77" s="12"/>
      <c r="P77" s="12"/>
      <c r="Q77" s="12"/>
      <c r="R77" s="12"/>
      <c r="S77" s="12"/>
      <c r="T77" s="12"/>
    </row>
    <row r="78" spans="3:20" outlineLevel="1"/>
    <row r="79" spans="3:20" outlineLevel="1">
      <c r="C79" s="37" t="s">
        <v>213</v>
      </c>
    </row>
    <row r="80" spans="3:20" ht="5.9" hidden="1" customHeight="1" outlineLevel="2"/>
    <row r="81" spans="3:20" hidden="1" outlineLevel="2">
      <c r="C81" s="37" t="s">
        <v>128</v>
      </c>
    </row>
    <row r="82" spans="3:20" ht="5.9" hidden="1" customHeight="1" outlineLevel="2"/>
    <row r="83" spans="3:20" hidden="1" outlineLevel="2">
      <c r="D83" s="102" t="str">
        <f>Work_Codes!D239</f>
        <v>Replaced I/C with TEMP</v>
      </c>
      <c r="J83" s="81">
        <f>Work_Codes!$I239*J64*J$29</f>
        <v>0</v>
      </c>
      <c r="K83" s="81">
        <f>Work_Codes!$I239*K64*K$29</f>
        <v>0</v>
      </c>
      <c r="L83" s="81">
        <f>Work_Codes!$I239*L64*L$29</f>
        <v>0</v>
      </c>
      <c r="M83" s="81">
        <f>Work_Codes!$I239*M64*M$29</f>
        <v>0</v>
      </c>
      <c r="N83" s="81">
        <f>Work_Codes!$I239*N64*N$29</f>
        <v>0</v>
      </c>
      <c r="O83" s="81">
        <f>Work_Codes!$I239*O64*O$29</f>
        <v>10051.959235721353</v>
      </c>
      <c r="P83" s="81">
        <f>Work_Codes!$I239*P64*P$29</f>
        <v>20810.236472208799</v>
      </c>
      <c r="Q83" s="81">
        <f>Work_Codes!$I239*Q64*Q$29</f>
        <v>17420.833793747992</v>
      </c>
      <c r="R83" s="81">
        <f>Work_Codes!$I239*R64*R$29</f>
        <v>11615.82054978005</v>
      </c>
      <c r="S83" s="81">
        <f>Work_Codes!$I239*S64*S$29</f>
        <v>10542.786958631861</v>
      </c>
      <c r="T83" s="81">
        <f>Work_Codes!$I239*T64*T$29</f>
        <v>11757.767357651805</v>
      </c>
    </row>
    <row r="84" spans="3:20" hidden="1" outlineLevel="2">
      <c r="D84" s="102" t="str">
        <f>Work_Codes!D240</f>
        <v>Obsolete Dival (say 100 sites)</v>
      </c>
      <c r="J84" s="81">
        <f>Work_Codes!$I240*J65*J$29</f>
        <v>0</v>
      </c>
      <c r="K84" s="81">
        <f>Work_Codes!$I240*K65*K$29</f>
        <v>0</v>
      </c>
      <c r="L84" s="81">
        <f>Work_Codes!$I240*L65*L$29</f>
        <v>0</v>
      </c>
      <c r="M84" s="81">
        <f>Work_Codes!$I240*M65*M$29</f>
        <v>0</v>
      </c>
      <c r="N84" s="81">
        <f>Work_Codes!$I240*N65*N$29</f>
        <v>0</v>
      </c>
      <c r="O84" s="81">
        <f>Work_Codes!$I240*O65*O$29</f>
        <v>241.24702165731247</v>
      </c>
      <c r="P84" s="81">
        <f>Work_Codes!$I240*P65*P$29</f>
        <v>606.13810448434572</v>
      </c>
      <c r="Q84" s="81">
        <f>Work_Codes!$I240*Q65*Q$29</f>
        <v>1221.7287448131372</v>
      </c>
      <c r="R84" s="81">
        <f>Work_Codes!$I240*R65*R$29</f>
        <v>1235.1780823868905</v>
      </c>
      <c r="S84" s="81">
        <f>Work_Codes!$I240*S65*S$29</f>
        <v>1248.7754762963411</v>
      </c>
      <c r="T84" s="81">
        <f>Work_Codes!$I240*T65*T$29</f>
        <v>1262.5225564119876</v>
      </c>
    </row>
    <row r="85" spans="3:20" hidden="1" outlineLevel="2">
      <c r="D85" s="102" t="str">
        <f>Work_Codes!D241</f>
        <v>Replace Reliance 1813</v>
      </c>
      <c r="J85" s="81">
        <f>Work_Codes!$I241*J66*J$29</f>
        <v>0</v>
      </c>
      <c r="K85" s="81">
        <f>Work_Codes!$I241*K66*K$29</f>
        <v>0</v>
      </c>
      <c r="L85" s="81">
        <f>Work_Codes!$I241*L66*L$29</f>
        <v>0</v>
      </c>
      <c r="M85" s="81">
        <f>Work_Codes!$I241*M66*M$29</f>
        <v>0</v>
      </c>
      <c r="N85" s="81">
        <f>Work_Codes!$I241*N66*N$29</f>
        <v>0</v>
      </c>
      <c r="O85" s="81">
        <f>Work_Codes!$I241*O66*O$29</f>
        <v>241.24702165731247</v>
      </c>
      <c r="P85" s="81">
        <f>Work_Codes!$I241*P66*P$29</f>
        <v>606.13810448434572</v>
      </c>
      <c r="Q85" s="81">
        <f>Work_Codes!$I241*Q66*Q$29</f>
        <v>610.86437240656858</v>
      </c>
      <c r="R85" s="81">
        <f>Work_Codes!$I241*R66*R$29</f>
        <v>617.58904119344527</v>
      </c>
      <c r="S85" s="81">
        <f>Work_Codes!$I241*S66*S$29</f>
        <v>624.38773814817057</v>
      </c>
      <c r="T85" s="81">
        <f>Work_Codes!$I241*T66*T$29</f>
        <v>378.75676692359622</v>
      </c>
    </row>
    <row r="86" spans="3:20" hidden="1" outlineLevel="2" collapsed="1">
      <c r="D86" s="174" t="str">
        <f>Work_Codes!D242</f>
        <v>Misc Actuator Replacement</v>
      </c>
      <c r="J86" s="81">
        <f>Work_Codes!$I242*J67*J$29</f>
        <v>0</v>
      </c>
      <c r="K86" s="81">
        <f>Work_Codes!$I242*K67*K$29</f>
        <v>0</v>
      </c>
      <c r="L86" s="81">
        <f>Work_Codes!$I242*L67*L$29</f>
        <v>0</v>
      </c>
      <c r="M86" s="81">
        <f>Work_Codes!$I242*M67*M$29</f>
        <v>0</v>
      </c>
      <c r="N86" s="81">
        <f>Work_Codes!$I242*N67*N$29</f>
        <v>0</v>
      </c>
      <c r="O86" s="81">
        <f>Work_Codes!$I242*O67*O$29</f>
        <v>603.11755414328115</v>
      </c>
      <c r="P86" s="81">
        <f>Work_Codes!$I242*P67*P$29</f>
        <v>1212.2762089686914</v>
      </c>
      <c r="Q86" s="81">
        <f>Work_Codes!$I242*Q67*Q$29</f>
        <v>1221.7287448131372</v>
      </c>
      <c r="R86" s="81">
        <f>Work_Codes!$I242*R67*R$29</f>
        <v>1235.1780823868905</v>
      </c>
      <c r="S86" s="81">
        <f>Work_Codes!$I242*S67*S$29</f>
        <v>1248.7754762963411</v>
      </c>
      <c r="T86" s="81">
        <f>Work_Codes!$I242*T67*T$29</f>
        <v>1262.5225564119876</v>
      </c>
    </row>
    <row r="87" spans="3:20" hidden="1" outlineLevel="2" collapsed="1">
      <c r="D87" s="174" t="str">
        <f>Work_Codes!D243</f>
        <v>Capex Items Category 5</v>
      </c>
      <c r="J87" s="81">
        <f>Work_Codes!$I243*J68*J$29</f>
        <v>0</v>
      </c>
      <c r="K87" s="81">
        <f>Work_Codes!$I243*K68*K$29</f>
        <v>0</v>
      </c>
      <c r="L87" s="81">
        <f>Work_Codes!$I243*L68*L$29</f>
        <v>0</v>
      </c>
      <c r="M87" s="81">
        <f>Work_Codes!$I243*M68*M$29</f>
        <v>0</v>
      </c>
      <c r="N87" s="81">
        <f>Work_Codes!$I243*N68*N$29</f>
        <v>0</v>
      </c>
      <c r="O87" s="81">
        <f>Work_Codes!$I243*O68*O$29</f>
        <v>0</v>
      </c>
      <c r="P87" s="81">
        <f>Work_Codes!$I243*P68*P$29</f>
        <v>0</v>
      </c>
      <c r="Q87" s="81">
        <f>Work_Codes!$I243*Q68*Q$29</f>
        <v>0</v>
      </c>
      <c r="R87" s="81">
        <f>Work_Codes!$I243*R68*R$29</f>
        <v>0</v>
      </c>
      <c r="S87" s="81">
        <f>Work_Codes!$I243*S68*S$29</f>
        <v>0</v>
      </c>
      <c r="T87" s="81">
        <f>Work_Codes!$I243*T68*T$29</f>
        <v>0</v>
      </c>
    </row>
    <row r="88" spans="3:20" ht="5.9" hidden="1" customHeight="1" outlineLevel="2"/>
    <row r="89" spans="3:20" hidden="1" outlineLevel="2">
      <c r="D89" s="249" t="str">
        <f>"Total "&amp;C81</f>
        <v>Total Internal Labour</v>
      </c>
      <c r="E89" s="249"/>
      <c r="F89" s="249"/>
      <c r="G89" s="249"/>
      <c r="H89" s="249"/>
      <c r="I89" s="249"/>
      <c r="J89" s="82">
        <f t="shared" ref="J89:T89" si="10">SUM(J83:J88)</f>
        <v>0</v>
      </c>
      <c r="K89" s="82">
        <f t="shared" si="10"/>
        <v>0</v>
      </c>
      <c r="L89" s="82">
        <f t="shared" si="10"/>
        <v>0</v>
      </c>
      <c r="M89" s="82">
        <f t="shared" si="10"/>
        <v>0</v>
      </c>
      <c r="N89" s="82">
        <f t="shared" si="10"/>
        <v>0</v>
      </c>
      <c r="O89" s="82">
        <f t="shared" si="10"/>
        <v>11137.570833179259</v>
      </c>
      <c r="P89" s="82">
        <f t="shared" si="10"/>
        <v>23234.788890146185</v>
      </c>
      <c r="Q89" s="82">
        <f t="shared" si="10"/>
        <v>20475.155655780833</v>
      </c>
      <c r="R89" s="82">
        <f t="shared" si="10"/>
        <v>14703.765755747276</v>
      </c>
      <c r="S89" s="82">
        <f t="shared" si="10"/>
        <v>13664.725649372715</v>
      </c>
      <c r="T89" s="82">
        <f t="shared" si="10"/>
        <v>14661.569237399377</v>
      </c>
    </row>
    <row r="90" spans="3:20" hidden="1" outlineLevel="2"/>
    <row r="91" spans="3:20" hidden="1" outlineLevel="2">
      <c r="C91" s="37" t="s">
        <v>129</v>
      </c>
    </row>
    <row r="92" spans="3:20" ht="5.9" hidden="1" customHeight="1" outlineLevel="2"/>
    <row r="93" spans="3:20" hidden="1" outlineLevel="2">
      <c r="D93" s="102" t="str">
        <f>Work_Codes!D239</f>
        <v>Replaced I/C with TEMP</v>
      </c>
      <c r="J93" s="81">
        <f>Work_Codes!$J239*J64*J$30</f>
        <v>0</v>
      </c>
      <c r="K93" s="81">
        <f>Work_Codes!$J239*K64*K$30</f>
        <v>0</v>
      </c>
      <c r="L93" s="81">
        <f>Work_Codes!$J239*L64*L$30</f>
        <v>0</v>
      </c>
      <c r="M93" s="81">
        <f>Work_Codes!$J239*M64*M$30</f>
        <v>0</v>
      </c>
      <c r="N93" s="81">
        <f>Work_Codes!$J239*N64*N$30</f>
        <v>0</v>
      </c>
      <c r="O93" s="81">
        <f>Work_Codes!$J239*O64*O$30</f>
        <v>190000</v>
      </c>
      <c r="P93" s="81">
        <f>Work_Codes!$J239*P64*P$30</f>
        <v>391390.5</v>
      </c>
      <c r="Q93" s="81">
        <f>Work_Codes!$J239*Q64*Q$30</f>
        <v>325109</v>
      </c>
      <c r="R93" s="81">
        <f>Work_Codes!$J239*R64*R$30</f>
        <v>214415</v>
      </c>
      <c r="S93" s="81">
        <f>Work_Codes!$J239*S64*S$30</f>
        <v>192489</v>
      </c>
      <c r="T93" s="81">
        <f>Work_Codes!$J239*T64*T$30</f>
        <v>212334.5</v>
      </c>
    </row>
    <row r="94" spans="3:20" hidden="1" outlineLevel="2">
      <c r="D94" s="102" t="str">
        <f>Work_Codes!D240</f>
        <v>Obsolete Dival (say 100 sites)</v>
      </c>
      <c r="J94" s="81">
        <f>Work_Codes!$J240*J65*J$30</f>
        <v>0</v>
      </c>
      <c r="K94" s="81">
        <f>Work_Codes!$J240*K65*K$30</f>
        <v>0</v>
      </c>
      <c r="L94" s="81">
        <f>Work_Codes!$J240*L65*L$30</f>
        <v>0</v>
      </c>
      <c r="M94" s="81">
        <f>Work_Codes!$J240*M65*M$30</f>
        <v>0</v>
      </c>
      <c r="N94" s="81">
        <f>Work_Codes!$J240*N65*N$30</f>
        <v>0</v>
      </c>
      <c r="O94" s="81">
        <f>Work_Codes!$J240*O65*O$30</f>
        <v>4560</v>
      </c>
      <c r="P94" s="81">
        <f>Work_Codes!$J240*P65*P$30</f>
        <v>11400</v>
      </c>
      <c r="Q94" s="81">
        <f>Work_Codes!$J240*Q65*Q$30</f>
        <v>22800</v>
      </c>
      <c r="R94" s="81">
        <f>Work_Codes!$J240*R65*R$30</f>
        <v>22800</v>
      </c>
      <c r="S94" s="81">
        <f>Work_Codes!$J240*S65*S$30</f>
        <v>22800</v>
      </c>
      <c r="T94" s="81">
        <f>Work_Codes!$J240*T65*T$30</f>
        <v>22800</v>
      </c>
    </row>
    <row r="95" spans="3:20" hidden="1" outlineLevel="2">
      <c r="D95" s="102" t="str">
        <f>Work_Codes!D241</f>
        <v>Replace Reliance 1813</v>
      </c>
      <c r="J95" s="81">
        <f>Work_Codes!$J241*J66*J$30</f>
        <v>0</v>
      </c>
      <c r="K95" s="81">
        <f>Work_Codes!$J241*K66*K$30</f>
        <v>0</v>
      </c>
      <c r="L95" s="81">
        <f>Work_Codes!$J241*L66*L$30</f>
        <v>0</v>
      </c>
      <c r="M95" s="81">
        <f>Work_Codes!$J241*M66*M$30</f>
        <v>0</v>
      </c>
      <c r="N95" s="81">
        <f>Work_Codes!$J241*N66*N$30</f>
        <v>0</v>
      </c>
      <c r="O95" s="81">
        <f>Work_Codes!$J241*O66*O$30</f>
        <v>4560</v>
      </c>
      <c r="P95" s="81">
        <f>Work_Codes!$J241*P66*P$30</f>
        <v>11400</v>
      </c>
      <c r="Q95" s="81">
        <f>Work_Codes!$J241*Q66*Q$30</f>
        <v>11400</v>
      </c>
      <c r="R95" s="81">
        <f>Work_Codes!$J241*R66*R$30</f>
        <v>11400</v>
      </c>
      <c r="S95" s="81">
        <f>Work_Codes!$J241*S66*S$30</f>
        <v>11400</v>
      </c>
      <c r="T95" s="81">
        <f>Work_Codes!$J241*T66*T$30</f>
        <v>6840</v>
      </c>
    </row>
    <row r="96" spans="3:20" hidden="1" outlineLevel="2">
      <c r="D96" s="174" t="str">
        <f>Work_Codes!D242</f>
        <v>Misc Actuator Replacement</v>
      </c>
      <c r="J96" s="81">
        <f>Work_Codes!$J242*J67*J$30</f>
        <v>0</v>
      </c>
      <c r="K96" s="81">
        <f>Work_Codes!$J242*K67*K$30</f>
        <v>0</v>
      </c>
      <c r="L96" s="81">
        <f>Work_Codes!$J242*L67*L$30</f>
        <v>0</v>
      </c>
      <c r="M96" s="81">
        <f>Work_Codes!$J242*M67*M$30</f>
        <v>0</v>
      </c>
      <c r="N96" s="81">
        <f>Work_Codes!$J242*N67*N$30</f>
        <v>0</v>
      </c>
      <c r="O96" s="81">
        <f>Work_Codes!$J242*O67*O$30</f>
        <v>11400</v>
      </c>
      <c r="P96" s="81">
        <f>Work_Codes!$J242*P67*P$30</f>
        <v>22800</v>
      </c>
      <c r="Q96" s="81">
        <f>Work_Codes!$J242*Q67*Q$30</f>
        <v>22800</v>
      </c>
      <c r="R96" s="81">
        <f>Work_Codes!$J242*R67*R$30</f>
        <v>22800</v>
      </c>
      <c r="S96" s="81">
        <f>Work_Codes!$J242*S67*S$30</f>
        <v>22800</v>
      </c>
      <c r="T96" s="81">
        <f>Work_Codes!$J242*T67*T$30</f>
        <v>22800</v>
      </c>
    </row>
    <row r="97" spans="3:20" hidden="1" outlineLevel="2">
      <c r="D97" s="174" t="str">
        <f>Work_Codes!D243</f>
        <v>Capex Items Category 5</v>
      </c>
      <c r="J97" s="81">
        <f>Work_Codes!$J243*J68*J$30</f>
        <v>0</v>
      </c>
      <c r="K97" s="81">
        <f>Work_Codes!$J243*K68*K$30</f>
        <v>0</v>
      </c>
      <c r="L97" s="81">
        <f>Work_Codes!$J243*L68*L$30</f>
        <v>0</v>
      </c>
      <c r="M97" s="81">
        <f>Work_Codes!$J243*M68*M$30</f>
        <v>0</v>
      </c>
      <c r="N97" s="81">
        <f>Work_Codes!$J243*N68*N$30</f>
        <v>0</v>
      </c>
      <c r="O97" s="81">
        <f>Work_Codes!$J243*O68*O$30</f>
        <v>0</v>
      </c>
      <c r="P97" s="81">
        <f>Work_Codes!$J243*P68*P$30</f>
        <v>0</v>
      </c>
      <c r="Q97" s="81">
        <f>Work_Codes!$J243*Q68*Q$30</f>
        <v>0</v>
      </c>
      <c r="R97" s="81">
        <f>Work_Codes!$J243*R68*R$30</f>
        <v>0</v>
      </c>
      <c r="S97" s="81">
        <f>Work_Codes!$J243*S68*S$30</f>
        <v>0</v>
      </c>
      <c r="T97" s="81">
        <f>Work_Codes!$J243*T68*T$30</f>
        <v>0</v>
      </c>
    </row>
    <row r="98" spans="3:20" ht="5.9" hidden="1" customHeight="1" outlineLevel="2"/>
    <row r="99" spans="3:20" hidden="1" outlineLevel="2">
      <c r="D99" s="249" t="str">
        <f>"Total "&amp;C91</f>
        <v>Total External Labour</v>
      </c>
      <c r="E99" s="249"/>
      <c r="F99" s="249"/>
      <c r="G99" s="249"/>
      <c r="H99" s="249"/>
      <c r="I99" s="249"/>
      <c r="J99" s="82">
        <f t="shared" ref="J99:T99" si="11">SUM(J93:J98)</f>
        <v>0</v>
      </c>
      <c r="K99" s="82">
        <f t="shared" si="11"/>
        <v>0</v>
      </c>
      <c r="L99" s="82">
        <f t="shared" si="11"/>
        <v>0</v>
      </c>
      <c r="M99" s="82">
        <f t="shared" si="11"/>
        <v>0</v>
      </c>
      <c r="N99" s="82">
        <f t="shared" si="11"/>
        <v>0</v>
      </c>
      <c r="O99" s="82">
        <f t="shared" si="11"/>
        <v>210520</v>
      </c>
      <c r="P99" s="82">
        <f t="shared" si="11"/>
        <v>436990.5</v>
      </c>
      <c r="Q99" s="82">
        <f t="shared" si="11"/>
        <v>382109</v>
      </c>
      <c r="R99" s="82">
        <f t="shared" si="11"/>
        <v>271415</v>
      </c>
      <c r="S99" s="82">
        <f t="shared" si="11"/>
        <v>249489</v>
      </c>
      <c r="T99" s="82">
        <f t="shared" si="11"/>
        <v>264774.5</v>
      </c>
    </row>
    <row r="100" spans="3:20" hidden="1" outlineLevel="2"/>
    <row r="101" spans="3:20" hidden="1" outlineLevel="2">
      <c r="C101" s="37" t="s">
        <v>130</v>
      </c>
    </row>
    <row r="102" spans="3:20" ht="5.9" hidden="1" customHeight="1" outlineLevel="2"/>
    <row r="103" spans="3:20" hidden="1" outlineLevel="2">
      <c r="D103" s="102" t="str">
        <f>Work_Codes!D239</f>
        <v>Replaced I/C with TEMP</v>
      </c>
      <c r="J103" s="81">
        <f>Work_Codes!$K239*J64*J$31</f>
        <v>0</v>
      </c>
      <c r="K103" s="81">
        <f>Work_Codes!$K239*K64*K$31</f>
        <v>0</v>
      </c>
      <c r="L103" s="81">
        <f>Work_Codes!$K239*L64*L$31</f>
        <v>0</v>
      </c>
      <c r="M103" s="81">
        <f>Work_Codes!$K239*M64*M$31</f>
        <v>0</v>
      </c>
      <c r="N103" s="81">
        <f>Work_Codes!$K239*N64*N$31</f>
        <v>0</v>
      </c>
      <c r="O103" s="81">
        <f>Work_Codes!$K239*O64*O$31</f>
        <v>300000</v>
      </c>
      <c r="P103" s="81">
        <f>Work_Codes!$K239*P64*P$31</f>
        <v>617985</v>
      </c>
      <c r="Q103" s="81">
        <f>Work_Codes!$K239*Q64*Q$31</f>
        <v>513330</v>
      </c>
      <c r="R103" s="81">
        <f>Work_Codes!$K239*R64*R$31</f>
        <v>338550</v>
      </c>
      <c r="S103" s="81">
        <f>Work_Codes!$K239*S64*S$31</f>
        <v>303930</v>
      </c>
      <c r="T103" s="81">
        <f>Work_Codes!$K239*T64*T$31</f>
        <v>335265</v>
      </c>
    </row>
    <row r="104" spans="3:20" hidden="1" outlineLevel="2">
      <c r="D104" s="102" t="str">
        <f>Work_Codes!D240</f>
        <v>Obsolete Dival (say 100 sites)</v>
      </c>
      <c r="J104" s="81">
        <f>Work_Codes!$K240*J65*J$31</f>
        <v>0</v>
      </c>
      <c r="K104" s="81">
        <f>Work_Codes!$K240*K65*K$31</f>
        <v>0</v>
      </c>
      <c r="L104" s="81">
        <f>Work_Codes!$K240*L65*L$31</f>
        <v>0</v>
      </c>
      <c r="M104" s="81">
        <f>Work_Codes!$K240*M65*M$31</f>
        <v>0</v>
      </c>
      <c r="N104" s="81">
        <f>Work_Codes!$K240*N65*N$31</f>
        <v>0</v>
      </c>
      <c r="O104" s="81">
        <f>Work_Codes!$K240*O65*O$31</f>
        <v>7200</v>
      </c>
      <c r="P104" s="81">
        <f>Work_Codes!$K240*P65*P$31</f>
        <v>18000</v>
      </c>
      <c r="Q104" s="81">
        <f>Work_Codes!$K240*Q65*Q$31</f>
        <v>36000</v>
      </c>
      <c r="R104" s="81">
        <f>Work_Codes!$K240*R65*R$31</f>
        <v>36000</v>
      </c>
      <c r="S104" s="81">
        <f>Work_Codes!$K240*S65*S$31</f>
        <v>36000</v>
      </c>
      <c r="T104" s="81">
        <f>Work_Codes!$K240*T65*T$31</f>
        <v>36000</v>
      </c>
    </row>
    <row r="105" spans="3:20" hidden="1" outlineLevel="2">
      <c r="D105" s="102" t="str">
        <f>Work_Codes!D241</f>
        <v>Replace Reliance 1813</v>
      </c>
      <c r="J105" s="81">
        <f>Work_Codes!$K241*J66*J$31</f>
        <v>0</v>
      </c>
      <c r="K105" s="81">
        <f>Work_Codes!$K241*K66*K$31</f>
        <v>0</v>
      </c>
      <c r="L105" s="81">
        <f>Work_Codes!$K241*L66*L$31</f>
        <v>0</v>
      </c>
      <c r="M105" s="81">
        <f>Work_Codes!$K241*M66*M$31</f>
        <v>0</v>
      </c>
      <c r="N105" s="81">
        <f>Work_Codes!$K241*N66*N$31</f>
        <v>0</v>
      </c>
      <c r="O105" s="81">
        <f>Work_Codes!$K241*O66*O$31</f>
        <v>7200</v>
      </c>
      <c r="P105" s="81">
        <f>Work_Codes!$K241*P66*P$31</f>
        <v>18000</v>
      </c>
      <c r="Q105" s="81">
        <f>Work_Codes!$K241*Q66*Q$31</f>
        <v>18000</v>
      </c>
      <c r="R105" s="81">
        <f>Work_Codes!$K241*R66*R$31</f>
        <v>18000</v>
      </c>
      <c r="S105" s="81">
        <f>Work_Codes!$K241*S66*S$31</f>
        <v>18000</v>
      </c>
      <c r="T105" s="81">
        <f>Work_Codes!$K241*T66*T$31</f>
        <v>10800</v>
      </c>
    </row>
    <row r="106" spans="3:20" hidden="1" outlineLevel="2">
      <c r="D106" s="174" t="str">
        <f>Work_Codes!D242</f>
        <v>Misc Actuator Replacement</v>
      </c>
      <c r="J106" s="81">
        <f>Work_Codes!$K242*J67*J$31</f>
        <v>0</v>
      </c>
      <c r="K106" s="81">
        <f>Work_Codes!$K242*K67*K$31</f>
        <v>0</v>
      </c>
      <c r="L106" s="81">
        <f>Work_Codes!$K242*L67*L$31</f>
        <v>0</v>
      </c>
      <c r="M106" s="81">
        <f>Work_Codes!$K242*M67*M$31</f>
        <v>0</v>
      </c>
      <c r="N106" s="81">
        <f>Work_Codes!$K242*N67*N$31</f>
        <v>0</v>
      </c>
      <c r="O106" s="81">
        <f>Work_Codes!$K242*O67*O$31</f>
        <v>18000</v>
      </c>
      <c r="P106" s="81">
        <f>Work_Codes!$K242*P67*P$31</f>
        <v>36000</v>
      </c>
      <c r="Q106" s="81">
        <f>Work_Codes!$K242*Q67*Q$31</f>
        <v>36000</v>
      </c>
      <c r="R106" s="81">
        <f>Work_Codes!$K242*R67*R$31</f>
        <v>36000</v>
      </c>
      <c r="S106" s="81">
        <f>Work_Codes!$K242*S67*S$31</f>
        <v>36000</v>
      </c>
      <c r="T106" s="81">
        <f>Work_Codes!$K242*T67*T$31</f>
        <v>36000</v>
      </c>
    </row>
    <row r="107" spans="3:20" hidden="1" outlineLevel="2">
      <c r="D107" s="174" t="str">
        <f>Work_Codes!D243</f>
        <v>Capex Items Category 5</v>
      </c>
      <c r="J107" s="81">
        <f>Work_Codes!$K243*J68*J$31</f>
        <v>0</v>
      </c>
      <c r="K107" s="81">
        <f>Work_Codes!$K243*K68*K$31</f>
        <v>0</v>
      </c>
      <c r="L107" s="81">
        <f>Work_Codes!$K243*L68*L$31</f>
        <v>0</v>
      </c>
      <c r="M107" s="81">
        <f>Work_Codes!$K243*M68*M$31</f>
        <v>0</v>
      </c>
      <c r="N107" s="81">
        <f>Work_Codes!$K243*N68*N$31</f>
        <v>0</v>
      </c>
      <c r="O107" s="81">
        <f>Work_Codes!$K243*O68*O$31</f>
        <v>0</v>
      </c>
      <c r="P107" s="81">
        <f>Work_Codes!$K243*P68*P$31</f>
        <v>0</v>
      </c>
      <c r="Q107" s="81">
        <f>Work_Codes!$K243*Q68*Q$31</f>
        <v>0</v>
      </c>
      <c r="R107" s="81">
        <f>Work_Codes!$K243*R68*R$31</f>
        <v>0</v>
      </c>
      <c r="S107" s="81">
        <f>Work_Codes!$K243*S68*S$31</f>
        <v>0</v>
      </c>
      <c r="T107" s="81">
        <f>Work_Codes!$K243*T68*T$31</f>
        <v>0</v>
      </c>
    </row>
    <row r="108" spans="3:20" ht="5.9" hidden="1" customHeight="1" outlineLevel="2"/>
    <row r="109" spans="3:20" hidden="1" outlineLevel="2">
      <c r="D109" s="249" t="str">
        <f>"Total "&amp;C101</f>
        <v>Total Materials</v>
      </c>
      <c r="E109" s="249"/>
      <c r="F109" s="249"/>
      <c r="G109" s="249"/>
      <c r="H109" s="249"/>
      <c r="I109" s="249"/>
      <c r="J109" s="82">
        <f t="shared" ref="J109:T109" si="12">SUM(J103:J108)</f>
        <v>0</v>
      </c>
      <c r="K109" s="82">
        <f t="shared" si="12"/>
        <v>0</v>
      </c>
      <c r="L109" s="82">
        <f t="shared" si="12"/>
        <v>0</v>
      </c>
      <c r="M109" s="82">
        <f t="shared" si="12"/>
        <v>0</v>
      </c>
      <c r="N109" s="82">
        <f t="shared" si="12"/>
        <v>0</v>
      </c>
      <c r="O109" s="82">
        <f t="shared" si="12"/>
        <v>332400</v>
      </c>
      <c r="P109" s="82">
        <f t="shared" si="12"/>
        <v>689985</v>
      </c>
      <c r="Q109" s="82">
        <f t="shared" si="12"/>
        <v>603330</v>
      </c>
      <c r="R109" s="82">
        <f t="shared" si="12"/>
        <v>428550</v>
      </c>
      <c r="S109" s="82">
        <f t="shared" si="12"/>
        <v>393930</v>
      </c>
      <c r="T109" s="82">
        <f t="shared" si="12"/>
        <v>418065</v>
      </c>
    </row>
    <row r="110" spans="3:20" outlineLevel="1" collapsed="1"/>
    <row r="111" spans="3:20" outlineLevel="1">
      <c r="C111" s="37" t="s">
        <v>217</v>
      </c>
    </row>
    <row r="112" spans="3:20" ht="5.9" customHeight="1" outlineLevel="1"/>
    <row r="113" spans="2:20" outlineLevel="1">
      <c r="D113" s="102" t="str">
        <f>Work_Codes!D239</f>
        <v>Replaced I/C with TEMP</v>
      </c>
      <c r="J113" s="81">
        <f t="shared" ref="J113:T113" si="13">J83+J93+J103</f>
        <v>0</v>
      </c>
      <c r="K113" s="81">
        <f t="shared" si="13"/>
        <v>0</v>
      </c>
      <c r="L113" s="81">
        <f t="shared" si="13"/>
        <v>0</v>
      </c>
      <c r="M113" s="81">
        <f t="shared" si="13"/>
        <v>0</v>
      </c>
      <c r="N113" s="81">
        <f t="shared" si="13"/>
        <v>0</v>
      </c>
      <c r="O113" s="81">
        <f t="shared" si="13"/>
        <v>500051.95923572138</v>
      </c>
      <c r="P113" s="81">
        <f t="shared" si="13"/>
        <v>1030185.7364722088</v>
      </c>
      <c r="Q113" s="81">
        <f t="shared" si="13"/>
        <v>855859.83379374794</v>
      </c>
      <c r="R113" s="81">
        <f t="shared" si="13"/>
        <v>564580.82054978004</v>
      </c>
      <c r="S113" s="81">
        <f t="shared" si="13"/>
        <v>506961.78695863183</v>
      </c>
      <c r="T113" s="81">
        <f t="shared" si="13"/>
        <v>559357.26735765184</v>
      </c>
    </row>
    <row r="114" spans="2:20" outlineLevel="1">
      <c r="D114" s="102" t="str">
        <f>Work_Codes!D240</f>
        <v>Obsolete Dival (say 100 sites)</v>
      </c>
      <c r="J114" s="81">
        <f t="shared" ref="J114:T114" si="14">J84+J94+J104</f>
        <v>0</v>
      </c>
      <c r="K114" s="81">
        <f t="shared" si="14"/>
        <v>0</v>
      </c>
      <c r="L114" s="81">
        <f t="shared" si="14"/>
        <v>0</v>
      </c>
      <c r="M114" s="81">
        <f t="shared" si="14"/>
        <v>0</v>
      </c>
      <c r="N114" s="81">
        <f t="shared" si="14"/>
        <v>0</v>
      </c>
      <c r="O114" s="81">
        <f t="shared" si="14"/>
        <v>12001.247021657313</v>
      </c>
      <c r="P114" s="81">
        <f t="shared" si="14"/>
        <v>30006.138104484344</v>
      </c>
      <c r="Q114" s="81">
        <f t="shared" si="14"/>
        <v>60021.728744813139</v>
      </c>
      <c r="R114" s="81">
        <f t="shared" si="14"/>
        <v>60035.17808238689</v>
      </c>
      <c r="S114" s="81">
        <f t="shared" si="14"/>
        <v>60048.775476296345</v>
      </c>
      <c r="T114" s="81">
        <f t="shared" si="14"/>
        <v>60062.52255641199</v>
      </c>
    </row>
    <row r="115" spans="2:20" outlineLevel="1">
      <c r="D115" s="102" t="str">
        <f>Work_Codes!D241</f>
        <v>Replace Reliance 1813</v>
      </c>
      <c r="J115" s="81">
        <f t="shared" ref="J115:T115" si="15">J85+J95+J105</f>
        <v>0</v>
      </c>
      <c r="K115" s="81">
        <f t="shared" si="15"/>
        <v>0</v>
      </c>
      <c r="L115" s="81">
        <f t="shared" si="15"/>
        <v>0</v>
      </c>
      <c r="M115" s="81">
        <f t="shared" si="15"/>
        <v>0</v>
      </c>
      <c r="N115" s="81">
        <f t="shared" si="15"/>
        <v>0</v>
      </c>
      <c r="O115" s="81">
        <f t="shared" si="15"/>
        <v>12001.247021657313</v>
      </c>
      <c r="P115" s="81">
        <f t="shared" si="15"/>
        <v>30006.138104484344</v>
      </c>
      <c r="Q115" s="81">
        <f t="shared" si="15"/>
        <v>30010.86437240657</v>
      </c>
      <c r="R115" s="81">
        <f t="shared" si="15"/>
        <v>30017.589041193445</v>
      </c>
      <c r="S115" s="81">
        <f t="shared" si="15"/>
        <v>30024.387738148173</v>
      </c>
      <c r="T115" s="81">
        <f t="shared" si="15"/>
        <v>18018.756766923594</v>
      </c>
    </row>
    <row r="116" spans="2:20" outlineLevel="1">
      <c r="D116" s="174" t="str">
        <f>Work_Codes!D242</f>
        <v>Misc Actuator Replacement</v>
      </c>
      <c r="J116" s="81">
        <f t="shared" ref="J116:T116" si="16">J86+J96+J106</f>
        <v>0</v>
      </c>
      <c r="K116" s="81">
        <f t="shared" si="16"/>
        <v>0</v>
      </c>
      <c r="L116" s="81">
        <f t="shared" si="16"/>
        <v>0</v>
      </c>
      <c r="M116" s="81">
        <f t="shared" si="16"/>
        <v>0</v>
      </c>
      <c r="N116" s="81">
        <f t="shared" si="16"/>
        <v>0</v>
      </c>
      <c r="O116" s="81">
        <f t="shared" si="16"/>
        <v>30003.117554143282</v>
      </c>
      <c r="P116" s="81">
        <f t="shared" si="16"/>
        <v>60012.276208968688</v>
      </c>
      <c r="Q116" s="81">
        <f t="shared" si="16"/>
        <v>60021.728744813139</v>
      </c>
      <c r="R116" s="81">
        <f t="shared" si="16"/>
        <v>60035.17808238689</v>
      </c>
      <c r="S116" s="81">
        <f t="shared" si="16"/>
        <v>60048.775476296345</v>
      </c>
      <c r="T116" s="81">
        <f t="shared" si="16"/>
        <v>60062.52255641199</v>
      </c>
    </row>
    <row r="117" spans="2:20" outlineLevel="1">
      <c r="D117" s="174" t="str">
        <f>Work_Codes!D243</f>
        <v>Capex Items Category 5</v>
      </c>
      <c r="J117" s="81">
        <f t="shared" ref="J117:T117" si="17">J87+J97+J107</f>
        <v>0</v>
      </c>
      <c r="K117" s="81">
        <f t="shared" si="17"/>
        <v>0</v>
      </c>
      <c r="L117" s="81">
        <f t="shared" si="17"/>
        <v>0</v>
      </c>
      <c r="M117" s="81">
        <f t="shared" si="17"/>
        <v>0</v>
      </c>
      <c r="N117" s="81">
        <f t="shared" si="17"/>
        <v>0</v>
      </c>
      <c r="O117" s="81">
        <f t="shared" si="17"/>
        <v>0</v>
      </c>
      <c r="P117" s="81">
        <f t="shared" si="17"/>
        <v>0</v>
      </c>
      <c r="Q117" s="81">
        <f t="shared" si="17"/>
        <v>0</v>
      </c>
      <c r="R117" s="81">
        <f t="shared" si="17"/>
        <v>0</v>
      </c>
      <c r="S117" s="81">
        <f t="shared" si="17"/>
        <v>0</v>
      </c>
      <c r="T117" s="81">
        <f t="shared" si="17"/>
        <v>0</v>
      </c>
    </row>
    <row r="118" spans="2:20" ht="5.9" customHeight="1" outlineLevel="1"/>
    <row r="119" spans="2:20" outlineLevel="1">
      <c r="D119" s="249" t="str">
        <f>C111</f>
        <v>Total Direct Capex including Escalation (Non CPI)</v>
      </c>
      <c r="E119" s="249"/>
      <c r="F119" s="249"/>
      <c r="G119" s="249"/>
      <c r="H119" s="249"/>
      <c r="I119" s="249"/>
      <c r="J119" s="82">
        <f t="shared" ref="J119:T119" si="18">SUM(J113:J118)</f>
        <v>0</v>
      </c>
      <c r="K119" s="82">
        <f t="shared" si="18"/>
        <v>0</v>
      </c>
      <c r="L119" s="82">
        <f t="shared" si="18"/>
        <v>0</v>
      </c>
      <c r="M119" s="82">
        <f t="shared" si="18"/>
        <v>0</v>
      </c>
      <c r="N119" s="82">
        <f t="shared" si="18"/>
        <v>0</v>
      </c>
      <c r="O119" s="82">
        <f t="shared" si="18"/>
        <v>554057.57083317928</v>
      </c>
      <c r="P119" s="82">
        <f t="shared" si="18"/>
        <v>1150210.2888901462</v>
      </c>
      <c r="Q119" s="82">
        <f t="shared" si="18"/>
        <v>1005914.1556557808</v>
      </c>
      <c r="R119" s="82">
        <f t="shared" si="18"/>
        <v>714668.76575574721</v>
      </c>
      <c r="S119" s="82">
        <f t="shared" si="18"/>
        <v>657083.72564937267</v>
      </c>
      <c r="T119" s="82">
        <f t="shared" si="18"/>
        <v>697501.0692373995</v>
      </c>
    </row>
    <row r="120" spans="2:20" outlineLevel="1">
      <c r="B120" s="12"/>
      <c r="C120" s="12"/>
      <c r="D120" s="12"/>
      <c r="E120" s="12"/>
      <c r="F120" s="12"/>
      <c r="G120" s="12"/>
      <c r="H120" s="12"/>
      <c r="I120" s="12"/>
      <c r="J120" s="12"/>
      <c r="K120" s="12"/>
      <c r="L120" s="12"/>
      <c r="M120" s="12"/>
      <c r="N120" s="12"/>
      <c r="O120" s="12"/>
      <c r="P120" s="12"/>
      <c r="Q120" s="12"/>
      <c r="R120" s="12"/>
      <c r="S120" s="12"/>
      <c r="T120" s="12"/>
    </row>
    <row r="121" spans="2:20" outlineLevel="1"/>
    <row r="122" spans="2:20" outlineLevel="1">
      <c r="C122" s="37" t="s">
        <v>195</v>
      </c>
    </row>
    <row r="123" spans="2:20" ht="5.9" customHeight="1" outlineLevel="2"/>
    <row r="124" spans="2:20" outlineLevel="2">
      <c r="D124" s="37" t="s">
        <v>215</v>
      </c>
    </row>
    <row r="125" spans="2:20" ht="5.9" customHeight="1" outlineLevel="2"/>
    <row r="126" spans="2:20" ht="11.5" customHeight="1" outlineLevel="2">
      <c r="E126" s="247" t="str">
        <f>GC!C40</f>
        <v>Transmission pipelines</v>
      </c>
      <c r="F126" s="247"/>
      <c r="G126" s="247"/>
      <c r="H126" s="247"/>
      <c r="I126" s="247"/>
      <c r="J126" s="81">
        <f ca="1">SUMPRODUCT((Work_Codes!$N$236:$Y$236=$E126)*(Work_Codes!$N$239:$Y$243)*(J$113:J$117))</f>
        <v>0</v>
      </c>
      <c r="K126" s="81">
        <f ca="1">SUMPRODUCT((Work_Codes!$N$236:$Y$236=$E126)*(Work_Codes!$N$239:$Y$243)*(K$113:K$117))</f>
        <v>0</v>
      </c>
      <c r="L126" s="81">
        <f ca="1">SUMPRODUCT((Work_Codes!$N$236:$Y$236=$E126)*(Work_Codes!$N$239:$Y$243)*(L$113:L$117))</f>
        <v>0</v>
      </c>
      <c r="M126" s="81">
        <f ca="1">SUMPRODUCT((Work_Codes!$N$236:$Y$236=$E126)*(Work_Codes!$N$239:$Y$243)*(M$113:M$117))</f>
        <v>0</v>
      </c>
      <c r="N126" s="81">
        <f ca="1">SUMPRODUCT((Work_Codes!$N$236:$Y$236=$E126)*(Work_Codes!$N$239:$Y$243)*(N$113:N$117))</f>
        <v>0</v>
      </c>
      <c r="O126" s="81">
        <f ca="1">SUMPRODUCT((Work_Codes!$N$236:$Y$236=$E126)*(Work_Codes!$N$239:$Y$243)*(O$113:O$117))</f>
        <v>0</v>
      </c>
      <c r="P126" s="81">
        <f ca="1">SUMPRODUCT((Work_Codes!$N$236:$Y$236=$E126)*(Work_Codes!$N$239:$Y$243)*(P$113:P$117))</f>
        <v>0</v>
      </c>
      <c r="Q126" s="81">
        <f ca="1">SUMPRODUCT((Work_Codes!$N$236:$Y$236=$E126)*(Work_Codes!$N$239:$Y$243)*(Q$113:Q$117))</f>
        <v>0</v>
      </c>
      <c r="R126" s="81">
        <f ca="1">SUMPRODUCT((Work_Codes!$N$236:$Y$236=$E126)*(Work_Codes!$N$239:$Y$243)*(R$113:R$117))</f>
        <v>0</v>
      </c>
      <c r="S126" s="81">
        <f ca="1">SUMPRODUCT((Work_Codes!$N$236:$Y$236=$E126)*(Work_Codes!$N$239:$Y$243)*(S$113:S$117))</f>
        <v>0</v>
      </c>
      <c r="T126" s="81">
        <f ca="1">SUMPRODUCT((Work_Codes!$N$236:$Y$236=$E126)*(Work_Codes!$N$239:$Y$243)*(T$113:T$117))</f>
        <v>0</v>
      </c>
    </row>
    <row r="127" spans="2:20" ht="11.5" customHeight="1" outlineLevel="2">
      <c r="E127" s="247" t="str">
        <f>GC!C41</f>
        <v>Distribution pipelines</v>
      </c>
      <c r="F127" s="247"/>
      <c r="G127" s="247"/>
      <c r="H127" s="247"/>
      <c r="I127" s="247"/>
      <c r="J127" s="81">
        <f ca="1">SUMPRODUCT((Work_Codes!$N$236:$Y$236=$E127)*(Work_Codes!$N$239:$Y$243)*(J$113:J$117))</f>
        <v>0</v>
      </c>
      <c r="K127" s="81">
        <f ca="1">SUMPRODUCT((Work_Codes!$N$236:$Y$236=$E127)*(Work_Codes!$N$239:$Y$243)*(K$113:K$117))</f>
        <v>0</v>
      </c>
      <c r="L127" s="81">
        <f ca="1">SUMPRODUCT((Work_Codes!$N$236:$Y$236=$E127)*(Work_Codes!$N$239:$Y$243)*(L$113:L$117))</f>
        <v>0</v>
      </c>
      <c r="M127" s="81">
        <f ca="1">SUMPRODUCT((Work_Codes!$N$236:$Y$236=$E127)*(Work_Codes!$N$239:$Y$243)*(M$113:M$117))</f>
        <v>0</v>
      </c>
      <c r="N127" s="81">
        <f ca="1">SUMPRODUCT((Work_Codes!$N$236:$Y$236=$E127)*(Work_Codes!$N$239:$Y$243)*(N$113:N$117))</f>
        <v>0</v>
      </c>
      <c r="O127" s="81">
        <f ca="1">SUMPRODUCT((Work_Codes!$N$236:$Y$236=$E127)*(Work_Codes!$N$239:$Y$243)*(O$113:O$117))</f>
        <v>0</v>
      </c>
      <c r="P127" s="81">
        <f ca="1">SUMPRODUCT((Work_Codes!$N$236:$Y$236=$E127)*(Work_Codes!$N$239:$Y$243)*(P$113:P$117))</f>
        <v>0</v>
      </c>
      <c r="Q127" s="81">
        <f ca="1">SUMPRODUCT((Work_Codes!$N$236:$Y$236=$E127)*(Work_Codes!$N$239:$Y$243)*(Q$113:Q$117))</f>
        <v>0</v>
      </c>
      <c r="R127" s="81">
        <f ca="1">SUMPRODUCT((Work_Codes!$N$236:$Y$236=$E127)*(Work_Codes!$N$239:$Y$243)*(R$113:R$117))</f>
        <v>0</v>
      </c>
      <c r="S127" s="81">
        <f ca="1">SUMPRODUCT((Work_Codes!$N$236:$Y$236=$E127)*(Work_Codes!$N$239:$Y$243)*(S$113:S$117))</f>
        <v>0</v>
      </c>
      <c r="T127" s="81">
        <f ca="1">SUMPRODUCT((Work_Codes!$N$236:$Y$236=$E127)*(Work_Codes!$N$239:$Y$243)*(T$113:T$117))</f>
        <v>0</v>
      </c>
    </row>
    <row r="128" spans="2:20" ht="11.5" customHeight="1" outlineLevel="2">
      <c r="E128" s="247" t="str">
        <f>GC!C42</f>
        <v>Service pipes</v>
      </c>
      <c r="F128" s="247"/>
      <c r="G128" s="247"/>
      <c r="H128" s="247"/>
      <c r="I128" s="247"/>
      <c r="J128" s="81">
        <f ca="1">SUMPRODUCT((Work_Codes!$N$236:$Y$236=$E128)*(Work_Codes!$N$239:$Y$243)*(J$113:J$117))</f>
        <v>0</v>
      </c>
      <c r="K128" s="81">
        <f ca="1">SUMPRODUCT((Work_Codes!$N$236:$Y$236=$E128)*(Work_Codes!$N$239:$Y$243)*(K$113:K$117))</f>
        <v>0</v>
      </c>
      <c r="L128" s="81">
        <f ca="1">SUMPRODUCT((Work_Codes!$N$236:$Y$236=$E128)*(Work_Codes!$N$239:$Y$243)*(L$113:L$117))</f>
        <v>0</v>
      </c>
      <c r="M128" s="81">
        <f ca="1">SUMPRODUCT((Work_Codes!$N$236:$Y$236=$E128)*(Work_Codes!$N$239:$Y$243)*(M$113:M$117))</f>
        <v>0</v>
      </c>
      <c r="N128" s="81">
        <f ca="1">SUMPRODUCT((Work_Codes!$N$236:$Y$236=$E128)*(Work_Codes!$N$239:$Y$243)*(N$113:N$117))</f>
        <v>0</v>
      </c>
      <c r="O128" s="81">
        <f ca="1">SUMPRODUCT((Work_Codes!$N$236:$Y$236=$E128)*(Work_Codes!$N$239:$Y$243)*(O$113:O$117))</f>
        <v>0</v>
      </c>
      <c r="P128" s="81">
        <f ca="1">SUMPRODUCT((Work_Codes!$N$236:$Y$236=$E128)*(Work_Codes!$N$239:$Y$243)*(P$113:P$117))</f>
        <v>0</v>
      </c>
      <c r="Q128" s="81">
        <f ca="1">SUMPRODUCT((Work_Codes!$N$236:$Y$236=$E128)*(Work_Codes!$N$239:$Y$243)*(Q$113:Q$117))</f>
        <v>0</v>
      </c>
      <c r="R128" s="81">
        <f ca="1">SUMPRODUCT((Work_Codes!$N$236:$Y$236=$E128)*(Work_Codes!$N$239:$Y$243)*(R$113:R$117))</f>
        <v>0</v>
      </c>
      <c r="S128" s="81">
        <f ca="1">SUMPRODUCT((Work_Codes!$N$236:$Y$236=$E128)*(Work_Codes!$N$239:$Y$243)*(S$113:S$117))</f>
        <v>0</v>
      </c>
      <c r="T128" s="81">
        <f ca="1">SUMPRODUCT((Work_Codes!$N$236:$Y$236=$E128)*(Work_Codes!$N$239:$Y$243)*(T$113:T$117))</f>
        <v>0</v>
      </c>
    </row>
    <row r="129" spans="4:20" ht="11.5" customHeight="1" outlineLevel="2">
      <c r="E129" s="247" t="str">
        <f>GC!C43</f>
        <v>Cathodic protection</v>
      </c>
      <c r="F129" s="247"/>
      <c r="G129" s="247"/>
      <c r="H129" s="247"/>
      <c r="I129" s="247"/>
      <c r="J129" s="81">
        <f ca="1">SUMPRODUCT((Work_Codes!$N$236:$Y$236=$E129)*(Work_Codes!$N$239:$Y$243)*(J$113:J$117))</f>
        <v>0</v>
      </c>
      <c r="K129" s="81">
        <f ca="1">SUMPRODUCT((Work_Codes!$N$236:$Y$236=$E129)*(Work_Codes!$N$239:$Y$243)*(K$113:K$117))</f>
        <v>0</v>
      </c>
      <c r="L129" s="81">
        <f ca="1">SUMPRODUCT((Work_Codes!$N$236:$Y$236=$E129)*(Work_Codes!$N$239:$Y$243)*(L$113:L$117))</f>
        <v>0</v>
      </c>
      <c r="M129" s="81">
        <f ca="1">SUMPRODUCT((Work_Codes!$N$236:$Y$236=$E129)*(Work_Codes!$N$239:$Y$243)*(M$113:M$117))</f>
        <v>0</v>
      </c>
      <c r="N129" s="81">
        <f ca="1">SUMPRODUCT((Work_Codes!$N$236:$Y$236=$E129)*(Work_Codes!$N$239:$Y$243)*(N$113:N$117))</f>
        <v>0</v>
      </c>
      <c r="O129" s="81">
        <f ca="1">SUMPRODUCT((Work_Codes!$N$236:$Y$236=$E129)*(Work_Codes!$N$239:$Y$243)*(O$113:O$117))</f>
        <v>0</v>
      </c>
      <c r="P129" s="81">
        <f ca="1">SUMPRODUCT((Work_Codes!$N$236:$Y$236=$E129)*(Work_Codes!$N$239:$Y$243)*(P$113:P$117))</f>
        <v>0</v>
      </c>
      <c r="Q129" s="81">
        <f ca="1">SUMPRODUCT((Work_Codes!$N$236:$Y$236=$E129)*(Work_Codes!$N$239:$Y$243)*(Q$113:Q$117))</f>
        <v>0</v>
      </c>
      <c r="R129" s="81">
        <f ca="1">SUMPRODUCT((Work_Codes!$N$236:$Y$236=$E129)*(Work_Codes!$N$239:$Y$243)*(R$113:R$117))</f>
        <v>0</v>
      </c>
      <c r="S129" s="81">
        <f ca="1">SUMPRODUCT((Work_Codes!$N$236:$Y$236=$E129)*(Work_Codes!$N$239:$Y$243)*(S$113:S$117))</f>
        <v>0</v>
      </c>
      <c r="T129" s="81">
        <f ca="1">SUMPRODUCT((Work_Codes!$N$236:$Y$236=$E129)*(Work_Codes!$N$239:$Y$243)*(T$113:T$117))</f>
        <v>0</v>
      </c>
    </row>
    <row r="130" spans="4:20" ht="11.5" customHeight="1" outlineLevel="2">
      <c r="E130" s="247" t="str">
        <f>GC!C44</f>
        <v>Supply Regulators / Valve Stations</v>
      </c>
      <c r="F130" s="247"/>
      <c r="G130" s="247"/>
      <c r="H130" s="247"/>
      <c r="I130" s="247"/>
      <c r="J130" s="81">
        <f ca="1">SUMPRODUCT((Work_Codes!$N$236:$Y$236=$E130)*(Work_Codes!$N$239:$Y$243)*(J$113:J$117))</f>
        <v>0</v>
      </c>
      <c r="K130" s="81">
        <f ca="1">SUMPRODUCT((Work_Codes!$N$236:$Y$236=$E130)*(Work_Codes!$N$239:$Y$243)*(K$113:K$117))</f>
        <v>0</v>
      </c>
      <c r="L130" s="81">
        <f ca="1">SUMPRODUCT((Work_Codes!$N$236:$Y$236=$E130)*(Work_Codes!$N$239:$Y$243)*(L$113:L$117))</f>
        <v>0</v>
      </c>
      <c r="M130" s="81">
        <f ca="1">SUMPRODUCT((Work_Codes!$N$236:$Y$236=$E130)*(Work_Codes!$N$239:$Y$243)*(M$113:M$117))</f>
        <v>0</v>
      </c>
      <c r="N130" s="81">
        <f ca="1">SUMPRODUCT((Work_Codes!$N$236:$Y$236=$E130)*(Work_Codes!$N$239:$Y$243)*(N$113:N$117))</f>
        <v>0</v>
      </c>
      <c r="O130" s="81">
        <f ca="1">SUMPRODUCT((Work_Codes!$N$236:$Y$236=$E130)*(Work_Codes!$N$239:$Y$243)*(O$113:O$117))</f>
        <v>554057.57083317928</v>
      </c>
      <c r="P130" s="81">
        <f ca="1">SUMPRODUCT((Work_Codes!$N$236:$Y$236=$E130)*(Work_Codes!$N$239:$Y$243)*(P$113:P$117))</f>
        <v>1150210.2888901462</v>
      </c>
      <c r="Q130" s="81">
        <f ca="1">SUMPRODUCT((Work_Codes!$N$236:$Y$236=$E130)*(Work_Codes!$N$239:$Y$243)*(Q$113:Q$117))</f>
        <v>1005914.1556557808</v>
      </c>
      <c r="R130" s="81">
        <f ca="1">SUMPRODUCT((Work_Codes!$N$236:$Y$236=$E130)*(Work_Codes!$N$239:$Y$243)*(R$113:R$117))</f>
        <v>714668.76575574721</v>
      </c>
      <c r="S130" s="81">
        <f ca="1">SUMPRODUCT((Work_Codes!$N$236:$Y$236=$E130)*(Work_Codes!$N$239:$Y$243)*(S$113:S$117))</f>
        <v>657083.72564937267</v>
      </c>
      <c r="T130" s="81">
        <f ca="1">SUMPRODUCT((Work_Codes!$N$236:$Y$236=$E130)*(Work_Codes!$N$239:$Y$243)*(T$113:T$117))</f>
        <v>697501.0692373995</v>
      </c>
    </row>
    <row r="131" spans="4:20" ht="11.5" customHeight="1" outlineLevel="2">
      <c r="E131" s="247" t="str">
        <f>GC!C45</f>
        <v>Meters</v>
      </c>
      <c r="F131" s="247"/>
      <c r="G131" s="247"/>
      <c r="H131" s="247"/>
      <c r="I131" s="247"/>
      <c r="J131" s="81">
        <f ca="1">SUMPRODUCT((Work_Codes!$N$236:$Y$236=$E131)*(Work_Codes!$N$239:$Y$243)*(J$113:J$117))</f>
        <v>0</v>
      </c>
      <c r="K131" s="81">
        <f ca="1">SUMPRODUCT((Work_Codes!$N$236:$Y$236=$E131)*(Work_Codes!$N$239:$Y$243)*(K$113:K$117))</f>
        <v>0</v>
      </c>
      <c r="L131" s="81">
        <f ca="1">SUMPRODUCT((Work_Codes!$N$236:$Y$236=$E131)*(Work_Codes!$N$239:$Y$243)*(L$113:L$117))</f>
        <v>0</v>
      </c>
      <c r="M131" s="81">
        <f ca="1">SUMPRODUCT((Work_Codes!$N$236:$Y$236=$E131)*(Work_Codes!$N$239:$Y$243)*(M$113:M$117))</f>
        <v>0</v>
      </c>
      <c r="N131" s="81">
        <f ca="1">SUMPRODUCT((Work_Codes!$N$236:$Y$236=$E131)*(Work_Codes!$N$239:$Y$243)*(N$113:N$117))</f>
        <v>0</v>
      </c>
      <c r="O131" s="81">
        <f ca="1">SUMPRODUCT((Work_Codes!$N$236:$Y$236=$E131)*(Work_Codes!$N$239:$Y$243)*(O$113:O$117))</f>
        <v>0</v>
      </c>
      <c r="P131" s="81">
        <f ca="1">SUMPRODUCT((Work_Codes!$N$236:$Y$236=$E131)*(Work_Codes!$N$239:$Y$243)*(P$113:P$117))</f>
        <v>0</v>
      </c>
      <c r="Q131" s="81">
        <f ca="1">SUMPRODUCT((Work_Codes!$N$236:$Y$236=$E131)*(Work_Codes!$N$239:$Y$243)*(Q$113:Q$117))</f>
        <v>0</v>
      </c>
      <c r="R131" s="81">
        <f ca="1">SUMPRODUCT((Work_Codes!$N$236:$Y$236=$E131)*(Work_Codes!$N$239:$Y$243)*(R$113:R$117))</f>
        <v>0</v>
      </c>
      <c r="S131" s="81">
        <f ca="1">SUMPRODUCT((Work_Codes!$N$236:$Y$236=$E131)*(Work_Codes!$N$239:$Y$243)*(S$113:S$117))</f>
        <v>0</v>
      </c>
      <c r="T131" s="81">
        <f ca="1">SUMPRODUCT((Work_Codes!$N$236:$Y$236=$E131)*(Work_Codes!$N$239:$Y$243)*(T$113:T$117))</f>
        <v>0</v>
      </c>
    </row>
    <row r="132" spans="4:20" ht="11.5" customHeight="1" outlineLevel="2">
      <c r="E132" s="247" t="str">
        <f>GC!C46</f>
        <v>SCADA and remote control</v>
      </c>
      <c r="F132" s="247"/>
      <c r="G132" s="247"/>
      <c r="H132" s="247"/>
      <c r="I132" s="247"/>
      <c r="J132" s="81">
        <f ca="1">SUMPRODUCT((Work_Codes!$N$236:$Y$236=$E132)*(Work_Codes!$N$239:$Y$243)*(J$113:J$117))</f>
        <v>0</v>
      </c>
      <c r="K132" s="81">
        <f ca="1">SUMPRODUCT((Work_Codes!$N$236:$Y$236=$E132)*(Work_Codes!$N$239:$Y$243)*(K$113:K$117))</f>
        <v>0</v>
      </c>
      <c r="L132" s="81">
        <f ca="1">SUMPRODUCT((Work_Codes!$N$236:$Y$236=$E132)*(Work_Codes!$N$239:$Y$243)*(L$113:L$117))</f>
        <v>0</v>
      </c>
      <c r="M132" s="81">
        <f ca="1">SUMPRODUCT((Work_Codes!$N$236:$Y$236=$E132)*(Work_Codes!$N$239:$Y$243)*(M$113:M$117))</f>
        <v>0</v>
      </c>
      <c r="N132" s="81">
        <f ca="1">SUMPRODUCT((Work_Codes!$N$236:$Y$236=$E132)*(Work_Codes!$N$239:$Y$243)*(N$113:N$117))</f>
        <v>0</v>
      </c>
      <c r="O132" s="81">
        <f ca="1">SUMPRODUCT((Work_Codes!$N$236:$Y$236=$E132)*(Work_Codes!$N$239:$Y$243)*(O$113:O$117))</f>
        <v>0</v>
      </c>
      <c r="P132" s="81">
        <f ca="1">SUMPRODUCT((Work_Codes!$N$236:$Y$236=$E132)*(Work_Codes!$N$239:$Y$243)*(P$113:P$117))</f>
        <v>0</v>
      </c>
      <c r="Q132" s="81">
        <f ca="1">SUMPRODUCT((Work_Codes!$N$236:$Y$236=$E132)*(Work_Codes!$N$239:$Y$243)*(Q$113:Q$117))</f>
        <v>0</v>
      </c>
      <c r="R132" s="81">
        <f ca="1">SUMPRODUCT((Work_Codes!$N$236:$Y$236=$E132)*(Work_Codes!$N$239:$Y$243)*(R$113:R$117))</f>
        <v>0</v>
      </c>
      <c r="S132" s="81">
        <f ca="1">SUMPRODUCT((Work_Codes!$N$236:$Y$236=$E132)*(Work_Codes!$N$239:$Y$243)*(S$113:S$117))</f>
        <v>0</v>
      </c>
      <c r="T132" s="81">
        <f ca="1">SUMPRODUCT((Work_Codes!$N$236:$Y$236=$E132)*(Work_Codes!$N$239:$Y$243)*(T$113:T$117))</f>
        <v>0</v>
      </c>
    </row>
    <row r="133" spans="4:20" ht="11.5" customHeight="1" outlineLevel="2">
      <c r="E133" s="247" t="str">
        <f>GC!C47</f>
        <v>Buildings</v>
      </c>
      <c r="F133" s="247"/>
      <c r="G133" s="247"/>
      <c r="H133" s="247"/>
      <c r="I133" s="247"/>
      <c r="J133" s="81">
        <f ca="1">SUMPRODUCT((Work_Codes!$N$236:$Y$236=$E133)*(Work_Codes!$N$239:$Y$243)*(J$113:J$117))</f>
        <v>0</v>
      </c>
      <c r="K133" s="81">
        <f ca="1">SUMPRODUCT((Work_Codes!$N$236:$Y$236=$E133)*(Work_Codes!$N$239:$Y$243)*(K$113:K$117))</f>
        <v>0</v>
      </c>
      <c r="L133" s="81">
        <f ca="1">SUMPRODUCT((Work_Codes!$N$236:$Y$236=$E133)*(Work_Codes!$N$239:$Y$243)*(L$113:L$117))</f>
        <v>0</v>
      </c>
      <c r="M133" s="81">
        <f ca="1">SUMPRODUCT((Work_Codes!$N$236:$Y$236=$E133)*(Work_Codes!$N$239:$Y$243)*(M$113:M$117))</f>
        <v>0</v>
      </c>
      <c r="N133" s="81">
        <f ca="1">SUMPRODUCT((Work_Codes!$N$236:$Y$236=$E133)*(Work_Codes!$N$239:$Y$243)*(N$113:N$117))</f>
        <v>0</v>
      </c>
      <c r="O133" s="81">
        <f ca="1">SUMPRODUCT((Work_Codes!$N$236:$Y$236=$E133)*(Work_Codes!$N$239:$Y$243)*(O$113:O$117))</f>
        <v>0</v>
      </c>
      <c r="P133" s="81">
        <f ca="1">SUMPRODUCT((Work_Codes!$N$236:$Y$236=$E133)*(Work_Codes!$N$239:$Y$243)*(P$113:P$117))</f>
        <v>0</v>
      </c>
      <c r="Q133" s="81">
        <f ca="1">SUMPRODUCT((Work_Codes!$N$236:$Y$236=$E133)*(Work_Codes!$N$239:$Y$243)*(Q$113:Q$117))</f>
        <v>0</v>
      </c>
      <c r="R133" s="81">
        <f ca="1">SUMPRODUCT((Work_Codes!$N$236:$Y$236=$E133)*(Work_Codes!$N$239:$Y$243)*(R$113:R$117))</f>
        <v>0</v>
      </c>
      <c r="S133" s="81">
        <f ca="1">SUMPRODUCT((Work_Codes!$N$236:$Y$236=$E133)*(Work_Codes!$N$239:$Y$243)*(S$113:S$117))</f>
        <v>0</v>
      </c>
      <c r="T133" s="81">
        <f ca="1">SUMPRODUCT((Work_Codes!$N$236:$Y$236=$E133)*(Work_Codes!$N$239:$Y$243)*(T$113:T$117))</f>
        <v>0</v>
      </c>
    </row>
    <row r="134" spans="4:20" ht="11.5" customHeight="1" outlineLevel="2">
      <c r="E134" s="247" t="str">
        <f>GC!C48</f>
        <v>Other - IT</v>
      </c>
      <c r="F134" s="247"/>
      <c r="G134" s="247"/>
      <c r="H134" s="247"/>
      <c r="I134" s="247"/>
      <c r="J134" s="81">
        <f ca="1">SUMPRODUCT((Work_Codes!$N$236:$Y$236=$E134)*(Work_Codes!$N$239:$Y$243)*(J$113:J$117))</f>
        <v>0</v>
      </c>
      <c r="K134" s="81">
        <f ca="1">SUMPRODUCT((Work_Codes!$N$236:$Y$236=$E134)*(Work_Codes!$N$239:$Y$243)*(K$113:K$117))</f>
        <v>0</v>
      </c>
      <c r="L134" s="81">
        <f ca="1">SUMPRODUCT((Work_Codes!$N$236:$Y$236=$E134)*(Work_Codes!$N$239:$Y$243)*(L$113:L$117))</f>
        <v>0</v>
      </c>
      <c r="M134" s="81">
        <f ca="1">SUMPRODUCT((Work_Codes!$N$236:$Y$236=$E134)*(Work_Codes!$N$239:$Y$243)*(M$113:M$117))</f>
        <v>0</v>
      </c>
      <c r="N134" s="81">
        <f ca="1">SUMPRODUCT((Work_Codes!$N$236:$Y$236=$E134)*(Work_Codes!$N$239:$Y$243)*(N$113:N$117))</f>
        <v>0</v>
      </c>
      <c r="O134" s="81">
        <f ca="1">SUMPRODUCT((Work_Codes!$N$236:$Y$236=$E134)*(Work_Codes!$N$239:$Y$243)*(O$113:O$117))</f>
        <v>0</v>
      </c>
      <c r="P134" s="81">
        <f ca="1">SUMPRODUCT((Work_Codes!$N$236:$Y$236=$E134)*(Work_Codes!$N$239:$Y$243)*(P$113:P$117))</f>
        <v>0</v>
      </c>
      <c r="Q134" s="81">
        <f ca="1">SUMPRODUCT((Work_Codes!$N$236:$Y$236=$E134)*(Work_Codes!$N$239:$Y$243)*(Q$113:Q$117))</f>
        <v>0</v>
      </c>
      <c r="R134" s="81">
        <f ca="1">SUMPRODUCT((Work_Codes!$N$236:$Y$236=$E134)*(Work_Codes!$N$239:$Y$243)*(R$113:R$117))</f>
        <v>0</v>
      </c>
      <c r="S134" s="81">
        <f ca="1">SUMPRODUCT((Work_Codes!$N$236:$Y$236=$E134)*(Work_Codes!$N$239:$Y$243)*(S$113:S$117))</f>
        <v>0</v>
      </c>
      <c r="T134" s="81">
        <f ca="1">SUMPRODUCT((Work_Codes!$N$236:$Y$236=$E134)*(Work_Codes!$N$239:$Y$243)*(T$113:T$117))</f>
        <v>0</v>
      </c>
    </row>
    <row r="135" spans="4:20" ht="11.5" customHeight="1" outlineLevel="2">
      <c r="E135" s="247" t="str">
        <f>GC!C49</f>
        <v>Other - non IT</v>
      </c>
      <c r="F135" s="247"/>
      <c r="G135" s="247"/>
      <c r="H135" s="247"/>
      <c r="I135" s="247"/>
      <c r="J135" s="81">
        <f ca="1">SUMPRODUCT((Work_Codes!$N$236:$Y$236=$E135)*(Work_Codes!$N$239:$Y$243)*(J$113:J$117))</f>
        <v>0</v>
      </c>
      <c r="K135" s="81">
        <f ca="1">SUMPRODUCT((Work_Codes!$N$236:$Y$236=$E135)*(Work_Codes!$N$239:$Y$243)*(K$113:K$117))</f>
        <v>0</v>
      </c>
      <c r="L135" s="81">
        <f ca="1">SUMPRODUCT((Work_Codes!$N$236:$Y$236=$E135)*(Work_Codes!$N$239:$Y$243)*(L$113:L$117))</f>
        <v>0</v>
      </c>
      <c r="M135" s="81">
        <f ca="1">SUMPRODUCT((Work_Codes!$N$236:$Y$236=$E135)*(Work_Codes!$N$239:$Y$243)*(M$113:M$117))</f>
        <v>0</v>
      </c>
      <c r="N135" s="81">
        <f ca="1">SUMPRODUCT((Work_Codes!$N$236:$Y$236=$E135)*(Work_Codes!$N$239:$Y$243)*(N$113:N$117))</f>
        <v>0</v>
      </c>
      <c r="O135" s="81">
        <f ca="1">SUMPRODUCT((Work_Codes!$N$236:$Y$236=$E135)*(Work_Codes!$N$239:$Y$243)*(O$113:O$117))</f>
        <v>0</v>
      </c>
      <c r="P135" s="81">
        <f ca="1">SUMPRODUCT((Work_Codes!$N$236:$Y$236=$E135)*(Work_Codes!$N$239:$Y$243)*(P$113:P$117))</f>
        <v>0</v>
      </c>
      <c r="Q135" s="81">
        <f ca="1">SUMPRODUCT((Work_Codes!$N$236:$Y$236=$E135)*(Work_Codes!$N$239:$Y$243)*(Q$113:Q$117))</f>
        <v>0</v>
      </c>
      <c r="R135" s="81">
        <f ca="1">SUMPRODUCT((Work_Codes!$N$236:$Y$236=$E135)*(Work_Codes!$N$239:$Y$243)*(R$113:R$117))</f>
        <v>0</v>
      </c>
      <c r="S135" s="81">
        <f ca="1">SUMPRODUCT((Work_Codes!$N$236:$Y$236=$E135)*(Work_Codes!$N$239:$Y$243)*(S$113:S$117))</f>
        <v>0</v>
      </c>
      <c r="T135" s="81">
        <f ca="1">SUMPRODUCT((Work_Codes!$N$236:$Y$236=$E135)*(Work_Codes!$N$239:$Y$243)*(T$113:T$117))</f>
        <v>0</v>
      </c>
    </row>
    <row r="136" spans="4:20" ht="11.5" customHeight="1" outlineLevel="2">
      <c r="E136" s="247" t="str">
        <f>GC!C50</f>
        <v>Land</v>
      </c>
      <c r="F136" s="247"/>
      <c r="G136" s="247"/>
      <c r="H136" s="247"/>
      <c r="I136" s="247"/>
      <c r="J136" s="81">
        <f ca="1">SUMPRODUCT((Work_Codes!$N$236:$Y$236=$E136)*(Work_Codes!$N$239:$Y$243)*(J$113:J$117))</f>
        <v>0</v>
      </c>
      <c r="K136" s="81">
        <f ca="1">SUMPRODUCT((Work_Codes!$N$236:$Y$236=$E136)*(Work_Codes!$N$239:$Y$243)*(K$113:K$117))</f>
        <v>0</v>
      </c>
      <c r="L136" s="81">
        <f ca="1">SUMPRODUCT((Work_Codes!$N$236:$Y$236=$E136)*(Work_Codes!$N$239:$Y$243)*(L$113:L$117))</f>
        <v>0</v>
      </c>
      <c r="M136" s="81">
        <f ca="1">SUMPRODUCT((Work_Codes!$N$236:$Y$236=$E136)*(Work_Codes!$N$239:$Y$243)*(M$113:M$117))</f>
        <v>0</v>
      </c>
      <c r="N136" s="81">
        <f ca="1">SUMPRODUCT((Work_Codes!$N$236:$Y$236=$E136)*(Work_Codes!$N$239:$Y$243)*(N$113:N$117))</f>
        <v>0</v>
      </c>
      <c r="O136" s="81">
        <f ca="1">SUMPRODUCT((Work_Codes!$N$236:$Y$236=$E136)*(Work_Codes!$N$239:$Y$243)*(O$113:O$117))</f>
        <v>0</v>
      </c>
      <c r="P136" s="81">
        <f ca="1">SUMPRODUCT((Work_Codes!$N$236:$Y$236=$E136)*(Work_Codes!$N$239:$Y$243)*(P$113:P$117))</f>
        <v>0</v>
      </c>
      <c r="Q136" s="81">
        <f ca="1">SUMPRODUCT((Work_Codes!$N$236:$Y$236=$E136)*(Work_Codes!$N$239:$Y$243)*(Q$113:Q$117))</f>
        <v>0</v>
      </c>
      <c r="R136" s="81">
        <f ca="1">SUMPRODUCT((Work_Codes!$N$236:$Y$236=$E136)*(Work_Codes!$N$239:$Y$243)*(R$113:R$117))</f>
        <v>0</v>
      </c>
      <c r="S136" s="81">
        <f ca="1">SUMPRODUCT((Work_Codes!$N$236:$Y$236=$E136)*(Work_Codes!$N$239:$Y$243)*(S$113:S$117))</f>
        <v>0</v>
      </c>
      <c r="T136" s="81">
        <f ca="1">SUMPRODUCT((Work_Codes!$N$236:$Y$236=$E136)*(Work_Codes!$N$239:$Y$243)*(T$113:T$117))</f>
        <v>0</v>
      </c>
    </row>
    <row r="137" spans="4:20" outlineLevel="2">
      <c r="E137" s="247" t="str">
        <f>GC!C51</f>
        <v>Capitalised Leases</v>
      </c>
      <c r="F137" s="247"/>
      <c r="G137" s="247"/>
      <c r="H137" s="247"/>
      <c r="I137" s="247"/>
      <c r="J137" s="81">
        <f ca="1">SUMPRODUCT((Work_Codes!$N$236:$Y$236=$E137)*(Work_Codes!$N$239:$Y$243)*(J$113:J$117))</f>
        <v>0</v>
      </c>
      <c r="K137" s="81">
        <f ca="1">SUMPRODUCT((Work_Codes!$N$236:$Y$236=$E137)*(Work_Codes!$N$239:$Y$243)*(K$113:K$117))</f>
        <v>0</v>
      </c>
      <c r="L137" s="81">
        <f ca="1">SUMPRODUCT((Work_Codes!$N$236:$Y$236=$E137)*(Work_Codes!$N$239:$Y$243)*(L$113:L$117))</f>
        <v>0</v>
      </c>
      <c r="M137" s="81">
        <f ca="1">SUMPRODUCT((Work_Codes!$N$236:$Y$236=$E137)*(Work_Codes!$N$239:$Y$243)*(M$113:M$117))</f>
        <v>0</v>
      </c>
      <c r="N137" s="81">
        <f ca="1">SUMPRODUCT((Work_Codes!$N$236:$Y$236=$E137)*(Work_Codes!$N$239:$Y$243)*(N$113:N$117))</f>
        <v>0</v>
      </c>
      <c r="O137" s="81">
        <f ca="1">SUMPRODUCT((Work_Codes!$N$236:$Y$236=$E137)*(Work_Codes!$N$239:$Y$243)*(O$113:O$117))</f>
        <v>0</v>
      </c>
      <c r="P137" s="81">
        <f ca="1">SUMPRODUCT((Work_Codes!$N$236:$Y$236=$E137)*(Work_Codes!$N$239:$Y$243)*(P$113:P$117))</f>
        <v>0</v>
      </c>
      <c r="Q137" s="81">
        <f ca="1">SUMPRODUCT((Work_Codes!$N$236:$Y$236=$E137)*(Work_Codes!$N$239:$Y$243)*(Q$113:Q$117))</f>
        <v>0</v>
      </c>
      <c r="R137" s="81">
        <f ca="1">SUMPRODUCT((Work_Codes!$N$236:$Y$236=$E137)*(Work_Codes!$N$239:$Y$243)*(R$113:R$117))</f>
        <v>0</v>
      </c>
      <c r="S137" s="81">
        <f ca="1">SUMPRODUCT((Work_Codes!$N$236:$Y$236=$E137)*(Work_Codes!$N$239:$Y$243)*(S$113:S$117))</f>
        <v>0</v>
      </c>
      <c r="T137" s="81">
        <f ca="1">SUMPRODUCT((Work_Codes!$N$236:$Y$236=$E137)*(Work_Codes!$N$239:$Y$243)*(T$113:T$117))</f>
        <v>0</v>
      </c>
    </row>
    <row r="138" spans="4:20" outlineLevel="2">
      <c r="E138" s="247" t="str">
        <f>GC!C52</f>
        <v>Transmission pipelines - post 1998</v>
      </c>
      <c r="F138" s="247"/>
      <c r="G138" s="247"/>
      <c r="H138" s="247"/>
      <c r="I138" s="247"/>
      <c r="J138" s="81">
        <f ca="1">SUMPRODUCT((Work_Codes!$N$236:$Y$236=$E138)*(Work_Codes!$N$239:$Y$243)*(J$113:J$117))</f>
        <v>0</v>
      </c>
      <c r="K138" s="81">
        <f ca="1">SUMPRODUCT((Work_Codes!$N$236:$Y$236=$E138)*(Work_Codes!$N$239:$Y$243)*(K$113:K$117))</f>
        <v>0</v>
      </c>
      <c r="L138" s="81">
        <f ca="1">SUMPRODUCT((Work_Codes!$N$236:$Y$236=$E138)*(Work_Codes!$N$239:$Y$243)*(L$113:L$117))</f>
        <v>0</v>
      </c>
      <c r="M138" s="81">
        <f ca="1">SUMPRODUCT((Work_Codes!$N$236:$Y$236=$E138)*(Work_Codes!$N$239:$Y$243)*(M$113:M$117))</f>
        <v>0</v>
      </c>
      <c r="N138" s="81">
        <f ca="1">SUMPRODUCT((Work_Codes!$N$236:$Y$236=$E138)*(Work_Codes!$N$239:$Y$243)*(N$113:N$117))</f>
        <v>0</v>
      </c>
      <c r="O138" s="81">
        <f ca="1">SUMPRODUCT((Work_Codes!$N$236:$Y$236=$E138)*(Work_Codes!$N$239:$Y$243)*(O$113:O$117))</f>
        <v>0</v>
      </c>
      <c r="P138" s="81">
        <f ca="1">SUMPRODUCT((Work_Codes!$N$236:$Y$236=$E138)*(Work_Codes!$N$239:$Y$243)*(P$113:P$117))</f>
        <v>0</v>
      </c>
      <c r="Q138" s="81">
        <f ca="1">SUMPRODUCT((Work_Codes!$N$236:$Y$236=$E138)*(Work_Codes!$N$239:$Y$243)*(Q$113:Q$117))</f>
        <v>0</v>
      </c>
      <c r="R138" s="81">
        <f ca="1">SUMPRODUCT((Work_Codes!$N$236:$Y$236=$E138)*(Work_Codes!$N$239:$Y$243)*(R$113:R$117))</f>
        <v>0</v>
      </c>
      <c r="S138" s="81">
        <f ca="1">SUMPRODUCT((Work_Codes!$N$236:$Y$236=$E138)*(Work_Codes!$N$239:$Y$243)*(S$113:S$117))</f>
        <v>0</v>
      </c>
      <c r="T138" s="81">
        <f ca="1">SUMPRODUCT((Work_Codes!$N$236:$Y$236=$E138)*(Work_Codes!$N$239:$Y$243)*(T$113:T$117))</f>
        <v>0</v>
      </c>
    </row>
    <row r="139" spans="4:20" outlineLevel="2">
      <c r="E139" s="247" t="str">
        <f>GC!C53</f>
        <v>Distribution pipelines - post 1998</v>
      </c>
      <c r="F139" s="247"/>
      <c r="G139" s="247"/>
      <c r="H139" s="247"/>
      <c r="I139" s="247"/>
      <c r="J139" s="81">
        <f ca="1">SUMPRODUCT((Work_Codes!$N$236:$Y$236=$E139)*(Work_Codes!$N$239:$Y$243)*(J$113:J$117))</f>
        <v>0</v>
      </c>
      <c r="K139" s="81">
        <f ca="1">SUMPRODUCT((Work_Codes!$N$236:$Y$236=$E139)*(Work_Codes!$N$239:$Y$243)*(K$113:K$117))</f>
        <v>0</v>
      </c>
      <c r="L139" s="81">
        <f ca="1">SUMPRODUCT((Work_Codes!$N$236:$Y$236=$E139)*(Work_Codes!$N$239:$Y$243)*(L$113:L$117))</f>
        <v>0</v>
      </c>
      <c r="M139" s="81">
        <f ca="1">SUMPRODUCT((Work_Codes!$N$236:$Y$236=$E139)*(Work_Codes!$N$239:$Y$243)*(M$113:M$117))</f>
        <v>0</v>
      </c>
      <c r="N139" s="81">
        <f ca="1">SUMPRODUCT((Work_Codes!$N$236:$Y$236=$E139)*(Work_Codes!$N$239:$Y$243)*(N$113:N$117))</f>
        <v>0</v>
      </c>
      <c r="O139" s="81">
        <f ca="1">SUMPRODUCT((Work_Codes!$N$236:$Y$236=$E139)*(Work_Codes!$N$239:$Y$243)*(O$113:O$117))</f>
        <v>0</v>
      </c>
      <c r="P139" s="81">
        <f ca="1">SUMPRODUCT((Work_Codes!$N$236:$Y$236=$E139)*(Work_Codes!$N$239:$Y$243)*(P$113:P$117))</f>
        <v>0</v>
      </c>
      <c r="Q139" s="81">
        <f ca="1">SUMPRODUCT((Work_Codes!$N$236:$Y$236=$E139)*(Work_Codes!$N$239:$Y$243)*(Q$113:Q$117))</f>
        <v>0</v>
      </c>
      <c r="R139" s="81">
        <f ca="1">SUMPRODUCT((Work_Codes!$N$236:$Y$236=$E139)*(Work_Codes!$N$239:$Y$243)*(R$113:R$117))</f>
        <v>0</v>
      </c>
      <c r="S139" s="81">
        <f ca="1">SUMPRODUCT((Work_Codes!$N$236:$Y$236=$E139)*(Work_Codes!$N$239:$Y$243)*(S$113:S$117))</f>
        <v>0</v>
      </c>
      <c r="T139" s="81">
        <f ca="1">SUMPRODUCT((Work_Codes!$N$236:$Y$236=$E139)*(Work_Codes!$N$239:$Y$243)*(T$113:T$117))</f>
        <v>0</v>
      </c>
    </row>
    <row r="140" spans="4:20" outlineLevel="2">
      <c r="E140" s="247" t="str">
        <f>GC!C54</f>
        <v>Service pipes - post 1998</v>
      </c>
      <c r="F140" s="247"/>
      <c r="G140" s="247"/>
      <c r="H140" s="247"/>
      <c r="I140" s="247"/>
      <c r="J140" s="81">
        <f ca="1">SUMPRODUCT((Work_Codes!$N$236:$Y$236=$E140)*(Work_Codes!$N$239:$Y$243)*(J$113:J$117))</f>
        <v>0</v>
      </c>
      <c r="K140" s="81">
        <f ca="1">SUMPRODUCT((Work_Codes!$N$236:$Y$236=$E140)*(Work_Codes!$N$239:$Y$243)*(K$113:K$117))</f>
        <v>0</v>
      </c>
      <c r="L140" s="81">
        <f ca="1">SUMPRODUCT((Work_Codes!$N$236:$Y$236=$E140)*(Work_Codes!$N$239:$Y$243)*(L$113:L$117))</f>
        <v>0</v>
      </c>
      <c r="M140" s="81">
        <f ca="1">SUMPRODUCT((Work_Codes!$N$236:$Y$236=$E140)*(Work_Codes!$N$239:$Y$243)*(M$113:M$117))</f>
        <v>0</v>
      </c>
      <c r="N140" s="81">
        <f ca="1">SUMPRODUCT((Work_Codes!$N$236:$Y$236=$E140)*(Work_Codes!$N$239:$Y$243)*(N$113:N$117))</f>
        <v>0</v>
      </c>
      <c r="O140" s="81">
        <f ca="1">SUMPRODUCT((Work_Codes!$N$236:$Y$236=$E140)*(Work_Codes!$N$239:$Y$243)*(O$113:O$117))</f>
        <v>0</v>
      </c>
      <c r="P140" s="81">
        <f ca="1">SUMPRODUCT((Work_Codes!$N$236:$Y$236=$E140)*(Work_Codes!$N$239:$Y$243)*(P$113:P$117))</f>
        <v>0</v>
      </c>
      <c r="Q140" s="81">
        <f ca="1">SUMPRODUCT((Work_Codes!$N$236:$Y$236=$E140)*(Work_Codes!$N$239:$Y$243)*(Q$113:Q$117))</f>
        <v>0</v>
      </c>
      <c r="R140" s="81">
        <f ca="1">SUMPRODUCT((Work_Codes!$N$236:$Y$236=$E140)*(Work_Codes!$N$239:$Y$243)*(R$113:R$117))</f>
        <v>0</v>
      </c>
      <c r="S140" s="81">
        <f ca="1">SUMPRODUCT((Work_Codes!$N$236:$Y$236=$E140)*(Work_Codes!$N$239:$Y$243)*(S$113:S$117))</f>
        <v>0</v>
      </c>
      <c r="T140" s="81">
        <f ca="1">SUMPRODUCT((Work_Codes!$N$236:$Y$236=$E140)*(Work_Codes!$N$239:$Y$243)*(T$113:T$117))</f>
        <v>0</v>
      </c>
    </row>
    <row r="141" spans="4:20" outlineLevel="2">
      <c r="E141" s="247" t="str">
        <f>GC!C55</f>
        <v>Cathodic protection - post 1998</v>
      </c>
      <c r="F141" s="247"/>
      <c r="G141" s="247"/>
      <c r="H141" s="247"/>
      <c r="I141" s="247"/>
      <c r="J141" s="81">
        <f ca="1">SUMPRODUCT((Work_Codes!$N$236:$Y$236=$E141)*(Work_Codes!$N$239:$Y$243)*(J$113:J$117))</f>
        <v>0</v>
      </c>
      <c r="K141" s="81">
        <f ca="1">SUMPRODUCT((Work_Codes!$N$236:$Y$236=$E141)*(Work_Codes!$N$239:$Y$243)*(K$113:K$117))</f>
        <v>0</v>
      </c>
      <c r="L141" s="81">
        <f ca="1">SUMPRODUCT((Work_Codes!$N$236:$Y$236=$E141)*(Work_Codes!$N$239:$Y$243)*(L$113:L$117))</f>
        <v>0</v>
      </c>
      <c r="M141" s="81">
        <f ca="1">SUMPRODUCT((Work_Codes!$N$236:$Y$236=$E141)*(Work_Codes!$N$239:$Y$243)*(M$113:M$117))</f>
        <v>0</v>
      </c>
      <c r="N141" s="81">
        <f ca="1">SUMPRODUCT((Work_Codes!$N$236:$Y$236=$E141)*(Work_Codes!$N$239:$Y$243)*(N$113:N$117))</f>
        <v>0</v>
      </c>
      <c r="O141" s="81">
        <f ca="1">SUMPRODUCT((Work_Codes!$N$236:$Y$236=$E141)*(Work_Codes!$N$239:$Y$243)*(O$113:O$117))</f>
        <v>0</v>
      </c>
      <c r="P141" s="81">
        <f ca="1">SUMPRODUCT((Work_Codes!$N$236:$Y$236=$E141)*(Work_Codes!$N$239:$Y$243)*(P$113:P$117))</f>
        <v>0</v>
      </c>
      <c r="Q141" s="81">
        <f ca="1">SUMPRODUCT((Work_Codes!$N$236:$Y$236=$E141)*(Work_Codes!$N$239:$Y$243)*(Q$113:Q$117))</f>
        <v>0</v>
      </c>
      <c r="R141" s="81">
        <f ca="1">SUMPRODUCT((Work_Codes!$N$236:$Y$236=$E141)*(Work_Codes!$N$239:$Y$243)*(R$113:R$117))</f>
        <v>0</v>
      </c>
      <c r="S141" s="81">
        <f ca="1">SUMPRODUCT((Work_Codes!$N$236:$Y$236=$E141)*(Work_Codes!$N$239:$Y$243)*(S$113:S$117))</f>
        <v>0</v>
      </c>
      <c r="T141" s="81">
        <f ca="1">SUMPRODUCT((Work_Codes!$N$236:$Y$236=$E141)*(Work_Codes!$N$239:$Y$243)*(T$113:T$117))</f>
        <v>0</v>
      </c>
    </row>
    <row r="142" spans="4:20" ht="12" customHeight="1" outlineLevel="2">
      <c r="E142" s="249" t="str">
        <f>"Total "&amp;D124</f>
        <v>Total Direct Costs</v>
      </c>
      <c r="F142" s="249"/>
      <c r="G142" s="249"/>
      <c r="H142" s="249"/>
      <c r="I142" s="249"/>
      <c r="J142" s="82">
        <f t="shared" ref="J142:T142" ca="1" si="19">SUM(J126:J141)</f>
        <v>0</v>
      </c>
      <c r="K142" s="82">
        <f t="shared" ca="1" si="19"/>
        <v>0</v>
      </c>
      <c r="L142" s="82">
        <f t="shared" ca="1" si="19"/>
        <v>0</v>
      </c>
      <c r="M142" s="82">
        <f t="shared" ca="1" si="19"/>
        <v>0</v>
      </c>
      <c r="N142" s="82">
        <f t="shared" ca="1" si="19"/>
        <v>0</v>
      </c>
      <c r="O142" s="82">
        <f t="shared" ca="1" si="19"/>
        <v>554057.57083317928</v>
      </c>
      <c r="P142" s="82">
        <f t="shared" ca="1" si="19"/>
        <v>1150210.2888901462</v>
      </c>
      <c r="Q142" s="82">
        <f t="shared" ca="1" si="19"/>
        <v>1005914.1556557808</v>
      </c>
      <c r="R142" s="82">
        <f t="shared" ca="1" si="19"/>
        <v>714668.76575574721</v>
      </c>
      <c r="S142" s="82">
        <f t="shared" ca="1" si="19"/>
        <v>657083.72564937267</v>
      </c>
      <c r="T142" s="82">
        <f t="shared" ca="1" si="19"/>
        <v>697501.0692373995</v>
      </c>
    </row>
    <row r="143" spans="4:20" outlineLevel="2"/>
    <row r="144" spans="4:20" outlineLevel="2">
      <c r="D144" s="37" t="s">
        <v>364</v>
      </c>
    </row>
    <row r="145" spans="5:20" ht="5.9" customHeight="1" outlineLevel="2"/>
    <row r="146" spans="5:20" outlineLevel="2">
      <c r="E146" s="247" t="str">
        <f>GC!C40</f>
        <v>Transmission pipelines</v>
      </c>
      <c r="F146" s="247"/>
      <c r="G146" s="247"/>
      <c r="H146" s="247"/>
      <c r="I146" s="247"/>
      <c r="J146" s="81">
        <f ca="1">J126*(INDEX(J$35:J$37,MATCH(Work_Codes!$I$233,$D$35:$D$37,0)))</f>
        <v>0</v>
      </c>
      <c r="K146" s="81">
        <f ca="1">K126*(INDEX(K$35:K$37,MATCH(Work_Codes!$I$233,$D$35:$D$37,0)))</f>
        <v>0</v>
      </c>
      <c r="L146" s="81">
        <f ca="1">L126*(INDEX(L$35:L$37,MATCH(Work_Codes!$I$233,$D$35:$D$37,0)))</f>
        <v>0</v>
      </c>
      <c r="M146" s="81">
        <f ca="1">M126*(INDEX(M$35:M$37,MATCH(Work_Codes!$I$233,$D$35:$D$37,0)))</f>
        <v>0</v>
      </c>
      <c r="N146" s="81">
        <f ca="1">N126*(INDEX(N$35:N$37,MATCH(Work_Codes!$I$233,$D$35:$D$37,0)))</f>
        <v>0</v>
      </c>
      <c r="O146" s="81">
        <f ca="1">O126*(INDEX(O$35:O$37,MATCH(Work_Codes!$I$233,$D$35:$D$37,0)))</f>
        <v>0</v>
      </c>
      <c r="P146" s="81">
        <f ca="1">P126*(INDEX(P$35:P$37,MATCH(Work_Codes!$I$233,$D$35:$D$37,0)))</f>
        <v>0</v>
      </c>
      <c r="Q146" s="81">
        <f ca="1">Q126*(INDEX(Q$35:Q$37,MATCH(Work_Codes!$I$233,$D$35:$D$37,0)))</f>
        <v>0</v>
      </c>
      <c r="R146" s="81">
        <f ca="1">R126*(INDEX(R$35:R$37,MATCH(Work_Codes!$I$233,$D$35:$D$37,0)))</f>
        <v>0</v>
      </c>
      <c r="S146" s="81">
        <f ca="1">S126*(INDEX(S$35:S$37,MATCH(Work_Codes!$I$233,$D$35:$D$37,0)))</f>
        <v>0</v>
      </c>
      <c r="T146" s="81">
        <f ca="1">T126*(INDEX(T$35:T$37,MATCH(Work_Codes!$I$233,$D$35:$D$37,0)))</f>
        <v>0</v>
      </c>
    </row>
    <row r="147" spans="5:20" outlineLevel="2">
      <c r="E147" s="247" t="str">
        <f>GC!C41</f>
        <v>Distribution pipelines</v>
      </c>
      <c r="F147" s="247"/>
      <c r="G147" s="247"/>
      <c r="H147" s="247"/>
      <c r="I147" s="247"/>
      <c r="J147" s="81">
        <f ca="1">J127*(INDEX(J$35:J$37,MATCH(Work_Codes!$I$233,$D$35:$D$37,0)))</f>
        <v>0</v>
      </c>
      <c r="K147" s="81">
        <f ca="1">K127*(INDEX(K$35:K$37,MATCH(Work_Codes!$I$233,$D$35:$D$37,0)))</f>
        <v>0</v>
      </c>
      <c r="L147" s="81">
        <f ca="1">L127*(INDEX(L$35:L$37,MATCH(Work_Codes!$I$233,$D$35:$D$37,0)))</f>
        <v>0</v>
      </c>
      <c r="M147" s="81">
        <f ca="1">M127*(INDEX(M$35:M$37,MATCH(Work_Codes!$I$233,$D$35:$D$37,0)))</f>
        <v>0</v>
      </c>
      <c r="N147" s="81">
        <f ca="1">N127*(INDEX(N$35:N$37,MATCH(Work_Codes!$I$233,$D$35:$D$37,0)))</f>
        <v>0</v>
      </c>
      <c r="O147" s="81">
        <f ca="1">O127*(INDEX(O$35:O$37,MATCH(Work_Codes!$I$233,$D$35:$D$37,0)))</f>
        <v>0</v>
      </c>
      <c r="P147" s="81">
        <f ca="1">P127*(INDEX(P$35:P$37,MATCH(Work_Codes!$I$233,$D$35:$D$37,0)))</f>
        <v>0</v>
      </c>
      <c r="Q147" s="81">
        <f ca="1">Q127*(INDEX(Q$35:Q$37,MATCH(Work_Codes!$I$233,$D$35:$D$37,0)))</f>
        <v>0</v>
      </c>
      <c r="R147" s="81">
        <f ca="1">R127*(INDEX(R$35:R$37,MATCH(Work_Codes!$I$233,$D$35:$D$37,0)))</f>
        <v>0</v>
      </c>
      <c r="S147" s="81">
        <f ca="1">S127*(INDEX(S$35:S$37,MATCH(Work_Codes!$I$233,$D$35:$D$37,0)))</f>
        <v>0</v>
      </c>
      <c r="T147" s="81">
        <f ca="1">T127*(INDEX(T$35:T$37,MATCH(Work_Codes!$I$233,$D$35:$D$37,0)))</f>
        <v>0</v>
      </c>
    </row>
    <row r="148" spans="5:20" outlineLevel="2">
      <c r="E148" s="247" t="str">
        <f>GC!C42</f>
        <v>Service pipes</v>
      </c>
      <c r="F148" s="247"/>
      <c r="G148" s="247"/>
      <c r="H148" s="247"/>
      <c r="I148" s="247"/>
      <c r="J148" s="81">
        <f ca="1">J128*(INDEX(J$35:J$37,MATCH(Work_Codes!$I$233,$D$35:$D$37,0)))</f>
        <v>0</v>
      </c>
      <c r="K148" s="81">
        <f ca="1">K128*(INDEX(K$35:K$37,MATCH(Work_Codes!$I$233,$D$35:$D$37,0)))</f>
        <v>0</v>
      </c>
      <c r="L148" s="81">
        <f ca="1">L128*(INDEX(L$35:L$37,MATCH(Work_Codes!$I$233,$D$35:$D$37,0)))</f>
        <v>0</v>
      </c>
      <c r="M148" s="81">
        <f ca="1">M128*(INDEX(M$35:M$37,MATCH(Work_Codes!$I$233,$D$35:$D$37,0)))</f>
        <v>0</v>
      </c>
      <c r="N148" s="81">
        <f ca="1">N128*(INDEX(N$35:N$37,MATCH(Work_Codes!$I$233,$D$35:$D$37,0)))</f>
        <v>0</v>
      </c>
      <c r="O148" s="81">
        <f ca="1">O128*(INDEX(O$35:O$37,MATCH(Work_Codes!$I$233,$D$35:$D$37,0)))</f>
        <v>0</v>
      </c>
      <c r="P148" s="81">
        <f ca="1">P128*(INDEX(P$35:P$37,MATCH(Work_Codes!$I$233,$D$35:$D$37,0)))</f>
        <v>0</v>
      </c>
      <c r="Q148" s="81">
        <f ca="1">Q128*(INDEX(Q$35:Q$37,MATCH(Work_Codes!$I$233,$D$35:$D$37,0)))</f>
        <v>0</v>
      </c>
      <c r="R148" s="81">
        <f ca="1">R128*(INDEX(R$35:R$37,MATCH(Work_Codes!$I$233,$D$35:$D$37,0)))</f>
        <v>0</v>
      </c>
      <c r="S148" s="81">
        <f ca="1">S128*(INDEX(S$35:S$37,MATCH(Work_Codes!$I$233,$D$35:$D$37,0)))</f>
        <v>0</v>
      </c>
      <c r="T148" s="81">
        <f ca="1">T128*(INDEX(T$35:T$37,MATCH(Work_Codes!$I$233,$D$35:$D$37,0)))</f>
        <v>0</v>
      </c>
    </row>
    <row r="149" spans="5:20" outlineLevel="2">
      <c r="E149" s="247" t="str">
        <f>GC!C43</f>
        <v>Cathodic protection</v>
      </c>
      <c r="F149" s="247"/>
      <c r="G149" s="247"/>
      <c r="H149" s="247"/>
      <c r="I149" s="247"/>
      <c r="J149" s="81">
        <f ca="1">J129*(INDEX(J$35:J$37,MATCH(Work_Codes!$I$233,$D$35:$D$37,0)))</f>
        <v>0</v>
      </c>
      <c r="K149" s="81">
        <f ca="1">K129*(INDEX(K$35:K$37,MATCH(Work_Codes!$I$233,$D$35:$D$37,0)))</f>
        <v>0</v>
      </c>
      <c r="L149" s="81">
        <f ca="1">L129*(INDEX(L$35:L$37,MATCH(Work_Codes!$I$233,$D$35:$D$37,0)))</f>
        <v>0</v>
      </c>
      <c r="M149" s="81">
        <f ca="1">M129*(INDEX(M$35:M$37,MATCH(Work_Codes!$I$233,$D$35:$D$37,0)))</f>
        <v>0</v>
      </c>
      <c r="N149" s="81">
        <f ca="1">N129*(INDEX(N$35:N$37,MATCH(Work_Codes!$I$233,$D$35:$D$37,0)))</f>
        <v>0</v>
      </c>
      <c r="O149" s="81">
        <f ca="1">O129*(INDEX(O$35:O$37,MATCH(Work_Codes!$I$233,$D$35:$D$37,0)))</f>
        <v>0</v>
      </c>
      <c r="P149" s="81">
        <f ca="1">P129*(INDEX(P$35:P$37,MATCH(Work_Codes!$I$233,$D$35:$D$37,0)))</f>
        <v>0</v>
      </c>
      <c r="Q149" s="81">
        <f ca="1">Q129*(INDEX(Q$35:Q$37,MATCH(Work_Codes!$I$233,$D$35:$D$37,0)))</f>
        <v>0</v>
      </c>
      <c r="R149" s="81">
        <f ca="1">R129*(INDEX(R$35:R$37,MATCH(Work_Codes!$I$233,$D$35:$D$37,0)))</f>
        <v>0</v>
      </c>
      <c r="S149" s="81">
        <f ca="1">S129*(INDEX(S$35:S$37,MATCH(Work_Codes!$I$233,$D$35:$D$37,0)))</f>
        <v>0</v>
      </c>
      <c r="T149" s="81">
        <f ca="1">T129*(INDEX(T$35:T$37,MATCH(Work_Codes!$I$233,$D$35:$D$37,0)))</f>
        <v>0</v>
      </c>
    </row>
    <row r="150" spans="5:20" outlineLevel="2">
      <c r="E150" s="247" t="str">
        <f>GC!C44</f>
        <v>Supply Regulators / Valve Stations</v>
      </c>
      <c r="F150" s="247"/>
      <c r="G150" s="247"/>
      <c r="H150" s="247"/>
      <c r="I150" s="247"/>
      <c r="J150" s="81">
        <f ca="1">J130*(INDEX(J$35:J$37,MATCH(Work_Codes!$I$233,$D$35:$D$37,0)))</f>
        <v>0</v>
      </c>
      <c r="K150" s="81">
        <f ca="1">K130*(INDEX(K$35:K$37,MATCH(Work_Codes!$I$233,$D$35:$D$37,0)))</f>
        <v>0</v>
      </c>
      <c r="L150" s="81">
        <f ca="1">L130*(INDEX(L$35:L$37,MATCH(Work_Codes!$I$233,$D$35:$D$37,0)))</f>
        <v>0</v>
      </c>
      <c r="M150" s="81">
        <f ca="1">M130*(INDEX(M$35:M$37,MATCH(Work_Codes!$I$233,$D$35:$D$37,0)))</f>
        <v>0</v>
      </c>
      <c r="N150" s="81">
        <f ca="1">N130*(INDEX(N$35:N$37,MATCH(Work_Codes!$I$233,$D$35:$D$37,0)))</f>
        <v>0</v>
      </c>
      <c r="O150" s="81">
        <f ca="1">O130*(INDEX(O$35:O$37,MATCH(Work_Codes!$I$233,$D$35:$D$37,0)))</f>
        <v>18441.235042137549</v>
      </c>
      <c r="P150" s="81">
        <f ca="1">P130*(INDEX(P$35:P$37,MATCH(Work_Codes!$I$233,$D$35:$D$37,0)))</f>
        <v>30771.185377750113</v>
      </c>
      <c r="Q150" s="81">
        <f ca="1">Q130*(INDEX(Q$35:Q$37,MATCH(Work_Codes!$I$233,$D$35:$D$37,0)))</f>
        <v>26214.713719056796</v>
      </c>
      <c r="R150" s="81">
        <f ca="1">R130*(INDEX(R$35:R$37,MATCH(Work_Codes!$I$233,$D$35:$D$37,0)))</f>
        <v>19205.298021295705</v>
      </c>
      <c r="S150" s="81">
        <f ca="1">S130*(INDEX(S$35:S$37,MATCH(Work_Codes!$I$233,$D$35:$D$37,0)))</f>
        <v>18757.2296031322</v>
      </c>
      <c r="T150" s="81">
        <f ca="1">T130*(INDEX(T$35:T$37,MATCH(Work_Codes!$I$233,$D$35:$D$37,0)))</f>
        <v>20869.495789058739</v>
      </c>
    </row>
    <row r="151" spans="5:20" outlineLevel="2">
      <c r="E151" s="247" t="str">
        <f>GC!C45</f>
        <v>Meters</v>
      </c>
      <c r="F151" s="247"/>
      <c r="G151" s="247"/>
      <c r="H151" s="247"/>
      <c r="I151" s="247"/>
      <c r="J151" s="81">
        <f ca="1">J131*(INDEX(J$35:J$37,MATCH(Work_Codes!$I$233,$D$35:$D$37,0)))</f>
        <v>0</v>
      </c>
      <c r="K151" s="81">
        <f ca="1">K131*(INDEX(K$35:K$37,MATCH(Work_Codes!$I$233,$D$35:$D$37,0)))</f>
        <v>0</v>
      </c>
      <c r="L151" s="81">
        <f ca="1">L131*(INDEX(L$35:L$37,MATCH(Work_Codes!$I$233,$D$35:$D$37,0)))</f>
        <v>0</v>
      </c>
      <c r="M151" s="81">
        <f ca="1">M131*(INDEX(M$35:M$37,MATCH(Work_Codes!$I$233,$D$35:$D$37,0)))</f>
        <v>0</v>
      </c>
      <c r="N151" s="81">
        <f ca="1">N131*(INDEX(N$35:N$37,MATCH(Work_Codes!$I$233,$D$35:$D$37,0)))</f>
        <v>0</v>
      </c>
      <c r="O151" s="81">
        <f ca="1">O131*(INDEX(O$35:O$37,MATCH(Work_Codes!$I$233,$D$35:$D$37,0)))</f>
        <v>0</v>
      </c>
      <c r="P151" s="81">
        <f ca="1">P131*(INDEX(P$35:P$37,MATCH(Work_Codes!$I$233,$D$35:$D$37,0)))</f>
        <v>0</v>
      </c>
      <c r="Q151" s="81">
        <f ca="1">Q131*(INDEX(Q$35:Q$37,MATCH(Work_Codes!$I$233,$D$35:$D$37,0)))</f>
        <v>0</v>
      </c>
      <c r="R151" s="81">
        <f ca="1">R131*(INDEX(R$35:R$37,MATCH(Work_Codes!$I$233,$D$35:$D$37,0)))</f>
        <v>0</v>
      </c>
      <c r="S151" s="81">
        <f ca="1">S131*(INDEX(S$35:S$37,MATCH(Work_Codes!$I$233,$D$35:$D$37,0)))</f>
        <v>0</v>
      </c>
      <c r="T151" s="81">
        <f ca="1">T131*(INDEX(T$35:T$37,MATCH(Work_Codes!$I$233,$D$35:$D$37,0)))</f>
        <v>0</v>
      </c>
    </row>
    <row r="152" spans="5:20" outlineLevel="2">
      <c r="E152" s="247" t="str">
        <f>GC!C46</f>
        <v>SCADA and remote control</v>
      </c>
      <c r="F152" s="247"/>
      <c r="G152" s="247"/>
      <c r="H152" s="247"/>
      <c r="I152" s="247"/>
      <c r="J152" s="81">
        <f ca="1">J132*(INDEX(J$35:J$37,MATCH(Work_Codes!$I$233,$D$35:$D$37,0)))</f>
        <v>0</v>
      </c>
      <c r="K152" s="81">
        <f ca="1">K132*(INDEX(K$35:K$37,MATCH(Work_Codes!$I$233,$D$35:$D$37,0)))</f>
        <v>0</v>
      </c>
      <c r="L152" s="81">
        <f ca="1">L132*(INDEX(L$35:L$37,MATCH(Work_Codes!$I$233,$D$35:$D$37,0)))</f>
        <v>0</v>
      </c>
      <c r="M152" s="81">
        <f ca="1">M132*(INDEX(M$35:M$37,MATCH(Work_Codes!$I$233,$D$35:$D$37,0)))</f>
        <v>0</v>
      </c>
      <c r="N152" s="81">
        <f ca="1">N132*(INDEX(N$35:N$37,MATCH(Work_Codes!$I$233,$D$35:$D$37,0)))</f>
        <v>0</v>
      </c>
      <c r="O152" s="81">
        <f ca="1">O132*(INDEX(O$35:O$37,MATCH(Work_Codes!$I$233,$D$35:$D$37,0)))</f>
        <v>0</v>
      </c>
      <c r="P152" s="81">
        <f ca="1">P132*(INDEX(P$35:P$37,MATCH(Work_Codes!$I$233,$D$35:$D$37,0)))</f>
        <v>0</v>
      </c>
      <c r="Q152" s="81">
        <f ca="1">Q132*(INDEX(Q$35:Q$37,MATCH(Work_Codes!$I$233,$D$35:$D$37,0)))</f>
        <v>0</v>
      </c>
      <c r="R152" s="81">
        <f ca="1">R132*(INDEX(R$35:R$37,MATCH(Work_Codes!$I$233,$D$35:$D$37,0)))</f>
        <v>0</v>
      </c>
      <c r="S152" s="81">
        <f ca="1">S132*(INDEX(S$35:S$37,MATCH(Work_Codes!$I$233,$D$35:$D$37,0)))</f>
        <v>0</v>
      </c>
      <c r="T152" s="81">
        <f ca="1">T132*(INDEX(T$35:T$37,MATCH(Work_Codes!$I$233,$D$35:$D$37,0)))</f>
        <v>0</v>
      </c>
    </row>
    <row r="153" spans="5:20" outlineLevel="2">
      <c r="E153" s="247" t="str">
        <f>GC!C47</f>
        <v>Buildings</v>
      </c>
      <c r="F153" s="247"/>
      <c r="G153" s="247"/>
      <c r="H153" s="247"/>
      <c r="I153" s="247"/>
      <c r="J153" s="81">
        <f ca="1">J133*(INDEX(J$35:J$37,MATCH(Work_Codes!$I$233,$D$35:$D$37,0)))</f>
        <v>0</v>
      </c>
      <c r="K153" s="81">
        <f ca="1">K133*(INDEX(K$35:K$37,MATCH(Work_Codes!$I$233,$D$35:$D$37,0)))</f>
        <v>0</v>
      </c>
      <c r="L153" s="81">
        <f ca="1">L133*(INDEX(L$35:L$37,MATCH(Work_Codes!$I$233,$D$35:$D$37,0)))</f>
        <v>0</v>
      </c>
      <c r="M153" s="81">
        <f ca="1">M133*(INDEX(M$35:M$37,MATCH(Work_Codes!$I$233,$D$35:$D$37,0)))</f>
        <v>0</v>
      </c>
      <c r="N153" s="81">
        <f ca="1">N133*(INDEX(N$35:N$37,MATCH(Work_Codes!$I$233,$D$35:$D$37,0)))</f>
        <v>0</v>
      </c>
      <c r="O153" s="81">
        <f ca="1">O133*(INDEX(O$35:O$37,MATCH(Work_Codes!$I$233,$D$35:$D$37,0)))</f>
        <v>0</v>
      </c>
      <c r="P153" s="81">
        <f ca="1">P133*(INDEX(P$35:P$37,MATCH(Work_Codes!$I$233,$D$35:$D$37,0)))</f>
        <v>0</v>
      </c>
      <c r="Q153" s="81">
        <f ca="1">Q133*(INDEX(Q$35:Q$37,MATCH(Work_Codes!$I$233,$D$35:$D$37,0)))</f>
        <v>0</v>
      </c>
      <c r="R153" s="81">
        <f ca="1">R133*(INDEX(R$35:R$37,MATCH(Work_Codes!$I$233,$D$35:$D$37,0)))</f>
        <v>0</v>
      </c>
      <c r="S153" s="81">
        <f ca="1">S133*(INDEX(S$35:S$37,MATCH(Work_Codes!$I$233,$D$35:$D$37,0)))</f>
        <v>0</v>
      </c>
      <c r="T153" s="81">
        <f ca="1">T133*(INDEX(T$35:T$37,MATCH(Work_Codes!$I$233,$D$35:$D$37,0)))</f>
        <v>0</v>
      </c>
    </row>
    <row r="154" spans="5:20" outlineLevel="2">
      <c r="E154" s="247" t="str">
        <f>GC!C48</f>
        <v>Other - IT</v>
      </c>
      <c r="F154" s="247"/>
      <c r="G154" s="247"/>
      <c r="H154" s="247"/>
      <c r="I154" s="247"/>
      <c r="J154" s="81">
        <f ca="1">J134*(INDEX(J$35:J$37,MATCH(Work_Codes!$I$233,$D$35:$D$37,0)))</f>
        <v>0</v>
      </c>
      <c r="K154" s="81">
        <f ca="1">K134*(INDEX(K$35:K$37,MATCH(Work_Codes!$I$233,$D$35:$D$37,0)))</f>
        <v>0</v>
      </c>
      <c r="L154" s="81">
        <f ca="1">L134*(INDEX(L$35:L$37,MATCH(Work_Codes!$I$233,$D$35:$D$37,0)))</f>
        <v>0</v>
      </c>
      <c r="M154" s="81">
        <f ca="1">M134*(INDEX(M$35:M$37,MATCH(Work_Codes!$I$233,$D$35:$D$37,0)))</f>
        <v>0</v>
      </c>
      <c r="N154" s="81">
        <f ca="1">N134*(INDEX(N$35:N$37,MATCH(Work_Codes!$I$233,$D$35:$D$37,0)))</f>
        <v>0</v>
      </c>
      <c r="O154" s="81">
        <f ca="1">O134*(INDEX(O$35:O$37,MATCH(Work_Codes!$I$233,$D$35:$D$37,0)))</f>
        <v>0</v>
      </c>
      <c r="P154" s="81">
        <f ca="1">P134*(INDEX(P$35:P$37,MATCH(Work_Codes!$I$233,$D$35:$D$37,0)))</f>
        <v>0</v>
      </c>
      <c r="Q154" s="81">
        <f ca="1">Q134*(INDEX(Q$35:Q$37,MATCH(Work_Codes!$I$233,$D$35:$D$37,0)))</f>
        <v>0</v>
      </c>
      <c r="R154" s="81">
        <f ca="1">R134*(INDEX(R$35:R$37,MATCH(Work_Codes!$I$233,$D$35:$D$37,0)))</f>
        <v>0</v>
      </c>
      <c r="S154" s="81">
        <f ca="1">S134*(INDEX(S$35:S$37,MATCH(Work_Codes!$I$233,$D$35:$D$37,0)))</f>
        <v>0</v>
      </c>
      <c r="T154" s="81">
        <f ca="1">T134*(INDEX(T$35:T$37,MATCH(Work_Codes!$I$233,$D$35:$D$37,0)))</f>
        <v>0</v>
      </c>
    </row>
    <row r="155" spans="5:20" outlineLevel="2">
      <c r="E155" s="247" t="str">
        <f>GC!C49</f>
        <v>Other - non IT</v>
      </c>
      <c r="F155" s="247"/>
      <c r="G155" s="247"/>
      <c r="H155" s="247"/>
      <c r="I155" s="247"/>
      <c r="J155" s="81">
        <f ca="1">J135*(INDEX(J$35:J$37,MATCH(Work_Codes!$I$233,$D$35:$D$37,0)))</f>
        <v>0</v>
      </c>
      <c r="K155" s="81">
        <f ca="1">K135*(INDEX(K$35:K$37,MATCH(Work_Codes!$I$233,$D$35:$D$37,0)))</f>
        <v>0</v>
      </c>
      <c r="L155" s="81">
        <f ca="1">L135*(INDEX(L$35:L$37,MATCH(Work_Codes!$I$233,$D$35:$D$37,0)))</f>
        <v>0</v>
      </c>
      <c r="M155" s="81">
        <f ca="1">M135*(INDEX(M$35:M$37,MATCH(Work_Codes!$I$233,$D$35:$D$37,0)))</f>
        <v>0</v>
      </c>
      <c r="N155" s="81">
        <f ca="1">N135*(INDEX(N$35:N$37,MATCH(Work_Codes!$I$233,$D$35:$D$37,0)))</f>
        <v>0</v>
      </c>
      <c r="O155" s="81">
        <f ca="1">O135*(INDEX(O$35:O$37,MATCH(Work_Codes!$I$233,$D$35:$D$37,0)))</f>
        <v>0</v>
      </c>
      <c r="P155" s="81">
        <f ca="1">P135*(INDEX(P$35:P$37,MATCH(Work_Codes!$I$233,$D$35:$D$37,0)))</f>
        <v>0</v>
      </c>
      <c r="Q155" s="81">
        <f ca="1">Q135*(INDEX(Q$35:Q$37,MATCH(Work_Codes!$I$233,$D$35:$D$37,0)))</f>
        <v>0</v>
      </c>
      <c r="R155" s="81">
        <f ca="1">R135*(INDEX(R$35:R$37,MATCH(Work_Codes!$I$233,$D$35:$D$37,0)))</f>
        <v>0</v>
      </c>
      <c r="S155" s="81">
        <f ca="1">S135*(INDEX(S$35:S$37,MATCH(Work_Codes!$I$233,$D$35:$D$37,0)))</f>
        <v>0</v>
      </c>
      <c r="T155" s="81">
        <f ca="1">T135*(INDEX(T$35:T$37,MATCH(Work_Codes!$I$233,$D$35:$D$37,0)))</f>
        <v>0</v>
      </c>
    </row>
    <row r="156" spans="5:20" outlineLevel="2">
      <c r="E156" s="247" t="str">
        <f>GC!C50</f>
        <v>Land</v>
      </c>
      <c r="F156" s="247"/>
      <c r="G156" s="247"/>
      <c r="H156" s="247"/>
      <c r="I156" s="247"/>
      <c r="J156" s="81">
        <f ca="1">J136*(INDEX(J$35:J$37,MATCH(Work_Codes!$I$233,$D$35:$D$37,0)))</f>
        <v>0</v>
      </c>
      <c r="K156" s="81">
        <f ca="1">K136*(INDEX(K$35:K$37,MATCH(Work_Codes!$I$233,$D$35:$D$37,0)))</f>
        <v>0</v>
      </c>
      <c r="L156" s="81">
        <f ca="1">L136*(INDEX(L$35:L$37,MATCH(Work_Codes!$I$233,$D$35:$D$37,0)))</f>
        <v>0</v>
      </c>
      <c r="M156" s="81">
        <f ca="1">M136*(INDEX(M$35:M$37,MATCH(Work_Codes!$I$233,$D$35:$D$37,0)))</f>
        <v>0</v>
      </c>
      <c r="N156" s="81">
        <f ca="1">N136*(INDEX(N$35:N$37,MATCH(Work_Codes!$I$233,$D$35:$D$37,0)))</f>
        <v>0</v>
      </c>
      <c r="O156" s="81">
        <f ca="1">O136*(INDEX(O$35:O$37,MATCH(Work_Codes!$I$233,$D$35:$D$37,0)))</f>
        <v>0</v>
      </c>
      <c r="P156" s="81">
        <f ca="1">P136*(INDEX(P$35:P$37,MATCH(Work_Codes!$I$233,$D$35:$D$37,0)))</f>
        <v>0</v>
      </c>
      <c r="Q156" s="81">
        <f ca="1">Q136*(INDEX(Q$35:Q$37,MATCH(Work_Codes!$I$233,$D$35:$D$37,0)))</f>
        <v>0</v>
      </c>
      <c r="R156" s="81">
        <f ca="1">R136*(INDEX(R$35:R$37,MATCH(Work_Codes!$I$233,$D$35:$D$37,0)))</f>
        <v>0</v>
      </c>
      <c r="S156" s="81">
        <f ca="1">S136*(INDEX(S$35:S$37,MATCH(Work_Codes!$I$233,$D$35:$D$37,0)))</f>
        <v>0</v>
      </c>
      <c r="T156" s="81">
        <f ca="1">T136*(INDEX(T$35:T$37,MATCH(Work_Codes!$I$233,$D$35:$D$37,0)))</f>
        <v>0</v>
      </c>
    </row>
    <row r="157" spans="5:20" outlineLevel="2">
      <c r="E157" s="247" t="str">
        <f>GC!C51</f>
        <v>Capitalised Leases</v>
      </c>
      <c r="F157" s="247"/>
      <c r="G157" s="247"/>
      <c r="H157" s="247"/>
      <c r="I157" s="247"/>
      <c r="J157" s="81">
        <f ca="1">J137*(INDEX(J$35:J$37,MATCH(Work_Codes!$I$233,$D$35:$D$37,0)))</f>
        <v>0</v>
      </c>
      <c r="K157" s="81">
        <f ca="1">K137*(INDEX(K$35:K$37,MATCH(Work_Codes!$I$233,$D$35:$D$37,0)))</f>
        <v>0</v>
      </c>
      <c r="L157" s="81">
        <f ca="1">L137*(INDEX(L$35:L$37,MATCH(Work_Codes!$I$233,$D$35:$D$37,0)))</f>
        <v>0</v>
      </c>
      <c r="M157" s="81">
        <f ca="1">M137*(INDEX(M$35:M$37,MATCH(Work_Codes!$I$233,$D$35:$D$37,0)))</f>
        <v>0</v>
      </c>
      <c r="N157" s="81">
        <f ca="1">N137*(INDEX(N$35:N$37,MATCH(Work_Codes!$I$233,$D$35:$D$37,0)))</f>
        <v>0</v>
      </c>
      <c r="O157" s="81">
        <f ca="1">O137*(INDEX(O$35:O$37,MATCH(Work_Codes!$I$233,$D$35:$D$37,0)))</f>
        <v>0</v>
      </c>
      <c r="P157" s="81">
        <f ca="1">P137*(INDEX(P$35:P$37,MATCH(Work_Codes!$I$233,$D$35:$D$37,0)))</f>
        <v>0</v>
      </c>
      <c r="Q157" s="81">
        <f ca="1">Q137*(INDEX(Q$35:Q$37,MATCH(Work_Codes!$I$233,$D$35:$D$37,0)))</f>
        <v>0</v>
      </c>
      <c r="R157" s="81">
        <f ca="1">R137*(INDEX(R$35:R$37,MATCH(Work_Codes!$I$233,$D$35:$D$37,0)))</f>
        <v>0</v>
      </c>
      <c r="S157" s="81">
        <f ca="1">S137*(INDEX(S$35:S$37,MATCH(Work_Codes!$I$233,$D$35:$D$37,0)))</f>
        <v>0</v>
      </c>
      <c r="T157" s="81">
        <f ca="1">T137*(INDEX(T$35:T$37,MATCH(Work_Codes!$I$233,$D$35:$D$37,0)))</f>
        <v>0</v>
      </c>
    </row>
    <row r="158" spans="5:20" outlineLevel="2">
      <c r="E158" s="247" t="str">
        <f>GC!C52</f>
        <v>Transmission pipelines - post 1998</v>
      </c>
      <c r="F158" s="247"/>
      <c r="G158" s="247"/>
      <c r="H158" s="247"/>
      <c r="I158" s="247"/>
      <c r="J158" s="81">
        <f ca="1">J138*(INDEX(J$35:J$37,MATCH(Work_Codes!$I$233,$D$35:$D$37,0)))</f>
        <v>0</v>
      </c>
      <c r="K158" s="81">
        <f ca="1">K138*(INDEX(K$35:K$37,MATCH(Work_Codes!$I$233,$D$35:$D$37,0)))</f>
        <v>0</v>
      </c>
      <c r="L158" s="81">
        <f ca="1">L138*(INDEX(L$35:L$37,MATCH(Work_Codes!$I$233,$D$35:$D$37,0)))</f>
        <v>0</v>
      </c>
      <c r="M158" s="81">
        <f ca="1">M138*(INDEX(M$35:M$37,MATCH(Work_Codes!$I$233,$D$35:$D$37,0)))</f>
        <v>0</v>
      </c>
      <c r="N158" s="81">
        <f ca="1">N138*(INDEX(N$35:N$37,MATCH(Work_Codes!$I$233,$D$35:$D$37,0)))</f>
        <v>0</v>
      </c>
      <c r="O158" s="81">
        <f ca="1">O138*(INDEX(O$35:O$37,MATCH(Work_Codes!$I$233,$D$35:$D$37,0)))</f>
        <v>0</v>
      </c>
      <c r="P158" s="81">
        <f ca="1">P138*(INDEX(P$35:P$37,MATCH(Work_Codes!$I$233,$D$35:$D$37,0)))</f>
        <v>0</v>
      </c>
      <c r="Q158" s="81">
        <f ca="1">Q138*(INDEX(Q$35:Q$37,MATCH(Work_Codes!$I$233,$D$35:$D$37,0)))</f>
        <v>0</v>
      </c>
      <c r="R158" s="81">
        <f ca="1">R138*(INDEX(R$35:R$37,MATCH(Work_Codes!$I$233,$D$35:$D$37,0)))</f>
        <v>0</v>
      </c>
      <c r="S158" s="81">
        <f ca="1">S138*(INDEX(S$35:S$37,MATCH(Work_Codes!$I$233,$D$35:$D$37,0)))</f>
        <v>0</v>
      </c>
      <c r="T158" s="81">
        <f ca="1">T138*(INDEX(T$35:T$37,MATCH(Work_Codes!$I$233,$D$35:$D$37,0)))</f>
        <v>0</v>
      </c>
    </row>
    <row r="159" spans="5:20" outlineLevel="2">
      <c r="E159" s="247" t="str">
        <f>GC!C53</f>
        <v>Distribution pipelines - post 1998</v>
      </c>
      <c r="F159" s="247"/>
      <c r="G159" s="247"/>
      <c r="H159" s="247"/>
      <c r="I159" s="247"/>
      <c r="J159" s="81">
        <f ca="1">J139*(INDEX(J$35:J$37,MATCH(Work_Codes!$I$233,$D$35:$D$37,0)))</f>
        <v>0</v>
      </c>
      <c r="K159" s="81">
        <f ca="1">K139*(INDEX(K$35:K$37,MATCH(Work_Codes!$I$233,$D$35:$D$37,0)))</f>
        <v>0</v>
      </c>
      <c r="L159" s="81">
        <f ca="1">L139*(INDEX(L$35:L$37,MATCH(Work_Codes!$I$233,$D$35:$D$37,0)))</f>
        <v>0</v>
      </c>
      <c r="M159" s="81">
        <f ca="1">M139*(INDEX(M$35:M$37,MATCH(Work_Codes!$I$233,$D$35:$D$37,0)))</f>
        <v>0</v>
      </c>
      <c r="N159" s="81">
        <f ca="1">N139*(INDEX(N$35:N$37,MATCH(Work_Codes!$I$233,$D$35:$D$37,0)))</f>
        <v>0</v>
      </c>
      <c r="O159" s="81">
        <f ca="1">O139*(INDEX(O$35:O$37,MATCH(Work_Codes!$I$233,$D$35:$D$37,0)))</f>
        <v>0</v>
      </c>
      <c r="P159" s="81">
        <f ca="1">P139*(INDEX(P$35:P$37,MATCH(Work_Codes!$I$233,$D$35:$D$37,0)))</f>
        <v>0</v>
      </c>
      <c r="Q159" s="81">
        <f ca="1">Q139*(INDEX(Q$35:Q$37,MATCH(Work_Codes!$I$233,$D$35:$D$37,0)))</f>
        <v>0</v>
      </c>
      <c r="R159" s="81">
        <f ca="1">R139*(INDEX(R$35:R$37,MATCH(Work_Codes!$I$233,$D$35:$D$37,0)))</f>
        <v>0</v>
      </c>
      <c r="S159" s="81">
        <f ca="1">S139*(INDEX(S$35:S$37,MATCH(Work_Codes!$I$233,$D$35:$D$37,0)))</f>
        <v>0</v>
      </c>
      <c r="T159" s="81">
        <f ca="1">T139*(INDEX(T$35:T$37,MATCH(Work_Codes!$I$233,$D$35:$D$37,0)))</f>
        <v>0</v>
      </c>
    </row>
    <row r="160" spans="5:20" outlineLevel="2">
      <c r="E160" s="247" t="str">
        <f>GC!C54</f>
        <v>Service pipes - post 1998</v>
      </c>
      <c r="F160" s="247"/>
      <c r="G160" s="247"/>
      <c r="H160" s="247"/>
      <c r="I160" s="247"/>
      <c r="J160" s="81">
        <f ca="1">J140*(INDEX(J$35:J$37,MATCH(Work_Codes!$I$233,$D$35:$D$37,0)))</f>
        <v>0</v>
      </c>
      <c r="K160" s="81">
        <f ca="1">K140*(INDEX(K$35:K$37,MATCH(Work_Codes!$I$233,$D$35:$D$37,0)))</f>
        <v>0</v>
      </c>
      <c r="L160" s="81">
        <f ca="1">L140*(INDEX(L$35:L$37,MATCH(Work_Codes!$I$233,$D$35:$D$37,0)))</f>
        <v>0</v>
      </c>
      <c r="M160" s="81">
        <f ca="1">M140*(INDEX(M$35:M$37,MATCH(Work_Codes!$I$233,$D$35:$D$37,0)))</f>
        <v>0</v>
      </c>
      <c r="N160" s="81">
        <f ca="1">N140*(INDEX(N$35:N$37,MATCH(Work_Codes!$I$233,$D$35:$D$37,0)))</f>
        <v>0</v>
      </c>
      <c r="O160" s="81">
        <f ca="1">O140*(INDEX(O$35:O$37,MATCH(Work_Codes!$I$233,$D$35:$D$37,0)))</f>
        <v>0</v>
      </c>
      <c r="P160" s="81">
        <f ca="1">P140*(INDEX(P$35:P$37,MATCH(Work_Codes!$I$233,$D$35:$D$37,0)))</f>
        <v>0</v>
      </c>
      <c r="Q160" s="81">
        <f ca="1">Q140*(INDEX(Q$35:Q$37,MATCH(Work_Codes!$I$233,$D$35:$D$37,0)))</f>
        <v>0</v>
      </c>
      <c r="R160" s="81">
        <f ca="1">R140*(INDEX(R$35:R$37,MATCH(Work_Codes!$I$233,$D$35:$D$37,0)))</f>
        <v>0</v>
      </c>
      <c r="S160" s="81">
        <f ca="1">S140*(INDEX(S$35:S$37,MATCH(Work_Codes!$I$233,$D$35:$D$37,0)))</f>
        <v>0</v>
      </c>
      <c r="T160" s="81">
        <f ca="1">T140*(INDEX(T$35:T$37,MATCH(Work_Codes!$I$233,$D$35:$D$37,0)))</f>
        <v>0</v>
      </c>
    </row>
    <row r="161" spans="4:20" outlineLevel="2">
      <c r="E161" s="247" t="str">
        <f>GC!C55</f>
        <v>Cathodic protection - post 1998</v>
      </c>
      <c r="F161" s="247"/>
      <c r="G161" s="247"/>
      <c r="H161" s="247"/>
      <c r="I161" s="247"/>
      <c r="J161" s="81">
        <f ca="1">J141*(INDEX(J$35:J$37,MATCH(Work_Codes!$I$233,$D$35:$D$37,0)))</f>
        <v>0</v>
      </c>
      <c r="K161" s="81">
        <f ca="1">K141*(INDEX(K$35:K$37,MATCH(Work_Codes!$I$233,$D$35:$D$37,0)))</f>
        <v>0</v>
      </c>
      <c r="L161" s="81">
        <f ca="1">L141*(INDEX(L$35:L$37,MATCH(Work_Codes!$I$233,$D$35:$D$37,0)))</f>
        <v>0</v>
      </c>
      <c r="M161" s="81">
        <f ca="1">M141*(INDEX(M$35:M$37,MATCH(Work_Codes!$I$233,$D$35:$D$37,0)))</f>
        <v>0</v>
      </c>
      <c r="N161" s="81">
        <f ca="1">N141*(INDEX(N$35:N$37,MATCH(Work_Codes!$I$233,$D$35:$D$37,0)))</f>
        <v>0</v>
      </c>
      <c r="O161" s="81">
        <f ca="1">O141*(INDEX(O$35:O$37,MATCH(Work_Codes!$I$233,$D$35:$D$37,0)))</f>
        <v>0</v>
      </c>
      <c r="P161" s="81">
        <f ca="1">P141*(INDEX(P$35:P$37,MATCH(Work_Codes!$I$233,$D$35:$D$37,0)))</f>
        <v>0</v>
      </c>
      <c r="Q161" s="81">
        <f ca="1">Q141*(INDEX(Q$35:Q$37,MATCH(Work_Codes!$I$233,$D$35:$D$37,0)))</f>
        <v>0</v>
      </c>
      <c r="R161" s="81">
        <f ca="1">R141*(INDEX(R$35:R$37,MATCH(Work_Codes!$I$233,$D$35:$D$37,0)))</f>
        <v>0</v>
      </c>
      <c r="S161" s="81">
        <f ca="1">S141*(INDEX(S$35:S$37,MATCH(Work_Codes!$I$233,$D$35:$D$37,0)))</f>
        <v>0</v>
      </c>
      <c r="T161" s="81">
        <f ca="1">T141*(INDEX(T$35:T$37,MATCH(Work_Codes!$I$233,$D$35:$D$37,0)))</f>
        <v>0</v>
      </c>
    </row>
    <row r="162" spans="4:20" outlineLevel="2">
      <c r="E162" s="249" t="str">
        <f>"Total "&amp;D144</f>
        <v>Total Overheads</v>
      </c>
      <c r="F162" s="249"/>
      <c r="G162" s="249"/>
      <c r="H162" s="249"/>
      <c r="I162" s="249"/>
      <c r="J162" s="82">
        <f t="shared" ref="J162:T162" ca="1" si="20">SUM(J146:J161)</f>
        <v>0</v>
      </c>
      <c r="K162" s="82">
        <f t="shared" ca="1" si="20"/>
        <v>0</v>
      </c>
      <c r="L162" s="82">
        <f t="shared" ca="1" si="20"/>
        <v>0</v>
      </c>
      <c r="M162" s="82">
        <f t="shared" ca="1" si="20"/>
        <v>0</v>
      </c>
      <c r="N162" s="82">
        <f t="shared" ca="1" si="20"/>
        <v>0</v>
      </c>
      <c r="O162" s="82">
        <f t="shared" ca="1" si="20"/>
        <v>18441.235042137549</v>
      </c>
      <c r="P162" s="82">
        <f t="shared" ca="1" si="20"/>
        <v>30771.185377750113</v>
      </c>
      <c r="Q162" s="82">
        <f t="shared" ca="1" si="20"/>
        <v>26214.713719056796</v>
      </c>
      <c r="R162" s="82">
        <f t="shared" ca="1" si="20"/>
        <v>19205.298021295705</v>
      </c>
      <c r="S162" s="82">
        <f t="shared" ca="1" si="20"/>
        <v>18757.2296031322</v>
      </c>
      <c r="T162" s="82">
        <f t="shared" ca="1" si="20"/>
        <v>20869.495789058739</v>
      </c>
    </row>
    <row r="163" spans="4:20" outlineLevel="2"/>
    <row r="164" spans="4:20" outlineLevel="2">
      <c r="D164" s="37" t="s">
        <v>216</v>
      </c>
    </row>
    <row r="165" spans="4:20" ht="5.9" customHeight="1" outlineLevel="2"/>
    <row r="166" spans="4:20" ht="11.5" customHeight="1" outlineLevel="2">
      <c r="E166" s="247" t="str">
        <f>GC!C40</f>
        <v>Transmission pipelines</v>
      </c>
      <c r="F166" s="247"/>
      <c r="G166" s="247"/>
      <c r="H166" s="247"/>
      <c r="I166" s="247"/>
      <c r="J166" s="81">
        <f ca="1">J126*(1+INDEX(J$35:J$37,MATCH(Work_Codes!$I$233,$D$35:$D$37,0)))</f>
        <v>0</v>
      </c>
      <c r="K166" s="81">
        <f ca="1">K126*(1+INDEX(K$35:K$37,MATCH(Work_Codes!$I$233,$D$35:$D$37,0)))</f>
        <v>0</v>
      </c>
      <c r="L166" s="81">
        <f ca="1">L126*(1+INDEX(L$35:L$37,MATCH(Work_Codes!$I$233,$D$35:$D$37,0)))</f>
        <v>0</v>
      </c>
      <c r="M166" s="81">
        <f ca="1">M126*(1+INDEX(M$35:M$37,MATCH(Work_Codes!$I$233,$D$35:$D$37,0)))</f>
        <v>0</v>
      </c>
      <c r="N166" s="81">
        <f ca="1">N126*(1+INDEX(N$35:N$37,MATCH(Work_Codes!$I$233,$D$35:$D$37,0)))</f>
        <v>0</v>
      </c>
      <c r="O166" s="81">
        <f ca="1">O126*(1+INDEX(O$35:O$37,MATCH(Work_Codes!$I$233,$D$35:$D$37,0)))</f>
        <v>0</v>
      </c>
      <c r="P166" s="81">
        <f ca="1">P126*(1+INDEX(P$35:P$37,MATCH(Work_Codes!$I$233,$D$35:$D$37,0)))</f>
        <v>0</v>
      </c>
      <c r="Q166" s="81">
        <f ca="1">Q126*(1+INDEX(Q$35:Q$37,MATCH(Work_Codes!$I$233,$D$35:$D$37,0)))</f>
        <v>0</v>
      </c>
      <c r="R166" s="81">
        <f ca="1">R126*(1+INDEX(R$35:R$37,MATCH(Work_Codes!$I$233,$D$35:$D$37,0)))</f>
        <v>0</v>
      </c>
      <c r="S166" s="81">
        <f ca="1">S126*(1+INDEX(S$35:S$37,MATCH(Work_Codes!$I$233,$D$35:$D$37,0)))</f>
        <v>0</v>
      </c>
      <c r="T166" s="81">
        <f ca="1">T126*(1+INDEX(T$35:T$37,MATCH(Work_Codes!$I$233,$D$35:$D$37,0)))</f>
        <v>0</v>
      </c>
    </row>
    <row r="167" spans="4:20" ht="11.5" customHeight="1" outlineLevel="2">
      <c r="E167" s="247" t="str">
        <f>GC!C41</f>
        <v>Distribution pipelines</v>
      </c>
      <c r="F167" s="247"/>
      <c r="G167" s="247"/>
      <c r="H167" s="247"/>
      <c r="I167" s="247"/>
      <c r="J167" s="81">
        <f ca="1">J127*(1+INDEX(J$35:J$37,MATCH(Work_Codes!$I$233,$D$35:$D$37,0)))</f>
        <v>0</v>
      </c>
      <c r="K167" s="81">
        <f ca="1">K127*(1+INDEX(K$35:K$37,MATCH(Work_Codes!$I$233,$D$35:$D$37,0)))</f>
        <v>0</v>
      </c>
      <c r="L167" s="81">
        <f ca="1">L127*(1+INDEX(L$35:L$37,MATCH(Work_Codes!$I$233,$D$35:$D$37,0)))</f>
        <v>0</v>
      </c>
      <c r="M167" s="81">
        <f ca="1">M127*(1+INDEX(M$35:M$37,MATCH(Work_Codes!$I$233,$D$35:$D$37,0)))</f>
        <v>0</v>
      </c>
      <c r="N167" s="81">
        <f ca="1">N127*(1+INDEX(N$35:N$37,MATCH(Work_Codes!$I$233,$D$35:$D$37,0)))</f>
        <v>0</v>
      </c>
      <c r="O167" s="81">
        <f ca="1">O127*(1+INDEX(O$35:O$37,MATCH(Work_Codes!$I$233,$D$35:$D$37,0)))</f>
        <v>0</v>
      </c>
      <c r="P167" s="81">
        <f ca="1">P127*(1+INDEX(P$35:P$37,MATCH(Work_Codes!$I$233,$D$35:$D$37,0)))</f>
        <v>0</v>
      </c>
      <c r="Q167" s="81">
        <f ca="1">Q127*(1+INDEX(Q$35:Q$37,MATCH(Work_Codes!$I$233,$D$35:$D$37,0)))</f>
        <v>0</v>
      </c>
      <c r="R167" s="81">
        <f ca="1">R127*(1+INDEX(R$35:R$37,MATCH(Work_Codes!$I$233,$D$35:$D$37,0)))</f>
        <v>0</v>
      </c>
      <c r="S167" s="81">
        <f ca="1">S127*(1+INDEX(S$35:S$37,MATCH(Work_Codes!$I$233,$D$35:$D$37,0)))</f>
        <v>0</v>
      </c>
      <c r="T167" s="81">
        <f ca="1">T127*(1+INDEX(T$35:T$37,MATCH(Work_Codes!$I$233,$D$35:$D$37,0)))</f>
        <v>0</v>
      </c>
    </row>
    <row r="168" spans="4:20" ht="11.5" customHeight="1" outlineLevel="2">
      <c r="E168" s="247" t="str">
        <f>GC!C42</f>
        <v>Service pipes</v>
      </c>
      <c r="F168" s="247"/>
      <c r="G168" s="247"/>
      <c r="H168" s="247"/>
      <c r="I168" s="247"/>
      <c r="J168" s="81">
        <f ca="1">J128*(1+INDEX(J$35:J$37,MATCH(Work_Codes!$I$233,$D$35:$D$37,0)))</f>
        <v>0</v>
      </c>
      <c r="K168" s="81">
        <f ca="1">K128*(1+INDEX(K$35:K$37,MATCH(Work_Codes!$I$233,$D$35:$D$37,0)))</f>
        <v>0</v>
      </c>
      <c r="L168" s="81">
        <f ca="1">L128*(1+INDEX(L$35:L$37,MATCH(Work_Codes!$I$233,$D$35:$D$37,0)))</f>
        <v>0</v>
      </c>
      <c r="M168" s="81">
        <f ca="1">M128*(1+INDEX(M$35:M$37,MATCH(Work_Codes!$I$233,$D$35:$D$37,0)))</f>
        <v>0</v>
      </c>
      <c r="N168" s="81">
        <f ca="1">N128*(1+INDEX(N$35:N$37,MATCH(Work_Codes!$I$233,$D$35:$D$37,0)))</f>
        <v>0</v>
      </c>
      <c r="O168" s="81">
        <f ca="1">O128*(1+INDEX(O$35:O$37,MATCH(Work_Codes!$I$233,$D$35:$D$37,0)))</f>
        <v>0</v>
      </c>
      <c r="P168" s="81">
        <f ca="1">P128*(1+INDEX(P$35:P$37,MATCH(Work_Codes!$I$233,$D$35:$D$37,0)))</f>
        <v>0</v>
      </c>
      <c r="Q168" s="81">
        <f ca="1">Q128*(1+INDEX(Q$35:Q$37,MATCH(Work_Codes!$I$233,$D$35:$D$37,0)))</f>
        <v>0</v>
      </c>
      <c r="R168" s="81">
        <f ca="1">R128*(1+INDEX(R$35:R$37,MATCH(Work_Codes!$I$233,$D$35:$D$37,0)))</f>
        <v>0</v>
      </c>
      <c r="S168" s="81">
        <f ca="1">S128*(1+INDEX(S$35:S$37,MATCH(Work_Codes!$I$233,$D$35:$D$37,0)))</f>
        <v>0</v>
      </c>
      <c r="T168" s="81">
        <f ca="1">T128*(1+INDEX(T$35:T$37,MATCH(Work_Codes!$I$233,$D$35:$D$37,0)))</f>
        <v>0</v>
      </c>
    </row>
    <row r="169" spans="4:20" ht="11.5" customHeight="1" outlineLevel="2">
      <c r="E169" s="247" t="str">
        <f>GC!C43</f>
        <v>Cathodic protection</v>
      </c>
      <c r="F169" s="247"/>
      <c r="G169" s="247"/>
      <c r="H169" s="247"/>
      <c r="I169" s="247"/>
      <c r="J169" s="81">
        <f ca="1">J129*(1+INDEX(J$35:J$37,MATCH(Work_Codes!$I$233,$D$35:$D$37,0)))</f>
        <v>0</v>
      </c>
      <c r="K169" s="81">
        <f ca="1">K129*(1+INDEX(K$35:K$37,MATCH(Work_Codes!$I$233,$D$35:$D$37,0)))</f>
        <v>0</v>
      </c>
      <c r="L169" s="81">
        <f ca="1">L129*(1+INDEX(L$35:L$37,MATCH(Work_Codes!$I$233,$D$35:$D$37,0)))</f>
        <v>0</v>
      </c>
      <c r="M169" s="81">
        <f ca="1">M129*(1+INDEX(M$35:M$37,MATCH(Work_Codes!$I$233,$D$35:$D$37,0)))</f>
        <v>0</v>
      </c>
      <c r="N169" s="81">
        <f ca="1">N129*(1+INDEX(N$35:N$37,MATCH(Work_Codes!$I$233,$D$35:$D$37,0)))</f>
        <v>0</v>
      </c>
      <c r="O169" s="81">
        <f ca="1">O129*(1+INDEX(O$35:O$37,MATCH(Work_Codes!$I$233,$D$35:$D$37,0)))</f>
        <v>0</v>
      </c>
      <c r="P169" s="81">
        <f ca="1">P129*(1+INDEX(P$35:P$37,MATCH(Work_Codes!$I$233,$D$35:$D$37,0)))</f>
        <v>0</v>
      </c>
      <c r="Q169" s="81">
        <f ca="1">Q129*(1+INDEX(Q$35:Q$37,MATCH(Work_Codes!$I$233,$D$35:$D$37,0)))</f>
        <v>0</v>
      </c>
      <c r="R169" s="81">
        <f ca="1">R129*(1+INDEX(R$35:R$37,MATCH(Work_Codes!$I$233,$D$35:$D$37,0)))</f>
        <v>0</v>
      </c>
      <c r="S169" s="81">
        <f ca="1">S129*(1+INDEX(S$35:S$37,MATCH(Work_Codes!$I$233,$D$35:$D$37,0)))</f>
        <v>0</v>
      </c>
      <c r="T169" s="81">
        <f ca="1">T129*(1+INDEX(T$35:T$37,MATCH(Work_Codes!$I$233,$D$35:$D$37,0)))</f>
        <v>0</v>
      </c>
    </row>
    <row r="170" spans="4:20" ht="11.5" customHeight="1" outlineLevel="2">
      <c r="E170" s="247" t="str">
        <f>GC!C44</f>
        <v>Supply Regulators / Valve Stations</v>
      </c>
      <c r="F170" s="247"/>
      <c r="G170" s="247"/>
      <c r="H170" s="247"/>
      <c r="I170" s="247"/>
      <c r="J170" s="81">
        <f ca="1">J130*(1+INDEX(J$35:J$37,MATCH(Work_Codes!$I$233,$D$35:$D$37,0)))</f>
        <v>0</v>
      </c>
      <c r="K170" s="81">
        <f ca="1">K130*(1+INDEX(K$35:K$37,MATCH(Work_Codes!$I$233,$D$35:$D$37,0)))</f>
        <v>0</v>
      </c>
      <c r="L170" s="81">
        <f ca="1">L130*(1+INDEX(L$35:L$37,MATCH(Work_Codes!$I$233,$D$35:$D$37,0)))</f>
        <v>0</v>
      </c>
      <c r="M170" s="81">
        <f ca="1">M130*(1+INDEX(M$35:M$37,MATCH(Work_Codes!$I$233,$D$35:$D$37,0)))</f>
        <v>0</v>
      </c>
      <c r="N170" s="81">
        <f ca="1">N130*(1+INDEX(N$35:N$37,MATCH(Work_Codes!$I$233,$D$35:$D$37,0)))</f>
        <v>0</v>
      </c>
      <c r="O170" s="81">
        <f ca="1">O130*(1+INDEX(O$35:O$37,MATCH(Work_Codes!$I$233,$D$35:$D$37,0)))</f>
        <v>572498.80587531684</v>
      </c>
      <c r="P170" s="81">
        <f ca="1">P130*(1+INDEX(P$35:P$37,MATCH(Work_Codes!$I$233,$D$35:$D$37,0)))</f>
        <v>1180981.4742678963</v>
      </c>
      <c r="Q170" s="81">
        <f ca="1">Q130*(1+INDEX(Q$35:Q$37,MATCH(Work_Codes!$I$233,$D$35:$D$37,0)))</f>
        <v>1032128.8693748377</v>
      </c>
      <c r="R170" s="81">
        <f ca="1">R130*(1+INDEX(R$35:R$37,MATCH(Work_Codes!$I$233,$D$35:$D$37,0)))</f>
        <v>733874.06377704302</v>
      </c>
      <c r="S170" s="81">
        <f ca="1">S130*(1+INDEX(S$35:S$37,MATCH(Work_Codes!$I$233,$D$35:$D$37,0)))</f>
        <v>675840.95525250491</v>
      </c>
      <c r="T170" s="81">
        <f ca="1">T130*(1+INDEX(T$35:T$37,MATCH(Work_Codes!$I$233,$D$35:$D$37,0)))</f>
        <v>718370.56502645824</v>
      </c>
    </row>
    <row r="171" spans="4:20" ht="11.5" customHeight="1" outlineLevel="2">
      <c r="E171" s="247" t="str">
        <f>GC!C45</f>
        <v>Meters</v>
      </c>
      <c r="F171" s="247"/>
      <c r="G171" s="247"/>
      <c r="H171" s="247"/>
      <c r="I171" s="247"/>
      <c r="J171" s="81">
        <f ca="1">J131*(1+INDEX(J$35:J$37,MATCH(Work_Codes!$I$233,$D$35:$D$37,0)))</f>
        <v>0</v>
      </c>
      <c r="K171" s="81">
        <f ca="1">K131*(1+INDEX(K$35:K$37,MATCH(Work_Codes!$I$233,$D$35:$D$37,0)))</f>
        <v>0</v>
      </c>
      <c r="L171" s="81">
        <f ca="1">L131*(1+INDEX(L$35:L$37,MATCH(Work_Codes!$I$233,$D$35:$D$37,0)))</f>
        <v>0</v>
      </c>
      <c r="M171" s="81">
        <f ca="1">M131*(1+INDEX(M$35:M$37,MATCH(Work_Codes!$I$233,$D$35:$D$37,0)))</f>
        <v>0</v>
      </c>
      <c r="N171" s="81">
        <f ca="1">N131*(1+INDEX(N$35:N$37,MATCH(Work_Codes!$I$233,$D$35:$D$37,0)))</f>
        <v>0</v>
      </c>
      <c r="O171" s="81">
        <f ca="1">O131*(1+INDEX(O$35:O$37,MATCH(Work_Codes!$I$233,$D$35:$D$37,0)))</f>
        <v>0</v>
      </c>
      <c r="P171" s="81">
        <f ca="1">P131*(1+INDEX(P$35:P$37,MATCH(Work_Codes!$I$233,$D$35:$D$37,0)))</f>
        <v>0</v>
      </c>
      <c r="Q171" s="81">
        <f ca="1">Q131*(1+INDEX(Q$35:Q$37,MATCH(Work_Codes!$I$233,$D$35:$D$37,0)))</f>
        <v>0</v>
      </c>
      <c r="R171" s="81">
        <f ca="1">R131*(1+INDEX(R$35:R$37,MATCH(Work_Codes!$I$233,$D$35:$D$37,0)))</f>
        <v>0</v>
      </c>
      <c r="S171" s="81">
        <f ca="1">S131*(1+INDEX(S$35:S$37,MATCH(Work_Codes!$I$233,$D$35:$D$37,0)))</f>
        <v>0</v>
      </c>
      <c r="T171" s="81">
        <f ca="1">T131*(1+INDEX(T$35:T$37,MATCH(Work_Codes!$I$233,$D$35:$D$37,0)))</f>
        <v>0</v>
      </c>
    </row>
    <row r="172" spans="4:20" ht="11.5" customHeight="1" outlineLevel="2">
      <c r="E172" s="247" t="str">
        <f>GC!C46</f>
        <v>SCADA and remote control</v>
      </c>
      <c r="F172" s="247"/>
      <c r="G172" s="247"/>
      <c r="H172" s="247"/>
      <c r="I172" s="247"/>
      <c r="J172" s="81">
        <f ca="1">J132*(1+INDEX(J$35:J$37,MATCH(Work_Codes!$I$233,$D$35:$D$37,0)))</f>
        <v>0</v>
      </c>
      <c r="K172" s="81">
        <f ca="1">K132*(1+INDEX(K$35:K$37,MATCH(Work_Codes!$I$233,$D$35:$D$37,0)))</f>
        <v>0</v>
      </c>
      <c r="L172" s="81">
        <f ca="1">L132*(1+INDEX(L$35:L$37,MATCH(Work_Codes!$I$233,$D$35:$D$37,0)))</f>
        <v>0</v>
      </c>
      <c r="M172" s="81">
        <f ca="1">M132*(1+INDEX(M$35:M$37,MATCH(Work_Codes!$I$233,$D$35:$D$37,0)))</f>
        <v>0</v>
      </c>
      <c r="N172" s="81">
        <f ca="1">N132*(1+INDEX(N$35:N$37,MATCH(Work_Codes!$I$233,$D$35:$D$37,0)))</f>
        <v>0</v>
      </c>
      <c r="O172" s="81">
        <f ca="1">O132*(1+INDEX(O$35:O$37,MATCH(Work_Codes!$I$233,$D$35:$D$37,0)))</f>
        <v>0</v>
      </c>
      <c r="P172" s="81">
        <f ca="1">P132*(1+INDEX(P$35:P$37,MATCH(Work_Codes!$I$233,$D$35:$D$37,0)))</f>
        <v>0</v>
      </c>
      <c r="Q172" s="81">
        <f ca="1">Q132*(1+INDEX(Q$35:Q$37,MATCH(Work_Codes!$I$233,$D$35:$D$37,0)))</f>
        <v>0</v>
      </c>
      <c r="R172" s="81">
        <f ca="1">R132*(1+INDEX(R$35:R$37,MATCH(Work_Codes!$I$233,$D$35:$D$37,0)))</f>
        <v>0</v>
      </c>
      <c r="S172" s="81">
        <f ca="1">S132*(1+INDEX(S$35:S$37,MATCH(Work_Codes!$I$233,$D$35:$D$37,0)))</f>
        <v>0</v>
      </c>
      <c r="T172" s="81">
        <f ca="1">T132*(1+INDEX(T$35:T$37,MATCH(Work_Codes!$I$233,$D$35:$D$37,0)))</f>
        <v>0</v>
      </c>
    </row>
    <row r="173" spans="4:20" ht="11.5" customHeight="1" outlineLevel="2">
      <c r="E173" s="247" t="str">
        <f>GC!C47</f>
        <v>Buildings</v>
      </c>
      <c r="F173" s="247"/>
      <c r="G173" s="247"/>
      <c r="H173" s="247"/>
      <c r="I173" s="247"/>
      <c r="J173" s="81">
        <f ca="1">J133*(1+INDEX(J$35:J$37,MATCH(Work_Codes!$I$233,$D$35:$D$37,0)))</f>
        <v>0</v>
      </c>
      <c r="K173" s="81">
        <f ca="1">K133*(1+INDEX(K$35:K$37,MATCH(Work_Codes!$I$233,$D$35:$D$37,0)))</f>
        <v>0</v>
      </c>
      <c r="L173" s="81">
        <f ca="1">L133*(1+INDEX(L$35:L$37,MATCH(Work_Codes!$I$233,$D$35:$D$37,0)))</f>
        <v>0</v>
      </c>
      <c r="M173" s="81">
        <f ca="1">M133*(1+INDEX(M$35:M$37,MATCH(Work_Codes!$I$233,$D$35:$D$37,0)))</f>
        <v>0</v>
      </c>
      <c r="N173" s="81">
        <f ca="1">N133*(1+INDEX(N$35:N$37,MATCH(Work_Codes!$I$233,$D$35:$D$37,0)))</f>
        <v>0</v>
      </c>
      <c r="O173" s="81">
        <f ca="1">O133*(1+INDEX(O$35:O$37,MATCH(Work_Codes!$I$233,$D$35:$D$37,0)))</f>
        <v>0</v>
      </c>
      <c r="P173" s="81">
        <f ca="1">P133*(1+INDEX(P$35:P$37,MATCH(Work_Codes!$I$233,$D$35:$D$37,0)))</f>
        <v>0</v>
      </c>
      <c r="Q173" s="81">
        <f ca="1">Q133*(1+INDEX(Q$35:Q$37,MATCH(Work_Codes!$I$233,$D$35:$D$37,0)))</f>
        <v>0</v>
      </c>
      <c r="R173" s="81">
        <f ca="1">R133*(1+INDEX(R$35:R$37,MATCH(Work_Codes!$I$233,$D$35:$D$37,0)))</f>
        <v>0</v>
      </c>
      <c r="S173" s="81">
        <f ca="1">S133*(1+INDEX(S$35:S$37,MATCH(Work_Codes!$I$233,$D$35:$D$37,0)))</f>
        <v>0</v>
      </c>
      <c r="T173" s="81">
        <f ca="1">T133*(1+INDEX(T$35:T$37,MATCH(Work_Codes!$I$233,$D$35:$D$37,0)))</f>
        <v>0</v>
      </c>
    </row>
    <row r="174" spans="4:20" ht="11.5" customHeight="1" outlineLevel="2">
      <c r="E174" s="247" t="str">
        <f>GC!C48</f>
        <v>Other - IT</v>
      </c>
      <c r="F174" s="247"/>
      <c r="G174" s="247"/>
      <c r="H174" s="247"/>
      <c r="I174" s="247"/>
      <c r="J174" s="81">
        <f ca="1">J134*(1+INDEX(J$35:J$37,MATCH(Work_Codes!$I$233,$D$35:$D$37,0)))</f>
        <v>0</v>
      </c>
      <c r="K174" s="81">
        <f ca="1">K134*(1+INDEX(K$35:K$37,MATCH(Work_Codes!$I$233,$D$35:$D$37,0)))</f>
        <v>0</v>
      </c>
      <c r="L174" s="81">
        <f ca="1">L134*(1+INDEX(L$35:L$37,MATCH(Work_Codes!$I$233,$D$35:$D$37,0)))</f>
        <v>0</v>
      </c>
      <c r="M174" s="81">
        <f ca="1">M134*(1+INDEX(M$35:M$37,MATCH(Work_Codes!$I$233,$D$35:$D$37,0)))</f>
        <v>0</v>
      </c>
      <c r="N174" s="81">
        <f ca="1">N134*(1+INDEX(N$35:N$37,MATCH(Work_Codes!$I$233,$D$35:$D$37,0)))</f>
        <v>0</v>
      </c>
      <c r="O174" s="81">
        <f ca="1">O134*(1+INDEX(O$35:O$37,MATCH(Work_Codes!$I$233,$D$35:$D$37,0)))</f>
        <v>0</v>
      </c>
      <c r="P174" s="81">
        <f ca="1">P134*(1+INDEX(P$35:P$37,MATCH(Work_Codes!$I$233,$D$35:$D$37,0)))</f>
        <v>0</v>
      </c>
      <c r="Q174" s="81">
        <f ca="1">Q134*(1+INDEX(Q$35:Q$37,MATCH(Work_Codes!$I$233,$D$35:$D$37,0)))</f>
        <v>0</v>
      </c>
      <c r="R174" s="81">
        <f ca="1">R134*(1+INDEX(R$35:R$37,MATCH(Work_Codes!$I$233,$D$35:$D$37,0)))</f>
        <v>0</v>
      </c>
      <c r="S174" s="81">
        <f ca="1">S134*(1+INDEX(S$35:S$37,MATCH(Work_Codes!$I$233,$D$35:$D$37,0)))</f>
        <v>0</v>
      </c>
      <c r="T174" s="81">
        <f ca="1">T134*(1+INDEX(T$35:T$37,MATCH(Work_Codes!$I$233,$D$35:$D$37,0)))</f>
        <v>0</v>
      </c>
    </row>
    <row r="175" spans="4:20" ht="11.5" customHeight="1" outlineLevel="2">
      <c r="E175" s="247" t="str">
        <f>GC!C49</f>
        <v>Other - non IT</v>
      </c>
      <c r="F175" s="247"/>
      <c r="G175" s="247"/>
      <c r="H175" s="247"/>
      <c r="I175" s="247"/>
      <c r="J175" s="81">
        <f ca="1">J135*(1+INDEX(J$35:J$37,MATCH(Work_Codes!$I$233,$D$35:$D$37,0)))</f>
        <v>0</v>
      </c>
      <c r="K175" s="81">
        <f ca="1">K135*(1+INDEX(K$35:K$37,MATCH(Work_Codes!$I$233,$D$35:$D$37,0)))</f>
        <v>0</v>
      </c>
      <c r="L175" s="81">
        <f ca="1">L135*(1+INDEX(L$35:L$37,MATCH(Work_Codes!$I$233,$D$35:$D$37,0)))</f>
        <v>0</v>
      </c>
      <c r="M175" s="81">
        <f ca="1">M135*(1+INDEX(M$35:M$37,MATCH(Work_Codes!$I$233,$D$35:$D$37,0)))</f>
        <v>0</v>
      </c>
      <c r="N175" s="81">
        <f ca="1">N135*(1+INDEX(N$35:N$37,MATCH(Work_Codes!$I$233,$D$35:$D$37,0)))</f>
        <v>0</v>
      </c>
      <c r="O175" s="81">
        <f ca="1">O135*(1+INDEX(O$35:O$37,MATCH(Work_Codes!$I$233,$D$35:$D$37,0)))</f>
        <v>0</v>
      </c>
      <c r="P175" s="81">
        <f ca="1">P135*(1+INDEX(P$35:P$37,MATCH(Work_Codes!$I$233,$D$35:$D$37,0)))</f>
        <v>0</v>
      </c>
      <c r="Q175" s="81">
        <f ca="1">Q135*(1+INDEX(Q$35:Q$37,MATCH(Work_Codes!$I$233,$D$35:$D$37,0)))</f>
        <v>0</v>
      </c>
      <c r="R175" s="81">
        <f ca="1">R135*(1+INDEX(R$35:R$37,MATCH(Work_Codes!$I$233,$D$35:$D$37,0)))</f>
        <v>0</v>
      </c>
      <c r="S175" s="81">
        <f ca="1">S135*(1+INDEX(S$35:S$37,MATCH(Work_Codes!$I$233,$D$35:$D$37,0)))</f>
        <v>0</v>
      </c>
      <c r="T175" s="81">
        <f ca="1">T135*(1+INDEX(T$35:T$37,MATCH(Work_Codes!$I$233,$D$35:$D$37,0)))</f>
        <v>0</v>
      </c>
    </row>
    <row r="176" spans="4:20" ht="11.5" customHeight="1" outlineLevel="2">
      <c r="E176" s="247" t="str">
        <f>GC!C50</f>
        <v>Land</v>
      </c>
      <c r="F176" s="247"/>
      <c r="G176" s="247"/>
      <c r="H176" s="247"/>
      <c r="I176" s="247"/>
      <c r="J176" s="81">
        <f ca="1">J136*(1+INDEX(J$35:J$37,MATCH(Work_Codes!$I$233,$D$35:$D$37,0)))</f>
        <v>0</v>
      </c>
      <c r="K176" s="81">
        <f ca="1">K136*(1+INDEX(K$35:K$37,MATCH(Work_Codes!$I$233,$D$35:$D$37,0)))</f>
        <v>0</v>
      </c>
      <c r="L176" s="81">
        <f ca="1">L136*(1+INDEX(L$35:L$37,MATCH(Work_Codes!$I$233,$D$35:$D$37,0)))</f>
        <v>0</v>
      </c>
      <c r="M176" s="81">
        <f ca="1">M136*(1+INDEX(M$35:M$37,MATCH(Work_Codes!$I$233,$D$35:$D$37,0)))</f>
        <v>0</v>
      </c>
      <c r="N176" s="81">
        <f ca="1">N136*(1+INDEX(N$35:N$37,MATCH(Work_Codes!$I$233,$D$35:$D$37,0)))</f>
        <v>0</v>
      </c>
      <c r="O176" s="81">
        <f ca="1">O136*(1+INDEX(O$35:O$37,MATCH(Work_Codes!$I$233,$D$35:$D$37,0)))</f>
        <v>0</v>
      </c>
      <c r="P176" s="81">
        <f ca="1">P136*(1+INDEX(P$35:P$37,MATCH(Work_Codes!$I$233,$D$35:$D$37,0)))</f>
        <v>0</v>
      </c>
      <c r="Q176" s="81">
        <f ca="1">Q136*(1+INDEX(Q$35:Q$37,MATCH(Work_Codes!$I$233,$D$35:$D$37,0)))</f>
        <v>0</v>
      </c>
      <c r="R176" s="81">
        <f ca="1">R136*(1+INDEX(R$35:R$37,MATCH(Work_Codes!$I$233,$D$35:$D$37,0)))</f>
        <v>0</v>
      </c>
      <c r="S176" s="81">
        <f ca="1">S136*(1+INDEX(S$35:S$37,MATCH(Work_Codes!$I$233,$D$35:$D$37,0)))</f>
        <v>0</v>
      </c>
      <c r="T176" s="81">
        <f ca="1">T136*(1+INDEX(T$35:T$37,MATCH(Work_Codes!$I$233,$D$35:$D$37,0)))</f>
        <v>0</v>
      </c>
    </row>
    <row r="177" spans="4:20" outlineLevel="2">
      <c r="E177" s="247" t="str">
        <f>GC!C51</f>
        <v>Capitalised Leases</v>
      </c>
      <c r="F177" s="247"/>
      <c r="G177" s="247"/>
      <c r="H177" s="247"/>
      <c r="I177" s="247"/>
      <c r="J177" s="81">
        <f ca="1">J137*(1+INDEX(J$35:J$37,MATCH(Work_Codes!$I$233,$D$35:$D$37,0)))</f>
        <v>0</v>
      </c>
      <c r="K177" s="81">
        <f ca="1">K137*(1+INDEX(K$35:K$37,MATCH(Work_Codes!$I$233,$D$35:$D$37,0)))</f>
        <v>0</v>
      </c>
      <c r="L177" s="81">
        <f ca="1">L137*(1+INDEX(L$35:L$37,MATCH(Work_Codes!$I$233,$D$35:$D$37,0)))</f>
        <v>0</v>
      </c>
      <c r="M177" s="81">
        <f ca="1">M137*(1+INDEX(M$35:M$37,MATCH(Work_Codes!$I$233,$D$35:$D$37,0)))</f>
        <v>0</v>
      </c>
      <c r="N177" s="81">
        <f ca="1">N137*(1+INDEX(N$35:N$37,MATCH(Work_Codes!$I$233,$D$35:$D$37,0)))</f>
        <v>0</v>
      </c>
      <c r="O177" s="81">
        <f ca="1">O137*(1+INDEX(O$35:O$37,MATCH(Work_Codes!$I$233,$D$35:$D$37,0)))</f>
        <v>0</v>
      </c>
      <c r="P177" s="81">
        <f ca="1">P137*(1+INDEX(P$35:P$37,MATCH(Work_Codes!$I$233,$D$35:$D$37,0)))</f>
        <v>0</v>
      </c>
      <c r="Q177" s="81">
        <f ca="1">Q137*(1+INDEX(Q$35:Q$37,MATCH(Work_Codes!$I$233,$D$35:$D$37,0)))</f>
        <v>0</v>
      </c>
      <c r="R177" s="81">
        <f ca="1">R137*(1+INDEX(R$35:R$37,MATCH(Work_Codes!$I$233,$D$35:$D$37,0)))</f>
        <v>0</v>
      </c>
      <c r="S177" s="81">
        <f ca="1">S137*(1+INDEX(S$35:S$37,MATCH(Work_Codes!$I$233,$D$35:$D$37,0)))</f>
        <v>0</v>
      </c>
      <c r="T177" s="81">
        <f ca="1">T137*(1+INDEX(T$35:T$37,MATCH(Work_Codes!$I$233,$D$35:$D$37,0)))</f>
        <v>0</v>
      </c>
    </row>
    <row r="178" spans="4:20" outlineLevel="2">
      <c r="E178" s="247" t="str">
        <f>GC!C52</f>
        <v>Transmission pipelines - post 1998</v>
      </c>
      <c r="F178" s="247"/>
      <c r="G178" s="247"/>
      <c r="H178" s="247"/>
      <c r="I178" s="247"/>
      <c r="J178" s="81">
        <f ca="1">J138*(1+INDEX(J$35:J$37,MATCH(Work_Codes!$I$233,$D$35:$D$37,0)))</f>
        <v>0</v>
      </c>
      <c r="K178" s="81">
        <f ca="1">K138*(1+INDEX(K$35:K$37,MATCH(Work_Codes!$I$233,$D$35:$D$37,0)))</f>
        <v>0</v>
      </c>
      <c r="L178" s="81">
        <f ca="1">L138*(1+INDEX(L$35:L$37,MATCH(Work_Codes!$I$233,$D$35:$D$37,0)))</f>
        <v>0</v>
      </c>
      <c r="M178" s="81">
        <f ca="1">M138*(1+INDEX(M$35:M$37,MATCH(Work_Codes!$I$233,$D$35:$D$37,0)))</f>
        <v>0</v>
      </c>
      <c r="N178" s="81">
        <f ca="1">N138*(1+INDEX(N$35:N$37,MATCH(Work_Codes!$I$233,$D$35:$D$37,0)))</f>
        <v>0</v>
      </c>
      <c r="O178" s="81">
        <f ca="1">O138*(1+INDEX(O$35:O$37,MATCH(Work_Codes!$I$233,$D$35:$D$37,0)))</f>
        <v>0</v>
      </c>
      <c r="P178" s="81">
        <f ca="1">P138*(1+INDEX(P$35:P$37,MATCH(Work_Codes!$I$233,$D$35:$D$37,0)))</f>
        <v>0</v>
      </c>
      <c r="Q178" s="81">
        <f ca="1">Q138*(1+INDEX(Q$35:Q$37,MATCH(Work_Codes!$I$233,$D$35:$D$37,0)))</f>
        <v>0</v>
      </c>
      <c r="R178" s="81">
        <f ca="1">R138*(1+INDEX(R$35:R$37,MATCH(Work_Codes!$I$233,$D$35:$D$37,0)))</f>
        <v>0</v>
      </c>
      <c r="S178" s="81">
        <f ca="1">S138*(1+INDEX(S$35:S$37,MATCH(Work_Codes!$I$233,$D$35:$D$37,0)))</f>
        <v>0</v>
      </c>
      <c r="T178" s="81">
        <f ca="1">T138*(1+INDEX(T$35:T$37,MATCH(Work_Codes!$I$233,$D$35:$D$37,0)))</f>
        <v>0</v>
      </c>
    </row>
    <row r="179" spans="4:20" outlineLevel="2">
      <c r="E179" s="247" t="str">
        <f>GC!C53</f>
        <v>Distribution pipelines - post 1998</v>
      </c>
      <c r="F179" s="247"/>
      <c r="G179" s="247"/>
      <c r="H179" s="247"/>
      <c r="I179" s="247"/>
      <c r="J179" s="81">
        <f ca="1">J139*(1+INDEX(J$35:J$37,MATCH(Work_Codes!$I$233,$D$35:$D$37,0)))</f>
        <v>0</v>
      </c>
      <c r="K179" s="81">
        <f ca="1">K139*(1+INDEX(K$35:K$37,MATCH(Work_Codes!$I$233,$D$35:$D$37,0)))</f>
        <v>0</v>
      </c>
      <c r="L179" s="81">
        <f ca="1">L139*(1+INDEX(L$35:L$37,MATCH(Work_Codes!$I$233,$D$35:$D$37,0)))</f>
        <v>0</v>
      </c>
      <c r="M179" s="81">
        <f ca="1">M139*(1+INDEX(M$35:M$37,MATCH(Work_Codes!$I$233,$D$35:$D$37,0)))</f>
        <v>0</v>
      </c>
      <c r="N179" s="81">
        <f ca="1">N139*(1+INDEX(N$35:N$37,MATCH(Work_Codes!$I$233,$D$35:$D$37,0)))</f>
        <v>0</v>
      </c>
      <c r="O179" s="81">
        <f ca="1">O139*(1+INDEX(O$35:O$37,MATCH(Work_Codes!$I$233,$D$35:$D$37,0)))</f>
        <v>0</v>
      </c>
      <c r="P179" s="81">
        <f ca="1">P139*(1+INDEX(P$35:P$37,MATCH(Work_Codes!$I$233,$D$35:$D$37,0)))</f>
        <v>0</v>
      </c>
      <c r="Q179" s="81">
        <f ca="1">Q139*(1+INDEX(Q$35:Q$37,MATCH(Work_Codes!$I$233,$D$35:$D$37,0)))</f>
        <v>0</v>
      </c>
      <c r="R179" s="81">
        <f ca="1">R139*(1+INDEX(R$35:R$37,MATCH(Work_Codes!$I$233,$D$35:$D$37,0)))</f>
        <v>0</v>
      </c>
      <c r="S179" s="81">
        <f ca="1">S139*(1+INDEX(S$35:S$37,MATCH(Work_Codes!$I$233,$D$35:$D$37,0)))</f>
        <v>0</v>
      </c>
      <c r="T179" s="81">
        <f ca="1">T139*(1+INDEX(T$35:T$37,MATCH(Work_Codes!$I$233,$D$35:$D$37,0)))</f>
        <v>0</v>
      </c>
    </row>
    <row r="180" spans="4:20" outlineLevel="2">
      <c r="E180" s="247" t="str">
        <f>GC!C54</f>
        <v>Service pipes - post 1998</v>
      </c>
      <c r="F180" s="247"/>
      <c r="G180" s="247"/>
      <c r="H180" s="247"/>
      <c r="I180" s="247"/>
      <c r="J180" s="81">
        <f ca="1">J140*(1+INDEX(J$35:J$37,MATCH(Work_Codes!$I$233,$D$35:$D$37,0)))</f>
        <v>0</v>
      </c>
      <c r="K180" s="81">
        <f ca="1">K140*(1+INDEX(K$35:K$37,MATCH(Work_Codes!$I$233,$D$35:$D$37,0)))</f>
        <v>0</v>
      </c>
      <c r="L180" s="81">
        <f ca="1">L140*(1+INDEX(L$35:L$37,MATCH(Work_Codes!$I$233,$D$35:$D$37,0)))</f>
        <v>0</v>
      </c>
      <c r="M180" s="81">
        <f ca="1">M140*(1+INDEX(M$35:M$37,MATCH(Work_Codes!$I$233,$D$35:$D$37,0)))</f>
        <v>0</v>
      </c>
      <c r="N180" s="81">
        <f ca="1">N140*(1+INDEX(N$35:N$37,MATCH(Work_Codes!$I$233,$D$35:$D$37,0)))</f>
        <v>0</v>
      </c>
      <c r="O180" s="81">
        <f ca="1">O140*(1+INDEX(O$35:O$37,MATCH(Work_Codes!$I$233,$D$35:$D$37,0)))</f>
        <v>0</v>
      </c>
      <c r="P180" s="81">
        <f ca="1">P140*(1+INDEX(P$35:P$37,MATCH(Work_Codes!$I$233,$D$35:$D$37,0)))</f>
        <v>0</v>
      </c>
      <c r="Q180" s="81">
        <f ca="1">Q140*(1+INDEX(Q$35:Q$37,MATCH(Work_Codes!$I$233,$D$35:$D$37,0)))</f>
        <v>0</v>
      </c>
      <c r="R180" s="81">
        <f ca="1">R140*(1+INDEX(R$35:R$37,MATCH(Work_Codes!$I$233,$D$35:$D$37,0)))</f>
        <v>0</v>
      </c>
      <c r="S180" s="81">
        <f ca="1">S140*(1+INDEX(S$35:S$37,MATCH(Work_Codes!$I$233,$D$35:$D$37,0)))</f>
        <v>0</v>
      </c>
      <c r="T180" s="81">
        <f ca="1">T140*(1+INDEX(T$35:T$37,MATCH(Work_Codes!$I$233,$D$35:$D$37,0)))</f>
        <v>0</v>
      </c>
    </row>
    <row r="181" spans="4:20" outlineLevel="2">
      <c r="E181" s="247" t="str">
        <f>GC!C55</f>
        <v>Cathodic protection - post 1998</v>
      </c>
      <c r="F181" s="247"/>
      <c r="G181" s="247"/>
      <c r="H181" s="247"/>
      <c r="I181" s="247"/>
      <c r="J181" s="81">
        <f ca="1">J141*(1+INDEX(J$35:J$37,MATCH(Work_Codes!$I$233,$D$35:$D$37,0)))</f>
        <v>0</v>
      </c>
      <c r="K181" s="81">
        <f ca="1">K141*(1+INDEX(K$35:K$37,MATCH(Work_Codes!$I$233,$D$35:$D$37,0)))</f>
        <v>0</v>
      </c>
      <c r="L181" s="81">
        <f ca="1">L141*(1+INDEX(L$35:L$37,MATCH(Work_Codes!$I$233,$D$35:$D$37,0)))</f>
        <v>0</v>
      </c>
      <c r="M181" s="81">
        <f ca="1">M141*(1+INDEX(M$35:M$37,MATCH(Work_Codes!$I$233,$D$35:$D$37,0)))</f>
        <v>0</v>
      </c>
      <c r="N181" s="81">
        <f ca="1">N141*(1+INDEX(N$35:N$37,MATCH(Work_Codes!$I$233,$D$35:$D$37,0)))</f>
        <v>0</v>
      </c>
      <c r="O181" s="81">
        <f ca="1">O141*(1+INDEX(O$35:O$37,MATCH(Work_Codes!$I$233,$D$35:$D$37,0)))</f>
        <v>0</v>
      </c>
      <c r="P181" s="81">
        <f ca="1">P141*(1+INDEX(P$35:P$37,MATCH(Work_Codes!$I$233,$D$35:$D$37,0)))</f>
        <v>0</v>
      </c>
      <c r="Q181" s="81">
        <f ca="1">Q141*(1+INDEX(Q$35:Q$37,MATCH(Work_Codes!$I$233,$D$35:$D$37,0)))</f>
        <v>0</v>
      </c>
      <c r="R181" s="81">
        <f ca="1">R141*(1+INDEX(R$35:R$37,MATCH(Work_Codes!$I$233,$D$35:$D$37,0)))</f>
        <v>0</v>
      </c>
      <c r="S181" s="81">
        <f ca="1">S141*(1+INDEX(S$35:S$37,MATCH(Work_Codes!$I$233,$D$35:$D$37,0)))</f>
        <v>0</v>
      </c>
      <c r="T181" s="81">
        <f ca="1">T141*(1+INDEX(T$35:T$37,MATCH(Work_Codes!$I$233,$D$35:$D$37,0)))</f>
        <v>0</v>
      </c>
    </row>
    <row r="182" spans="4:20" ht="12" customHeight="1" outlineLevel="2">
      <c r="E182" s="249" t="str">
        <f>"Total "&amp;D164</f>
        <v>Total Direct Costs + Overheads</v>
      </c>
      <c r="F182" s="249"/>
      <c r="G182" s="249"/>
      <c r="H182" s="249"/>
      <c r="I182" s="249"/>
      <c r="J182" s="82">
        <f t="shared" ref="J182:T182" ca="1" si="21">SUM(J166:J181)</f>
        <v>0</v>
      </c>
      <c r="K182" s="82">
        <f t="shared" ca="1" si="21"/>
        <v>0</v>
      </c>
      <c r="L182" s="82">
        <f t="shared" ca="1" si="21"/>
        <v>0</v>
      </c>
      <c r="M182" s="82">
        <f t="shared" ca="1" si="21"/>
        <v>0</v>
      </c>
      <c r="N182" s="82">
        <f t="shared" ca="1" si="21"/>
        <v>0</v>
      </c>
      <c r="O182" s="82">
        <f t="shared" ca="1" si="21"/>
        <v>572498.80587531684</v>
      </c>
      <c r="P182" s="82">
        <f t="shared" ca="1" si="21"/>
        <v>1180981.4742678963</v>
      </c>
      <c r="Q182" s="82">
        <f t="shared" ca="1" si="21"/>
        <v>1032128.8693748377</v>
      </c>
      <c r="R182" s="82">
        <f t="shared" ca="1" si="21"/>
        <v>733874.06377704302</v>
      </c>
      <c r="S182" s="82">
        <f t="shared" ca="1" si="21"/>
        <v>675840.95525250491</v>
      </c>
      <c r="T182" s="82">
        <f t="shared" ca="1" si="21"/>
        <v>718370.56502645824</v>
      </c>
    </row>
    <row r="183" spans="4:20" outlineLevel="2"/>
    <row r="184" spans="4:20" outlineLevel="2">
      <c r="D184" s="37" t="s">
        <v>367</v>
      </c>
    </row>
    <row r="185" spans="4:20" ht="5.9" customHeight="1" outlineLevel="2"/>
    <row r="186" spans="4:20" outlineLevel="2">
      <c r="E186" s="247" t="str">
        <f>GC!C40</f>
        <v>Transmission pipelines</v>
      </c>
      <c r="F186" s="247"/>
      <c r="G186" s="247"/>
      <c r="H186" s="247"/>
      <c r="I186" s="247"/>
      <c r="J186" s="81">
        <f ca="1">SUMPRODUCT((Work_Codes!$N$236:$Y$236=$E186)*(Work_Codes!$N$247:$Y$247)*(J$74:J$74))</f>
        <v>0</v>
      </c>
      <c r="K186" s="81">
        <f ca="1">SUMPRODUCT((Work_Codes!$N$236:$Y$236=$E186)*(Work_Codes!$N$247:$Y$247)*(K$74:K$74))</f>
        <v>0</v>
      </c>
      <c r="L186" s="81">
        <f ca="1">SUMPRODUCT((Work_Codes!$N$236:$Y$236=$E186)*(Work_Codes!$N$247:$Y$247)*(L$74:L$74))</f>
        <v>0</v>
      </c>
      <c r="M186" s="81">
        <f ca="1">SUMPRODUCT((Work_Codes!$N$236:$Y$236=$E186)*(Work_Codes!$N$247:$Y$247)*(M$74:M$74))</f>
        <v>0</v>
      </c>
      <c r="N186" s="81">
        <f ca="1">SUMPRODUCT((Work_Codes!$N$236:$Y$236=$E186)*(Work_Codes!$N$247:$Y$247)*(N$74:N$74))</f>
        <v>0</v>
      </c>
      <c r="O186" s="81">
        <f ca="1">SUMPRODUCT((Work_Codes!$N$236:$Y$236=$E186)*(Work_Codes!$N$247:$Y$247)*(O$74:O$74))</f>
        <v>0</v>
      </c>
      <c r="P186" s="81">
        <f ca="1">SUMPRODUCT((Work_Codes!$N$236:$Y$236=$E186)*(Work_Codes!$N$247:$Y$247)*(P$74:P$74))</f>
        <v>0</v>
      </c>
      <c r="Q186" s="81">
        <f ca="1">SUMPRODUCT((Work_Codes!$N$236:$Y$236=$E186)*(Work_Codes!$N$247:$Y$247)*(Q$74:Q$74))</f>
        <v>0</v>
      </c>
      <c r="R186" s="81">
        <f ca="1">SUMPRODUCT((Work_Codes!$N$236:$Y$236=$E186)*(Work_Codes!$N$247:$Y$247)*(R$74:R$74))</f>
        <v>0</v>
      </c>
      <c r="S186" s="81">
        <f ca="1">SUMPRODUCT((Work_Codes!$N$236:$Y$236=$E186)*(Work_Codes!$N$247:$Y$247)*(S$74:S$74))</f>
        <v>0</v>
      </c>
      <c r="T186" s="81">
        <f ca="1">SUMPRODUCT((Work_Codes!$N$236:$Y$236=$E186)*(Work_Codes!$N$247:$Y$247)*(T$74:T$74))</f>
        <v>0</v>
      </c>
    </row>
    <row r="187" spans="4:20" outlineLevel="2">
      <c r="E187" s="247" t="str">
        <f>GC!C41</f>
        <v>Distribution pipelines</v>
      </c>
      <c r="F187" s="247"/>
      <c r="G187" s="247"/>
      <c r="H187" s="247"/>
      <c r="I187" s="247"/>
      <c r="J187" s="81">
        <f ca="1">SUMPRODUCT((Work_Codes!$N$236:$Y$236=$E187)*(Work_Codes!$N$247:$Y$247)*(J$74:J$74))</f>
        <v>0</v>
      </c>
      <c r="K187" s="81">
        <f ca="1">SUMPRODUCT((Work_Codes!$N$236:$Y$236=$E187)*(Work_Codes!$N$247:$Y$247)*(K$74:K$74))</f>
        <v>0</v>
      </c>
      <c r="L187" s="81">
        <f ca="1">SUMPRODUCT((Work_Codes!$N$236:$Y$236=$E187)*(Work_Codes!$N$247:$Y$247)*(L$74:L$74))</f>
        <v>0</v>
      </c>
      <c r="M187" s="81">
        <f ca="1">SUMPRODUCT((Work_Codes!$N$236:$Y$236=$E187)*(Work_Codes!$N$247:$Y$247)*(M$74:M$74))</f>
        <v>0</v>
      </c>
      <c r="N187" s="81">
        <f ca="1">SUMPRODUCT((Work_Codes!$N$236:$Y$236=$E187)*(Work_Codes!$N$247:$Y$247)*(N$74:N$74))</f>
        <v>0</v>
      </c>
      <c r="O187" s="81">
        <f ca="1">SUMPRODUCT((Work_Codes!$N$236:$Y$236=$E187)*(Work_Codes!$N$247:$Y$247)*(O$74:O$74))</f>
        <v>0</v>
      </c>
      <c r="P187" s="81">
        <f ca="1">SUMPRODUCT((Work_Codes!$N$236:$Y$236=$E187)*(Work_Codes!$N$247:$Y$247)*(P$74:P$74))</f>
        <v>0</v>
      </c>
      <c r="Q187" s="81">
        <f ca="1">SUMPRODUCT((Work_Codes!$N$236:$Y$236=$E187)*(Work_Codes!$N$247:$Y$247)*(Q$74:Q$74))</f>
        <v>0</v>
      </c>
      <c r="R187" s="81">
        <f ca="1">SUMPRODUCT((Work_Codes!$N$236:$Y$236=$E187)*(Work_Codes!$N$247:$Y$247)*(R$74:R$74))</f>
        <v>0</v>
      </c>
      <c r="S187" s="81">
        <f ca="1">SUMPRODUCT((Work_Codes!$N$236:$Y$236=$E187)*(Work_Codes!$N$247:$Y$247)*(S$74:S$74))</f>
        <v>0</v>
      </c>
      <c r="T187" s="81">
        <f ca="1">SUMPRODUCT((Work_Codes!$N$236:$Y$236=$E187)*(Work_Codes!$N$247:$Y$247)*(T$74:T$74))</f>
        <v>0</v>
      </c>
    </row>
    <row r="188" spans="4:20" outlineLevel="2">
      <c r="E188" s="247" t="str">
        <f>GC!C42</f>
        <v>Service pipes</v>
      </c>
      <c r="F188" s="247"/>
      <c r="G188" s="247"/>
      <c r="H188" s="247"/>
      <c r="I188" s="247"/>
      <c r="J188" s="81">
        <f ca="1">SUMPRODUCT((Work_Codes!$N$236:$Y$236=$E188)*(Work_Codes!$N$247:$Y$247)*(J$74:J$74))</f>
        <v>0</v>
      </c>
      <c r="K188" s="81">
        <f ca="1">SUMPRODUCT((Work_Codes!$N$236:$Y$236=$E188)*(Work_Codes!$N$247:$Y$247)*(K$74:K$74))</f>
        <v>0</v>
      </c>
      <c r="L188" s="81">
        <f ca="1">SUMPRODUCT((Work_Codes!$N$236:$Y$236=$E188)*(Work_Codes!$N$247:$Y$247)*(L$74:L$74))</f>
        <v>0</v>
      </c>
      <c r="M188" s="81">
        <f ca="1">SUMPRODUCT((Work_Codes!$N$236:$Y$236=$E188)*(Work_Codes!$N$247:$Y$247)*(M$74:M$74))</f>
        <v>0</v>
      </c>
      <c r="N188" s="81">
        <f ca="1">SUMPRODUCT((Work_Codes!$N$236:$Y$236=$E188)*(Work_Codes!$N$247:$Y$247)*(N$74:N$74))</f>
        <v>0</v>
      </c>
      <c r="O188" s="81">
        <f ca="1">SUMPRODUCT((Work_Codes!$N$236:$Y$236=$E188)*(Work_Codes!$N$247:$Y$247)*(O$74:O$74))</f>
        <v>0</v>
      </c>
      <c r="P188" s="81">
        <f ca="1">SUMPRODUCT((Work_Codes!$N$236:$Y$236=$E188)*(Work_Codes!$N$247:$Y$247)*(P$74:P$74))</f>
        <v>0</v>
      </c>
      <c r="Q188" s="81">
        <f ca="1">SUMPRODUCT((Work_Codes!$N$236:$Y$236=$E188)*(Work_Codes!$N$247:$Y$247)*(Q$74:Q$74))</f>
        <v>0</v>
      </c>
      <c r="R188" s="81">
        <f ca="1">SUMPRODUCT((Work_Codes!$N$236:$Y$236=$E188)*(Work_Codes!$N$247:$Y$247)*(R$74:R$74))</f>
        <v>0</v>
      </c>
      <c r="S188" s="81">
        <f ca="1">SUMPRODUCT((Work_Codes!$N$236:$Y$236=$E188)*(Work_Codes!$N$247:$Y$247)*(S$74:S$74))</f>
        <v>0</v>
      </c>
      <c r="T188" s="81">
        <f ca="1">SUMPRODUCT((Work_Codes!$N$236:$Y$236=$E188)*(Work_Codes!$N$247:$Y$247)*(T$74:T$74))</f>
        <v>0</v>
      </c>
    </row>
    <row r="189" spans="4:20" outlineLevel="2">
      <c r="E189" s="247" t="str">
        <f>GC!C43</f>
        <v>Cathodic protection</v>
      </c>
      <c r="F189" s="247"/>
      <c r="G189" s="247"/>
      <c r="H189" s="247"/>
      <c r="I189" s="247"/>
      <c r="J189" s="81">
        <f ca="1">SUMPRODUCT((Work_Codes!$N$236:$Y$236=$E189)*(Work_Codes!$N$247:$Y$247)*(J$74:J$74))</f>
        <v>0</v>
      </c>
      <c r="K189" s="81">
        <f ca="1">SUMPRODUCT((Work_Codes!$N$236:$Y$236=$E189)*(Work_Codes!$N$247:$Y$247)*(K$74:K$74))</f>
        <v>0</v>
      </c>
      <c r="L189" s="81">
        <f ca="1">SUMPRODUCT((Work_Codes!$N$236:$Y$236=$E189)*(Work_Codes!$N$247:$Y$247)*(L$74:L$74))</f>
        <v>0</v>
      </c>
      <c r="M189" s="81">
        <f ca="1">SUMPRODUCT((Work_Codes!$N$236:$Y$236=$E189)*(Work_Codes!$N$247:$Y$247)*(M$74:M$74))</f>
        <v>0</v>
      </c>
      <c r="N189" s="81">
        <f ca="1">SUMPRODUCT((Work_Codes!$N$236:$Y$236=$E189)*(Work_Codes!$N$247:$Y$247)*(N$74:N$74))</f>
        <v>0</v>
      </c>
      <c r="O189" s="81">
        <f ca="1">SUMPRODUCT((Work_Codes!$N$236:$Y$236=$E189)*(Work_Codes!$N$247:$Y$247)*(O$74:O$74))</f>
        <v>0</v>
      </c>
      <c r="P189" s="81">
        <f ca="1">SUMPRODUCT((Work_Codes!$N$236:$Y$236=$E189)*(Work_Codes!$N$247:$Y$247)*(P$74:P$74))</f>
        <v>0</v>
      </c>
      <c r="Q189" s="81">
        <f ca="1">SUMPRODUCT((Work_Codes!$N$236:$Y$236=$E189)*(Work_Codes!$N$247:$Y$247)*(Q$74:Q$74))</f>
        <v>0</v>
      </c>
      <c r="R189" s="81">
        <f ca="1">SUMPRODUCT((Work_Codes!$N$236:$Y$236=$E189)*(Work_Codes!$N$247:$Y$247)*(R$74:R$74))</f>
        <v>0</v>
      </c>
      <c r="S189" s="81">
        <f ca="1">SUMPRODUCT((Work_Codes!$N$236:$Y$236=$E189)*(Work_Codes!$N$247:$Y$247)*(S$74:S$74))</f>
        <v>0</v>
      </c>
      <c r="T189" s="81">
        <f ca="1">SUMPRODUCT((Work_Codes!$N$236:$Y$236=$E189)*(Work_Codes!$N$247:$Y$247)*(T$74:T$74))</f>
        <v>0</v>
      </c>
    </row>
    <row r="190" spans="4:20" outlineLevel="2">
      <c r="E190" s="247" t="str">
        <f>GC!C44</f>
        <v>Supply Regulators / Valve Stations</v>
      </c>
      <c r="F190" s="247"/>
      <c r="G190" s="247"/>
      <c r="H190" s="247"/>
      <c r="I190" s="247"/>
      <c r="J190" s="81">
        <f ca="1">SUMPRODUCT((Work_Codes!$N$236:$Y$236=$E190)*(Work_Codes!$N$247:$Y$247)*(J$74:J$74))</f>
        <v>0</v>
      </c>
      <c r="K190" s="81">
        <f ca="1">SUMPRODUCT((Work_Codes!$N$236:$Y$236=$E190)*(Work_Codes!$N$247:$Y$247)*(K$74:K$74))</f>
        <v>0</v>
      </c>
      <c r="L190" s="81">
        <f ca="1">SUMPRODUCT((Work_Codes!$N$236:$Y$236=$E190)*(Work_Codes!$N$247:$Y$247)*(L$74:L$74))</f>
        <v>0</v>
      </c>
      <c r="M190" s="81">
        <f ca="1">SUMPRODUCT((Work_Codes!$N$236:$Y$236=$E190)*(Work_Codes!$N$247:$Y$247)*(M$74:M$74))</f>
        <v>0</v>
      </c>
      <c r="N190" s="81">
        <f ca="1">SUMPRODUCT((Work_Codes!$N$236:$Y$236=$E190)*(Work_Codes!$N$247:$Y$247)*(N$74:N$74))</f>
        <v>0</v>
      </c>
      <c r="O190" s="81">
        <f ca="1">SUMPRODUCT((Work_Codes!$N$236:$Y$236=$E190)*(Work_Codes!$N$247:$Y$247)*(O$74:O$74))</f>
        <v>0</v>
      </c>
      <c r="P190" s="81">
        <f ca="1">SUMPRODUCT((Work_Codes!$N$236:$Y$236=$E190)*(Work_Codes!$N$247:$Y$247)*(P$74:P$74))</f>
        <v>0</v>
      </c>
      <c r="Q190" s="81">
        <f ca="1">SUMPRODUCT((Work_Codes!$N$236:$Y$236=$E190)*(Work_Codes!$N$247:$Y$247)*(Q$74:Q$74))</f>
        <v>0</v>
      </c>
      <c r="R190" s="81">
        <f ca="1">SUMPRODUCT((Work_Codes!$N$236:$Y$236=$E190)*(Work_Codes!$N$247:$Y$247)*(R$74:R$74))</f>
        <v>0</v>
      </c>
      <c r="S190" s="81">
        <f ca="1">SUMPRODUCT((Work_Codes!$N$236:$Y$236=$E190)*(Work_Codes!$N$247:$Y$247)*(S$74:S$74))</f>
        <v>0</v>
      </c>
      <c r="T190" s="81">
        <f ca="1">SUMPRODUCT((Work_Codes!$N$236:$Y$236=$E190)*(Work_Codes!$N$247:$Y$247)*(T$74:T$74))</f>
        <v>0</v>
      </c>
    </row>
    <row r="191" spans="4:20" outlineLevel="2">
      <c r="E191" s="247" t="str">
        <f>GC!C45</f>
        <v>Meters</v>
      </c>
      <c r="F191" s="247"/>
      <c r="G191" s="247"/>
      <c r="H191" s="247"/>
      <c r="I191" s="247"/>
      <c r="J191" s="81">
        <f ca="1">SUMPRODUCT((Work_Codes!$N$236:$Y$236=$E191)*(Work_Codes!$N$247:$Y$247)*(J$74:J$74))</f>
        <v>0</v>
      </c>
      <c r="K191" s="81">
        <f ca="1">SUMPRODUCT((Work_Codes!$N$236:$Y$236=$E191)*(Work_Codes!$N$247:$Y$247)*(K$74:K$74))</f>
        <v>0</v>
      </c>
      <c r="L191" s="81">
        <f ca="1">SUMPRODUCT((Work_Codes!$N$236:$Y$236=$E191)*(Work_Codes!$N$247:$Y$247)*(L$74:L$74))</f>
        <v>0</v>
      </c>
      <c r="M191" s="81">
        <f ca="1">SUMPRODUCT((Work_Codes!$N$236:$Y$236=$E191)*(Work_Codes!$N$247:$Y$247)*(M$74:M$74))</f>
        <v>0</v>
      </c>
      <c r="N191" s="81">
        <f ca="1">SUMPRODUCT((Work_Codes!$N$236:$Y$236=$E191)*(Work_Codes!$N$247:$Y$247)*(N$74:N$74))</f>
        <v>0</v>
      </c>
      <c r="O191" s="81">
        <f ca="1">SUMPRODUCT((Work_Codes!$N$236:$Y$236=$E191)*(Work_Codes!$N$247:$Y$247)*(O$74:O$74))</f>
        <v>0</v>
      </c>
      <c r="P191" s="81">
        <f ca="1">SUMPRODUCT((Work_Codes!$N$236:$Y$236=$E191)*(Work_Codes!$N$247:$Y$247)*(P$74:P$74))</f>
        <v>0</v>
      </c>
      <c r="Q191" s="81">
        <f ca="1">SUMPRODUCT((Work_Codes!$N$236:$Y$236=$E191)*(Work_Codes!$N$247:$Y$247)*(Q$74:Q$74))</f>
        <v>0</v>
      </c>
      <c r="R191" s="81">
        <f ca="1">SUMPRODUCT((Work_Codes!$N$236:$Y$236=$E191)*(Work_Codes!$N$247:$Y$247)*(R$74:R$74))</f>
        <v>0</v>
      </c>
      <c r="S191" s="81">
        <f ca="1">SUMPRODUCT((Work_Codes!$N$236:$Y$236=$E191)*(Work_Codes!$N$247:$Y$247)*(S$74:S$74))</f>
        <v>0</v>
      </c>
      <c r="T191" s="81">
        <f ca="1">SUMPRODUCT((Work_Codes!$N$236:$Y$236=$E191)*(Work_Codes!$N$247:$Y$247)*(T$74:T$74))</f>
        <v>0</v>
      </c>
    </row>
    <row r="192" spans="4:20" outlineLevel="2">
      <c r="E192" s="247" t="str">
        <f>GC!C46</f>
        <v>SCADA and remote control</v>
      </c>
      <c r="F192" s="247"/>
      <c r="G192" s="247"/>
      <c r="H192" s="247"/>
      <c r="I192" s="247"/>
      <c r="J192" s="81">
        <f ca="1">SUMPRODUCT((Work_Codes!$N$236:$Y$236=$E192)*(Work_Codes!$N$247:$Y$247)*(J$74:J$74))</f>
        <v>0</v>
      </c>
      <c r="K192" s="81">
        <f ca="1">SUMPRODUCT((Work_Codes!$N$236:$Y$236=$E192)*(Work_Codes!$N$247:$Y$247)*(K$74:K$74))</f>
        <v>0</v>
      </c>
      <c r="L192" s="81">
        <f ca="1">SUMPRODUCT((Work_Codes!$N$236:$Y$236=$E192)*(Work_Codes!$N$247:$Y$247)*(L$74:L$74))</f>
        <v>0</v>
      </c>
      <c r="M192" s="81">
        <f ca="1">SUMPRODUCT((Work_Codes!$N$236:$Y$236=$E192)*(Work_Codes!$N$247:$Y$247)*(M$74:M$74))</f>
        <v>0</v>
      </c>
      <c r="N192" s="81">
        <f ca="1">SUMPRODUCT((Work_Codes!$N$236:$Y$236=$E192)*(Work_Codes!$N$247:$Y$247)*(N$74:N$74))</f>
        <v>0</v>
      </c>
      <c r="O192" s="81">
        <f ca="1">SUMPRODUCT((Work_Codes!$N$236:$Y$236=$E192)*(Work_Codes!$N$247:$Y$247)*(O$74:O$74))</f>
        <v>0</v>
      </c>
      <c r="P192" s="81">
        <f ca="1">SUMPRODUCT((Work_Codes!$N$236:$Y$236=$E192)*(Work_Codes!$N$247:$Y$247)*(P$74:P$74))</f>
        <v>0</v>
      </c>
      <c r="Q192" s="81">
        <f ca="1">SUMPRODUCT((Work_Codes!$N$236:$Y$236=$E192)*(Work_Codes!$N$247:$Y$247)*(Q$74:Q$74))</f>
        <v>0</v>
      </c>
      <c r="R192" s="81">
        <f ca="1">SUMPRODUCT((Work_Codes!$N$236:$Y$236=$E192)*(Work_Codes!$N$247:$Y$247)*(R$74:R$74))</f>
        <v>0</v>
      </c>
      <c r="S192" s="81">
        <f ca="1">SUMPRODUCT((Work_Codes!$N$236:$Y$236=$E192)*(Work_Codes!$N$247:$Y$247)*(S$74:S$74))</f>
        <v>0</v>
      </c>
      <c r="T192" s="81">
        <f ca="1">SUMPRODUCT((Work_Codes!$N$236:$Y$236=$E192)*(Work_Codes!$N$247:$Y$247)*(T$74:T$74))</f>
        <v>0</v>
      </c>
    </row>
    <row r="193" spans="2:20" outlineLevel="2">
      <c r="E193" s="247" t="str">
        <f>GC!C47</f>
        <v>Buildings</v>
      </c>
      <c r="F193" s="247"/>
      <c r="G193" s="247"/>
      <c r="H193" s="247"/>
      <c r="I193" s="247"/>
      <c r="J193" s="81">
        <f ca="1">SUMPRODUCT((Work_Codes!$N$236:$Y$236=$E193)*(Work_Codes!$N$247:$Y$247)*(J$74:J$74))</f>
        <v>0</v>
      </c>
      <c r="K193" s="81">
        <f ca="1">SUMPRODUCT((Work_Codes!$N$236:$Y$236=$E193)*(Work_Codes!$N$247:$Y$247)*(K$74:K$74))</f>
        <v>0</v>
      </c>
      <c r="L193" s="81">
        <f ca="1">SUMPRODUCT((Work_Codes!$N$236:$Y$236=$E193)*(Work_Codes!$N$247:$Y$247)*(L$74:L$74))</f>
        <v>0</v>
      </c>
      <c r="M193" s="81">
        <f ca="1">SUMPRODUCT((Work_Codes!$N$236:$Y$236=$E193)*(Work_Codes!$N$247:$Y$247)*(M$74:M$74))</f>
        <v>0</v>
      </c>
      <c r="N193" s="81">
        <f ca="1">SUMPRODUCT((Work_Codes!$N$236:$Y$236=$E193)*(Work_Codes!$N$247:$Y$247)*(N$74:N$74))</f>
        <v>0</v>
      </c>
      <c r="O193" s="81">
        <f ca="1">SUMPRODUCT((Work_Codes!$N$236:$Y$236=$E193)*(Work_Codes!$N$247:$Y$247)*(O$74:O$74))</f>
        <v>0</v>
      </c>
      <c r="P193" s="81">
        <f ca="1">SUMPRODUCT((Work_Codes!$N$236:$Y$236=$E193)*(Work_Codes!$N$247:$Y$247)*(P$74:P$74))</f>
        <v>0</v>
      </c>
      <c r="Q193" s="81">
        <f ca="1">SUMPRODUCT((Work_Codes!$N$236:$Y$236=$E193)*(Work_Codes!$N$247:$Y$247)*(Q$74:Q$74))</f>
        <v>0</v>
      </c>
      <c r="R193" s="81">
        <f ca="1">SUMPRODUCT((Work_Codes!$N$236:$Y$236=$E193)*(Work_Codes!$N$247:$Y$247)*(R$74:R$74))</f>
        <v>0</v>
      </c>
      <c r="S193" s="81">
        <f ca="1">SUMPRODUCT((Work_Codes!$N$236:$Y$236=$E193)*(Work_Codes!$N$247:$Y$247)*(S$74:S$74))</f>
        <v>0</v>
      </c>
      <c r="T193" s="81">
        <f ca="1">SUMPRODUCT((Work_Codes!$N$236:$Y$236=$E193)*(Work_Codes!$N$247:$Y$247)*(T$74:T$74))</f>
        <v>0</v>
      </c>
    </row>
    <row r="194" spans="2:20" outlineLevel="2">
      <c r="E194" s="247" t="str">
        <f>GC!C48</f>
        <v>Other - IT</v>
      </c>
      <c r="F194" s="247"/>
      <c r="G194" s="247"/>
      <c r="H194" s="247"/>
      <c r="I194" s="247"/>
      <c r="J194" s="81">
        <f ca="1">SUMPRODUCT((Work_Codes!$N$236:$Y$236=$E194)*(Work_Codes!$N$247:$Y$247)*(J$74:J$74))</f>
        <v>0</v>
      </c>
      <c r="K194" s="81">
        <f ca="1">SUMPRODUCT((Work_Codes!$N$236:$Y$236=$E194)*(Work_Codes!$N$247:$Y$247)*(K$74:K$74))</f>
        <v>0</v>
      </c>
      <c r="L194" s="81">
        <f ca="1">SUMPRODUCT((Work_Codes!$N$236:$Y$236=$E194)*(Work_Codes!$N$247:$Y$247)*(L$74:L$74))</f>
        <v>0</v>
      </c>
      <c r="M194" s="81">
        <f ca="1">SUMPRODUCT((Work_Codes!$N$236:$Y$236=$E194)*(Work_Codes!$N$247:$Y$247)*(M$74:M$74))</f>
        <v>0</v>
      </c>
      <c r="N194" s="81">
        <f ca="1">SUMPRODUCT((Work_Codes!$N$236:$Y$236=$E194)*(Work_Codes!$N$247:$Y$247)*(N$74:N$74))</f>
        <v>0</v>
      </c>
      <c r="O194" s="81">
        <f ca="1">SUMPRODUCT((Work_Codes!$N$236:$Y$236=$E194)*(Work_Codes!$N$247:$Y$247)*(O$74:O$74))</f>
        <v>0</v>
      </c>
      <c r="P194" s="81">
        <f ca="1">SUMPRODUCT((Work_Codes!$N$236:$Y$236=$E194)*(Work_Codes!$N$247:$Y$247)*(P$74:P$74))</f>
        <v>0</v>
      </c>
      <c r="Q194" s="81">
        <f ca="1">SUMPRODUCT((Work_Codes!$N$236:$Y$236=$E194)*(Work_Codes!$N$247:$Y$247)*(Q$74:Q$74))</f>
        <v>0</v>
      </c>
      <c r="R194" s="81">
        <f ca="1">SUMPRODUCT((Work_Codes!$N$236:$Y$236=$E194)*(Work_Codes!$N$247:$Y$247)*(R$74:R$74))</f>
        <v>0</v>
      </c>
      <c r="S194" s="81">
        <f ca="1">SUMPRODUCT((Work_Codes!$N$236:$Y$236=$E194)*(Work_Codes!$N$247:$Y$247)*(S$74:S$74))</f>
        <v>0</v>
      </c>
      <c r="T194" s="81">
        <f ca="1">SUMPRODUCT((Work_Codes!$N$236:$Y$236=$E194)*(Work_Codes!$N$247:$Y$247)*(T$74:T$74))</f>
        <v>0</v>
      </c>
    </row>
    <row r="195" spans="2:20" outlineLevel="2">
      <c r="E195" s="247" t="str">
        <f>GC!C49</f>
        <v>Other - non IT</v>
      </c>
      <c r="F195" s="247"/>
      <c r="G195" s="247"/>
      <c r="H195" s="247"/>
      <c r="I195" s="247"/>
      <c r="J195" s="81">
        <f ca="1">SUMPRODUCT((Work_Codes!$N$236:$Y$236=$E195)*(Work_Codes!$N$247:$Y$247)*(J$74:J$74))</f>
        <v>0</v>
      </c>
      <c r="K195" s="81">
        <f ca="1">SUMPRODUCT((Work_Codes!$N$236:$Y$236=$E195)*(Work_Codes!$N$247:$Y$247)*(K$74:K$74))</f>
        <v>0</v>
      </c>
      <c r="L195" s="81">
        <f ca="1">SUMPRODUCT((Work_Codes!$N$236:$Y$236=$E195)*(Work_Codes!$N$247:$Y$247)*(L$74:L$74))</f>
        <v>0</v>
      </c>
      <c r="M195" s="81">
        <f ca="1">SUMPRODUCT((Work_Codes!$N$236:$Y$236=$E195)*(Work_Codes!$N$247:$Y$247)*(M$74:M$74))</f>
        <v>0</v>
      </c>
      <c r="N195" s="81">
        <f ca="1">SUMPRODUCT((Work_Codes!$N$236:$Y$236=$E195)*(Work_Codes!$N$247:$Y$247)*(N$74:N$74))</f>
        <v>0</v>
      </c>
      <c r="O195" s="81">
        <f ca="1">SUMPRODUCT((Work_Codes!$N$236:$Y$236=$E195)*(Work_Codes!$N$247:$Y$247)*(O$74:O$74))</f>
        <v>0</v>
      </c>
      <c r="P195" s="81">
        <f ca="1">SUMPRODUCT((Work_Codes!$N$236:$Y$236=$E195)*(Work_Codes!$N$247:$Y$247)*(P$74:P$74))</f>
        <v>0</v>
      </c>
      <c r="Q195" s="81">
        <f ca="1">SUMPRODUCT((Work_Codes!$N$236:$Y$236=$E195)*(Work_Codes!$N$247:$Y$247)*(Q$74:Q$74))</f>
        <v>0</v>
      </c>
      <c r="R195" s="81">
        <f ca="1">SUMPRODUCT((Work_Codes!$N$236:$Y$236=$E195)*(Work_Codes!$N$247:$Y$247)*(R$74:R$74))</f>
        <v>0</v>
      </c>
      <c r="S195" s="81">
        <f ca="1">SUMPRODUCT((Work_Codes!$N$236:$Y$236=$E195)*(Work_Codes!$N$247:$Y$247)*(S$74:S$74))</f>
        <v>0</v>
      </c>
      <c r="T195" s="81">
        <f ca="1">SUMPRODUCT((Work_Codes!$N$236:$Y$236=$E195)*(Work_Codes!$N$247:$Y$247)*(T$74:T$74))</f>
        <v>0</v>
      </c>
    </row>
    <row r="196" spans="2:20" outlineLevel="2">
      <c r="E196" s="247" t="str">
        <f>GC!C50</f>
        <v>Land</v>
      </c>
      <c r="F196" s="247"/>
      <c r="G196" s="247"/>
      <c r="H196" s="247"/>
      <c r="I196" s="247"/>
      <c r="J196" s="81">
        <f ca="1">SUMPRODUCT((Work_Codes!$N$236:$Y$236=$E196)*(Work_Codes!$N$247:$Y$247)*(J$74:J$74))</f>
        <v>0</v>
      </c>
      <c r="K196" s="81">
        <f ca="1">SUMPRODUCT((Work_Codes!$N$236:$Y$236=$E196)*(Work_Codes!$N$247:$Y$247)*(K$74:K$74))</f>
        <v>0</v>
      </c>
      <c r="L196" s="81">
        <f ca="1">SUMPRODUCT((Work_Codes!$N$236:$Y$236=$E196)*(Work_Codes!$N$247:$Y$247)*(L$74:L$74))</f>
        <v>0</v>
      </c>
      <c r="M196" s="81">
        <f ca="1">SUMPRODUCT((Work_Codes!$N$236:$Y$236=$E196)*(Work_Codes!$N$247:$Y$247)*(M$74:M$74))</f>
        <v>0</v>
      </c>
      <c r="N196" s="81">
        <f ca="1">SUMPRODUCT((Work_Codes!$N$236:$Y$236=$E196)*(Work_Codes!$N$247:$Y$247)*(N$74:N$74))</f>
        <v>0</v>
      </c>
      <c r="O196" s="81">
        <f ca="1">SUMPRODUCT((Work_Codes!$N$236:$Y$236=$E196)*(Work_Codes!$N$247:$Y$247)*(O$74:O$74))</f>
        <v>0</v>
      </c>
      <c r="P196" s="81">
        <f ca="1">SUMPRODUCT((Work_Codes!$N$236:$Y$236=$E196)*(Work_Codes!$N$247:$Y$247)*(P$74:P$74))</f>
        <v>0</v>
      </c>
      <c r="Q196" s="81">
        <f ca="1">SUMPRODUCT((Work_Codes!$N$236:$Y$236=$E196)*(Work_Codes!$N$247:$Y$247)*(Q$74:Q$74))</f>
        <v>0</v>
      </c>
      <c r="R196" s="81">
        <f ca="1">SUMPRODUCT((Work_Codes!$N$236:$Y$236=$E196)*(Work_Codes!$N$247:$Y$247)*(R$74:R$74))</f>
        <v>0</v>
      </c>
      <c r="S196" s="81">
        <f ca="1">SUMPRODUCT((Work_Codes!$N$236:$Y$236=$E196)*(Work_Codes!$N$247:$Y$247)*(S$74:S$74))</f>
        <v>0</v>
      </c>
      <c r="T196" s="81">
        <f ca="1">SUMPRODUCT((Work_Codes!$N$236:$Y$236=$E196)*(Work_Codes!$N$247:$Y$247)*(T$74:T$74))</f>
        <v>0</v>
      </c>
    </row>
    <row r="197" spans="2:20" outlineLevel="2">
      <c r="E197" s="247" t="str">
        <f>GC!C51</f>
        <v>Capitalised Leases</v>
      </c>
      <c r="F197" s="247"/>
      <c r="G197" s="247"/>
      <c r="H197" s="247"/>
      <c r="I197" s="247"/>
      <c r="J197" s="81">
        <f ca="1">SUMPRODUCT((Work_Codes!$N$236:$Y$236=$E197)*(Work_Codes!$N$247:$Y$247)*(J$74:J$74))</f>
        <v>0</v>
      </c>
      <c r="K197" s="81">
        <f ca="1">SUMPRODUCT((Work_Codes!$N$236:$Y$236=$E197)*(Work_Codes!$N$247:$Y$247)*(K$74:K$74))</f>
        <v>0</v>
      </c>
      <c r="L197" s="81">
        <f ca="1">SUMPRODUCT((Work_Codes!$N$236:$Y$236=$E197)*(Work_Codes!$N$247:$Y$247)*(L$74:L$74))</f>
        <v>0</v>
      </c>
      <c r="M197" s="81">
        <f ca="1">SUMPRODUCT((Work_Codes!$N$236:$Y$236=$E197)*(Work_Codes!$N$247:$Y$247)*(M$74:M$74))</f>
        <v>0</v>
      </c>
      <c r="N197" s="81">
        <f ca="1">SUMPRODUCT((Work_Codes!$N$236:$Y$236=$E197)*(Work_Codes!$N$247:$Y$247)*(N$74:N$74))</f>
        <v>0</v>
      </c>
      <c r="O197" s="81">
        <f ca="1">SUMPRODUCT((Work_Codes!$N$236:$Y$236=$E197)*(Work_Codes!$N$247:$Y$247)*(O$74:O$74))</f>
        <v>0</v>
      </c>
      <c r="P197" s="81">
        <f ca="1">SUMPRODUCT((Work_Codes!$N$236:$Y$236=$E197)*(Work_Codes!$N$247:$Y$247)*(P$74:P$74))</f>
        <v>0</v>
      </c>
      <c r="Q197" s="81">
        <f ca="1">SUMPRODUCT((Work_Codes!$N$236:$Y$236=$E197)*(Work_Codes!$N$247:$Y$247)*(Q$74:Q$74))</f>
        <v>0</v>
      </c>
      <c r="R197" s="81">
        <f ca="1">SUMPRODUCT((Work_Codes!$N$236:$Y$236=$E197)*(Work_Codes!$N$247:$Y$247)*(R$74:R$74))</f>
        <v>0</v>
      </c>
      <c r="S197" s="81">
        <f ca="1">SUMPRODUCT((Work_Codes!$N$236:$Y$236=$E197)*(Work_Codes!$N$247:$Y$247)*(S$74:S$74))</f>
        <v>0</v>
      </c>
      <c r="T197" s="81">
        <f ca="1">SUMPRODUCT((Work_Codes!$N$236:$Y$236=$E197)*(Work_Codes!$N$247:$Y$247)*(T$74:T$74))</f>
        <v>0</v>
      </c>
    </row>
    <row r="198" spans="2:20" outlineLevel="2">
      <c r="E198" s="247" t="str">
        <f>GC!C52</f>
        <v>Transmission pipelines - post 1998</v>
      </c>
      <c r="F198" s="247"/>
      <c r="G198" s="247"/>
      <c r="H198" s="247"/>
      <c r="I198" s="247"/>
      <c r="J198" s="81">
        <f ca="1">SUMPRODUCT((Work_Codes!$N$236:$Y$236=$E198)*(Work_Codes!$N$247:$Y$247)*(J$74:J$74))</f>
        <v>0</v>
      </c>
      <c r="K198" s="81">
        <f ca="1">SUMPRODUCT((Work_Codes!$N$236:$Y$236=$E198)*(Work_Codes!$N$247:$Y$247)*(K$74:K$74))</f>
        <v>0</v>
      </c>
      <c r="L198" s="81">
        <f ca="1">SUMPRODUCT((Work_Codes!$N$236:$Y$236=$E198)*(Work_Codes!$N$247:$Y$247)*(L$74:L$74))</f>
        <v>0</v>
      </c>
      <c r="M198" s="81">
        <f ca="1">SUMPRODUCT((Work_Codes!$N$236:$Y$236=$E198)*(Work_Codes!$N$247:$Y$247)*(M$74:M$74))</f>
        <v>0</v>
      </c>
      <c r="N198" s="81">
        <f ca="1">SUMPRODUCT((Work_Codes!$N$236:$Y$236=$E198)*(Work_Codes!$N$247:$Y$247)*(N$74:N$74))</f>
        <v>0</v>
      </c>
      <c r="O198" s="81">
        <f ca="1">SUMPRODUCT((Work_Codes!$N$236:$Y$236=$E198)*(Work_Codes!$N$247:$Y$247)*(O$74:O$74))</f>
        <v>0</v>
      </c>
      <c r="P198" s="81">
        <f ca="1">SUMPRODUCT((Work_Codes!$N$236:$Y$236=$E198)*(Work_Codes!$N$247:$Y$247)*(P$74:P$74))</f>
        <v>0</v>
      </c>
      <c r="Q198" s="81">
        <f ca="1">SUMPRODUCT((Work_Codes!$N$236:$Y$236=$E198)*(Work_Codes!$N$247:$Y$247)*(Q$74:Q$74))</f>
        <v>0</v>
      </c>
      <c r="R198" s="81">
        <f ca="1">SUMPRODUCT((Work_Codes!$N$236:$Y$236=$E198)*(Work_Codes!$N$247:$Y$247)*(R$74:R$74))</f>
        <v>0</v>
      </c>
      <c r="S198" s="81">
        <f ca="1">SUMPRODUCT((Work_Codes!$N$236:$Y$236=$E198)*(Work_Codes!$N$247:$Y$247)*(S$74:S$74))</f>
        <v>0</v>
      </c>
      <c r="T198" s="81">
        <f ca="1">SUMPRODUCT((Work_Codes!$N$236:$Y$236=$E198)*(Work_Codes!$N$247:$Y$247)*(T$74:T$74))</f>
        <v>0</v>
      </c>
    </row>
    <row r="199" spans="2:20" outlineLevel="2">
      <c r="E199" s="247" t="str">
        <f>GC!C53</f>
        <v>Distribution pipelines - post 1998</v>
      </c>
      <c r="F199" s="247"/>
      <c r="G199" s="247"/>
      <c r="H199" s="247"/>
      <c r="I199" s="247"/>
      <c r="J199" s="81">
        <f ca="1">SUMPRODUCT((Work_Codes!$N$236:$Y$236=$E199)*(Work_Codes!$N$247:$Y$247)*(J$74:J$74))</f>
        <v>0</v>
      </c>
      <c r="K199" s="81">
        <f ca="1">SUMPRODUCT((Work_Codes!$N$236:$Y$236=$E199)*(Work_Codes!$N$247:$Y$247)*(K$74:K$74))</f>
        <v>0</v>
      </c>
      <c r="L199" s="81">
        <f ca="1">SUMPRODUCT((Work_Codes!$N$236:$Y$236=$E199)*(Work_Codes!$N$247:$Y$247)*(L$74:L$74))</f>
        <v>0</v>
      </c>
      <c r="M199" s="81">
        <f ca="1">SUMPRODUCT((Work_Codes!$N$236:$Y$236=$E199)*(Work_Codes!$N$247:$Y$247)*(M$74:M$74))</f>
        <v>0</v>
      </c>
      <c r="N199" s="81">
        <f ca="1">SUMPRODUCT((Work_Codes!$N$236:$Y$236=$E199)*(Work_Codes!$N$247:$Y$247)*(N$74:N$74))</f>
        <v>0</v>
      </c>
      <c r="O199" s="81">
        <f ca="1">SUMPRODUCT((Work_Codes!$N$236:$Y$236=$E199)*(Work_Codes!$N$247:$Y$247)*(O$74:O$74))</f>
        <v>0</v>
      </c>
      <c r="P199" s="81">
        <f ca="1">SUMPRODUCT((Work_Codes!$N$236:$Y$236=$E199)*(Work_Codes!$N$247:$Y$247)*(P$74:P$74))</f>
        <v>0</v>
      </c>
      <c r="Q199" s="81">
        <f ca="1">SUMPRODUCT((Work_Codes!$N$236:$Y$236=$E199)*(Work_Codes!$N$247:$Y$247)*(Q$74:Q$74))</f>
        <v>0</v>
      </c>
      <c r="R199" s="81">
        <f ca="1">SUMPRODUCT((Work_Codes!$N$236:$Y$236=$E199)*(Work_Codes!$N$247:$Y$247)*(R$74:R$74))</f>
        <v>0</v>
      </c>
      <c r="S199" s="81">
        <f ca="1">SUMPRODUCT((Work_Codes!$N$236:$Y$236=$E199)*(Work_Codes!$N$247:$Y$247)*(S$74:S$74))</f>
        <v>0</v>
      </c>
      <c r="T199" s="81">
        <f ca="1">SUMPRODUCT((Work_Codes!$N$236:$Y$236=$E199)*(Work_Codes!$N$247:$Y$247)*(T$74:T$74))</f>
        <v>0</v>
      </c>
    </row>
    <row r="200" spans="2:20" outlineLevel="2">
      <c r="E200" s="247" t="str">
        <f>GC!C54</f>
        <v>Service pipes - post 1998</v>
      </c>
      <c r="F200" s="247"/>
      <c r="G200" s="247"/>
      <c r="H200" s="247"/>
      <c r="I200" s="247"/>
      <c r="J200" s="81">
        <f ca="1">SUMPRODUCT((Work_Codes!$N$236:$Y$236=$E200)*(Work_Codes!$N$247:$Y$247)*(J$74:J$74))</f>
        <v>0</v>
      </c>
      <c r="K200" s="81">
        <f ca="1">SUMPRODUCT((Work_Codes!$N$236:$Y$236=$E200)*(Work_Codes!$N$247:$Y$247)*(K$74:K$74))</f>
        <v>0</v>
      </c>
      <c r="L200" s="81">
        <f ca="1">SUMPRODUCT((Work_Codes!$N$236:$Y$236=$E200)*(Work_Codes!$N$247:$Y$247)*(L$74:L$74))</f>
        <v>0</v>
      </c>
      <c r="M200" s="81">
        <f ca="1">SUMPRODUCT((Work_Codes!$N$236:$Y$236=$E200)*(Work_Codes!$N$247:$Y$247)*(M$74:M$74))</f>
        <v>0</v>
      </c>
      <c r="N200" s="81">
        <f ca="1">SUMPRODUCT((Work_Codes!$N$236:$Y$236=$E200)*(Work_Codes!$N$247:$Y$247)*(N$74:N$74))</f>
        <v>0</v>
      </c>
      <c r="O200" s="81">
        <f ca="1">SUMPRODUCT((Work_Codes!$N$236:$Y$236=$E200)*(Work_Codes!$N$247:$Y$247)*(O$74:O$74))</f>
        <v>0</v>
      </c>
      <c r="P200" s="81">
        <f ca="1">SUMPRODUCT((Work_Codes!$N$236:$Y$236=$E200)*(Work_Codes!$N$247:$Y$247)*(P$74:P$74))</f>
        <v>0</v>
      </c>
      <c r="Q200" s="81">
        <f ca="1">SUMPRODUCT((Work_Codes!$N$236:$Y$236=$E200)*(Work_Codes!$N$247:$Y$247)*(Q$74:Q$74))</f>
        <v>0</v>
      </c>
      <c r="R200" s="81">
        <f ca="1">SUMPRODUCT((Work_Codes!$N$236:$Y$236=$E200)*(Work_Codes!$N$247:$Y$247)*(R$74:R$74))</f>
        <v>0</v>
      </c>
      <c r="S200" s="81">
        <f ca="1">SUMPRODUCT((Work_Codes!$N$236:$Y$236=$E200)*(Work_Codes!$N$247:$Y$247)*(S$74:S$74))</f>
        <v>0</v>
      </c>
      <c r="T200" s="81">
        <f ca="1">SUMPRODUCT((Work_Codes!$N$236:$Y$236=$E200)*(Work_Codes!$N$247:$Y$247)*(T$74:T$74))</f>
        <v>0</v>
      </c>
    </row>
    <row r="201" spans="2:20" outlineLevel="2">
      <c r="E201" s="247" t="str">
        <f>GC!C55</f>
        <v>Cathodic protection - post 1998</v>
      </c>
      <c r="F201" s="247"/>
      <c r="G201" s="247"/>
      <c r="H201" s="247"/>
      <c r="I201" s="247"/>
      <c r="J201" s="81">
        <f ca="1">SUMPRODUCT((Work_Codes!$N$236:$Y$236=$E201)*(Work_Codes!$N$247:$Y$247)*(J$74:J$74))</f>
        <v>0</v>
      </c>
      <c r="K201" s="81">
        <f ca="1">SUMPRODUCT((Work_Codes!$N$236:$Y$236=$E201)*(Work_Codes!$N$247:$Y$247)*(K$74:K$74))</f>
        <v>0</v>
      </c>
      <c r="L201" s="81">
        <f ca="1">SUMPRODUCT((Work_Codes!$N$236:$Y$236=$E201)*(Work_Codes!$N$247:$Y$247)*(L$74:L$74))</f>
        <v>0</v>
      </c>
      <c r="M201" s="81">
        <f ca="1">SUMPRODUCT((Work_Codes!$N$236:$Y$236=$E201)*(Work_Codes!$N$247:$Y$247)*(M$74:M$74))</f>
        <v>0</v>
      </c>
      <c r="N201" s="81">
        <f ca="1">SUMPRODUCT((Work_Codes!$N$236:$Y$236=$E201)*(Work_Codes!$N$247:$Y$247)*(N$74:N$74))</f>
        <v>0</v>
      </c>
      <c r="O201" s="81">
        <f ca="1">SUMPRODUCT((Work_Codes!$N$236:$Y$236=$E201)*(Work_Codes!$N$247:$Y$247)*(O$74:O$74))</f>
        <v>0</v>
      </c>
      <c r="P201" s="81">
        <f ca="1">SUMPRODUCT((Work_Codes!$N$236:$Y$236=$E201)*(Work_Codes!$N$247:$Y$247)*(P$74:P$74))</f>
        <v>0</v>
      </c>
      <c r="Q201" s="81">
        <f ca="1">SUMPRODUCT((Work_Codes!$N$236:$Y$236=$E201)*(Work_Codes!$N$247:$Y$247)*(Q$74:Q$74))</f>
        <v>0</v>
      </c>
      <c r="R201" s="81">
        <f ca="1">SUMPRODUCT((Work_Codes!$N$236:$Y$236=$E201)*(Work_Codes!$N$247:$Y$247)*(R$74:R$74))</f>
        <v>0</v>
      </c>
      <c r="S201" s="81">
        <f ca="1">SUMPRODUCT((Work_Codes!$N$236:$Y$236=$E201)*(Work_Codes!$N$247:$Y$247)*(S$74:S$74))</f>
        <v>0</v>
      </c>
      <c r="T201" s="81">
        <f ca="1">SUMPRODUCT((Work_Codes!$N$236:$Y$236=$E201)*(Work_Codes!$N$247:$Y$247)*(T$74:T$74))</f>
        <v>0</v>
      </c>
    </row>
    <row r="202" spans="2:20" outlineLevel="2">
      <c r="E202" s="249" t="str">
        <f>"Total "&amp;D184</f>
        <v>Total Customer Contributions</v>
      </c>
      <c r="F202" s="249"/>
      <c r="G202" s="249"/>
      <c r="H202" s="249"/>
      <c r="I202" s="249"/>
      <c r="J202" s="82">
        <f t="shared" ref="J202:T202" ca="1" si="22">SUM(J186:J201)</f>
        <v>0</v>
      </c>
      <c r="K202" s="82">
        <f t="shared" ca="1" si="22"/>
        <v>0</v>
      </c>
      <c r="L202" s="82">
        <f t="shared" ca="1" si="22"/>
        <v>0</v>
      </c>
      <c r="M202" s="82">
        <f t="shared" ca="1" si="22"/>
        <v>0</v>
      </c>
      <c r="N202" s="82">
        <f t="shared" ca="1" si="22"/>
        <v>0</v>
      </c>
      <c r="O202" s="82">
        <f t="shared" ca="1" si="22"/>
        <v>0</v>
      </c>
      <c r="P202" s="82">
        <f t="shared" ca="1" si="22"/>
        <v>0</v>
      </c>
      <c r="Q202" s="82">
        <f t="shared" ca="1" si="22"/>
        <v>0</v>
      </c>
      <c r="R202" s="82">
        <f t="shared" ca="1" si="22"/>
        <v>0</v>
      </c>
      <c r="S202" s="82">
        <f t="shared" ca="1" si="22"/>
        <v>0</v>
      </c>
      <c r="T202" s="82">
        <f t="shared" ca="1" si="22"/>
        <v>0</v>
      </c>
    </row>
    <row r="203" spans="2:20" outlineLevel="1">
      <c r="B203" s="12"/>
      <c r="C203" s="12"/>
      <c r="D203" s="12"/>
      <c r="E203" s="12"/>
      <c r="F203" s="12"/>
      <c r="G203" s="12"/>
      <c r="H203" s="12"/>
      <c r="I203" s="12"/>
      <c r="J203" s="12"/>
      <c r="K203" s="12"/>
      <c r="L203" s="12"/>
      <c r="M203" s="12"/>
      <c r="N203" s="12"/>
      <c r="O203" s="12"/>
      <c r="P203" s="12"/>
      <c r="Q203" s="12"/>
      <c r="R203" s="12"/>
      <c r="S203" s="12"/>
      <c r="T203" s="12"/>
    </row>
    <row r="204" spans="2:20" outlineLevel="1"/>
    <row r="205" spans="2:20" outlineLevel="1">
      <c r="C205" s="37" t="s">
        <v>196</v>
      </c>
    </row>
    <row r="206" spans="2:20" ht="5.9" customHeight="1" outlineLevel="2"/>
    <row r="207" spans="2:20" outlineLevel="2">
      <c r="D207" s="37" t="s">
        <v>215</v>
      </c>
    </row>
    <row r="208" spans="2:20" ht="5.9" customHeight="1" outlineLevel="2"/>
    <row r="209" spans="5:20" ht="12" customHeight="1" outlineLevel="2">
      <c r="E209" s="247" t="str">
        <f>GC!C60</f>
        <v>Mains replacement</v>
      </c>
      <c r="F209" s="247"/>
      <c r="G209" s="247"/>
      <c r="H209" s="247"/>
      <c r="I209" s="247"/>
      <c r="J209" s="81">
        <f ca="1">SUMPRODUCT((Work_Codes!$AC$236:$AO$236=$E209)*(Work_Codes!$AC$239:$AO$243)*(J$113:J$117))</f>
        <v>0</v>
      </c>
      <c r="K209" s="81">
        <f ca="1">SUMPRODUCT((Work_Codes!$AC$236:$AO$236=$E209)*(Work_Codes!$AC$239:$AO$243)*(K$113:K$117))</f>
        <v>0</v>
      </c>
      <c r="L209" s="81">
        <f ca="1">SUMPRODUCT((Work_Codes!$AC$236:$AO$236=$E209)*(Work_Codes!$AC$239:$AO$243)*(L$113:L$117))</f>
        <v>0</v>
      </c>
      <c r="M209" s="81">
        <f ca="1">SUMPRODUCT((Work_Codes!$AC$236:$AO$236=$E209)*(Work_Codes!$AC$239:$AO$243)*(M$113:M$117))</f>
        <v>0</v>
      </c>
      <c r="N209" s="81">
        <f ca="1">SUMPRODUCT((Work_Codes!$AC$236:$AO$236=$E209)*(Work_Codes!$AC$239:$AO$243)*(N$113:N$117))</f>
        <v>0</v>
      </c>
      <c r="O209" s="81">
        <f ca="1">SUMPRODUCT((Work_Codes!$AC$236:$AO$236=$E209)*(Work_Codes!$AC$239:$AO$243)*(O$113:O$117))</f>
        <v>0</v>
      </c>
      <c r="P209" s="81">
        <f ca="1">SUMPRODUCT((Work_Codes!$AC$236:$AO$236=$E209)*(Work_Codes!$AC$239:$AO$243)*(P$113:P$117))</f>
        <v>0</v>
      </c>
      <c r="Q209" s="81">
        <f ca="1">SUMPRODUCT((Work_Codes!$AC$236:$AO$236=$E209)*(Work_Codes!$AC$239:$AO$243)*(Q$113:Q$117))</f>
        <v>0</v>
      </c>
      <c r="R209" s="81">
        <f ca="1">SUMPRODUCT((Work_Codes!$AC$236:$AO$236=$E209)*(Work_Codes!$AC$239:$AO$243)*(R$113:R$117))</f>
        <v>0</v>
      </c>
      <c r="S209" s="81">
        <f ca="1">SUMPRODUCT((Work_Codes!$AC$236:$AO$236=$E209)*(Work_Codes!$AC$239:$AO$243)*(S$113:S$117))</f>
        <v>0</v>
      </c>
      <c r="T209" s="81">
        <f ca="1">SUMPRODUCT((Work_Codes!$AC$236:$AO$236=$E209)*(Work_Codes!$AC$239:$AO$243)*(T$113:T$117))</f>
        <v>0</v>
      </c>
    </row>
    <row r="210" spans="5:20" ht="12" customHeight="1" outlineLevel="2">
      <c r="E210" s="247" t="str">
        <f>GC!C61</f>
        <v>Residential new customer connections</v>
      </c>
      <c r="F210" s="247"/>
      <c r="G210" s="247"/>
      <c r="H210" s="247"/>
      <c r="I210" s="247"/>
      <c r="J210" s="81">
        <f ca="1">SUMPRODUCT((Work_Codes!$AC$236:$AO$236=$E210)*(Work_Codes!$AC$239:$AO$243)*(J$113:J$117))</f>
        <v>0</v>
      </c>
      <c r="K210" s="81">
        <f ca="1">SUMPRODUCT((Work_Codes!$AC$236:$AO$236=$E210)*(Work_Codes!$AC$239:$AO$243)*(K$113:K$117))</f>
        <v>0</v>
      </c>
      <c r="L210" s="81">
        <f ca="1">SUMPRODUCT((Work_Codes!$AC$236:$AO$236=$E210)*(Work_Codes!$AC$239:$AO$243)*(L$113:L$117))</f>
        <v>0</v>
      </c>
      <c r="M210" s="81">
        <f ca="1">SUMPRODUCT((Work_Codes!$AC$236:$AO$236=$E210)*(Work_Codes!$AC$239:$AO$243)*(M$113:M$117))</f>
        <v>0</v>
      </c>
      <c r="N210" s="81">
        <f ca="1">SUMPRODUCT((Work_Codes!$AC$236:$AO$236=$E210)*(Work_Codes!$AC$239:$AO$243)*(N$113:N$117))</f>
        <v>0</v>
      </c>
      <c r="O210" s="81">
        <f ca="1">SUMPRODUCT((Work_Codes!$AC$236:$AO$236=$E210)*(Work_Codes!$AC$239:$AO$243)*(O$113:O$117))</f>
        <v>0</v>
      </c>
      <c r="P210" s="81">
        <f ca="1">SUMPRODUCT((Work_Codes!$AC$236:$AO$236=$E210)*(Work_Codes!$AC$239:$AO$243)*(P$113:P$117))</f>
        <v>0</v>
      </c>
      <c r="Q210" s="81">
        <f ca="1">SUMPRODUCT((Work_Codes!$AC$236:$AO$236=$E210)*(Work_Codes!$AC$239:$AO$243)*(Q$113:Q$117))</f>
        <v>0</v>
      </c>
      <c r="R210" s="81">
        <f ca="1">SUMPRODUCT((Work_Codes!$AC$236:$AO$236=$E210)*(Work_Codes!$AC$239:$AO$243)*(R$113:R$117))</f>
        <v>0</v>
      </c>
      <c r="S210" s="81">
        <f ca="1">SUMPRODUCT((Work_Codes!$AC$236:$AO$236=$E210)*(Work_Codes!$AC$239:$AO$243)*(S$113:S$117))</f>
        <v>0</v>
      </c>
      <c r="T210" s="81">
        <f ca="1">SUMPRODUCT((Work_Codes!$AC$236:$AO$236=$E210)*(Work_Codes!$AC$239:$AO$243)*(T$113:T$117))</f>
        <v>0</v>
      </c>
    </row>
    <row r="211" spans="5:20" ht="12" customHeight="1" outlineLevel="2">
      <c r="E211" s="247" t="str">
        <f>GC!C62</f>
        <v>Commercial and industrial new customer connections</v>
      </c>
      <c r="F211" s="247"/>
      <c r="G211" s="247"/>
      <c r="H211" s="247"/>
      <c r="I211" s="247"/>
      <c r="J211" s="81">
        <f ca="1">SUMPRODUCT((Work_Codes!$AC$236:$AO$236=$E211)*(Work_Codes!$AC$239:$AO$243)*(J$113:J$117))</f>
        <v>0</v>
      </c>
      <c r="K211" s="81">
        <f ca="1">SUMPRODUCT((Work_Codes!$AC$236:$AO$236=$E211)*(Work_Codes!$AC$239:$AO$243)*(K$113:K$117))</f>
        <v>0</v>
      </c>
      <c r="L211" s="81">
        <f ca="1">SUMPRODUCT((Work_Codes!$AC$236:$AO$236=$E211)*(Work_Codes!$AC$239:$AO$243)*(L$113:L$117))</f>
        <v>0</v>
      </c>
      <c r="M211" s="81">
        <f ca="1">SUMPRODUCT((Work_Codes!$AC$236:$AO$236=$E211)*(Work_Codes!$AC$239:$AO$243)*(M$113:M$117))</f>
        <v>0</v>
      </c>
      <c r="N211" s="81">
        <f ca="1">SUMPRODUCT((Work_Codes!$AC$236:$AO$236=$E211)*(Work_Codes!$AC$239:$AO$243)*(N$113:N$117))</f>
        <v>0</v>
      </c>
      <c r="O211" s="81">
        <f ca="1">SUMPRODUCT((Work_Codes!$AC$236:$AO$236=$E211)*(Work_Codes!$AC$239:$AO$243)*(O$113:O$117))</f>
        <v>0</v>
      </c>
      <c r="P211" s="81">
        <f ca="1">SUMPRODUCT((Work_Codes!$AC$236:$AO$236=$E211)*(Work_Codes!$AC$239:$AO$243)*(P$113:P$117))</f>
        <v>0</v>
      </c>
      <c r="Q211" s="81">
        <f ca="1">SUMPRODUCT((Work_Codes!$AC$236:$AO$236=$E211)*(Work_Codes!$AC$239:$AO$243)*(Q$113:Q$117))</f>
        <v>0</v>
      </c>
      <c r="R211" s="81">
        <f ca="1">SUMPRODUCT((Work_Codes!$AC$236:$AO$236=$E211)*(Work_Codes!$AC$239:$AO$243)*(R$113:R$117))</f>
        <v>0</v>
      </c>
      <c r="S211" s="81">
        <f ca="1">SUMPRODUCT((Work_Codes!$AC$236:$AO$236=$E211)*(Work_Codes!$AC$239:$AO$243)*(S$113:S$117))</f>
        <v>0</v>
      </c>
      <c r="T211" s="81">
        <f ca="1">SUMPRODUCT((Work_Codes!$AC$236:$AO$236=$E211)*(Work_Codes!$AC$239:$AO$243)*(T$113:T$117))</f>
        <v>0</v>
      </c>
    </row>
    <row r="212" spans="5:20" ht="12" customHeight="1" outlineLevel="2">
      <c r="E212" s="247" t="str">
        <f>GC!C63</f>
        <v>Residential meter replacement</v>
      </c>
      <c r="F212" s="247"/>
      <c r="G212" s="247"/>
      <c r="H212" s="247"/>
      <c r="I212" s="247"/>
      <c r="J212" s="81">
        <f ca="1">SUMPRODUCT((Work_Codes!$AC$236:$AO$236=$E212)*(Work_Codes!$AC$239:$AO$243)*(J$113:J$117))</f>
        <v>0</v>
      </c>
      <c r="K212" s="81">
        <f ca="1">SUMPRODUCT((Work_Codes!$AC$236:$AO$236=$E212)*(Work_Codes!$AC$239:$AO$243)*(K$113:K$117))</f>
        <v>0</v>
      </c>
      <c r="L212" s="81">
        <f ca="1">SUMPRODUCT((Work_Codes!$AC$236:$AO$236=$E212)*(Work_Codes!$AC$239:$AO$243)*(L$113:L$117))</f>
        <v>0</v>
      </c>
      <c r="M212" s="81">
        <f ca="1">SUMPRODUCT((Work_Codes!$AC$236:$AO$236=$E212)*(Work_Codes!$AC$239:$AO$243)*(M$113:M$117))</f>
        <v>0</v>
      </c>
      <c r="N212" s="81">
        <f ca="1">SUMPRODUCT((Work_Codes!$AC$236:$AO$236=$E212)*(Work_Codes!$AC$239:$AO$243)*(N$113:N$117))</f>
        <v>0</v>
      </c>
      <c r="O212" s="81">
        <f ca="1">SUMPRODUCT((Work_Codes!$AC$236:$AO$236=$E212)*(Work_Codes!$AC$239:$AO$243)*(O$113:O$117))</f>
        <v>0</v>
      </c>
      <c r="P212" s="81">
        <f ca="1">SUMPRODUCT((Work_Codes!$AC$236:$AO$236=$E212)*(Work_Codes!$AC$239:$AO$243)*(P$113:P$117))</f>
        <v>0</v>
      </c>
      <c r="Q212" s="81">
        <f ca="1">SUMPRODUCT((Work_Codes!$AC$236:$AO$236=$E212)*(Work_Codes!$AC$239:$AO$243)*(Q$113:Q$117))</f>
        <v>0</v>
      </c>
      <c r="R212" s="81">
        <f ca="1">SUMPRODUCT((Work_Codes!$AC$236:$AO$236=$E212)*(Work_Codes!$AC$239:$AO$243)*(R$113:R$117))</f>
        <v>0</v>
      </c>
      <c r="S212" s="81">
        <f ca="1">SUMPRODUCT((Work_Codes!$AC$236:$AO$236=$E212)*(Work_Codes!$AC$239:$AO$243)*(S$113:S$117))</f>
        <v>0</v>
      </c>
      <c r="T212" s="81">
        <f ca="1">SUMPRODUCT((Work_Codes!$AC$236:$AO$236=$E212)*(Work_Codes!$AC$239:$AO$243)*(T$113:T$117))</f>
        <v>0</v>
      </c>
    </row>
    <row r="213" spans="5:20" ht="12" customHeight="1" outlineLevel="2">
      <c r="E213" s="247" t="str">
        <f>GC!C64</f>
        <v>Commercial and industrial meter replacement</v>
      </c>
      <c r="F213" s="247"/>
      <c r="G213" s="247"/>
      <c r="H213" s="247"/>
      <c r="I213" s="247"/>
      <c r="J213" s="81">
        <f ca="1">SUMPRODUCT((Work_Codes!$AC$236:$AO$236=$E213)*(Work_Codes!$AC$239:$AO$243)*(J$113:J$117))</f>
        <v>0</v>
      </c>
      <c r="K213" s="81">
        <f ca="1">SUMPRODUCT((Work_Codes!$AC$236:$AO$236=$E213)*(Work_Codes!$AC$239:$AO$243)*(K$113:K$117))</f>
        <v>0</v>
      </c>
      <c r="L213" s="81">
        <f ca="1">SUMPRODUCT((Work_Codes!$AC$236:$AO$236=$E213)*(Work_Codes!$AC$239:$AO$243)*(L$113:L$117))</f>
        <v>0</v>
      </c>
      <c r="M213" s="81">
        <f ca="1">SUMPRODUCT((Work_Codes!$AC$236:$AO$236=$E213)*(Work_Codes!$AC$239:$AO$243)*(M$113:M$117))</f>
        <v>0</v>
      </c>
      <c r="N213" s="81">
        <f ca="1">SUMPRODUCT((Work_Codes!$AC$236:$AO$236=$E213)*(Work_Codes!$AC$239:$AO$243)*(N$113:N$117))</f>
        <v>0</v>
      </c>
      <c r="O213" s="81">
        <f ca="1">SUMPRODUCT((Work_Codes!$AC$236:$AO$236=$E213)*(Work_Codes!$AC$239:$AO$243)*(O$113:O$117))</f>
        <v>0</v>
      </c>
      <c r="P213" s="81">
        <f ca="1">SUMPRODUCT((Work_Codes!$AC$236:$AO$236=$E213)*(Work_Codes!$AC$239:$AO$243)*(P$113:P$117))</f>
        <v>0</v>
      </c>
      <c r="Q213" s="81">
        <f ca="1">SUMPRODUCT((Work_Codes!$AC$236:$AO$236=$E213)*(Work_Codes!$AC$239:$AO$243)*(Q$113:Q$117))</f>
        <v>0</v>
      </c>
      <c r="R213" s="81">
        <f ca="1">SUMPRODUCT((Work_Codes!$AC$236:$AO$236=$E213)*(Work_Codes!$AC$239:$AO$243)*(R$113:R$117))</f>
        <v>0</v>
      </c>
      <c r="S213" s="81">
        <f ca="1">SUMPRODUCT((Work_Codes!$AC$236:$AO$236=$E213)*(Work_Codes!$AC$239:$AO$243)*(S$113:S$117))</f>
        <v>0</v>
      </c>
      <c r="T213" s="81">
        <f ca="1">SUMPRODUCT((Work_Codes!$AC$236:$AO$236=$E213)*(Work_Codes!$AC$239:$AO$243)*(T$113:T$117))</f>
        <v>0</v>
      </c>
    </row>
    <row r="214" spans="5:20" ht="12" customHeight="1" outlineLevel="2">
      <c r="E214" s="247" t="str">
        <f>GC!C65</f>
        <v>Augmentation</v>
      </c>
      <c r="F214" s="247"/>
      <c r="G214" s="247"/>
      <c r="H214" s="247"/>
      <c r="I214" s="247"/>
      <c r="J214" s="81">
        <f ca="1">SUMPRODUCT((Work_Codes!$AC$236:$AO$236=$E214)*(Work_Codes!$AC$239:$AO$243)*(J$113:J$117))</f>
        <v>0</v>
      </c>
      <c r="K214" s="81">
        <f ca="1">SUMPRODUCT((Work_Codes!$AC$236:$AO$236=$E214)*(Work_Codes!$AC$239:$AO$243)*(K$113:K$117))</f>
        <v>0</v>
      </c>
      <c r="L214" s="81">
        <f ca="1">SUMPRODUCT((Work_Codes!$AC$236:$AO$236=$E214)*(Work_Codes!$AC$239:$AO$243)*(L$113:L$117))</f>
        <v>0</v>
      </c>
      <c r="M214" s="81">
        <f ca="1">SUMPRODUCT((Work_Codes!$AC$236:$AO$236=$E214)*(Work_Codes!$AC$239:$AO$243)*(M$113:M$117))</f>
        <v>0</v>
      </c>
      <c r="N214" s="81">
        <f ca="1">SUMPRODUCT((Work_Codes!$AC$236:$AO$236=$E214)*(Work_Codes!$AC$239:$AO$243)*(N$113:N$117))</f>
        <v>0</v>
      </c>
      <c r="O214" s="81">
        <f ca="1">SUMPRODUCT((Work_Codes!$AC$236:$AO$236=$E214)*(Work_Codes!$AC$239:$AO$243)*(O$113:O$117))</f>
        <v>0</v>
      </c>
      <c r="P214" s="81">
        <f ca="1">SUMPRODUCT((Work_Codes!$AC$236:$AO$236=$E214)*(Work_Codes!$AC$239:$AO$243)*(P$113:P$117))</f>
        <v>0</v>
      </c>
      <c r="Q214" s="81">
        <f ca="1">SUMPRODUCT((Work_Codes!$AC$236:$AO$236=$E214)*(Work_Codes!$AC$239:$AO$243)*(Q$113:Q$117))</f>
        <v>0</v>
      </c>
      <c r="R214" s="81">
        <f ca="1">SUMPRODUCT((Work_Codes!$AC$236:$AO$236=$E214)*(Work_Codes!$AC$239:$AO$243)*(R$113:R$117))</f>
        <v>0</v>
      </c>
      <c r="S214" s="81">
        <f ca="1">SUMPRODUCT((Work_Codes!$AC$236:$AO$236=$E214)*(Work_Codes!$AC$239:$AO$243)*(S$113:S$117))</f>
        <v>0</v>
      </c>
      <c r="T214" s="81">
        <f ca="1">SUMPRODUCT((Work_Codes!$AC$236:$AO$236=$E214)*(Work_Codes!$AC$239:$AO$243)*(T$113:T$117))</f>
        <v>0</v>
      </c>
    </row>
    <row r="215" spans="5:20" ht="12" customHeight="1" outlineLevel="2">
      <c r="E215" s="247" t="str">
        <f>GC!C66</f>
        <v>IT capex</v>
      </c>
      <c r="F215" s="247"/>
      <c r="G215" s="247"/>
      <c r="H215" s="247"/>
      <c r="I215" s="247"/>
      <c r="J215" s="81">
        <f ca="1">SUMPRODUCT((Work_Codes!$AC$236:$AO$236=$E215)*(Work_Codes!$AC$239:$AO$243)*(J$113:J$117))</f>
        <v>0</v>
      </c>
      <c r="K215" s="81">
        <f ca="1">SUMPRODUCT((Work_Codes!$AC$236:$AO$236=$E215)*(Work_Codes!$AC$239:$AO$243)*(K$113:K$117))</f>
        <v>0</v>
      </c>
      <c r="L215" s="81">
        <f ca="1">SUMPRODUCT((Work_Codes!$AC$236:$AO$236=$E215)*(Work_Codes!$AC$239:$AO$243)*(L$113:L$117))</f>
        <v>0</v>
      </c>
      <c r="M215" s="81">
        <f ca="1">SUMPRODUCT((Work_Codes!$AC$236:$AO$236=$E215)*(Work_Codes!$AC$239:$AO$243)*(M$113:M$117))</f>
        <v>0</v>
      </c>
      <c r="N215" s="81">
        <f ca="1">SUMPRODUCT((Work_Codes!$AC$236:$AO$236=$E215)*(Work_Codes!$AC$239:$AO$243)*(N$113:N$117))</f>
        <v>0</v>
      </c>
      <c r="O215" s="81">
        <f ca="1">SUMPRODUCT((Work_Codes!$AC$236:$AO$236=$E215)*(Work_Codes!$AC$239:$AO$243)*(O$113:O$117))</f>
        <v>0</v>
      </c>
      <c r="P215" s="81">
        <f ca="1">SUMPRODUCT((Work_Codes!$AC$236:$AO$236=$E215)*(Work_Codes!$AC$239:$AO$243)*(P$113:P$117))</f>
        <v>0</v>
      </c>
      <c r="Q215" s="81">
        <f ca="1">SUMPRODUCT((Work_Codes!$AC$236:$AO$236=$E215)*(Work_Codes!$AC$239:$AO$243)*(Q$113:Q$117))</f>
        <v>0</v>
      </c>
      <c r="R215" s="81">
        <f ca="1">SUMPRODUCT((Work_Codes!$AC$236:$AO$236=$E215)*(Work_Codes!$AC$239:$AO$243)*(R$113:R$117))</f>
        <v>0</v>
      </c>
      <c r="S215" s="81">
        <f ca="1">SUMPRODUCT((Work_Codes!$AC$236:$AO$236=$E215)*(Work_Codes!$AC$239:$AO$243)*(S$113:S$117))</f>
        <v>0</v>
      </c>
      <c r="T215" s="81">
        <f ca="1">SUMPRODUCT((Work_Codes!$AC$236:$AO$236=$E215)*(Work_Codes!$AC$239:$AO$243)*(T$113:T$117))</f>
        <v>0</v>
      </c>
    </row>
    <row r="216" spans="5:20" ht="12" customHeight="1" outlineLevel="2">
      <c r="E216" s="247" t="str">
        <f>GC!C67</f>
        <v>SCADA</v>
      </c>
      <c r="F216" s="247"/>
      <c r="G216" s="247"/>
      <c r="H216" s="247"/>
      <c r="I216" s="247"/>
      <c r="J216" s="81">
        <f ca="1">SUMPRODUCT((Work_Codes!$AC$236:$AO$236=$E216)*(Work_Codes!$AC$239:$AO$243)*(J$113:J$117))</f>
        <v>0</v>
      </c>
      <c r="K216" s="81">
        <f ca="1">SUMPRODUCT((Work_Codes!$AC$236:$AO$236=$E216)*(Work_Codes!$AC$239:$AO$243)*(K$113:K$117))</f>
        <v>0</v>
      </c>
      <c r="L216" s="81">
        <f ca="1">SUMPRODUCT((Work_Codes!$AC$236:$AO$236=$E216)*(Work_Codes!$AC$239:$AO$243)*(L$113:L$117))</f>
        <v>0</v>
      </c>
      <c r="M216" s="81">
        <f ca="1">SUMPRODUCT((Work_Codes!$AC$236:$AO$236=$E216)*(Work_Codes!$AC$239:$AO$243)*(M$113:M$117))</f>
        <v>0</v>
      </c>
      <c r="N216" s="81">
        <f ca="1">SUMPRODUCT((Work_Codes!$AC$236:$AO$236=$E216)*(Work_Codes!$AC$239:$AO$243)*(N$113:N$117))</f>
        <v>0</v>
      </c>
      <c r="O216" s="81">
        <f ca="1">SUMPRODUCT((Work_Codes!$AC$236:$AO$236=$E216)*(Work_Codes!$AC$239:$AO$243)*(O$113:O$117))</f>
        <v>0</v>
      </c>
      <c r="P216" s="81">
        <f ca="1">SUMPRODUCT((Work_Codes!$AC$236:$AO$236=$E216)*(Work_Codes!$AC$239:$AO$243)*(P$113:P$117))</f>
        <v>0</v>
      </c>
      <c r="Q216" s="81">
        <f ca="1">SUMPRODUCT((Work_Codes!$AC$236:$AO$236=$E216)*(Work_Codes!$AC$239:$AO$243)*(Q$113:Q$117))</f>
        <v>0</v>
      </c>
      <c r="R216" s="81">
        <f ca="1">SUMPRODUCT((Work_Codes!$AC$236:$AO$236=$E216)*(Work_Codes!$AC$239:$AO$243)*(R$113:R$117))</f>
        <v>0</v>
      </c>
      <c r="S216" s="81">
        <f ca="1">SUMPRODUCT((Work_Codes!$AC$236:$AO$236=$E216)*(Work_Codes!$AC$239:$AO$243)*(S$113:S$117))</f>
        <v>0</v>
      </c>
      <c r="T216" s="81">
        <f ca="1">SUMPRODUCT((Work_Codes!$AC$236:$AO$236=$E216)*(Work_Codes!$AC$239:$AO$243)*(T$113:T$117))</f>
        <v>0</v>
      </c>
    </row>
    <row r="217" spans="5:20" ht="12" customHeight="1" outlineLevel="2">
      <c r="E217" s="247" t="str">
        <f>GC!C68</f>
        <v>Other</v>
      </c>
      <c r="F217" s="247"/>
      <c r="G217" s="247"/>
      <c r="H217" s="247"/>
      <c r="I217" s="247"/>
      <c r="J217" s="81">
        <f ca="1">SUMPRODUCT((Work_Codes!$AC$236:$AO$236=$E217)*(Work_Codes!$AC$239:$AO$243)*(J$113:J$117))</f>
        <v>0</v>
      </c>
      <c r="K217" s="81">
        <f ca="1">SUMPRODUCT((Work_Codes!$AC$236:$AO$236=$E217)*(Work_Codes!$AC$239:$AO$243)*(K$113:K$117))</f>
        <v>0</v>
      </c>
      <c r="L217" s="81">
        <f ca="1">SUMPRODUCT((Work_Codes!$AC$236:$AO$236=$E217)*(Work_Codes!$AC$239:$AO$243)*(L$113:L$117))</f>
        <v>0</v>
      </c>
      <c r="M217" s="81">
        <f ca="1">SUMPRODUCT((Work_Codes!$AC$236:$AO$236=$E217)*(Work_Codes!$AC$239:$AO$243)*(M$113:M$117))</f>
        <v>0</v>
      </c>
      <c r="N217" s="81">
        <f ca="1">SUMPRODUCT((Work_Codes!$AC$236:$AO$236=$E217)*(Work_Codes!$AC$239:$AO$243)*(N$113:N$117))</f>
        <v>0</v>
      </c>
      <c r="O217" s="81">
        <f ca="1">SUMPRODUCT((Work_Codes!$AC$236:$AO$236=$E217)*(Work_Codes!$AC$239:$AO$243)*(O$113:O$117))</f>
        <v>554057.57083317928</v>
      </c>
      <c r="P217" s="81">
        <f ca="1">SUMPRODUCT((Work_Codes!$AC$236:$AO$236=$E217)*(Work_Codes!$AC$239:$AO$243)*(P$113:P$117))</f>
        <v>1150210.2888901462</v>
      </c>
      <c r="Q217" s="81">
        <f ca="1">SUMPRODUCT((Work_Codes!$AC$236:$AO$236=$E217)*(Work_Codes!$AC$239:$AO$243)*(Q$113:Q$117))</f>
        <v>1005914.1556557808</v>
      </c>
      <c r="R217" s="81">
        <f ca="1">SUMPRODUCT((Work_Codes!$AC$236:$AO$236=$E217)*(Work_Codes!$AC$239:$AO$243)*(R$113:R$117))</f>
        <v>714668.76575574721</v>
      </c>
      <c r="S217" s="81">
        <f ca="1">SUMPRODUCT((Work_Codes!$AC$236:$AO$236=$E217)*(Work_Codes!$AC$239:$AO$243)*(S$113:S$117))</f>
        <v>657083.72564937267</v>
      </c>
      <c r="T217" s="81">
        <f ca="1">SUMPRODUCT((Work_Codes!$AC$236:$AO$236=$E217)*(Work_Codes!$AC$239:$AO$243)*(T$113:T$117))</f>
        <v>697501.0692373995</v>
      </c>
    </row>
    <row r="218" spans="5:20" outlineLevel="2">
      <c r="E218" s="247" t="str">
        <f>GC!C69</f>
        <v>Capitalised Leases</v>
      </c>
      <c r="F218" s="247"/>
      <c r="G218" s="247"/>
      <c r="H218" s="247"/>
      <c r="I218" s="247"/>
      <c r="J218" s="81">
        <f ca="1">SUMPRODUCT((Work_Codes!$AC$236:$AO$236=$E218)*(Work_Codes!$AC$239:$AO$243)*(J$113:J$117))</f>
        <v>0</v>
      </c>
      <c r="K218" s="81">
        <f ca="1">SUMPRODUCT((Work_Codes!$AC$236:$AO$236=$E218)*(Work_Codes!$AC$239:$AO$243)*(K$113:K$117))</f>
        <v>0</v>
      </c>
      <c r="L218" s="81">
        <f ca="1">SUMPRODUCT((Work_Codes!$AC$236:$AO$236=$E218)*(Work_Codes!$AC$239:$AO$243)*(L$113:L$117))</f>
        <v>0</v>
      </c>
      <c r="M218" s="81">
        <f ca="1">SUMPRODUCT((Work_Codes!$AC$236:$AO$236=$E218)*(Work_Codes!$AC$239:$AO$243)*(M$113:M$117))</f>
        <v>0</v>
      </c>
      <c r="N218" s="81">
        <f ca="1">SUMPRODUCT((Work_Codes!$AC$236:$AO$236=$E218)*(Work_Codes!$AC$239:$AO$243)*(N$113:N$117))</f>
        <v>0</v>
      </c>
      <c r="O218" s="81">
        <f ca="1">SUMPRODUCT((Work_Codes!$AC$236:$AO$236=$E218)*(Work_Codes!$AC$239:$AO$243)*(O$113:O$117))</f>
        <v>0</v>
      </c>
      <c r="P218" s="81">
        <f ca="1">SUMPRODUCT((Work_Codes!$AC$236:$AO$236=$E218)*(Work_Codes!$AC$239:$AO$243)*(P$113:P$117))</f>
        <v>0</v>
      </c>
      <c r="Q218" s="81">
        <f ca="1">SUMPRODUCT((Work_Codes!$AC$236:$AO$236=$E218)*(Work_Codes!$AC$239:$AO$243)*(Q$113:Q$117))</f>
        <v>0</v>
      </c>
      <c r="R218" s="81">
        <f ca="1">SUMPRODUCT((Work_Codes!$AC$236:$AO$236=$E218)*(Work_Codes!$AC$239:$AO$243)*(R$113:R$117))</f>
        <v>0</v>
      </c>
      <c r="S218" s="81">
        <f ca="1">SUMPRODUCT((Work_Codes!$AC$236:$AO$236=$E218)*(Work_Codes!$AC$239:$AO$243)*(S$113:S$117))</f>
        <v>0</v>
      </c>
      <c r="T218" s="81">
        <f ca="1">SUMPRODUCT((Work_Codes!$AC$236:$AO$236=$E218)*(Work_Codes!$AC$239:$AO$243)*(T$113:T$117))</f>
        <v>0</v>
      </c>
    </row>
    <row r="219" spans="5:20" ht="12" customHeight="1" outlineLevel="2">
      <c r="E219" s="247" t="str">
        <f>GC!C70</f>
        <v>Gas Extensions - Energy for the Regions</v>
      </c>
      <c r="F219" s="247"/>
      <c r="G219" s="247"/>
      <c r="H219" s="247"/>
      <c r="I219" s="247"/>
      <c r="J219" s="81">
        <f ca="1">SUMPRODUCT((Work_Codes!$AC$236:$AO$236=$E219)*(Work_Codes!$AC$239:$AO$243)*(J$113:J$117))</f>
        <v>0</v>
      </c>
      <c r="K219" s="81">
        <f ca="1">SUMPRODUCT((Work_Codes!$AC$236:$AO$236=$E219)*(Work_Codes!$AC$239:$AO$243)*(K$113:K$117))</f>
        <v>0</v>
      </c>
      <c r="L219" s="81">
        <f ca="1">SUMPRODUCT((Work_Codes!$AC$236:$AO$236=$E219)*(Work_Codes!$AC$239:$AO$243)*(L$113:L$117))</f>
        <v>0</v>
      </c>
      <c r="M219" s="81">
        <f ca="1">SUMPRODUCT((Work_Codes!$AC$236:$AO$236=$E219)*(Work_Codes!$AC$239:$AO$243)*(M$113:M$117))</f>
        <v>0</v>
      </c>
      <c r="N219" s="81">
        <f ca="1">SUMPRODUCT((Work_Codes!$AC$236:$AO$236=$E219)*(Work_Codes!$AC$239:$AO$243)*(N$113:N$117))</f>
        <v>0</v>
      </c>
      <c r="O219" s="81">
        <f ca="1">SUMPRODUCT((Work_Codes!$AC$236:$AO$236=$E219)*(Work_Codes!$AC$239:$AO$243)*(O$113:O$117))</f>
        <v>0</v>
      </c>
      <c r="P219" s="81">
        <f ca="1">SUMPRODUCT((Work_Codes!$AC$236:$AO$236=$E219)*(Work_Codes!$AC$239:$AO$243)*(P$113:P$117))</f>
        <v>0</v>
      </c>
      <c r="Q219" s="81">
        <f ca="1">SUMPRODUCT((Work_Codes!$AC$236:$AO$236=$E219)*(Work_Codes!$AC$239:$AO$243)*(Q$113:Q$117))</f>
        <v>0</v>
      </c>
      <c r="R219" s="81">
        <f ca="1">SUMPRODUCT((Work_Codes!$AC$236:$AO$236=$E219)*(Work_Codes!$AC$239:$AO$243)*(R$113:R$117))</f>
        <v>0</v>
      </c>
      <c r="S219" s="81">
        <f ca="1">SUMPRODUCT((Work_Codes!$AC$236:$AO$236=$E219)*(Work_Codes!$AC$239:$AO$243)*(S$113:S$117))</f>
        <v>0</v>
      </c>
      <c r="T219" s="81">
        <f ca="1">SUMPRODUCT((Work_Codes!$AC$236:$AO$236=$E219)*(Work_Codes!$AC$239:$AO$243)*(T$113:T$117))</f>
        <v>0</v>
      </c>
    </row>
    <row r="220" spans="5:20" ht="12" customHeight="1" outlineLevel="2">
      <c r="E220" s="247" t="str">
        <f>GC!C71</f>
        <v>Gas Extensions - Other</v>
      </c>
      <c r="F220" s="247"/>
      <c r="G220" s="247"/>
      <c r="H220" s="247"/>
      <c r="I220" s="247"/>
      <c r="J220" s="81">
        <f ca="1">SUMPRODUCT((Work_Codes!$AC$236:$AO$236=$E220)*(Work_Codes!$AC$239:$AO$243)*(J$113:J$117))</f>
        <v>0</v>
      </c>
      <c r="K220" s="81">
        <f ca="1">SUMPRODUCT((Work_Codes!$AC$236:$AO$236=$E220)*(Work_Codes!$AC$239:$AO$243)*(K$113:K$117))</f>
        <v>0</v>
      </c>
      <c r="L220" s="81">
        <f ca="1">SUMPRODUCT((Work_Codes!$AC$236:$AO$236=$E220)*(Work_Codes!$AC$239:$AO$243)*(L$113:L$117))</f>
        <v>0</v>
      </c>
      <c r="M220" s="81">
        <f ca="1">SUMPRODUCT((Work_Codes!$AC$236:$AO$236=$E220)*(Work_Codes!$AC$239:$AO$243)*(M$113:M$117))</f>
        <v>0</v>
      </c>
      <c r="N220" s="81">
        <f ca="1">SUMPRODUCT((Work_Codes!$AC$236:$AO$236=$E220)*(Work_Codes!$AC$239:$AO$243)*(N$113:N$117))</f>
        <v>0</v>
      </c>
      <c r="O220" s="81">
        <f ca="1">SUMPRODUCT((Work_Codes!$AC$236:$AO$236=$E220)*(Work_Codes!$AC$239:$AO$243)*(O$113:O$117))</f>
        <v>0</v>
      </c>
      <c r="P220" s="81">
        <f ca="1">SUMPRODUCT((Work_Codes!$AC$236:$AO$236=$E220)*(Work_Codes!$AC$239:$AO$243)*(P$113:P$117))</f>
        <v>0</v>
      </c>
      <c r="Q220" s="81">
        <f ca="1">SUMPRODUCT((Work_Codes!$AC$236:$AO$236=$E220)*(Work_Codes!$AC$239:$AO$243)*(Q$113:Q$117))</f>
        <v>0</v>
      </c>
      <c r="R220" s="81">
        <f ca="1">SUMPRODUCT((Work_Codes!$AC$236:$AO$236=$E220)*(Work_Codes!$AC$239:$AO$243)*(R$113:R$117))</f>
        <v>0</v>
      </c>
      <c r="S220" s="81">
        <f ca="1">SUMPRODUCT((Work_Codes!$AC$236:$AO$236=$E220)*(Work_Codes!$AC$239:$AO$243)*(S$113:S$117))</f>
        <v>0</v>
      </c>
      <c r="T220" s="81">
        <f ca="1">SUMPRODUCT((Work_Codes!$AC$236:$AO$236=$E220)*(Work_Codes!$AC$239:$AO$243)*(T$113:T$117))</f>
        <v>0</v>
      </c>
    </row>
    <row r="221" spans="5:20" ht="12" customHeight="1" outlineLevel="2">
      <c r="E221" s="247" t="str">
        <f>GC!C72</f>
        <v>Customer contributions</v>
      </c>
      <c r="F221" s="247"/>
      <c r="G221" s="247"/>
      <c r="H221" s="247"/>
      <c r="I221" s="247"/>
      <c r="J221" s="81">
        <f ca="1">SUMPRODUCT((Work_Codes!$AC$236:$AO$236=$E221)*(Work_Codes!$AC$239:$AO$243)*(J$113:J$117))</f>
        <v>0</v>
      </c>
      <c r="K221" s="81">
        <f ca="1">SUMPRODUCT((Work_Codes!$AC$236:$AO$236=$E221)*(Work_Codes!$AC$239:$AO$243)*(K$113:K$117))</f>
        <v>0</v>
      </c>
      <c r="L221" s="81">
        <f ca="1">SUMPRODUCT((Work_Codes!$AC$236:$AO$236=$E221)*(Work_Codes!$AC$239:$AO$243)*(L$113:L$117))</f>
        <v>0</v>
      </c>
      <c r="M221" s="81">
        <f ca="1">SUMPRODUCT((Work_Codes!$AC$236:$AO$236=$E221)*(Work_Codes!$AC$239:$AO$243)*(M$113:M$117))</f>
        <v>0</v>
      </c>
      <c r="N221" s="81">
        <f ca="1">SUMPRODUCT((Work_Codes!$AC$236:$AO$236=$E221)*(Work_Codes!$AC$239:$AO$243)*(N$113:N$117))</f>
        <v>0</v>
      </c>
      <c r="O221" s="81">
        <f ca="1">SUMPRODUCT((Work_Codes!$AC$236:$AO$236=$E221)*(Work_Codes!$AC$239:$AO$243)*(O$113:O$117))</f>
        <v>0</v>
      </c>
      <c r="P221" s="81">
        <f ca="1">SUMPRODUCT((Work_Codes!$AC$236:$AO$236=$E221)*(Work_Codes!$AC$239:$AO$243)*(P$113:P$117))</f>
        <v>0</v>
      </c>
      <c r="Q221" s="81">
        <f ca="1">SUMPRODUCT((Work_Codes!$AC$236:$AO$236=$E221)*(Work_Codes!$AC$239:$AO$243)*(Q$113:Q$117))</f>
        <v>0</v>
      </c>
      <c r="R221" s="81">
        <f ca="1">SUMPRODUCT((Work_Codes!$AC$236:$AO$236=$E221)*(Work_Codes!$AC$239:$AO$243)*(R$113:R$117))</f>
        <v>0</v>
      </c>
      <c r="S221" s="81">
        <f ca="1">SUMPRODUCT((Work_Codes!$AC$236:$AO$236=$E221)*(Work_Codes!$AC$239:$AO$243)*(S$113:S$117))</f>
        <v>0</v>
      </c>
      <c r="T221" s="81">
        <f ca="1">SUMPRODUCT((Work_Codes!$AC$236:$AO$236=$E221)*(Work_Codes!$AC$239:$AO$243)*(T$113:T$117))</f>
        <v>0</v>
      </c>
    </row>
    <row r="222" spans="5:20" ht="12" customHeight="1" outlineLevel="2">
      <c r="E222" s="247" t="str">
        <f>GC!C73</f>
        <v>Government contributions</v>
      </c>
      <c r="F222" s="247"/>
      <c r="G222" s="247"/>
      <c r="H222" s="247"/>
      <c r="I222" s="247"/>
      <c r="J222" s="81">
        <f ca="1">SUMPRODUCT((Work_Codes!$AC$236:$AO$236=$E222)*(Work_Codes!$AC$239:$AO$243)*(J$113:J$117))</f>
        <v>0</v>
      </c>
      <c r="K222" s="81">
        <f ca="1">SUMPRODUCT((Work_Codes!$AC$236:$AO$236=$E222)*(Work_Codes!$AC$239:$AO$243)*(K$113:K$117))</f>
        <v>0</v>
      </c>
      <c r="L222" s="81">
        <f ca="1">SUMPRODUCT((Work_Codes!$AC$236:$AO$236=$E222)*(Work_Codes!$AC$239:$AO$243)*(L$113:L$117))</f>
        <v>0</v>
      </c>
      <c r="M222" s="81">
        <f ca="1">SUMPRODUCT((Work_Codes!$AC$236:$AO$236=$E222)*(Work_Codes!$AC$239:$AO$243)*(M$113:M$117))</f>
        <v>0</v>
      </c>
      <c r="N222" s="81">
        <f ca="1">SUMPRODUCT((Work_Codes!$AC$236:$AO$236=$E222)*(Work_Codes!$AC$239:$AO$243)*(N$113:N$117))</f>
        <v>0</v>
      </c>
      <c r="O222" s="81">
        <f ca="1">SUMPRODUCT((Work_Codes!$AC$236:$AO$236=$E222)*(Work_Codes!$AC$239:$AO$243)*(O$113:O$117))</f>
        <v>0</v>
      </c>
      <c r="P222" s="81">
        <f ca="1">SUMPRODUCT((Work_Codes!$AC$236:$AO$236=$E222)*(Work_Codes!$AC$239:$AO$243)*(P$113:P$117))</f>
        <v>0</v>
      </c>
      <c r="Q222" s="81">
        <f ca="1">SUMPRODUCT((Work_Codes!$AC$236:$AO$236=$E222)*(Work_Codes!$AC$239:$AO$243)*(Q$113:Q$117))</f>
        <v>0</v>
      </c>
      <c r="R222" s="81">
        <f ca="1">SUMPRODUCT((Work_Codes!$AC$236:$AO$236=$E222)*(Work_Codes!$AC$239:$AO$243)*(R$113:R$117))</f>
        <v>0</v>
      </c>
      <c r="S222" s="81">
        <f ca="1">SUMPRODUCT((Work_Codes!$AC$236:$AO$236=$E222)*(Work_Codes!$AC$239:$AO$243)*(S$113:S$117))</f>
        <v>0</v>
      </c>
      <c r="T222" s="81">
        <f ca="1">SUMPRODUCT((Work_Codes!$AC$236:$AO$236=$E222)*(Work_Codes!$AC$239:$AO$243)*(T$113:T$117))</f>
        <v>0</v>
      </c>
    </row>
    <row r="223" spans="5:20" ht="12" customHeight="1" outlineLevel="2">
      <c r="E223" s="249" t="str">
        <f>"Total "&amp;D207</f>
        <v>Total Direct Costs</v>
      </c>
      <c r="F223" s="249"/>
      <c r="G223" s="249"/>
      <c r="H223" s="249"/>
      <c r="I223" s="249"/>
      <c r="J223" s="82">
        <f t="shared" ref="J223:T223" ca="1" si="23">SUM(J209:J222)</f>
        <v>0</v>
      </c>
      <c r="K223" s="82">
        <f t="shared" ca="1" si="23"/>
        <v>0</v>
      </c>
      <c r="L223" s="82">
        <f t="shared" ca="1" si="23"/>
        <v>0</v>
      </c>
      <c r="M223" s="82">
        <f t="shared" ca="1" si="23"/>
        <v>0</v>
      </c>
      <c r="N223" s="82">
        <f t="shared" ca="1" si="23"/>
        <v>0</v>
      </c>
      <c r="O223" s="82">
        <f t="shared" ca="1" si="23"/>
        <v>554057.57083317928</v>
      </c>
      <c r="P223" s="82">
        <f t="shared" ca="1" si="23"/>
        <v>1150210.2888901462</v>
      </c>
      <c r="Q223" s="82">
        <f t="shared" ca="1" si="23"/>
        <v>1005914.1556557808</v>
      </c>
      <c r="R223" s="82">
        <f t="shared" ca="1" si="23"/>
        <v>714668.76575574721</v>
      </c>
      <c r="S223" s="82">
        <f t="shared" ca="1" si="23"/>
        <v>657083.72564937267</v>
      </c>
      <c r="T223" s="82">
        <f t="shared" ca="1" si="23"/>
        <v>697501.0692373995</v>
      </c>
    </row>
    <row r="224" spans="5:20" outlineLevel="2"/>
    <row r="225" spans="4:20" outlineLevel="2">
      <c r="D225" s="37" t="s">
        <v>216</v>
      </c>
    </row>
    <row r="226" spans="4:20" ht="5.9" customHeight="1" outlineLevel="2"/>
    <row r="227" spans="4:20" ht="12" customHeight="1" outlineLevel="2">
      <c r="E227" s="247" t="str">
        <f>GC!C60</f>
        <v>Mains replacement</v>
      </c>
      <c r="F227" s="247"/>
      <c r="G227" s="247"/>
      <c r="H227" s="247"/>
      <c r="I227" s="247"/>
      <c r="J227" s="81">
        <f ca="1">J209*(1+INDEX(J$35:J$37,MATCH(Work_Codes!$I$233,$D$35:$D$37,0)))</f>
        <v>0</v>
      </c>
      <c r="K227" s="81">
        <f ca="1">K209*(1+INDEX(K$35:K$37,MATCH(Work_Codes!$I$233,$D$35:$D$37,0)))</f>
        <v>0</v>
      </c>
      <c r="L227" s="81">
        <f ca="1">L209*(1+INDEX(L$35:L$37,MATCH(Work_Codes!$I$233,$D$35:$D$37,0)))</f>
        <v>0</v>
      </c>
      <c r="M227" s="81">
        <f ca="1">M209*(1+INDEX(M$35:M$37,MATCH(Work_Codes!$I$233,$D$35:$D$37,0)))</f>
        <v>0</v>
      </c>
      <c r="N227" s="81">
        <f ca="1">N209*(1+INDEX(N$35:N$37,MATCH(Work_Codes!$I$233,$D$35:$D$37,0)))</f>
        <v>0</v>
      </c>
      <c r="O227" s="81">
        <f ca="1">O209*(1+INDEX(O$35:O$37,MATCH(Work_Codes!$I$233,$D$35:$D$37,0)))</f>
        <v>0</v>
      </c>
      <c r="P227" s="81">
        <f ca="1">P209*(1+INDEX(P$35:P$37,MATCH(Work_Codes!$I$233,$D$35:$D$37,0)))</f>
        <v>0</v>
      </c>
      <c r="Q227" s="81">
        <f ca="1">Q209*(1+INDEX(Q$35:Q$37,MATCH(Work_Codes!$I$233,$D$35:$D$37,0)))</f>
        <v>0</v>
      </c>
      <c r="R227" s="81">
        <f ca="1">R209*(1+INDEX(R$35:R$37,MATCH(Work_Codes!$I$233,$D$35:$D$37,0)))</f>
        <v>0</v>
      </c>
      <c r="S227" s="81">
        <f ca="1">S209*(1+INDEX(S$35:S$37,MATCH(Work_Codes!$I$233,$D$35:$D$37,0)))</f>
        <v>0</v>
      </c>
      <c r="T227" s="81">
        <f ca="1">T209*(1+INDEX(T$35:T$37,MATCH(Work_Codes!$I$233,$D$35:$D$37,0)))</f>
        <v>0</v>
      </c>
    </row>
    <row r="228" spans="4:20" ht="12" customHeight="1" outlineLevel="2">
      <c r="E228" s="247" t="str">
        <f>GC!C61</f>
        <v>Residential new customer connections</v>
      </c>
      <c r="F228" s="247"/>
      <c r="G228" s="247"/>
      <c r="H228" s="247"/>
      <c r="I228" s="247"/>
      <c r="J228" s="81">
        <f ca="1">J210*(1+INDEX(J$35:J$37,MATCH(Work_Codes!$I$233,$D$35:$D$37,0)))</f>
        <v>0</v>
      </c>
      <c r="K228" s="81">
        <f ca="1">K210*(1+INDEX(K$35:K$37,MATCH(Work_Codes!$I$233,$D$35:$D$37,0)))</f>
        <v>0</v>
      </c>
      <c r="L228" s="81">
        <f ca="1">L210*(1+INDEX(L$35:L$37,MATCH(Work_Codes!$I$233,$D$35:$D$37,0)))</f>
        <v>0</v>
      </c>
      <c r="M228" s="81">
        <f ca="1">M210*(1+INDEX(M$35:M$37,MATCH(Work_Codes!$I$233,$D$35:$D$37,0)))</f>
        <v>0</v>
      </c>
      <c r="N228" s="81">
        <f ca="1">N210*(1+INDEX(N$35:N$37,MATCH(Work_Codes!$I$233,$D$35:$D$37,0)))</f>
        <v>0</v>
      </c>
      <c r="O228" s="81">
        <f ca="1">O210*(1+INDEX(O$35:O$37,MATCH(Work_Codes!$I$233,$D$35:$D$37,0)))</f>
        <v>0</v>
      </c>
      <c r="P228" s="81">
        <f ca="1">P210*(1+INDEX(P$35:P$37,MATCH(Work_Codes!$I$233,$D$35:$D$37,0)))</f>
        <v>0</v>
      </c>
      <c r="Q228" s="81">
        <f ca="1">Q210*(1+INDEX(Q$35:Q$37,MATCH(Work_Codes!$I$233,$D$35:$D$37,0)))</f>
        <v>0</v>
      </c>
      <c r="R228" s="81">
        <f ca="1">R210*(1+INDEX(R$35:R$37,MATCH(Work_Codes!$I$233,$D$35:$D$37,0)))</f>
        <v>0</v>
      </c>
      <c r="S228" s="81">
        <f ca="1">S210*(1+INDEX(S$35:S$37,MATCH(Work_Codes!$I$233,$D$35:$D$37,0)))</f>
        <v>0</v>
      </c>
      <c r="T228" s="81">
        <f ca="1">T210*(1+INDEX(T$35:T$37,MATCH(Work_Codes!$I$233,$D$35:$D$37,0)))</f>
        <v>0</v>
      </c>
    </row>
    <row r="229" spans="4:20" ht="12" customHeight="1" outlineLevel="2">
      <c r="E229" s="247" t="str">
        <f>GC!C62</f>
        <v>Commercial and industrial new customer connections</v>
      </c>
      <c r="F229" s="247"/>
      <c r="G229" s="247"/>
      <c r="H229" s="247"/>
      <c r="I229" s="247"/>
      <c r="J229" s="81">
        <f ca="1">J211*(1+INDEX(J$35:J$37,MATCH(Work_Codes!$I$233,$D$35:$D$37,0)))</f>
        <v>0</v>
      </c>
      <c r="K229" s="81">
        <f ca="1">K211*(1+INDEX(K$35:K$37,MATCH(Work_Codes!$I$233,$D$35:$D$37,0)))</f>
        <v>0</v>
      </c>
      <c r="L229" s="81">
        <f ca="1">L211*(1+INDEX(L$35:L$37,MATCH(Work_Codes!$I$233,$D$35:$D$37,0)))</f>
        <v>0</v>
      </c>
      <c r="M229" s="81">
        <f ca="1">M211*(1+INDEX(M$35:M$37,MATCH(Work_Codes!$I$233,$D$35:$D$37,0)))</f>
        <v>0</v>
      </c>
      <c r="N229" s="81">
        <f ca="1">N211*(1+INDEX(N$35:N$37,MATCH(Work_Codes!$I$233,$D$35:$D$37,0)))</f>
        <v>0</v>
      </c>
      <c r="O229" s="81">
        <f ca="1">O211*(1+INDEX(O$35:O$37,MATCH(Work_Codes!$I$233,$D$35:$D$37,0)))</f>
        <v>0</v>
      </c>
      <c r="P229" s="81">
        <f ca="1">P211*(1+INDEX(P$35:P$37,MATCH(Work_Codes!$I$233,$D$35:$D$37,0)))</f>
        <v>0</v>
      </c>
      <c r="Q229" s="81">
        <f ca="1">Q211*(1+INDEX(Q$35:Q$37,MATCH(Work_Codes!$I$233,$D$35:$D$37,0)))</f>
        <v>0</v>
      </c>
      <c r="R229" s="81">
        <f ca="1">R211*(1+INDEX(R$35:R$37,MATCH(Work_Codes!$I$233,$D$35:$D$37,0)))</f>
        <v>0</v>
      </c>
      <c r="S229" s="81">
        <f ca="1">S211*(1+INDEX(S$35:S$37,MATCH(Work_Codes!$I$233,$D$35:$D$37,0)))</f>
        <v>0</v>
      </c>
      <c r="T229" s="81">
        <f ca="1">T211*(1+INDEX(T$35:T$37,MATCH(Work_Codes!$I$233,$D$35:$D$37,0)))</f>
        <v>0</v>
      </c>
    </row>
    <row r="230" spans="4:20" ht="12" customHeight="1" outlineLevel="2">
      <c r="E230" s="247" t="str">
        <f>GC!C63</f>
        <v>Residential meter replacement</v>
      </c>
      <c r="F230" s="247"/>
      <c r="G230" s="247"/>
      <c r="H230" s="247"/>
      <c r="I230" s="247"/>
      <c r="J230" s="81">
        <f ca="1">J212*(1+INDEX(J$35:J$37,MATCH(Work_Codes!$I$233,$D$35:$D$37,0)))</f>
        <v>0</v>
      </c>
      <c r="K230" s="81">
        <f ca="1">K212*(1+INDEX(K$35:K$37,MATCH(Work_Codes!$I$233,$D$35:$D$37,0)))</f>
        <v>0</v>
      </c>
      <c r="L230" s="81">
        <f ca="1">L212*(1+INDEX(L$35:L$37,MATCH(Work_Codes!$I$233,$D$35:$D$37,0)))</f>
        <v>0</v>
      </c>
      <c r="M230" s="81">
        <f ca="1">M212*(1+INDEX(M$35:M$37,MATCH(Work_Codes!$I$233,$D$35:$D$37,0)))</f>
        <v>0</v>
      </c>
      <c r="N230" s="81">
        <f ca="1">N212*(1+INDEX(N$35:N$37,MATCH(Work_Codes!$I$233,$D$35:$D$37,0)))</f>
        <v>0</v>
      </c>
      <c r="O230" s="81">
        <f ca="1">O212*(1+INDEX(O$35:O$37,MATCH(Work_Codes!$I$233,$D$35:$D$37,0)))</f>
        <v>0</v>
      </c>
      <c r="P230" s="81">
        <f ca="1">P212*(1+INDEX(P$35:P$37,MATCH(Work_Codes!$I$233,$D$35:$D$37,0)))</f>
        <v>0</v>
      </c>
      <c r="Q230" s="81">
        <f ca="1">Q212*(1+INDEX(Q$35:Q$37,MATCH(Work_Codes!$I$233,$D$35:$D$37,0)))</f>
        <v>0</v>
      </c>
      <c r="R230" s="81">
        <f ca="1">R212*(1+INDEX(R$35:R$37,MATCH(Work_Codes!$I$233,$D$35:$D$37,0)))</f>
        <v>0</v>
      </c>
      <c r="S230" s="81">
        <f ca="1">S212*(1+INDEX(S$35:S$37,MATCH(Work_Codes!$I$233,$D$35:$D$37,0)))</f>
        <v>0</v>
      </c>
      <c r="T230" s="81">
        <f ca="1">T212*(1+INDEX(T$35:T$37,MATCH(Work_Codes!$I$233,$D$35:$D$37,0)))</f>
        <v>0</v>
      </c>
    </row>
    <row r="231" spans="4:20" ht="12" customHeight="1" outlineLevel="2">
      <c r="E231" s="247" t="str">
        <f>GC!C64</f>
        <v>Commercial and industrial meter replacement</v>
      </c>
      <c r="F231" s="247"/>
      <c r="G231" s="247"/>
      <c r="H231" s="247"/>
      <c r="I231" s="247"/>
      <c r="J231" s="81">
        <f ca="1">J213*(1+INDEX(J$35:J$37,MATCH(Work_Codes!$I$233,$D$35:$D$37,0)))</f>
        <v>0</v>
      </c>
      <c r="K231" s="81">
        <f ca="1">K213*(1+INDEX(K$35:K$37,MATCH(Work_Codes!$I$233,$D$35:$D$37,0)))</f>
        <v>0</v>
      </c>
      <c r="L231" s="81">
        <f ca="1">L213*(1+INDEX(L$35:L$37,MATCH(Work_Codes!$I$233,$D$35:$D$37,0)))</f>
        <v>0</v>
      </c>
      <c r="M231" s="81">
        <f ca="1">M213*(1+INDEX(M$35:M$37,MATCH(Work_Codes!$I$233,$D$35:$D$37,0)))</f>
        <v>0</v>
      </c>
      <c r="N231" s="81">
        <f ca="1">N213*(1+INDEX(N$35:N$37,MATCH(Work_Codes!$I$233,$D$35:$D$37,0)))</f>
        <v>0</v>
      </c>
      <c r="O231" s="81">
        <f ca="1">O213*(1+INDEX(O$35:O$37,MATCH(Work_Codes!$I$233,$D$35:$D$37,0)))</f>
        <v>0</v>
      </c>
      <c r="P231" s="81">
        <f ca="1">P213*(1+INDEX(P$35:P$37,MATCH(Work_Codes!$I$233,$D$35:$D$37,0)))</f>
        <v>0</v>
      </c>
      <c r="Q231" s="81">
        <f ca="1">Q213*(1+INDEX(Q$35:Q$37,MATCH(Work_Codes!$I$233,$D$35:$D$37,0)))</f>
        <v>0</v>
      </c>
      <c r="R231" s="81">
        <f ca="1">R213*(1+INDEX(R$35:R$37,MATCH(Work_Codes!$I$233,$D$35:$D$37,0)))</f>
        <v>0</v>
      </c>
      <c r="S231" s="81">
        <f ca="1">S213*(1+INDEX(S$35:S$37,MATCH(Work_Codes!$I$233,$D$35:$D$37,0)))</f>
        <v>0</v>
      </c>
      <c r="T231" s="81">
        <f ca="1">T213*(1+INDEX(T$35:T$37,MATCH(Work_Codes!$I$233,$D$35:$D$37,0)))</f>
        <v>0</v>
      </c>
    </row>
    <row r="232" spans="4:20" ht="12" customHeight="1" outlineLevel="2">
      <c r="E232" s="247" t="str">
        <f>GC!C65</f>
        <v>Augmentation</v>
      </c>
      <c r="F232" s="247"/>
      <c r="G232" s="247"/>
      <c r="H232" s="247"/>
      <c r="I232" s="247"/>
      <c r="J232" s="81">
        <f ca="1">J214*(1+INDEX(J$35:J$37,MATCH(Work_Codes!$I$233,$D$35:$D$37,0)))</f>
        <v>0</v>
      </c>
      <c r="K232" s="81">
        <f ca="1">K214*(1+INDEX(K$35:K$37,MATCH(Work_Codes!$I$233,$D$35:$D$37,0)))</f>
        <v>0</v>
      </c>
      <c r="L232" s="81">
        <f ca="1">L214*(1+INDEX(L$35:L$37,MATCH(Work_Codes!$I$233,$D$35:$D$37,0)))</f>
        <v>0</v>
      </c>
      <c r="M232" s="81">
        <f ca="1">M214*(1+INDEX(M$35:M$37,MATCH(Work_Codes!$I$233,$D$35:$D$37,0)))</f>
        <v>0</v>
      </c>
      <c r="N232" s="81">
        <f ca="1">N214*(1+INDEX(N$35:N$37,MATCH(Work_Codes!$I$233,$D$35:$D$37,0)))</f>
        <v>0</v>
      </c>
      <c r="O232" s="81">
        <f ca="1">O214*(1+INDEX(O$35:O$37,MATCH(Work_Codes!$I$233,$D$35:$D$37,0)))</f>
        <v>0</v>
      </c>
      <c r="P232" s="81">
        <f ca="1">P214*(1+INDEX(P$35:P$37,MATCH(Work_Codes!$I$233,$D$35:$D$37,0)))</f>
        <v>0</v>
      </c>
      <c r="Q232" s="81">
        <f ca="1">Q214*(1+INDEX(Q$35:Q$37,MATCH(Work_Codes!$I$233,$D$35:$D$37,0)))</f>
        <v>0</v>
      </c>
      <c r="R232" s="81">
        <f ca="1">R214*(1+INDEX(R$35:R$37,MATCH(Work_Codes!$I$233,$D$35:$D$37,0)))</f>
        <v>0</v>
      </c>
      <c r="S232" s="81">
        <f ca="1">S214*(1+INDEX(S$35:S$37,MATCH(Work_Codes!$I$233,$D$35:$D$37,0)))</f>
        <v>0</v>
      </c>
      <c r="T232" s="81">
        <f ca="1">T214*(1+INDEX(T$35:T$37,MATCH(Work_Codes!$I$233,$D$35:$D$37,0)))</f>
        <v>0</v>
      </c>
    </row>
    <row r="233" spans="4:20" ht="12" customHeight="1" outlineLevel="2">
      <c r="E233" s="247" t="str">
        <f>GC!C66</f>
        <v>IT capex</v>
      </c>
      <c r="F233" s="247"/>
      <c r="G233" s="247"/>
      <c r="H233" s="247"/>
      <c r="I233" s="247"/>
      <c r="J233" s="81">
        <f ca="1">J215*(1+INDEX(J$35:J$37,MATCH(Work_Codes!$I$233,$D$35:$D$37,0)))</f>
        <v>0</v>
      </c>
      <c r="K233" s="81">
        <f ca="1">K215*(1+INDEX(K$35:K$37,MATCH(Work_Codes!$I$233,$D$35:$D$37,0)))</f>
        <v>0</v>
      </c>
      <c r="L233" s="81">
        <f ca="1">L215*(1+INDEX(L$35:L$37,MATCH(Work_Codes!$I$233,$D$35:$D$37,0)))</f>
        <v>0</v>
      </c>
      <c r="M233" s="81">
        <f ca="1">M215*(1+INDEX(M$35:M$37,MATCH(Work_Codes!$I$233,$D$35:$D$37,0)))</f>
        <v>0</v>
      </c>
      <c r="N233" s="81">
        <f ca="1">N215*(1+INDEX(N$35:N$37,MATCH(Work_Codes!$I$233,$D$35:$D$37,0)))</f>
        <v>0</v>
      </c>
      <c r="O233" s="81">
        <f ca="1">O215*(1+INDEX(O$35:O$37,MATCH(Work_Codes!$I$233,$D$35:$D$37,0)))</f>
        <v>0</v>
      </c>
      <c r="P233" s="81">
        <f ca="1">P215*(1+INDEX(P$35:P$37,MATCH(Work_Codes!$I$233,$D$35:$D$37,0)))</f>
        <v>0</v>
      </c>
      <c r="Q233" s="81">
        <f ca="1">Q215*(1+INDEX(Q$35:Q$37,MATCH(Work_Codes!$I$233,$D$35:$D$37,0)))</f>
        <v>0</v>
      </c>
      <c r="R233" s="81">
        <f ca="1">R215*(1+INDEX(R$35:R$37,MATCH(Work_Codes!$I$233,$D$35:$D$37,0)))</f>
        <v>0</v>
      </c>
      <c r="S233" s="81">
        <f ca="1">S215*(1+INDEX(S$35:S$37,MATCH(Work_Codes!$I$233,$D$35:$D$37,0)))</f>
        <v>0</v>
      </c>
      <c r="T233" s="81">
        <f ca="1">T215*(1+INDEX(T$35:T$37,MATCH(Work_Codes!$I$233,$D$35:$D$37,0)))</f>
        <v>0</v>
      </c>
    </row>
    <row r="234" spans="4:20" ht="12" customHeight="1" outlineLevel="2">
      <c r="E234" s="247" t="str">
        <f>GC!C67</f>
        <v>SCADA</v>
      </c>
      <c r="F234" s="247"/>
      <c r="G234" s="247"/>
      <c r="H234" s="247"/>
      <c r="I234" s="247"/>
      <c r="J234" s="81">
        <f ca="1">J216*(1+INDEX(J$35:J$37,MATCH(Work_Codes!$I$233,$D$35:$D$37,0)))</f>
        <v>0</v>
      </c>
      <c r="K234" s="81">
        <f ca="1">K216*(1+INDEX(K$35:K$37,MATCH(Work_Codes!$I$233,$D$35:$D$37,0)))</f>
        <v>0</v>
      </c>
      <c r="L234" s="81">
        <f ca="1">L216*(1+INDEX(L$35:L$37,MATCH(Work_Codes!$I$233,$D$35:$D$37,0)))</f>
        <v>0</v>
      </c>
      <c r="M234" s="81">
        <f ca="1">M216*(1+INDEX(M$35:M$37,MATCH(Work_Codes!$I$233,$D$35:$D$37,0)))</f>
        <v>0</v>
      </c>
      <c r="N234" s="81">
        <f ca="1">N216*(1+INDEX(N$35:N$37,MATCH(Work_Codes!$I$233,$D$35:$D$37,0)))</f>
        <v>0</v>
      </c>
      <c r="O234" s="81">
        <f ca="1">O216*(1+INDEX(O$35:O$37,MATCH(Work_Codes!$I$233,$D$35:$D$37,0)))</f>
        <v>0</v>
      </c>
      <c r="P234" s="81">
        <f ca="1">P216*(1+INDEX(P$35:P$37,MATCH(Work_Codes!$I$233,$D$35:$D$37,0)))</f>
        <v>0</v>
      </c>
      <c r="Q234" s="81">
        <f ca="1">Q216*(1+INDEX(Q$35:Q$37,MATCH(Work_Codes!$I$233,$D$35:$D$37,0)))</f>
        <v>0</v>
      </c>
      <c r="R234" s="81">
        <f ca="1">R216*(1+INDEX(R$35:R$37,MATCH(Work_Codes!$I$233,$D$35:$D$37,0)))</f>
        <v>0</v>
      </c>
      <c r="S234" s="81">
        <f ca="1">S216*(1+INDEX(S$35:S$37,MATCH(Work_Codes!$I$233,$D$35:$D$37,0)))</f>
        <v>0</v>
      </c>
      <c r="T234" s="81">
        <f ca="1">T216*(1+INDEX(T$35:T$37,MATCH(Work_Codes!$I$233,$D$35:$D$37,0)))</f>
        <v>0</v>
      </c>
    </row>
    <row r="235" spans="4:20" ht="12" customHeight="1" outlineLevel="2">
      <c r="E235" s="247" t="str">
        <f>GC!C68</f>
        <v>Other</v>
      </c>
      <c r="F235" s="247"/>
      <c r="G235" s="247"/>
      <c r="H235" s="247"/>
      <c r="I235" s="247"/>
      <c r="J235" s="81">
        <f ca="1">J217*(1+INDEX(J$35:J$37,MATCH(Work_Codes!$I$233,$D$35:$D$37,0)))</f>
        <v>0</v>
      </c>
      <c r="K235" s="81">
        <f ca="1">K217*(1+INDEX(K$35:K$37,MATCH(Work_Codes!$I$233,$D$35:$D$37,0)))</f>
        <v>0</v>
      </c>
      <c r="L235" s="81">
        <f ca="1">L217*(1+INDEX(L$35:L$37,MATCH(Work_Codes!$I$233,$D$35:$D$37,0)))</f>
        <v>0</v>
      </c>
      <c r="M235" s="81">
        <f ca="1">M217*(1+INDEX(M$35:M$37,MATCH(Work_Codes!$I$233,$D$35:$D$37,0)))</f>
        <v>0</v>
      </c>
      <c r="N235" s="81">
        <f ca="1">N217*(1+INDEX(N$35:N$37,MATCH(Work_Codes!$I$233,$D$35:$D$37,0)))</f>
        <v>0</v>
      </c>
      <c r="O235" s="81">
        <f ca="1">O217*(1+INDEX(O$35:O$37,MATCH(Work_Codes!$I$233,$D$35:$D$37,0)))</f>
        <v>572498.80587531684</v>
      </c>
      <c r="P235" s="81">
        <f ca="1">P217*(1+INDEX(P$35:P$37,MATCH(Work_Codes!$I$233,$D$35:$D$37,0)))</f>
        <v>1180981.4742678963</v>
      </c>
      <c r="Q235" s="81">
        <f ca="1">Q217*(1+INDEX(Q$35:Q$37,MATCH(Work_Codes!$I$233,$D$35:$D$37,0)))</f>
        <v>1032128.8693748377</v>
      </c>
      <c r="R235" s="81">
        <f ca="1">R217*(1+INDEX(R$35:R$37,MATCH(Work_Codes!$I$233,$D$35:$D$37,0)))</f>
        <v>733874.06377704302</v>
      </c>
      <c r="S235" s="81">
        <f ca="1">S217*(1+INDEX(S$35:S$37,MATCH(Work_Codes!$I$233,$D$35:$D$37,0)))</f>
        <v>675840.95525250491</v>
      </c>
      <c r="T235" s="81">
        <f ca="1">T217*(1+INDEX(T$35:T$37,MATCH(Work_Codes!$I$233,$D$35:$D$37,0)))</f>
        <v>718370.56502645824</v>
      </c>
    </row>
    <row r="236" spans="4:20" outlineLevel="2">
      <c r="E236" s="247" t="str">
        <f>GC!C69</f>
        <v>Capitalised Leases</v>
      </c>
      <c r="F236" s="247"/>
      <c r="G236" s="247"/>
      <c r="H236" s="247"/>
      <c r="I236" s="247"/>
      <c r="J236" s="81">
        <f ca="1">J218*(1+INDEX(J$35:J$37,MATCH(Work_Codes!$I$233,$D$35:$D$37,0)))</f>
        <v>0</v>
      </c>
      <c r="K236" s="81">
        <f ca="1">K218*(1+INDEX(K$35:K$37,MATCH(Work_Codes!$I$233,$D$35:$D$37,0)))</f>
        <v>0</v>
      </c>
      <c r="L236" s="81">
        <f ca="1">L218*(1+INDEX(L$35:L$37,MATCH(Work_Codes!$I$233,$D$35:$D$37,0)))</f>
        <v>0</v>
      </c>
      <c r="M236" s="81">
        <f ca="1">M218*(1+INDEX(M$35:M$37,MATCH(Work_Codes!$I$233,$D$35:$D$37,0)))</f>
        <v>0</v>
      </c>
      <c r="N236" s="81">
        <f ca="1">N218*(1+INDEX(N$35:N$37,MATCH(Work_Codes!$I$233,$D$35:$D$37,0)))</f>
        <v>0</v>
      </c>
      <c r="O236" s="81">
        <f ca="1">O218*(1+INDEX(O$35:O$37,MATCH(Work_Codes!$I$233,$D$35:$D$37,0)))</f>
        <v>0</v>
      </c>
      <c r="P236" s="81">
        <f ca="1">P218*(1+INDEX(P$35:P$37,MATCH(Work_Codes!$I$233,$D$35:$D$37,0)))</f>
        <v>0</v>
      </c>
      <c r="Q236" s="81">
        <f ca="1">Q218*(1+INDEX(Q$35:Q$37,MATCH(Work_Codes!$I$233,$D$35:$D$37,0)))</f>
        <v>0</v>
      </c>
      <c r="R236" s="81">
        <f ca="1">R218*(1+INDEX(R$35:R$37,MATCH(Work_Codes!$I$233,$D$35:$D$37,0)))</f>
        <v>0</v>
      </c>
      <c r="S236" s="81">
        <f ca="1">S218*(1+INDEX(S$35:S$37,MATCH(Work_Codes!$I$233,$D$35:$D$37,0)))</f>
        <v>0</v>
      </c>
      <c r="T236" s="81">
        <f ca="1">T218*(1+INDEX(T$35:T$37,MATCH(Work_Codes!$I$233,$D$35:$D$37,0)))</f>
        <v>0</v>
      </c>
    </row>
    <row r="237" spans="4:20" ht="12" customHeight="1" outlineLevel="2">
      <c r="E237" s="247" t="str">
        <f>GC!C70</f>
        <v>Gas Extensions - Energy for the Regions</v>
      </c>
      <c r="F237" s="247"/>
      <c r="G237" s="247"/>
      <c r="H237" s="247"/>
      <c r="I237" s="247"/>
      <c r="J237" s="81">
        <f ca="1">J219*(1+INDEX(J$35:J$37,MATCH(Work_Codes!$I$233,$D$35:$D$37,0)))</f>
        <v>0</v>
      </c>
      <c r="K237" s="81">
        <f ca="1">K219*(1+INDEX(K$35:K$37,MATCH(Work_Codes!$I$233,$D$35:$D$37,0)))</f>
        <v>0</v>
      </c>
      <c r="L237" s="81">
        <f ca="1">L219*(1+INDEX(L$35:L$37,MATCH(Work_Codes!$I$233,$D$35:$D$37,0)))</f>
        <v>0</v>
      </c>
      <c r="M237" s="81">
        <f ca="1">M219*(1+INDEX(M$35:M$37,MATCH(Work_Codes!$I$233,$D$35:$D$37,0)))</f>
        <v>0</v>
      </c>
      <c r="N237" s="81">
        <f ca="1">N219*(1+INDEX(N$35:N$37,MATCH(Work_Codes!$I$233,$D$35:$D$37,0)))</f>
        <v>0</v>
      </c>
      <c r="O237" s="81">
        <f ca="1">O219*(1+INDEX(O$35:O$37,MATCH(Work_Codes!$I$233,$D$35:$D$37,0)))</f>
        <v>0</v>
      </c>
      <c r="P237" s="81">
        <f ca="1">P219*(1+INDEX(P$35:P$37,MATCH(Work_Codes!$I$233,$D$35:$D$37,0)))</f>
        <v>0</v>
      </c>
      <c r="Q237" s="81">
        <f ca="1">Q219*(1+INDEX(Q$35:Q$37,MATCH(Work_Codes!$I$233,$D$35:$D$37,0)))</f>
        <v>0</v>
      </c>
      <c r="R237" s="81">
        <f ca="1">R219*(1+INDEX(R$35:R$37,MATCH(Work_Codes!$I$233,$D$35:$D$37,0)))</f>
        <v>0</v>
      </c>
      <c r="S237" s="81">
        <f ca="1">S219*(1+INDEX(S$35:S$37,MATCH(Work_Codes!$I$233,$D$35:$D$37,0)))</f>
        <v>0</v>
      </c>
      <c r="T237" s="81">
        <f ca="1">T219*(1+INDEX(T$35:T$37,MATCH(Work_Codes!$I$233,$D$35:$D$37,0)))</f>
        <v>0</v>
      </c>
    </row>
    <row r="238" spans="4:20" ht="12" customHeight="1" outlineLevel="2">
      <c r="E238" s="247" t="str">
        <f>GC!C71</f>
        <v>Gas Extensions - Other</v>
      </c>
      <c r="F238" s="247"/>
      <c r="G238" s="247"/>
      <c r="H238" s="247"/>
      <c r="I238" s="247"/>
      <c r="J238" s="81">
        <f ca="1">J220*(1+INDEX(J$35:J$37,MATCH(Work_Codes!$I$233,$D$35:$D$37,0)))</f>
        <v>0</v>
      </c>
      <c r="K238" s="81">
        <f ca="1">K220*(1+INDEX(K$35:K$37,MATCH(Work_Codes!$I$233,$D$35:$D$37,0)))</f>
        <v>0</v>
      </c>
      <c r="L238" s="81">
        <f ca="1">L220*(1+INDEX(L$35:L$37,MATCH(Work_Codes!$I$233,$D$35:$D$37,0)))</f>
        <v>0</v>
      </c>
      <c r="M238" s="81">
        <f ca="1">M220*(1+INDEX(M$35:M$37,MATCH(Work_Codes!$I$233,$D$35:$D$37,0)))</f>
        <v>0</v>
      </c>
      <c r="N238" s="81">
        <f ca="1">N220*(1+INDEX(N$35:N$37,MATCH(Work_Codes!$I$233,$D$35:$D$37,0)))</f>
        <v>0</v>
      </c>
      <c r="O238" s="81">
        <f ca="1">O220*(1+INDEX(O$35:O$37,MATCH(Work_Codes!$I$233,$D$35:$D$37,0)))</f>
        <v>0</v>
      </c>
      <c r="P238" s="81">
        <f ca="1">P220*(1+INDEX(P$35:P$37,MATCH(Work_Codes!$I$233,$D$35:$D$37,0)))</f>
        <v>0</v>
      </c>
      <c r="Q238" s="81">
        <f ca="1">Q220*(1+INDEX(Q$35:Q$37,MATCH(Work_Codes!$I$233,$D$35:$D$37,0)))</f>
        <v>0</v>
      </c>
      <c r="R238" s="81">
        <f ca="1">R220*(1+INDEX(R$35:R$37,MATCH(Work_Codes!$I$233,$D$35:$D$37,0)))</f>
        <v>0</v>
      </c>
      <c r="S238" s="81">
        <f ca="1">S220*(1+INDEX(S$35:S$37,MATCH(Work_Codes!$I$233,$D$35:$D$37,0)))</f>
        <v>0</v>
      </c>
      <c r="T238" s="81">
        <f ca="1">T220*(1+INDEX(T$35:T$37,MATCH(Work_Codes!$I$233,$D$35:$D$37,0)))</f>
        <v>0</v>
      </c>
    </row>
    <row r="239" spans="4:20" ht="12" customHeight="1" outlineLevel="2">
      <c r="E239" s="247" t="str">
        <f>GC!C72</f>
        <v>Customer contributions</v>
      </c>
      <c r="F239" s="247"/>
      <c r="G239" s="247"/>
      <c r="H239" s="247"/>
      <c r="I239" s="247"/>
      <c r="J239" s="81">
        <f ca="1">J221*(1+INDEX(J$35:J$37,MATCH(Work_Codes!$I$233,$D$35:$D$37,0)))</f>
        <v>0</v>
      </c>
      <c r="K239" s="81">
        <f ca="1">K221*(1+INDEX(K$35:K$37,MATCH(Work_Codes!$I$233,$D$35:$D$37,0)))</f>
        <v>0</v>
      </c>
      <c r="L239" s="81">
        <f ca="1">L221*(1+INDEX(L$35:L$37,MATCH(Work_Codes!$I$233,$D$35:$D$37,0)))</f>
        <v>0</v>
      </c>
      <c r="M239" s="81">
        <f ca="1">M221*(1+INDEX(M$35:M$37,MATCH(Work_Codes!$I$233,$D$35:$D$37,0)))</f>
        <v>0</v>
      </c>
      <c r="N239" s="81">
        <f ca="1">N221*(1+INDEX(N$35:N$37,MATCH(Work_Codes!$I$233,$D$35:$D$37,0)))</f>
        <v>0</v>
      </c>
      <c r="O239" s="81">
        <f ca="1">O221*(1+INDEX(O$35:O$37,MATCH(Work_Codes!$I$233,$D$35:$D$37,0)))</f>
        <v>0</v>
      </c>
      <c r="P239" s="81">
        <f ca="1">P221*(1+INDEX(P$35:P$37,MATCH(Work_Codes!$I$233,$D$35:$D$37,0)))</f>
        <v>0</v>
      </c>
      <c r="Q239" s="81">
        <f ca="1">Q221*(1+INDEX(Q$35:Q$37,MATCH(Work_Codes!$I$233,$D$35:$D$37,0)))</f>
        <v>0</v>
      </c>
      <c r="R239" s="81">
        <f ca="1">R221*(1+INDEX(R$35:R$37,MATCH(Work_Codes!$I$233,$D$35:$D$37,0)))</f>
        <v>0</v>
      </c>
      <c r="S239" s="81">
        <f ca="1">S221*(1+INDEX(S$35:S$37,MATCH(Work_Codes!$I$233,$D$35:$D$37,0)))</f>
        <v>0</v>
      </c>
      <c r="T239" s="81">
        <f ca="1">T221*(1+INDEX(T$35:T$37,MATCH(Work_Codes!$I$233,$D$35:$D$37,0)))</f>
        <v>0</v>
      </c>
    </row>
    <row r="240" spans="4:20" ht="12" customHeight="1" outlineLevel="2">
      <c r="E240" s="247" t="str">
        <f>GC!C73</f>
        <v>Government contributions</v>
      </c>
      <c r="F240" s="247"/>
      <c r="G240" s="247"/>
      <c r="H240" s="247"/>
      <c r="I240" s="247"/>
      <c r="J240" s="81">
        <f ca="1">J222*(1+INDEX(J$35:J$37,MATCH(Work_Codes!$I$233,$D$35:$D$37,0)))</f>
        <v>0</v>
      </c>
      <c r="K240" s="81">
        <f ca="1">K222*(1+INDEX(K$35:K$37,MATCH(Work_Codes!$I$233,$D$35:$D$37,0)))</f>
        <v>0</v>
      </c>
      <c r="L240" s="81">
        <f ca="1">L222*(1+INDEX(L$35:L$37,MATCH(Work_Codes!$I$233,$D$35:$D$37,0)))</f>
        <v>0</v>
      </c>
      <c r="M240" s="81">
        <f ca="1">M222*(1+INDEX(M$35:M$37,MATCH(Work_Codes!$I$233,$D$35:$D$37,0)))</f>
        <v>0</v>
      </c>
      <c r="N240" s="81">
        <f ca="1">N222*(1+INDEX(N$35:N$37,MATCH(Work_Codes!$I$233,$D$35:$D$37,0)))</f>
        <v>0</v>
      </c>
      <c r="O240" s="81">
        <f ca="1">O222*(1+INDEX(O$35:O$37,MATCH(Work_Codes!$I$233,$D$35:$D$37,0)))</f>
        <v>0</v>
      </c>
      <c r="P240" s="81">
        <f ca="1">P222*(1+INDEX(P$35:P$37,MATCH(Work_Codes!$I$233,$D$35:$D$37,0)))</f>
        <v>0</v>
      </c>
      <c r="Q240" s="81">
        <f ca="1">Q222*(1+INDEX(Q$35:Q$37,MATCH(Work_Codes!$I$233,$D$35:$D$37,0)))</f>
        <v>0</v>
      </c>
      <c r="R240" s="81">
        <f ca="1">R222*(1+INDEX(R$35:R$37,MATCH(Work_Codes!$I$233,$D$35:$D$37,0)))</f>
        <v>0</v>
      </c>
      <c r="S240" s="81">
        <f ca="1">S222*(1+INDEX(S$35:S$37,MATCH(Work_Codes!$I$233,$D$35:$D$37,0)))</f>
        <v>0</v>
      </c>
      <c r="T240" s="81">
        <f ca="1">T222*(1+INDEX(T$35:T$37,MATCH(Work_Codes!$I$233,$D$35:$D$37,0)))</f>
        <v>0</v>
      </c>
    </row>
    <row r="241" spans="4:20" ht="12" customHeight="1" outlineLevel="2">
      <c r="E241" s="249" t="str">
        <f>"Total "&amp;D225</f>
        <v>Total Direct Costs + Overheads</v>
      </c>
      <c r="F241" s="249"/>
      <c r="G241" s="249"/>
      <c r="H241" s="249"/>
      <c r="I241" s="249"/>
      <c r="J241" s="82">
        <f t="shared" ref="J241:T241" ca="1" si="24">SUM(J227:J240)</f>
        <v>0</v>
      </c>
      <c r="K241" s="82">
        <f t="shared" ca="1" si="24"/>
        <v>0</v>
      </c>
      <c r="L241" s="82">
        <f t="shared" ca="1" si="24"/>
        <v>0</v>
      </c>
      <c r="M241" s="82">
        <f t="shared" ca="1" si="24"/>
        <v>0</v>
      </c>
      <c r="N241" s="82">
        <f t="shared" ca="1" si="24"/>
        <v>0</v>
      </c>
      <c r="O241" s="82">
        <f t="shared" ca="1" si="24"/>
        <v>572498.80587531684</v>
      </c>
      <c r="P241" s="82">
        <f t="shared" ca="1" si="24"/>
        <v>1180981.4742678963</v>
      </c>
      <c r="Q241" s="82">
        <f t="shared" ca="1" si="24"/>
        <v>1032128.8693748377</v>
      </c>
      <c r="R241" s="82">
        <f t="shared" ca="1" si="24"/>
        <v>733874.06377704302</v>
      </c>
      <c r="S241" s="82">
        <f t="shared" ca="1" si="24"/>
        <v>675840.95525250491</v>
      </c>
      <c r="T241" s="82">
        <f t="shared" ca="1" si="24"/>
        <v>718370.56502645824</v>
      </c>
    </row>
    <row r="242" spans="4:20" outlineLevel="2"/>
    <row r="243" spans="4:20" outlineLevel="2">
      <c r="D243" s="37" t="s">
        <v>367</v>
      </c>
    </row>
    <row r="244" spans="4:20" ht="5.75" customHeight="1" outlineLevel="2"/>
    <row r="245" spans="4:20" outlineLevel="2">
      <c r="E245" s="247" t="str">
        <f>GC!C60</f>
        <v>Mains replacement</v>
      </c>
      <c r="F245" s="247"/>
      <c r="G245" s="247"/>
      <c r="H245" s="247"/>
      <c r="I245" s="247"/>
      <c r="J245" s="81">
        <f ca="1">SUMPRODUCT((Work_Codes!$AC$236:$AO$236=$E245)*(Work_Codes!$AC$247:$AO$247)*(J$74:J$74))</f>
        <v>0</v>
      </c>
      <c r="K245" s="81">
        <f ca="1">SUMPRODUCT((Work_Codes!$AC$236:$AO$236=$E245)*(Work_Codes!$AC$247:$AO$247)*(K$74:K$74))</f>
        <v>0</v>
      </c>
      <c r="L245" s="81">
        <f ca="1">SUMPRODUCT((Work_Codes!$AC$236:$AO$236=$E245)*(Work_Codes!$AC$247:$AO$247)*(L$74:L$74))</f>
        <v>0</v>
      </c>
      <c r="M245" s="81">
        <f ca="1">SUMPRODUCT((Work_Codes!$AC$236:$AO$236=$E245)*(Work_Codes!$AC$247:$AO$247)*(M$74:M$74))</f>
        <v>0</v>
      </c>
      <c r="N245" s="81">
        <f ca="1">SUMPRODUCT((Work_Codes!$AC$236:$AO$236=$E245)*(Work_Codes!$AC$247:$AO$247)*(N$74:N$74))</f>
        <v>0</v>
      </c>
      <c r="O245" s="81">
        <f ca="1">SUMPRODUCT((Work_Codes!$AC$236:$AO$236=$E245)*(Work_Codes!$AC$247:$AO$247)*(O$74:O$74))</f>
        <v>0</v>
      </c>
      <c r="P245" s="81">
        <f ca="1">SUMPRODUCT((Work_Codes!$AC$236:$AO$236=$E245)*(Work_Codes!$AC$247:$AO$247)*(P$74:P$74))</f>
        <v>0</v>
      </c>
      <c r="Q245" s="81">
        <f ca="1">SUMPRODUCT((Work_Codes!$AC$236:$AO$236=$E245)*(Work_Codes!$AC$247:$AO$247)*(Q$74:Q$74))</f>
        <v>0</v>
      </c>
      <c r="R245" s="81">
        <f ca="1">SUMPRODUCT((Work_Codes!$AC$236:$AO$236=$E245)*(Work_Codes!$AC$247:$AO$247)*(R$74:R$74))</f>
        <v>0</v>
      </c>
      <c r="S245" s="81">
        <f ca="1">SUMPRODUCT((Work_Codes!$AC$236:$AO$236=$E245)*(Work_Codes!$AC$247:$AO$247)*(S$74:S$74))</f>
        <v>0</v>
      </c>
      <c r="T245" s="81">
        <f ca="1">SUMPRODUCT((Work_Codes!$AC$236:$AO$236=$E245)*(Work_Codes!$AC$247:$AO$247)*(T$74:T$74))</f>
        <v>0</v>
      </c>
    </row>
    <row r="246" spans="4:20" outlineLevel="2">
      <c r="E246" s="247" t="str">
        <f>GC!C61</f>
        <v>Residential new customer connections</v>
      </c>
      <c r="F246" s="247"/>
      <c r="G246" s="247"/>
      <c r="H246" s="247"/>
      <c r="I246" s="247"/>
      <c r="J246" s="81">
        <f ca="1">SUMPRODUCT((Work_Codes!$AC$236:$AO$236=$E246)*(Work_Codes!$AC$247:$AO$247)*(J$74:J$74))</f>
        <v>0</v>
      </c>
      <c r="K246" s="81">
        <f ca="1">SUMPRODUCT((Work_Codes!$AC$236:$AO$236=$E246)*(Work_Codes!$AC$247:$AO$247)*(K$74:K$74))</f>
        <v>0</v>
      </c>
      <c r="L246" s="81">
        <f ca="1">SUMPRODUCT((Work_Codes!$AC$236:$AO$236=$E246)*(Work_Codes!$AC$247:$AO$247)*(L$74:L$74))</f>
        <v>0</v>
      </c>
      <c r="M246" s="81">
        <f ca="1">SUMPRODUCT((Work_Codes!$AC$236:$AO$236=$E246)*(Work_Codes!$AC$247:$AO$247)*(M$74:M$74))</f>
        <v>0</v>
      </c>
      <c r="N246" s="81">
        <f ca="1">SUMPRODUCT((Work_Codes!$AC$236:$AO$236=$E246)*(Work_Codes!$AC$247:$AO$247)*(N$74:N$74))</f>
        <v>0</v>
      </c>
      <c r="O246" s="81">
        <f ca="1">SUMPRODUCT((Work_Codes!$AC$236:$AO$236=$E246)*(Work_Codes!$AC$247:$AO$247)*(O$74:O$74))</f>
        <v>0</v>
      </c>
      <c r="P246" s="81">
        <f ca="1">SUMPRODUCT((Work_Codes!$AC$236:$AO$236=$E246)*(Work_Codes!$AC$247:$AO$247)*(P$74:P$74))</f>
        <v>0</v>
      </c>
      <c r="Q246" s="81">
        <f ca="1">SUMPRODUCT((Work_Codes!$AC$236:$AO$236=$E246)*(Work_Codes!$AC$247:$AO$247)*(Q$74:Q$74))</f>
        <v>0</v>
      </c>
      <c r="R246" s="81">
        <f ca="1">SUMPRODUCT((Work_Codes!$AC$236:$AO$236=$E246)*(Work_Codes!$AC$247:$AO$247)*(R$74:R$74))</f>
        <v>0</v>
      </c>
      <c r="S246" s="81">
        <f ca="1">SUMPRODUCT((Work_Codes!$AC$236:$AO$236=$E246)*(Work_Codes!$AC$247:$AO$247)*(S$74:S$74))</f>
        <v>0</v>
      </c>
      <c r="T246" s="81">
        <f ca="1">SUMPRODUCT((Work_Codes!$AC$236:$AO$236=$E246)*(Work_Codes!$AC$247:$AO$247)*(T$74:T$74))</f>
        <v>0</v>
      </c>
    </row>
    <row r="247" spans="4:20" outlineLevel="2">
      <c r="E247" s="247" t="str">
        <f>GC!C62</f>
        <v>Commercial and industrial new customer connections</v>
      </c>
      <c r="F247" s="247"/>
      <c r="G247" s="247"/>
      <c r="H247" s="247"/>
      <c r="I247" s="247"/>
      <c r="J247" s="81">
        <f ca="1">SUMPRODUCT((Work_Codes!$AC$236:$AO$236=$E247)*(Work_Codes!$AC$247:$AO$247)*(J$74:J$74))</f>
        <v>0</v>
      </c>
      <c r="K247" s="81">
        <f ca="1">SUMPRODUCT((Work_Codes!$AC$236:$AO$236=$E247)*(Work_Codes!$AC$247:$AO$247)*(K$74:K$74))</f>
        <v>0</v>
      </c>
      <c r="L247" s="81">
        <f ca="1">SUMPRODUCT((Work_Codes!$AC$236:$AO$236=$E247)*(Work_Codes!$AC$247:$AO$247)*(L$74:L$74))</f>
        <v>0</v>
      </c>
      <c r="M247" s="81">
        <f ca="1">SUMPRODUCT((Work_Codes!$AC$236:$AO$236=$E247)*(Work_Codes!$AC$247:$AO$247)*(M$74:M$74))</f>
        <v>0</v>
      </c>
      <c r="N247" s="81">
        <f ca="1">SUMPRODUCT((Work_Codes!$AC$236:$AO$236=$E247)*(Work_Codes!$AC$247:$AO$247)*(N$74:N$74))</f>
        <v>0</v>
      </c>
      <c r="O247" s="81">
        <f ca="1">SUMPRODUCT((Work_Codes!$AC$236:$AO$236=$E247)*(Work_Codes!$AC$247:$AO$247)*(O$74:O$74))</f>
        <v>0</v>
      </c>
      <c r="P247" s="81">
        <f ca="1">SUMPRODUCT((Work_Codes!$AC$236:$AO$236=$E247)*(Work_Codes!$AC$247:$AO$247)*(P$74:P$74))</f>
        <v>0</v>
      </c>
      <c r="Q247" s="81">
        <f ca="1">SUMPRODUCT((Work_Codes!$AC$236:$AO$236=$E247)*(Work_Codes!$AC$247:$AO$247)*(Q$74:Q$74))</f>
        <v>0</v>
      </c>
      <c r="R247" s="81">
        <f ca="1">SUMPRODUCT((Work_Codes!$AC$236:$AO$236=$E247)*(Work_Codes!$AC$247:$AO$247)*(R$74:R$74))</f>
        <v>0</v>
      </c>
      <c r="S247" s="81">
        <f ca="1">SUMPRODUCT((Work_Codes!$AC$236:$AO$236=$E247)*(Work_Codes!$AC$247:$AO$247)*(S$74:S$74))</f>
        <v>0</v>
      </c>
      <c r="T247" s="81">
        <f ca="1">SUMPRODUCT((Work_Codes!$AC$236:$AO$236=$E247)*(Work_Codes!$AC$247:$AO$247)*(T$74:T$74))</f>
        <v>0</v>
      </c>
    </row>
    <row r="248" spans="4:20" outlineLevel="2">
      <c r="E248" s="247" t="str">
        <f>GC!C63</f>
        <v>Residential meter replacement</v>
      </c>
      <c r="F248" s="247"/>
      <c r="G248" s="247"/>
      <c r="H248" s="247"/>
      <c r="I248" s="247"/>
      <c r="J248" s="81">
        <f ca="1">SUMPRODUCT((Work_Codes!$AC$236:$AO$236=$E248)*(Work_Codes!$AC$247:$AO$247)*(J$74:J$74))</f>
        <v>0</v>
      </c>
      <c r="K248" s="81">
        <f ca="1">SUMPRODUCT((Work_Codes!$AC$236:$AO$236=$E248)*(Work_Codes!$AC$247:$AO$247)*(K$74:K$74))</f>
        <v>0</v>
      </c>
      <c r="L248" s="81">
        <f ca="1">SUMPRODUCT((Work_Codes!$AC$236:$AO$236=$E248)*(Work_Codes!$AC$247:$AO$247)*(L$74:L$74))</f>
        <v>0</v>
      </c>
      <c r="M248" s="81">
        <f ca="1">SUMPRODUCT((Work_Codes!$AC$236:$AO$236=$E248)*(Work_Codes!$AC$247:$AO$247)*(M$74:M$74))</f>
        <v>0</v>
      </c>
      <c r="N248" s="81">
        <f ca="1">SUMPRODUCT((Work_Codes!$AC$236:$AO$236=$E248)*(Work_Codes!$AC$247:$AO$247)*(N$74:N$74))</f>
        <v>0</v>
      </c>
      <c r="O248" s="81">
        <f ca="1">SUMPRODUCT((Work_Codes!$AC$236:$AO$236=$E248)*(Work_Codes!$AC$247:$AO$247)*(O$74:O$74))</f>
        <v>0</v>
      </c>
      <c r="P248" s="81">
        <f ca="1">SUMPRODUCT((Work_Codes!$AC$236:$AO$236=$E248)*(Work_Codes!$AC$247:$AO$247)*(P$74:P$74))</f>
        <v>0</v>
      </c>
      <c r="Q248" s="81">
        <f ca="1">SUMPRODUCT((Work_Codes!$AC$236:$AO$236=$E248)*(Work_Codes!$AC$247:$AO$247)*(Q$74:Q$74))</f>
        <v>0</v>
      </c>
      <c r="R248" s="81">
        <f ca="1">SUMPRODUCT((Work_Codes!$AC$236:$AO$236=$E248)*(Work_Codes!$AC$247:$AO$247)*(R$74:R$74))</f>
        <v>0</v>
      </c>
      <c r="S248" s="81">
        <f ca="1">SUMPRODUCT((Work_Codes!$AC$236:$AO$236=$E248)*(Work_Codes!$AC$247:$AO$247)*(S$74:S$74))</f>
        <v>0</v>
      </c>
      <c r="T248" s="81">
        <f ca="1">SUMPRODUCT((Work_Codes!$AC$236:$AO$236=$E248)*(Work_Codes!$AC$247:$AO$247)*(T$74:T$74))</f>
        <v>0</v>
      </c>
    </row>
    <row r="249" spans="4:20" outlineLevel="2">
      <c r="E249" s="247" t="str">
        <f>GC!C64</f>
        <v>Commercial and industrial meter replacement</v>
      </c>
      <c r="F249" s="247"/>
      <c r="G249" s="247"/>
      <c r="H249" s="247"/>
      <c r="I249" s="247"/>
      <c r="J249" s="81">
        <f ca="1">SUMPRODUCT((Work_Codes!$AC$236:$AO$236=$E249)*(Work_Codes!$AC$247:$AO$247)*(J$74:J$74))</f>
        <v>0</v>
      </c>
      <c r="K249" s="81">
        <f ca="1">SUMPRODUCT((Work_Codes!$AC$236:$AO$236=$E249)*(Work_Codes!$AC$247:$AO$247)*(K$74:K$74))</f>
        <v>0</v>
      </c>
      <c r="L249" s="81">
        <f ca="1">SUMPRODUCT((Work_Codes!$AC$236:$AO$236=$E249)*(Work_Codes!$AC$247:$AO$247)*(L$74:L$74))</f>
        <v>0</v>
      </c>
      <c r="M249" s="81">
        <f ca="1">SUMPRODUCT((Work_Codes!$AC$236:$AO$236=$E249)*(Work_Codes!$AC$247:$AO$247)*(M$74:M$74))</f>
        <v>0</v>
      </c>
      <c r="N249" s="81">
        <f ca="1">SUMPRODUCT((Work_Codes!$AC$236:$AO$236=$E249)*(Work_Codes!$AC$247:$AO$247)*(N$74:N$74))</f>
        <v>0</v>
      </c>
      <c r="O249" s="81">
        <f ca="1">SUMPRODUCT((Work_Codes!$AC$236:$AO$236=$E249)*(Work_Codes!$AC$247:$AO$247)*(O$74:O$74))</f>
        <v>0</v>
      </c>
      <c r="P249" s="81">
        <f ca="1">SUMPRODUCT((Work_Codes!$AC$236:$AO$236=$E249)*(Work_Codes!$AC$247:$AO$247)*(P$74:P$74))</f>
        <v>0</v>
      </c>
      <c r="Q249" s="81">
        <f ca="1">SUMPRODUCT((Work_Codes!$AC$236:$AO$236=$E249)*(Work_Codes!$AC$247:$AO$247)*(Q$74:Q$74))</f>
        <v>0</v>
      </c>
      <c r="R249" s="81">
        <f ca="1">SUMPRODUCT((Work_Codes!$AC$236:$AO$236=$E249)*(Work_Codes!$AC$247:$AO$247)*(R$74:R$74))</f>
        <v>0</v>
      </c>
      <c r="S249" s="81">
        <f ca="1">SUMPRODUCT((Work_Codes!$AC$236:$AO$236=$E249)*(Work_Codes!$AC$247:$AO$247)*(S$74:S$74))</f>
        <v>0</v>
      </c>
      <c r="T249" s="81">
        <f ca="1">SUMPRODUCT((Work_Codes!$AC$236:$AO$236=$E249)*(Work_Codes!$AC$247:$AO$247)*(T$74:T$74))</f>
        <v>0</v>
      </c>
    </row>
    <row r="250" spans="4:20" outlineLevel="2">
      <c r="E250" s="247" t="str">
        <f>GC!C65</f>
        <v>Augmentation</v>
      </c>
      <c r="F250" s="247"/>
      <c r="G250" s="247"/>
      <c r="H250" s="247"/>
      <c r="I250" s="247"/>
      <c r="J250" s="81">
        <f ca="1">SUMPRODUCT((Work_Codes!$AC$236:$AO$236=$E250)*(Work_Codes!$AC$247:$AO$247)*(J$74:J$74))</f>
        <v>0</v>
      </c>
      <c r="K250" s="81">
        <f ca="1">SUMPRODUCT((Work_Codes!$AC$236:$AO$236=$E250)*(Work_Codes!$AC$247:$AO$247)*(K$74:K$74))</f>
        <v>0</v>
      </c>
      <c r="L250" s="81">
        <f ca="1">SUMPRODUCT((Work_Codes!$AC$236:$AO$236=$E250)*(Work_Codes!$AC$247:$AO$247)*(L$74:L$74))</f>
        <v>0</v>
      </c>
      <c r="M250" s="81">
        <f ca="1">SUMPRODUCT((Work_Codes!$AC$236:$AO$236=$E250)*(Work_Codes!$AC$247:$AO$247)*(M$74:M$74))</f>
        <v>0</v>
      </c>
      <c r="N250" s="81">
        <f ca="1">SUMPRODUCT((Work_Codes!$AC$236:$AO$236=$E250)*(Work_Codes!$AC$247:$AO$247)*(N$74:N$74))</f>
        <v>0</v>
      </c>
      <c r="O250" s="81">
        <f ca="1">SUMPRODUCT((Work_Codes!$AC$236:$AO$236=$E250)*(Work_Codes!$AC$247:$AO$247)*(O$74:O$74))</f>
        <v>0</v>
      </c>
      <c r="P250" s="81">
        <f ca="1">SUMPRODUCT((Work_Codes!$AC$236:$AO$236=$E250)*(Work_Codes!$AC$247:$AO$247)*(P$74:P$74))</f>
        <v>0</v>
      </c>
      <c r="Q250" s="81">
        <f ca="1">SUMPRODUCT((Work_Codes!$AC$236:$AO$236=$E250)*(Work_Codes!$AC$247:$AO$247)*(Q$74:Q$74))</f>
        <v>0</v>
      </c>
      <c r="R250" s="81">
        <f ca="1">SUMPRODUCT((Work_Codes!$AC$236:$AO$236=$E250)*(Work_Codes!$AC$247:$AO$247)*(R$74:R$74))</f>
        <v>0</v>
      </c>
      <c r="S250" s="81">
        <f ca="1">SUMPRODUCT((Work_Codes!$AC$236:$AO$236=$E250)*(Work_Codes!$AC$247:$AO$247)*(S$74:S$74))</f>
        <v>0</v>
      </c>
      <c r="T250" s="81">
        <f ca="1">SUMPRODUCT((Work_Codes!$AC$236:$AO$236=$E250)*(Work_Codes!$AC$247:$AO$247)*(T$74:T$74))</f>
        <v>0</v>
      </c>
    </row>
    <row r="251" spans="4:20" outlineLevel="2">
      <c r="E251" s="247" t="str">
        <f>GC!C66</f>
        <v>IT capex</v>
      </c>
      <c r="F251" s="247"/>
      <c r="G251" s="247"/>
      <c r="H251" s="247"/>
      <c r="I251" s="247"/>
      <c r="J251" s="81">
        <f ca="1">SUMPRODUCT((Work_Codes!$AC$236:$AO$236=$E251)*(Work_Codes!$AC$247:$AO$247)*(J$74:J$74))</f>
        <v>0</v>
      </c>
      <c r="K251" s="81">
        <f ca="1">SUMPRODUCT((Work_Codes!$AC$236:$AO$236=$E251)*(Work_Codes!$AC$247:$AO$247)*(K$74:K$74))</f>
        <v>0</v>
      </c>
      <c r="L251" s="81">
        <f ca="1">SUMPRODUCT((Work_Codes!$AC$236:$AO$236=$E251)*(Work_Codes!$AC$247:$AO$247)*(L$74:L$74))</f>
        <v>0</v>
      </c>
      <c r="M251" s="81">
        <f ca="1">SUMPRODUCT((Work_Codes!$AC$236:$AO$236=$E251)*(Work_Codes!$AC$247:$AO$247)*(M$74:M$74))</f>
        <v>0</v>
      </c>
      <c r="N251" s="81">
        <f ca="1">SUMPRODUCT((Work_Codes!$AC$236:$AO$236=$E251)*(Work_Codes!$AC$247:$AO$247)*(N$74:N$74))</f>
        <v>0</v>
      </c>
      <c r="O251" s="81">
        <f ca="1">SUMPRODUCT((Work_Codes!$AC$236:$AO$236=$E251)*(Work_Codes!$AC$247:$AO$247)*(O$74:O$74))</f>
        <v>0</v>
      </c>
      <c r="P251" s="81">
        <f ca="1">SUMPRODUCT((Work_Codes!$AC$236:$AO$236=$E251)*(Work_Codes!$AC$247:$AO$247)*(P$74:P$74))</f>
        <v>0</v>
      </c>
      <c r="Q251" s="81">
        <f ca="1">SUMPRODUCT((Work_Codes!$AC$236:$AO$236=$E251)*(Work_Codes!$AC$247:$AO$247)*(Q$74:Q$74))</f>
        <v>0</v>
      </c>
      <c r="R251" s="81">
        <f ca="1">SUMPRODUCT((Work_Codes!$AC$236:$AO$236=$E251)*(Work_Codes!$AC$247:$AO$247)*(R$74:R$74))</f>
        <v>0</v>
      </c>
      <c r="S251" s="81">
        <f ca="1">SUMPRODUCT((Work_Codes!$AC$236:$AO$236=$E251)*(Work_Codes!$AC$247:$AO$247)*(S$74:S$74))</f>
        <v>0</v>
      </c>
      <c r="T251" s="81">
        <f ca="1">SUMPRODUCT((Work_Codes!$AC$236:$AO$236=$E251)*(Work_Codes!$AC$247:$AO$247)*(T$74:T$74))</f>
        <v>0</v>
      </c>
    </row>
    <row r="252" spans="4:20" outlineLevel="2">
      <c r="E252" s="247" t="str">
        <f>GC!C67</f>
        <v>SCADA</v>
      </c>
      <c r="F252" s="247"/>
      <c r="G252" s="247"/>
      <c r="H252" s="247"/>
      <c r="I252" s="247"/>
      <c r="J252" s="81">
        <f ca="1">SUMPRODUCT((Work_Codes!$AC$236:$AO$236=$E252)*(Work_Codes!$AC$247:$AO$247)*(J$74:J$74))</f>
        <v>0</v>
      </c>
      <c r="K252" s="81">
        <f ca="1">SUMPRODUCT((Work_Codes!$AC$236:$AO$236=$E252)*(Work_Codes!$AC$247:$AO$247)*(K$74:K$74))</f>
        <v>0</v>
      </c>
      <c r="L252" s="81">
        <f ca="1">SUMPRODUCT((Work_Codes!$AC$236:$AO$236=$E252)*(Work_Codes!$AC$247:$AO$247)*(L$74:L$74))</f>
        <v>0</v>
      </c>
      <c r="M252" s="81">
        <f ca="1">SUMPRODUCT((Work_Codes!$AC$236:$AO$236=$E252)*(Work_Codes!$AC$247:$AO$247)*(M$74:M$74))</f>
        <v>0</v>
      </c>
      <c r="N252" s="81">
        <f ca="1">SUMPRODUCT((Work_Codes!$AC$236:$AO$236=$E252)*(Work_Codes!$AC$247:$AO$247)*(N$74:N$74))</f>
        <v>0</v>
      </c>
      <c r="O252" s="81">
        <f ca="1">SUMPRODUCT((Work_Codes!$AC$236:$AO$236=$E252)*(Work_Codes!$AC$247:$AO$247)*(O$74:O$74))</f>
        <v>0</v>
      </c>
      <c r="P252" s="81">
        <f ca="1">SUMPRODUCT((Work_Codes!$AC$236:$AO$236=$E252)*(Work_Codes!$AC$247:$AO$247)*(P$74:P$74))</f>
        <v>0</v>
      </c>
      <c r="Q252" s="81">
        <f ca="1">SUMPRODUCT((Work_Codes!$AC$236:$AO$236=$E252)*(Work_Codes!$AC$247:$AO$247)*(Q$74:Q$74))</f>
        <v>0</v>
      </c>
      <c r="R252" s="81">
        <f ca="1">SUMPRODUCT((Work_Codes!$AC$236:$AO$236=$E252)*(Work_Codes!$AC$247:$AO$247)*(R$74:R$74))</f>
        <v>0</v>
      </c>
      <c r="S252" s="81">
        <f ca="1">SUMPRODUCT((Work_Codes!$AC$236:$AO$236=$E252)*(Work_Codes!$AC$247:$AO$247)*(S$74:S$74))</f>
        <v>0</v>
      </c>
      <c r="T252" s="81">
        <f ca="1">SUMPRODUCT((Work_Codes!$AC$236:$AO$236=$E252)*(Work_Codes!$AC$247:$AO$247)*(T$74:T$74))</f>
        <v>0</v>
      </c>
    </row>
    <row r="253" spans="4:20" outlineLevel="2">
      <c r="E253" s="247" t="str">
        <f>GC!C68</f>
        <v>Other</v>
      </c>
      <c r="F253" s="247"/>
      <c r="G253" s="247"/>
      <c r="H253" s="247"/>
      <c r="I253" s="247"/>
      <c r="J253" s="81">
        <f ca="1">SUMPRODUCT((Work_Codes!$AC$236:$AO$236=$E253)*(Work_Codes!$AC$247:$AO$247)*(J$74:J$74))</f>
        <v>0</v>
      </c>
      <c r="K253" s="81">
        <f ca="1">SUMPRODUCT((Work_Codes!$AC$236:$AO$236=$E253)*(Work_Codes!$AC$247:$AO$247)*(K$74:K$74))</f>
        <v>0</v>
      </c>
      <c r="L253" s="81">
        <f ca="1">SUMPRODUCT((Work_Codes!$AC$236:$AO$236=$E253)*(Work_Codes!$AC$247:$AO$247)*(L$74:L$74))</f>
        <v>0</v>
      </c>
      <c r="M253" s="81">
        <f ca="1">SUMPRODUCT((Work_Codes!$AC$236:$AO$236=$E253)*(Work_Codes!$AC$247:$AO$247)*(M$74:M$74))</f>
        <v>0</v>
      </c>
      <c r="N253" s="81">
        <f ca="1">SUMPRODUCT((Work_Codes!$AC$236:$AO$236=$E253)*(Work_Codes!$AC$247:$AO$247)*(N$74:N$74))</f>
        <v>0</v>
      </c>
      <c r="O253" s="81">
        <f ca="1">SUMPRODUCT((Work_Codes!$AC$236:$AO$236=$E253)*(Work_Codes!$AC$247:$AO$247)*(O$74:O$74))</f>
        <v>0</v>
      </c>
      <c r="P253" s="81">
        <f ca="1">SUMPRODUCT((Work_Codes!$AC$236:$AO$236=$E253)*(Work_Codes!$AC$247:$AO$247)*(P$74:P$74))</f>
        <v>0</v>
      </c>
      <c r="Q253" s="81">
        <f ca="1">SUMPRODUCT((Work_Codes!$AC$236:$AO$236=$E253)*(Work_Codes!$AC$247:$AO$247)*(Q$74:Q$74))</f>
        <v>0</v>
      </c>
      <c r="R253" s="81">
        <f ca="1">SUMPRODUCT((Work_Codes!$AC$236:$AO$236=$E253)*(Work_Codes!$AC$247:$AO$247)*(R$74:R$74))</f>
        <v>0</v>
      </c>
      <c r="S253" s="81">
        <f ca="1">SUMPRODUCT((Work_Codes!$AC$236:$AO$236=$E253)*(Work_Codes!$AC$247:$AO$247)*(S$74:S$74))</f>
        <v>0</v>
      </c>
      <c r="T253" s="81">
        <f ca="1">SUMPRODUCT((Work_Codes!$AC$236:$AO$236=$E253)*(Work_Codes!$AC$247:$AO$247)*(T$74:T$74))</f>
        <v>0</v>
      </c>
    </row>
    <row r="254" spans="4:20" outlineLevel="2">
      <c r="E254" s="247" t="str">
        <f>GC!C69</f>
        <v>Capitalised Leases</v>
      </c>
      <c r="F254" s="247"/>
      <c r="G254" s="247"/>
      <c r="H254" s="247"/>
      <c r="I254" s="247"/>
      <c r="J254" s="81">
        <f ca="1">SUMPRODUCT((Work_Codes!$AC$236:$AO$236=$E254)*(Work_Codes!$AC$247:$AO$247)*(J$74:J$74))</f>
        <v>0</v>
      </c>
      <c r="K254" s="81">
        <f ca="1">SUMPRODUCT((Work_Codes!$AC$236:$AO$236=$E254)*(Work_Codes!$AC$247:$AO$247)*(K$74:K$74))</f>
        <v>0</v>
      </c>
      <c r="L254" s="81">
        <f ca="1">SUMPRODUCT((Work_Codes!$AC$236:$AO$236=$E254)*(Work_Codes!$AC$247:$AO$247)*(L$74:L$74))</f>
        <v>0</v>
      </c>
      <c r="M254" s="81">
        <f ca="1">SUMPRODUCT((Work_Codes!$AC$236:$AO$236=$E254)*(Work_Codes!$AC$247:$AO$247)*(M$74:M$74))</f>
        <v>0</v>
      </c>
      <c r="N254" s="81">
        <f ca="1">SUMPRODUCT((Work_Codes!$AC$236:$AO$236=$E254)*(Work_Codes!$AC$247:$AO$247)*(N$74:N$74))</f>
        <v>0</v>
      </c>
      <c r="O254" s="81">
        <f ca="1">SUMPRODUCT((Work_Codes!$AC$236:$AO$236=$E254)*(Work_Codes!$AC$247:$AO$247)*(O$74:O$74))</f>
        <v>0</v>
      </c>
      <c r="P254" s="81">
        <f ca="1">SUMPRODUCT((Work_Codes!$AC$236:$AO$236=$E254)*(Work_Codes!$AC$247:$AO$247)*(P$74:P$74))</f>
        <v>0</v>
      </c>
      <c r="Q254" s="81">
        <f ca="1">SUMPRODUCT((Work_Codes!$AC$236:$AO$236=$E254)*(Work_Codes!$AC$247:$AO$247)*(Q$74:Q$74))</f>
        <v>0</v>
      </c>
      <c r="R254" s="81">
        <f ca="1">SUMPRODUCT((Work_Codes!$AC$236:$AO$236=$E254)*(Work_Codes!$AC$247:$AO$247)*(R$74:R$74))</f>
        <v>0</v>
      </c>
      <c r="S254" s="81">
        <f ca="1">SUMPRODUCT((Work_Codes!$AC$236:$AO$236=$E254)*(Work_Codes!$AC$247:$AO$247)*(S$74:S$74))</f>
        <v>0</v>
      </c>
      <c r="T254" s="81">
        <f ca="1">SUMPRODUCT((Work_Codes!$AC$236:$AO$236=$E254)*(Work_Codes!$AC$247:$AO$247)*(T$74:T$74))</f>
        <v>0</v>
      </c>
    </row>
    <row r="255" spans="4:20" outlineLevel="2">
      <c r="E255" s="247" t="str">
        <f>GC!C70</f>
        <v>Gas Extensions - Energy for the Regions</v>
      </c>
      <c r="F255" s="247"/>
      <c r="G255" s="247"/>
      <c r="H255" s="247"/>
      <c r="I255" s="247"/>
      <c r="J255" s="81">
        <f ca="1">SUMPRODUCT((Work_Codes!$AC$236:$AO$236=$E255)*(Work_Codes!$AC$247:$AO$247)*(J$74:J$74))</f>
        <v>0</v>
      </c>
      <c r="K255" s="81">
        <f ca="1">SUMPRODUCT((Work_Codes!$AC$236:$AO$236=$E255)*(Work_Codes!$AC$247:$AO$247)*(K$74:K$74))</f>
        <v>0</v>
      </c>
      <c r="L255" s="81">
        <f ca="1">SUMPRODUCT((Work_Codes!$AC$236:$AO$236=$E255)*(Work_Codes!$AC$247:$AO$247)*(L$74:L$74))</f>
        <v>0</v>
      </c>
      <c r="M255" s="81">
        <f ca="1">SUMPRODUCT((Work_Codes!$AC$236:$AO$236=$E255)*(Work_Codes!$AC$247:$AO$247)*(M$74:M$74))</f>
        <v>0</v>
      </c>
      <c r="N255" s="81">
        <f ca="1">SUMPRODUCT((Work_Codes!$AC$236:$AO$236=$E255)*(Work_Codes!$AC$247:$AO$247)*(N$74:N$74))</f>
        <v>0</v>
      </c>
      <c r="O255" s="81">
        <f ca="1">SUMPRODUCT((Work_Codes!$AC$236:$AO$236=$E255)*(Work_Codes!$AC$247:$AO$247)*(O$74:O$74))</f>
        <v>0</v>
      </c>
      <c r="P255" s="81">
        <f ca="1">SUMPRODUCT((Work_Codes!$AC$236:$AO$236=$E255)*(Work_Codes!$AC$247:$AO$247)*(P$74:P$74))</f>
        <v>0</v>
      </c>
      <c r="Q255" s="81">
        <f ca="1">SUMPRODUCT((Work_Codes!$AC$236:$AO$236=$E255)*(Work_Codes!$AC$247:$AO$247)*(Q$74:Q$74))</f>
        <v>0</v>
      </c>
      <c r="R255" s="81">
        <f ca="1">SUMPRODUCT((Work_Codes!$AC$236:$AO$236=$E255)*(Work_Codes!$AC$247:$AO$247)*(R$74:R$74))</f>
        <v>0</v>
      </c>
      <c r="S255" s="81">
        <f ca="1">SUMPRODUCT((Work_Codes!$AC$236:$AO$236=$E255)*(Work_Codes!$AC$247:$AO$247)*(S$74:S$74))</f>
        <v>0</v>
      </c>
      <c r="T255" s="81">
        <f ca="1">SUMPRODUCT((Work_Codes!$AC$236:$AO$236=$E255)*(Work_Codes!$AC$247:$AO$247)*(T$74:T$74))</f>
        <v>0</v>
      </c>
    </row>
    <row r="256" spans="4:20" outlineLevel="2">
      <c r="E256" s="247" t="str">
        <f>GC!C71</f>
        <v>Gas Extensions - Other</v>
      </c>
      <c r="F256" s="247"/>
      <c r="G256" s="247"/>
      <c r="H256" s="247"/>
      <c r="I256" s="247"/>
      <c r="J256" s="81">
        <f ca="1">SUMPRODUCT((Work_Codes!$AC$236:$AO$236=$E256)*(Work_Codes!$AC$247:$AO$247)*(J$74:J$74))</f>
        <v>0</v>
      </c>
      <c r="K256" s="81">
        <f ca="1">SUMPRODUCT((Work_Codes!$AC$236:$AO$236=$E256)*(Work_Codes!$AC$247:$AO$247)*(K$74:K$74))</f>
        <v>0</v>
      </c>
      <c r="L256" s="81">
        <f ca="1">SUMPRODUCT((Work_Codes!$AC$236:$AO$236=$E256)*(Work_Codes!$AC$247:$AO$247)*(L$74:L$74))</f>
        <v>0</v>
      </c>
      <c r="M256" s="81">
        <f ca="1">SUMPRODUCT((Work_Codes!$AC$236:$AO$236=$E256)*(Work_Codes!$AC$247:$AO$247)*(M$74:M$74))</f>
        <v>0</v>
      </c>
      <c r="N256" s="81">
        <f ca="1">SUMPRODUCT((Work_Codes!$AC$236:$AO$236=$E256)*(Work_Codes!$AC$247:$AO$247)*(N$74:N$74))</f>
        <v>0</v>
      </c>
      <c r="O256" s="81">
        <f ca="1">SUMPRODUCT((Work_Codes!$AC$236:$AO$236=$E256)*(Work_Codes!$AC$247:$AO$247)*(O$74:O$74))</f>
        <v>0</v>
      </c>
      <c r="P256" s="81">
        <f ca="1">SUMPRODUCT((Work_Codes!$AC$236:$AO$236=$E256)*(Work_Codes!$AC$247:$AO$247)*(P$74:P$74))</f>
        <v>0</v>
      </c>
      <c r="Q256" s="81">
        <f ca="1">SUMPRODUCT((Work_Codes!$AC$236:$AO$236=$E256)*(Work_Codes!$AC$247:$AO$247)*(Q$74:Q$74))</f>
        <v>0</v>
      </c>
      <c r="R256" s="81">
        <f ca="1">SUMPRODUCT((Work_Codes!$AC$236:$AO$236=$E256)*(Work_Codes!$AC$247:$AO$247)*(R$74:R$74))</f>
        <v>0</v>
      </c>
      <c r="S256" s="81">
        <f ca="1">SUMPRODUCT((Work_Codes!$AC$236:$AO$236=$E256)*(Work_Codes!$AC$247:$AO$247)*(S$74:S$74))</f>
        <v>0</v>
      </c>
      <c r="T256" s="81">
        <f ca="1">SUMPRODUCT((Work_Codes!$AC$236:$AO$236=$E256)*(Work_Codes!$AC$247:$AO$247)*(T$74:T$74))</f>
        <v>0</v>
      </c>
    </row>
    <row r="257" spans="2:20" outlineLevel="2">
      <c r="E257" s="247" t="str">
        <f>GC!C72</f>
        <v>Customer contributions</v>
      </c>
      <c r="F257" s="247"/>
      <c r="G257" s="247"/>
      <c r="H257" s="247"/>
      <c r="I257" s="247"/>
      <c r="J257" s="81">
        <f ca="1">SUMPRODUCT((Work_Codes!$AC$236:$AO$236=$E257)*(Work_Codes!$AC$247:$AO$247)*(J$74:J$74))</f>
        <v>0</v>
      </c>
      <c r="K257" s="81">
        <f ca="1">SUMPRODUCT((Work_Codes!$AC$236:$AO$236=$E257)*(Work_Codes!$AC$247:$AO$247)*(K$74:K$74))</f>
        <v>0</v>
      </c>
      <c r="L257" s="81">
        <f ca="1">SUMPRODUCT((Work_Codes!$AC$236:$AO$236=$E257)*(Work_Codes!$AC$247:$AO$247)*(L$74:L$74))</f>
        <v>0</v>
      </c>
      <c r="M257" s="81">
        <f ca="1">SUMPRODUCT((Work_Codes!$AC$236:$AO$236=$E257)*(Work_Codes!$AC$247:$AO$247)*(M$74:M$74))</f>
        <v>0</v>
      </c>
      <c r="N257" s="81">
        <f ca="1">SUMPRODUCT((Work_Codes!$AC$236:$AO$236=$E257)*(Work_Codes!$AC$247:$AO$247)*(N$74:N$74))</f>
        <v>0</v>
      </c>
      <c r="O257" s="81">
        <f ca="1">SUMPRODUCT((Work_Codes!$AC$236:$AO$236=$E257)*(Work_Codes!$AC$247:$AO$247)*(O$74:O$74))</f>
        <v>0</v>
      </c>
      <c r="P257" s="81">
        <f ca="1">SUMPRODUCT((Work_Codes!$AC$236:$AO$236=$E257)*(Work_Codes!$AC$247:$AO$247)*(P$74:P$74))</f>
        <v>0</v>
      </c>
      <c r="Q257" s="81">
        <f ca="1">SUMPRODUCT((Work_Codes!$AC$236:$AO$236=$E257)*(Work_Codes!$AC$247:$AO$247)*(Q$74:Q$74))</f>
        <v>0</v>
      </c>
      <c r="R257" s="81">
        <f ca="1">SUMPRODUCT((Work_Codes!$AC$236:$AO$236=$E257)*(Work_Codes!$AC$247:$AO$247)*(R$74:R$74))</f>
        <v>0</v>
      </c>
      <c r="S257" s="81">
        <f ca="1">SUMPRODUCT((Work_Codes!$AC$236:$AO$236=$E257)*(Work_Codes!$AC$247:$AO$247)*(S$74:S$74))</f>
        <v>0</v>
      </c>
      <c r="T257" s="81">
        <f ca="1">SUMPRODUCT((Work_Codes!$AC$236:$AO$236=$E257)*(Work_Codes!$AC$247:$AO$247)*(T$74:T$74))</f>
        <v>0</v>
      </c>
    </row>
    <row r="258" spans="2:20" outlineLevel="2">
      <c r="E258" s="247" t="str">
        <f>GC!C73</f>
        <v>Government contributions</v>
      </c>
      <c r="F258" s="247"/>
      <c r="G258" s="247"/>
      <c r="H258" s="247"/>
      <c r="I258" s="247"/>
      <c r="J258" s="81">
        <f ca="1">SUMPRODUCT((Work_Codes!$AC$236:$AO$236=$E258)*(Work_Codes!$AC$247:$AO$247)*(J$74:J$74))</f>
        <v>0</v>
      </c>
      <c r="K258" s="81">
        <f ca="1">SUMPRODUCT((Work_Codes!$AC$236:$AO$236=$E258)*(Work_Codes!$AC$247:$AO$247)*(K$74:K$74))</f>
        <v>0</v>
      </c>
      <c r="L258" s="81">
        <f ca="1">SUMPRODUCT((Work_Codes!$AC$236:$AO$236=$E258)*(Work_Codes!$AC$247:$AO$247)*(L$74:L$74))</f>
        <v>0</v>
      </c>
      <c r="M258" s="81">
        <f ca="1">SUMPRODUCT((Work_Codes!$AC$236:$AO$236=$E258)*(Work_Codes!$AC$247:$AO$247)*(M$74:M$74))</f>
        <v>0</v>
      </c>
      <c r="N258" s="81">
        <f ca="1">SUMPRODUCT((Work_Codes!$AC$236:$AO$236=$E258)*(Work_Codes!$AC$247:$AO$247)*(N$74:N$74))</f>
        <v>0</v>
      </c>
      <c r="O258" s="81">
        <f ca="1">SUMPRODUCT((Work_Codes!$AC$236:$AO$236=$E258)*(Work_Codes!$AC$247:$AO$247)*(O$74:O$74))</f>
        <v>0</v>
      </c>
      <c r="P258" s="81">
        <f ca="1">SUMPRODUCT((Work_Codes!$AC$236:$AO$236=$E258)*(Work_Codes!$AC$247:$AO$247)*(P$74:P$74))</f>
        <v>0</v>
      </c>
      <c r="Q258" s="81">
        <f ca="1">SUMPRODUCT((Work_Codes!$AC$236:$AO$236=$E258)*(Work_Codes!$AC$247:$AO$247)*(Q$74:Q$74))</f>
        <v>0</v>
      </c>
      <c r="R258" s="81">
        <f ca="1">SUMPRODUCT((Work_Codes!$AC$236:$AO$236=$E258)*(Work_Codes!$AC$247:$AO$247)*(R$74:R$74))</f>
        <v>0</v>
      </c>
      <c r="S258" s="81">
        <f ca="1">SUMPRODUCT((Work_Codes!$AC$236:$AO$236=$E258)*(Work_Codes!$AC$247:$AO$247)*(S$74:S$74))</f>
        <v>0</v>
      </c>
      <c r="T258" s="81">
        <f ca="1">SUMPRODUCT((Work_Codes!$AC$236:$AO$236=$E258)*(Work_Codes!$AC$247:$AO$247)*(T$74:T$74))</f>
        <v>0</v>
      </c>
    </row>
    <row r="259" spans="2:20" outlineLevel="2">
      <c r="E259" s="249" t="str">
        <f t="shared" ref="E259" si="25">"Total "&amp;D243</f>
        <v>Total Customer Contributions</v>
      </c>
      <c r="F259" s="249"/>
      <c r="G259" s="249"/>
      <c r="H259" s="249"/>
      <c r="I259" s="249"/>
      <c r="J259" s="82">
        <f t="shared" ref="J259:T259" ca="1" si="26">SUM(J245:J258)</f>
        <v>0</v>
      </c>
      <c r="K259" s="82">
        <f t="shared" ca="1" si="26"/>
        <v>0</v>
      </c>
      <c r="L259" s="82">
        <f t="shared" ca="1" si="26"/>
        <v>0</v>
      </c>
      <c r="M259" s="82">
        <f t="shared" ca="1" si="26"/>
        <v>0</v>
      </c>
      <c r="N259" s="82">
        <f t="shared" ca="1" si="26"/>
        <v>0</v>
      </c>
      <c r="O259" s="82">
        <f t="shared" ca="1" si="26"/>
        <v>0</v>
      </c>
      <c r="P259" s="82">
        <f t="shared" ca="1" si="26"/>
        <v>0</v>
      </c>
      <c r="Q259" s="82">
        <f t="shared" ca="1" si="26"/>
        <v>0</v>
      </c>
      <c r="R259" s="82">
        <f t="shared" ca="1" si="26"/>
        <v>0</v>
      </c>
      <c r="S259" s="82">
        <f t="shared" ca="1" si="26"/>
        <v>0</v>
      </c>
      <c r="T259" s="82">
        <f t="shared" ca="1" si="26"/>
        <v>0</v>
      </c>
    </row>
    <row r="260" spans="2:20" outlineLevel="2">
      <c r="B260" s="12"/>
      <c r="C260" s="12"/>
      <c r="D260" s="12"/>
      <c r="E260" s="12"/>
      <c r="F260" s="12"/>
      <c r="G260" s="12"/>
      <c r="H260" s="12"/>
      <c r="I260" s="12"/>
      <c r="J260" s="12"/>
      <c r="K260" s="12"/>
      <c r="L260" s="12"/>
      <c r="M260" s="12"/>
      <c r="N260" s="12"/>
      <c r="O260" s="12"/>
      <c r="P260" s="12"/>
      <c r="Q260" s="12"/>
      <c r="R260" s="12"/>
      <c r="S260" s="12"/>
      <c r="T260" s="12"/>
    </row>
    <row r="261" spans="2:20" outlineLevel="2"/>
    <row r="262" spans="2:20" outlineLevel="2">
      <c r="C262" s="37" t="s">
        <v>311</v>
      </c>
    </row>
    <row r="263" spans="2:20" ht="5.9" customHeight="1" outlineLevel="2"/>
    <row r="264" spans="2:20" outlineLevel="2">
      <c r="D264" s="37" t="s">
        <v>215</v>
      </c>
    </row>
    <row r="265" spans="2:20" ht="5.9" customHeight="1" outlineLevel="2"/>
    <row r="266" spans="2:20" outlineLevel="2">
      <c r="E266" s="247" t="str">
        <f>GC!C78</f>
        <v>Mains &amp; Services</v>
      </c>
      <c r="F266" s="247"/>
      <c r="G266" s="247"/>
      <c r="H266" s="247"/>
      <c r="I266" s="247"/>
      <c r="J266" s="81">
        <f ca="1">SUMPRODUCT((Work_Codes!$AR$236:$AX$236=$E266)*(Work_Codes!$AR$239:$AX$243)*(J$113:J$117))</f>
        <v>0</v>
      </c>
      <c r="K266" s="81">
        <f ca="1">SUMPRODUCT((Work_Codes!$AR$236:$AX$236=$E266)*(Work_Codes!$AR$239:$AX$243)*(K$113:K$117))</f>
        <v>0</v>
      </c>
      <c r="L266" s="81">
        <f ca="1">SUMPRODUCT((Work_Codes!$AR$236:$AX$236=$E266)*(Work_Codes!$AR$239:$AX$243)*(L$113:L$117))</f>
        <v>0</v>
      </c>
      <c r="M266" s="81">
        <f ca="1">SUMPRODUCT((Work_Codes!$AR$236:$AX$236=$E266)*(Work_Codes!$AR$239:$AX$243)*(M$113:M$117))</f>
        <v>0</v>
      </c>
      <c r="N266" s="81">
        <f ca="1">SUMPRODUCT((Work_Codes!$AR$236:$AX$236=$E266)*(Work_Codes!$AR$239:$AX$243)*(N$113:N$117))</f>
        <v>0</v>
      </c>
      <c r="O266" s="81">
        <f ca="1">SUMPRODUCT((Work_Codes!$AR$236:$AX$236=$E266)*(Work_Codes!$AR$239:$AX$243)*(O$113:O$117))</f>
        <v>0</v>
      </c>
      <c r="P266" s="81">
        <f ca="1">SUMPRODUCT((Work_Codes!$AR$236:$AX$236=$E266)*(Work_Codes!$AR$239:$AX$243)*(P$113:P$117))</f>
        <v>0</v>
      </c>
      <c r="Q266" s="81">
        <f ca="1">SUMPRODUCT((Work_Codes!$AR$236:$AX$236=$E266)*(Work_Codes!$AR$239:$AX$243)*(Q$113:Q$117))</f>
        <v>0</v>
      </c>
      <c r="R266" s="81">
        <f ca="1">SUMPRODUCT((Work_Codes!$AR$236:$AX$236=$E266)*(Work_Codes!$AR$239:$AX$243)*(R$113:R$117))</f>
        <v>0</v>
      </c>
      <c r="S266" s="81">
        <f ca="1">SUMPRODUCT((Work_Codes!$AR$236:$AX$236=$E266)*(Work_Codes!$AR$239:$AX$243)*(S$113:S$117))</f>
        <v>0</v>
      </c>
      <c r="T266" s="81">
        <f ca="1">SUMPRODUCT((Work_Codes!$AR$236:$AX$236=$E266)*(Work_Codes!$AR$239:$AX$243)*(T$113:T$117))</f>
        <v>0</v>
      </c>
    </row>
    <row r="267" spans="2:20" outlineLevel="2">
      <c r="E267" s="247" t="str">
        <f>GC!C79</f>
        <v>Meters Domestic</v>
      </c>
      <c r="F267" s="247"/>
      <c r="G267" s="247"/>
      <c r="H267" s="247"/>
      <c r="I267" s="247"/>
      <c r="J267" s="81">
        <f ca="1">SUMPRODUCT((Work_Codes!$AR$236:$AX$236=$E267)*(Work_Codes!$AR$239:$AX$243)*(J$113:J$117))</f>
        <v>0</v>
      </c>
      <c r="K267" s="81">
        <f ca="1">SUMPRODUCT((Work_Codes!$AR$236:$AX$236=$E267)*(Work_Codes!$AR$239:$AX$243)*(K$113:K$117))</f>
        <v>0</v>
      </c>
      <c r="L267" s="81">
        <f ca="1">SUMPRODUCT((Work_Codes!$AR$236:$AX$236=$E267)*(Work_Codes!$AR$239:$AX$243)*(L$113:L$117))</f>
        <v>0</v>
      </c>
      <c r="M267" s="81">
        <f ca="1">SUMPRODUCT((Work_Codes!$AR$236:$AX$236=$E267)*(Work_Codes!$AR$239:$AX$243)*(M$113:M$117))</f>
        <v>0</v>
      </c>
      <c r="N267" s="81">
        <f ca="1">SUMPRODUCT((Work_Codes!$AR$236:$AX$236=$E267)*(Work_Codes!$AR$239:$AX$243)*(N$113:N$117))</f>
        <v>0</v>
      </c>
      <c r="O267" s="81">
        <f ca="1">SUMPRODUCT((Work_Codes!$AR$236:$AX$236=$E267)*(Work_Codes!$AR$239:$AX$243)*(O$113:O$117))</f>
        <v>0</v>
      </c>
      <c r="P267" s="81">
        <f ca="1">SUMPRODUCT((Work_Codes!$AR$236:$AX$236=$E267)*(Work_Codes!$AR$239:$AX$243)*(P$113:P$117))</f>
        <v>0</v>
      </c>
      <c r="Q267" s="81">
        <f ca="1">SUMPRODUCT((Work_Codes!$AR$236:$AX$236=$E267)*(Work_Codes!$AR$239:$AX$243)*(Q$113:Q$117))</f>
        <v>0</v>
      </c>
      <c r="R267" s="81">
        <f ca="1">SUMPRODUCT((Work_Codes!$AR$236:$AX$236=$E267)*(Work_Codes!$AR$239:$AX$243)*(R$113:R$117))</f>
        <v>0</v>
      </c>
      <c r="S267" s="81">
        <f ca="1">SUMPRODUCT((Work_Codes!$AR$236:$AX$236=$E267)*(Work_Codes!$AR$239:$AX$243)*(S$113:S$117))</f>
        <v>0</v>
      </c>
      <c r="T267" s="81">
        <f ca="1">SUMPRODUCT((Work_Codes!$AR$236:$AX$236=$E267)*(Work_Codes!$AR$239:$AX$243)*(T$113:T$117))</f>
        <v>0</v>
      </c>
    </row>
    <row r="268" spans="2:20" outlineLevel="2">
      <c r="E268" s="247" t="str">
        <f>GC!C80</f>
        <v>Meters Industrial &amp; Commercial</v>
      </c>
      <c r="F268" s="247"/>
      <c r="G268" s="247"/>
      <c r="H268" s="247"/>
      <c r="I268" s="247"/>
      <c r="J268" s="81">
        <f ca="1">SUMPRODUCT((Work_Codes!$AR$236:$AX$236=$E268)*(Work_Codes!$AR$239:$AX$243)*(J$113:J$117))</f>
        <v>0</v>
      </c>
      <c r="K268" s="81">
        <f ca="1">SUMPRODUCT((Work_Codes!$AR$236:$AX$236=$E268)*(Work_Codes!$AR$239:$AX$243)*(K$113:K$117))</f>
        <v>0</v>
      </c>
      <c r="L268" s="81">
        <f ca="1">SUMPRODUCT((Work_Codes!$AR$236:$AX$236=$E268)*(Work_Codes!$AR$239:$AX$243)*(L$113:L$117))</f>
        <v>0</v>
      </c>
      <c r="M268" s="81">
        <f ca="1">SUMPRODUCT((Work_Codes!$AR$236:$AX$236=$E268)*(Work_Codes!$AR$239:$AX$243)*(M$113:M$117))</f>
        <v>0</v>
      </c>
      <c r="N268" s="81">
        <f ca="1">SUMPRODUCT((Work_Codes!$AR$236:$AX$236=$E268)*(Work_Codes!$AR$239:$AX$243)*(N$113:N$117))</f>
        <v>0</v>
      </c>
      <c r="O268" s="81">
        <f ca="1">SUMPRODUCT((Work_Codes!$AR$236:$AX$236=$E268)*(Work_Codes!$AR$239:$AX$243)*(O$113:O$117))</f>
        <v>0</v>
      </c>
      <c r="P268" s="81">
        <f ca="1">SUMPRODUCT((Work_Codes!$AR$236:$AX$236=$E268)*(Work_Codes!$AR$239:$AX$243)*(P$113:P$117))</f>
        <v>0</v>
      </c>
      <c r="Q268" s="81">
        <f ca="1">SUMPRODUCT((Work_Codes!$AR$236:$AX$236=$E268)*(Work_Codes!$AR$239:$AX$243)*(Q$113:Q$117))</f>
        <v>0</v>
      </c>
      <c r="R268" s="81">
        <f ca="1">SUMPRODUCT((Work_Codes!$AR$236:$AX$236=$E268)*(Work_Codes!$AR$239:$AX$243)*(R$113:R$117))</f>
        <v>0</v>
      </c>
      <c r="S268" s="81">
        <f ca="1">SUMPRODUCT((Work_Codes!$AR$236:$AX$236=$E268)*(Work_Codes!$AR$239:$AX$243)*(S$113:S$117))</f>
        <v>0</v>
      </c>
      <c r="T268" s="81">
        <f ca="1">SUMPRODUCT((Work_Codes!$AR$236:$AX$236=$E268)*(Work_Codes!$AR$239:$AX$243)*(T$113:T$117))</f>
        <v>0</v>
      </c>
    </row>
    <row r="269" spans="2:20" outlineLevel="2">
      <c r="E269" s="247" t="str">
        <f>GC!C81</f>
        <v>Buildings</v>
      </c>
      <c r="F269" s="247"/>
      <c r="G269" s="247"/>
      <c r="H269" s="247"/>
      <c r="I269" s="247"/>
      <c r="J269" s="81">
        <f ca="1">SUMPRODUCT((Work_Codes!$AR$236:$AX$236=$E269)*(Work_Codes!$AR$239:$AX$243)*(J$113:J$117))</f>
        <v>0</v>
      </c>
      <c r="K269" s="81">
        <f ca="1">SUMPRODUCT((Work_Codes!$AR$236:$AX$236=$E269)*(Work_Codes!$AR$239:$AX$243)*(K$113:K$117))</f>
        <v>0</v>
      </c>
      <c r="L269" s="81">
        <f ca="1">SUMPRODUCT((Work_Codes!$AR$236:$AX$236=$E269)*(Work_Codes!$AR$239:$AX$243)*(L$113:L$117))</f>
        <v>0</v>
      </c>
      <c r="M269" s="81">
        <f ca="1">SUMPRODUCT((Work_Codes!$AR$236:$AX$236=$E269)*(Work_Codes!$AR$239:$AX$243)*(M$113:M$117))</f>
        <v>0</v>
      </c>
      <c r="N269" s="81">
        <f ca="1">SUMPRODUCT((Work_Codes!$AR$236:$AX$236=$E269)*(Work_Codes!$AR$239:$AX$243)*(N$113:N$117))</f>
        <v>0</v>
      </c>
      <c r="O269" s="81">
        <f ca="1">SUMPRODUCT((Work_Codes!$AR$236:$AX$236=$E269)*(Work_Codes!$AR$239:$AX$243)*(O$113:O$117))</f>
        <v>0</v>
      </c>
      <c r="P269" s="81">
        <f ca="1">SUMPRODUCT((Work_Codes!$AR$236:$AX$236=$E269)*(Work_Codes!$AR$239:$AX$243)*(P$113:P$117))</f>
        <v>0</v>
      </c>
      <c r="Q269" s="81">
        <f ca="1">SUMPRODUCT((Work_Codes!$AR$236:$AX$236=$E269)*(Work_Codes!$AR$239:$AX$243)*(Q$113:Q$117))</f>
        <v>0</v>
      </c>
      <c r="R269" s="81">
        <f ca="1">SUMPRODUCT((Work_Codes!$AR$236:$AX$236=$E269)*(Work_Codes!$AR$239:$AX$243)*(R$113:R$117))</f>
        <v>0</v>
      </c>
      <c r="S269" s="81">
        <f ca="1">SUMPRODUCT((Work_Codes!$AR$236:$AX$236=$E269)*(Work_Codes!$AR$239:$AX$243)*(S$113:S$117))</f>
        <v>0</v>
      </c>
      <c r="T269" s="81">
        <f ca="1">SUMPRODUCT((Work_Codes!$AR$236:$AX$236=$E269)*(Work_Codes!$AR$239:$AX$243)*(T$113:T$117))</f>
        <v>0</v>
      </c>
    </row>
    <row r="270" spans="2:20" outlineLevel="2">
      <c r="E270" s="247" t="str">
        <f>GC!C82</f>
        <v>Other Assets</v>
      </c>
      <c r="F270" s="247"/>
      <c r="G270" s="247"/>
      <c r="H270" s="247"/>
      <c r="I270" s="247"/>
      <c r="J270" s="81">
        <f ca="1">SUMPRODUCT((Work_Codes!$AR$236:$AX$236=$E270)*(Work_Codes!$AR$239:$AX$243)*(J$113:J$117))</f>
        <v>0</v>
      </c>
      <c r="K270" s="81">
        <f ca="1">SUMPRODUCT((Work_Codes!$AR$236:$AX$236=$E270)*(Work_Codes!$AR$239:$AX$243)*(K$113:K$117))</f>
        <v>0</v>
      </c>
      <c r="L270" s="81">
        <f ca="1">SUMPRODUCT((Work_Codes!$AR$236:$AX$236=$E270)*(Work_Codes!$AR$239:$AX$243)*(L$113:L$117))</f>
        <v>0</v>
      </c>
      <c r="M270" s="81">
        <f ca="1">SUMPRODUCT((Work_Codes!$AR$236:$AX$236=$E270)*(Work_Codes!$AR$239:$AX$243)*(M$113:M$117))</f>
        <v>0</v>
      </c>
      <c r="N270" s="81">
        <f ca="1">SUMPRODUCT((Work_Codes!$AR$236:$AX$236=$E270)*(Work_Codes!$AR$239:$AX$243)*(N$113:N$117))</f>
        <v>0</v>
      </c>
      <c r="O270" s="81">
        <f ca="1">SUMPRODUCT((Work_Codes!$AR$236:$AX$236=$E270)*(Work_Codes!$AR$239:$AX$243)*(O$113:O$117))</f>
        <v>554057.57083317928</v>
      </c>
      <c r="P270" s="81">
        <f ca="1">SUMPRODUCT((Work_Codes!$AR$236:$AX$236=$E270)*(Work_Codes!$AR$239:$AX$243)*(P$113:P$117))</f>
        <v>1150210.2888901462</v>
      </c>
      <c r="Q270" s="81">
        <f ca="1">SUMPRODUCT((Work_Codes!$AR$236:$AX$236=$E270)*(Work_Codes!$AR$239:$AX$243)*(Q$113:Q$117))</f>
        <v>1005914.1556557808</v>
      </c>
      <c r="R270" s="81">
        <f ca="1">SUMPRODUCT((Work_Codes!$AR$236:$AX$236=$E270)*(Work_Codes!$AR$239:$AX$243)*(R$113:R$117))</f>
        <v>714668.76575574721</v>
      </c>
      <c r="S270" s="81">
        <f ca="1">SUMPRODUCT((Work_Codes!$AR$236:$AX$236=$E270)*(Work_Codes!$AR$239:$AX$243)*(S$113:S$117))</f>
        <v>657083.72564937267</v>
      </c>
      <c r="T270" s="81">
        <f ca="1">SUMPRODUCT((Work_Codes!$AR$236:$AX$236=$E270)*(Work_Codes!$AR$239:$AX$243)*(T$113:T$117))</f>
        <v>697501.0692373995</v>
      </c>
    </row>
    <row r="271" spans="2:20" outlineLevel="2">
      <c r="E271" s="247" t="str">
        <f>GC!C83</f>
        <v>Repairs</v>
      </c>
      <c r="F271" s="247"/>
      <c r="G271" s="247"/>
      <c r="H271" s="247"/>
      <c r="I271" s="247"/>
      <c r="J271" s="81">
        <f ca="1">SUMPRODUCT((Work_Codes!$AR$236:$AX$236=$E271)*(Work_Codes!$AR$239:$AX$243)*(J$113:J$117))</f>
        <v>0</v>
      </c>
      <c r="K271" s="81">
        <f ca="1">SUMPRODUCT((Work_Codes!$AR$236:$AX$236=$E271)*(Work_Codes!$AR$239:$AX$243)*(K$113:K$117))</f>
        <v>0</v>
      </c>
      <c r="L271" s="81">
        <f ca="1">SUMPRODUCT((Work_Codes!$AR$236:$AX$236=$E271)*(Work_Codes!$AR$239:$AX$243)*(L$113:L$117))</f>
        <v>0</v>
      </c>
      <c r="M271" s="81">
        <f ca="1">SUMPRODUCT((Work_Codes!$AR$236:$AX$236=$E271)*(Work_Codes!$AR$239:$AX$243)*(M$113:M$117))</f>
        <v>0</v>
      </c>
      <c r="N271" s="81">
        <f ca="1">SUMPRODUCT((Work_Codes!$AR$236:$AX$236=$E271)*(Work_Codes!$AR$239:$AX$243)*(N$113:N$117))</f>
        <v>0</v>
      </c>
      <c r="O271" s="81">
        <f ca="1">SUMPRODUCT((Work_Codes!$AR$236:$AX$236=$E271)*(Work_Codes!$AR$239:$AX$243)*(O$113:O$117))</f>
        <v>0</v>
      </c>
      <c r="P271" s="81">
        <f ca="1">SUMPRODUCT((Work_Codes!$AR$236:$AX$236=$E271)*(Work_Codes!$AR$239:$AX$243)*(P$113:P$117))</f>
        <v>0</v>
      </c>
      <c r="Q271" s="81">
        <f ca="1">SUMPRODUCT((Work_Codes!$AR$236:$AX$236=$E271)*(Work_Codes!$AR$239:$AX$243)*(Q$113:Q$117))</f>
        <v>0</v>
      </c>
      <c r="R271" s="81">
        <f ca="1">SUMPRODUCT((Work_Codes!$AR$236:$AX$236=$E271)*(Work_Codes!$AR$239:$AX$243)*(R$113:R$117))</f>
        <v>0</v>
      </c>
      <c r="S271" s="81">
        <f ca="1">SUMPRODUCT((Work_Codes!$AR$236:$AX$236=$E271)*(Work_Codes!$AR$239:$AX$243)*(S$113:S$117))</f>
        <v>0</v>
      </c>
      <c r="T271" s="81">
        <f ca="1">SUMPRODUCT((Work_Codes!$AR$236:$AX$236=$E271)*(Work_Codes!$AR$239:$AX$243)*(T$113:T$117))</f>
        <v>0</v>
      </c>
    </row>
    <row r="272" spans="2:20" outlineLevel="2">
      <c r="E272" s="247" t="str">
        <f>GC!C84</f>
        <v>Land</v>
      </c>
      <c r="F272" s="247"/>
      <c r="G272" s="247"/>
      <c r="H272" s="247"/>
      <c r="I272" s="247"/>
      <c r="J272" s="81">
        <f ca="1">SUMPRODUCT((Work_Codes!$AR$236:$AX$236=$E272)*(Work_Codes!$AR$239:$AX$243)*(J$113:J$117))</f>
        <v>0</v>
      </c>
      <c r="K272" s="81">
        <f ca="1">SUMPRODUCT((Work_Codes!$AR$236:$AX$236=$E272)*(Work_Codes!$AR$239:$AX$243)*(K$113:K$117))</f>
        <v>0</v>
      </c>
      <c r="L272" s="81">
        <f ca="1">SUMPRODUCT((Work_Codes!$AR$236:$AX$236=$E272)*(Work_Codes!$AR$239:$AX$243)*(L$113:L$117))</f>
        <v>0</v>
      </c>
      <c r="M272" s="81">
        <f ca="1">SUMPRODUCT((Work_Codes!$AR$236:$AX$236=$E272)*(Work_Codes!$AR$239:$AX$243)*(M$113:M$117))</f>
        <v>0</v>
      </c>
      <c r="N272" s="81">
        <f ca="1">SUMPRODUCT((Work_Codes!$AR$236:$AX$236=$E272)*(Work_Codes!$AR$239:$AX$243)*(N$113:N$117))</f>
        <v>0</v>
      </c>
      <c r="O272" s="81">
        <f ca="1">SUMPRODUCT((Work_Codes!$AR$236:$AX$236=$E272)*(Work_Codes!$AR$239:$AX$243)*(O$113:O$117))</f>
        <v>0</v>
      </c>
      <c r="P272" s="81">
        <f ca="1">SUMPRODUCT((Work_Codes!$AR$236:$AX$236=$E272)*(Work_Codes!$AR$239:$AX$243)*(P$113:P$117))</f>
        <v>0</v>
      </c>
      <c r="Q272" s="81">
        <f ca="1">SUMPRODUCT((Work_Codes!$AR$236:$AX$236=$E272)*(Work_Codes!$AR$239:$AX$243)*(Q$113:Q$117))</f>
        <v>0</v>
      </c>
      <c r="R272" s="81">
        <f ca="1">SUMPRODUCT((Work_Codes!$AR$236:$AX$236=$E272)*(Work_Codes!$AR$239:$AX$243)*(R$113:R$117))</f>
        <v>0</v>
      </c>
      <c r="S272" s="81">
        <f ca="1">SUMPRODUCT((Work_Codes!$AR$236:$AX$236=$E272)*(Work_Codes!$AR$239:$AX$243)*(S$113:S$117))</f>
        <v>0</v>
      </c>
      <c r="T272" s="81">
        <f ca="1">SUMPRODUCT((Work_Codes!$AR$236:$AX$236=$E272)*(Work_Codes!$AR$239:$AX$243)*(T$113:T$117))</f>
        <v>0</v>
      </c>
    </row>
    <row r="273" spans="2:20" outlineLevel="2">
      <c r="E273" s="249" t="str">
        <f>"Total "&amp;D264</f>
        <v>Total Direct Costs</v>
      </c>
      <c r="F273" s="249"/>
      <c r="G273" s="249"/>
      <c r="H273" s="249"/>
      <c r="I273" s="249"/>
      <c r="J273" s="82">
        <f t="shared" ref="J273:T273" ca="1" si="27">SUM(J266:J272)</f>
        <v>0</v>
      </c>
      <c r="K273" s="82">
        <f t="shared" ca="1" si="27"/>
        <v>0</v>
      </c>
      <c r="L273" s="82">
        <f t="shared" ca="1" si="27"/>
        <v>0</v>
      </c>
      <c r="M273" s="82">
        <f t="shared" ca="1" si="27"/>
        <v>0</v>
      </c>
      <c r="N273" s="82">
        <f t="shared" ca="1" si="27"/>
        <v>0</v>
      </c>
      <c r="O273" s="82">
        <f t="shared" ca="1" si="27"/>
        <v>554057.57083317928</v>
      </c>
      <c r="P273" s="82">
        <f t="shared" ca="1" si="27"/>
        <v>1150210.2888901462</v>
      </c>
      <c r="Q273" s="82">
        <f t="shared" ca="1" si="27"/>
        <v>1005914.1556557808</v>
      </c>
      <c r="R273" s="82">
        <f t="shared" ca="1" si="27"/>
        <v>714668.76575574721</v>
      </c>
      <c r="S273" s="82">
        <f t="shared" ca="1" si="27"/>
        <v>657083.72564937267</v>
      </c>
      <c r="T273" s="82">
        <f t="shared" ca="1" si="27"/>
        <v>697501.0692373995</v>
      </c>
    </row>
    <row r="274" spans="2:20" outlineLevel="2"/>
    <row r="275" spans="2:20" outlineLevel="2">
      <c r="D275" s="37" t="s">
        <v>313</v>
      </c>
    </row>
    <row r="276" spans="2:20" ht="5.9" customHeight="1" outlineLevel="2"/>
    <row r="277" spans="2:20" outlineLevel="2">
      <c r="E277" s="247" t="str">
        <f>GC!C78</f>
        <v>Mains &amp; Services</v>
      </c>
      <c r="F277" s="247"/>
      <c r="G277" s="247"/>
      <c r="H277" s="247"/>
      <c r="I277" s="247"/>
      <c r="J277" s="81">
        <f ca="1">J266*(1+INDEX(J$35:J$37,MATCH(Work_Codes!$I$233,$D$35:$D$37,0)))</f>
        <v>0</v>
      </c>
      <c r="K277" s="81">
        <f ca="1">K266*(1+INDEX(K$35:K$37,MATCH(Work_Codes!$I$233,$D$35:$D$37,0)))</f>
        <v>0</v>
      </c>
      <c r="L277" s="81">
        <f ca="1">L266*(1+INDEX(L$35:L$37,MATCH(Work_Codes!$I$233,$D$35:$D$37,0)))</f>
        <v>0</v>
      </c>
      <c r="M277" s="81">
        <f ca="1">M266*(1+INDEX(M$35:M$37,MATCH(Work_Codes!$I$233,$D$35:$D$37,0)))</f>
        <v>0</v>
      </c>
      <c r="N277" s="81">
        <f ca="1">N266*(1+INDEX(N$35:N$37,MATCH(Work_Codes!$I$233,$D$35:$D$37,0)))</f>
        <v>0</v>
      </c>
      <c r="O277" s="81">
        <f ca="1">O266*(1+INDEX(O$35:O$37,MATCH(Work_Codes!$I$233,$D$35:$D$37,0)))</f>
        <v>0</v>
      </c>
      <c r="P277" s="81">
        <f ca="1">P266*(1+INDEX(P$35:P$37,MATCH(Work_Codes!$I$233,$D$35:$D$37,0)))</f>
        <v>0</v>
      </c>
      <c r="Q277" s="81">
        <f ca="1">Q266*(1+INDEX(Q$35:Q$37,MATCH(Work_Codes!$I$233,$D$35:$D$37,0)))</f>
        <v>0</v>
      </c>
      <c r="R277" s="81">
        <f ca="1">R266*(1+INDEX(R$35:R$37,MATCH(Work_Codes!$I$233,$D$35:$D$37,0)))</f>
        <v>0</v>
      </c>
      <c r="S277" s="81">
        <f ca="1">S266*(1+INDEX(S$35:S$37,MATCH(Work_Codes!$I$233,$D$35:$D$37,0)))</f>
        <v>0</v>
      </c>
      <c r="T277" s="81">
        <f ca="1">T266*(1+INDEX(T$35:T$37,MATCH(Work_Codes!$I$233,$D$35:$D$37,0)))</f>
        <v>0</v>
      </c>
    </row>
    <row r="278" spans="2:20" outlineLevel="2">
      <c r="E278" s="247" t="str">
        <f>GC!C79</f>
        <v>Meters Domestic</v>
      </c>
      <c r="F278" s="247"/>
      <c r="G278" s="247"/>
      <c r="H278" s="247"/>
      <c r="I278" s="247"/>
      <c r="J278" s="81">
        <f ca="1">J267*(1+INDEX(J$35:J$37,MATCH(Work_Codes!$I$233,$D$35:$D$37,0)))</f>
        <v>0</v>
      </c>
      <c r="K278" s="81">
        <f ca="1">K267*(1+INDEX(K$35:K$37,MATCH(Work_Codes!$I$233,$D$35:$D$37,0)))</f>
        <v>0</v>
      </c>
      <c r="L278" s="81">
        <f ca="1">L267*(1+INDEX(L$35:L$37,MATCH(Work_Codes!$I$233,$D$35:$D$37,0)))</f>
        <v>0</v>
      </c>
      <c r="M278" s="81">
        <f ca="1">M267*(1+INDEX(M$35:M$37,MATCH(Work_Codes!$I$233,$D$35:$D$37,0)))</f>
        <v>0</v>
      </c>
      <c r="N278" s="81">
        <f ca="1">N267*(1+INDEX(N$35:N$37,MATCH(Work_Codes!$I$233,$D$35:$D$37,0)))</f>
        <v>0</v>
      </c>
      <c r="O278" s="81">
        <f ca="1">O267*(1+INDEX(O$35:O$37,MATCH(Work_Codes!$I$233,$D$35:$D$37,0)))</f>
        <v>0</v>
      </c>
      <c r="P278" s="81">
        <f ca="1">P267*(1+INDEX(P$35:P$37,MATCH(Work_Codes!$I$233,$D$35:$D$37,0)))</f>
        <v>0</v>
      </c>
      <c r="Q278" s="81">
        <f ca="1">Q267*(1+INDEX(Q$35:Q$37,MATCH(Work_Codes!$I$233,$D$35:$D$37,0)))</f>
        <v>0</v>
      </c>
      <c r="R278" s="81">
        <f ca="1">R267*(1+INDEX(R$35:R$37,MATCH(Work_Codes!$I$233,$D$35:$D$37,0)))</f>
        <v>0</v>
      </c>
      <c r="S278" s="81">
        <f ca="1">S267*(1+INDEX(S$35:S$37,MATCH(Work_Codes!$I$233,$D$35:$D$37,0)))</f>
        <v>0</v>
      </c>
      <c r="T278" s="81">
        <f ca="1">T267*(1+INDEX(T$35:T$37,MATCH(Work_Codes!$I$233,$D$35:$D$37,0)))</f>
        <v>0</v>
      </c>
    </row>
    <row r="279" spans="2:20" outlineLevel="2">
      <c r="E279" s="247" t="str">
        <f>GC!C80</f>
        <v>Meters Industrial &amp; Commercial</v>
      </c>
      <c r="F279" s="247"/>
      <c r="G279" s="247"/>
      <c r="H279" s="247"/>
      <c r="I279" s="247"/>
      <c r="J279" s="81">
        <f ca="1">J268*(1+INDEX(J$35:J$37,MATCH(Work_Codes!$I$233,$D$35:$D$37,0)))</f>
        <v>0</v>
      </c>
      <c r="K279" s="81">
        <f ca="1">K268*(1+INDEX(K$35:K$37,MATCH(Work_Codes!$I$233,$D$35:$D$37,0)))</f>
        <v>0</v>
      </c>
      <c r="L279" s="81">
        <f ca="1">L268*(1+INDEX(L$35:L$37,MATCH(Work_Codes!$I$233,$D$35:$D$37,0)))</f>
        <v>0</v>
      </c>
      <c r="M279" s="81">
        <f ca="1">M268*(1+INDEX(M$35:M$37,MATCH(Work_Codes!$I$233,$D$35:$D$37,0)))</f>
        <v>0</v>
      </c>
      <c r="N279" s="81">
        <f ca="1">N268*(1+INDEX(N$35:N$37,MATCH(Work_Codes!$I$233,$D$35:$D$37,0)))</f>
        <v>0</v>
      </c>
      <c r="O279" s="81">
        <f ca="1">O268*(1+INDEX(O$35:O$37,MATCH(Work_Codes!$I$233,$D$35:$D$37,0)))</f>
        <v>0</v>
      </c>
      <c r="P279" s="81">
        <f ca="1">P268*(1+INDEX(P$35:P$37,MATCH(Work_Codes!$I$233,$D$35:$D$37,0)))</f>
        <v>0</v>
      </c>
      <c r="Q279" s="81">
        <f ca="1">Q268*(1+INDEX(Q$35:Q$37,MATCH(Work_Codes!$I$233,$D$35:$D$37,0)))</f>
        <v>0</v>
      </c>
      <c r="R279" s="81">
        <f ca="1">R268*(1+INDEX(R$35:R$37,MATCH(Work_Codes!$I$233,$D$35:$D$37,0)))</f>
        <v>0</v>
      </c>
      <c r="S279" s="81">
        <f ca="1">S268*(1+INDEX(S$35:S$37,MATCH(Work_Codes!$I$233,$D$35:$D$37,0)))</f>
        <v>0</v>
      </c>
      <c r="T279" s="81">
        <f ca="1">T268*(1+INDEX(T$35:T$37,MATCH(Work_Codes!$I$233,$D$35:$D$37,0)))</f>
        <v>0</v>
      </c>
    </row>
    <row r="280" spans="2:20" outlineLevel="2">
      <c r="E280" s="247" t="str">
        <f>GC!C81</f>
        <v>Buildings</v>
      </c>
      <c r="F280" s="247"/>
      <c r="G280" s="247"/>
      <c r="H280" s="247"/>
      <c r="I280" s="247"/>
      <c r="J280" s="81">
        <f ca="1">J269*(1+INDEX(J$35:J$37,MATCH(Work_Codes!$I$233,$D$35:$D$37,0)))</f>
        <v>0</v>
      </c>
      <c r="K280" s="81">
        <f ca="1">K269*(1+INDEX(K$35:K$37,MATCH(Work_Codes!$I$233,$D$35:$D$37,0)))</f>
        <v>0</v>
      </c>
      <c r="L280" s="81">
        <f ca="1">L269*(1+INDEX(L$35:L$37,MATCH(Work_Codes!$I$233,$D$35:$D$37,0)))</f>
        <v>0</v>
      </c>
      <c r="M280" s="81">
        <f ca="1">M269*(1+INDEX(M$35:M$37,MATCH(Work_Codes!$I$233,$D$35:$D$37,0)))</f>
        <v>0</v>
      </c>
      <c r="N280" s="81">
        <f ca="1">N269*(1+INDEX(N$35:N$37,MATCH(Work_Codes!$I$233,$D$35:$D$37,0)))</f>
        <v>0</v>
      </c>
      <c r="O280" s="81">
        <f ca="1">O269*(1+INDEX(O$35:O$37,MATCH(Work_Codes!$I$233,$D$35:$D$37,0)))</f>
        <v>0</v>
      </c>
      <c r="P280" s="81">
        <f ca="1">P269*(1+INDEX(P$35:P$37,MATCH(Work_Codes!$I$233,$D$35:$D$37,0)))</f>
        <v>0</v>
      </c>
      <c r="Q280" s="81">
        <f ca="1">Q269*(1+INDEX(Q$35:Q$37,MATCH(Work_Codes!$I$233,$D$35:$D$37,0)))</f>
        <v>0</v>
      </c>
      <c r="R280" s="81">
        <f ca="1">R269*(1+INDEX(R$35:R$37,MATCH(Work_Codes!$I$233,$D$35:$D$37,0)))</f>
        <v>0</v>
      </c>
      <c r="S280" s="81">
        <f ca="1">S269*(1+INDEX(S$35:S$37,MATCH(Work_Codes!$I$233,$D$35:$D$37,0)))</f>
        <v>0</v>
      </c>
      <c r="T280" s="81">
        <f ca="1">T269*(1+INDEX(T$35:T$37,MATCH(Work_Codes!$I$233,$D$35:$D$37,0)))</f>
        <v>0</v>
      </c>
    </row>
    <row r="281" spans="2:20" outlineLevel="2">
      <c r="E281" s="247" t="str">
        <f>GC!C82</f>
        <v>Other Assets</v>
      </c>
      <c r="F281" s="247"/>
      <c r="G281" s="247"/>
      <c r="H281" s="247"/>
      <c r="I281" s="247"/>
      <c r="J281" s="81">
        <f ca="1">J270*(1+INDEX(J$35:J$37,MATCH(Work_Codes!$I$233,$D$35:$D$37,0)))</f>
        <v>0</v>
      </c>
      <c r="K281" s="81">
        <f ca="1">K270*(1+INDEX(K$35:K$37,MATCH(Work_Codes!$I$233,$D$35:$D$37,0)))</f>
        <v>0</v>
      </c>
      <c r="L281" s="81">
        <f ca="1">L270*(1+INDEX(L$35:L$37,MATCH(Work_Codes!$I$233,$D$35:$D$37,0)))</f>
        <v>0</v>
      </c>
      <c r="M281" s="81">
        <f ca="1">M270*(1+INDEX(M$35:M$37,MATCH(Work_Codes!$I$233,$D$35:$D$37,0)))</f>
        <v>0</v>
      </c>
      <c r="N281" s="81">
        <f ca="1">N270*(1+INDEX(N$35:N$37,MATCH(Work_Codes!$I$233,$D$35:$D$37,0)))</f>
        <v>0</v>
      </c>
      <c r="O281" s="81">
        <f ca="1">O270*(1+INDEX(O$35:O$37,MATCH(Work_Codes!$I$233,$D$35:$D$37,0)))</f>
        <v>572498.80587531684</v>
      </c>
      <c r="P281" s="81">
        <f ca="1">P270*(1+INDEX(P$35:P$37,MATCH(Work_Codes!$I$233,$D$35:$D$37,0)))</f>
        <v>1180981.4742678963</v>
      </c>
      <c r="Q281" s="81">
        <f ca="1">Q270*(1+INDEX(Q$35:Q$37,MATCH(Work_Codes!$I$233,$D$35:$D$37,0)))</f>
        <v>1032128.8693748377</v>
      </c>
      <c r="R281" s="81">
        <f ca="1">R270*(1+INDEX(R$35:R$37,MATCH(Work_Codes!$I$233,$D$35:$D$37,0)))</f>
        <v>733874.06377704302</v>
      </c>
      <c r="S281" s="81">
        <f ca="1">S270*(1+INDEX(S$35:S$37,MATCH(Work_Codes!$I$233,$D$35:$D$37,0)))</f>
        <v>675840.95525250491</v>
      </c>
      <c r="T281" s="81">
        <f ca="1">T270*(1+INDEX(T$35:T$37,MATCH(Work_Codes!$I$233,$D$35:$D$37,0)))</f>
        <v>718370.56502645824</v>
      </c>
    </row>
    <row r="282" spans="2:20" outlineLevel="2">
      <c r="E282" s="247" t="str">
        <f>GC!C83</f>
        <v>Repairs</v>
      </c>
      <c r="F282" s="247"/>
      <c r="G282" s="247"/>
      <c r="H282" s="247"/>
      <c r="I282" s="247"/>
      <c r="J282" s="81">
        <f ca="1">J271*(1+INDEX(J$35:J$37,MATCH(Work_Codes!$I$233,$D$35:$D$37,0)))</f>
        <v>0</v>
      </c>
      <c r="K282" s="81">
        <f ca="1">K271*(1+INDEX(K$35:K$37,MATCH(Work_Codes!$I$233,$D$35:$D$37,0)))</f>
        <v>0</v>
      </c>
      <c r="L282" s="81">
        <f ca="1">L271*(1+INDEX(L$35:L$37,MATCH(Work_Codes!$I$233,$D$35:$D$37,0)))</f>
        <v>0</v>
      </c>
      <c r="M282" s="81">
        <f ca="1">M271*(1+INDEX(M$35:M$37,MATCH(Work_Codes!$I$233,$D$35:$D$37,0)))</f>
        <v>0</v>
      </c>
      <c r="N282" s="81">
        <f ca="1">N271*(1+INDEX(N$35:N$37,MATCH(Work_Codes!$I$233,$D$35:$D$37,0)))</f>
        <v>0</v>
      </c>
      <c r="O282" s="81">
        <f ca="1">O271*(1+INDEX(O$35:O$37,MATCH(Work_Codes!$I$233,$D$35:$D$37,0)))</f>
        <v>0</v>
      </c>
      <c r="P282" s="81">
        <f ca="1">P271*(1+INDEX(P$35:P$37,MATCH(Work_Codes!$I$233,$D$35:$D$37,0)))</f>
        <v>0</v>
      </c>
      <c r="Q282" s="81">
        <f ca="1">Q271*(1+INDEX(Q$35:Q$37,MATCH(Work_Codes!$I$233,$D$35:$D$37,0)))</f>
        <v>0</v>
      </c>
      <c r="R282" s="81">
        <f ca="1">R271*(1+INDEX(R$35:R$37,MATCH(Work_Codes!$I$233,$D$35:$D$37,0)))</f>
        <v>0</v>
      </c>
      <c r="S282" s="81">
        <f ca="1">S271*(1+INDEX(S$35:S$37,MATCH(Work_Codes!$I$233,$D$35:$D$37,0)))</f>
        <v>0</v>
      </c>
      <c r="T282" s="81">
        <f ca="1">T271*(1+INDEX(T$35:T$37,MATCH(Work_Codes!$I$233,$D$35:$D$37,0)))</f>
        <v>0</v>
      </c>
    </row>
    <row r="283" spans="2:20" outlineLevel="2">
      <c r="E283" s="247" t="str">
        <f>GC!C84</f>
        <v>Land</v>
      </c>
      <c r="F283" s="247"/>
      <c r="G283" s="247"/>
      <c r="H283" s="247"/>
      <c r="I283" s="247"/>
      <c r="J283" s="81">
        <f ca="1">J272*(1+INDEX(J$35:J$37,MATCH(Work_Codes!$I$233,$D$35:$D$37,0)))</f>
        <v>0</v>
      </c>
      <c r="K283" s="81">
        <f ca="1">K272*(1+INDEX(K$35:K$37,MATCH(Work_Codes!$I$233,$D$35:$D$37,0)))</f>
        <v>0</v>
      </c>
      <c r="L283" s="81">
        <f ca="1">L272*(1+INDEX(L$35:L$37,MATCH(Work_Codes!$I$233,$D$35:$D$37,0)))</f>
        <v>0</v>
      </c>
      <c r="M283" s="81">
        <f ca="1">M272*(1+INDEX(M$35:M$37,MATCH(Work_Codes!$I$233,$D$35:$D$37,0)))</f>
        <v>0</v>
      </c>
      <c r="N283" s="81">
        <f ca="1">N272*(1+INDEX(N$35:N$37,MATCH(Work_Codes!$I$233,$D$35:$D$37,0)))</f>
        <v>0</v>
      </c>
      <c r="O283" s="81">
        <f ca="1">O272*(1+INDEX(O$35:O$37,MATCH(Work_Codes!$I$233,$D$35:$D$37,0)))</f>
        <v>0</v>
      </c>
      <c r="P283" s="81">
        <f ca="1">P272*(1+INDEX(P$35:P$37,MATCH(Work_Codes!$I$233,$D$35:$D$37,0)))</f>
        <v>0</v>
      </c>
      <c r="Q283" s="81">
        <f ca="1">Q272*(1+INDEX(Q$35:Q$37,MATCH(Work_Codes!$I$233,$D$35:$D$37,0)))</f>
        <v>0</v>
      </c>
      <c r="R283" s="81">
        <f ca="1">R272*(1+INDEX(R$35:R$37,MATCH(Work_Codes!$I$233,$D$35:$D$37,0)))</f>
        <v>0</v>
      </c>
      <c r="S283" s="81">
        <f ca="1">S272*(1+INDEX(S$35:S$37,MATCH(Work_Codes!$I$233,$D$35:$D$37,0)))</f>
        <v>0</v>
      </c>
      <c r="T283" s="81">
        <f ca="1">T272*(1+INDEX(T$35:T$37,MATCH(Work_Codes!$I$233,$D$35:$D$37,0)))</f>
        <v>0</v>
      </c>
    </row>
    <row r="284" spans="2:20" outlineLevel="2">
      <c r="E284" s="249" t="str">
        <f>"Total "&amp;D275</f>
        <v>Total Direct Costs +  Overheads</v>
      </c>
      <c r="F284" s="249"/>
      <c r="G284" s="249"/>
      <c r="H284" s="249"/>
      <c r="I284" s="249"/>
      <c r="J284" s="82">
        <f t="shared" ref="J284:T284" ca="1" si="28">SUM(J277:J283)</f>
        <v>0</v>
      </c>
      <c r="K284" s="82">
        <f t="shared" ca="1" si="28"/>
        <v>0</v>
      </c>
      <c r="L284" s="82">
        <f t="shared" ca="1" si="28"/>
        <v>0</v>
      </c>
      <c r="M284" s="82">
        <f t="shared" ca="1" si="28"/>
        <v>0</v>
      </c>
      <c r="N284" s="82">
        <f t="shared" ca="1" si="28"/>
        <v>0</v>
      </c>
      <c r="O284" s="82">
        <f t="shared" ca="1" si="28"/>
        <v>572498.80587531684</v>
      </c>
      <c r="P284" s="82">
        <f t="shared" ca="1" si="28"/>
        <v>1180981.4742678963</v>
      </c>
      <c r="Q284" s="82">
        <f t="shared" ca="1" si="28"/>
        <v>1032128.8693748377</v>
      </c>
      <c r="R284" s="82">
        <f t="shared" ca="1" si="28"/>
        <v>733874.06377704302</v>
      </c>
      <c r="S284" s="82">
        <f t="shared" ca="1" si="28"/>
        <v>675840.95525250491</v>
      </c>
      <c r="T284" s="82">
        <f t="shared" ca="1" si="28"/>
        <v>718370.56502645824</v>
      </c>
    </row>
    <row r="285" spans="2:20" outlineLevel="1">
      <c r="B285" s="12"/>
      <c r="C285" s="12"/>
      <c r="D285" s="12"/>
      <c r="E285" s="12"/>
      <c r="F285" s="12"/>
      <c r="G285" s="12"/>
      <c r="H285" s="12"/>
      <c r="I285" s="12"/>
      <c r="J285" s="12"/>
      <c r="K285" s="12"/>
      <c r="L285" s="12"/>
      <c r="M285" s="12"/>
      <c r="N285" s="12"/>
      <c r="O285" s="12"/>
      <c r="P285" s="12"/>
      <c r="Q285" s="12"/>
      <c r="R285" s="12"/>
      <c r="S285" s="12"/>
      <c r="T285" s="12"/>
    </row>
    <row r="286" spans="2:20" outlineLevel="1"/>
    <row r="287" spans="2:20" outlineLevel="1">
      <c r="C287" s="37" t="s">
        <v>19</v>
      </c>
    </row>
    <row r="288" spans="2:20" ht="5.9" customHeight="1" outlineLevel="1"/>
    <row r="289" spans="2:20" outlineLevel="1">
      <c r="F289" s="51" t="str">
        <f>$B$23&amp;" Work Code v RAB Category Direct Check"</f>
        <v>3013 - Inputs Work Code v RAB Category Direct Check</v>
      </c>
      <c r="I289" s="130">
        <f ca="1">IF(ISERROR(SUM(J289:T289)),1,MIN(SUM(J289:T289),1))</f>
        <v>0</v>
      </c>
      <c r="J289" s="81">
        <f t="shared" ref="J289:T289" ca="1" si="29">J119-J142</f>
        <v>0</v>
      </c>
      <c r="K289" s="81">
        <f t="shared" ca="1" si="29"/>
        <v>0</v>
      </c>
      <c r="L289" s="81">
        <f t="shared" ca="1" si="29"/>
        <v>0</v>
      </c>
      <c r="M289" s="81">
        <f t="shared" ca="1" si="29"/>
        <v>0</v>
      </c>
      <c r="N289" s="81">
        <f t="shared" ca="1" si="29"/>
        <v>0</v>
      </c>
      <c r="O289" s="81">
        <f t="shared" ca="1" si="29"/>
        <v>0</v>
      </c>
      <c r="P289" s="81">
        <f t="shared" ca="1" si="29"/>
        <v>0</v>
      </c>
      <c r="Q289" s="81">
        <f t="shared" ca="1" si="29"/>
        <v>0</v>
      </c>
      <c r="R289" s="81">
        <f t="shared" ca="1" si="29"/>
        <v>0</v>
      </c>
      <c r="S289" s="81">
        <f t="shared" ca="1" si="29"/>
        <v>0</v>
      </c>
      <c r="T289" s="81">
        <f t="shared" ca="1" si="29"/>
        <v>0</v>
      </c>
    </row>
    <row r="290" spans="2:20" outlineLevel="1">
      <c r="F290" s="51" t="str">
        <f>$B$23&amp;" Work Code v RIN Category Direct Check"</f>
        <v>3013 - Inputs Work Code v RIN Category Direct Check</v>
      </c>
      <c r="I290" s="130">
        <f ca="1">IF(ISERROR(SUM(J290:T290)),1,MIN(SUM(J290:T290),1))</f>
        <v>0</v>
      </c>
      <c r="J290" s="81">
        <f t="shared" ref="J290:T290" ca="1" si="30">J119-J223</f>
        <v>0</v>
      </c>
      <c r="K290" s="81">
        <f t="shared" ca="1" si="30"/>
        <v>0</v>
      </c>
      <c r="L290" s="81">
        <f t="shared" ca="1" si="30"/>
        <v>0</v>
      </c>
      <c r="M290" s="81">
        <f t="shared" ca="1" si="30"/>
        <v>0</v>
      </c>
      <c r="N290" s="81">
        <f t="shared" ca="1" si="30"/>
        <v>0</v>
      </c>
      <c r="O290" s="81">
        <f t="shared" ca="1" si="30"/>
        <v>0</v>
      </c>
      <c r="P290" s="81">
        <f t="shared" ca="1" si="30"/>
        <v>0</v>
      </c>
      <c r="Q290" s="81">
        <f t="shared" ca="1" si="30"/>
        <v>0</v>
      </c>
      <c r="R290" s="81">
        <f t="shared" ca="1" si="30"/>
        <v>0</v>
      </c>
      <c r="S290" s="81">
        <f t="shared" ca="1" si="30"/>
        <v>0</v>
      </c>
      <c r="T290" s="81">
        <f t="shared" ca="1" si="30"/>
        <v>0</v>
      </c>
    </row>
    <row r="291" spans="2:20" outlineLevel="1">
      <c r="F291" s="51" t="str">
        <f>$B$23&amp;" Work Code v Tax Category Direct Check"</f>
        <v>3013 - Inputs Work Code v Tax Category Direct Check</v>
      </c>
      <c r="I291" s="130">
        <f ca="1">IF(ISERROR(SUM(J291:T291)),1,MIN(SUM(J291:T291),1))</f>
        <v>0</v>
      </c>
      <c r="J291" s="81">
        <f t="shared" ref="J291:T291" ca="1" si="31">J119-J273</f>
        <v>0</v>
      </c>
      <c r="K291" s="81">
        <f t="shared" ca="1" si="31"/>
        <v>0</v>
      </c>
      <c r="L291" s="81">
        <f t="shared" ca="1" si="31"/>
        <v>0</v>
      </c>
      <c r="M291" s="81">
        <f t="shared" ca="1" si="31"/>
        <v>0</v>
      </c>
      <c r="N291" s="81">
        <f t="shared" ca="1" si="31"/>
        <v>0</v>
      </c>
      <c r="O291" s="81">
        <f t="shared" ca="1" si="31"/>
        <v>0</v>
      </c>
      <c r="P291" s="81">
        <f t="shared" ca="1" si="31"/>
        <v>0</v>
      </c>
      <c r="Q291" s="81">
        <f t="shared" ca="1" si="31"/>
        <v>0</v>
      </c>
      <c r="R291" s="81">
        <f t="shared" ca="1" si="31"/>
        <v>0</v>
      </c>
      <c r="S291" s="81">
        <f t="shared" ca="1" si="31"/>
        <v>0</v>
      </c>
      <c r="T291" s="81">
        <f t="shared" ca="1" si="31"/>
        <v>0</v>
      </c>
    </row>
    <row r="292" spans="2:20" outlineLevel="1">
      <c r="F292" s="51" t="str">
        <f>$B$23&amp;" Customer Contributions v RAB Category Direct Check"</f>
        <v>3013 - Inputs Customer Contributions v RAB Category Direct Check</v>
      </c>
      <c r="I292" s="130">
        <f ca="1">IF(ISERROR(SUM(J292:T292)),1,MIN(SUM(J292:T292),1))</f>
        <v>0</v>
      </c>
      <c r="J292" s="81">
        <f t="shared" ref="J292:T292" ca="1" si="32">J76-J202</f>
        <v>0</v>
      </c>
      <c r="K292" s="81">
        <f t="shared" ca="1" si="32"/>
        <v>0</v>
      </c>
      <c r="L292" s="81">
        <f t="shared" ca="1" si="32"/>
        <v>0</v>
      </c>
      <c r="M292" s="81">
        <f t="shared" ca="1" si="32"/>
        <v>0</v>
      </c>
      <c r="N292" s="81">
        <f t="shared" ca="1" si="32"/>
        <v>0</v>
      </c>
      <c r="O292" s="81">
        <f t="shared" ca="1" si="32"/>
        <v>0</v>
      </c>
      <c r="P292" s="81">
        <f t="shared" ca="1" si="32"/>
        <v>0</v>
      </c>
      <c r="Q292" s="81">
        <f t="shared" ca="1" si="32"/>
        <v>0</v>
      </c>
      <c r="R292" s="81">
        <f t="shared" ca="1" si="32"/>
        <v>0</v>
      </c>
      <c r="S292" s="81">
        <f t="shared" ca="1" si="32"/>
        <v>0</v>
      </c>
      <c r="T292" s="81">
        <f t="shared" ca="1" si="32"/>
        <v>0</v>
      </c>
    </row>
    <row r="293" spans="2:20" ht="5.9" customHeight="1" outlineLevel="1"/>
    <row r="294" spans="2:20" outlineLevel="1">
      <c r="F294" s="51" t="str">
        <f>$B$23&amp;" RAB v RIN Direct + Overhead Check"</f>
        <v>3013 - Inputs RAB v RIN Direct + Overhead Check</v>
      </c>
      <c r="I294" s="130">
        <f ca="1">IF(ISERROR(SUM(J294:T294)),1,MIN(SUM(J294:T294),1))</f>
        <v>0</v>
      </c>
      <c r="J294" s="81">
        <f t="shared" ref="J294:T294" ca="1" si="33">J182-J241</f>
        <v>0</v>
      </c>
      <c r="K294" s="81">
        <f t="shared" ca="1" si="33"/>
        <v>0</v>
      </c>
      <c r="L294" s="81">
        <f t="shared" ca="1" si="33"/>
        <v>0</v>
      </c>
      <c r="M294" s="81">
        <f t="shared" ca="1" si="33"/>
        <v>0</v>
      </c>
      <c r="N294" s="81">
        <f t="shared" ca="1" si="33"/>
        <v>0</v>
      </c>
      <c r="O294" s="81">
        <f t="shared" ca="1" si="33"/>
        <v>0</v>
      </c>
      <c r="P294" s="81">
        <f t="shared" ca="1" si="33"/>
        <v>0</v>
      </c>
      <c r="Q294" s="81">
        <f t="shared" ca="1" si="33"/>
        <v>0</v>
      </c>
      <c r="R294" s="81">
        <f t="shared" ca="1" si="33"/>
        <v>0</v>
      </c>
      <c r="S294" s="81">
        <f t="shared" ca="1" si="33"/>
        <v>0</v>
      </c>
      <c r="T294" s="81">
        <f t="shared" ca="1" si="33"/>
        <v>0</v>
      </c>
    </row>
    <row r="295" spans="2:20" outlineLevel="1">
      <c r="F295" s="51" t="str">
        <f>$B$23&amp;" RAB v Tax Direct + Overhead Check"</f>
        <v>3013 - Inputs RAB v Tax Direct + Overhead Check</v>
      </c>
      <c r="I295" s="130">
        <f ca="1">IF(ISERROR(SUM(J295:T295)),1,MIN(SUM(J295:T295),1))</f>
        <v>0</v>
      </c>
      <c r="J295" s="81">
        <f t="shared" ref="J295:T295" ca="1" si="34">J182-J284</f>
        <v>0</v>
      </c>
      <c r="K295" s="81">
        <f t="shared" ca="1" si="34"/>
        <v>0</v>
      </c>
      <c r="L295" s="81">
        <f t="shared" ca="1" si="34"/>
        <v>0</v>
      </c>
      <c r="M295" s="81">
        <f t="shared" ca="1" si="34"/>
        <v>0</v>
      </c>
      <c r="N295" s="81">
        <f t="shared" ca="1" si="34"/>
        <v>0</v>
      </c>
      <c r="O295" s="81">
        <f t="shared" ca="1" si="34"/>
        <v>0</v>
      </c>
      <c r="P295" s="81">
        <f t="shared" ca="1" si="34"/>
        <v>0</v>
      </c>
      <c r="Q295" s="81">
        <f t="shared" ca="1" si="34"/>
        <v>0</v>
      </c>
      <c r="R295" s="81">
        <f t="shared" ca="1" si="34"/>
        <v>0</v>
      </c>
      <c r="S295" s="81">
        <f t="shared" ca="1" si="34"/>
        <v>0</v>
      </c>
      <c r="T295" s="81">
        <f t="shared" ca="1" si="34"/>
        <v>0</v>
      </c>
    </row>
    <row r="296" spans="2:20" ht="12" outlineLevel="1" thickBot="1">
      <c r="B296" s="94"/>
      <c r="C296" s="94"/>
      <c r="D296" s="94"/>
      <c r="E296" s="94"/>
      <c r="F296" s="94"/>
      <c r="G296" s="94"/>
      <c r="H296" s="94"/>
      <c r="I296" s="94"/>
      <c r="J296" s="94"/>
      <c r="K296" s="94"/>
      <c r="L296" s="94"/>
      <c r="M296" s="94"/>
      <c r="N296" s="94"/>
      <c r="O296" s="94"/>
      <c r="P296" s="94"/>
      <c r="Q296" s="94"/>
      <c r="R296" s="94"/>
      <c r="S296" s="94"/>
      <c r="T296" s="94"/>
    </row>
    <row r="298" spans="2:20" ht="14">
      <c r="B298" s="110" t="s">
        <v>252</v>
      </c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</row>
    <row r="299" spans="2:20" ht="5.9" customHeight="1"/>
    <row r="300" spans="2:20" ht="14">
      <c r="B300" s="56" t="str">
        <f>GC!F21</f>
        <v>Customer Regulators - Ad Hoc</v>
      </c>
    </row>
    <row r="301" spans="2:20" ht="5.9" customHeight="1" outlineLevel="1"/>
    <row r="302" spans="2:20" hidden="1" outlineLevel="2">
      <c r="C302" s="37" t="s">
        <v>204</v>
      </c>
    </row>
    <row r="303" spans="2:20" ht="5.9" hidden="1" customHeight="1" outlineLevel="2"/>
    <row r="304" spans="2:20" hidden="1" outlineLevel="2">
      <c r="D304" s="51" t="s">
        <v>103</v>
      </c>
      <c r="J304" s="92">
        <f>Rates!J42</f>
        <v>1</v>
      </c>
      <c r="K304" s="92">
        <f>Rates!K42</f>
        <v>1</v>
      </c>
      <c r="L304" s="92">
        <f>Rates!L42</f>
        <v>1</v>
      </c>
      <c r="M304" s="92">
        <f>Rates!M42</f>
        <v>1</v>
      </c>
      <c r="N304" s="92">
        <f>Rates!N42</f>
        <v>1</v>
      </c>
      <c r="O304" s="92">
        <f>Rates!O42</f>
        <v>1.0051959235721353</v>
      </c>
      <c r="P304" s="92">
        <f>Rates!P42</f>
        <v>1.0102301741405761</v>
      </c>
      <c r="Q304" s="92">
        <f>Rates!Q42</f>
        <v>1.0181072873442809</v>
      </c>
      <c r="R304" s="92">
        <f>Rates!R42</f>
        <v>1.0293150686557422</v>
      </c>
      <c r="S304" s="92">
        <f>Rates!S42</f>
        <v>1.040646230246951</v>
      </c>
      <c r="T304" s="92">
        <f>Rates!T42</f>
        <v>1.0521021303433229</v>
      </c>
    </row>
    <row r="305" spans="3:20" hidden="1" outlineLevel="2">
      <c r="D305" s="51" t="s">
        <v>104</v>
      </c>
      <c r="J305" s="92">
        <f>Rates!J43</f>
        <v>1</v>
      </c>
      <c r="K305" s="92">
        <f>Rates!K43</f>
        <v>1</v>
      </c>
      <c r="L305" s="92">
        <f>Rates!L43</f>
        <v>1</v>
      </c>
      <c r="M305" s="92">
        <f>Rates!M43</f>
        <v>1</v>
      </c>
      <c r="N305" s="92">
        <f>Rates!N43</f>
        <v>1</v>
      </c>
      <c r="O305" s="92">
        <f>Rates!O43</f>
        <v>1</v>
      </c>
      <c r="P305" s="92">
        <f>Rates!P43</f>
        <v>1</v>
      </c>
      <c r="Q305" s="92">
        <f>Rates!Q43</f>
        <v>1</v>
      </c>
      <c r="R305" s="92">
        <f>Rates!R43</f>
        <v>1</v>
      </c>
      <c r="S305" s="92">
        <f>Rates!S43</f>
        <v>1</v>
      </c>
      <c r="T305" s="92">
        <f>Rates!T43</f>
        <v>1</v>
      </c>
    </row>
    <row r="306" spans="3:20" hidden="1" outlineLevel="2">
      <c r="D306" s="51" t="s">
        <v>130</v>
      </c>
      <c r="J306" s="92">
        <f>Rates!J45</f>
        <v>1</v>
      </c>
      <c r="K306" s="92">
        <f>Rates!K45</f>
        <v>1</v>
      </c>
      <c r="L306" s="92">
        <f>Rates!L45</f>
        <v>1</v>
      </c>
      <c r="M306" s="92">
        <f>Rates!M45</f>
        <v>1</v>
      </c>
      <c r="N306" s="92">
        <f>Rates!N45</f>
        <v>1</v>
      </c>
      <c r="O306" s="92">
        <f>Rates!O45</f>
        <v>1</v>
      </c>
      <c r="P306" s="92">
        <f>Rates!P45</f>
        <v>1</v>
      </c>
      <c r="Q306" s="92">
        <f>Rates!Q45</f>
        <v>1</v>
      </c>
      <c r="R306" s="92">
        <f>Rates!R45</f>
        <v>1</v>
      </c>
      <c r="S306" s="92">
        <f>Rates!S45</f>
        <v>1</v>
      </c>
      <c r="T306" s="92">
        <f>Rates!T45</f>
        <v>1</v>
      </c>
    </row>
    <row r="307" spans="3:20" ht="5.9" hidden="1" customHeight="1" outlineLevel="2"/>
    <row r="308" spans="3:20" hidden="1" outlineLevel="2">
      <c r="C308" s="37" t="s">
        <v>105</v>
      </c>
    </row>
    <row r="309" spans="3:20" ht="5.9" hidden="1" customHeight="1" outlineLevel="2"/>
    <row r="310" spans="3:20" hidden="1" outlineLevel="2">
      <c r="D310" s="51" t="s">
        <v>106</v>
      </c>
      <c r="J310" s="100">
        <f>Rates!J50</f>
        <v>6.9591273870889495E-2</v>
      </c>
      <c r="K310" s="100">
        <f>Rates!K50</f>
        <v>7.3934468928182201E-2</v>
      </c>
      <c r="L310" s="100">
        <f>Rates!L50</f>
        <v>7.5085976469407303E-2</v>
      </c>
      <c r="M310" s="100">
        <f>Rates!M50</f>
        <v>8.0103391005934096E-2</v>
      </c>
      <c r="N310" s="100">
        <f>Rates!N50</f>
        <v>3.7711007382937055E-2</v>
      </c>
      <c r="O310" s="100">
        <f>Rates!O50</f>
        <v>3.3283969054706777E-2</v>
      </c>
      <c r="P310" s="100">
        <f>Rates!P50</f>
        <v>2.6752660513445464E-2</v>
      </c>
      <c r="Q310" s="100">
        <f>Rates!Q50</f>
        <v>2.6060587348993774E-2</v>
      </c>
      <c r="R310" s="100">
        <f>Rates!R50</f>
        <v>2.6873005987587139E-2</v>
      </c>
      <c r="S310" s="100">
        <f>Rates!S50</f>
        <v>2.8546178928104012E-2</v>
      </c>
      <c r="T310" s="100">
        <f>Rates!T50</f>
        <v>2.9920378203686534E-2</v>
      </c>
    </row>
    <row r="311" spans="3:20" hidden="1" outlineLevel="2">
      <c r="D311" s="51" t="s">
        <v>107</v>
      </c>
      <c r="J311" s="100">
        <f>Rates!J51</f>
        <v>5.5842732834613398E-2</v>
      </c>
      <c r="K311" s="100">
        <f>Rates!K51</f>
        <v>5.16564294790849E-2</v>
      </c>
      <c r="L311" s="100">
        <f>Rates!L51</f>
        <v>6.0535031919173997E-2</v>
      </c>
      <c r="M311" s="100">
        <f>Rates!M51</f>
        <v>7.1630695797579302E-2</v>
      </c>
      <c r="N311" s="100">
        <f>Rates!N51</f>
        <v>7.4343858126268231E-2</v>
      </c>
      <c r="O311" s="100">
        <f>Rates!O51</f>
        <v>7.4059082290758096E-2</v>
      </c>
      <c r="P311" s="100">
        <f>Rates!P51</f>
        <v>2.4388539961794877E-2</v>
      </c>
      <c r="Q311" s="100">
        <f>Rates!Q51</f>
        <v>2.1171310758207256E-2</v>
      </c>
      <c r="R311" s="100">
        <f>Rates!R51</f>
        <v>2.0024144075344485E-2</v>
      </c>
      <c r="S311" s="100">
        <f>Rates!S51</f>
        <v>3.9620009613577346E-2</v>
      </c>
      <c r="T311" s="100">
        <f>Rates!T51</f>
        <v>5.404914337922874E-2</v>
      </c>
    </row>
    <row r="312" spans="3:20" hidden="1" outlineLevel="2">
      <c r="D312" s="51" t="s">
        <v>108</v>
      </c>
      <c r="J312" s="100">
        <f>Rates!J52</f>
        <v>0</v>
      </c>
      <c r="K312" s="100">
        <f>Rates!K52</f>
        <v>0</v>
      </c>
      <c r="L312" s="100">
        <f>Rates!L52</f>
        <v>0</v>
      </c>
      <c r="M312" s="100">
        <f>Rates!M52</f>
        <v>0</v>
      </c>
      <c r="N312" s="100">
        <f>Rates!N52</f>
        <v>0</v>
      </c>
      <c r="O312" s="100">
        <f>Rates!O52</f>
        <v>0</v>
      </c>
      <c r="P312" s="100">
        <f>Rates!P52</f>
        <v>0</v>
      </c>
      <c r="Q312" s="100">
        <f>Rates!Q52</f>
        <v>0</v>
      </c>
      <c r="R312" s="100">
        <f>Rates!R52</f>
        <v>0</v>
      </c>
      <c r="S312" s="100">
        <f>Rates!S52</f>
        <v>0</v>
      </c>
      <c r="T312" s="100">
        <f>Rates!T52</f>
        <v>0</v>
      </c>
    </row>
    <row r="313" spans="3:20" outlineLevel="1" collapsed="1"/>
    <row r="314" spans="3:20" ht="5.9" customHeight="1" outlineLevel="1"/>
    <row r="315" spans="3:20" outlineLevel="1">
      <c r="C315" s="37" t="s">
        <v>118</v>
      </c>
    </row>
    <row r="316" spans="3:20" ht="5.9" customHeight="1" outlineLevel="1"/>
    <row r="317" spans="3:20" outlineLevel="1">
      <c r="D317" s="37" t="s">
        <v>160</v>
      </c>
      <c r="H317" s="107" t="s">
        <v>192</v>
      </c>
    </row>
    <row r="318" spans="3:20" ht="5.9" customHeight="1" outlineLevel="1"/>
    <row r="319" spans="3:20" outlineLevel="1">
      <c r="D319" s="102" t="str">
        <f>Work_Codes!D257</f>
        <v>Residential sites (faults) reduced by Temp replacement</v>
      </c>
      <c r="H319" s="63"/>
      <c r="J319" s="125"/>
      <c r="K319" s="125"/>
      <c r="L319" s="125"/>
      <c r="M319" s="178"/>
      <c r="N319" s="178"/>
      <c r="O319" s="211"/>
      <c r="P319" s="212"/>
      <c r="Q319" s="211"/>
      <c r="R319" s="211"/>
      <c r="S319" s="211"/>
      <c r="T319" s="211"/>
    </row>
    <row r="320" spans="3:20" outlineLevel="1">
      <c r="D320" s="102" t="str">
        <f>Work_Codes!D258</f>
        <v>Obsolete Dival</v>
      </c>
      <c r="H320" s="63"/>
      <c r="J320" s="125"/>
      <c r="K320" s="125"/>
      <c r="L320" s="125"/>
      <c r="M320" s="125"/>
      <c r="N320" s="125"/>
      <c r="O320" s="211"/>
      <c r="P320" s="212"/>
      <c r="Q320" s="212"/>
      <c r="R320" s="212"/>
      <c r="S320" s="212"/>
      <c r="T320" s="212"/>
    </row>
    <row r="321" spans="3:20" outlineLevel="1">
      <c r="D321" s="102" t="str">
        <f>Work_Codes!D259</f>
        <v>Replace Reliance 1813 regulators</v>
      </c>
      <c r="H321" s="63"/>
      <c r="J321" s="125"/>
      <c r="K321" s="125"/>
      <c r="L321" s="125"/>
      <c r="M321" s="125"/>
      <c r="N321" s="125"/>
      <c r="O321" s="211"/>
      <c r="P321" s="212"/>
      <c r="Q321" s="212"/>
      <c r="R321" s="212"/>
      <c r="S321" s="212"/>
      <c r="T321" s="212"/>
    </row>
    <row r="322" spans="3:20" outlineLevel="1">
      <c r="D322" s="174" t="str">
        <f>Work_Codes!D260</f>
        <v>Any other sites (faults)</v>
      </c>
      <c r="H322" s="63"/>
      <c r="J322" s="125"/>
      <c r="K322" s="125"/>
      <c r="L322" s="125"/>
      <c r="M322" s="125"/>
      <c r="N322" s="125"/>
      <c r="O322" s="211"/>
      <c r="P322" s="212"/>
      <c r="Q322" s="212"/>
      <c r="R322" s="212"/>
      <c r="S322" s="212"/>
      <c r="T322" s="212"/>
    </row>
    <row r="323" spans="3:20" outlineLevel="1">
      <c r="D323" s="174" t="str">
        <f>Work_Codes!D261</f>
        <v>Capex Items Category 5</v>
      </c>
      <c r="H323" s="63"/>
      <c r="J323" s="125"/>
      <c r="K323" s="125"/>
      <c r="L323" s="125"/>
      <c r="M323" s="125"/>
      <c r="N323" s="125"/>
      <c r="O323" s="212"/>
      <c r="P323" s="212"/>
      <c r="Q323" s="212"/>
      <c r="R323" s="212"/>
      <c r="S323" s="212"/>
      <c r="T323" s="212"/>
    </row>
    <row r="324" spans="3:20" outlineLevel="1">
      <c r="D324" s="105"/>
      <c r="H324" s="58"/>
      <c r="J324" s="66"/>
      <c r="K324" s="66"/>
      <c r="L324" s="66"/>
      <c r="M324" s="66"/>
      <c r="N324" s="66"/>
      <c r="O324" s="66"/>
      <c r="P324" s="66"/>
      <c r="Q324" s="66"/>
      <c r="R324" s="66"/>
      <c r="S324" s="66"/>
      <c r="T324" s="66"/>
    </row>
    <row r="325" spans="3:20" outlineLevel="1">
      <c r="C325" s="37" t="s">
        <v>119</v>
      </c>
    </row>
    <row r="326" spans="3:20" ht="5.9" customHeight="1" outlineLevel="1"/>
    <row r="327" spans="3:20" outlineLevel="1">
      <c r="D327" s="37" t="str">
        <f>D317</f>
        <v>Capex Category</v>
      </c>
    </row>
    <row r="328" spans="3:20" ht="5.9" customHeight="1" outlineLevel="1"/>
    <row r="329" spans="3:20" outlineLevel="1">
      <c r="D329" s="102" t="str">
        <f>Work_Codes!D257</f>
        <v>Residential sites (faults) reduced by Temp replacement</v>
      </c>
      <c r="J329" s="163"/>
      <c r="K329" s="163"/>
      <c r="L329" s="163"/>
      <c r="M329" s="163"/>
      <c r="N329" s="163"/>
      <c r="O329" s="215"/>
      <c r="P329" s="213"/>
      <c r="Q329" s="213"/>
      <c r="R329" s="213"/>
      <c r="S329" s="213"/>
      <c r="T329" s="213"/>
    </row>
    <row r="330" spans="3:20" outlineLevel="1">
      <c r="D330" s="102" t="str">
        <f>Work_Codes!D258</f>
        <v>Obsolete Dival</v>
      </c>
      <c r="J330" s="163"/>
      <c r="K330" s="163"/>
      <c r="L330" s="163"/>
      <c r="M330" s="163"/>
      <c r="N330" s="163"/>
      <c r="O330" s="215"/>
      <c r="P330" s="213"/>
      <c r="Q330" s="213"/>
      <c r="R330" s="213"/>
      <c r="S330" s="213"/>
      <c r="T330" s="213"/>
    </row>
    <row r="331" spans="3:20" outlineLevel="1">
      <c r="D331" s="102" t="str">
        <f>Work_Codes!D259</f>
        <v>Replace Reliance 1813 regulators</v>
      </c>
      <c r="J331" s="163"/>
      <c r="K331" s="163"/>
      <c r="L331" s="163"/>
      <c r="M331" s="163"/>
      <c r="N331" s="163"/>
      <c r="O331" s="215"/>
      <c r="P331" s="213"/>
      <c r="Q331" s="213"/>
      <c r="R331" s="213"/>
      <c r="S331" s="213"/>
      <c r="T331" s="213"/>
    </row>
    <row r="332" spans="3:20" outlineLevel="1">
      <c r="D332" s="174" t="str">
        <f>Work_Codes!D260</f>
        <v>Any other sites (faults)</v>
      </c>
      <c r="J332" s="163"/>
      <c r="K332" s="163"/>
      <c r="L332" s="163"/>
      <c r="M332" s="163"/>
      <c r="N332" s="163"/>
      <c r="O332" s="215"/>
      <c r="P332" s="213"/>
      <c r="Q332" s="213"/>
      <c r="R332" s="213"/>
      <c r="S332" s="213"/>
      <c r="T332" s="213"/>
    </row>
    <row r="333" spans="3:20" outlineLevel="1">
      <c r="D333" s="174" t="str">
        <f>Work_Codes!D261</f>
        <v>Capex Items Category 5</v>
      </c>
      <c r="J333" s="163"/>
      <c r="K333" s="163"/>
      <c r="L333" s="163"/>
      <c r="M333" s="163"/>
      <c r="N333" s="163"/>
      <c r="O333" s="213"/>
      <c r="P333" s="213"/>
      <c r="Q333" s="213"/>
      <c r="R333" s="213"/>
      <c r="S333" s="213"/>
      <c r="T333" s="213"/>
    </row>
    <row r="334" spans="3:20" outlineLevel="1"/>
    <row r="335" spans="3:20" outlineLevel="1">
      <c r="C335" s="37" t="s">
        <v>193</v>
      </c>
    </row>
    <row r="336" spans="3:20" ht="5.9" customHeight="1" outlineLevel="1"/>
    <row r="337" spans="3:20" outlineLevel="1">
      <c r="D337" s="37" t="str">
        <f>D317</f>
        <v>Capex Category</v>
      </c>
    </row>
    <row r="338" spans="3:20" ht="5.9" customHeight="1" outlineLevel="1"/>
    <row r="339" spans="3:20" outlineLevel="1">
      <c r="D339" s="102" t="str">
        <f>Work_Codes!D257</f>
        <v>Residential sites (faults) reduced by Temp replacement</v>
      </c>
      <c r="J339" s="81">
        <v>0</v>
      </c>
      <c r="K339" s="81">
        <v>0</v>
      </c>
      <c r="L339" s="81">
        <v>0</v>
      </c>
      <c r="M339" s="81">
        <v>0</v>
      </c>
      <c r="N339" s="81">
        <v>0</v>
      </c>
      <c r="O339" s="81">
        <v>754600</v>
      </c>
      <c r="P339" s="81">
        <v>1509200</v>
      </c>
      <c r="Q339" s="81">
        <v>1509200</v>
      </c>
      <c r="R339" s="81">
        <v>1509200</v>
      </c>
      <c r="S339" s="81">
        <v>1509200</v>
      </c>
      <c r="T339" s="81">
        <v>1509200</v>
      </c>
    </row>
    <row r="340" spans="3:20" outlineLevel="1">
      <c r="D340" s="102" t="str">
        <f>Work_Codes!D258</f>
        <v>Obsolete Dival</v>
      </c>
      <c r="J340" s="81">
        <v>0</v>
      </c>
      <c r="K340" s="81">
        <v>0</v>
      </c>
      <c r="L340" s="81">
        <v>0</v>
      </c>
      <c r="M340" s="81">
        <v>0</v>
      </c>
      <c r="N340" s="81">
        <v>0</v>
      </c>
      <c r="O340" s="81">
        <v>15000</v>
      </c>
      <c r="P340" s="81">
        <v>30000</v>
      </c>
      <c r="Q340" s="81">
        <v>30000</v>
      </c>
      <c r="R340" s="81">
        <v>30000</v>
      </c>
      <c r="S340" s="81">
        <v>30000</v>
      </c>
      <c r="T340" s="81">
        <v>30000</v>
      </c>
    </row>
    <row r="341" spans="3:20" outlineLevel="1">
      <c r="D341" s="102" t="str">
        <f>Work_Codes!D259</f>
        <v>Replace Reliance 1813 regulators</v>
      </c>
      <c r="J341" s="81">
        <v>0</v>
      </c>
      <c r="K341" s="81">
        <v>0</v>
      </c>
      <c r="L341" s="81">
        <v>0</v>
      </c>
      <c r="M341" s="81">
        <v>0</v>
      </c>
      <c r="N341" s="81">
        <v>0</v>
      </c>
      <c r="O341" s="81">
        <v>6000</v>
      </c>
      <c r="P341" s="81">
        <v>12000</v>
      </c>
      <c r="Q341" s="81">
        <v>12000</v>
      </c>
      <c r="R341" s="81">
        <v>12000</v>
      </c>
      <c r="S341" s="81">
        <v>12000</v>
      </c>
      <c r="T341" s="81">
        <v>12000</v>
      </c>
    </row>
    <row r="342" spans="3:20" outlineLevel="1">
      <c r="D342" s="174" t="str">
        <f>Work_Codes!D260</f>
        <v>Any other sites (faults)</v>
      </c>
      <c r="J342" s="81">
        <v>0</v>
      </c>
      <c r="K342" s="81">
        <v>0</v>
      </c>
      <c r="L342" s="81">
        <v>0</v>
      </c>
      <c r="M342" s="81">
        <v>0</v>
      </c>
      <c r="N342" s="81">
        <v>0</v>
      </c>
      <c r="O342" s="81">
        <v>100000</v>
      </c>
      <c r="P342" s="81">
        <v>200000</v>
      </c>
      <c r="Q342" s="81">
        <v>200000</v>
      </c>
      <c r="R342" s="81">
        <v>200000</v>
      </c>
      <c r="S342" s="81">
        <v>200000</v>
      </c>
      <c r="T342" s="81">
        <v>200000</v>
      </c>
    </row>
    <row r="343" spans="3:20" outlineLevel="1">
      <c r="D343" s="174" t="str">
        <f>Work_Codes!D261</f>
        <v>Capex Items Category 5</v>
      </c>
      <c r="J343" s="81">
        <v>0</v>
      </c>
      <c r="K343" s="81">
        <v>0</v>
      </c>
      <c r="L343" s="81">
        <v>0</v>
      </c>
      <c r="M343" s="81">
        <v>0</v>
      </c>
      <c r="N343" s="81">
        <v>0</v>
      </c>
      <c r="O343" s="81">
        <v>0</v>
      </c>
      <c r="P343" s="81">
        <v>0</v>
      </c>
      <c r="Q343" s="81">
        <v>0</v>
      </c>
      <c r="R343" s="81">
        <v>0</v>
      </c>
      <c r="S343" s="81">
        <v>0</v>
      </c>
      <c r="T343" s="81">
        <v>0</v>
      </c>
    </row>
    <row r="344" spans="3:20" ht="5.9" customHeight="1" outlineLevel="1">
      <c r="D344" s="37"/>
      <c r="J344" s="78"/>
      <c r="K344" s="78"/>
      <c r="L344" s="78"/>
      <c r="M344" s="78"/>
      <c r="N344" s="78"/>
      <c r="O344" s="78"/>
      <c r="P344" s="78"/>
      <c r="Q344" s="78"/>
      <c r="R344" s="78"/>
      <c r="S344" s="78"/>
      <c r="T344" s="78"/>
    </row>
    <row r="345" spans="3:20" outlineLevel="1">
      <c r="D345" s="249" t="str">
        <f>"Total "&amp;B300</f>
        <v>Total Customer Regulators - Ad Hoc</v>
      </c>
      <c r="E345" s="249"/>
      <c r="F345" s="249"/>
      <c r="G345" s="249"/>
      <c r="H345" s="249"/>
      <c r="I345" s="249"/>
      <c r="J345" s="82">
        <f t="shared" ref="J345:T345" si="35">SUM(J339:J344)</f>
        <v>0</v>
      </c>
      <c r="K345" s="82">
        <f t="shared" si="35"/>
        <v>0</v>
      </c>
      <c r="L345" s="82">
        <f t="shared" si="35"/>
        <v>0</v>
      </c>
      <c r="M345" s="82">
        <f t="shared" si="35"/>
        <v>0</v>
      </c>
      <c r="N345" s="82">
        <f t="shared" si="35"/>
        <v>0</v>
      </c>
      <c r="O345" s="82">
        <f t="shared" si="35"/>
        <v>875600</v>
      </c>
      <c r="P345" s="82">
        <f t="shared" si="35"/>
        <v>1751200</v>
      </c>
      <c r="Q345" s="82">
        <f t="shared" si="35"/>
        <v>1751200</v>
      </c>
      <c r="R345" s="82">
        <f t="shared" si="35"/>
        <v>1751200</v>
      </c>
      <c r="S345" s="82">
        <f t="shared" si="35"/>
        <v>1751200</v>
      </c>
      <c r="T345" s="82">
        <f t="shared" si="35"/>
        <v>1751200</v>
      </c>
    </row>
    <row r="346" spans="3:20" outlineLevel="1"/>
    <row r="347" spans="3:20" outlineLevel="1">
      <c r="C347" s="37" t="s">
        <v>286</v>
      </c>
    </row>
    <row r="348" spans="3:20" ht="5.9" customHeight="1" outlineLevel="1"/>
    <row r="349" spans="3:20" outlineLevel="1">
      <c r="D349" s="143" t="str">
        <f>Work_Codes!D265</f>
        <v>Customer Contributions Category 1</v>
      </c>
      <c r="J349" s="148">
        <v>0</v>
      </c>
      <c r="K349" s="148">
        <v>0</v>
      </c>
      <c r="L349" s="148">
        <v>0</v>
      </c>
      <c r="M349" s="148">
        <v>0</v>
      </c>
      <c r="N349" s="148">
        <v>0</v>
      </c>
      <c r="O349" s="148">
        <v>0</v>
      </c>
      <c r="P349" s="148">
        <v>0</v>
      </c>
      <c r="Q349" s="148">
        <v>0</v>
      </c>
      <c r="R349" s="148">
        <v>0</v>
      </c>
      <c r="S349" s="148">
        <v>0</v>
      </c>
      <c r="T349" s="148">
        <v>0</v>
      </c>
    </row>
    <row r="350" spans="3:20" ht="5.9" customHeight="1" outlineLevel="1"/>
    <row r="351" spans="3:20" outlineLevel="1">
      <c r="D351" s="249" t="str">
        <f>"Total "&amp;C347</f>
        <v>Total Customer Connections</v>
      </c>
      <c r="E351" s="249"/>
      <c r="F351" s="249"/>
      <c r="G351" s="249"/>
      <c r="H351" s="249"/>
      <c r="I351" s="249"/>
      <c r="J351" s="82">
        <f t="shared" ref="J351:T351" si="36">SUM(J349:J350)</f>
        <v>0</v>
      </c>
      <c r="K351" s="82">
        <f t="shared" si="36"/>
        <v>0</v>
      </c>
      <c r="L351" s="82">
        <f t="shared" si="36"/>
        <v>0</v>
      </c>
      <c r="M351" s="82">
        <f t="shared" si="36"/>
        <v>0</v>
      </c>
      <c r="N351" s="82">
        <f t="shared" si="36"/>
        <v>0</v>
      </c>
      <c r="O351" s="82">
        <f t="shared" si="36"/>
        <v>0</v>
      </c>
      <c r="P351" s="82">
        <f t="shared" si="36"/>
        <v>0</v>
      </c>
      <c r="Q351" s="82">
        <f t="shared" si="36"/>
        <v>0</v>
      </c>
      <c r="R351" s="82">
        <f t="shared" si="36"/>
        <v>0</v>
      </c>
      <c r="S351" s="82">
        <f t="shared" si="36"/>
        <v>0</v>
      </c>
      <c r="T351" s="82">
        <f t="shared" si="36"/>
        <v>0</v>
      </c>
    </row>
    <row r="352" spans="3:20" outlineLevel="1">
      <c r="C352" s="12"/>
      <c r="D352" s="12"/>
      <c r="E352" s="12"/>
      <c r="F352" s="12"/>
      <c r="G352" s="12"/>
      <c r="H352" s="12"/>
      <c r="I352" s="12"/>
      <c r="J352" s="12"/>
      <c r="K352" s="12"/>
      <c r="L352" s="12"/>
      <c r="M352" s="12"/>
      <c r="N352" s="12"/>
      <c r="O352" s="12"/>
      <c r="P352" s="12"/>
      <c r="Q352" s="12"/>
      <c r="R352" s="12"/>
      <c r="S352" s="12"/>
      <c r="T352" s="12"/>
    </row>
    <row r="353" spans="3:20" outlineLevel="1"/>
    <row r="354" spans="3:20" outlineLevel="1">
      <c r="C354" s="37" t="s">
        <v>213</v>
      </c>
    </row>
    <row r="355" spans="3:20" ht="5.9" hidden="1" customHeight="1" outlineLevel="2"/>
    <row r="356" spans="3:20" hidden="1" outlineLevel="2">
      <c r="C356" s="37" t="s">
        <v>128</v>
      </c>
    </row>
    <row r="357" spans="3:20" ht="5.9" hidden="1" customHeight="1" outlineLevel="2"/>
    <row r="358" spans="3:20" hidden="1" outlineLevel="2">
      <c r="D358" s="102" t="str">
        <f>Work_Codes!D257</f>
        <v>Residential sites (faults) reduced by Temp replacement</v>
      </c>
      <c r="J358" s="81">
        <f>Work_Codes!$I257*J339*J$304</f>
        <v>0</v>
      </c>
      <c r="K358" s="81">
        <f>Work_Codes!$I257*K339*K$304</f>
        <v>0</v>
      </c>
      <c r="L358" s="81">
        <f>Work_Codes!$I257*L339*L$304</f>
        <v>0</v>
      </c>
      <c r="M358" s="81">
        <f>Work_Codes!$I257*M339*M$304</f>
        <v>0</v>
      </c>
      <c r="N358" s="81">
        <f>Work_Codes!$I257*N339*N$304</f>
        <v>0</v>
      </c>
      <c r="O358" s="81">
        <f>Work_Codes!$I257*O339*O$304</f>
        <v>15170.416878550666</v>
      </c>
      <c r="P358" s="81">
        <f>Work_Codes!$I257*P339*P$304</f>
        <v>30492.78757625915</v>
      </c>
      <c r="Q358" s="81">
        <f>Work_Codes!$I257*Q339*Q$304</f>
        <v>30730.550361199774</v>
      </c>
      <c r="R358" s="81">
        <f>Work_Codes!$I257*R339*R$304</f>
        <v>31068.846032304922</v>
      </c>
      <c r="S358" s="81">
        <f>Work_Codes!$I257*S339*S$304</f>
        <v>31410.865813773969</v>
      </c>
      <c r="T358" s="81">
        <f>Work_Codes!$I257*T339*T$304</f>
        <v>31756.650702282859</v>
      </c>
    </row>
    <row r="359" spans="3:20" hidden="1" outlineLevel="2">
      <c r="D359" s="102" t="str">
        <f>Work_Codes!D258</f>
        <v>Obsolete Dival</v>
      </c>
      <c r="J359" s="81">
        <f>Work_Codes!$I258*J340*J$304</f>
        <v>0</v>
      </c>
      <c r="K359" s="81">
        <f>Work_Codes!$I258*K340*K$304</f>
        <v>0</v>
      </c>
      <c r="L359" s="81">
        <f>Work_Codes!$I258*L340*L$304</f>
        <v>0</v>
      </c>
      <c r="M359" s="81">
        <f>Work_Codes!$I258*M340*M$304</f>
        <v>0</v>
      </c>
      <c r="N359" s="81">
        <f>Work_Codes!$I258*N340*N$304</f>
        <v>0</v>
      </c>
      <c r="O359" s="81">
        <f>Work_Codes!$I258*O340*O$304</f>
        <v>301.55877707164058</v>
      </c>
      <c r="P359" s="81">
        <f>Work_Codes!$I258*P340*P$304</f>
        <v>606.13810448434572</v>
      </c>
      <c r="Q359" s="81">
        <f>Work_Codes!$I258*Q340*Q$304</f>
        <v>610.86437240656858</v>
      </c>
      <c r="R359" s="81">
        <f>Work_Codes!$I258*R340*R$304</f>
        <v>617.58904119344527</v>
      </c>
      <c r="S359" s="81">
        <f>Work_Codes!$I258*S340*S$304</f>
        <v>624.38773814817057</v>
      </c>
      <c r="T359" s="81">
        <f>Work_Codes!$I258*T340*T$304</f>
        <v>631.26127820599379</v>
      </c>
    </row>
    <row r="360" spans="3:20" hidden="1" outlineLevel="2">
      <c r="D360" s="102" t="str">
        <f>Work_Codes!D259</f>
        <v>Replace Reliance 1813 regulators</v>
      </c>
      <c r="J360" s="81">
        <f>Work_Codes!$I259*J341*J$304</f>
        <v>0</v>
      </c>
      <c r="K360" s="81">
        <f>Work_Codes!$I259*K341*K$304</f>
        <v>0</v>
      </c>
      <c r="L360" s="81">
        <f>Work_Codes!$I259*L341*L$304</f>
        <v>0</v>
      </c>
      <c r="M360" s="81">
        <f>Work_Codes!$I259*M341*M$304</f>
        <v>0</v>
      </c>
      <c r="N360" s="81">
        <f>Work_Codes!$I259*N341*N$304</f>
        <v>0</v>
      </c>
      <c r="O360" s="81">
        <f>Work_Codes!$I259*O341*O$304</f>
        <v>120.62351082865624</v>
      </c>
      <c r="P360" s="81">
        <f>Work_Codes!$I259*P341*P$304</f>
        <v>242.45524179373828</v>
      </c>
      <c r="Q360" s="81">
        <f>Work_Codes!$I259*Q341*Q$304</f>
        <v>244.34574896262743</v>
      </c>
      <c r="R360" s="81">
        <f>Work_Codes!$I259*R341*R$304</f>
        <v>247.03561647737811</v>
      </c>
      <c r="S360" s="81">
        <f>Work_Codes!$I259*S341*S$304</f>
        <v>249.75509525926824</v>
      </c>
      <c r="T360" s="81">
        <f>Work_Codes!$I259*T341*T$304</f>
        <v>252.50451128239749</v>
      </c>
    </row>
    <row r="361" spans="3:20" hidden="1" outlineLevel="2" collapsed="1">
      <c r="D361" s="174" t="str">
        <f>Work_Codes!D260</f>
        <v>Any other sites (faults)</v>
      </c>
      <c r="J361" s="81">
        <f>Work_Codes!$I260*J342*J$304</f>
        <v>0</v>
      </c>
      <c r="K361" s="81">
        <f>Work_Codes!$I260*K342*K$304</f>
        <v>0</v>
      </c>
      <c r="L361" s="81">
        <f>Work_Codes!$I260*L342*L$304</f>
        <v>0</v>
      </c>
      <c r="M361" s="81">
        <f>Work_Codes!$I260*M342*M$304</f>
        <v>0</v>
      </c>
      <c r="N361" s="81">
        <f>Work_Codes!$I260*N342*N$304</f>
        <v>0</v>
      </c>
      <c r="O361" s="81">
        <f>Work_Codes!$I260*O342*O$304</f>
        <v>2010.3918471442705</v>
      </c>
      <c r="P361" s="81">
        <f>Work_Codes!$I260*P342*P$304</f>
        <v>4040.9206965623048</v>
      </c>
      <c r="Q361" s="81">
        <f>Work_Codes!$I260*Q342*Q$304</f>
        <v>4072.4291493771238</v>
      </c>
      <c r="R361" s="81">
        <f>Work_Codes!$I260*R342*R$304</f>
        <v>4117.2602746229686</v>
      </c>
      <c r="S361" s="81">
        <f>Work_Codes!$I260*S342*S$304</f>
        <v>4162.5849209878043</v>
      </c>
      <c r="T361" s="81">
        <f>Work_Codes!$I260*T342*T$304</f>
        <v>4208.4085213732915</v>
      </c>
    </row>
    <row r="362" spans="3:20" hidden="1" outlineLevel="2">
      <c r="D362" s="174" t="str">
        <f>Work_Codes!D261</f>
        <v>Capex Items Category 5</v>
      </c>
      <c r="J362" s="81">
        <f>Work_Codes!$I261*J343*J$304</f>
        <v>0</v>
      </c>
      <c r="K362" s="81">
        <f>Work_Codes!$I261*K343*K$304</f>
        <v>0</v>
      </c>
      <c r="L362" s="81">
        <f>Work_Codes!$I261*L343*L$304</f>
        <v>0</v>
      </c>
      <c r="M362" s="81">
        <f>Work_Codes!$I261*M343*M$304</f>
        <v>0</v>
      </c>
      <c r="N362" s="81">
        <f>Work_Codes!$I261*N343*N$304</f>
        <v>0</v>
      </c>
      <c r="O362" s="81">
        <f>Work_Codes!$I261*O343*O$304</f>
        <v>0</v>
      </c>
      <c r="P362" s="81">
        <f>Work_Codes!$I261*P343*P$304</f>
        <v>0</v>
      </c>
      <c r="Q362" s="81">
        <f>Work_Codes!$I261*Q343*Q$304</f>
        <v>0</v>
      </c>
      <c r="R362" s="81">
        <f>Work_Codes!$I261*R343*R$304</f>
        <v>0</v>
      </c>
      <c r="S362" s="81">
        <f>Work_Codes!$I261*S343*S$304</f>
        <v>0</v>
      </c>
      <c r="T362" s="81">
        <f>Work_Codes!$I261*T343*T$304</f>
        <v>0</v>
      </c>
    </row>
    <row r="363" spans="3:20" ht="5.9" hidden="1" customHeight="1" outlineLevel="2"/>
    <row r="364" spans="3:20" hidden="1" outlineLevel="2">
      <c r="D364" s="249" t="str">
        <f>"Total "&amp;C356</f>
        <v>Total Internal Labour</v>
      </c>
      <c r="E364" s="249"/>
      <c r="F364" s="249"/>
      <c r="G364" s="249"/>
      <c r="H364" s="249"/>
      <c r="I364" s="249"/>
      <c r="J364" s="82">
        <f t="shared" ref="J364:T364" si="37">SUM(J358:J363)</f>
        <v>0</v>
      </c>
      <c r="K364" s="82">
        <f t="shared" si="37"/>
        <v>0</v>
      </c>
      <c r="L364" s="82">
        <f t="shared" si="37"/>
        <v>0</v>
      </c>
      <c r="M364" s="82">
        <f t="shared" si="37"/>
        <v>0</v>
      </c>
      <c r="N364" s="82">
        <f t="shared" si="37"/>
        <v>0</v>
      </c>
      <c r="O364" s="82">
        <f t="shared" si="37"/>
        <v>17602.991013595234</v>
      </c>
      <c r="P364" s="82">
        <f t="shared" si="37"/>
        <v>35382.30161909954</v>
      </c>
      <c r="Q364" s="82">
        <f t="shared" si="37"/>
        <v>35658.189631946094</v>
      </c>
      <c r="R364" s="82">
        <f t="shared" si="37"/>
        <v>36050.730964598712</v>
      </c>
      <c r="S364" s="82">
        <f t="shared" si="37"/>
        <v>36447.593568169214</v>
      </c>
      <c r="T364" s="82">
        <f t="shared" si="37"/>
        <v>36848.825013144546</v>
      </c>
    </row>
    <row r="365" spans="3:20" hidden="1" outlineLevel="2"/>
    <row r="366" spans="3:20" hidden="1" outlineLevel="2">
      <c r="C366" s="37" t="s">
        <v>129</v>
      </c>
    </row>
    <row r="367" spans="3:20" ht="5.9" hidden="1" customHeight="1" outlineLevel="2"/>
    <row r="368" spans="3:20" hidden="1" outlineLevel="2">
      <c r="D368" s="102" t="str">
        <f>Work_Codes!D257</f>
        <v>Residential sites (faults) reduced by Temp replacement</v>
      </c>
      <c r="J368" s="81">
        <f>Work_Codes!$J257*J339*J$305</f>
        <v>0</v>
      </c>
      <c r="K368" s="81">
        <f>Work_Codes!$J257*K339*K$305</f>
        <v>0</v>
      </c>
      <c r="L368" s="81">
        <f>Work_Codes!$J257*L339*L$305</f>
        <v>0</v>
      </c>
      <c r="M368" s="81">
        <f>Work_Codes!$J257*M339*M$305</f>
        <v>0</v>
      </c>
      <c r="N368" s="81">
        <f>Work_Codes!$J257*N339*N$305</f>
        <v>0</v>
      </c>
      <c r="O368" s="81">
        <f>Work_Codes!$J257*O339*O$305</f>
        <v>286748</v>
      </c>
      <c r="P368" s="81">
        <f>Work_Codes!$J257*P339*P$305</f>
        <v>573496</v>
      </c>
      <c r="Q368" s="81">
        <f>Work_Codes!$J257*Q339*Q$305</f>
        <v>573496</v>
      </c>
      <c r="R368" s="81">
        <f>Work_Codes!$J257*R339*R$305</f>
        <v>573496</v>
      </c>
      <c r="S368" s="81">
        <f>Work_Codes!$J257*S339*S$305</f>
        <v>573496</v>
      </c>
      <c r="T368" s="81">
        <f>Work_Codes!$J257*T339*T$305</f>
        <v>573496</v>
      </c>
    </row>
    <row r="369" spans="3:20" hidden="1" outlineLevel="2">
      <c r="D369" s="102" t="str">
        <f>Work_Codes!D258</f>
        <v>Obsolete Dival</v>
      </c>
      <c r="J369" s="81">
        <f>Work_Codes!$J258*J340*J$305</f>
        <v>0</v>
      </c>
      <c r="K369" s="81">
        <f>Work_Codes!$J258*K340*K$305</f>
        <v>0</v>
      </c>
      <c r="L369" s="81">
        <f>Work_Codes!$J258*L340*L$305</f>
        <v>0</v>
      </c>
      <c r="M369" s="81">
        <f>Work_Codes!$J258*M340*M$305</f>
        <v>0</v>
      </c>
      <c r="N369" s="81">
        <f>Work_Codes!$J258*N340*N$305</f>
        <v>0</v>
      </c>
      <c r="O369" s="81">
        <f>Work_Codes!$J258*O340*O$305</f>
        <v>5700</v>
      </c>
      <c r="P369" s="81">
        <f>Work_Codes!$J258*P340*P$305</f>
        <v>11400</v>
      </c>
      <c r="Q369" s="81">
        <f>Work_Codes!$J258*Q340*Q$305</f>
        <v>11400</v>
      </c>
      <c r="R369" s="81">
        <f>Work_Codes!$J258*R340*R$305</f>
        <v>11400</v>
      </c>
      <c r="S369" s="81">
        <f>Work_Codes!$J258*S340*S$305</f>
        <v>11400</v>
      </c>
      <c r="T369" s="81">
        <f>Work_Codes!$J258*T340*T$305</f>
        <v>11400</v>
      </c>
    </row>
    <row r="370" spans="3:20" hidden="1" outlineLevel="2">
      <c r="D370" s="102" t="str">
        <f>Work_Codes!D259</f>
        <v>Replace Reliance 1813 regulators</v>
      </c>
      <c r="J370" s="81">
        <f>Work_Codes!$J259*J341*J$305</f>
        <v>0</v>
      </c>
      <c r="K370" s="81">
        <f>Work_Codes!$J259*K341*K$305</f>
        <v>0</v>
      </c>
      <c r="L370" s="81">
        <f>Work_Codes!$J259*L341*L$305</f>
        <v>0</v>
      </c>
      <c r="M370" s="81">
        <f>Work_Codes!$J259*M341*M$305</f>
        <v>0</v>
      </c>
      <c r="N370" s="81">
        <f>Work_Codes!$J259*N341*N$305</f>
        <v>0</v>
      </c>
      <c r="O370" s="81">
        <f>Work_Codes!$J259*O341*O$305</f>
        <v>2280</v>
      </c>
      <c r="P370" s="81">
        <f>Work_Codes!$J259*P341*P$305</f>
        <v>4560</v>
      </c>
      <c r="Q370" s="81">
        <f>Work_Codes!$J259*Q341*Q$305</f>
        <v>4560</v>
      </c>
      <c r="R370" s="81">
        <f>Work_Codes!$J259*R341*R$305</f>
        <v>4560</v>
      </c>
      <c r="S370" s="81">
        <f>Work_Codes!$J259*S341*S$305</f>
        <v>4560</v>
      </c>
      <c r="T370" s="81">
        <f>Work_Codes!$J259*T341*T$305</f>
        <v>4560</v>
      </c>
    </row>
    <row r="371" spans="3:20" hidden="1" outlineLevel="2">
      <c r="D371" s="174" t="str">
        <f>Work_Codes!D260</f>
        <v>Any other sites (faults)</v>
      </c>
      <c r="J371" s="81">
        <f>Work_Codes!$J260*J342*J$305</f>
        <v>0</v>
      </c>
      <c r="K371" s="81">
        <f>Work_Codes!$J260*K342*K$305</f>
        <v>0</v>
      </c>
      <c r="L371" s="81">
        <f>Work_Codes!$J260*L342*L$305</f>
        <v>0</v>
      </c>
      <c r="M371" s="81">
        <f>Work_Codes!$J260*M342*M$305</f>
        <v>0</v>
      </c>
      <c r="N371" s="81">
        <f>Work_Codes!$J260*N342*N$305</f>
        <v>0</v>
      </c>
      <c r="O371" s="81">
        <f>Work_Codes!$J260*O342*O$305</f>
        <v>38000</v>
      </c>
      <c r="P371" s="81">
        <f>Work_Codes!$J260*P342*P$305</f>
        <v>76000</v>
      </c>
      <c r="Q371" s="81">
        <f>Work_Codes!$J260*Q342*Q$305</f>
        <v>76000</v>
      </c>
      <c r="R371" s="81">
        <f>Work_Codes!$J260*R342*R$305</f>
        <v>76000</v>
      </c>
      <c r="S371" s="81">
        <f>Work_Codes!$J260*S342*S$305</f>
        <v>76000</v>
      </c>
      <c r="T371" s="81">
        <f>Work_Codes!$J260*T342*T$305</f>
        <v>76000</v>
      </c>
    </row>
    <row r="372" spans="3:20" hidden="1" outlineLevel="2">
      <c r="D372" s="174" t="str">
        <f>Work_Codes!D261</f>
        <v>Capex Items Category 5</v>
      </c>
      <c r="J372" s="81">
        <f>Work_Codes!$J261*J343*J$305</f>
        <v>0</v>
      </c>
      <c r="K372" s="81">
        <f>Work_Codes!$J261*K343*K$305</f>
        <v>0</v>
      </c>
      <c r="L372" s="81">
        <f>Work_Codes!$J261*L343*L$305</f>
        <v>0</v>
      </c>
      <c r="M372" s="81">
        <f>Work_Codes!$J261*M343*M$305</f>
        <v>0</v>
      </c>
      <c r="N372" s="81">
        <f>Work_Codes!$J261*N343*N$305</f>
        <v>0</v>
      </c>
      <c r="O372" s="81">
        <f>Work_Codes!$J261*O343*O$305</f>
        <v>0</v>
      </c>
      <c r="P372" s="81">
        <f>Work_Codes!$J261*P343*P$305</f>
        <v>0</v>
      </c>
      <c r="Q372" s="81">
        <f>Work_Codes!$J261*Q343*Q$305</f>
        <v>0</v>
      </c>
      <c r="R372" s="81">
        <f>Work_Codes!$J261*R343*R$305</f>
        <v>0</v>
      </c>
      <c r="S372" s="81">
        <f>Work_Codes!$J261*S343*S$305</f>
        <v>0</v>
      </c>
      <c r="T372" s="81">
        <f>Work_Codes!$J261*T343*T$305</f>
        <v>0</v>
      </c>
    </row>
    <row r="373" spans="3:20" ht="5.9" hidden="1" customHeight="1" outlineLevel="2"/>
    <row r="374" spans="3:20" hidden="1" outlineLevel="2">
      <c r="D374" s="249" t="str">
        <f>"Total "&amp;C366</f>
        <v>Total External Labour</v>
      </c>
      <c r="E374" s="249"/>
      <c r="F374" s="249"/>
      <c r="G374" s="249"/>
      <c r="H374" s="249"/>
      <c r="I374" s="249"/>
      <c r="J374" s="82">
        <f t="shared" ref="J374:T374" si="38">SUM(J368:J373)</f>
        <v>0</v>
      </c>
      <c r="K374" s="82">
        <f t="shared" si="38"/>
        <v>0</v>
      </c>
      <c r="L374" s="82">
        <f t="shared" si="38"/>
        <v>0</v>
      </c>
      <c r="M374" s="82">
        <f t="shared" si="38"/>
        <v>0</v>
      </c>
      <c r="N374" s="82">
        <f t="shared" si="38"/>
        <v>0</v>
      </c>
      <c r="O374" s="82">
        <f t="shared" si="38"/>
        <v>332728</v>
      </c>
      <c r="P374" s="82">
        <f t="shared" si="38"/>
        <v>665456</v>
      </c>
      <c r="Q374" s="82">
        <f t="shared" si="38"/>
        <v>665456</v>
      </c>
      <c r="R374" s="82">
        <f t="shared" si="38"/>
        <v>665456</v>
      </c>
      <c r="S374" s="82">
        <f t="shared" si="38"/>
        <v>665456</v>
      </c>
      <c r="T374" s="82">
        <f t="shared" si="38"/>
        <v>665456</v>
      </c>
    </row>
    <row r="375" spans="3:20" hidden="1" outlineLevel="2"/>
    <row r="376" spans="3:20" hidden="1" outlineLevel="2">
      <c r="C376" s="37" t="s">
        <v>130</v>
      </c>
    </row>
    <row r="377" spans="3:20" ht="5.9" hidden="1" customHeight="1" outlineLevel="2"/>
    <row r="378" spans="3:20" hidden="1" outlineLevel="2">
      <c r="D378" s="102" t="str">
        <f>Work_Codes!D257</f>
        <v>Residential sites (faults) reduced by Temp replacement</v>
      </c>
      <c r="J378" s="81">
        <f>Work_Codes!$K257*J339*J$306</f>
        <v>0</v>
      </c>
      <c r="K378" s="81">
        <f>Work_Codes!$K257*K339*K$306</f>
        <v>0</v>
      </c>
      <c r="L378" s="81">
        <f>Work_Codes!$K257*L339*L$306</f>
        <v>0</v>
      </c>
      <c r="M378" s="81">
        <f>Work_Codes!$K257*M339*M$306</f>
        <v>0</v>
      </c>
      <c r="N378" s="81">
        <f>Work_Codes!$K257*N339*N$306</f>
        <v>0</v>
      </c>
      <c r="O378" s="81">
        <f>Work_Codes!$K257*O339*O$306</f>
        <v>452760</v>
      </c>
      <c r="P378" s="81">
        <f>Work_Codes!$K257*P339*P$306</f>
        <v>905520</v>
      </c>
      <c r="Q378" s="81">
        <f>Work_Codes!$K257*Q339*Q$306</f>
        <v>905520</v>
      </c>
      <c r="R378" s="81">
        <f>Work_Codes!$K257*R339*R$306</f>
        <v>905520</v>
      </c>
      <c r="S378" s="81">
        <f>Work_Codes!$K257*S339*S$306</f>
        <v>905520</v>
      </c>
      <c r="T378" s="81">
        <f>Work_Codes!$K257*T339*T$306</f>
        <v>905520</v>
      </c>
    </row>
    <row r="379" spans="3:20" hidden="1" outlineLevel="2">
      <c r="D379" s="102" t="str">
        <f>Work_Codes!D258</f>
        <v>Obsolete Dival</v>
      </c>
      <c r="J379" s="81">
        <f>Work_Codes!$K258*J340*J$306</f>
        <v>0</v>
      </c>
      <c r="K379" s="81">
        <f>Work_Codes!$K258*K340*K$306</f>
        <v>0</v>
      </c>
      <c r="L379" s="81">
        <f>Work_Codes!$K258*L340*L$306</f>
        <v>0</v>
      </c>
      <c r="M379" s="81">
        <f>Work_Codes!$K258*M340*M$306</f>
        <v>0</v>
      </c>
      <c r="N379" s="81">
        <f>Work_Codes!$K258*N340*N$306</f>
        <v>0</v>
      </c>
      <c r="O379" s="81">
        <f>Work_Codes!$K258*O340*O$306</f>
        <v>9000</v>
      </c>
      <c r="P379" s="81">
        <f>Work_Codes!$K258*P340*P$306</f>
        <v>18000</v>
      </c>
      <c r="Q379" s="81">
        <f>Work_Codes!$K258*Q340*Q$306</f>
        <v>18000</v>
      </c>
      <c r="R379" s="81">
        <f>Work_Codes!$K258*R340*R$306</f>
        <v>18000</v>
      </c>
      <c r="S379" s="81">
        <f>Work_Codes!$K258*S340*S$306</f>
        <v>18000</v>
      </c>
      <c r="T379" s="81">
        <f>Work_Codes!$K258*T340*T$306</f>
        <v>18000</v>
      </c>
    </row>
    <row r="380" spans="3:20" hidden="1" outlineLevel="2">
      <c r="D380" s="102" t="str">
        <f>Work_Codes!D259</f>
        <v>Replace Reliance 1813 regulators</v>
      </c>
      <c r="J380" s="81">
        <f>Work_Codes!$K259*J341*J$306</f>
        <v>0</v>
      </c>
      <c r="K380" s="81">
        <f>Work_Codes!$K259*K341*K$306</f>
        <v>0</v>
      </c>
      <c r="L380" s="81">
        <f>Work_Codes!$K259*L341*L$306</f>
        <v>0</v>
      </c>
      <c r="M380" s="81">
        <f>Work_Codes!$K259*M341*M$306</f>
        <v>0</v>
      </c>
      <c r="N380" s="81">
        <f>Work_Codes!$K259*N341*N$306</f>
        <v>0</v>
      </c>
      <c r="O380" s="81">
        <f>Work_Codes!$K259*O341*O$306</f>
        <v>3600</v>
      </c>
      <c r="P380" s="81">
        <f>Work_Codes!$K259*P341*P$306</f>
        <v>7200</v>
      </c>
      <c r="Q380" s="81">
        <f>Work_Codes!$K259*Q341*Q$306</f>
        <v>7200</v>
      </c>
      <c r="R380" s="81">
        <f>Work_Codes!$K259*R341*R$306</f>
        <v>7200</v>
      </c>
      <c r="S380" s="81">
        <f>Work_Codes!$K259*S341*S$306</f>
        <v>7200</v>
      </c>
      <c r="T380" s="81">
        <f>Work_Codes!$K259*T341*T$306</f>
        <v>7200</v>
      </c>
    </row>
    <row r="381" spans="3:20" hidden="1" outlineLevel="2">
      <c r="D381" s="174" t="str">
        <f>Work_Codes!D260</f>
        <v>Any other sites (faults)</v>
      </c>
      <c r="J381" s="81">
        <f>Work_Codes!$K260*J342*J$306</f>
        <v>0</v>
      </c>
      <c r="K381" s="81">
        <f>Work_Codes!$K260*K342*K$306</f>
        <v>0</v>
      </c>
      <c r="L381" s="81">
        <f>Work_Codes!$K260*L342*L$306</f>
        <v>0</v>
      </c>
      <c r="M381" s="81">
        <f>Work_Codes!$K260*M342*M$306</f>
        <v>0</v>
      </c>
      <c r="N381" s="81">
        <f>Work_Codes!$K260*N342*N$306</f>
        <v>0</v>
      </c>
      <c r="O381" s="81">
        <f>Work_Codes!$K260*O342*O$306</f>
        <v>60000</v>
      </c>
      <c r="P381" s="81">
        <f>Work_Codes!$K260*P342*P$306</f>
        <v>120000</v>
      </c>
      <c r="Q381" s="81">
        <f>Work_Codes!$K260*Q342*Q$306</f>
        <v>120000</v>
      </c>
      <c r="R381" s="81">
        <f>Work_Codes!$K260*R342*R$306</f>
        <v>120000</v>
      </c>
      <c r="S381" s="81">
        <f>Work_Codes!$K260*S342*S$306</f>
        <v>120000</v>
      </c>
      <c r="T381" s="81">
        <f>Work_Codes!$K260*T342*T$306</f>
        <v>120000</v>
      </c>
    </row>
    <row r="382" spans="3:20" hidden="1" outlineLevel="2">
      <c r="D382" s="174" t="str">
        <f>Work_Codes!D261</f>
        <v>Capex Items Category 5</v>
      </c>
      <c r="J382" s="81">
        <f>Work_Codes!$K261*J343*J$306</f>
        <v>0</v>
      </c>
      <c r="K382" s="81">
        <f>Work_Codes!$K261*K343*K$306</f>
        <v>0</v>
      </c>
      <c r="L382" s="81">
        <f>Work_Codes!$K261*L343*L$306</f>
        <v>0</v>
      </c>
      <c r="M382" s="81">
        <f>Work_Codes!$K261*M343*M$306</f>
        <v>0</v>
      </c>
      <c r="N382" s="81">
        <f>Work_Codes!$K261*N343*N$306</f>
        <v>0</v>
      </c>
      <c r="O382" s="81">
        <f>Work_Codes!$K261*O343*O$306</f>
        <v>0</v>
      </c>
      <c r="P382" s="81">
        <f>Work_Codes!$K261*P343*P$306</f>
        <v>0</v>
      </c>
      <c r="Q382" s="81">
        <f>Work_Codes!$K261*Q343*Q$306</f>
        <v>0</v>
      </c>
      <c r="R382" s="81">
        <f>Work_Codes!$K261*R343*R$306</f>
        <v>0</v>
      </c>
      <c r="S382" s="81">
        <f>Work_Codes!$K261*S343*S$306</f>
        <v>0</v>
      </c>
      <c r="T382" s="81">
        <f>Work_Codes!$K261*T343*T$306</f>
        <v>0</v>
      </c>
    </row>
    <row r="383" spans="3:20" ht="5.9" hidden="1" customHeight="1" outlineLevel="2"/>
    <row r="384" spans="3:20" hidden="1" outlineLevel="2">
      <c r="D384" s="249" t="str">
        <f>"Total "&amp;C376</f>
        <v>Total Materials</v>
      </c>
      <c r="E384" s="249"/>
      <c r="F384" s="249"/>
      <c r="G384" s="249"/>
      <c r="H384" s="249"/>
      <c r="I384" s="249"/>
      <c r="J384" s="82">
        <f t="shared" ref="J384:T384" si="39">SUM(J378:J383)</f>
        <v>0</v>
      </c>
      <c r="K384" s="82">
        <f t="shared" si="39"/>
        <v>0</v>
      </c>
      <c r="L384" s="82">
        <f t="shared" si="39"/>
        <v>0</v>
      </c>
      <c r="M384" s="82">
        <f t="shared" si="39"/>
        <v>0</v>
      </c>
      <c r="N384" s="82">
        <f t="shared" si="39"/>
        <v>0</v>
      </c>
      <c r="O384" s="82">
        <f t="shared" si="39"/>
        <v>525360</v>
      </c>
      <c r="P384" s="82">
        <f t="shared" si="39"/>
        <v>1050720</v>
      </c>
      <c r="Q384" s="82">
        <f t="shared" si="39"/>
        <v>1050720</v>
      </c>
      <c r="R384" s="82">
        <f t="shared" si="39"/>
        <v>1050720</v>
      </c>
      <c r="S384" s="82">
        <f t="shared" si="39"/>
        <v>1050720</v>
      </c>
      <c r="T384" s="82">
        <f t="shared" si="39"/>
        <v>1050720</v>
      </c>
    </row>
    <row r="385" spans="2:20" outlineLevel="1" collapsed="1"/>
    <row r="386" spans="2:20" outlineLevel="1">
      <c r="C386" s="37" t="s">
        <v>217</v>
      </c>
    </row>
    <row r="387" spans="2:20" ht="5.9" customHeight="1" outlineLevel="1"/>
    <row r="388" spans="2:20" outlineLevel="1">
      <c r="D388" s="102" t="str">
        <f>Work_Codes!D257</f>
        <v>Residential sites (faults) reduced by Temp replacement</v>
      </c>
      <c r="J388" s="81">
        <f t="shared" ref="J388:T388" si="40">J358+J368+J378</f>
        <v>0</v>
      </c>
      <c r="K388" s="81">
        <f t="shared" si="40"/>
        <v>0</v>
      </c>
      <c r="L388" s="81">
        <f t="shared" si="40"/>
        <v>0</v>
      </c>
      <c r="M388" s="81">
        <f t="shared" si="40"/>
        <v>0</v>
      </c>
      <c r="N388" s="81">
        <f t="shared" si="40"/>
        <v>0</v>
      </c>
      <c r="O388" s="81">
        <f t="shared" si="40"/>
        <v>754678.41687855066</v>
      </c>
      <c r="P388" s="81">
        <f t="shared" si="40"/>
        <v>1509508.7875762591</v>
      </c>
      <c r="Q388" s="81">
        <f t="shared" si="40"/>
        <v>1509746.5503611998</v>
      </c>
      <c r="R388" s="81">
        <f t="shared" si="40"/>
        <v>1510084.8460323049</v>
      </c>
      <c r="S388" s="81">
        <f t="shared" si="40"/>
        <v>1510426.8658137741</v>
      </c>
      <c r="T388" s="81">
        <f t="shared" si="40"/>
        <v>1510772.6507022828</v>
      </c>
    </row>
    <row r="389" spans="2:20" outlineLevel="1">
      <c r="D389" s="102" t="str">
        <f>Work_Codes!D258</f>
        <v>Obsolete Dival</v>
      </c>
      <c r="J389" s="81">
        <f t="shared" ref="J389:T389" si="41">J359+J369+J379</f>
        <v>0</v>
      </c>
      <c r="K389" s="81">
        <f t="shared" si="41"/>
        <v>0</v>
      </c>
      <c r="L389" s="81">
        <f t="shared" si="41"/>
        <v>0</v>
      </c>
      <c r="M389" s="81">
        <f t="shared" si="41"/>
        <v>0</v>
      </c>
      <c r="N389" s="81">
        <f t="shared" si="41"/>
        <v>0</v>
      </c>
      <c r="O389" s="81">
        <f t="shared" si="41"/>
        <v>15001.558777071641</v>
      </c>
      <c r="P389" s="81">
        <f t="shared" si="41"/>
        <v>30006.138104484344</v>
      </c>
      <c r="Q389" s="81">
        <f t="shared" si="41"/>
        <v>30010.86437240657</v>
      </c>
      <c r="R389" s="81">
        <f t="shared" si="41"/>
        <v>30017.589041193445</v>
      </c>
      <c r="S389" s="81">
        <f t="shared" si="41"/>
        <v>30024.387738148173</v>
      </c>
      <c r="T389" s="81">
        <f t="shared" si="41"/>
        <v>30031.261278205995</v>
      </c>
    </row>
    <row r="390" spans="2:20" outlineLevel="1">
      <c r="D390" s="102" t="str">
        <f>Work_Codes!D259</f>
        <v>Replace Reliance 1813 regulators</v>
      </c>
      <c r="J390" s="81">
        <f t="shared" ref="J390:T390" si="42">J360+J370+J380</f>
        <v>0</v>
      </c>
      <c r="K390" s="81">
        <f t="shared" si="42"/>
        <v>0</v>
      </c>
      <c r="L390" s="81">
        <f t="shared" si="42"/>
        <v>0</v>
      </c>
      <c r="M390" s="81">
        <f t="shared" si="42"/>
        <v>0</v>
      </c>
      <c r="N390" s="81">
        <f t="shared" si="42"/>
        <v>0</v>
      </c>
      <c r="O390" s="81">
        <f t="shared" si="42"/>
        <v>6000.6235108286564</v>
      </c>
      <c r="P390" s="81">
        <f t="shared" si="42"/>
        <v>12002.455241793738</v>
      </c>
      <c r="Q390" s="81">
        <f t="shared" si="42"/>
        <v>12004.345748962627</v>
      </c>
      <c r="R390" s="81">
        <f t="shared" si="42"/>
        <v>12007.035616477378</v>
      </c>
      <c r="S390" s="81">
        <f t="shared" si="42"/>
        <v>12009.755095259268</v>
      </c>
      <c r="T390" s="81">
        <f t="shared" si="42"/>
        <v>12012.504511282397</v>
      </c>
    </row>
    <row r="391" spans="2:20" outlineLevel="1">
      <c r="D391" s="174" t="str">
        <f>Work_Codes!D260</f>
        <v>Any other sites (faults)</v>
      </c>
      <c r="J391" s="81">
        <f t="shared" ref="J391:T391" si="43">J361+J371+J381</f>
        <v>0</v>
      </c>
      <c r="K391" s="81">
        <f t="shared" si="43"/>
        <v>0</v>
      </c>
      <c r="L391" s="81">
        <f t="shared" si="43"/>
        <v>0</v>
      </c>
      <c r="M391" s="81">
        <f t="shared" si="43"/>
        <v>0</v>
      </c>
      <c r="N391" s="81">
        <f t="shared" si="43"/>
        <v>0</v>
      </c>
      <c r="O391" s="81">
        <f t="shared" si="43"/>
        <v>100010.39184714427</v>
      </c>
      <c r="P391" s="81">
        <f t="shared" si="43"/>
        <v>200040.9206965623</v>
      </c>
      <c r="Q391" s="81">
        <f t="shared" si="43"/>
        <v>200072.42914937713</v>
      </c>
      <c r="R391" s="81">
        <f t="shared" si="43"/>
        <v>200117.26027462297</v>
      </c>
      <c r="S391" s="81">
        <f t="shared" si="43"/>
        <v>200162.58492098781</v>
      </c>
      <c r="T391" s="81">
        <f t="shared" si="43"/>
        <v>200208.40852137329</v>
      </c>
    </row>
    <row r="392" spans="2:20" outlineLevel="1">
      <c r="D392" s="174" t="str">
        <f>Work_Codes!D261</f>
        <v>Capex Items Category 5</v>
      </c>
      <c r="J392" s="81">
        <f t="shared" ref="J392:T392" si="44">J362+J372+J382</f>
        <v>0</v>
      </c>
      <c r="K392" s="81">
        <f t="shared" si="44"/>
        <v>0</v>
      </c>
      <c r="L392" s="81">
        <f t="shared" si="44"/>
        <v>0</v>
      </c>
      <c r="M392" s="81">
        <f t="shared" si="44"/>
        <v>0</v>
      </c>
      <c r="N392" s="81">
        <f t="shared" si="44"/>
        <v>0</v>
      </c>
      <c r="O392" s="81">
        <f t="shared" si="44"/>
        <v>0</v>
      </c>
      <c r="P392" s="81">
        <f t="shared" si="44"/>
        <v>0</v>
      </c>
      <c r="Q392" s="81">
        <f t="shared" si="44"/>
        <v>0</v>
      </c>
      <c r="R392" s="81">
        <f t="shared" si="44"/>
        <v>0</v>
      </c>
      <c r="S392" s="81">
        <f t="shared" si="44"/>
        <v>0</v>
      </c>
      <c r="T392" s="81">
        <f t="shared" si="44"/>
        <v>0</v>
      </c>
    </row>
    <row r="393" spans="2:20" ht="5.9" customHeight="1" outlineLevel="1"/>
    <row r="394" spans="2:20" outlineLevel="1">
      <c r="D394" s="249" t="str">
        <f>C386</f>
        <v>Total Direct Capex including Escalation (Non CPI)</v>
      </c>
      <c r="E394" s="249"/>
      <c r="F394" s="249"/>
      <c r="G394" s="249"/>
      <c r="H394" s="249"/>
      <c r="I394" s="249"/>
      <c r="J394" s="82">
        <f t="shared" ref="J394:T394" si="45">SUM(J388:J393)</f>
        <v>0</v>
      </c>
      <c r="K394" s="82">
        <f t="shared" si="45"/>
        <v>0</v>
      </c>
      <c r="L394" s="82">
        <f t="shared" si="45"/>
        <v>0</v>
      </c>
      <c r="M394" s="82">
        <f t="shared" si="45"/>
        <v>0</v>
      </c>
      <c r="N394" s="82">
        <f t="shared" si="45"/>
        <v>0</v>
      </c>
      <c r="O394" s="82">
        <f t="shared" si="45"/>
        <v>875690.99101359525</v>
      </c>
      <c r="P394" s="82">
        <f t="shared" si="45"/>
        <v>1751558.3016190997</v>
      </c>
      <c r="Q394" s="82">
        <f t="shared" si="45"/>
        <v>1751834.1896319462</v>
      </c>
      <c r="R394" s="82">
        <f t="shared" si="45"/>
        <v>1752226.7309645989</v>
      </c>
      <c r="S394" s="82">
        <f t="shared" si="45"/>
        <v>1752623.5935681693</v>
      </c>
      <c r="T394" s="82">
        <f t="shared" si="45"/>
        <v>1753024.8250131444</v>
      </c>
    </row>
    <row r="395" spans="2:20" outlineLevel="1">
      <c r="B395" s="12"/>
      <c r="C395" s="12"/>
      <c r="D395" s="12"/>
      <c r="E395" s="12"/>
      <c r="F395" s="12"/>
      <c r="G395" s="12"/>
      <c r="H395" s="12"/>
      <c r="I395" s="12"/>
      <c r="J395" s="12"/>
      <c r="K395" s="12"/>
      <c r="L395" s="12"/>
      <c r="M395" s="12"/>
      <c r="N395" s="12"/>
      <c r="O395" s="12"/>
      <c r="P395" s="12"/>
      <c r="Q395" s="12"/>
      <c r="R395" s="12"/>
      <c r="S395" s="12"/>
      <c r="T395" s="12"/>
    </row>
    <row r="396" spans="2:20" outlineLevel="1"/>
    <row r="397" spans="2:20" outlineLevel="1">
      <c r="C397" s="37" t="s">
        <v>195</v>
      </c>
    </row>
    <row r="398" spans="2:20" ht="5.9" customHeight="1" outlineLevel="2"/>
    <row r="399" spans="2:20" outlineLevel="2">
      <c r="D399" s="37" t="s">
        <v>215</v>
      </c>
    </row>
    <row r="400" spans="2:20" ht="5.9" customHeight="1" outlineLevel="2"/>
    <row r="401" spans="5:20" ht="11.5" customHeight="1" outlineLevel="2">
      <c r="E401" s="247" t="str">
        <f>GC!C40</f>
        <v>Transmission pipelines</v>
      </c>
      <c r="F401" s="247"/>
      <c r="G401" s="247"/>
      <c r="H401" s="247"/>
      <c r="I401" s="247"/>
      <c r="J401" s="81">
        <f ca="1">SUMPRODUCT((Work_Codes!$N$254:$Y$254=$E401)*(Work_Codes!$N$257:$Y$261)*(J$388:J$392))</f>
        <v>0</v>
      </c>
      <c r="K401" s="81">
        <f ca="1">SUMPRODUCT((Work_Codes!$N$254:$Y$254=$E401)*(Work_Codes!$N$257:$Y$261)*(K$388:K$392))</f>
        <v>0</v>
      </c>
      <c r="L401" s="81">
        <f ca="1">SUMPRODUCT((Work_Codes!$N$254:$Y$254=$E401)*(Work_Codes!$N$257:$Y$261)*(L$388:L$392))</f>
        <v>0</v>
      </c>
      <c r="M401" s="81">
        <f ca="1">SUMPRODUCT((Work_Codes!$N$254:$Y$254=$E401)*(Work_Codes!$N$257:$Y$261)*(M$388:M$392))</f>
        <v>0</v>
      </c>
      <c r="N401" s="81">
        <f ca="1">SUMPRODUCT((Work_Codes!$N$254:$Y$254=$E401)*(Work_Codes!$N$257:$Y$261)*(N$388:N$392))</f>
        <v>0</v>
      </c>
      <c r="O401" s="81">
        <f ca="1">SUMPRODUCT((Work_Codes!$N$254:$Y$254=$E401)*(Work_Codes!$N$257:$Y$261)*(O$388:O$392))</f>
        <v>0</v>
      </c>
      <c r="P401" s="81">
        <f ca="1">SUMPRODUCT((Work_Codes!$N$254:$Y$254=$E401)*(Work_Codes!$N$257:$Y$261)*(P$388:P$392))</f>
        <v>0</v>
      </c>
      <c r="Q401" s="81">
        <f ca="1">SUMPRODUCT((Work_Codes!$N$254:$Y$254=$E401)*(Work_Codes!$N$257:$Y$261)*(Q$388:Q$392))</f>
        <v>0</v>
      </c>
      <c r="R401" s="81">
        <f ca="1">SUMPRODUCT((Work_Codes!$N$254:$Y$254=$E401)*(Work_Codes!$N$257:$Y$261)*(R$388:R$392))</f>
        <v>0</v>
      </c>
      <c r="S401" s="81">
        <f ca="1">SUMPRODUCT((Work_Codes!$N$254:$Y$254=$E401)*(Work_Codes!$N$257:$Y$261)*(S$388:S$392))</f>
        <v>0</v>
      </c>
      <c r="T401" s="81">
        <f ca="1">SUMPRODUCT((Work_Codes!$N$254:$Y$254=$E401)*(Work_Codes!$N$257:$Y$261)*(T$388:T$392))</f>
        <v>0</v>
      </c>
    </row>
    <row r="402" spans="5:20" ht="11.5" customHeight="1" outlineLevel="2">
      <c r="E402" s="247" t="str">
        <f>GC!C41</f>
        <v>Distribution pipelines</v>
      </c>
      <c r="F402" s="247"/>
      <c r="G402" s="247"/>
      <c r="H402" s="247"/>
      <c r="I402" s="247"/>
      <c r="J402" s="81">
        <f ca="1">SUMPRODUCT((Work_Codes!$N$254:$Y$254=$E402)*(Work_Codes!$N$257:$Y$261)*(J$388:J$392))</f>
        <v>0</v>
      </c>
      <c r="K402" s="81">
        <f ca="1">SUMPRODUCT((Work_Codes!$N$254:$Y$254=$E402)*(Work_Codes!$N$257:$Y$261)*(K$388:K$392))</f>
        <v>0</v>
      </c>
      <c r="L402" s="81">
        <f ca="1">SUMPRODUCT((Work_Codes!$N$254:$Y$254=$E402)*(Work_Codes!$N$257:$Y$261)*(L$388:L$392))</f>
        <v>0</v>
      </c>
      <c r="M402" s="81">
        <f ca="1">SUMPRODUCT((Work_Codes!$N$254:$Y$254=$E402)*(Work_Codes!$N$257:$Y$261)*(M$388:M$392))</f>
        <v>0</v>
      </c>
      <c r="N402" s="81">
        <f ca="1">SUMPRODUCT((Work_Codes!$N$254:$Y$254=$E402)*(Work_Codes!$N$257:$Y$261)*(N$388:N$392))</f>
        <v>0</v>
      </c>
      <c r="O402" s="81">
        <f ca="1">SUMPRODUCT((Work_Codes!$N$254:$Y$254=$E402)*(Work_Codes!$N$257:$Y$261)*(O$388:O$392))</f>
        <v>0</v>
      </c>
      <c r="P402" s="81">
        <f ca="1">SUMPRODUCT((Work_Codes!$N$254:$Y$254=$E402)*(Work_Codes!$N$257:$Y$261)*(P$388:P$392))</f>
        <v>0</v>
      </c>
      <c r="Q402" s="81">
        <f ca="1">SUMPRODUCT((Work_Codes!$N$254:$Y$254=$E402)*(Work_Codes!$N$257:$Y$261)*(Q$388:Q$392))</f>
        <v>0</v>
      </c>
      <c r="R402" s="81">
        <f ca="1">SUMPRODUCT((Work_Codes!$N$254:$Y$254=$E402)*(Work_Codes!$N$257:$Y$261)*(R$388:R$392))</f>
        <v>0</v>
      </c>
      <c r="S402" s="81">
        <f ca="1">SUMPRODUCT((Work_Codes!$N$254:$Y$254=$E402)*(Work_Codes!$N$257:$Y$261)*(S$388:S$392))</f>
        <v>0</v>
      </c>
      <c r="T402" s="81">
        <f ca="1">SUMPRODUCT((Work_Codes!$N$254:$Y$254=$E402)*(Work_Codes!$N$257:$Y$261)*(T$388:T$392))</f>
        <v>0</v>
      </c>
    </row>
    <row r="403" spans="5:20" ht="11.5" customHeight="1" outlineLevel="2">
      <c r="E403" s="247" t="str">
        <f>GC!C42</f>
        <v>Service pipes</v>
      </c>
      <c r="F403" s="247"/>
      <c r="G403" s="247"/>
      <c r="H403" s="247"/>
      <c r="I403" s="247"/>
      <c r="J403" s="81">
        <f ca="1">SUMPRODUCT((Work_Codes!$N$254:$Y$254=$E403)*(Work_Codes!$N$257:$Y$261)*(J$388:J$392))</f>
        <v>0</v>
      </c>
      <c r="K403" s="81">
        <f ca="1">SUMPRODUCT((Work_Codes!$N$254:$Y$254=$E403)*(Work_Codes!$N$257:$Y$261)*(K$388:K$392))</f>
        <v>0</v>
      </c>
      <c r="L403" s="81">
        <f ca="1">SUMPRODUCT((Work_Codes!$N$254:$Y$254=$E403)*(Work_Codes!$N$257:$Y$261)*(L$388:L$392))</f>
        <v>0</v>
      </c>
      <c r="M403" s="81">
        <f ca="1">SUMPRODUCT((Work_Codes!$N$254:$Y$254=$E403)*(Work_Codes!$N$257:$Y$261)*(M$388:M$392))</f>
        <v>0</v>
      </c>
      <c r="N403" s="81">
        <f ca="1">SUMPRODUCT((Work_Codes!$N$254:$Y$254=$E403)*(Work_Codes!$N$257:$Y$261)*(N$388:N$392))</f>
        <v>0</v>
      </c>
      <c r="O403" s="81">
        <f ca="1">SUMPRODUCT((Work_Codes!$N$254:$Y$254=$E403)*(Work_Codes!$N$257:$Y$261)*(O$388:O$392))</f>
        <v>0</v>
      </c>
      <c r="P403" s="81">
        <f ca="1">SUMPRODUCT((Work_Codes!$N$254:$Y$254=$E403)*(Work_Codes!$N$257:$Y$261)*(P$388:P$392))</f>
        <v>0</v>
      </c>
      <c r="Q403" s="81">
        <f ca="1">SUMPRODUCT((Work_Codes!$N$254:$Y$254=$E403)*(Work_Codes!$N$257:$Y$261)*(Q$388:Q$392))</f>
        <v>0</v>
      </c>
      <c r="R403" s="81">
        <f ca="1">SUMPRODUCT((Work_Codes!$N$254:$Y$254=$E403)*(Work_Codes!$N$257:$Y$261)*(R$388:R$392))</f>
        <v>0</v>
      </c>
      <c r="S403" s="81">
        <f ca="1">SUMPRODUCT((Work_Codes!$N$254:$Y$254=$E403)*(Work_Codes!$N$257:$Y$261)*(S$388:S$392))</f>
        <v>0</v>
      </c>
      <c r="T403" s="81">
        <f ca="1">SUMPRODUCT((Work_Codes!$N$254:$Y$254=$E403)*(Work_Codes!$N$257:$Y$261)*(T$388:T$392))</f>
        <v>0</v>
      </c>
    </row>
    <row r="404" spans="5:20" ht="11.5" customHeight="1" outlineLevel="2">
      <c r="E404" s="247" t="str">
        <f>GC!C43</f>
        <v>Cathodic protection</v>
      </c>
      <c r="F404" s="247"/>
      <c r="G404" s="247"/>
      <c r="H404" s="247"/>
      <c r="I404" s="247"/>
      <c r="J404" s="81">
        <f ca="1">SUMPRODUCT((Work_Codes!$N$254:$Y$254=$E404)*(Work_Codes!$N$257:$Y$261)*(J$388:J$392))</f>
        <v>0</v>
      </c>
      <c r="K404" s="81">
        <f ca="1">SUMPRODUCT((Work_Codes!$N$254:$Y$254=$E404)*(Work_Codes!$N$257:$Y$261)*(K$388:K$392))</f>
        <v>0</v>
      </c>
      <c r="L404" s="81">
        <f ca="1">SUMPRODUCT((Work_Codes!$N$254:$Y$254=$E404)*(Work_Codes!$N$257:$Y$261)*(L$388:L$392))</f>
        <v>0</v>
      </c>
      <c r="M404" s="81">
        <f ca="1">SUMPRODUCT((Work_Codes!$N$254:$Y$254=$E404)*(Work_Codes!$N$257:$Y$261)*(M$388:M$392))</f>
        <v>0</v>
      </c>
      <c r="N404" s="81">
        <f ca="1">SUMPRODUCT((Work_Codes!$N$254:$Y$254=$E404)*(Work_Codes!$N$257:$Y$261)*(N$388:N$392))</f>
        <v>0</v>
      </c>
      <c r="O404" s="81">
        <f ca="1">SUMPRODUCT((Work_Codes!$N$254:$Y$254=$E404)*(Work_Codes!$N$257:$Y$261)*(O$388:O$392))</f>
        <v>0</v>
      </c>
      <c r="P404" s="81">
        <f ca="1">SUMPRODUCT((Work_Codes!$N$254:$Y$254=$E404)*(Work_Codes!$N$257:$Y$261)*(P$388:P$392))</f>
        <v>0</v>
      </c>
      <c r="Q404" s="81">
        <f ca="1">SUMPRODUCT((Work_Codes!$N$254:$Y$254=$E404)*(Work_Codes!$N$257:$Y$261)*(Q$388:Q$392))</f>
        <v>0</v>
      </c>
      <c r="R404" s="81">
        <f ca="1">SUMPRODUCT((Work_Codes!$N$254:$Y$254=$E404)*(Work_Codes!$N$257:$Y$261)*(R$388:R$392))</f>
        <v>0</v>
      </c>
      <c r="S404" s="81">
        <f ca="1">SUMPRODUCT((Work_Codes!$N$254:$Y$254=$E404)*(Work_Codes!$N$257:$Y$261)*(S$388:S$392))</f>
        <v>0</v>
      </c>
      <c r="T404" s="81">
        <f ca="1">SUMPRODUCT((Work_Codes!$N$254:$Y$254=$E404)*(Work_Codes!$N$257:$Y$261)*(T$388:T$392))</f>
        <v>0</v>
      </c>
    </row>
    <row r="405" spans="5:20" ht="11.5" customHeight="1" outlineLevel="2">
      <c r="E405" s="247" t="str">
        <f>GC!C44</f>
        <v>Supply Regulators / Valve Stations</v>
      </c>
      <c r="F405" s="247"/>
      <c r="G405" s="247"/>
      <c r="H405" s="247"/>
      <c r="I405" s="247"/>
      <c r="J405" s="81">
        <f ca="1">SUMPRODUCT((Work_Codes!$N$254:$Y$254=$E405)*(Work_Codes!$N$257:$Y$261)*(J$388:J$392))</f>
        <v>0</v>
      </c>
      <c r="K405" s="81">
        <f ca="1">SUMPRODUCT((Work_Codes!$N$254:$Y$254=$E405)*(Work_Codes!$N$257:$Y$261)*(K$388:K$392))</f>
        <v>0</v>
      </c>
      <c r="L405" s="81">
        <f ca="1">SUMPRODUCT((Work_Codes!$N$254:$Y$254=$E405)*(Work_Codes!$N$257:$Y$261)*(L$388:L$392))</f>
        <v>0</v>
      </c>
      <c r="M405" s="81">
        <f ca="1">SUMPRODUCT((Work_Codes!$N$254:$Y$254=$E405)*(Work_Codes!$N$257:$Y$261)*(M$388:M$392))</f>
        <v>0</v>
      </c>
      <c r="N405" s="81">
        <f ca="1">SUMPRODUCT((Work_Codes!$N$254:$Y$254=$E405)*(Work_Codes!$N$257:$Y$261)*(N$388:N$392))</f>
        <v>0</v>
      </c>
      <c r="O405" s="81">
        <f ca="1">SUMPRODUCT((Work_Codes!$N$254:$Y$254=$E405)*(Work_Codes!$N$257:$Y$261)*(O$388:O$392))</f>
        <v>875690.99101359525</v>
      </c>
      <c r="P405" s="81">
        <f ca="1">SUMPRODUCT((Work_Codes!$N$254:$Y$254=$E405)*(Work_Codes!$N$257:$Y$261)*(P$388:P$392))</f>
        <v>1751558.3016190997</v>
      </c>
      <c r="Q405" s="81">
        <f ca="1">SUMPRODUCT((Work_Codes!$N$254:$Y$254=$E405)*(Work_Codes!$N$257:$Y$261)*(Q$388:Q$392))</f>
        <v>1751834.1896319462</v>
      </c>
      <c r="R405" s="81">
        <f ca="1">SUMPRODUCT((Work_Codes!$N$254:$Y$254=$E405)*(Work_Codes!$N$257:$Y$261)*(R$388:R$392))</f>
        <v>1752226.7309645989</v>
      </c>
      <c r="S405" s="81">
        <f ca="1">SUMPRODUCT((Work_Codes!$N$254:$Y$254=$E405)*(Work_Codes!$N$257:$Y$261)*(S$388:S$392))</f>
        <v>1752623.5935681693</v>
      </c>
      <c r="T405" s="81">
        <f ca="1">SUMPRODUCT((Work_Codes!$N$254:$Y$254=$E405)*(Work_Codes!$N$257:$Y$261)*(T$388:T$392))</f>
        <v>1753024.8250131444</v>
      </c>
    </row>
    <row r="406" spans="5:20" ht="11.5" customHeight="1" outlineLevel="2">
      <c r="E406" s="247" t="str">
        <f>GC!C45</f>
        <v>Meters</v>
      </c>
      <c r="F406" s="247"/>
      <c r="G406" s="247"/>
      <c r="H406" s="247"/>
      <c r="I406" s="247"/>
      <c r="J406" s="81">
        <f ca="1">SUMPRODUCT((Work_Codes!$N$254:$Y$254=$E406)*(Work_Codes!$N$257:$Y$261)*(J$388:J$392))</f>
        <v>0</v>
      </c>
      <c r="K406" s="81">
        <f ca="1">SUMPRODUCT((Work_Codes!$N$254:$Y$254=$E406)*(Work_Codes!$N$257:$Y$261)*(K$388:K$392))</f>
        <v>0</v>
      </c>
      <c r="L406" s="81">
        <f ca="1">SUMPRODUCT((Work_Codes!$N$254:$Y$254=$E406)*(Work_Codes!$N$257:$Y$261)*(L$388:L$392))</f>
        <v>0</v>
      </c>
      <c r="M406" s="81">
        <f ca="1">SUMPRODUCT((Work_Codes!$N$254:$Y$254=$E406)*(Work_Codes!$N$257:$Y$261)*(M$388:M$392))</f>
        <v>0</v>
      </c>
      <c r="N406" s="81">
        <f ca="1">SUMPRODUCT((Work_Codes!$N$254:$Y$254=$E406)*(Work_Codes!$N$257:$Y$261)*(N$388:N$392))</f>
        <v>0</v>
      </c>
      <c r="O406" s="81">
        <f ca="1">SUMPRODUCT((Work_Codes!$N$254:$Y$254=$E406)*(Work_Codes!$N$257:$Y$261)*(O$388:O$392))</f>
        <v>0</v>
      </c>
      <c r="P406" s="81">
        <f ca="1">SUMPRODUCT((Work_Codes!$N$254:$Y$254=$E406)*(Work_Codes!$N$257:$Y$261)*(P$388:P$392))</f>
        <v>0</v>
      </c>
      <c r="Q406" s="81">
        <f ca="1">SUMPRODUCT((Work_Codes!$N$254:$Y$254=$E406)*(Work_Codes!$N$257:$Y$261)*(Q$388:Q$392))</f>
        <v>0</v>
      </c>
      <c r="R406" s="81">
        <f ca="1">SUMPRODUCT((Work_Codes!$N$254:$Y$254=$E406)*(Work_Codes!$N$257:$Y$261)*(R$388:R$392))</f>
        <v>0</v>
      </c>
      <c r="S406" s="81">
        <f ca="1">SUMPRODUCT((Work_Codes!$N$254:$Y$254=$E406)*(Work_Codes!$N$257:$Y$261)*(S$388:S$392))</f>
        <v>0</v>
      </c>
      <c r="T406" s="81">
        <f ca="1">SUMPRODUCT((Work_Codes!$N$254:$Y$254=$E406)*(Work_Codes!$N$257:$Y$261)*(T$388:T$392))</f>
        <v>0</v>
      </c>
    </row>
    <row r="407" spans="5:20" ht="11.5" customHeight="1" outlineLevel="2">
      <c r="E407" s="247" t="str">
        <f>GC!C46</f>
        <v>SCADA and remote control</v>
      </c>
      <c r="F407" s="247"/>
      <c r="G407" s="247"/>
      <c r="H407" s="247"/>
      <c r="I407" s="247"/>
      <c r="J407" s="81">
        <f ca="1">SUMPRODUCT((Work_Codes!$N$254:$Y$254=$E407)*(Work_Codes!$N$257:$Y$261)*(J$388:J$392))</f>
        <v>0</v>
      </c>
      <c r="K407" s="81">
        <f ca="1">SUMPRODUCT((Work_Codes!$N$254:$Y$254=$E407)*(Work_Codes!$N$257:$Y$261)*(K$388:K$392))</f>
        <v>0</v>
      </c>
      <c r="L407" s="81">
        <f ca="1">SUMPRODUCT((Work_Codes!$N$254:$Y$254=$E407)*(Work_Codes!$N$257:$Y$261)*(L$388:L$392))</f>
        <v>0</v>
      </c>
      <c r="M407" s="81">
        <f ca="1">SUMPRODUCT((Work_Codes!$N$254:$Y$254=$E407)*(Work_Codes!$N$257:$Y$261)*(M$388:M$392))</f>
        <v>0</v>
      </c>
      <c r="N407" s="81">
        <f ca="1">SUMPRODUCT((Work_Codes!$N$254:$Y$254=$E407)*(Work_Codes!$N$257:$Y$261)*(N$388:N$392))</f>
        <v>0</v>
      </c>
      <c r="O407" s="81">
        <f ca="1">SUMPRODUCT((Work_Codes!$N$254:$Y$254=$E407)*(Work_Codes!$N$257:$Y$261)*(O$388:O$392))</f>
        <v>0</v>
      </c>
      <c r="P407" s="81">
        <f ca="1">SUMPRODUCT((Work_Codes!$N$254:$Y$254=$E407)*(Work_Codes!$N$257:$Y$261)*(P$388:P$392))</f>
        <v>0</v>
      </c>
      <c r="Q407" s="81">
        <f ca="1">SUMPRODUCT((Work_Codes!$N$254:$Y$254=$E407)*(Work_Codes!$N$257:$Y$261)*(Q$388:Q$392))</f>
        <v>0</v>
      </c>
      <c r="R407" s="81">
        <f ca="1">SUMPRODUCT((Work_Codes!$N$254:$Y$254=$E407)*(Work_Codes!$N$257:$Y$261)*(R$388:R$392))</f>
        <v>0</v>
      </c>
      <c r="S407" s="81">
        <f ca="1">SUMPRODUCT((Work_Codes!$N$254:$Y$254=$E407)*(Work_Codes!$N$257:$Y$261)*(S$388:S$392))</f>
        <v>0</v>
      </c>
      <c r="T407" s="81">
        <f ca="1">SUMPRODUCT((Work_Codes!$N$254:$Y$254=$E407)*(Work_Codes!$N$257:$Y$261)*(T$388:T$392))</f>
        <v>0</v>
      </c>
    </row>
    <row r="408" spans="5:20" ht="11.5" customHeight="1" outlineLevel="2">
      <c r="E408" s="247" t="str">
        <f>GC!C47</f>
        <v>Buildings</v>
      </c>
      <c r="F408" s="247"/>
      <c r="G408" s="247"/>
      <c r="H408" s="247"/>
      <c r="I408" s="247"/>
      <c r="J408" s="81">
        <f ca="1">SUMPRODUCT((Work_Codes!$N$254:$Y$254=$E408)*(Work_Codes!$N$257:$Y$261)*(J$388:J$392))</f>
        <v>0</v>
      </c>
      <c r="K408" s="81">
        <f ca="1">SUMPRODUCT((Work_Codes!$N$254:$Y$254=$E408)*(Work_Codes!$N$257:$Y$261)*(K$388:K$392))</f>
        <v>0</v>
      </c>
      <c r="L408" s="81">
        <f ca="1">SUMPRODUCT((Work_Codes!$N$254:$Y$254=$E408)*(Work_Codes!$N$257:$Y$261)*(L$388:L$392))</f>
        <v>0</v>
      </c>
      <c r="M408" s="81">
        <f ca="1">SUMPRODUCT((Work_Codes!$N$254:$Y$254=$E408)*(Work_Codes!$N$257:$Y$261)*(M$388:M$392))</f>
        <v>0</v>
      </c>
      <c r="N408" s="81">
        <f ca="1">SUMPRODUCT((Work_Codes!$N$254:$Y$254=$E408)*(Work_Codes!$N$257:$Y$261)*(N$388:N$392))</f>
        <v>0</v>
      </c>
      <c r="O408" s="81">
        <f ca="1">SUMPRODUCT((Work_Codes!$N$254:$Y$254=$E408)*(Work_Codes!$N$257:$Y$261)*(O$388:O$392))</f>
        <v>0</v>
      </c>
      <c r="P408" s="81">
        <f ca="1">SUMPRODUCT((Work_Codes!$N$254:$Y$254=$E408)*(Work_Codes!$N$257:$Y$261)*(P$388:P$392))</f>
        <v>0</v>
      </c>
      <c r="Q408" s="81">
        <f ca="1">SUMPRODUCT((Work_Codes!$N$254:$Y$254=$E408)*(Work_Codes!$N$257:$Y$261)*(Q$388:Q$392))</f>
        <v>0</v>
      </c>
      <c r="R408" s="81">
        <f ca="1">SUMPRODUCT((Work_Codes!$N$254:$Y$254=$E408)*(Work_Codes!$N$257:$Y$261)*(R$388:R$392))</f>
        <v>0</v>
      </c>
      <c r="S408" s="81">
        <f ca="1">SUMPRODUCT((Work_Codes!$N$254:$Y$254=$E408)*(Work_Codes!$N$257:$Y$261)*(S$388:S$392))</f>
        <v>0</v>
      </c>
      <c r="T408" s="81">
        <f ca="1">SUMPRODUCT((Work_Codes!$N$254:$Y$254=$E408)*(Work_Codes!$N$257:$Y$261)*(T$388:T$392))</f>
        <v>0</v>
      </c>
    </row>
    <row r="409" spans="5:20" ht="11.5" customHeight="1" outlineLevel="2">
      <c r="E409" s="247" t="str">
        <f>GC!C48</f>
        <v>Other - IT</v>
      </c>
      <c r="F409" s="247"/>
      <c r="G409" s="247"/>
      <c r="H409" s="247"/>
      <c r="I409" s="247"/>
      <c r="J409" s="81">
        <f ca="1">SUMPRODUCT((Work_Codes!$N$254:$Y$254=$E409)*(Work_Codes!$N$257:$Y$261)*(J$388:J$392))</f>
        <v>0</v>
      </c>
      <c r="K409" s="81">
        <f ca="1">SUMPRODUCT((Work_Codes!$N$254:$Y$254=$E409)*(Work_Codes!$N$257:$Y$261)*(K$388:K$392))</f>
        <v>0</v>
      </c>
      <c r="L409" s="81">
        <f ca="1">SUMPRODUCT((Work_Codes!$N$254:$Y$254=$E409)*(Work_Codes!$N$257:$Y$261)*(L$388:L$392))</f>
        <v>0</v>
      </c>
      <c r="M409" s="81">
        <f ca="1">SUMPRODUCT((Work_Codes!$N$254:$Y$254=$E409)*(Work_Codes!$N$257:$Y$261)*(M$388:M$392))</f>
        <v>0</v>
      </c>
      <c r="N409" s="81">
        <f ca="1">SUMPRODUCT((Work_Codes!$N$254:$Y$254=$E409)*(Work_Codes!$N$257:$Y$261)*(N$388:N$392))</f>
        <v>0</v>
      </c>
      <c r="O409" s="81">
        <f ca="1">SUMPRODUCT((Work_Codes!$N$254:$Y$254=$E409)*(Work_Codes!$N$257:$Y$261)*(O$388:O$392))</f>
        <v>0</v>
      </c>
      <c r="P409" s="81">
        <f ca="1">SUMPRODUCT((Work_Codes!$N$254:$Y$254=$E409)*(Work_Codes!$N$257:$Y$261)*(P$388:P$392))</f>
        <v>0</v>
      </c>
      <c r="Q409" s="81">
        <f ca="1">SUMPRODUCT((Work_Codes!$N$254:$Y$254=$E409)*(Work_Codes!$N$257:$Y$261)*(Q$388:Q$392))</f>
        <v>0</v>
      </c>
      <c r="R409" s="81">
        <f ca="1">SUMPRODUCT((Work_Codes!$N$254:$Y$254=$E409)*(Work_Codes!$N$257:$Y$261)*(R$388:R$392))</f>
        <v>0</v>
      </c>
      <c r="S409" s="81">
        <f ca="1">SUMPRODUCT((Work_Codes!$N$254:$Y$254=$E409)*(Work_Codes!$N$257:$Y$261)*(S$388:S$392))</f>
        <v>0</v>
      </c>
      <c r="T409" s="81">
        <f ca="1">SUMPRODUCT((Work_Codes!$N$254:$Y$254=$E409)*(Work_Codes!$N$257:$Y$261)*(T$388:T$392))</f>
        <v>0</v>
      </c>
    </row>
    <row r="410" spans="5:20" ht="11.5" customHeight="1" outlineLevel="2">
      <c r="E410" s="247" t="str">
        <f>GC!C49</f>
        <v>Other - non IT</v>
      </c>
      <c r="F410" s="247"/>
      <c r="G410" s="247"/>
      <c r="H410" s="247"/>
      <c r="I410" s="247"/>
      <c r="J410" s="81">
        <f ca="1">SUMPRODUCT((Work_Codes!$N$254:$Y$254=$E410)*(Work_Codes!$N$257:$Y$261)*(J$388:J$392))</f>
        <v>0</v>
      </c>
      <c r="K410" s="81">
        <f ca="1">SUMPRODUCT((Work_Codes!$N$254:$Y$254=$E410)*(Work_Codes!$N$257:$Y$261)*(K$388:K$392))</f>
        <v>0</v>
      </c>
      <c r="L410" s="81">
        <f ca="1">SUMPRODUCT((Work_Codes!$N$254:$Y$254=$E410)*(Work_Codes!$N$257:$Y$261)*(L$388:L$392))</f>
        <v>0</v>
      </c>
      <c r="M410" s="81">
        <f ca="1">SUMPRODUCT((Work_Codes!$N$254:$Y$254=$E410)*(Work_Codes!$N$257:$Y$261)*(M$388:M$392))</f>
        <v>0</v>
      </c>
      <c r="N410" s="81">
        <f ca="1">SUMPRODUCT((Work_Codes!$N$254:$Y$254=$E410)*(Work_Codes!$N$257:$Y$261)*(N$388:N$392))</f>
        <v>0</v>
      </c>
      <c r="O410" s="81">
        <f ca="1">SUMPRODUCT((Work_Codes!$N$254:$Y$254=$E410)*(Work_Codes!$N$257:$Y$261)*(O$388:O$392))</f>
        <v>0</v>
      </c>
      <c r="P410" s="81">
        <f ca="1">SUMPRODUCT((Work_Codes!$N$254:$Y$254=$E410)*(Work_Codes!$N$257:$Y$261)*(P$388:P$392))</f>
        <v>0</v>
      </c>
      <c r="Q410" s="81">
        <f ca="1">SUMPRODUCT((Work_Codes!$N$254:$Y$254=$E410)*(Work_Codes!$N$257:$Y$261)*(Q$388:Q$392))</f>
        <v>0</v>
      </c>
      <c r="R410" s="81">
        <f ca="1">SUMPRODUCT((Work_Codes!$N$254:$Y$254=$E410)*(Work_Codes!$N$257:$Y$261)*(R$388:R$392))</f>
        <v>0</v>
      </c>
      <c r="S410" s="81">
        <f ca="1">SUMPRODUCT((Work_Codes!$N$254:$Y$254=$E410)*(Work_Codes!$N$257:$Y$261)*(S$388:S$392))</f>
        <v>0</v>
      </c>
      <c r="T410" s="81">
        <f ca="1">SUMPRODUCT((Work_Codes!$N$254:$Y$254=$E410)*(Work_Codes!$N$257:$Y$261)*(T$388:T$392))</f>
        <v>0</v>
      </c>
    </row>
    <row r="411" spans="5:20" ht="11.5" customHeight="1" outlineLevel="2">
      <c r="E411" s="247" t="str">
        <f>GC!C50</f>
        <v>Land</v>
      </c>
      <c r="F411" s="247"/>
      <c r="G411" s="247"/>
      <c r="H411" s="247"/>
      <c r="I411" s="247"/>
      <c r="J411" s="81">
        <f ca="1">SUMPRODUCT((Work_Codes!$N$254:$Y$254=$E411)*(Work_Codes!$N$257:$Y$261)*(J$388:J$392))</f>
        <v>0</v>
      </c>
      <c r="K411" s="81">
        <f ca="1">SUMPRODUCT((Work_Codes!$N$254:$Y$254=$E411)*(Work_Codes!$N$257:$Y$261)*(K$388:K$392))</f>
        <v>0</v>
      </c>
      <c r="L411" s="81">
        <f ca="1">SUMPRODUCT((Work_Codes!$N$254:$Y$254=$E411)*(Work_Codes!$N$257:$Y$261)*(L$388:L$392))</f>
        <v>0</v>
      </c>
      <c r="M411" s="81">
        <f ca="1">SUMPRODUCT((Work_Codes!$N$254:$Y$254=$E411)*(Work_Codes!$N$257:$Y$261)*(M$388:M$392))</f>
        <v>0</v>
      </c>
      <c r="N411" s="81">
        <f ca="1">SUMPRODUCT((Work_Codes!$N$254:$Y$254=$E411)*(Work_Codes!$N$257:$Y$261)*(N$388:N$392))</f>
        <v>0</v>
      </c>
      <c r="O411" s="81">
        <f ca="1">SUMPRODUCT((Work_Codes!$N$254:$Y$254=$E411)*(Work_Codes!$N$257:$Y$261)*(O$388:O$392))</f>
        <v>0</v>
      </c>
      <c r="P411" s="81">
        <f ca="1">SUMPRODUCT((Work_Codes!$N$254:$Y$254=$E411)*(Work_Codes!$N$257:$Y$261)*(P$388:P$392))</f>
        <v>0</v>
      </c>
      <c r="Q411" s="81">
        <f ca="1">SUMPRODUCT((Work_Codes!$N$254:$Y$254=$E411)*(Work_Codes!$N$257:$Y$261)*(Q$388:Q$392))</f>
        <v>0</v>
      </c>
      <c r="R411" s="81">
        <f ca="1">SUMPRODUCT((Work_Codes!$N$254:$Y$254=$E411)*(Work_Codes!$N$257:$Y$261)*(R$388:R$392))</f>
        <v>0</v>
      </c>
      <c r="S411" s="81">
        <f ca="1">SUMPRODUCT((Work_Codes!$N$254:$Y$254=$E411)*(Work_Codes!$N$257:$Y$261)*(S$388:S$392))</f>
        <v>0</v>
      </c>
      <c r="T411" s="81">
        <f ca="1">SUMPRODUCT((Work_Codes!$N$254:$Y$254=$E411)*(Work_Codes!$N$257:$Y$261)*(T$388:T$392))</f>
        <v>0</v>
      </c>
    </row>
    <row r="412" spans="5:20" outlineLevel="2">
      <c r="E412" s="247" t="str">
        <f>GC!C51</f>
        <v>Capitalised Leases</v>
      </c>
      <c r="F412" s="247"/>
      <c r="G412" s="247"/>
      <c r="H412" s="247"/>
      <c r="I412" s="247"/>
      <c r="J412" s="81">
        <f ca="1">SUMPRODUCT((Work_Codes!$N$254:$Y$254=$E412)*(Work_Codes!$N$257:$Y$261)*(J$388:J$392))</f>
        <v>0</v>
      </c>
      <c r="K412" s="81">
        <f ca="1">SUMPRODUCT((Work_Codes!$N$254:$Y$254=$E412)*(Work_Codes!$N$257:$Y$261)*(K$388:K$392))</f>
        <v>0</v>
      </c>
      <c r="L412" s="81">
        <f ca="1">SUMPRODUCT((Work_Codes!$N$254:$Y$254=$E412)*(Work_Codes!$N$257:$Y$261)*(L$388:L$392))</f>
        <v>0</v>
      </c>
      <c r="M412" s="81">
        <f ca="1">SUMPRODUCT((Work_Codes!$N$254:$Y$254=$E412)*(Work_Codes!$N$257:$Y$261)*(M$388:M$392))</f>
        <v>0</v>
      </c>
      <c r="N412" s="81">
        <f ca="1">SUMPRODUCT((Work_Codes!$N$254:$Y$254=$E412)*(Work_Codes!$N$257:$Y$261)*(N$388:N$392))</f>
        <v>0</v>
      </c>
      <c r="O412" s="81">
        <f ca="1">SUMPRODUCT((Work_Codes!$N$254:$Y$254=$E412)*(Work_Codes!$N$257:$Y$261)*(O$388:O$392))</f>
        <v>0</v>
      </c>
      <c r="P412" s="81">
        <f ca="1">SUMPRODUCT((Work_Codes!$N$254:$Y$254=$E412)*(Work_Codes!$N$257:$Y$261)*(P$388:P$392))</f>
        <v>0</v>
      </c>
      <c r="Q412" s="81">
        <f ca="1">SUMPRODUCT((Work_Codes!$N$254:$Y$254=$E412)*(Work_Codes!$N$257:$Y$261)*(Q$388:Q$392))</f>
        <v>0</v>
      </c>
      <c r="R412" s="81">
        <f ca="1">SUMPRODUCT((Work_Codes!$N$254:$Y$254=$E412)*(Work_Codes!$N$257:$Y$261)*(R$388:R$392))</f>
        <v>0</v>
      </c>
      <c r="S412" s="81">
        <f ca="1">SUMPRODUCT((Work_Codes!$N$254:$Y$254=$E412)*(Work_Codes!$N$257:$Y$261)*(S$388:S$392))</f>
        <v>0</v>
      </c>
      <c r="T412" s="81">
        <f ca="1">SUMPRODUCT((Work_Codes!$N$254:$Y$254=$E412)*(Work_Codes!$N$257:$Y$261)*(T$388:T$392))</f>
        <v>0</v>
      </c>
    </row>
    <row r="413" spans="5:20" outlineLevel="2">
      <c r="E413" s="247" t="str">
        <f>GC!C52</f>
        <v>Transmission pipelines - post 1998</v>
      </c>
      <c r="F413" s="247"/>
      <c r="G413" s="247"/>
      <c r="H413" s="247"/>
      <c r="I413" s="247"/>
      <c r="J413" s="81">
        <f ca="1">SUMPRODUCT((Work_Codes!$N$254:$Y$254=$E413)*(Work_Codes!$N$257:$Y$261)*(J$388:J$392))</f>
        <v>0</v>
      </c>
      <c r="K413" s="81">
        <f ca="1">SUMPRODUCT((Work_Codes!$N$254:$Y$254=$E413)*(Work_Codes!$N$257:$Y$261)*(K$388:K$392))</f>
        <v>0</v>
      </c>
      <c r="L413" s="81">
        <f ca="1">SUMPRODUCT((Work_Codes!$N$254:$Y$254=$E413)*(Work_Codes!$N$257:$Y$261)*(L$388:L$392))</f>
        <v>0</v>
      </c>
      <c r="M413" s="81">
        <f ca="1">SUMPRODUCT((Work_Codes!$N$254:$Y$254=$E413)*(Work_Codes!$N$257:$Y$261)*(M$388:M$392))</f>
        <v>0</v>
      </c>
      <c r="N413" s="81">
        <f ca="1">SUMPRODUCT((Work_Codes!$N$254:$Y$254=$E413)*(Work_Codes!$N$257:$Y$261)*(N$388:N$392))</f>
        <v>0</v>
      </c>
      <c r="O413" s="81">
        <f ca="1">SUMPRODUCT((Work_Codes!$N$254:$Y$254=$E413)*(Work_Codes!$N$257:$Y$261)*(O$388:O$392))</f>
        <v>0</v>
      </c>
      <c r="P413" s="81">
        <f ca="1">SUMPRODUCT((Work_Codes!$N$254:$Y$254=$E413)*(Work_Codes!$N$257:$Y$261)*(P$388:P$392))</f>
        <v>0</v>
      </c>
      <c r="Q413" s="81">
        <f ca="1">SUMPRODUCT((Work_Codes!$N$254:$Y$254=$E413)*(Work_Codes!$N$257:$Y$261)*(Q$388:Q$392))</f>
        <v>0</v>
      </c>
      <c r="R413" s="81">
        <f ca="1">SUMPRODUCT((Work_Codes!$N$254:$Y$254=$E413)*(Work_Codes!$N$257:$Y$261)*(R$388:R$392))</f>
        <v>0</v>
      </c>
      <c r="S413" s="81">
        <f ca="1">SUMPRODUCT((Work_Codes!$N$254:$Y$254=$E413)*(Work_Codes!$N$257:$Y$261)*(S$388:S$392))</f>
        <v>0</v>
      </c>
      <c r="T413" s="81">
        <f ca="1">SUMPRODUCT((Work_Codes!$N$254:$Y$254=$E413)*(Work_Codes!$N$257:$Y$261)*(T$388:T$392))</f>
        <v>0</v>
      </c>
    </row>
    <row r="414" spans="5:20" outlineLevel="2">
      <c r="E414" s="247" t="str">
        <f>GC!C53</f>
        <v>Distribution pipelines - post 1998</v>
      </c>
      <c r="F414" s="247"/>
      <c r="G414" s="247"/>
      <c r="H414" s="247"/>
      <c r="I414" s="247"/>
      <c r="J414" s="81">
        <f ca="1">SUMPRODUCT((Work_Codes!$N$254:$Y$254=$E414)*(Work_Codes!$N$257:$Y$261)*(J$388:J$392))</f>
        <v>0</v>
      </c>
      <c r="K414" s="81">
        <f ca="1">SUMPRODUCT((Work_Codes!$N$254:$Y$254=$E414)*(Work_Codes!$N$257:$Y$261)*(K$388:K$392))</f>
        <v>0</v>
      </c>
      <c r="L414" s="81">
        <f ca="1">SUMPRODUCT((Work_Codes!$N$254:$Y$254=$E414)*(Work_Codes!$N$257:$Y$261)*(L$388:L$392))</f>
        <v>0</v>
      </c>
      <c r="M414" s="81">
        <f ca="1">SUMPRODUCT((Work_Codes!$N$254:$Y$254=$E414)*(Work_Codes!$N$257:$Y$261)*(M$388:M$392))</f>
        <v>0</v>
      </c>
      <c r="N414" s="81">
        <f ca="1">SUMPRODUCT((Work_Codes!$N$254:$Y$254=$E414)*(Work_Codes!$N$257:$Y$261)*(N$388:N$392))</f>
        <v>0</v>
      </c>
      <c r="O414" s="81">
        <f ca="1">SUMPRODUCT((Work_Codes!$N$254:$Y$254=$E414)*(Work_Codes!$N$257:$Y$261)*(O$388:O$392))</f>
        <v>0</v>
      </c>
      <c r="P414" s="81">
        <f ca="1">SUMPRODUCT((Work_Codes!$N$254:$Y$254=$E414)*(Work_Codes!$N$257:$Y$261)*(P$388:P$392))</f>
        <v>0</v>
      </c>
      <c r="Q414" s="81">
        <f ca="1">SUMPRODUCT((Work_Codes!$N$254:$Y$254=$E414)*(Work_Codes!$N$257:$Y$261)*(Q$388:Q$392))</f>
        <v>0</v>
      </c>
      <c r="R414" s="81">
        <f ca="1">SUMPRODUCT((Work_Codes!$N$254:$Y$254=$E414)*(Work_Codes!$N$257:$Y$261)*(R$388:R$392))</f>
        <v>0</v>
      </c>
      <c r="S414" s="81">
        <f ca="1">SUMPRODUCT((Work_Codes!$N$254:$Y$254=$E414)*(Work_Codes!$N$257:$Y$261)*(S$388:S$392))</f>
        <v>0</v>
      </c>
      <c r="T414" s="81">
        <f ca="1">SUMPRODUCT((Work_Codes!$N$254:$Y$254=$E414)*(Work_Codes!$N$257:$Y$261)*(T$388:T$392))</f>
        <v>0</v>
      </c>
    </row>
    <row r="415" spans="5:20" outlineLevel="2">
      <c r="E415" s="247" t="str">
        <f>GC!C54</f>
        <v>Service pipes - post 1998</v>
      </c>
      <c r="F415" s="247"/>
      <c r="G415" s="247"/>
      <c r="H415" s="247"/>
      <c r="I415" s="247"/>
      <c r="J415" s="81">
        <f ca="1">SUMPRODUCT((Work_Codes!$N$254:$Y$254=$E415)*(Work_Codes!$N$257:$Y$261)*(J$388:J$392))</f>
        <v>0</v>
      </c>
      <c r="K415" s="81">
        <f ca="1">SUMPRODUCT((Work_Codes!$N$254:$Y$254=$E415)*(Work_Codes!$N$257:$Y$261)*(K$388:K$392))</f>
        <v>0</v>
      </c>
      <c r="L415" s="81">
        <f ca="1">SUMPRODUCT((Work_Codes!$N$254:$Y$254=$E415)*(Work_Codes!$N$257:$Y$261)*(L$388:L$392))</f>
        <v>0</v>
      </c>
      <c r="M415" s="81">
        <f ca="1">SUMPRODUCT((Work_Codes!$N$254:$Y$254=$E415)*(Work_Codes!$N$257:$Y$261)*(M$388:M$392))</f>
        <v>0</v>
      </c>
      <c r="N415" s="81">
        <f ca="1">SUMPRODUCT((Work_Codes!$N$254:$Y$254=$E415)*(Work_Codes!$N$257:$Y$261)*(N$388:N$392))</f>
        <v>0</v>
      </c>
      <c r="O415" s="81">
        <f ca="1">SUMPRODUCT((Work_Codes!$N$254:$Y$254=$E415)*(Work_Codes!$N$257:$Y$261)*(O$388:O$392))</f>
        <v>0</v>
      </c>
      <c r="P415" s="81">
        <f ca="1">SUMPRODUCT((Work_Codes!$N$254:$Y$254=$E415)*(Work_Codes!$N$257:$Y$261)*(P$388:P$392))</f>
        <v>0</v>
      </c>
      <c r="Q415" s="81">
        <f ca="1">SUMPRODUCT((Work_Codes!$N$254:$Y$254=$E415)*(Work_Codes!$N$257:$Y$261)*(Q$388:Q$392))</f>
        <v>0</v>
      </c>
      <c r="R415" s="81">
        <f ca="1">SUMPRODUCT((Work_Codes!$N$254:$Y$254=$E415)*(Work_Codes!$N$257:$Y$261)*(R$388:R$392))</f>
        <v>0</v>
      </c>
      <c r="S415" s="81">
        <f ca="1">SUMPRODUCT((Work_Codes!$N$254:$Y$254=$E415)*(Work_Codes!$N$257:$Y$261)*(S$388:S$392))</f>
        <v>0</v>
      </c>
      <c r="T415" s="81">
        <f ca="1">SUMPRODUCT((Work_Codes!$N$254:$Y$254=$E415)*(Work_Codes!$N$257:$Y$261)*(T$388:T$392))</f>
        <v>0</v>
      </c>
    </row>
    <row r="416" spans="5:20" outlineLevel="2">
      <c r="E416" s="247" t="str">
        <f>GC!C55</f>
        <v>Cathodic protection - post 1998</v>
      </c>
      <c r="F416" s="247"/>
      <c r="G416" s="247"/>
      <c r="H416" s="247"/>
      <c r="I416" s="247"/>
      <c r="J416" s="81">
        <f ca="1">SUMPRODUCT((Work_Codes!$N$254:$Y$254=$E416)*(Work_Codes!$N$257:$Y$261)*(J$388:J$392))</f>
        <v>0</v>
      </c>
      <c r="K416" s="81">
        <f ca="1">SUMPRODUCT((Work_Codes!$N$254:$Y$254=$E416)*(Work_Codes!$N$257:$Y$261)*(K$388:K$392))</f>
        <v>0</v>
      </c>
      <c r="L416" s="81">
        <f ca="1">SUMPRODUCT((Work_Codes!$N$254:$Y$254=$E416)*(Work_Codes!$N$257:$Y$261)*(L$388:L$392))</f>
        <v>0</v>
      </c>
      <c r="M416" s="81">
        <f ca="1">SUMPRODUCT((Work_Codes!$N$254:$Y$254=$E416)*(Work_Codes!$N$257:$Y$261)*(M$388:M$392))</f>
        <v>0</v>
      </c>
      <c r="N416" s="81">
        <f ca="1">SUMPRODUCT((Work_Codes!$N$254:$Y$254=$E416)*(Work_Codes!$N$257:$Y$261)*(N$388:N$392))</f>
        <v>0</v>
      </c>
      <c r="O416" s="81">
        <f ca="1">SUMPRODUCT((Work_Codes!$N$254:$Y$254=$E416)*(Work_Codes!$N$257:$Y$261)*(O$388:O$392))</f>
        <v>0</v>
      </c>
      <c r="P416" s="81">
        <f ca="1">SUMPRODUCT((Work_Codes!$N$254:$Y$254=$E416)*(Work_Codes!$N$257:$Y$261)*(P$388:P$392))</f>
        <v>0</v>
      </c>
      <c r="Q416" s="81">
        <f ca="1">SUMPRODUCT((Work_Codes!$N$254:$Y$254=$E416)*(Work_Codes!$N$257:$Y$261)*(Q$388:Q$392))</f>
        <v>0</v>
      </c>
      <c r="R416" s="81">
        <f ca="1">SUMPRODUCT((Work_Codes!$N$254:$Y$254=$E416)*(Work_Codes!$N$257:$Y$261)*(R$388:R$392))</f>
        <v>0</v>
      </c>
      <c r="S416" s="81">
        <f ca="1">SUMPRODUCT((Work_Codes!$N$254:$Y$254=$E416)*(Work_Codes!$N$257:$Y$261)*(S$388:S$392))</f>
        <v>0</v>
      </c>
      <c r="T416" s="81">
        <f ca="1">SUMPRODUCT((Work_Codes!$N$254:$Y$254=$E416)*(Work_Codes!$N$257:$Y$261)*(T$388:T$392))</f>
        <v>0</v>
      </c>
    </row>
    <row r="417" spans="4:20" ht="12" customHeight="1" outlineLevel="2">
      <c r="E417" s="249" t="str">
        <f>"Total "&amp;D399</f>
        <v>Total Direct Costs</v>
      </c>
      <c r="F417" s="249"/>
      <c r="G417" s="249"/>
      <c r="H417" s="249"/>
      <c r="I417" s="249"/>
      <c r="J417" s="82">
        <f t="shared" ref="J417:T417" ca="1" si="46">SUM(J401:J416)</f>
        <v>0</v>
      </c>
      <c r="K417" s="82">
        <f t="shared" ca="1" si="46"/>
        <v>0</v>
      </c>
      <c r="L417" s="82">
        <f t="shared" ca="1" si="46"/>
        <v>0</v>
      </c>
      <c r="M417" s="82">
        <f t="shared" ca="1" si="46"/>
        <v>0</v>
      </c>
      <c r="N417" s="82">
        <f t="shared" ca="1" si="46"/>
        <v>0</v>
      </c>
      <c r="O417" s="82">
        <f t="shared" ca="1" si="46"/>
        <v>875690.99101359525</v>
      </c>
      <c r="P417" s="82">
        <f t="shared" ca="1" si="46"/>
        <v>1751558.3016190997</v>
      </c>
      <c r="Q417" s="82">
        <f t="shared" ca="1" si="46"/>
        <v>1751834.1896319462</v>
      </c>
      <c r="R417" s="82">
        <f t="shared" ca="1" si="46"/>
        <v>1752226.7309645989</v>
      </c>
      <c r="S417" s="82">
        <f t="shared" ca="1" si="46"/>
        <v>1752623.5935681693</v>
      </c>
      <c r="T417" s="82">
        <f t="shared" ca="1" si="46"/>
        <v>1753024.8250131444</v>
      </c>
    </row>
    <row r="418" spans="4:20" outlineLevel="2"/>
    <row r="419" spans="4:20" outlineLevel="2">
      <c r="D419" s="37" t="s">
        <v>364</v>
      </c>
    </row>
    <row r="420" spans="4:20" ht="5.9" customHeight="1" outlineLevel="2"/>
    <row r="421" spans="4:20" outlineLevel="2">
      <c r="E421" s="247" t="str">
        <f>GC!C40</f>
        <v>Transmission pipelines</v>
      </c>
      <c r="F421" s="247"/>
      <c r="G421" s="247"/>
      <c r="H421" s="247"/>
      <c r="I421" s="247"/>
      <c r="J421" s="81">
        <f ca="1">J401*(INDEX(J$310:J$312,MATCH(Work_Codes!$I$251,$D$310:$D$312,0)))</f>
        <v>0</v>
      </c>
      <c r="K421" s="81">
        <f ca="1">K401*(INDEX(K$310:K$312,MATCH(Work_Codes!$I$251,$D$310:$D$312,0)))</f>
        <v>0</v>
      </c>
      <c r="L421" s="81">
        <f ca="1">L401*(INDEX(L$310:L$312,MATCH(Work_Codes!$I$251,$D$310:$D$312,0)))</f>
        <v>0</v>
      </c>
      <c r="M421" s="81">
        <f ca="1">M401*(INDEX(M$310:M$312,MATCH(Work_Codes!$I$251,$D$310:$D$312,0)))</f>
        <v>0</v>
      </c>
      <c r="N421" s="81">
        <f ca="1">N401*(INDEX(N$310:N$312,MATCH(Work_Codes!$I$251,$D$310:$D$312,0)))</f>
        <v>0</v>
      </c>
      <c r="O421" s="81">
        <f ca="1">O401*(INDEX(O$310:O$312,MATCH(Work_Codes!$I$251,$D$310:$D$312,0)))</f>
        <v>0</v>
      </c>
      <c r="P421" s="81">
        <f ca="1">P401*(INDEX(P$310:P$312,MATCH(Work_Codes!$I$251,$D$310:$D$312,0)))</f>
        <v>0</v>
      </c>
      <c r="Q421" s="81">
        <f ca="1">Q401*(INDEX(Q$310:Q$312,MATCH(Work_Codes!$I$251,$D$310:$D$312,0)))</f>
        <v>0</v>
      </c>
      <c r="R421" s="81">
        <f ca="1">R401*(INDEX(R$310:R$312,MATCH(Work_Codes!$I$251,$D$310:$D$312,0)))</f>
        <v>0</v>
      </c>
      <c r="S421" s="81">
        <f ca="1">S401*(INDEX(S$310:S$312,MATCH(Work_Codes!$I$251,$D$310:$D$312,0)))</f>
        <v>0</v>
      </c>
      <c r="T421" s="81">
        <f ca="1">T401*(INDEX(T$310:T$312,MATCH(Work_Codes!$I$251,$D$310:$D$312,0)))</f>
        <v>0</v>
      </c>
    </row>
    <row r="422" spans="4:20" outlineLevel="2">
      <c r="E422" s="247" t="str">
        <f>GC!C41</f>
        <v>Distribution pipelines</v>
      </c>
      <c r="F422" s="247"/>
      <c r="G422" s="247"/>
      <c r="H422" s="247"/>
      <c r="I422" s="247"/>
      <c r="J422" s="81">
        <f ca="1">J402*(INDEX(J$310:J$312,MATCH(Work_Codes!$I$251,$D$310:$D$312,0)))</f>
        <v>0</v>
      </c>
      <c r="K422" s="81">
        <f ca="1">K402*(INDEX(K$310:K$312,MATCH(Work_Codes!$I$251,$D$310:$D$312,0)))</f>
        <v>0</v>
      </c>
      <c r="L422" s="81">
        <f ca="1">L402*(INDEX(L$310:L$312,MATCH(Work_Codes!$I$251,$D$310:$D$312,0)))</f>
        <v>0</v>
      </c>
      <c r="M422" s="81">
        <f ca="1">M402*(INDEX(M$310:M$312,MATCH(Work_Codes!$I$251,$D$310:$D$312,0)))</f>
        <v>0</v>
      </c>
      <c r="N422" s="81">
        <f ca="1">N402*(INDEX(N$310:N$312,MATCH(Work_Codes!$I$251,$D$310:$D$312,0)))</f>
        <v>0</v>
      </c>
      <c r="O422" s="81">
        <f ca="1">O402*(INDEX(O$310:O$312,MATCH(Work_Codes!$I$251,$D$310:$D$312,0)))</f>
        <v>0</v>
      </c>
      <c r="P422" s="81">
        <f ca="1">P402*(INDEX(P$310:P$312,MATCH(Work_Codes!$I$251,$D$310:$D$312,0)))</f>
        <v>0</v>
      </c>
      <c r="Q422" s="81">
        <f ca="1">Q402*(INDEX(Q$310:Q$312,MATCH(Work_Codes!$I$251,$D$310:$D$312,0)))</f>
        <v>0</v>
      </c>
      <c r="R422" s="81">
        <f ca="1">R402*(INDEX(R$310:R$312,MATCH(Work_Codes!$I$251,$D$310:$D$312,0)))</f>
        <v>0</v>
      </c>
      <c r="S422" s="81">
        <f ca="1">S402*(INDEX(S$310:S$312,MATCH(Work_Codes!$I$251,$D$310:$D$312,0)))</f>
        <v>0</v>
      </c>
      <c r="T422" s="81">
        <f ca="1">T402*(INDEX(T$310:T$312,MATCH(Work_Codes!$I$251,$D$310:$D$312,0)))</f>
        <v>0</v>
      </c>
    </row>
    <row r="423" spans="4:20" outlineLevel="2">
      <c r="E423" s="247" t="str">
        <f>GC!C42</f>
        <v>Service pipes</v>
      </c>
      <c r="F423" s="247"/>
      <c r="G423" s="247"/>
      <c r="H423" s="247"/>
      <c r="I423" s="247"/>
      <c r="J423" s="81">
        <f ca="1">J403*(INDEX(J$310:J$312,MATCH(Work_Codes!$I$251,$D$310:$D$312,0)))</f>
        <v>0</v>
      </c>
      <c r="K423" s="81">
        <f ca="1">K403*(INDEX(K$310:K$312,MATCH(Work_Codes!$I$251,$D$310:$D$312,0)))</f>
        <v>0</v>
      </c>
      <c r="L423" s="81">
        <f ca="1">L403*(INDEX(L$310:L$312,MATCH(Work_Codes!$I$251,$D$310:$D$312,0)))</f>
        <v>0</v>
      </c>
      <c r="M423" s="81">
        <f ca="1">M403*(INDEX(M$310:M$312,MATCH(Work_Codes!$I$251,$D$310:$D$312,0)))</f>
        <v>0</v>
      </c>
      <c r="N423" s="81">
        <f ca="1">N403*(INDEX(N$310:N$312,MATCH(Work_Codes!$I$251,$D$310:$D$312,0)))</f>
        <v>0</v>
      </c>
      <c r="O423" s="81">
        <f ca="1">O403*(INDEX(O$310:O$312,MATCH(Work_Codes!$I$251,$D$310:$D$312,0)))</f>
        <v>0</v>
      </c>
      <c r="P423" s="81">
        <f ca="1">P403*(INDEX(P$310:P$312,MATCH(Work_Codes!$I$251,$D$310:$D$312,0)))</f>
        <v>0</v>
      </c>
      <c r="Q423" s="81">
        <f ca="1">Q403*(INDEX(Q$310:Q$312,MATCH(Work_Codes!$I$251,$D$310:$D$312,0)))</f>
        <v>0</v>
      </c>
      <c r="R423" s="81">
        <f ca="1">R403*(INDEX(R$310:R$312,MATCH(Work_Codes!$I$251,$D$310:$D$312,0)))</f>
        <v>0</v>
      </c>
      <c r="S423" s="81">
        <f ca="1">S403*(INDEX(S$310:S$312,MATCH(Work_Codes!$I$251,$D$310:$D$312,0)))</f>
        <v>0</v>
      </c>
      <c r="T423" s="81">
        <f ca="1">T403*(INDEX(T$310:T$312,MATCH(Work_Codes!$I$251,$D$310:$D$312,0)))</f>
        <v>0</v>
      </c>
    </row>
    <row r="424" spans="4:20" outlineLevel="2">
      <c r="E424" s="247" t="str">
        <f>GC!C43</f>
        <v>Cathodic protection</v>
      </c>
      <c r="F424" s="247"/>
      <c r="G424" s="247"/>
      <c r="H424" s="247"/>
      <c r="I424" s="247"/>
      <c r="J424" s="81">
        <f ca="1">J404*(INDEX(J$310:J$312,MATCH(Work_Codes!$I$251,$D$310:$D$312,0)))</f>
        <v>0</v>
      </c>
      <c r="K424" s="81">
        <f ca="1">K404*(INDEX(K$310:K$312,MATCH(Work_Codes!$I$251,$D$310:$D$312,0)))</f>
        <v>0</v>
      </c>
      <c r="L424" s="81">
        <f ca="1">L404*(INDEX(L$310:L$312,MATCH(Work_Codes!$I$251,$D$310:$D$312,0)))</f>
        <v>0</v>
      </c>
      <c r="M424" s="81">
        <f ca="1">M404*(INDEX(M$310:M$312,MATCH(Work_Codes!$I$251,$D$310:$D$312,0)))</f>
        <v>0</v>
      </c>
      <c r="N424" s="81">
        <f ca="1">N404*(INDEX(N$310:N$312,MATCH(Work_Codes!$I$251,$D$310:$D$312,0)))</f>
        <v>0</v>
      </c>
      <c r="O424" s="81">
        <f ca="1">O404*(INDEX(O$310:O$312,MATCH(Work_Codes!$I$251,$D$310:$D$312,0)))</f>
        <v>0</v>
      </c>
      <c r="P424" s="81">
        <f ca="1">P404*(INDEX(P$310:P$312,MATCH(Work_Codes!$I$251,$D$310:$D$312,0)))</f>
        <v>0</v>
      </c>
      <c r="Q424" s="81">
        <f ca="1">Q404*(INDEX(Q$310:Q$312,MATCH(Work_Codes!$I$251,$D$310:$D$312,0)))</f>
        <v>0</v>
      </c>
      <c r="R424" s="81">
        <f ca="1">R404*(INDEX(R$310:R$312,MATCH(Work_Codes!$I$251,$D$310:$D$312,0)))</f>
        <v>0</v>
      </c>
      <c r="S424" s="81">
        <f ca="1">S404*(INDEX(S$310:S$312,MATCH(Work_Codes!$I$251,$D$310:$D$312,0)))</f>
        <v>0</v>
      </c>
      <c r="T424" s="81">
        <f ca="1">T404*(INDEX(T$310:T$312,MATCH(Work_Codes!$I$251,$D$310:$D$312,0)))</f>
        <v>0</v>
      </c>
    </row>
    <row r="425" spans="4:20" outlineLevel="2">
      <c r="E425" s="247" t="str">
        <f>GC!C44</f>
        <v>Supply Regulators / Valve Stations</v>
      </c>
      <c r="F425" s="247"/>
      <c r="G425" s="247"/>
      <c r="H425" s="247"/>
      <c r="I425" s="247"/>
      <c r="J425" s="81">
        <f ca="1">J405*(INDEX(J$310:J$312,MATCH(Work_Codes!$I$251,$D$310:$D$312,0)))</f>
        <v>0</v>
      </c>
      <c r="K425" s="81">
        <f ca="1">K405*(INDEX(K$310:K$312,MATCH(Work_Codes!$I$251,$D$310:$D$312,0)))</f>
        <v>0</v>
      </c>
      <c r="L425" s="81">
        <f ca="1">L405*(INDEX(L$310:L$312,MATCH(Work_Codes!$I$251,$D$310:$D$312,0)))</f>
        <v>0</v>
      </c>
      <c r="M425" s="81">
        <f ca="1">M405*(INDEX(M$310:M$312,MATCH(Work_Codes!$I$251,$D$310:$D$312,0)))</f>
        <v>0</v>
      </c>
      <c r="N425" s="81">
        <f ca="1">N405*(INDEX(N$310:N$312,MATCH(Work_Codes!$I$251,$D$310:$D$312,0)))</f>
        <v>0</v>
      </c>
      <c r="O425" s="81">
        <f ca="1">O405*(INDEX(O$310:O$312,MATCH(Work_Codes!$I$251,$D$310:$D$312,0)))</f>
        <v>29146.471846382014</v>
      </c>
      <c r="P425" s="81">
        <f ca="1">P405*(INDEX(P$310:P$312,MATCH(Work_Codes!$I$251,$D$310:$D$312,0)))</f>
        <v>46858.844612722889</v>
      </c>
      <c r="Q425" s="81">
        <f ca="1">Q405*(INDEX(Q$310:Q$312,MATCH(Work_Codes!$I$251,$D$310:$D$312,0)))</f>
        <v>45653.82791985706</v>
      </c>
      <c r="R425" s="81">
        <f ca="1">R405*(INDEX(R$310:R$312,MATCH(Work_Codes!$I$251,$D$310:$D$312,0)))</f>
        <v>47087.599432821909</v>
      </c>
      <c r="S425" s="81">
        <f ca="1">S405*(INDEX(S$310:S$312,MATCH(Work_Codes!$I$251,$D$310:$D$312,0)))</f>
        <v>50030.706695613604</v>
      </c>
      <c r="T425" s="81">
        <f ca="1">T405*(INDEX(T$310:T$312,MATCH(Work_Codes!$I$251,$D$310:$D$312,0)))</f>
        <v>52451.165764844685</v>
      </c>
    </row>
    <row r="426" spans="4:20" outlineLevel="2">
      <c r="E426" s="247" t="str">
        <f>GC!C45</f>
        <v>Meters</v>
      </c>
      <c r="F426" s="247"/>
      <c r="G426" s="247"/>
      <c r="H426" s="247"/>
      <c r="I426" s="247"/>
      <c r="J426" s="81">
        <f ca="1">J406*(INDEX(J$310:J$312,MATCH(Work_Codes!$I$251,$D$310:$D$312,0)))</f>
        <v>0</v>
      </c>
      <c r="K426" s="81">
        <f ca="1">K406*(INDEX(K$310:K$312,MATCH(Work_Codes!$I$251,$D$310:$D$312,0)))</f>
        <v>0</v>
      </c>
      <c r="L426" s="81">
        <f ca="1">L406*(INDEX(L$310:L$312,MATCH(Work_Codes!$I$251,$D$310:$D$312,0)))</f>
        <v>0</v>
      </c>
      <c r="M426" s="81">
        <f ca="1">M406*(INDEX(M$310:M$312,MATCH(Work_Codes!$I$251,$D$310:$D$312,0)))</f>
        <v>0</v>
      </c>
      <c r="N426" s="81">
        <f ca="1">N406*(INDEX(N$310:N$312,MATCH(Work_Codes!$I$251,$D$310:$D$312,0)))</f>
        <v>0</v>
      </c>
      <c r="O426" s="81">
        <f ca="1">O406*(INDEX(O$310:O$312,MATCH(Work_Codes!$I$251,$D$310:$D$312,0)))</f>
        <v>0</v>
      </c>
      <c r="P426" s="81">
        <f ca="1">P406*(INDEX(P$310:P$312,MATCH(Work_Codes!$I$251,$D$310:$D$312,0)))</f>
        <v>0</v>
      </c>
      <c r="Q426" s="81">
        <f ca="1">Q406*(INDEX(Q$310:Q$312,MATCH(Work_Codes!$I$251,$D$310:$D$312,0)))</f>
        <v>0</v>
      </c>
      <c r="R426" s="81">
        <f ca="1">R406*(INDEX(R$310:R$312,MATCH(Work_Codes!$I$251,$D$310:$D$312,0)))</f>
        <v>0</v>
      </c>
      <c r="S426" s="81">
        <f ca="1">S406*(INDEX(S$310:S$312,MATCH(Work_Codes!$I$251,$D$310:$D$312,0)))</f>
        <v>0</v>
      </c>
      <c r="T426" s="81">
        <f ca="1">T406*(INDEX(T$310:T$312,MATCH(Work_Codes!$I$251,$D$310:$D$312,0)))</f>
        <v>0</v>
      </c>
    </row>
    <row r="427" spans="4:20" outlineLevel="2">
      <c r="E427" s="247" t="str">
        <f>GC!C46</f>
        <v>SCADA and remote control</v>
      </c>
      <c r="F427" s="247"/>
      <c r="G427" s="247"/>
      <c r="H427" s="247"/>
      <c r="I427" s="247"/>
      <c r="J427" s="81">
        <f ca="1">J407*(INDEX(J$310:J$312,MATCH(Work_Codes!$I$251,$D$310:$D$312,0)))</f>
        <v>0</v>
      </c>
      <c r="K427" s="81">
        <f ca="1">K407*(INDEX(K$310:K$312,MATCH(Work_Codes!$I$251,$D$310:$D$312,0)))</f>
        <v>0</v>
      </c>
      <c r="L427" s="81">
        <f ca="1">L407*(INDEX(L$310:L$312,MATCH(Work_Codes!$I$251,$D$310:$D$312,0)))</f>
        <v>0</v>
      </c>
      <c r="M427" s="81">
        <f ca="1">M407*(INDEX(M$310:M$312,MATCH(Work_Codes!$I$251,$D$310:$D$312,0)))</f>
        <v>0</v>
      </c>
      <c r="N427" s="81">
        <f ca="1">N407*(INDEX(N$310:N$312,MATCH(Work_Codes!$I$251,$D$310:$D$312,0)))</f>
        <v>0</v>
      </c>
      <c r="O427" s="81">
        <f ca="1">O407*(INDEX(O$310:O$312,MATCH(Work_Codes!$I$251,$D$310:$D$312,0)))</f>
        <v>0</v>
      </c>
      <c r="P427" s="81">
        <f ca="1">P407*(INDEX(P$310:P$312,MATCH(Work_Codes!$I$251,$D$310:$D$312,0)))</f>
        <v>0</v>
      </c>
      <c r="Q427" s="81">
        <f ca="1">Q407*(INDEX(Q$310:Q$312,MATCH(Work_Codes!$I$251,$D$310:$D$312,0)))</f>
        <v>0</v>
      </c>
      <c r="R427" s="81">
        <f ca="1">R407*(INDEX(R$310:R$312,MATCH(Work_Codes!$I$251,$D$310:$D$312,0)))</f>
        <v>0</v>
      </c>
      <c r="S427" s="81">
        <f ca="1">S407*(INDEX(S$310:S$312,MATCH(Work_Codes!$I$251,$D$310:$D$312,0)))</f>
        <v>0</v>
      </c>
      <c r="T427" s="81">
        <f ca="1">T407*(INDEX(T$310:T$312,MATCH(Work_Codes!$I$251,$D$310:$D$312,0)))</f>
        <v>0</v>
      </c>
    </row>
    <row r="428" spans="4:20" outlineLevel="2">
      <c r="E428" s="247" t="str">
        <f>GC!C47</f>
        <v>Buildings</v>
      </c>
      <c r="F428" s="247"/>
      <c r="G428" s="247"/>
      <c r="H428" s="247"/>
      <c r="I428" s="247"/>
      <c r="J428" s="81">
        <f ca="1">J408*(INDEX(J$310:J$312,MATCH(Work_Codes!$I$251,$D$310:$D$312,0)))</f>
        <v>0</v>
      </c>
      <c r="K428" s="81">
        <f ca="1">K408*(INDEX(K$310:K$312,MATCH(Work_Codes!$I$251,$D$310:$D$312,0)))</f>
        <v>0</v>
      </c>
      <c r="L428" s="81">
        <f ca="1">L408*(INDEX(L$310:L$312,MATCH(Work_Codes!$I$251,$D$310:$D$312,0)))</f>
        <v>0</v>
      </c>
      <c r="M428" s="81">
        <f ca="1">M408*(INDEX(M$310:M$312,MATCH(Work_Codes!$I$251,$D$310:$D$312,0)))</f>
        <v>0</v>
      </c>
      <c r="N428" s="81">
        <f ca="1">N408*(INDEX(N$310:N$312,MATCH(Work_Codes!$I$251,$D$310:$D$312,0)))</f>
        <v>0</v>
      </c>
      <c r="O428" s="81">
        <f ca="1">O408*(INDEX(O$310:O$312,MATCH(Work_Codes!$I$251,$D$310:$D$312,0)))</f>
        <v>0</v>
      </c>
      <c r="P428" s="81">
        <f ca="1">P408*(INDEX(P$310:P$312,MATCH(Work_Codes!$I$251,$D$310:$D$312,0)))</f>
        <v>0</v>
      </c>
      <c r="Q428" s="81">
        <f ca="1">Q408*(INDEX(Q$310:Q$312,MATCH(Work_Codes!$I$251,$D$310:$D$312,0)))</f>
        <v>0</v>
      </c>
      <c r="R428" s="81">
        <f ca="1">R408*(INDEX(R$310:R$312,MATCH(Work_Codes!$I$251,$D$310:$D$312,0)))</f>
        <v>0</v>
      </c>
      <c r="S428" s="81">
        <f ca="1">S408*(INDEX(S$310:S$312,MATCH(Work_Codes!$I$251,$D$310:$D$312,0)))</f>
        <v>0</v>
      </c>
      <c r="T428" s="81">
        <f ca="1">T408*(INDEX(T$310:T$312,MATCH(Work_Codes!$I$251,$D$310:$D$312,0)))</f>
        <v>0</v>
      </c>
    </row>
    <row r="429" spans="4:20" outlineLevel="2">
      <c r="E429" s="247" t="str">
        <f>GC!C48</f>
        <v>Other - IT</v>
      </c>
      <c r="F429" s="247"/>
      <c r="G429" s="247"/>
      <c r="H429" s="247"/>
      <c r="I429" s="247"/>
      <c r="J429" s="81">
        <f ca="1">J409*(INDEX(J$310:J$312,MATCH(Work_Codes!$I$251,$D$310:$D$312,0)))</f>
        <v>0</v>
      </c>
      <c r="K429" s="81">
        <f ca="1">K409*(INDEX(K$310:K$312,MATCH(Work_Codes!$I$251,$D$310:$D$312,0)))</f>
        <v>0</v>
      </c>
      <c r="L429" s="81">
        <f ca="1">L409*(INDEX(L$310:L$312,MATCH(Work_Codes!$I$251,$D$310:$D$312,0)))</f>
        <v>0</v>
      </c>
      <c r="M429" s="81">
        <f ca="1">M409*(INDEX(M$310:M$312,MATCH(Work_Codes!$I$251,$D$310:$D$312,0)))</f>
        <v>0</v>
      </c>
      <c r="N429" s="81">
        <f ca="1">N409*(INDEX(N$310:N$312,MATCH(Work_Codes!$I$251,$D$310:$D$312,0)))</f>
        <v>0</v>
      </c>
      <c r="O429" s="81">
        <f ca="1">O409*(INDEX(O$310:O$312,MATCH(Work_Codes!$I$251,$D$310:$D$312,0)))</f>
        <v>0</v>
      </c>
      <c r="P429" s="81">
        <f ca="1">P409*(INDEX(P$310:P$312,MATCH(Work_Codes!$I$251,$D$310:$D$312,0)))</f>
        <v>0</v>
      </c>
      <c r="Q429" s="81">
        <f ca="1">Q409*(INDEX(Q$310:Q$312,MATCH(Work_Codes!$I$251,$D$310:$D$312,0)))</f>
        <v>0</v>
      </c>
      <c r="R429" s="81">
        <f ca="1">R409*(INDEX(R$310:R$312,MATCH(Work_Codes!$I$251,$D$310:$D$312,0)))</f>
        <v>0</v>
      </c>
      <c r="S429" s="81">
        <f ca="1">S409*(INDEX(S$310:S$312,MATCH(Work_Codes!$I$251,$D$310:$D$312,0)))</f>
        <v>0</v>
      </c>
      <c r="T429" s="81">
        <f ca="1">T409*(INDEX(T$310:T$312,MATCH(Work_Codes!$I$251,$D$310:$D$312,0)))</f>
        <v>0</v>
      </c>
    </row>
    <row r="430" spans="4:20" outlineLevel="2">
      <c r="E430" s="247" t="str">
        <f>GC!C49</f>
        <v>Other - non IT</v>
      </c>
      <c r="F430" s="247"/>
      <c r="G430" s="247"/>
      <c r="H430" s="247"/>
      <c r="I430" s="247"/>
      <c r="J430" s="81">
        <f ca="1">J410*(INDEX(J$310:J$312,MATCH(Work_Codes!$I$251,$D$310:$D$312,0)))</f>
        <v>0</v>
      </c>
      <c r="K430" s="81">
        <f ca="1">K410*(INDEX(K$310:K$312,MATCH(Work_Codes!$I$251,$D$310:$D$312,0)))</f>
        <v>0</v>
      </c>
      <c r="L430" s="81">
        <f ca="1">L410*(INDEX(L$310:L$312,MATCH(Work_Codes!$I$251,$D$310:$D$312,0)))</f>
        <v>0</v>
      </c>
      <c r="M430" s="81">
        <f ca="1">M410*(INDEX(M$310:M$312,MATCH(Work_Codes!$I$251,$D$310:$D$312,0)))</f>
        <v>0</v>
      </c>
      <c r="N430" s="81">
        <f ca="1">N410*(INDEX(N$310:N$312,MATCH(Work_Codes!$I$251,$D$310:$D$312,0)))</f>
        <v>0</v>
      </c>
      <c r="O430" s="81">
        <f ca="1">O410*(INDEX(O$310:O$312,MATCH(Work_Codes!$I$251,$D$310:$D$312,0)))</f>
        <v>0</v>
      </c>
      <c r="P430" s="81">
        <f ca="1">P410*(INDEX(P$310:P$312,MATCH(Work_Codes!$I$251,$D$310:$D$312,0)))</f>
        <v>0</v>
      </c>
      <c r="Q430" s="81">
        <f ca="1">Q410*(INDEX(Q$310:Q$312,MATCH(Work_Codes!$I$251,$D$310:$D$312,0)))</f>
        <v>0</v>
      </c>
      <c r="R430" s="81">
        <f ca="1">R410*(INDEX(R$310:R$312,MATCH(Work_Codes!$I$251,$D$310:$D$312,0)))</f>
        <v>0</v>
      </c>
      <c r="S430" s="81">
        <f ca="1">S410*(INDEX(S$310:S$312,MATCH(Work_Codes!$I$251,$D$310:$D$312,0)))</f>
        <v>0</v>
      </c>
      <c r="T430" s="81">
        <f ca="1">T410*(INDEX(T$310:T$312,MATCH(Work_Codes!$I$251,$D$310:$D$312,0)))</f>
        <v>0</v>
      </c>
    </row>
    <row r="431" spans="4:20" outlineLevel="2">
      <c r="E431" s="247" t="str">
        <f>GC!C50</f>
        <v>Land</v>
      </c>
      <c r="F431" s="247"/>
      <c r="G431" s="247"/>
      <c r="H431" s="247"/>
      <c r="I431" s="247"/>
      <c r="J431" s="81">
        <f ca="1">J411*(INDEX(J$310:J$312,MATCH(Work_Codes!$I$251,$D$310:$D$312,0)))</f>
        <v>0</v>
      </c>
      <c r="K431" s="81">
        <f ca="1">K411*(INDEX(K$310:K$312,MATCH(Work_Codes!$I$251,$D$310:$D$312,0)))</f>
        <v>0</v>
      </c>
      <c r="L431" s="81">
        <f ca="1">L411*(INDEX(L$310:L$312,MATCH(Work_Codes!$I$251,$D$310:$D$312,0)))</f>
        <v>0</v>
      </c>
      <c r="M431" s="81">
        <f ca="1">M411*(INDEX(M$310:M$312,MATCH(Work_Codes!$I$251,$D$310:$D$312,0)))</f>
        <v>0</v>
      </c>
      <c r="N431" s="81">
        <f ca="1">N411*(INDEX(N$310:N$312,MATCH(Work_Codes!$I$251,$D$310:$D$312,0)))</f>
        <v>0</v>
      </c>
      <c r="O431" s="81">
        <f ca="1">O411*(INDEX(O$310:O$312,MATCH(Work_Codes!$I$251,$D$310:$D$312,0)))</f>
        <v>0</v>
      </c>
      <c r="P431" s="81">
        <f ca="1">P411*(INDEX(P$310:P$312,MATCH(Work_Codes!$I$251,$D$310:$D$312,0)))</f>
        <v>0</v>
      </c>
      <c r="Q431" s="81">
        <f ca="1">Q411*(INDEX(Q$310:Q$312,MATCH(Work_Codes!$I$251,$D$310:$D$312,0)))</f>
        <v>0</v>
      </c>
      <c r="R431" s="81">
        <f ca="1">R411*(INDEX(R$310:R$312,MATCH(Work_Codes!$I$251,$D$310:$D$312,0)))</f>
        <v>0</v>
      </c>
      <c r="S431" s="81">
        <f ca="1">S411*(INDEX(S$310:S$312,MATCH(Work_Codes!$I$251,$D$310:$D$312,0)))</f>
        <v>0</v>
      </c>
      <c r="T431" s="81">
        <f ca="1">T411*(INDEX(T$310:T$312,MATCH(Work_Codes!$I$251,$D$310:$D$312,0)))</f>
        <v>0</v>
      </c>
    </row>
    <row r="432" spans="4:20" outlineLevel="2">
      <c r="E432" s="247" t="str">
        <f>GC!C51</f>
        <v>Capitalised Leases</v>
      </c>
      <c r="F432" s="247"/>
      <c r="G432" s="247"/>
      <c r="H432" s="247"/>
      <c r="I432" s="247"/>
      <c r="J432" s="81">
        <f ca="1">J412*(INDEX(J$310:J$312,MATCH(Work_Codes!$I$251,$D$310:$D$312,0)))</f>
        <v>0</v>
      </c>
      <c r="K432" s="81">
        <f ca="1">K412*(INDEX(K$310:K$312,MATCH(Work_Codes!$I$251,$D$310:$D$312,0)))</f>
        <v>0</v>
      </c>
      <c r="L432" s="81">
        <f ca="1">L412*(INDEX(L$310:L$312,MATCH(Work_Codes!$I$251,$D$310:$D$312,0)))</f>
        <v>0</v>
      </c>
      <c r="M432" s="81">
        <f ca="1">M412*(INDEX(M$310:M$312,MATCH(Work_Codes!$I$251,$D$310:$D$312,0)))</f>
        <v>0</v>
      </c>
      <c r="N432" s="81">
        <f ca="1">N412*(INDEX(N$310:N$312,MATCH(Work_Codes!$I$251,$D$310:$D$312,0)))</f>
        <v>0</v>
      </c>
      <c r="O432" s="81">
        <f ca="1">O412*(INDEX(O$310:O$312,MATCH(Work_Codes!$I$251,$D$310:$D$312,0)))</f>
        <v>0</v>
      </c>
      <c r="P432" s="81">
        <f ca="1">P412*(INDEX(P$310:P$312,MATCH(Work_Codes!$I$251,$D$310:$D$312,0)))</f>
        <v>0</v>
      </c>
      <c r="Q432" s="81">
        <f ca="1">Q412*(INDEX(Q$310:Q$312,MATCH(Work_Codes!$I$251,$D$310:$D$312,0)))</f>
        <v>0</v>
      </c>
      <c r="R432" s="81">
        <f ca="1">R412*(INDEX(R$310:R$312,MATCH(Work_Codes!$I$251,$D$310:$D$312,0)))</f>
        <v>0</v>
      </c>
      <c r="S432" s="81">
        <f ca="1">S412*(INDEX(S$310:S$312,MATCH(Work_Codes!$I$251,$D$310:$D$312,0)))</f>
        <v>0</v>
      </c>
      <c r="T432" s="81">
        <f ca="1">T412*(INDEX(T$310:T$312,MATCH(Work_Codes!$I$251,$D$310:$D$312,0)))</f>
        <v>0</v>
      </c>
    </row>
    <row r="433" spans="4:20" outlineLevel="2">
      <c r="E433" s="247" t="str">
        <f>GC!C52</f>
        <v>Transmission pipelines - post 1998</v>
      </c>
      <c r="F433" s="247"/>
      <c r="G433" s="247"/>
      <c r="H433" s="247"/>
      <c r="I433" s="247"/>
      <c r="J433" s="81">
        <f ca="1">J413*(INDEX(J$310:J$312,MATCH(Work_Codes!$I$251,$D$310:$D$312,0)))</f>
        <v>0</v>
      </c>
      <c r="K433" s="81">
        <f ca="1">K413*(INDEX(K$310:K$312,MATCH(Work_Codes!$I$251,$D$310:$D$312,0)))</f>
        <v>0</v>
      </c>
      <c r="L433" s="81">
        <f ca="1">L413*(INDEX(L$310:L$312,MATCH(Work_Codes!$I$251,$D$310:$D$312,0)))</f>
        <v>0</v>
      </c>
      <c r="M433" s="81">
        <f ca="1">M413*(INDEX(M$310:M$312,MATCH(Work_Codes!$I$251,$D$310:$D$312,0)))</f>
        <v>0</v>
      </c>
      <c r="N433" s="81">
        <f ca="1">N413*(INDEX(N$310:N$312,MATCH(Work_Codes!$I$251,$D$310:$D$312,0)))</f>
        <v>0</v>
      </c>
      <c r="O433" s="81">
        <f ca="1">O413*(INDEX(O$310:O$312,MATCH(Work_Codes!$I$251,$D$310:$D$312,0)))</f>
        <v>0</v>
      </c>
      <c r="P433" s="81">
        <f ca="1">P413*(INDEX(P$310:P$312,MATCH(Work_Codes!$I$251,$D$310:$D$312,0)))</f>
        <v>0</v>
      </c>
      <c r="Q433" s="81">
        <f ca="1">Q413*(INDEX(Q$310:Q$312,MATCH(Work_Codes!$I$251,$D$310:$D$312,0)))</f>
        <v>0</v>
      </c>
      <c r="R433" s="81">
        <f ca="1">R413*(INDEX(R$310:R$312,MATCH(Work_Codes!$I$251,$D$310:$D$312,0)))</f>
        <v>0</v>
      </c>
      <c r="S433" s="81">
        <f ca="1">S413*(INDEX(S$310:S$312,MATCH(Work_Codes!$I$251,$D$310:$D$312,0)))</f>
        <v>0</v>
      </c>
      <c r="T433" s="81">
        <f ca="1">T413*(INDEX(T$310:T$312,MATCH(Work_Codes!$I$251,$D$310:$D$312,0)))</f>
        <v>0</v>
      </c>
    </row>
    <row r="434" spans="4:20" outlineLevel="2">
      <c r="E434" s="247" t="str">
        <f>GC!C53</f>
        <v>Distribution pipelines - post 1998</v>
      </c>
      <c r="F434" s="247"/>
      <c r="G434" s="247"/>
      <c r="H434" s="247"/>
      <c r="I434" s="247"/>
      <c r="J434" s="81">
        <f ca="1">J414*(INDEX(J$310:J$312,MATCH(Work_Codes!$I$251,$D$310:$D$312,0)))</f>
        <v>0</v>
      </c>
      <c r="K434" s="81">
        <f ca="1">K414*(INDEX(K$310:K$312,MATCH(Work_Codes!$I$251,$D$310:$D$312,0)))</f>
        <v>0</v>
      </c>
      <c r="L434" s="81">
        <f ca="1">L414*(INDEX(L$310:L$312,MATCH(Work_Codes!$I$251,$D$310:$D$312,0)))</f>
        <v>0</v>
      </c>
      <c r="M434" s="81">
        <f ca="1">M414*(INDEX(M$310:M$312,MATCH(Work_Codes!$I$251,$D$310:$D$312,0)))</f>
        <v>0</v>
      </c>
      <c r="N434" s="81">
        <f ca="1">N414*(INDEX(N$310:N$312,MATCH(Work_Codes!$I$251,$D$310:$D$312,0)))</f>
        <v>0</v>
      </c>
      <c r="O434" s="81">
        <f ca="1">O414*(INDEX(O$310:O$312,MATCH(Work_Codes!$I$251,$D$310:$D$312,0)))</f>
        <v>0</v>
      </c>
      <c r="P434" s="81">
        <f ca="1">P414*(INDEX(P$310:P$312,MATCH(Work_Codes!$I$251,$D$310:$D$312,0)))</f>
        <v>0</v>
      </c>
      <c r="Q434" s="81">
        <f ca="1">Q414*(INDEX(Q$310:Q$312,MATCH(Work_Codes!$I$251,$D$310:$D$312,0)))</f>
        <v>0</v>
      </c>
      <c r="R434" s="81">
        <f ca="1">R414*(INDEX(R$310:R$312,MATCH(Work_Codes!$I$251,$D$310:$D$312,0)))</f>
        <v>0</v>
      </c>
      <c r="S434" s="81">
        <f ca="1">S414*(INDEX(S$310:S$312,MATCH(Work_Codes!$I$251,$D$310:$D$312,0)))</f>
        <v>0</v>
      </c>
      <c r="T434" s="81">
        <f ca="1">T414*(INDEX(T$310:T$312,MATCH(Work_Codes!$I$251,$D$310:$D$312,0)))</f>
        <v>0</v>
      </c>
    </row>
    <row r="435" spans="4:20" outlineLevel="2">
      <c r="E435" s="247" t="str">
        <f>GC!C54</f>
        <v>Service pipes - post 1998</v>
      </c>
      <c r="F435" s="247"/>
      <c r="G435" s="247"/>
      <c r="H435" s="247"/>
      <c r="I435" s="247"/>
      <c r="J435" s="81">
        <f ca="1">J415*(INDEX(J$310:J$312,MATCH(Work_Codes!$I$251,$D$310:$D$312,0)))</f>
        <v>0</v>
      </c>
      <c r="K435" s="81">
        <f ca="1">K415*(INDEX(K$310:K$312,MATCH(Work_Codes!$I$251,$D$310:$D$312,0)))</f>
        <v>0</v>
      </c>
      <c r="L435" s="81">
        <f ca="1">L415*(INDEX(L$310:L$312,MATCH(Work_Codes!$I$251,$D$310:$D$312,0)))</f>
        <v>0</v>
      </c>
      <c r="M435" s="81">
        <f ca="1">M415*(INDEX(M$310:M$312,MATCH(Work_Codes!$I$251,$D$310:$D$312,0)))</f>
        <v>0</v>
      </c>
      <c r="N435" s="81">
        <f ca="1">N415*(INDEX(N$310:N$312,MATCH(Work_Codes!$I$251,$D$310:$D$312,0)))</f>
        <v>0</v>
      </c>
      <c r="O435" s="81">
        <f ca="1">O415*(INDEX(O$310:O$312,MATCH(Work_Codes!$I$251,$D$310:$D$312,0)))</f>
        <v>0</v>
      </c>
      <c r="P435" s="81">
        <f ca="1">P415*(INDEX(P$310:P$312,MATCH(Work_Codes!$I$251,$D$310:$D$312,0)))</f>
        <v>0</v>
      </c>
      <c r="Q435" s="81">
        <f ca="1">Q415*(INDEX(Q$310:Q$312,MATCH(Work_Codes!$I$251,$D$310:$D$312,0)))</f>
        <v>0</v>
      </c>
      <c r="R435" s="81">
        <f ca="1">R415*(INDEX(R$310:R$312,MATCH(Work_Codes!$I$251,$D$310:$D$312,0)))</f>
        <v>0</v>
      </c>
      <c r="S435" s="81">
        <f ca="1">S415*(INDEX(S$310:S$312,MATCH(Work_Codes!$I$251,$D$310:$D$312,0)))</f>
        <v>0</v>
      </c>
      <c r="T435" s="81">
        <f ca="1">T415*(INDEX(T$310:T$312,MATCH(Work_Codes!$I$251,$D$310:$D$312,0)))</f>
        <v>0</v>
      </c>
    </row>
    <row r="436" spans="4:20" outlineLevel="2">
      <c r="E436" s="247" t="str">
        <f>GC!C55</f>
        <v>Cathodic protection - post 1998</v>
      </c>
      <c r="F436" s="247"/>
      <c r="G436" s="247"/>
      <c r="H436" s="247"/>
      <c r="I436" s="247"/>
      <c r="J436" s="81">
        <f ca="1">J416*(INDEX(J$310:J$312,MATCH(Work_Codes!$I$251,$D$310:$D$312,0)))</f>
        <v>0</v>
      </c>
      <c r="K436" s="81">
        <f ca="1">K416*(INDEX(K$310:K$312,MATCH(Work_Codes!$I$251,$D$310:$D$312,0)))</f>
        <v>0</v>
      </c>
      <c r="L436" s="81">
        <f ca="1">L416*(INDEX(L$310:L$312,MATCH(Work_Codes!$I$251,$D$310:$D$312,0)))</f>
        <v>0</v>
      </c>
      <c r="M436" s="81">
        <f ca="1">M416*(INDEX(M$310:M$312,MATCH(Work_Codes!$I$251,$D$310:$D$312,0)))</f>
        <v>0</v>
      </c>
      <c r="N436" s="81">
        <f ca="1">N416*(INDEX(N$310:N$312,MATCH(Work_Codes!$I$251,$D$310:$D$312,0)))</f>
        <v>0</v>
      </c>
      <c r="O436" s="81">
        <f ca="1">O416*(INDEX(O$310:O$312,MATCH(Work_Codes!$I$251,$D$310:$D$312,0)))</f>
        <v>0</v>
      </c>
      <c r="P436" s="81">
        <f ca="1">P416*(INDEX(P$310:P$312,MATCH(Work_Codes!$I$251,$D$310:$D$312,0)))</f>
        <v>0</v>
      </c>
      <c r="Q436" s="81">
        <f ca="1">Q416*(INDEX(Q$310:Q$312,MATCH(Work_Codes!$I$251,$D$310:$D$312,0)))</f>
        <v>0</v>
      </c>
      <c r="R436" s="81">
        <f ca="1">R416*(INDEX(R$310:R$312,MATCH(Work_Codes!$I$251,$D$310:$D$312,0)))</f>
        <v>0</v>
      </c>
      <c r="S436" s="81">
        <f ca="1">S416*(INDEX(S$310:S$312,MATCH(Work_Codes!$I$251,$D$310:$D$312,0)))</f>
        <v>0</v>
      </c>
      <c r="T436" s="81">
        <f ca="1">T416*(INDEX(T$310:T$312,MATCH(Work_Codes!$I$251,$D$310:$D$312,0)))</f>
        <v>0</v>
      </c>
    </row>
    <row r="437" spans="4:20" outlineLevel="2">
      <c r="E437" s="249" t="str">
        <f>"Total "&amp;D419</f>
        <v>Total Overheads</v>
      </c>
      <c r="F437" s="249"/>
      <c r="G437" s="249"/>
      <c r="H437" s="249"/>
      <c r="I437" s="249"/>
      <c r="J437" s="82">
        <f t="shared" ref="J437:T437" ca="1" si="47">SUM(J421:J436)</f>
        <v>0</v>
      </c>
      <c r="K437" s="82">
        <f t="shared" ca="1" si="47"/>
        <v>0</v>
      </c>
      <c r="L437" s="82">
        <f t="shared" ca="1" si="47"/>
        <v>0</v>
      </c>
      <c r="M437" s="82">
        <f t="shared" ca="1" si="47"/>
        <v>0</v>
      </c>
      <c r="N437" s="82">
        <f t="shared" ca="1" si="47"/>
        <v>0</v>
      </c>
      <c r="O437" s="82">
        <f t="shared" ca="1" si="47"/>
        <v>29146.471846382014</v>
      </c>
      <c r="P437" s="82">
        <f t="shared" ca="1" si="47"/>
        <v>46858.844612722889</v>
      </c>
      <c r="Q437" s="82">
        <f t="shared" ca="1" si="47"/>
        <v>45653.82791985706</v>
      </c>
      <c r="R437" s="82">
        <f t="shared" ca="1" si="47"/>
        <v>47087.599432821909</v>
      </c>
      <c r="S437" s="82">
        <f t="shared" ca="1" si="47"/>
        <v>50030.706695613604</v>
      </c>
      <c r="T437" s="82">
        <f t="shared" ca="1" si="47"/>
        <v>52451.165764844685</v>
      </c>
    </row>
    <row r="438" spans="4:20" outlineLevel="2"/>
    <row r="439" spans="4:20" outlineLevel="2">
      <c r="D439" s="37" t="s">
        <v>216</v>
      </c>
    </row>
    <row r="440" spans="4:20" ht="5.9" customHeight="1" outlineLevel="2"/>
    <row r="441" spans="4:20" ht="11.5" customHeight="1" outlineLevel="2">
      <c r="E441" s="247" t="str">
        <f>GC!C40</f>
        <v>Transmission pipelines</v>
      </c>
      <c r="F441" s="247"/>
      <c r="G441" s="247"/>
      <c r="H441" s="247"/>
      <c r="I441" s="247"/>
      <c r="J441" s="81">
        <f ca="1">J401*(1+INDEX(J$310:J$312,MATCH(Work_Codes!$I$251,$D$310:$D$312,0)))</f>
        <v>0</v>
      </c>
      <c r="K441" s="81">
        <f ca="1">K401*(1+INDEX(K$310:K$312,MATCH(Work_Codes!$I$251,$D$310:$D$312,0)))</f>
        <v>0</v>
      </c>
      <c r="L441" s="81">
        <f ca="1">L401*(1+INDEX(L$310:L$312,MATCH(Work_Codes!$I$251,$D$310:$D$312,0)))</f>
        <v>0</v>
      </c>
      <c r="M441" s="81">
        <f ca="1">M401*(1+INDEX(M$310:M$312,MATCH(Work_Codes!$I$251,$D$310:$D$312,0)))</f>
        <v>0</v>
      </c>
      <c r="N441" s="81">
        <f ca="1">N401*(1+INDEX(N$310:N$312,MATCH(Work_Codes!$I$251,$D$310:$D$312,0)))</f>
        <v>0</v>
      </c>
      <c r="O441" s="81">
        <f ca="1">O401*(1+INDEX(O$310:O$312,MATCH(Work_Codes!$I$251,$D$310:$D$312,0)))</f>
        <v>0</v>
      </c>
      <c r="P441" s="81">
        <f ca="1">P401*(1+INDEX(P$310:P$312,MATCH(Work_Codes!$I$251,$D$310:$D$312,0)))</f>
        <v>0</v>
      </c>
      <c r="Q441" s="81">
        <f ca="1">Q401*(1+INDEX(Q$310:Q$312,MATCH(Work_Codes!$I$251,$D$310:$D$312,0)))</f>
        <v>0</v>
      </c>
      <c r="R441" s="81">
        <f ca="1">R401*(1+INDEX(R$310:R$312,MATCH(Work_Codes!$I$251,$D$310:$D$312,0)))</f>
        <v>0</v>
      </c>
      <c r="S441" s="81">
        <f ca="1">S401*(1+INDEX(S$310:S$312,MATCH(Work_Codes!$I$251,$D$310:$D$312,0)))</f>
        <v>0</v>
      </c>
      <c r="T441" s="81">
        <f ca="1">T401*(1+INDEX(T$310:T$312,MATCH(Work_Codes!$I$251,$D$310:$D$312,0)))</f>
        <v>0</v>
      </c>
    </row>
    <row r="442" spans="4:20" ht="11.5" customHeight="1" outlineLevel="2">
      <c r="E442" s="247" t="str">
        <f>GC!C41</f>
        <v>Distribution pipelines</v>
      </c>
      <c r="F442" s="247"/>
      <c r="G442" s="247"/>
      <c r="H442" s="247"/>
      <c r="I442" s="247"/>
      <c r="J442" s="81">
        <f ca="1">J402*(1+INDEX(J$310:J$312,MATCH(Work_Codes!$I$251,$D$310:$D$312,0)))</f>
        <v>0</v>
      </c>
      <c r="K442" s="81">
        <f ca="1">K402*(1+INDEX(K$310:K$312,MATCH(Work_Codes!$I$251,$D$310:$D$312,0)))</f>
        <v>0</v>
      </c>
      <c r="L442" s="81">
        <f ca="1">L402*(1+INDEX(L$310:L$312,MATCH(Work_Codes!$I$251,$D$310:$D$312,0)))</f>
        <v>0</v>
      </c>
      <c r="M442" s="81">
        <f ca="1">M402*(1+INDEX(M$310:M$312,MATCH(Work_Codes!$I$251,$D$310:$D$312,0)))</f>
        <v>0</v>
      </c>
      <c r="N442" s="81">
        <f ca="1">N402*(1+INDEX(N$310:N$312,MATCH(Work_Codes!$I$251,$D$310:$D$312,0)))</f>
        <v>0</v>
      </c>
      <c r="O442" s="81">
        <f ca="1">O402*(1+INDEX(O$310:O$312,MATCH(Work_Codes!$I$251,$D$310:$D$312,0)))</f>
        <v>0</v>
      </c>
      <c r="P442" s="81">
        <f ca="1">P402*(1+INDEX(P$310:P$312,MATCH(Work_Codes!$I$251,$D$310:$D$312,0)))</f>
        <v>0</v>
      </c>
      <c r="Q442" s="81">
        <f ca="1">Q402*(1+INDEX(Q$310:Q$312,MATCH(Work_Codes!$I$251,$D$310:$D$312,0)))</f>
        <v>0</v>
      </c>
      <c r="R442" s="81">
        <f ca="1">R402*(1+INDEX(R$310:R$312,MATCH(Work_Codes!$I$251,$D$310:$D$312,0)))</f>
        <v>0</v>
      </c>
      <c r="S442" s="81">
        <f ca="1">S402*(1+INDEX(S$310:S$312,MATCH(Work_Codes!$I$251,$D$310:$D$312,0)))</f>
        <v>0</v>
      </c>
      <c r="T442" s="81">
        <f ca="1">T402*(1+INDEX(T$310:T$312,MATCH(Work_Codes!$I$251,$D$310:$D$312,0)))</f>
        <v>0</v>
      </c>
    </row>
    <row r="443" spans="4:20" ht="11.5" customHeight="1" outlineLevel="2">
      <c r="E443" s="247" t="str">
        <f>GC!C42</f>
        <v>Service pipes</v>
      </c>
      <c r="F443" s="247"/>
      <c r="G443" s="247"/>
      <c r="H443" s="247"/>
      <c r="I443" s="247"/>
      <c r="J443" s="81">
        <f ca="1">J403*(1+INDEX(J$310:J$312,MATCH(Work_Codes!$I$251,$D$310:$D$312,0)))</f>
        <v>0</v>
      </c>
      <c r="K443" s="81">
        <f ca="1">K403*(1+INDEX(K$310:K$312,MATCH(Work_Codes!$I$251,$D$310:$D$312,0)))</f>
        <v>0</v>
      </c>
      <c r="L443" s="81">
        <f ca="1">L403*(1+INDEX(L$310:L$312,MATCH(Work_Codes!$I$251,$D$310:$D$312,0)))</f>
        <v>0</v>
      </c>
      <c r="M443" s="81">
        <f ca="1">M403*(1+INDEX(M$310:M$312,MATCH(Work_Codes!$I$251,$D$310:$D$312,0)))</f>
        <v>0</v>
      </c>
      <c r="N443" s="81">
        <f ca="1">N403*(1+INDEX(N$310:N$312,MATCH(Work_Codes!$I$251,$D$310:$D$312,0)))</f>
        <v>0</v>
      </c>
      <c r="O443" s="81">
        <f ca="1">O403*(1+INDEX(O$310:O$312,MATCH(Work_Codes!$I$251,$D$310:$D$312,0)))</f>
        <v>0</v>
      </c>
      <c r="P443" s="81">
        <f ca="1">P403*(1+INDEX(P$310:P$312,MATCH(Work_Codes!$I$251,$D$310:$D$312,0)))</f>
        <v>0</v>
      </c>
      <c r="Q443" s="81">
        <f ca="1">Q403*(1+INDEX(Q$310:Q$312,MATCH(Work_Codes!$I$251,$D$310:$D$312,0)))</f>
        <v>0</v>
      </c>
      <c r="R443" s="81">
        <f ca="1">R403*(1+INDEX(R$310:R$312,MATCH(Work_Codes!$I$251,$D$310:$D$312,0)))</f>
        <v>0</v>
      </c>
      <c r="S443" s="81">
        <f ca="1">S403*(1+INDEX(S$310:S$312,MATCH(Work_Codes!$I$251,$D$310:$D$312,0)))</f>
        <v>0</v>
      </c>
      <c r="T443" s="81">
        <f ca="1">T403*(1+INDEX(T$310:T$312,MATCH(Work_Codes!$I$251,$D$310:$D$312,0)))</f>
        <v>0</v>
      </c>
    </row>
    <row r="444" spans="4:20" ht="11.5" customHeight="1" outlineLevel="2">
      <c r="E444" s="247" t="str">
        <f>GC!C43</f>
        <v>Cathodic protection</v>
      </c>
      <c r="F444" s="247"/>
      <c r="G444" s="247"/>
      <c r="H444" s="247"/>
      <c r="I444" s="247"/>
      <c r="J444" s="81">
        <f ca="1">J404*(1+INDEX(J$310:J$312,MATCH(Work_Codes!$I$251,$D$310:$D$312,0)))</f>
        <v>0</v>
      </c>
      <c r="K444" s="81">
        <f ca="1">K404*(1+INDEX(K$310:K$312,MATCH(Work_Codes!$I$251,$D$310:$D$312,0)))</f>
        <v>0</v>
      </c>
      <c r="L444" s="81">
        <f ca="1">L404*(1+INDEX(L$310:L$312,MATCH(Work_Codes!$I$251,$D$310:$D$312,0)))</f>
        <v>0</v>
      </c>
      <c r="M444" s="81">
        <f ca="1">M404*(1+INDEX(M$310:M$312,MATCH(Work_Codes!$I$251,$D$310:$D$312,0)))</f>
        <v>0</v>
      </c>
      <c r="N444" s="81">
        <f ca="1">N404*(1+INDEX(N$310:N$312,MATCH(Work_Codes!$I$251,$D$310:$D$312,0)))</f>
        <v>0</v>
      </c>
      <c r="O444" s="81">
        <f ca="1">O404*(1+INDEX(O$310:O$312,MATCH(Work_Codes!$I$251,$D$310:$D$312,0)))</f>
        <v>0</v>
      </c>
      <c r="P444" s="81">
        <f ca="1">P404*(1+INDEX(P$310:P$312,MATCH(Work_Codes!$I$251,$D$310:$D$312,0)))</f>
        <v>0</v>
      </c>
      <c r="Q444" s="81">
        <f ca="1">Q404*(1+INDEX(Q$310:Q$312,MATCH(Work_Codes!$I$251,$D$310:$D$312,0)))</f>
        <v>0</v>
      </c>
      <c r="R444" s="81">
        <f ca="1">R404*(1+INDEX(R$310:R$312,MATCH(Work_Codes!$I$251,$D$310:$D$312,0)))</f>
        <v>0</v>
      </c>
      <c r="S444" s="81">
        <f ca="1">S404*(1+INDEX(S$310:S$312,MATCH(Work_Codes!$I$251,$D$310:$D$312,0)))</f>
        <v>0</v>
      </c>
      <c r="T444" s="81">
        <f ca="1">T404*(1+INDEX(T$310:T$312,MATCH(Work_Codes!$I$251,$D$310:$D$312,0)))</f>
        <v>0</v>
      </c>
    </row>
    <row r="445" spans="4:20" ht="11.5" customHeight="1" outlineLevel="2">
      <c r="E445" s="247" t="str">
        <f>GC!C44</f>
        <v>Supply Regulators / Valve Stations</v>
      </c>
      <c r="F445" s="247"/>
      <c r="G445" s="247"/>
      <c r="H445" s="247"/>
      <c r="I445" s="247"/>
      <c r="J445" s="81">
        <f ca="1">J405*(1+INDEX(J$310:J$312,MATCH(Work_Codes!$I$251,$D$310:$D$312,0)))</f>
        <v>0</v>
      </c>
      <c r="K445" s="81">
        <f ca="1">K405*(1+INDEX(K$310:K$312,MATCH(Work_Codes!$I$251,$D$310:$D$312,0)))</f>
        <v>0</v>
      </c>
      <c r="L445" s="81">
        <f ca="1">L405*(1+INDEX(L$310:L$312,MATCH(Work_Codes!$I$251,$D$310:$D$312,0)))</f>
        <v>0</v>
      </c>
      <c r="M445" s="81">
        <f ca="1">M405*(1+INDEX(M$310:M$312,MATCH(Work_Codes!$I$251,$D$310:$D$312,0)))</f>
        <v>0</v>
      </c>
      <c r="N445" s="81">
        <f ca="1">N405*(1+INDEX(N$310:N$312,MATCH(Work_Codes!$I$251,$D$310:$D$312,0)))</f>
        <v>0</v>
      </c>
      <c r="O445" s="81">
        <f ca="1">O405*(1+INDEX(O$310:O$312,MATCH(Work_Codes!$I$251,$D$310:$D$312,0)))</f>
        <v>904837.46285997739</v>
      </c>
      <c r="P445" s="81">
        <f ca="1">P405*(1+INDEX(P$310:P$312,MATCH(Work_Codes!$I$251,$D$310:$D$312,0)))</f>
        <v>1798417.1462318224</v>
      </c>
      <c r="Q445" s="81">
        <f ca="1">Q405*(1+INDEX(Q$310:Q$312,MATCH(Work_Codes!$I$251,$D$310:$D$312,0)))</f>
        <v>1797488.0175518033</v>
      </c>
      <c r="R445" s="81">
        <f ca="1">R405*(1+INDEX(R$310:R$312,MATCH(Work_Codes!$I$251,$D$310:$D$312,0)))</f>
        <v>1799314.330397421</v>
      </c>
      <c r="S445" s="81">
        <f ca="1">S405*(1+INDEX(S$310:S$312,MATCH(Work_Codes!$I$251,$D$310:$D$312,0)))</f>
        <v>1802654.300263783</v>
      </c>
      <c r="T445" s="81">
        <f ca="1">T405*(1+INDEX(T$310:T$312,MATCH(Work_Codes!$I$251,$D$310:$D$312,0)))</f>
        <v>1805475.9907779892</v>
      </c>
    </row>
    <row r="446" spans="4:20" ht="11.5" customHeight="1" outlineLevel="2">
      <c r="E446" s="247" t="str">
        <f>GC!C45</f>
        <v>Meters</v>
      </c>
      <c r="F446" s="247"/>
      <c r="G446" s="247"/>
      <c r="H446" s="247"/>
      <c r="I446" s="247"/>
      <c r="J446" s="81">
        <f ca="1">J406*(1+INDEX(J$310:J$312,MATCH(Work_Codes!$I$251,$D$310:$D$312,0)))</f>
        <v>0</v>
      </c>
      <c r="K446" s="81">
        <f ca="1">K406*(1+INDEX(K$310:K$312,MATCH(Work_Codes!$I$251,$D$310:$D$312,0)))</f>
        <v>0</v>
      </c>
      <c r="L446" s="81">
        <f ca="1">L406*(1+INDEX(L$310:L$312,MATCH(Work_Codes!$I$251,$D$310:$D$312,0)))</f>
        <v>0</v>
      </c>
      <c r="M446" s="81">
        <f ca="1">M406*(1+INDEX(M$310:M$312,MATCH(Work_Codes!$I$251,$D$310:$D$312,0)))</f>
        <v>0</v>
      </c>
      <c r="N446" s="81">
        <f ca="1">N406*(1+INDEX(N$310:N$312,MATCH(Work_Codes!$I$251,$D$310:$D$312,0)))</f>
        <v>0</v>
      </c>
      <c r="O446" s="81">
        <f ca="1">O406*(1+INDEX(O$310:O$312,MATCH(Work_Codes!$I$251,$D$310:$D$312,0)))</f>
        <v>0</v>
      </c>
      <c r="P446" s="81">
        <f ca="1">P406*(1+INDEX(P$310:P$312,MATCH(Work_Codes!$I$251,$D$310:$D$312,0)))</f>
        <v>0</v>
      </c>
      <c r="Q446" s="81">
        <f ca="1">Q406*(1+INDEX(Q$310:Q$312,MATCH(Work_Codes!$I$251,$D$310:$D$312,0)))</f>
        <v>0</v>
      </c>
      <c r="R446" s="81">
        <f ca="1">R406*(1+INDEX(R$310:R$312,MATCH(Work_Codes!$I$251,$D$310:$D$312,0)))</f>
        <v>0</v>
      </c>
      <c r="S446" s="81">
        <f ca="1">S406*(1+INDEX(S$310:S$312,MATCH(Work_Codes!$I$251,$D$310:$D$312,0)))</f>
        <v>0</v>
      </c>
      <c r="T446" s="81">
        <f ca="1">T406*(1+INDEX(T$310:T$312,MATCH(Work_Codes!$I$251,$D$310:$D$312,0)))</f>
        <v>0</v>
      </c>
    </row>
    <row r="447" spans="4:20" ht="11.5" customHeight="1" outlineLevel="2">
      <c r="E447" s="247" t="str">
        <f>GC!C46</f>
        <v>SCADA and remote control</v>
      </c>
      <c r="F447" s="247"/>
      <c r="G447" s="247"/>
      <c r="H447" s="247"/>
      <c r="I447" s="247"/>
      <c r="J447" s="81">
        <f ca="1">J407*(1+INDEX(J$310:J$312,MATCH(Work_Codes!$I$251,$D$310:$D$312,0)))</f>
        <v>0</v>
      </c>
      <c r="K447" s="81">
        <f ca="1">K407*(1+INDEX(K$310:K$312,MATCH(Work_Codes!$I$251,$D$310:$D$312,0)))</f>
        <v>0</v>
      </c>
      <c r="L447" s="81">
        <f ca="1">L407*(1+INDEX(L$310:L$312,MATCH(Work_Codes!$I$251,$D$310:$D$312,0)))</f>
        <v>0</v>
      </c>
      <c r="M447" s="81">
        <f ca="1">M407*(1+INDEX(M$310:M$312,MATCH(Work_Codes!$I$251,$D$310:$D$312,0)))</f>
        <v>0</v>
      </c>
      <c r="N447" s="81">
        <f ca="1">N407*(1+INDEX(N$310:N$312,MATCH(Work_Codes!$I$251,$D$310:$D$312,0)))</f>
        <v>0</v>
      </c>
      <c r="O447" s="81">
        <f ca="1">O407*(1+INDEX(O$310:O$312,MATCH(Work_Codes!$I$251,$D$310:$D$312,0)))</f>
        <v>0</v>
      </c>
      <c r="P447" s="81">
        <f ca="1">P407*(1+INDEX(P$310:P$312,MATCH(Work_Codes!$I$251,$D$310:$D$312,0)))</f>
        <v>0</v>
      </c>
      <c r="Q447" s="81">
        <f ca="1">Q407*(1+INDEX(Q$310:Q$312,MATCH(Work_Codes!$I$251,$D$310:$D$312,0)))</f>
        <v>0</v>
      </c>
      <c r="R447" s="81">
        <f ca="1">R407*(1+INDEX(R$310:R$312,MATCH(Work_Codes!$I$251,$D$310:$D$312,0)))</f>
        <v>0</v>
      </c>
      <c r="S447" s="81">
        <f ca="1">S407*(1+INDEX(S$310:S$312,MATCH(Work_Codes!$I$251,$D$310:$D$312,0)))</f>
        <v>0</v>
      </c>
      <c r="T447" s="81">
        <f ca="1">T407*(1+INDEX(T$310:T$312,MATCH(Work_Codes!$I$251,$D$310:$D$312,0)))</f>
        <v>0</v>
      </c>
    </row>
    <row r="448" spans="4:20" ht="11.5" customHeight="1" outlineLevel="2">
      <c r="E448" s="247" t="str">
        <f>GC!C47</f>
        <v>Buildings</v>
      </c>
      <c r="F448" s="247"/>
      <c r="G448" s="247"/>
      <c r="H448" s="247"/>
      <c r="I448" s="247"/>
      <c r="J448" s="81">
        <f ca="1">J408*(1+INDEX(J$310:J$312,MATCH(Work_Codes!$I$251,$D$310:$D$312,0)))</f>
        <v>0</v>
      </c>
      <c r="K448" s="81">
        <f ca="1">K408*(1+INDEX(K$310:K$312,MATCH(Work_Codes!$I$251,$D$310:$D$312,0)))</f>
        <v>0</v>
      </c>
      <c r="L448" s="81">
        <f ca="1">L408*(1+INDEX(L$310:L$312,MATCH(Work_Codes!$I$251,$D$310:$D$312,0)))</f>
        <v>0</v>
      </c>
      <c r="M448" s="81">
        <f ca="1">M408*(1+INDEX(M$310:M$312,MATCH(Work_Codes!$I$251,$D$310:$D$312,0)))</f>
        <v>0</v>
      </c>
      <c r="N448" s="81">
        <f ca="1">N408*(1+INDEX(N$310:N$312,MATCH(Work_Codes!$I$251,$D$310:$D$312,0)))</f>
        <v>0</v>
      </c>
      <c r="O448" s="81">
        <f ca="1">O408*(1+INDEX(O$310:O$312,MATCH(Work_Codes!$I$251,$D$310:$D$312,0)))</f>
        <v>0</v>
      </c>
      <c r="P448" s="81">
        <f ca="1">P408*(1+INDEX(P$310:P$312,MATCH(Work_Codes!$I$251,$D$310:$D$312,0)))</f>
        <v>0</v>
      </c>
      <c r="Q448" s="81">
        <f ca="1">Q408*(1+INDEX(Q$310:Q$312,MATCH(Work_Codes!$I$251,$D$310:$D$312,0)))</f>
        <v>0</v>
      </c>
      <c r="R448" s="81">
        <f ca="1">R408*(1+INDEX(R$310:R$312,MATCH(Work_Codes!$I$251,$D$310:$D$312,0)))</f>
        <v>0</v>
      </c>
      <c r="S448" s="81">
        <f ca="1">S408*(1+INDEX(S$310:S$312,MATCH(Work_Codes!$I$251,$D$310:$D$312,0)))</f>
        <v>0</v>
      </c>
      <c r="T448" s="81">
        <f ca="1">T408*(1+INDEX(T$310:T$312,MATCH(Work_Codes!$I$251,$D$310:$D$312,0)))</f>
        <v>0</v>
      </c>
    </row>
    <row r="449" spans="4:20" ht="11.5" customHeight="1" outlineLevel="2">
      <c r="E449" s="247" t="str">
        <f>GC!C48</f>
        <v>Other - IT</v>
      </c>
      <c r="F449" s="247"/>
      <c r="G449" s="247"/>
      <c r="H449" s="247"/>
      <c r="I449" s="247"/>
      <c r="J449" s="81">
        <f ca="1">J409*(1+INDEX(J$310:J$312,MATCH(Work_Codes!$I$251,$D$310:$D$312,0)))</f>
        <v>0</v>
      </c>
      <c r="K449" s="81">
        <f ca="1">K409*(1+INDEX(K$310:K$312,MATCH(Work_Codes!$I$251,$D$310:$D$312,0)))</f>
        <v>0</v>
      </c>
      <c r="L449" s="81">
        <f ca="1">L409*(1+INDEX(L$310:L$312,MATCH(Work_Codes!$I$251,$D$310:$D$312,0)))</f>
        <v>0</v>
      </c>
      <c r="M449" s="81">
        <f ca="1">M409*(1+INDEX(M$310:M$312,MATCH(Work_Codes!$I$251,$D$310:$D$312,0)))</f>
        <v>0</v>
      </c>
      <c r="N449" s="81">
        <f ca="1">N409*(1+INDEX(N$310:N$312,MATCH(Work_Codes!$I$251,$D$310:$D$312,0)))</f>
        <v>0</v>
      </c>
      <c r="O449" s="81">
        <f ca="1">O409*(1+INDEX(O$310:O$312,MATCH(Work_Codes!$I$251,$D$310:$D$312,0)))</f>
        <v>0</v>
      </c>
      <c r="P449" s="81">
        <f ca="1">P409*(1+INDEX(P$310:P$312,MATCH(Work_Codes!$I$251,$D$310:$D$312,0)))</f>
        <v>0</v>
      </c>
      <c r="Q449" s="81">
        <f ca="1">Q409*(1+INDEX(Q$310:Q$312,MATCH(Work_Codes!$I$251,$D$310:$D$312,0)))</f>
        <v>0</v>
      </c>
      <c r="R449" s="81">
        <f ca="1">R409*(1+INDEX(R$310:R$312,MATCH(Work_Codes!$I$251,$D$310:$D$312,0)))</f>
        <v>0</v>
      </c>
      <c r="S449" s="81">
        <f ca="1">S409*(1+INDEX(S$310:S$312,MATCH(Work_Codes!$I$251,$D$310:$D$312,0)))</f>
        <v>0</v>
      </c>
      <c r="T449" s="81">
        <f ca="1">T409*(1+INDEX(T$310:T$312,MATCH(Work_Codes!$I$251,$D$310:$D$312,0)))</f>
        <v>0</v>
      </c>
    </row>
    <row r="450" spans="4:20" ht="11.5" customHeight="1" outlineLevel="2">
      <c r="E450" s="247" t="str">
        <f>GC!C49</f>
        <v>Other - non IT</v>
      </c>
      <c r="F450" s="247"/>
      <c r="G450" s="247"/>
      <c r="H450" s="247"/>
      <c r="I450" s="247"/>
      <c r="J450" s="81">
        <f ca="1">J410*(1+INDEX(J$310:J$312,MATCH(Work_Codes!$I$251,$D$310:$D$312,0)))</f>
        <v>0</v>
      </c>
      <c r="K450" s="81">
        <f ca="1">K410*(1+INDEX(K$310:K$312,MATCH(Work_Codes!$I$251,$D$310:$D$312,0)))</f>
        <v>0</v>
      </c>
      <c r="L450" s="81">
        <f ca="1">L410*(1+INDEX(L$310:L$312,MATCH(Work_Codes!$I$251,$D$310:$D$312,0)))</f>
        <v>0</v>
      </c>
      <c r="M450" s="81">
        <f ca="1">M410*(1+INDEX(M$310:M$312,MATCH(Work_Codes!$I$251,$D$310:$D$312,0)))</f>
        <v>0</v>
      </c>
      <c r="N450" s="81">
        <f ca="1">N410*(1+INDEX(N$310:N$312,MATCH(Work_Codes!$I$251,$D$310:$D$312,0)))</f>
        <v>0</v>
      </c>
      <c r="O450" s="81">
        <f ca="1">O410*(1+INDEX(O$310:O$312,MATCH(Work_Codes!$I$251,$D$310:$D$312,0)))</f>
        <v>0</v>
      </c>
      <c r="P450" s="81">
        <f ca="1">P410*(1+INDEX(P$310:P$312,MATCH(Work_Codes!$I$251,$D$310:$D$312,0)))</f>
        <v>0</v>
      </c>
      <c r="Q450" s="81">
        <f ca="1">Q410*(1+INDEX(Q$310:Q$312,MATCH(Work_Codes!$I$251,$D$310:$D$312,0)))</f>
        <v>0</v>
      </c>
      <c r="R450" s="81">
        <f ca="1">R410*(1+INDEX(R$310:R$312,MATCH(Work_Codes!$I$251,$D$310:$D$312,0)))</f>
        <v>0</v>
      </c>
      <c r="S450" s="81">
        <f ca="1">S410*(1+INDEX(S$310:S$312,MATCH(Work_Codes!$I$251,$D$310:$D$312,0)))</f>
        <v>0</v>
      </c>
      <c r="T450" s="81">
        <f ca="1">T410*(1+INDEX(T$310:T$312,MATCH(Work_Codes!$I$251,$D$310:$D$312,0)))</f>
        <v>0</v>
      </c>
    </row>
    <row r="451" spans="4:20" ht="11.5" customHeight="1" outlineLevel="2">
      <c r="E451" s="247" t="str">
        <f>GC!C50</f>
        <v>Land</v>
      </c>
      <c r="F451" s="247"/>
      <c r="G451" s="247"/>
      <c r="H451" s="247"/>
      <c r="I451" s="247"/>
      <c r="J451" s="81">
        <f ca="1">J411*(1+INDEX(J$310:J$312,MATCH(Work_Codes!$I$251,$D$310:$D$312,0)))</f>
        <v>0</v>
      </c>
      <c r="K451" s="81">
        <f ca="1">K411*(1+INDEX(K$310:K$312,MATCH(Work_Codes!$I$251,$D$310:$D$312,0)))</f>
        <v>0</v>
      </c>
      <c r="L451" s="81">
        <f ca="1">L411*(1+INDEX(L$310:L$312,MATCH(Work_Codes!$I$251,$D$310:$D$312,0)))</f>
        <v>0</v>
      </c>
      <c r="M451" s="81">
        <f ca="1">M411*(1+INDEX(M$310:M$312,MATCH(Work_Codes!$I$251,$D$310:$D$312,0)))</f>
        <v>0</v>
      </c>
      <c r="N451" s="81">
        <f ca="1">N411*(1+INDEX(N$310:N$312,MATCH(Work_Codes!$I$251,$D$310:$D$312,0)))</f>
        <v>0</v>
      </c>
      <c r="O451" s="81">
        <f ca="1">O411*(1+INDEX(O$310:O$312,MATCH(Work_Codes!$I$251,$D$310:$D$312,0)))</f>
        <v>0</v>
      </c>
      <c r="P451" s="81">
        <f ca="1">P411*(1+INDEX(P$310:P$312,MATCH(Work_Codes!$I$251,$D$310:$D$312,0)))</f>
        <v>0</v>
      </c>
      <c r="Q451" s="81">
        <f ca="1">Q411*(1+INDEX(Q$310:Q$312,MATCH(Work_Codes!$I$251,$D$310:$D$312,0)))</f>
        <v>0</v>
      </c>
      <c r="R451" s="81">
        <f ca="1">R411*(1+INDEX(R$310:R$312,MATCH(Work_Codes!$I$251,$D$310:$D$312,0)))</f>
        <v>0</v>
      </c>
      <c r="S451" s="81">
        <f ca="1">S411*(1+INDEX(S$310:S$312,MATCH(Work_Codes!$I$251,$D$310:$D$312,0)))</f>
        <v>0</v>
      </c>
      <c r="T451" s="81">
        <f ca="1">T411*(1+INDEX(T$310:T$312,MATCH(Work_Codes!$I$251,$D$310:$D$312,0)))</f>
        <v>0</v>
      </c>
    </row>
    <row r="452" spans="4:20" outlineLevel="2">
      <c r="E452" s="247" t="str">
        <f>GC!C51</f>
        <v>Capitalised Leases</v>
      </c>
      <c r="F452" s="247"/>
      <c r="G452" s="247"/>
      <c r="H452" s="247"/>
      <c r="I452" s="247"/>
      <c r="J452" s="81">
        <f ca="1">J412*(1+INDEX(J$310:J$312,MATCH(Work_Codes!$I$251,$D$310:$D$312,0)))</f>
        <v>0</v>
      </c>
      <c r="K452" s="81">
        <f ca="1">K412*(1+INDEX(K$310:K$312,MATCH(Work_Codes!$I$251,$D$310:$D$312,0)))</f>
        <v>0</v>
      </c>
      <c r="L452" s="81">
        <f ca="1">L412*(1+INDEX(L$310:L$312,MATCH(Work_Codes!$I$251,$D$310:$D$312,0)))</f>
        <v>0</v>
      </c>
      <c r="M452" s="81">
        <f ca="1">M412*(1+INDEX(M$310:M$312,MATCH(Work_Codes!$I$251,$D$310:$D$312,0)))</f>
        <v>0</v>
      </c>
      <c r="N452" s="81">
        <f ca="1">N412*(1+INDEX(N$310:N$312,MATCH(Work_Codes!$I$251,$D$310:$D$312,0)))</f>
        <v>0</v>
      </c>
      <c r="O452" s="81">
        <f ca="1">O412*(1+INDEX(O$310:O$312,MATCH(Work_Codes!$I$251,$D$310:$D$312,0)))</f>
        <v>0</v>
      </c>
      <c r="P452" s="81">
        <f ca="1">P412*(1+INDEX(P$310:P$312,MATCH(Work_Codes!$I$251,$D$310:$D$312,0)))</f>
        <v>0</v>
      </c>
      <c r="Q452" s="81">
        <f ca="1">Q412*(1+INDEX(Q$310:Q$312,MATCH(Work_Codes!$I$251,$D$310:$D$312,0)))</f>
        <v>0</v>
      </c>
      <c r="R452" s="81">
        <f ca="1">R412*(1+INDEX(R$310:R$312,MATCH(Work_Codes!$I$251,$D$310:$D$312,0)))</f>
        <v>0</v>
      </c>
      <c r="S452" s="81">
        <f ca="1">S412*(1+INDEX(S$310:S$312,MATCH(Work_Codes!$I$251,$D$310:$D$312,0)))</f>
        <v>0</v>
      </c>
      <c r="T452" s="81">
        <f ca="1">T412*(1+INDEX(T$310:T$312,MATCH(Work_Codes!$I$251,$D$310:$D$312,0)))</f>
        <v>0</v>
      </c>
    </row>
    <row r="453" spans="4:20" outlineLevel="2">
      <c r="E453" s="247" t="str">
        <f>GC!C52</f>
        <v>Transmission pipelines - post 1998</v>
      </c>
      <c r="F453" s="247"/>
      <c r="G453" s="247"/>
      <c r="H453" s="247"/>
      <c r="I453" s="247"/>
      <c r="J453" s="81">
        <f ca="1">J413*(1+INDEX(J$310:J$312,MATCH(Work_Codes!$I$251,$D$310:$D$312,0)))</f>
        <v>0</v>
      </c>
      <c r="K453" s="81">
        <f ca="1">K413*(1+INDEX(K$310:K$312,MATCH(Work_Codes!$I$251,$D$310:$D$312,0)))</f>
        <v>0</v>
      </c>
      <c r="L453" s="81">
        <f ca="1">L413*(1+INDEX(L$310:L$312,MATCH(Work_Codes!$I$251,$D$310:$D$312,0)))</f>
        <v>0</v>
      </c>
      <c r="M453" s="81">
        <f ca="1">M413*(1+INDEX(M$310:M$312,MATCH(Work_Codes!$I$251,$D$310:$D$312,0)))</f>
        <v>0</v>
      </c>
      <c r="N453" s="81">
        <f ca="1">N413*(1+INDEX(N$310:N$312,MATCH(Work_Codes!$I$251,$D$310:$D$312,0)))</f>
        <v>0</v>
      </c>
      <c r="O453" s="81">
        <f ca="1">O413*(1+INDEX(O$310:O$312,MATCH(Work_Codes!$I$251,$D$310:$D$312,0)))</f>
        <v>0</v>
      </c>
      <c r="P453" s="81">
        <f ca="1">P413*(1+INDEX(P$310:P$312,MATCH(Work_Codes!$I$251,$D$310:$D$312,0)))</f>
        <v>0</v>
      </c>
      <c r="Q453" s="81">
        <f ca="1">Q413*(1+INDEX(Q$310:Q$312,MATCH(Work_Codes!$I$251,$D$310:$D$312,0)))</f>
        <v>0</v>
      </c>
      <c r="R453" s="81">
        <f ca="1">R413*(1+INDEX(R$310:R$312,MATCH(Work_Codes!$I$251,$D$310:$D$312,0)))</f>
        <v>0</v>
      </c>
      <c r="S453" s="81">
        <f ca="1">S413*(1+INDEX(S$310:S$312,MATCH(Work_Codes!$I$251,$D$310:$D$312,0)))</f>
        <v>0</v>
      </c>
      <c r="T453" s="81">
        <f ca="1">T413*(1+INDEX(T$310:T$312,MATCH(Work_Codes!$I$251,$D$310:$D$312,0)))</f>
        <v>0</v>
      </c>
    </row>
    <row r="454" spans="4:20" outlineLevel="2">
      <c r="E454" s="247" t="str">
        <f>GC!C53</f>
        <v>Distribution pipelines - post 1998</v>
      </c>
      <c r="F454" s="247"/>
      <c r="G454" s="247"/>
      <c r="H454" s="247"/>
      <c r="I454" s="247"/>
      <c r="J454" s="81">
        <f ca="1">J414*(1+INDEX(J$310:J$312,MATCH(Work_Codes!$I$251,$D$310:$D$312,0)))</f>
        <v>0</v>
      </c>
      <c r="K454" s="81">
        <f ca="1">K414*(1+INDEX(K$310:K$312,MATCH(Work_Codes!$I$251,$D$310:$D$312,0)))</f>
        <v>0</v>
      </c>
      <c r="L454" s="81">
        <f ca="1">L414*(1+INDEX(L$310:L$312,MATCH(Work_Codes!$I$251,$D$310:$D$312,0)))</f>
        <v>0</v>
      </c>
      <c r="M454" s="81">
        <f ca="1">M414*(1+INDEX(M$310:M$312,MATCH(Work_Codes!$I$251,$D$310:$D$312,0)))</f>
        <v>0</v>
      </c>
      <c r="N454" s="81">
        <f ca="1">N414*(1+INDEX(N$310:N$312,MATCH(Work_Codes!$I$251,$D$310:$D$312,0)))</f>
        <v>0</v>
      </c>
      <c r="O454" s="81">
        <f ca="1">O414*(1+INDEX(O$310:O$312,MATCH(Work_Codes!$I$251,$D$310:$D$312,0)))</f>
        <v>0</v>
      </c>
      <c r="P454" s="81">
        <f ca="1">P414*(1+INDEX(P$310:P$312,MATCH(Work_Codes!$I$251,$D$310:$D$312,0)))</f>
        <v>0</v>
      </c>
      <c r="Q454" s="81">
        <f ca="1">Q414*(1+INDEX(Q$310:Q$312,MATCH(Work_Codes!$I$251,$D$310:$D$312,0)))</f>
        <v>0</v>
      </c>
      <c r="R454" s="81">
        <f ca="1">R414*(1+INDEX(R$310:R$312,MATCH(Work_Codes!$I$251,$D$310:$D$312,0)))</f>
        <v>0</v>
      </c>
      <c r="S454" s="81">
        <f ca="1">S414*(1+INDEX(S$310:S$312,MATCH(Work_Codes!$I$251,$D$310:$D$312,0)))</f>
        <v>0</v>
      </c>
      <c r="T454" s="81">
        <f ca="1">T414*(1+INDEX(T$310:T$312,MATCH(Work_Codes!$I$251,$D$310:$D$312,0)))</f>
        <v>0</v>
      </c>
    </row>
    <row r="455" spans="4:20" outlineLevel="2">
      <c r="E455" s="247" t="str">
        <f>GC!C54</f>
        <v>Service pipes - post 1998</v>
      </c>
      <c r="F455" s="247"/>
      <c r="G455" s="247"/>
      <c r="H455" s="247"/>
      <c r="I455" s="247"/>
      <c r="J455" s="81">
        <f ca="1">J415*(1+INDEX(J$310:J$312,MATCH(Work_Codes!$I$251,$D$310:$D$312,0)))</f>
        <v>0</v>
      </c>
      <c r="K455" s="81">
        <f ca="1">K415*(1+INDEX(K$310:K$312,MATCH(Work_Codes!$I$251,$D$310:$D$312,0)))</f>
        <v>0</v>
      </c>
      <c r="L455" s="81">
        <f ca="1">L415*(1+INDEX(L$310:L$312,MATCH(Work_Codes!$I$251,$D$310:$D$312,0)))</f>
        <v>0</v>
      </c>
      <c r="M455" s="81">
        <f ca="1">M415*(1+INDEX(M$310:M$312,MATCH(Work_Codes!$I$251,$D$310:$D$312,0)))</f>
        <v>0</v>
      </c>
      <c r="N455" s="81">
        <f ca="1">N415*(1+INDEX(N$310:N$312,MATCH(Work_Codes!$I$251,$D$310:$D$312,0)))</f>
        <v>0</v>
      </c>
      <c r="O455" s="81">
        <f ca="1">O415*(1+INDEX(O$310:O$312,MATCH(Work_Codes!$I$251,$D$310:$D$312,0)))</f>
        <v>0</v>
      </c>
      <c r="P455" s="81">
        <f ca="1">P415*(1+INDEX(P$310:P$312,MATCH(Work_Codes!$I$251,$D$310:$D$312,0)))</f>
        <v>0</v>
      </c>
      <c r="Q455" s="81">
        <f ca="1">Q415*(1+INDEX(Q$310:Q$312,MATCH(Work_Codes!$I$251,$D$310:$D$312,0)))</f>
        <v>0</v>
      </c>
      <c r="R455" s="81">
        <f ca="1">R415*(1+INDEX(R$310:R$312,MATCH(Work_Codes!$I$251,$D$310:$D$312,0)))</f>
        <v>0</v>
      </c>
      <c r="S455" s="81">
        <f ca="1">S415*(1+INDEX(S$310:S$312,MATCH(Work_Codes!$I$251,$D$310:$D$312,0)))</f>
        <v>0</v>
      </c>
      <c r="T455" s="81">
        <f ca="1">T415*(1+INDEX(T$310:T$312,MATCH(Work_Codes!$I$251,$D$310:$D$312,0)))</f>
        <v>0</v>
      </c>
    </row>
    <row r="456" spans="4:20" outlineLevel="2">
      <c r="E456" s="247" t="str">
        <f>GC!C55</f>
        <v>Cathodic protection - post 1998</v>
      </c>
      <c r="F456" s="247"/>
      <c r="G456" s="247"/>
      <c r="H456" s="247"/>
      <c r="I456" s="247"/>
      <c r="J456" s="81">
        <f ca="1">J416*(1+INDEX(J$310:J$312,MATCH(Work_Codes!$I$251,$D$310:$D$312,0)))</f>
        <v>0</v>
      </c>
      <c r="K456" s="81">
        <f ca="1">K416*(1+INDEX(K$310:K$312,MATCH(Work_Codes!$I$251,$D$310:$D$312,0)))</f>
        <v>0</v>
      </c>
      <c r="L456" s="81">
        <f ca="1">L416*(1+INDEX(L$310:L$312,MATCH(Work_Codes!$I$251,$D$310:$D$312,0)))</f>
        <v>0</v>
      </c>
      <c r="M456" s="81">
        <f ca="1">M416*(1+INDEX(M$310:M$312,MATCH(Work_Codes!$I$251,$D$310:$D$312,0)))</f>
        <v>0</v>
      </c>
      <c r="N456" s="81">
        <f ca="1">N416*(1+INDEX(N$310:N$312,MATCH(Work_Codes!$I$251,$D$310:$D$312,0)))</f>
        <v>0</v>
      </c>
      <c r="O456" s="81">
        <f ca="1">O416*(1+INDEX(O$310:O$312,MATCH(Work_Codes!$I$251,$D$310:$D$312,0)))</f>
        <v>0</v>
      </c>
      <c r="P456" s="81">
        <f ca="1">P416*(1+INDEX(P$310:P$312,MATCH(Work_Codes!$I$251,$D$310:$D$312,0)))</f>
        <v>0</v>
      </c>
      <c r="Q456" s="81">
        <f ca="1">Q416*(1+INDEX(Q$310:Q$312,MATCH(Work_Codes!$I$251,$D$310:$D$312,0)))</f>
        <v>0</v>
      </c>
      <c r="R456" s="81">
        <f ca="1">R416*(1+INDEX(R$310:R$312,MATCH(Work_Codes!$I$251,$D$310:$D$312,0)))</f>
        <v>0</v>
      </c>
      <c r="S456" s="81">
        <f ca="1">S416*(1+INDEX(S$310:S$312,MATCH(Work_Codes!$I$251,$D$310:$D$312,0)))</f>
        <v>0</v>
      </c>
      <c r="T456" s="81">
        <f ca="1">T416*(1+INDEX(T$310:T$312,MATCH(Work_Codes!$I$251,$D$310:$D$312,0)))</f>
        <v>0</v>
      </c>
    </row>
    <row r="457" spans="4:20" ht="12" customHeight="1" outlineLevel="2">
      <c r="E457" s="249" t="str">
        <f>"Total "&amp;D439</f>
        <v>Total Direct Costs + Overheads</v>
      </c>
      <c r="F457" s="249"/>
      <c r="G457" s="249"/>
      <c r="H457" s="249"/>
      <c r="I457" s="249"/>
      <c r="J457" s="82">
        <f t="shared" ref="J457:T457" ca="1" si="48">SUM(J441:J456)</f>
        <v>0</v>
      </c>
      <c r="K457" s="82">
        <f t="shared" ca="1" si="48"/>
        <v>0</v>
      </c>
      <c r="L457" s="82">
        <f t="shared" ca="1" si="48"/>
        <v>0</v>
      </c>
      <c r="M457" s="82">
        <f t="shared" ca="1" si="48"/>
        <v>0</v>
      </c>
      <c r="N457" s="82">
        <f t="shared" ca="1" si="48"/>
        <v>0</v>
      </c>
      <c r="O457" s="82">
        <f t="shared" ca="1" si="48"/>
        <v>904837.46285997739</v>
      </c>
      <c r="P457" s="82">
        <f t="shared" ca="1" si="48"/>
        <v>1798417.1462318224</v>
      </c>
      <c r="Q457" s="82">
        <f t="shared" ca="1" si="48"/>
        <v>1797488.0175518033</v>
      </c>
      <c r="R457" s="82">
        <f t="shared" ca="1" si="48"/>
        <v>1799314.330397421</v>
      </c>
      <c r="S457" s="82">
        <f t="shared" ca="1" si="48"/>
        <v>1802654.300263783</v>
      </c>
      <c r="T457" s="82">
        <f t="shared" ca="1" si="48"/>
        <v>1805475.9907779892</v>
      </c>
    </row>
    <row r="458" spans="4:20" outlineLevel="2"/>
    <row r="459" spans="4:20" outlineLevel="2">
      <c r="D459" s="37" t="s">
        <v>367</v>
      </c>
    </row>
    <row r="460" spans="4:20" ht="5.9" customHeight="1" outlineLevel="2"/>
    <row r="461" spans="4:20" outlineLevel="2">
      <c r="E461" s="247" t="str">
        <f>GC!C40</f>
        <v>Transmission pipelines</v>
      </c>
      <c r="F461" s="247"/>
      <c r="G461" s="247"/>
      <c r="H461" s="247"/>
      <c r="I461" s="247"/>
      <c r="J461" s="81">
        <f ca="1">SUMPRODUCT((Work_Codes!$N$254:$Y$254=$E461)*(Work_Codes!$N$265:$Y$265)*(J$349:J$349))</f>
        <v>0</v>
      </c>
      <c r="K461" s="81">
        <f ca="1">SUMPRODUCT((Work_Codes!$N$254:$Y$254=$E461)*(Work_Codes!$N$265:$Y$265)*(K$349:K$349))</f>
        <v>0</v>
      </c>
      <c r="L461" s="81">
        <f ca="1">SUMPRODUCT((Work_Codes!$N$254:$Y$254=$E461)*(Work_Codes!$N$265:$Y$265)*(L$349:L$349))</f>
        <v>0</v>
      </c>
      <c r="M461" s="81">
        <f ca="1">SUMPRODUCT((Work_Codes!$N$254:$Y$254=$E461)*(Work_Codes!$N$265:$Y$265)*(M$349:M$349))</f>
        <v>0</v>
      </c>
      <c r="N461" s="81">
        <f ca="1">SUMPRODUCT((Work_Codes!$N$254:$Y$254=$E461)*(Work_Codes!$N$265:$Y$265)*(N$349:N$349))</f>
        <v>0</v>
      </c>
      <c r="O461" s="81">
        <f ca="1">SUMPRODUCT((Work_Codes!$N$254:$Y$254=$E461)*(Work_Codes!$N$265:$Y$265)*(O$349:O$349))</f>
        <v>0</v>
      </c>
      <c r="P461" s="81">
        <f ca="1">SUMPRODUCT((Work_Codes!$N$254:$Y$254=$E461)*(Work_Codes!$N$265:$Y$265)*(P$349:P$349))</f>
        <v>0</v>
      </c>
      <c r="Q461" s="81">
        <f ca="1">SUMPRODUCT((Work_Codes!$N$254:$Y$254=$E461)*(Work_Codes!$N$265:$Y$265)*(Q$349:Q$349))</f>
        <v>0</v>
      </c>
      <c r="R461" s="81">
        <f ca="1">SUMPRODUCT((Work_Codes!$N$254:$Y$254=$E461)*(Work_Codes!$N$265:$Y$265)*(R$349:R$349))</f>
        <v>0</v>
      </c>
      <c r="S461" s="81">
        <f ca="1">SUMPRODUCT((Work_Codes!$N$254:$Y$254=$E461)*(Work_Codes!$N$265:$Y$265)*(S$349:S$349))</f>
        <v>0</v>
      </c>
      <c r="T461" s="81">
        <f ca="1">SUMPRODUCT((Work_Codes!$N$254:$Y$254=$E461)*(Work_Codes!$N$265:$Y$265)*(T$349:T$349))</f>
        <v>0</v>
      </c>
    </row>
    <row r="462" spans="4:20" outlineLevel="2">
      <c r="E462" s="247" t="str">
        <f>GC!C41</f>
        <v>Distribution pipelines</v>
      </c>
      <c r="F462" s="247"/>
      <c r="G462" s="247"/>
      <c r="H462" s="247"/>
      <c r="I462" s="247"/>
      <c r="J462" s="81">
        <f ca="1">SUMPRODUCT((Work_Codes!$N$254:$Y$254=$E462)*(Work_Codes!$N$265:$Y$265)*(J$349:J$349))</f>
        <v>0</v>
      </c>
      <c r="K462" s="81">
        <f ca="1">SUMPRODUCT((Work_Codes!$N$254:$Y$254=$E462)*(Work_Codes!$N$265:$Y$265)*(K$349:K$349))</f>
        <v>0</v>
      </c>
      <c r="L462" s="81">
        <f ca="1">SUMPRODUCT((Work_Codes!$N$254:$Y$254=$E462)*(Work_Codes!$N$265:$Y$265)*(L$349:L$349))</f>
        <v>0</v>
      </c>
      <c r="M462" s="81">
        <f ca="1">SUMPRODUCT((Work_Codes!$N$254:$Y$254=$E462)*(Work_Codes!$N$265:$Y$265)*(M$349:M$349))</f>
        <v>0</v>
      </c>
      <c r="N462" s="81">
        <f ca="1">SUMPRODUCT((Work_Codes!$N$254:$Y$254=$E462)*(Work_Codes!$N$265:$Y$265)*(N$349:N$349))</f>
        <v>0</v>
      </c>
      <c r="O462" s="81">
        <f ca="1">SUMPRODUCT((Work_Codes!$N$254:$Y$254=$E462)*(Work_Codes!$N$265:$Y$265)*(O$349:O$349))</f>
        <v>0</v>
      </c>
      <c r="P462" s="81">
        <f ca="1">SUMPRODUCT((Work_Codes!$N$254:$Y$254=$E462)*(Work_Codes!$N$265:$Y$265)*(P$349:P$349))</f>
        <v>0</v>
      </c>
      <c r="Q462" s="81">
        <f ca="1">SUMPRODUCT((Work_Codes!$N$254:$Y$254=$E462)*(Work_Codes!$N$265:$Y$265)*(Q$349:Q$349))</f>
        <v>0</v>
      </c>
      <c r="R462" s="81">
        <f ca="1">SUMPRODUCT((Work_Codes!$N$254:$Y$254=$E462)*(Work_Codes!$N$265:$Y$265)*(R$349:R$349))</f>
        <v>0</v>
      </c>
      <c r="S462" s="81">
        <f ca="1">SUMPRODUCT((Work_Codes!$N$254:$Y$254=$E462)*(Work_Codes!$N$265:$Y$265)*(S$349:S$349))</f>
        <v>0</v>
      </c>
      <c r="T462" s="81">
        <f ca="1">SUMPRODUCT((Work_Codes!$N$254:$Y$254=$E462)*(Work_Codes!$N$265:$Y$265)*(T$349:T$349))</f>
        <v>0</v>
      </c>
    </row>
    <row r="463" spans="4:20" outlineLevel="2">
      <c r="E463" s="247" t="str">
        <f>GC!C42</f>
        <v>Service pipes</v>
      </c>
      <c r="F463" s="247"/>
      <c r="G463" s="247"/>
      <c r="H463" s="247"/>
      <c r="I463" s="247"/>
      <c r="J463" s="81">
        <f ca="1">SUMPRODUCT((Work_Codes!$N$254:$Y$254=$E463)*(Work_Codes!$N$265:$Y$265)*(J$349:J$349))</f>
        <v>0</v>
      </c>
      <c r="K463" s="81">
        <f ca="1">SUMPRODUCT((Work_Codes!$N$254:$Y$254=$E463)*(Work_Codes!$N$265:$Y$265)*(K$349:K$349))</f>
        <v>0</v>
      </c>
      <c r="L463" s="81">
        <f ca="1">SUMPRODUCT((Work_Codes!$N$254:$Y$254=$E463)*(Work_Codes!$N$265:$Y$265)*(L$349:L$349))</f>
        <v>0</v>
      </c>
      <c r="M463" s="81">
        <f ca="1">SUMPRODUCT((Work_Codes!$N$254:$Y$254=$E463)*(Work_Codes!$N$265:$Y$265)*(M$349:M$349))</f>
        <v>0</v>
      </c>
      <c r="N463" s="81">
        <f ca="1">SUMPRODUCT((Work_Codes!$N$254:$Y$254=$E463)*(Work_Codes!$N$265:$Y$265)*(N$349:N$349))</f>
        <v>0</v>
      </c>
      <c r="O463" s="81">
        <f ca="1">SUMPRODUCT((Work_Codes!$N$254:$Y$254=$E463)*(Work_Codes!$N$265:$Y$265)*(O$349:O$349))</f>
        <v>0</v>
      </c>
      <c r="P463" s="81">
        <f ca="1">SUMPRODUCT((Work_Codes!$N$254:$Y$254=$E463)*(Work_Codes!$N$265:$Y$265)*(P$349:P$349))</f>
        <v>0</v>
      </c>
      <c r="Q463" s="81">
        <f ca="1">SUMPRODUCT((Work_Codes!$N$254:$Y$254=$E463)*(Work_Codes!$N$265:$Y$265)*(Q$349:Q$349))</f>
        <v>0</v>
      </c>
      <c r="R463" s="81">
        <f ca="1">SUMPRODUCT((Work_Codes!$N$254:$Y$254=$E463)*(Work_Codes!$N$265:$Y$265)*(R$349:R$349))</f>
        <v>0</v>
      </c>
      <c r="S463" s="81">
        <f ca="1">SUMPRODUCT((Work_Codes!$N$254:$Y$254=$E463)*(Work_Codes!$N$265:$Y$265)*(S$349:S$349))</f>
        <v>0</v>
      </c>
      <c r="T463" s="81">
        <f ca="1">SUMPRODUCT((Work_Codes!$N$254:$Y$254=$E463)*(Work_Codes!$N$265:$Y$265)*(T$349:T$349))</f>
        <v>0</v>
      </c>
    </row>
    <row r="464" spans="4:20" outlineLevel="2">
      <c r="E464" s="247" t="str">
        <f>GC!C43</f>
        <v>Cathodic protection</v>
      </c>
      <c r="F464" s="247"/>
      <c r="G464" s="247"/>
      <c r="H464" s="247"/>
      <c r="I464" s="247"/>
      <c r="J464" s="81">
        <f ca="1">SUMPRODUCT((Work_Codes!$N$254:$Y$254=$E464)*(Work_Codes!$N$265:$Y$265)*(J$349:J$349))</f>
        <v>0</v>
      </c>
      <c r="K464" s="81">
        <f ca="1">SUMPRODUCT((Work_Codes!$N$254:$Y$254=$E464)*(Work_Codes!$N$265:$Y$265)*(K$349:K$349))</f>
        <v>0</v>
      </c>
      <c r="L464" s="81">
        <f ca="1">SUMPRODUCT((Work_Codes!$N$254:$Y$254=$E464)*(Work_Codes!$N$265:$Y$265)*(L$349:L$349))</f>
        <v>0</v>
      </c>
      <c r="M464" s="81">
        <f ca="1">SUMPRODUCT((Work_Codes!$N$254:$Y$254=$E464)*(Work_Codes!$N$265:$Y$265)*(M$349:M$349))</f>
        <v>0</v>
      </c>
      <c r="N464" s="81">
        <f ca="1">SUMPRODUCT((Work_Codes!$N$254:$Y$254=$E464)*(Work_Codes!$N$265:$Y$265)*(N$349:N$349))</f>
        <v>0</v>
      </c>
      <c r="O464" s="81">
        <f ca="1">SUMPRODUCT((Work_Codes!$N$254:$Y$254=$E464)*(Work_Codes!$N$265:$Y$265)*(O$349:O$349))</f>
        <v>0</v>
      </c>
      <c r="P464" s="81">
        <f ca="1">SUMPRODUCT((Work_Codes!$N$254:$Y$254=$E464)*(Work_Codes!$N$265:$Y$265)*(P$349:P$349))</f>
        <v>0</v>
      </c>
      <c r="Q464" s="81">
        <f ca="1">SUMPRODUCT((Work_Codes!$N$254:$Y$254=$E464)*(Work_Codes!$N$265:$Y$265)*(Q$349:Q$349))</f>
        <v>0</v>
      </c>
      <c r="R464" s="81">
        <f ca="1">SUMPRODUCT((Work_Codes!$N$254:$Y$254=$E464)*(Work_Codes!$N$265:$Y$265)*(R$349:R$349))</f>
        <v>0</v>
      </c>
      <c r="S464" s="81">
        <f ca="1">SUMPRODUCT((Work_Codes!$N$254:$Y$254=$E464)*(Work_Codes!$N$265:$Y$265)*(S$349:S$349))</f>
        <v>0</v>
      </c>
      <c r="T464" s="81">
        <f ca="1">SUMPRODUCT((Work_Codes!$N$254:$Y$254=$E464)*(Work_Codes!$N$265:$Y$265)*(T$349:T$349))</f>
        <v>0</v>
      </c>
    </row>
    <row r="465" spans="2:20" outlineLevel="2">
      <c r="E465" s="247" t="str">
        <f>GC!C44</f>
        <v>Supply Regulators / Valve Stations</v>
      </c>
      <c r="F465" s="247"/>
      <c r="G465" s="247"/>
      <c r="H465" s="247"/>
      <c r="I465" s="247"/>
      <c r="J465" s="81">
        <f ca="1">SUMPRODUCT((Work_Codes!$N$254:$Y$254=$E465)*(Work_Codes!$N$265:$Y$265)*(J$349:J$349))</f>
        <v>0</v>
      </c>
      <c r="K465" s="81">
        <f ca="1">SUMPRODUCT((Work_Codes!$N$254:$Y$254=$E465)*(Work_Codes!$N$265:$Y$265)*(K$349:K$349))</f>
        <v>0</v>
      </c>
      <c r="L465" s="81">
        <f ca="1">SUMPRODUCT((Work_Codes!$N$254:$Y$254=$E465)*(Work_Codes!$N$265:$Y$265)*(L$349:L$349))</f>
        <v>0</v>
      </c>
      <c r="M465" s="81">
        <f ca="1">SUMPRODUCT((Work_Codes!$N$254:$Y$254=$E465)*(Work_Codes!$N$265:$Y$265)*(M$349:M$349))</f>
        <v>0</v>
      </c>
      <c r="N465" s="81">
        <f ca="1">SUMPRODUCT((Work_Codes!$N$254:$Y$254=$E465)*(Work_Codes!$N$265:$Y$265)*(N$349:N$349))</f>
        <v>0</v>
      </c>
      <c r="O465" s="81">
        <f ca="1">SUMPRODUCT((Work_Codes!$N$254:$Y$254=$E465)*(Work_Codes!$N$265:$Y$265)*(O$349:O$349))</f>
        <v>0</v>
      </c>
      <c r="P465" s="81">
        <f ca="1">SUMPRODUCT((Work_Codes!$N$254:$Y$254=$E465)*(Work_Codes!$N$265:$Y$265)*(P$349:P$349))</f>
        <v>0</v>
      </c>
      <c r="Q465" s="81">
        <f ca="1">SUMPRODUCT((Work_Codes!$N$254:$Y$254=$E465)*(Work_Codes!$N$265:$Y$265)*(Q$349:Q$349))</f>
        <v>0</v>
      </c>
      <c r="R465" s="81">
        <f ca="1">SUMPRODUCT((Work_Codes!$N$254:$Y$254=$E465)*(Work_Codes!$N$265:$Y$265)*(R$349:R$349))</f>
        <v>0</v>
      </c>
      <c r="S465" s="81">
        <f ca="1">SUMPRODUCT((Work_Codes!$N$254:$Y$254=$E465)*(Work_Codes!$N$265:$Y$265)*(S$349:S$349))</f>
        <v>0</v>
      </c>
      <c r="T465" s="81">
        <f ca="1">SUMPRODUCT((Work_Codes!$N$254:$Y$254=$E465)*(Work_Codes!$N$265:$Y$265)*(T$349:T$349))</f>
        <v>0</v>
      </c>
    </row>
    <row r="466" spans="2:20" outlineLevel="2">
      <c r="E466" s="247" t="str">
        <f>GC!C45</f>
        <v>Meters</v>
      </c>
      <c r="F466" s="247"/>
      <c r="G466" s="247"/>
      <c r="H466" s="247"/>
      <c r="I466" s="247"/>
      <c r="J466" s="81">
        <f ca="1">SUMPRODUCT((Work_Codes!$N$254:$Y$254=$E466)*(Work_Codes!$N$265:$Y$265)*(J$349:J$349))</f>
        <v>0</v>
      </c>
      <c r="K466" s="81">
        <f ca="1">SUMPRODUCT((Work_Codes!$N$254:$Y$254=$E466)*(Work_Codes!$N$265:$Y$265)*(K$349:K$349))</f>
        <v>0</v>
      </c>
      <c r="L466" s="81">
        <f ca="1">SUMPRODUCT((Work_Codes!$N$254:$Y$254=$E466)*(Work_Codes!$N$265:$Y$265)*(L$349:L$349))</f>
        <v>0</v>
      </c>
      <c r="M466" s="81">
        <f ca="1">SUMPRODUCT((Work_Codes!$N$254:$Y$254=$E466)*(Work_Codes!$N$265:$Y$265)*(M$349:M$349))</f>
        <v>0</v>
      </c>
      <c r="N466" s="81">
        <f ca="1">SUMPRODUCT((Work_Codes!$N$254:$Y$254=$E466)*(Work_Codes!$N$265:$Y$265)*(N$349:N$349))</f>
        <v>0</v>
      </c>
      <c r="O466" s="81">
        <f ca="1">SUMPRODUCT((Work_Codes!$N$254:$Y$254=$E466)*(Work_Codes!$N$265:$Y$265)*(O$349:O$349))</f>
        <v>0</v>
      </c>
      <c r="P466" s="81">
        <f ca="1">SUMPRODUCT((Work_Codes!$N$254:$Y$254=$E466)*(Work_Codes!$N$265:$Y$265)*(P$349:P$349))</f>
        <v>0</v>
      </c>
      <c r="Q466" s="81">
        <f ca="1">SUMPRODUCT((Work_Codes!$N$254:$Y$254=$E466)*(Work_Codes!$N$265:$Y$265)*(Q$349:Q$349))</f>
        <v>0</v>
      </c>
      <c r="R466" s="81">
        <f ca="1">SUMPRODUCT((Work_Codes!$N$254:$Y$254=$E466)*(Work_Codes!$N$265:$Y$265)*(R$349:R$349))</f>
        <v>0</v>
      </c>
      <c r="S466" s="81">
        <f ca="1">SUMPRODUCT((Work_Codes!$N$254:$Y$254=$E466)*(Work_Codes!$N$265:$Y$265)*(S$349:S$349))</f>
        <v>0</v>
      </c>
      <c r="T466" s="81">
        <f ca="1">SUMPRODUCT((Work_Codes!$N$254:$Y$254=$E466)*(Work_Codes!$N$265:$Y$265)*(T$349:T$349))</f>
        <v>0</v>
      </c>
    </row>
    <row r="467" spans="2:20" outlineLevel="2">
      <c r="E467" s="247" t="str">
        <f>GC!C46</f>
        <v>SCADA and remote control</v>
      </c>
      <c r="F467" s="247"/>
      <c r="G467" s="247"/>
      <c r="H467" s="247"/>
      <c r="I467" s="247"/>
      <c r="J467" s="81">
        <f ca="1">SUMPRODUCT((Work_Codes!$N$254:$Y$254=$E467)*(Work_Codes!$N$265:$Y$265)*(J$349:J$349))</f>
        <v>0</v>
      </c>
      <c r="K467" s="81">
        <f ca="1">SUMPRODUCT((Work_Codes!$N$254:$Y$254=$E467)*(Work_Codes!$N$265:$Y$265)*(K$349:K$349))</f>
        <v>0</v>
      </c>
      <c r="L467" s="81">
        <f ca="1">SUMPRODUCT((Work_Codes!$N$254:$Y$254=$E467)*(Work_Codes!$N$265:$Y$265)*(L$349:L$349))</f>
        <v>0</v>
      </c>
      <c r="M467" s="81">
        <f ca="1">SUMPRODUCT((Work_Codes!$N$254:$Y$254=$E467)*(Work_Codes!$N$265:$Y$265)*(M$349:M$349))</f>
        <v>0</v>
      </c>
      <c r="N467" s="81">
        <f ca="1">SUMPRODUCT((Work_Codes!$N$254:$Y$254=$E467)*(Work_Codes!$N$265:$Y$265)*(N$349:N$349))</f>
        <v>0</v>
      </c>
      <c r="O467" s="81">
        <f ca="1">SUMPRODUCT((Work_Codes!$N$254:$Y$254=$E467)*(Work_Codes!$N$265:$Y$265)*(O$349:O$349))</f>
        <v>0</v>
      </c>
      <c r="P467" s="81">
        <f ca="1">SUMPRODUCT((Work_Codes!$N$254:$Y$254=$E467)*(Work_Codes!$N$265:$Y$265)*(P$349:P$349))</f>
        <v>0</v>
      </c>
      <c r="Q467" s="81">
        <f ca="1">SUMPRODUCT((Work_Codes!$N$254:$Y$254=$E467)*(Work_Codes!$N$265:$Y$265)*(Q$349:Q$349))</f>
        <v>0</v>
      </c>
      <c r="R467" s="81">
        <f ca="1">SUMPRODUCT((Work_Codes!$N$254:$Y$254=$E467)*(Work_Codes!$N$265:$Y$265)*(R$349:R$349))</f>
        <v>0</v>
      </c>
      <c r="S467" s="81">
        <f ca="1">SUMPRODUCT((Work_Codes!$N$254:$Y$254=$E467)*(Work_Codes!$N$265:$Y$265)*(S$349:S$349))</f>
        <v>0</v>
      </c>
      <c r="T467" s="81">
        <f ca="1">SUMPRODUCT((Work_Codes!$N$254:$Y$254=$E467)*(Work_Codes!$N$265:$Y$265)*(T$349:T$349))</f>
        <v>0</v>
      </c>
    </row>
    <row r="468" spans="2:20" outlineLevel="2">
      <c r="E468" s="247" t="str">
        <f>GC!C47</f>
        <v>Buildings</v>
      </c>
      <c r="F468" s="247"/>
      <c r="G468" s="247"/>
      <c r="H468" s="247"/>
      <c r="I468" s="247"/>
      <c r="J468" s="81">
        <f ca="1">SUMPRODUCT((Work_Codes!$N$254:$Y$254=$E468)*(Work_Codes!$N$265:$Y$265)*(J$349:J$349))</f>
        <v>0</v>
      </c>
      <c r="K468" s="81">
        <f ca="1">SUMPRODUCT((Work_Codes!$N$254:$Y$254=$E468)*(Work_Codes!$N$265:$Y$265)*(K$349:K$349))</f>
        <v>0</v>
      </c>
      <c r="L468" s="81">
        <f ca="1">SUMPRODUCT((Work_Codes!$N$254:$Y$254=$E468)*(Work_Codes!$N$265:$Y$265)*(L$349:L$349))</f>
        <v>0</v>
      </c>
      <c r="M468" s="81">
        <f ca="1">SUMPRODUCT((Work_Codes!$N$254:$Y$254=$E468)*(Work_Codes!$N$265:$Y$265)*(M$349:M$349))</f>
        <v>0</v>
      </c>
      <c r="N468" s="81">
        <f ca="1">SUMPRODUCT((Work_Codes!$N$254:$Y$254=$E468)*(Work_Codes!$N$265:$Y$265)*(N$349:N$349))</f>
        <v>0</v>
      </c>
      <c r="O468" s="81">
        <f ca="1">SUMPRODUCT((Work_Codes!$N$254:$Y$254=$E468)*(Work_Codes!$N$265:$Y$265)*(O$349:O$349))</f>
        <v>0</v>
      </c>
      <c r="P468" s="81">
        <f ca="1">SUMPRODUCT((Work_Codes!$N$254:$Y$254=$E468)*(Work_Codes!$N$265:$Y$265)*(P$349:P$349))</f>
        <v>0</v>
      </c>
      <c r="Q468" s="81">
        <f ca="1">SUMPRODUCT((Work_Codes!$N$254:$Y$254=$E468)*(Work_Codes!$N$265:$Y$265)*(Q$349:Q$349))</f>
        <v>0</v>
      </c>
      <c r="R468" s="81">
        <f ca="1">SUMPRODUCT((Work_Codes!$N$254:$Y$254=$E468)*(Work_Codes!$N$265:$Y$265)*(R$349:R$349))</f>
        <v>0</v>
      </c>
      <c r="S468" s="81">
        <f ca="1">SUMPRODUCT((Work_Codes!$N$254:$Y$254=$E468)*(Work_Codes!$N$265:$Y$265)*(S$349:S$349))</f>
        <v>0</v>
      </c>
      <c r="T468" s="81">
        <f ca="1">SUMPRODUCT((Work_Codes!$N$254:$Y$254=$E468)*(Work_Codes!$N$265:$Y$265)*(T$349:T$349))</f>
        <v>0</v>
      </c>
    </row>
    <row r="469" spans="2:20" outlineLevel="2">
      <c r="E469" s="247" t="str">
        <f>GC!C48</f>
        <v>Other - IT</v>
      </c>
      <c r="F469" s="247"/>
      <c r="G469" s="247"/>
      <c r="H469" s="247"/>
      <c r="I469" s="247"/>
      <c r="J469" s="81">
        <f ca="1">SUMPRODUCT((Work_Codes!$N$254:$Y$254=$E469)*(Work_Codes!$N$265:$Y$265)*(J$349:J$349))</f>
        <v>0</v>
      </c>
      <c r="K469" s="81">
        <f ca="1">SUMPRODUCT((Work_Codes!$N$254:$Y$254=$E469)*(Work_Codes!$N$265:$Y$265)*(K$349:K$349))</f>
        <v>0</v>
      </c>
      <c r="L469" s="81">
        <f ca="1">SUMPRODUCT((Work_Codes!$N$254:$Y$254=$E469)*(Work_Codes!$N$265:$Y$265)*(L$349:L$349))</f>
        <v>0</v>
      </c>
      <c r="M469" s="81">
        <f ca="1">SUMPRODUCT((Work_Codes!$N$254:$Y$254=$E469)*(Work_Codes!$N$265:$Y$265)*(M$349:M$349))</f>
        <v>0</v>
      </c>
      <c r="N469" s="81">
        <f ca="1">SUMPRODUCT((Work_Codes!$N$254:$Y$254=$E469)*(Work_Codes!$N$265:$Y$265)*(N$349:N$349))</f>
        <v>0</v>
      </c>
      <c r="O469" s="81">
        <f ca="1">SUMPRODUCT((Work_Codes!$N$254:$Y$254=$E469)*(Work_Codes!$N$265:$Y$265)*(O$349:O$349))</f>
        <v>0</v>
      </c>
      <c r="P469" s="81">
        <f ca="1">SUMPRODUCT((Work_Codes!$N$254:$Y$254=$E469)*(Work_Codes!$N$265:$Y$265)*(P$349:P$349))</f>
        <v>0</v>
      </c>
      <c r="Q469" s="81">
        <f ca="1">SUMPRODUCT((Work_Codes!$N$254:$Y$254=$E469)*(Work_Codes!$N$265:$Y$265)*(Q$349:Q$349))</f>
        <v>0</v>
      </c>
      <c r="R469" s="81">
        <f ca="1">SUMPRODUCT((Work_Codes!$N$254:$Y$254=$E469)*(Work_Codes!$N$265:$Y$265)*(R$349:R$349))</f>
        <v>0</v>
      </c>
      <c r="S469" s="81">
        <f ca="1">SUMPRODUCT((Work_Codes!$N$254:$Y$254=$E469)*(Work_Codes!$N$265:$Y$265)*(S$349:S$349))</f>
        <v>0</v>
      </c>
      <c r="T469" s="81">
        <f ca="1">SUMPRODUCT((Work_Codes!$N$254:$Y$254=$E469)*(Work_Codes!$N$265:$Y$265)*(T$349:T$349))</f>
        <v>0</v>
      </c>
    </row>
    <row r="470" spans="2:20" outlineLevel="2">
      <c r="E470" s="247" t="str">
        <f>GC!C49</f>
        <v>Other - non IT</v>
      </c>
      <c r="F470" s="247"/>
      <c r="G470" s="247"/>
      <c r="H470" s="247"/>
      <c r="I470" s="247"/>
      <c r="J470" s="81">
        <f ca="1">SUMPRODUCT((Work_Codes!$N$254:$Y$254=$E470)*(Work_Codes!$N$265:$Y$265)*(J$349:J$349))</f>
        <v>0</v>
      </c>
      <c r="K470" s="81">
        <f ca="1">SUMPRODUCT((Work_Codes!$N$254:$Y$254=$E470)*(Work_Codes!$N$265:$Y$265)*(K$349:K$349))</f>
        <v>0</v>
      </c>
      <c r="L470" s="81">
        <f ca="1">SUMPRODUCT((Work_Codes!$N$254:$Y$254=$E470)*(Work_Codes!$N$265:$Y$265)*(L$349:L$349))</f>
        <v>0</v>
      </c>
      <c r="M470" s="81">
        <f ca="1">SUMPRODUCT((Work_Codes!$N$254:$Y$254=$E470)*(Work_Codes!$N$265:$Y$265)*(M$349:M$349))</f>
        <v>0</v>
      </c>
      <c r="N470" s="81">
        <f ca="1">SUMPRODUCT((Work_Codes!$N$254:$Y$254=$E470)*(Work_Codes!$N$265:$Y$265)*(N$349:N$349))</f>
        <v>0</v>
      </c>
      <c r="O470" s="81">
        <f ca="1">SUMPRODUCT((Work_Codes!$N$254:$Y$254=$E470)*(Work_Codes!$N$265:$Y$265)*(O$349:O$349))</f>
        <v>0</v>
      </c>
      <c r="P470" s="81">
        <f ca="1">SUMPRODUCT((Work_Codes!$N$254:$Y$254=$E470)*(Work_Codes!$N$265:$Y$265)*(P$349:P$349))</f>
        <v>0</v>
      </c>
      <c r="Q470" s="81">
        <f ca="1">SUMPRODUCT((Work_Codes!$N$254:$Y$254=$E470)*(Work_Codes!$N$265:$Y$265)*(Q$349:Q$349))</f>
        <v>0</v>
      </c>
      <c r="R470" s="81">
        <f ca="1">SUMPRODUCT((Work_Codes!$N$254:$Y$254=$E470)*(Work_Codes!$N$265:$Y$265)*(R$349:R$349))</f>
        <v>0</v>
      </c>
      <c r="S470" s="81">
        <f ca="1">SUMPRODUCT((Work_Codes!$N$254:$Y$254=$E470)*(Work_Codes!$N$265:$Y$265)*(S$349:S$349))</f>
        <v>0</v>
      </c>
      <c r="T470" s="81">
        <f ca="1">SUMPRODUCT((Work_Codes!$N$254:$Y$254=$E470)*(Work_Codes!$N$265:$Y$265)*(T$349:T$349))</f>
        <v>0</v>
      </c>
    </row>
    <row r="471" spans="2:20" outlineLevel="2">
      <c r="E471" s="247" t="str">
        <f>GC!C50</f>
        <v>Land</v>
      </c>
      <c r="F471" s="247"/>
      <c r="G471" s="247"/>
      <c r="H471" s="247"/>
      <c r="I471" s="247"/>
      <c r="J471" s="81">
        <f ca="1">SUMPRODUCT((Work_Codes!$N$254:$Y$254=$E471)*(Work_Codes!$N$265:$Y$265)*(J$349:J$349))</f>
        <v>0</v>
      </c>
      <c r="K471" s="81">
        <f ca="1">SUMPRODUCT((Work_Codes!$N$254:$Y$254=$E471)*(Work_Codes!$N$265:$Y$265)*(K$349:K$349))</f>
        <v>0</v>
      </c>
      <c r="L471" s="81">
        <f ca="1">SUMPRODUCT((Work_Codes!$N$254:$Y$254=$E471)*(Work_Codes!$N$265:$Y$265)*(L$349:L$349))</f>
        <v>0</v>
      </c>
      <c r="M471" s="81">
        <f ca="1">SUMPRODUCT((Work_Codes!$N$254:$Y$254=$E471)*(Work_Codes!$N$265:$Y$265)*(M$349:M$349))</f>
        <v>0</v>
      </c>
      <c r="N471" s="81">
        <f ca="1">SUMPRODUCT((Work_Codes!$N$254:$Y$254=$E471)*(Work_Codes!$N$265:$Y$265)*(N$349:N$349))</f>
        <v>0</v>
      </c>
      <c r="O471" s="81">
        <f ca="1">SUMPRODUCT((Work_Codes!$N$254:$Y$254=$E471)*(Work_Codes!$N$265:$Y$265)*(O$349:O$349))</f>
        <v>0</v>
      </c>
      <c r="P471" s="81">
        <f ca="1">SUMPRODUCT((Work_Codes!$N$254:$Y$254=$E471)*(Work_Codes!$N$265:$Y$265)*(P$349:P$349))</f>
        <v>0</v>
      </c>
      <c r="Q471" s="81">
        <f ca="1">SUMPRODUCT((Work_Codes!$N$254:$Y$254=$E471)*(Work_Codes!$N$265:$Y$265)*(Q$349:Q$349))</f>
        <v>0</v>
      </c>
      <c r="R471" s="81">
        <f ca="1">SUMPRODUCT((Work_Codes!$N$254:$Y$254=$E471)*(Work_Codes!$N$265:$Y$265)*(R$349:R$349))</f>
        <v>0</v>
      </c>
      <c r="S471" s="81">
        <f ca="1">SUMPRODUCT((Work_Codes!$N$254:$Y$254=$E471)*(Work_Codes!$N$265:$Y$265)*(S$349:S$349))</f>
        <v>0</v>
      </c>
      <c r="T471" s="81">
        <f ca="1">SUMPRODUCT((Work_Codes!$N$254:$Y$254=$E471)*(Work_Codes!$N$265:$Y$265)*(T$349:T$349))</f>
        <v>0</v>
      </c>
    </row>
    <row r="472" spans="2:20" outlineLevel="2">
      <c r="E472" s="247" t="str">
        <f>GC!C51</f>
        <v>Capitalised Leases</v>
      </c>
      <c r="F472" s="247"/>
      <c r="G472" s="247"/>
      <c r="H472" s="247"/>
      <c r="I472" s="247"/>
      <c r="J472" s="81">
        <f ca="1">SUMPRODUCT((Work_Codes!$N$254:$Y$254=$E472)*(Work_Codes!$N$265:$Y$265)*(J$349:J$349))</f>
        <v>0</v>
      </c>
      <c r="K472" s="81">
        <f ca="1">SUMPRODUCT((Work_Codes!$N$254:$Y$254=$E472)*(Work_Codes!$N$265:$Y$265)*(K$349:K$349))</f>
        <v>0</v>
      </c>
      <c r="L472" s="81">
        <f ca="1">SUMPRODUCT((Work_Codes!$N$254:$Y$254=$E472)*(Work_Codes!$N$265:$Y$265)*(L$349:L$349))</f>
        <v>0</v>
      </c>
      <c r="M472" s="81">
        <f ca="1">SUMPRODUCT((Work_Codes!$N$254:$Y$254=$E472)*(Work_Codes!$N$265:$Y$265)*(M$349:M$349))</f>
        <v>0</v>
      </c>
      <c r="N472" s="81">
        <f ca="1">SUMPRODUCT((Work_Codes!$N$254:$Y$254=$E472)*(Work_Codes!$N$265:$Y$265)*(N$349:N$349))</f>
        <v>0</v>
      </c>
      <c r="O472" s="81">
        <f ca="1">SUMPRODUCT((Work_Codes!$N$254:$Y$254=$E472)*(Work_Codes!$N$265:$Y$265)*(O$349:O$349))</f>
        <v>0</v>
      </c>
      <c r="P472" s="81">
        <f ca="1">SUMPRODUCT((Work_Codes!$N$254:$Y$254=$E472)*(Work_Codes!$N$265:$Y$265)*(P$349:P$349))</f>
        <v>0</v>
      </c>
      <c r="Q472" s="81">
        <f ca="1">SUMPRODUCT((Work_Codes!$N$254:$Y$254=$E472)*(Work_Codes!$N$265:$Y$265)*(Q$349:Q$349))</f>
        <v>0</v>
      </c>
      <c r="R472" s="81">
        <f ca="1">SUMPRODUCT((Work_Codes!$N$254:$Y$254=$E472)*(Work_Codes!$N$265:$Y$265)*(R$349:R$349))</f>
        <v>0</v>
      </c>
      <c r="S472" s="81">
        <f ca="1">SUMPRODUCT((Work_Codes!$N$254:$Y$254=$E472)*(Work_Codes!$N$265:$Y$265)*(S$349:S$349))</f>
        <v>0</v>
      </c>
      <c r="T472" s="81">
        <f ca="1">SUMPRODUCT((Work_Codes!$N$254:$Y$254=$E472)*(Work_Codes!$N$265:$Y$265)*(T$349:T$349))</f>
        <v>0</v>
      </c>
    </row>
    <row r="473" spans="2:20" outlineLevel="2">
      <c r="E473" s="247" t="str">
        <f>GC!C52</f>
        <v>Transmission pipelines - post 1998</v>
      </c>
      <c r="F473" s="247"/>
      <c r="G473" s="247"/>
      <c r="H473" s="247"/>
      <c r="I473" s="247"/>
      <c r="J473" s="81">
        <f ca="1">SUMPRODUCT((Work_Codes!$N$254:$Y$254=$E473)*(Work_Codes!$N$265:$Y$265)*(J$349:J$349))</f>
        <v>0</v>
      </c>
      <c r="K473" s="81">
        <f ca="1">SUMPRODUCT((Work_Codes!$N$254:$Y$254=$E473)*(Work_Codes!$N$265:$Y$265)*(K$349:K$349))</f>
        <v>0</v>
      </c>
      <c r="L473" s="81">
        <f ca="1">SUMPRODUCT((Work_Codes!$N$254:$Y$254=$E473)*(Work_Codes!$N$265:$Y$265)*(L$349:L$349))</f>
        <v>0</v>
      </c>
      <c r="M473" s="81">
        <f ca="1">SUMPRODUCT((Work_Codes!$N$254:$Y$254=$E473)*(Work_Codes!$N$265:$Y$265)*(M$349:M$349))</f>
        <v>0</v>
      </c>
      <c r="N473" s="81">
        <f ca="1">SUMPRODUCT((Work_Codes!$N$254:$Y$254=$E473)*(Work_Codes!$N$265:$Y$265)*(N$349:N$349))</f>
        <v>0</v>
      </c>
      <c r="O473" s="81">
        <f ca="1">SUMPRODUCT((Work_Codes!$N$254:$Y$254=$E473)*(Work_Codes!$N$265:$Y$265)*(O$349:O$349))</f>
        <v>0</v>
      </c>
      <c r="P473" s="81">
        <f ca="1">SUMPRODUCT((Work_Codes!$N$254:$Y$254=$E473)*(Work_Codes!$N$265:$Y$265)*(P$349:P$349))</f>
        <v>0</v>
      </c>
      <c r="Q473" s="81">
        <f ca="1">SUMPRODUCT((Work_Codes!$N$254:$Y$254=$E473)*(Work_Codes!$N$265:$Y$265)*(Q$349:Q$349))</f>
        <v>0</v>
      </c>
      <c r="R473" s="81">
        <f ca="1">SUMPRODUCT((Work_Codes!$N$254:$Y$254=$E473)*(Work_Codes!$N$265:$Y$265)*(R$349:R$349))</f>
        <v>0</v>
      </c>
      <c r="S473" s="81">
        <f ca="1">SUMPRODUCT((Work_Codes!$N$254:$Y$254=$E473)*(Work_Codes!$N$265:$Y$265)*(S$349:S$349))</f>
        <v>0</v>
      </c>
      <c r="T473" s="81">
        <f ca="1">SUMPRODUCT((Work_Codes!$N$254:$Y$254=$E473)*(Work_Codes!$N$265:$Y$265)*(T$349:T$349))</f>
        <v>0</v>
      </c>
    </row>
    <row r="474" spans="2:20" outlineLevel="2">
      <c r="E474" s="247" t="str">
        <f>GC!C53</f>
        <v>Distribution pipelines - post 1998</v>
      </c>
      <c r="F474" s="247"/>
      <c r="G474" s="247"/>
      <c r="H474" s="247"/>
      <c r="I474" s="247"/>
      <c r="J474" s="81">
        <f ca="1">SUMPRODUCT((Work_Codes!$N$254:$Y$254=$E474)*(Work_Codes!$N$265:$Y$265)*(J$349:J$349))</f>
        <v>0</v>
      </c>
      <c r="K474" s="81">
        <f ca="1">SUMPRODUCT((Work_Codes!$N$254:$Y$254=$E474)*(Work_Codes!$N$265:$Y$265)*(K$349:K$349))</f>
        <v>0</v>
      </c>
      <c r="L474" s="81">
        <f ca="1">SUMPRODUCT((Work_Codes!$N$254:$Y$254=$E474)*(Work_Codes!$N$265:$Y$265)*(L$349:L$349))</f>
        <v>0</v>
      </c>
      <c r="M474" s="81">
        <f ca="1">SUMPRODUCT((Work_Codes!$N$254:$Y$254=$E474)*(Work_Codes!$N$265:$Y$265)*(M$349:M$349))</f>
        <v>0</v>
      </c>
      <c r="N474" s="81">
        <f ca="1">SUMPRODUCT((Work_Codes!$N$254:$Y$254=$E474)*(Work_Codes!$N$265:$Y$265)*(N$349:N$349))</f>
        <v>0</v>
      </c>
      <c r="O474" s="81">
        <f ca="1">SUMPRODUCT((Work_Codes!$N$254:$Y$254=$E474)*(Work_Codes!$N$265:$Y$265)*(O$349:O$349))</f>
        <v>0</v>
      </c>
      <c r="P474" s="81">
        <f ca="1">SUMPRODUCT((Work_Codes!$N$254:$Y$254=$E474)*(Work_Codes!$N$265:$Y$265)*(P$349:P$349))</f>
        <v>0</v>
      </c>
      <c r="Q474" s="81">
        <f ca="1">SUMPRODUCT((Work_Codes!$N$254:$Y$254=$E474)*(Work_Codes!$N$265:$Y$265)*(Q$349:Q$349))</f>
        <v>0</v>
      </c>
      <c r="R474" s="81">
        <f ca="1">SUMPRODUCT((Work_Codes!$N$254:$Y$254=$E474)*(Work_Codes!$N$265:$Y$265)*(R$349:R$349))</f>
        <v>0</v>
      </c>
      <c r="S474" s="81">
        <f ca="1">SUMPRODUCT((Work_Codes!$N$254:$Y$254=$E474)*(Work_Codes!$N$265:$Y$265)*(S$349:S$349))</f>
        <v>0</v>
      </c>
      <c r="T474" s="81">
        <f ca="1">SUMPRODUCT((Work_Codes!$N$254:$Y$254=$E474)*(Work_Codes!$N$265:$Y$265)*(T$349:T$349))</f>
        <v>0</v>
      </c>
    </row>
    <row r="475" spans="2:20" outlineLevel="2">
      <c r="E475" s="247" t="str">
        <f>GC!C54</f>
        <v>Service pipes - post 1998</v>
      </c>
      <c r="F475" s="247"/>
      <c r="G475" s="247"/>
      <c r="H475" s="247"/>
      <c r="I475" s="247"/>
      <c r="J475" s="81">
        <f ca="1">SUMPRODUCT((Work_Codes!$N$254:$Y$254=$E475)*(Work_Codes!$N$265:$Y$265)*(J$349:J$349))</f>
        <v>0</v>
      </c>
      <c r="K475" s="81">
        <f ca="1">SUMPRODUCT((Work_Codes!$N$254:$Y$254=$E475)*(Work_Codes!$N$265:$Y$265)*(K$349:K$349))</f>
        <v>0</v>
      </c>
      <c r="L475" s="81">
        <f ca="1">SUMPRODUCT((Work_Codes!$N$254:$Y$254=$E475)*(Work_Codes!$N$265:$Y$265)*(L$349:L$349))</f>
        <v>0</v>
      </c>
      <c r="M475" s="81">
        <f ca="1">SUMPRODUCT((Work_Codes!$N$254:$Y$254=$E475)*(Work_Codes!$N$265:$Y$265)*(M$349:M$349))</f>
        <v>0</v>
      </c>
      <c r="N475" s="81">
        <f ca="1">SUMPRODUCT((Work_Codes!$N$254:$Y$254=$E475)*(Work_Codes!$N$265:$Y$265)*(N$349:N$349))</f>
        <v>0</v>
      </c>
      <c r="O475" s="81">
        <f ca="1">SUMPRODUCT((Work_Codes!$N$254:$Y$254=$E475)*(Work_Codes!$N$265:$Y$265)*(O$349:O$349))</f>
        <v>0</v>
      </c>
      <c r="P475" s="81">
        <f ca="1">SUMPRODUCT((Work_Codes!$N$254:$Y$254=$E475)*(Work_Codes!$N$265:$Y$265)*(P$349:P$349))</f>
        <v>0</v>
      </c>
      <c r="Q475" s="81">
        <f ca="1">SUMPRODUCT((Work_Codes!$N$254:$Y$254=$E475)*(Work_Codes!$N$265:$Y$265)*(Q$349:Q$349))</f>
        <v>0</v>
      </c>
      <c r="R475" s="81">
        <f ca="1">SUMPRODUCT((Work_Codes!$N$254:$Y$254=$E475)*(Work_Codes!$N$265:$Y$265)*(R$349:R$349))</f>
        <v>0</v>
      </c>
      <c r="S475" s="81">
        <f ca="1">SUMPRODUCT((Work_Codes!$N$254:$Y$254=$E475)*(Work_Codes!$N$265:$Y$265)*(S$349:S$349))</f>
        <v>0</v>
      </c>
      <c r="T475" s="81">
        <f ca="1">SUMPRODUCT((Work_Codes!$N$254:$Y$254=$E475)*(Work_Codes!$N$265:$Y$265)*(T$349:T$349))</f>
        <v>0</v>
      </c>
    </row>
    <row r="476" spans="2:20" outlineLevel="2">
      <c r="E476" s="247" t="str">
        <f>GC!C55</f>
        <v>Cathodic protection - post 1998</v>
      </c>
      <c r="F476" s="247"/>
      <c r="G476" s="247"/>
      <c r="H476" s="247"/>
      <c r="I476" s="247"/>
      <c r="J476" s="81">
        <f ca="1">SUMPRODUCT((Work_Codes!$N$254:$Y$254=$E476)*(Work_Codes!$N$265:$Y$265)*(J$349:J$349))</f>
        <v>0</v>
      </c>
      <c r="K476" s="81">
        <f ca="1">SUMPRODUCT((Work_Codes!$N$254:$Y$254=$E476)*(Work_Codes!$N$265:$Y$265)*(K$349:K$349))</f>
        <v>0</v>
      </c>
      <c r="L476" s="81">
        <f ca="1">SUMPRODUCT((Work_Codes!$N$254:$Y$254=$E476)*(Work_Codes!$N$265:$Y$265)*(L$349:L$349))</f>
        <v>0</v>
      </c>
      <c r="M476" s="81">
        <f ca="1">SUMPRODUCT((Work_Codes!$N$254:$Y$254=$E476)*(Work_Codes!$N$265:$Y$265)*(M$349:M$349))</f>
        <v>0</v>
      </c>
      <c r="N476" s="81">
        <f ca="1">SUMPRODUCT((Work_Codes!$N$254:$Y$254=$E476)*(Work_Codes!$N$265:$Y$265)*(N$349:N$349))</f>
        <v>0</v>
      </c>
      <c r="O476" s="81">
        <f ca="1">SUMPRODUCT((Work_Codes!$N$254:$Y$254=$E476)*(Work_Codes!$N$265:$Y$265)*(O$349:O$349))</f>
        <v>0</v>
      </c>
      <c r="P476" s="81">
        <f ca="1">SUMPRODUCT((Work_Codes!$N$254:$Y$254=$E476)*(Work_Codes!$N$265:$Y$265)*(P$349:P$349))</f>
        <v>0</v>
      </c>
      <c r="Q476" s="81">
        <f ca="1">SUMPRODUCT((Work_Codes!$N$254:$Y$254=$E476)*(Work_Codes!$N$265:$Y$265)*(Q$349:Q$349))</f>
        <v>0</v>
      </c>
      <c r="R476" s="81">
        <f ca="1">SUMPRODUCT((Work_Codes!$N$254:$Y$254=$E476)*(Work_Codes!$N$265:$Y$265)*(R$349:R$349))</f>
        <v>0</v>
      </c>
      <c r="S476" s="81">
        <f ca="1">SUMPRODUCT((Work_Codes!$N$254:$Y$254=$E476)*(Work_Codes!$N$265:$Y$265)*(S$349:S$349))</f>
        <v>0</v>
      </c>
      <c r="T476" s="81">
        <f ca="1">SUMPRODUCT((Work_Codes!$N$254:$Y$254=$E476)*(Work_Codes!$N$265:$Y$265)*(T$349:T$349))</f>
        <v>0</v>
      </c>
    </row>
    <row r="477" spans="2:20" outlineLevel="2">
      <c r="E477" s="249" t="str">
        <f>"Total "&amp;D459</f>
        <v>Total Customer Contributions</v>
      </c>
      <c r="F477" s="249"/>
      <c r="G477" s="249"/>
      <c r="H477" s="249"/>
      <c r="I477" s="249"/>
      <c r="J477" s="82">
        <f t="shared" ref="J477:T477" ca="1" si="49">SUM(J461:J476)</f>
        <v>0</v>
      </c>
      <c r="K477" s="82">
        <f t="shared" ca="1" si="49"/>
        <v>0</v>
      </c>
      <c r="L477" s="82">
        <f t="shared" ca="1" si="49"/>
        <v>0</v>
      </c>
      <c r="M477" s="82">
        <f t="shared" ca="1" si="49"/>
        <v>0</v>
      </c>
      <c r="N477" s="82">
        <f t="shared" ca="1" si="49"/>
        <v>0</v>
      </c>
      <c r="O477" s="82">
        <f t="shared" ca="1" si="49"/>
        <v>0</v>
      </c>
      <c r="P477" s="82">
        <f t="shared" ca="1" si="49"/>
        <v>0</v>
      </c>
      <c r="Q477" s="82">
        <f t="shared" ca="1" si="49"/>
        <v>0</v>
      </c>
      <c r="R477" s="82">
        <f t="shared" ca="1" si="49"/>
        <v>0</v>
      </c>
      <c r="S477" s="82">
        <f t="shared" ca="1" si="49"/>
        <v>0</v>
      </c>
      <c r="T477" s="82">
        <f t="shared" ca="1" si="49"/>
        <v>0</v>
      </c>
    </row>
    <row r="478" spans="2:20" outlineLevel="1">
      <c r="B478" s="12"/>
      <c r="C478" s="12"/>
      <c r="D478" s="12"/>
      <c r="E478" s="12"/>
      <c r="F478" s="12"/>
      <c r="G478" s="12"/>
      <c r="H478" s="12"/>
      <c r="I478" s="12"/>
      <c r="J478" s="12"/>
      <c r="K478" s="12"/>
      <c r="L478" s="12"/>
      <c r="M478" s="12"/>
      <c r="N478" s="12"/>
      <c r="O478" s="12"/>
      <c r="P478" s="12"/>
      <c r="Q478" s="12"/>
      <c r="R478" s="12"/>
      <c r="S478" s="12"/>
      <c r="T478" s="12"/>
    </row>
    <row r="479" spans="2:20" outlineLevel="1"/>
    <row r="480" spans="2:20" outlineLevel="1">
      <c r="C480" s="37" t="s">
        <v>196</v>
      </c>
    </row>
    <row r="481" spans="4:20" ht="5.9" customHeight="1" outlineLevel="2"/>
    <row r="482" spans="4:20" outlineLevel="2">
      <c r="D482" s="37" t="s">
        <v>215</v>
      </c>
    </row>
    <row r="483" spans="4:20" ht="5.9" customHeight="1" outlineLevel="2"/>
    <row r="484" spans="4:20" ht="12" customHeight="1" outlineLevel="2">
      <c r="E484" s="247" t="str">
        <f>GC!C60</f>
        <v>Mains replacement</v>
      </c>
      <c r="F484" s="247"/>
      <c r="G484" s="247"/>
      <c r="H484" s="247"/>
      <c r="I484" s="247"/>
      <c r="J484" s="81">
        <f ca="1">SUMPRODUCT((Work_Codes!$AC$254:$AO$254=$E484)*(Work_Codes!$AC$257:$AO$261)*(J$388:J$392))</f>
        <v>0</v>
      </c>
      <c r="K484" s="81">
        <f ca="1">SUMPRODUCT((Work_Codes!$AC$254:$AO$254=$E484)*(Work_Codes!$AC$257:$AO$261)*(K$388:K$392))</f>
        <v>0</v>
      </c>
      <c r="L484" s="81">
        <f ca="1">SUMPRODUCT((Work_Codes!$AC$254:$AO$254=$E484)*(Work_Codes!$AC$257:$AO$261)*(L$388:L$392))</f>
        <v>0</v>
      </c>
      <c r="M484" s="81">
        <f ca="1">SUMPRODUCT((Work_Codes!$AC$254:$AO$254=$E484)*(Work_Codes!$AC$257:$AO$261)*(M$388:M$392))</f>
        <v>0</v>
      </c>
      <c r="N484" s="81">
        <f ca="1">SUMPRODUCT((Work_Codes!$AC$254:$AO$254=$E484)*(Work_Codes!$AC$257:$AO$261)*(N$388:N$392))</f>
        <v>0</v>
      </c>
      <c r="O484" s="81">
        <f ca="1">SUMPRODUCT((Work_Codes!$AC$254:$AO$254=$E484)*(Work_Codes!$AC$257:$AO$261)*(O$388:O$392))</f>
        <v>0</v>
      </c>
      <c r="P484" s="81">
        <f ca="1">SUMPRODUCT((Work_Codes!$AC$254:$AO$254=$E484)*(Work_Codes!$AC$257:$AO$261)*(P$388:P$392))</f>
        <v>0</v>
      </c>
      <c r="Q484" s="81">
        <f ca="1">SUMPRODUCT((Work_Codes!$AC$254:$AO$254=$E484)*(Work_Codes!$AC$257:$AO$261)*(Q$388:Q$392))</f>
        <v>0</v>
      </c>
      <c r="R484" s="81">
        <f ca="1">SUMPRODUCT((Work_Codes!$AC$254:$AO$254=$E484)*(Work_Codes!$AC$257:$AO$261)*(R$388:R$392))</f>
        <v>0</v>
      </c>
      <c r="S484" s="81">
        <f ca="1">SUMPRODUCT((Work_Codes!$AC$254:$AO$254=$E484)*(Work_Codes!$AC$257:$AO$261)*(S$388:S$392))</f>
        <v>0</v>
      </c>
      <c r="T484" s="81">
        <f ca="1">SUMPRODUCT((Work_Codes!$AC$254:$AO$254=$E484)*(Work_Codes!$AC$257:$AO$261)*(T$388:T$392))</f>
        <v>0</v>
      </c>
    </row>
    <row r="485" spans="4:20" ht="12" customHeight="1" outlineLevel="2">
      <c r="E485" s="247" t="str">
        <f>GC!C61</f>
        <v>Residential new customer connections</v>
      </c>
      <c r="F485" s="247"/>
      <c r="G485" s="247"/>
      <c r="H485" s="247"/>
      <c r="I485" s="247"/>
      <c r="J485" s="81">
        <f ca="1">SUMPRODUCT((Work_Codes!$AC$254:$AO$254=$E485)*(Work_Codes!$AC$257:$AO$261)*(J$388:J$392))</f>
        <v>0</v>
      </c>
      <c r="K485" s="81">
        <f ca="1">SUMPRODUCT((Work_Codes!$AC$254:$AO$254=$E485)*(Work_Codes!$AC$257:$AO$261)*(K$388:K$392))</f>
        <v>0</v>
      </c>
      <c r="L485" s="81">
        <f ca="1">SUMPRODUCT((Work_Codes!$AC$254:$AO$254=$E485)*(Work_Codes!$AC$257:$AO$261)*(L$388:L$392))</f>
        <v>0</v>
      </c>
      <c r="M485" s="81">
        <f ca="1">SUMPRODUCT((Work_Codes!$AC$254:$AO$254=$E485)*(Work_Codes!$AC$257:$AO$261)*(M$388:M$392))</f>
        <v>0</v>
      </c>
      <c r="N485" s="81">
        <f ca="1">SUMPRODUCT((Work_Codes!$AC$254:$AO$254=$E485)*(Work_Codes!$AC$257:$AO$261)*(N$388:N$392))</f>
        <v>0</v>
      </c>
      <c r="O485" s="81">
        <f ca="1">SUMPRODUCT((Work_Codes!$AC$254:$AO$254=$E485)*(Work_Codes!$AC$257:$AO$261)*(O$388:O$392))</f>
        <v>0</v>
      </c>
      <c r="P485" s="81">
        <f ca="1">SUMPRODUCT((Work_Codes!$AC$254:$AO$254=$E485)*(Work_Codes!$AC$257:$AO$261)*(P$388:P$392))</f>
        <v>0</v>
      </c>
      <c r="Q485" s="81">
        <f ca="1">SUMPRODUCT((Work_Codes!$AC$254:$AO$254=$E485)*(Work_Codes!$AC$257:$AO$261)*(Q$388:Q$392))</f>
        <v>0</v>
      </c>
      <c r="R485" s="81">
        <f ca="1">SUMPRODUCT((Work_Codes!$AC$254:$AO$254=$E485)*(Work_Codes!$AC$257:$AO$261)*(R$388:R$392))</f>
        <v>0</v>
      </c>
      <c r="S485" s="81">
        <f ca="1">SUMPRODUCT((Work_Codes!$AC$254:$AO$254=$E485)*(Work_Codes!$AC$257:$AO$261)*(S$388:S$392))</f>
        <v>0</v>
      </c>
      <c r="T485" s="81">
        <f ca="1">SUMPRODUCT((Work_Codes!$AC$254:$AO$254=$E485)*(Work_Codes!$AC$257:$AO$261)*(T$388:T$392))</f>
        <v>0</v>
      </c>
    </row>
    <row r="486" spans="4:20" ht="12" customHeight="1" outlineLevel="2">
      <c r="E486" s="247" t="str">
        <f>GC!C62</f>
        <v>Commercial and industrial new customer connections</v>
      </c>
      <c r="F486" s="247"/>
      <c r="G486" s="247"/>
      <c r="H486" s="247"/>
      <c r="I486" s="247"/>
      <c r="J486" s="81">
        <f ca="1">SUMPRODUCT((Work_Codes!$AC$254:$AO$254=$E486)*(Work_Codes!$AC$257:$AO$261)*(J$388:J$392))</f>
        <v>0</v>
      </c>
      <c r="K486" s="81">
        <f ca="1">SUMPRODUCT((Work_Codes!$AC$254:$AO$254=$E486)*(Work_Codes!$AC$257:$AO$261)*(K$388:K$392))</f>
        <v>0</v>
      </c>
      <c r="L486" s="81">
        <f ca="1">SUMPRODUCT((Work_Codes!$AC$254:$AO$254=$E486)*(Work_Codes!$AC$257:$AO$261)*(L$388:L$392))</f>
        <v>0</v>
      </c>
      <c r="M486" s="81">
        <f ca="1">SUMPRODUCT((Work_Codes!$AC$254:$AO$254=$E486)*(Work_Codes!$AC$257:$AO$261)*(M$388:M$392))</f>
        <v>0</v>
      </c>
      <c r="N486" s="81">
        <f ca="1">SUMPRODUCT((Work_Codes!$AC$254:$AO$254=$E486)*(Work_Codes!$AC$257:$AO$261)*(N$388:N$392))</f>
        <v>0</v>
      </c>
      <c r="O486" s="81">
        <f ca="1">SUMPRODUCT((Work_Codes!$AC$254:$AO$254=$E486)*(Work_Codes!$AC$257:$AO$261)*(O$388:O$392))</f>
        <v>0</v>
      </c>
      <c r="P486" s="81">
        <f ca="1">SUMPRODUCT((Work_Codes!$AC$254:$AO$254=$E486)*(Work_Codes!$AC$257:$AO$261)*(P$388:P$392))</f>
        <v>0</v>
      </c>
      <c r="Q486" s="81">
        <f ca="1">SUMPRODUCT((Work_Codes!$AC$254:$AO$254=$E486)*(Work_Codes!$AC$257:$AO$261)*(Q$388:Q$392))</f>
        <v>0</v>
      </c>
      <c r="R486" s="81">
        <f ca="1">SUMPRODUCT((Work_Codes!$AC$254:$AO$254=$E486)*(Work_Codes!$AC$257:$AO$261)*(R$388:R$392))</f>
        <v>0</v>
      </c>
      <c r="S486" s="81">
        <f ca="1">SUMPRODUCT((Work_Codes!$AC$254:$AO$254=$E486)*(Work_Codes!$AC$257:$AO$261)*(S$388:S$392))</f>
        <v>0</v>
      </c>
      <c r="T486" s="81">
        <f ca="1">SUMPRODUCT((Work_Codes!$AC$254:$AO$254=$E486)*(Work_Codes!$AC$257:$AO$261)*(T$388:T$392))</f>
        <v>0</v>
      </c>
    </row>
    <row r="487" spans="4:20" ht="12" customHeight="1" outlineLevel="2">
      <c r="E487" s="247" t="str">
        <f>GC!C63</f>
        <v>Residential meter replacement</v>
      </c>
      <c r="F487" s="247"/>
      <c r="G487" s="247"/>
      <c r="H487" s="247"/>
      <c r="I487" s="247"/>
      <c r="J487" s="81">
        <f ca="1">SUMPRODUCT((Work_Codes!$AC$254:$AO$254=$E487)*(Work_Codes!$AC$257:$AO$261)*(J$388:J$392))</f>
        <v>0</v>
      </c>
      <c r="K487" s="81">
        <f ca="1">SUMPRODUCT((Work_Codes!$AC$254:$AO$254=$E487)*(Work_Codes!$AC$257:$AO$261)*(K$388:K$392))</f>
        <v>0</v>
      </c>
      <c r="L487" s="81">
        <f ca="1">SUMPRODUCT((Work_Codes!$AC$254:$AO$254=$E487)*(Work_Codes!$AC$257:$AO$261)*(L$388:L$392))</f>
        <v>0</v>
      </c>
      <c r="M487" s="81">
        <f ca="1">SUMPRODUCT((Work_Codes!$AC$254:$AO$254=$E487)*(Work_Codes!$AC$257:$AO$261)*(M$388:M$392))</f>
        <v>0</v>
      </c>
      <c r="N487" s="81">
        <f ca="1">SUMPRODUCT((Work_Codes!$AC$254:$AO$254=$E487)*(Work_Codes!$AC$257:$AO$261)*(N$388:N$392))</f>
        <v>0</v>
      </c>
      <c r="O487" s="81">
        <f ca="1">SUMPRODUCT((Work_Codes!$AC$254:$AO$254=$E487)*(Work_Codes!$AC$257:$AO$261)*(O$388:O$392))</f>
        <v>0</v>
      </c>
      <c r="P487" s="81">
        <f ca="1">SUMPRODUCT((Work_Codes!$AC$254:$AO$254=$E487)*(Work_Codes!$AC$257:$AO$261)*(P$388:P$392))</f>
        <v>0</v>
      </c>
      <c r="Q487" s="81">
        <f ca="1">SUMPRODUCT((Work_Codes!$AC$254:$AO$254=$E487)*(Work_Codes!$AC$257:$AO$261)*(Q$388:Q$392))</f>
        <v>0</v>
      </c>
      <c r="R487" s="81">
        <f ca="1">SUMPRODUCT((Work_Codes!$AC$254:$AO$254=$E487)*(Work_Codes!$AC$257:$AO$261)*(R$388:R$392))</f>
        <v>0</v>
      </c>
      <c r="S487" s="81">
        <f ca="1">SUMPRODUCT((Work_Codes!$AC$254:$AO$254=$E487)*(Work_Codes!$AC$257:$AO$261)*(S$388:S$392))</f>
        <v>0</v>
      </c>
      <c r="T487" s="81">
        <f ca="1">SUMPRODUCT((Work_Codes!$AC$254:$AO$254=$E487)*(Work_Codes!$AC$257:$AO$261)*(T$388:T$392))</f>
        <v>0</v>
      </c>
    </row>
    <row r="488" spans="4:20" ht="12" customHeight="1" outlineLevel="2">
      <c r="E488" s="247" t="str">
        <f>GC!C64</f>
        <v>Commercial and industrial meter replacement</v>
      </c>
      <c r="F488" s="247"/>
      <c r="G488" s="247"/>
      <c r="H488" s="247"/>
      <c r="I488" s="247"/>
      <c r="J488" s="81">
        <f ca="1">SUMPRODUCT((Work_Codes!$AC$254:$AO$254=$E488)*(Work_Codes!$AC$257:$AO$261)*(J$388:J$392))</f>
        <v>0</v>
      </c>
      <c r="K488" s="81">
        <f ca="1">SUMPRODUCT((Work_Codes!$AC$254:$AO$254=$E488)*(Work_Codes!$AC$257:$AO$261)*(K$388:K$392))</f>
        <v>0</v>
      </c>
      <c r="L488" s="81">
        <f ca="1">SUMPRODUCT((Work_Codes!$AC$254:$AO$254=$E488)*(Work_Codes!$AC$257:$AO$261)*(L$388:L$392))</f>
        <v>0</v>
      </c>
      <c r="M488" s="81">
        <f ca="1">SUMPRODUCT((Work_Codes!$AC$254:$AO$254=$E488)*(Work_Codes!$AC$257:$AO$261)*(M$388:M$392))</f>
        <v>0</v>
      </c>
      <c r="N488" s="81">
        <f ca="1">SUMPRODUCT((Work_Codes!$AC$254:$AO$254=$E488)*(Work_Codes!$AC$257:$AO$261)*(N$388:N$392))</f>
        <v>0</v>
      </c>
      <c r="O488" s="81">
        <f ca="1">SUMPRODUCT((Work_Codes!$AC$254:$AO$254=$E488)*(Work_Codes!$AC$257:$AO$261)*(O$388:O$392))</f>
        <v>0</v>
      </c>
      <c r="P488" s="81">
        <f ca="1">SUMPRODUCT((Work_Codes!$AC$254:$AO$254=$E488)*(Work_Codes!$AC$257:$AO$261)*(P$388:P$392))</f>
        <v>0</v>
      </c>
      <c r="Q488" s="81">
        <f ca="1">SUMPRODUCT((Work_Codes!$AC$254:$AO$254=$E488)*(Work_Codes!$AC$257:$AO$261)*(Q$388:Q$392))</f>
        <v>0</v>
      </c>
      <c r="R488" s="81">
        <f ca="1">SUMPRODUCT((Work_Codes!$AC$254:$AO$254=$E488)*(Work_Codes!$AC$257:$AO$261)*(R$388:R$392))</f>
        <v>0</v>
      </c>
      <c r="S488" s="81">
        <f ca="1">SUMPRODUCT((Work_Codes!$AC$254:$AO$254=$E488)*(Work_Codes!$AC$257:$AO$261)*(S$388:S$392))</f>
        <v>0</v>
      </c>
      <c r="T488" s="81">
        <f ca="1">SUMPRODUCT((Work_Codes!$AC$254:$AO$254=$E488)*(Work_Codes!$AC$257:$AO$261)*(T$388:T$392))</f>
        <v>0</v>
      </c>
    </row>
    <row r="489" spans="4:20" ht="12" customHeight="1" outlineLevel="2">
      <c r="E489" s="247" t="str">
        <f>GC!C65</f>
        <v>Augmentation</v>
      </c>
      <c r="F489" s="247"/>
      <c r="G489" s="247"/>
      <c r="H489" s="247"/>
      <c r="I489" s="247"/>
      <c r="J489" s="81">
        <f ca="1">SUMPRODUCT((Work_Codes!$AC$254:$AO$254=$E489)*(Work_Codes!$AC$257:$AO$261)*(J$388:J$392))</f>
        <v>0</v>
      </c>
      <c r="K489" s="81">
        <f ca="1">SUMPRODUCT((Work_Codes!$AC$254:$AO$254=$E489)*(Work_Codes!$AC$257:$AO$261)*(K$388:K$392))</f>
        <v>0</v>
      </c>
      <c r="L489" s="81">
        <f ca="1">SUMPRODUCT((Work_Codes!$AC$254:$AO$254=$E489)*(Work_Codes!$AC$257:$AO$261)*(L$388:L$392))</f>
        <v>0</v>
      </c>
      <c r="M489" s="81">
        <f ca="1">SUMPRODUCT((Work_Codes!$AC$254:$AO$254=$E489)*(Work_Codes!$AC$257:$AO$261)*(M$388:M$392))</f>
        <v>0</v>
      </c>
      <c r="N489" s="81">
        <f ca="1">SUMPRODUCT((Work_Codes!$AC$254:$AO$254=$E489)*(Work_Codes!$AC$257:$AO$261)*(N$388:N$392))</f>
        <v>0</v>
      </c>
      <c r="O489" s="81">
        <f ca="1">SUMPRODUCT((Work_Codes!$AC$254:$AO$254=$E489)*(Work_Codes!$AC$257:$AO$261)*(O$388:O$392))</f>
        <v>0</v>
      </c>
      <c r="P489" s="81">
        <f ca="1">SUMPRODUCT((Work_Codes!$AC$254:$AO$254=$E489)*(Work_Codes!$AC$257:$AO$261)*(P$388:P$392))</f>
        <v>0</v>
      </c>
      <c r="Q489" s="81">
        <f ca="1">SUMPRODUCT((Work_Codes!$AC$254:$AO$254=$E489)*(Work_Codes!$AC$257:$AO$261)*(Q$388:Q$392))</f>
        <v>0</v>
      </c>
      <c r="R489" s="81">
        <f ca="1">SUMPRODUCT((Work_Codes!$AC$254:$AO$254=$E489)*(Work_Codes!$AC$257:$AO$261)*(R$388:R$392))</f>
        <v>0</v>
      </c>
      <c r="S489" s="81">
        <f ca="1">SUMPRODUCT((Work_Codes!$AC$254:$AO$254=$E489)*(Work_Codes!$AC$257:$AO$261)*(S$388:S$392))</f>
        <v>0</v>
      </c>
      <c r="T489" s="81">
        <f ca="1">SUMPRODUCT((Work_Codes!$AC$254:$AO$254=$E489)*(Work_Codes!$AC$257:$AO$261)*(T$388:T$392))</f>
        <v>0</v>
      </c>
    </row>
    <row r="490" spans="4:20" ht="12" customHeight="1" outlineLevel="2">
      <c r="E490" s="247" t="str">
        <f>GC!C66</f>
        <v>IT capex</v>
      </c>
      <c r="F490" s="247"/>
      <c r="G490" s="247"/>
      <c r="H490" s="247"/>
      <c r="I490" s="247"/>
      <c r="J490" s="81">
        <f ca="1">SUMPRODUCT((Work_Codes!$AC$254:$AO$254=$E490)*(Work_Codes!$AC$257:$AO$261)*(J$388:J$392))</f>
        <v>0</v>
      </c>
      <c r="K490" s="81">
        <f ca="1">SUMPRODUCT((Work_Codes!$AC$254:$AO$254=$E490)*(Work_Codes!$AC$257:$AO$261)*(K$388:K$392))</f>
        <v>0</v>
      </c>
      <c r="L490" s="81">
        <f ca="1">SUMPRODUCT((Work_Codes!$AC$254:$AO$254=$E490)*(Work_Codes!$AC$257:$AO$261)*(L$388:L$392))</f>
        <v>0</v>
      </c>
      <c r="M490" s="81">
        <f ca="1">SUMPRODUCT((Work_Codes!$AC$254:$AO$254=$E490)*(Work_Codes!$AC$257:$AO$261)*(M$388:M$392))</f>
        <v>0</v>
      </c>
      <c r="N490" s="81">
        <f ca="1">SUMPRODUCT((Work_Codes!$AC$254:$AO$254=$E490)*(Work_Codes!$AC$257:$AO$261)*(N$388:N$392))</f>
        <v>0</v>
      </c>
      <c r="O490" s="81">
        <f ca="1">SUMPRODUCT((Work_Codes!$AC$254:$AO$254=$E490)*(Work_Codes!$AC$257:$AO$261)*(O$388:O$392))</f>
        <v>0</v>
      </c>
      <c r="P490" s="81">
        <f ca="1">SUMPRODUCT((Work_Codes!$AC$254:$AO$254=$E490)*(Work_Codes!$AC$257:$AO$261)*(P$388:P$392))</f>
        <v>0</v>
      </c>
      <c r="Q490" s="81">
        <f ca="1">SUMPRODUCT((Work_Codes!$AC$254:$AO$254=$E490)*(Work_Codes!$AC$257:$AO$261)*(Q$388:Q$392))</f>
        <v>0</v>
      </c>
      <c r="R490" s="81">
        <f ca="1">SUMPRODUCT((Work_Codes!$AC$254:$AO$254=$E490)*(Work_Codes!$AC$257:$AO$261)*(R$388:R$392))</f>
        <v>0</v>
      </c>
      <c r="S490" s="81">
        <f ca="1">SUMPRODUCT((Work_Codes!$AC$254:$AO$254=$E490)*(Work_Codes!$AC$257:$AO$261)*(S$388:S$392))</f>
        <v>0</v>
      </c>
      <c r="T490" s="81">
        <f ca="1">SUMPRODUCT((Work_Codes!$AC$254:$AO$254=$E490)*(Work_Codes!$AC$257:$AO$261)*(T$388:T$392))</f>
        <v>0</v>
      </c>
    </row>
    <row r="491" spans="4:20" ht="12" customHeight="1" outlineLevel="2">
      <c r="E491" s="247" t="str">
        <f>GC!C67</f>
        <v>SCADA</v>
      </c>
      <c r="F491" s="247"/>
      <c r="G491" s="247"/>
      <c r="H491" s="247"/>
      <c r="I491" s="247"/>
      <c r="J491" s="81">
        <f ca="1">SUMPRODUCT((Work_Codes!$AC$254:$AO$254=$E491)*(Work_Codes!$AC$257:$AO$261)*(J$388:J$392))</f>
        <v>0</v>
      </c>
      <c r="K491" s="81">
        <f ca="1">SUMPRODUCT((Work_Codes!$AC$254:$AO$254=$E491)*(Work_Codes!$AC$257:$AO$261)*(K$388:K$392))</f>
        <v>0</v>
      </c>
      <c r="L491" s="81">
        <f ca="1">SUMPRODUCT((Work_Codes!$AC$254:$AO$254=$E491)*(Work_Codes!$AC$257:$AO$261)*(L$388:L$392))</f>
        <v>0</v>
      </c>
      <c r="M491" s="81">
        <f ca="1">SUMPRODUCT((Work_Codes!$AC$254:$AO$254=$E491)*(Work_Codes!$AC$257:$AO$261)*(M$388:M$392))</f>
        <v>0</v>
      </c>
      <c r="N491" s="81">
        <f ca="1">SUMPRODUCT((Work_Codes!$AC$254:$AO$254=$E491)*(Work_Codes!$AC$257:$AO$261)*(N$388:N$392))</f>
        <v>0</v>
      </c>
      <c r="O491" s="81">
        <f ca="1">SUMPRODUCT((Work_Codes!$AC$254:$AO$254=$E491)*(Work_Codes!$AC$257:$AO$261)*(O$388:O$392))</f>
        <v>0</v>
      </c>
      <c r="P491" s="81">
        <f ca="1">SUMPRODUCT((Work_Codes!$AC$254:$AO$254=$E491)*(Work_Codes!$AC$257:$AO$261)*(P$388:P$392))</f>
        <v>0</v>
      </c>
      <c r="Q491" s="81">
        <f ca="1">SUMPRODUCT((Work_Codes!$AC$254:$AO$254=$E491)*(Work_Codes!$AC$257:$AO$261)*(Q$388:Q$392))</f>
        <v>0</v>
      </c>
      <c r="R491" s="81">
        <f ca="1">SUMPRODUCT((Work_Codes!$AC$254:$AO$254=$E491)*(Work_Codes!$AC$257:$AO$261)*(R$388:R$392))</f>
        <v>0</v>
      </c>
      <c r="S491" s="81">
        <f ca="1">SUMPRODUCT((Work_Codes!$AC$254:$AO$254=$E491)*(Work_Codes!$AC$257:$AO$261)*(S$388:S$392))</f>
        <v>0</v>
      </c>
      <c r="T491" s="81">
        <f ca="1">SUMPRODUCT((Work_Codes!$AC$254:$AO$254=$E491)*(Work_Codes!$AC$257:$AO$261)*(T$388:T$392))</f>
        <v>0</v>
      </c>
    </row>
    <row r="492" spans="4:20" ht="12" customHeight="1" outlineLevel="2">
      <c r="E492" s="247" t="str">
        <f>GC!C68</f>
        <v>Other</v>
      </c>
      <c r="F492" s="247"/>
      <c r="G492" s="247"/>
      <c r="H492" s="247"/>
      <c r="I492" s="247"/>
      <c r="J492" s="81">
        <f ca="1">SUMPRODUCT((Work_Codes!$AC$254:$AO$254=$E492)*(Work_Codes!$AC$257:$AO$261)*(J$388:J$392))</f>
        <v>0</v>
      </c>
      <c r="K492" s="81">
        <f ca="1">SUMPRODUCT((Work_Codes!$AC$254:$AO$254=$E492)*(Work_Codes!$AC$257:$AO$261)*(K$388:K$392))</f>
        <v>0</v>
      </c>
      <c r="L492" s="81">
        <f ca="1">SUMPRODUCT((Work_Codes!$AC$254:$AO$254=$E492)*(Work_Codes!$AC$257:$AO$261)*(L$388:L$392))</f>
        <v>0</v>
      </c>
      <c r="M492" s="81">
        <f ca="1">SUMPRODUCT((Work_Codes!$AC$254:$AO$254=$E492)*(Work_Codes!$AC$257:$AO$261)*(M$388:M$392))</f>
        <v>0</v>
      </c>
      <c r="N492" s="81">
        <f ca="1">SUMPRODUCT((Work_Codes!$AC$254:$AO$254=$E492)*(Work_Codes!$AC$257:$AO$261)*(N$388:N$392))</f>
        <v>0</v>
      </c>
      <c r="O492" s="81">
        <f ca="1">SUMPRODUCT((Work_Codes!$AC$254:$AO$254=$E492)*(Work_Codes!$AC$257:$AO$261)*(O$388:O$392))</f>
        <v>875690.99101359525</v>
      </c>
      <c r="P492" s="81">
        <f ca="1">SUMPRODUCT((Work_Codes!$AC$254:$AO$254=$E492)*(Work_Codes!$AC$257:$AO$261)*(P$388:P$392))</f>
        <v>1751558.3016190997</v>
      </c>
      <c r="Q492" s="81">
        <f ca="1">SUMPRODUCT((Work_Codes!$AC$254:$AO$254=$E492)*(Work_Codes!$AC$257:$AO$261)*(Q$388:Q$392))</f>
        <v>1751834.1896319462</v>
      </c>
      <c r="R492" s="81">
        <f ca="1">SUMPRODUCT((Work_Codes!$AC$254:$AO$254=$E492)*(Work_Codes!$AC$257:$AO$261)*(R$388:R$392))</f>
        <v>1752226.7309645989</v>
      </c>
      <c r="S492" s="81">
        <f ca="1">SUMPRODUCT((Work_Codes!$AC$254:$AO$254=$E492)*(Work_Codes!$AC$257:$AO$261)*(S$388:S$392))</f>
        <v>1752623.5935681693</v>
      </c>
      <c r="T492" s="81">
        <f ca="1">SUMPRODUCT((Work_Codes!$AC$254:$AO$254=$E492)*(Work_Codes!$AC$257:$AO$261)*(T$388:T$392))</f>
        <v>1753024.8250131444</v>
      </c>
    </row>
    <row r="493" spans="4:20" outlineLevel="2">
      <c r="E493" s="247" t="str">
        <f>GC!C69</f>
        <v>Capitalised Leases</v>
      </c>
      <c r="F493" s="247"/>
      <c r="G493" s="247"/>
      <c r="H493" s="247"/>
      <c r="I493" s="247"/>
      <c r="J493" s="81">
        <f ca="1">SUMPRODUCT((Work_Codes!$AC$254:$AO$254=$E493)*(Work_Codes!$AC$257:$AO$261)*(J$388:J$392))</f>
        <v>0</v>
      </c>
      <c r="K493" s="81">
        <f ca="1">SUMPRODUCT((Work_Codes!$AC$254:$AO$254=$E493)*(Work_Codes!$AC$257:$AO$261)*(K$388:K$392))</f>
        <v>0</v>
      </c>
      <c r="L493" s="81">
        <f ca="1">SUMPRODUCT((Work_Codes!$AC$254:$AO$254=$E493)*(Work_Codes!$AC$257:$AO$261)*(L$388:L$392))</f>
        <v>0</v>
      </c>
      <c r="M493" s="81">
        <f ca="1">SUMPRODUCT((Work_Codes!$AC$254:$AO$254=$E493)*(Work_Codes!$AC$257:$AO$261)*(M$388:M$392))</f>
        <v>0</v>
      </c>
      <c r="N493" s="81">
        <f ca="1">SUMPRODUCT((Work_Codes!$AC$254:$AO$254=$E493)*(Work_Codes!$AC$257:$AO$261)*(N$388:N$392))</f>
        <v>0</v>
      </c>
      <c r="O493" s="81">
        <f ca="1">SUMPRODUCT((Work_Codes!$AC$254:$AO$254=$E493)*(Work_Codes!$AC$257:$AO$261)*(O$388:O$392))</f>
        <v>0</v>
      </c>
      <c r="P493" s="81">
        <f ca="1">SUMPRODUCT((Work_Codes!$AC$254:$AO$254=$E493)*(Work_Codes!$AC$257:$AO$261)*(P$388:P$392))</f>
        <v>0</v>
      </c>
      <c r="Q493" s="81">
        <f ca="1">SUMPRODUCT((Work_Codes!$AC$254:$AO$254=$E493)*(Work_Codes!$AC$257:$AO$261)*(Q$388:Q$392))</f>
        <v>0</v>
      </c>
      <c r="R493" s="81">
        <f ca="1">SUMPRODUCT((Work_Codes!$AC$254:$AO$254=$E493)*(Work_Codes!$AC$257:$AO$261)*(R$388:R$392))</f>
        <v>0</v>
      </c>
      <c r="S493" s="81">
        <f ca="1">SUMPRODUCT((Work_Codes!$AC$254:$AO$254=$E493)*(Work_Codes!$AC$257:$AO$261)*(S$388:S$392))</f>
        <v>0</v>
      </c>
      <c r="T493" s="81">
        <f ca="1">SUMPRODUCT((Work_Codes!$AC$254:$AO$254=$E493)*(Work_Codes!$AC$257:$AO$261)*(T$388:T$392))</f>
        <v>0</v>
      </c>
    </row>
    <row r="494" spans="4:20" ht="12" customHeight="1" outlineLevel="2">
      <c r="E494" s="247" t="str">
        <f>GC!C70</f>
        <v>Gas Extensions - Energy for the Regions</v>
      </c>
      <c r="F494" s="247"/>
      <c r="G494" s="247"/>
      <c r="H494" s="247"/>
      <c r="I494" s="247"/>
      <c r="J494" s="81">
        <f ca="1">SUMPRODUCT((Work_Codes!$AC$254:$AO$254=$E494)*(Work_Codes!$AC$257:$AO$261)*(J$388:J$392))</f>
        <v>0</v>
      </c>
      <c r="K494" s="81">
        <f ca="1">SUMPRODUCT((Work_Codes!$AC$254:$AO$254=$E494)*(Work_Codes!$AC$257:$AO$261)*(K$388:K$392))</f>
        <v>0</v>
      </c>
      <c r="L494" s="81">
        <f ca="1">SUMPRODUCT((Work_Codes!$AC$254:$AO$254=$E494)*(Work_Codes!$AC$257:$AO$261)*(L$388:L$392))</f>
        <v>0</v>
      </c>
      <c r="M494" s="81">
        <f ca="1">SUMPRODUCT((Work_Codes!$AC$254:$AO$254=$E494)*(Work_Codes!$AC$257:$AO$261)*(M$388:M$392))</f>
        <v>0</v>
      </c>
      <c r="N494" s="81">
        <f ca="1">SUMPRODUCT((Work_Codes!$AC$254:$AO$254=$E494)*(Work_Codes!$AC$257:$AO$261)*(N$388:N$392))</f>
        <v>0</v>
      </c>
      <c r="O494" s="81">
        <f ca="1">SUMPRODUCT((Work_Codes!$AC$254:$AO$254=$E494)*(Work_Codes!$AC$257:$AO$261)*(O$388:O$392))</f>
        <v>0</v>
      </c>
      <c r="P494" s="81">
        <f ca="1">SUMPRODUCT((Work_Codes!$AC$254:$AO$254=$E494)*(Work_Codes!$AC$257:$AO$261)*(P$388:P$392))</f>
        <v>0</v>
      </c>
      <c r="Q494" s="81">
        <f ca="1">SUMPRODUCT((Work_Codes!$AC$254:$AO$254=$E494)*(Work_Codes!$AC$257:$AO$261)*(Q$388:Q$392))</f>
        <v>0</v>
      </c>
      <c r="R494" s="81">
        <f ca="1">SUMPRODUCT((Work_Codes!$AC$254:$AO$254=$E494)*(Work_Codes!$AC$257:$AO$261)*(R$388:R$392))</f>
        <v>0</v>
      </c>
      <c r="S494" s="81">
        <f ca="1">SUMPRODUCT((Work_Codes!$AC$254:$AO$254=$E494)*(Work_Codes!$AC$257:$AO$261)*(S$388:S$392))</f>
        <v>0</v>
      </c>
      <c r="T494" s="81">
        <f ca="1">SUMPRODUCT((Work_Codes!$AC$254:$AO$254=$E494)*(Work_Codes!$AC$257:$AO$261)*(T$388:T$392))</f>
        <v>0</v>
      </c>
    </row>
    <row r="495" spans="4:20" ht="12" customHeight="1" outlineLevel="2">
      <c r="E495" s="247" t="str">
        <f>GC!C71</f>
        <v>Gas Extensions - Other</v>
      </c>
      <c r="F495" s="247"/>
      <c r="G495" s="247"/>
      <c r="H495" s="247"/>
      <c r="I495" s="247"/>
      <c r="J495" s="81">
        <f ca="1">SUMPRODUCT((Work_Codes!$AC$254:$AO$254=$E495)*(Work_Codes!$AC$257:$AO$261)*(J$388:J$392))</f>
        <v>0</v>
      </c>
      <c r="K495" s="81">
        <f ca="1">SUMPRODUCT((Work_Codes!$AC$254:$AO$254=$E495)*(Work_Codes!$AC$257:$AO$261)*(K$388:K$392))</f>
        <v>0</v>
      </c>
      <c r="L495" s="81">
        <f ca="1">SUMPRODUCT((Work_Codes!$AC$254:$AO$254=$E495)*(Work_Codes!$AC$257:$AO$261)*(L$388:L$392))</f>
        <v>0</v>
      </c>
      <c r="M495" s="81">
        <f ca="1">SUMPRODUCT((Work_Codes!$AC$254:$AO$254=$E495)*(Work_Codes!$AC$257:$AO$261)*(M$388:M$392))</f>
        <v>0</v>
      </c>
      <c r="N495" s="81">
        <f ca="1">SUMPRODUCT((Work_Codes!$AC$254:$AO$254=$E495)*(Work_Codes!$AC$257:$AO$261)*(N$388:N$392))</f>
        <v>0</v>
      </c>
      <c r="O495" s="81">
        <f ca="1">SUMPRODUCT((Work_Codes!$AC$254:$AO$254=$E495)*(Work_Codes!$AC$257:$AO$261)*(O$388:O$392))</f>
        <v>0</v>
      </c>
      <c r="P495" s="81">
        <f ca="1">SUMPRODUCT((Work_Codes!$AC$254:$AO$254=$E495)*(Work_Codes!$AC$257:$AO$261)*(P$388:P$392))</f>
        <v>0</v>
      </c>
      <c r="Q495" s="81">
        <f ca="1">SUMPRODUCT((Work_Codes!$AC$254:$AO$254=$E495)*(Work_Codes!$AC$257:$AO$261)*(Q$388:Q$392))</f>
        <v>0</v>
      </c>
      <c r="R495" s="81">
        <f ca="1">SUMPRODUCT((Work_Codes!$AC$254:$AO$254=$E495)*(Work_Codes!$AC$257:$AO$261)*(R$388:R$392))</f>
        <v>0</v>
      </c>
      <c r="S495" s="81">
        <f ca="1">SUMPRODUCT((Work_Codes!$AC$254:$AO$254=$E495)*(Work_Codes!$AC$257:$AO$261)*(S$388:S$392))</f>
        <v>0</v>
      </c>
      <c r="T495" s="81">
        <f ca="1">SUMPRODUCT((Work_Codes!$AC$254:$AO$254=$E495)*(Work_Codes!$AC$257:$AO$261)*(T$388:T$392))</f>
        <v>0</v>
      </c>
    </row>
    <row r="496" spans="4:20" ht="12" customHeight="1" outlineLevel="2">
      <c r="E496" s="247" t="str">
        <f>GC!C72</f>
        <v>Customer contributions</v>
      </c>
      <c r="F496" s="247"/>
      <c r="G496" s="247"/>
      <c r="H496" s="247"/>
      <c r="I496" s="247"/>
      <c r="J496" s="81">
        <f ca="1">SUMPRODUCT((Work_Codes!$AC$254:$AO$254=$E496)*(Work_Codes!$AC$257:$AO$261)*(J$388:J$392))</f>
        <v>0</v>
      </c>
      <c r="K496" s="81">
        <f ca="1">SUMPRODUCT((Work_Codes!$AC$254:$AO$254=$E496)*(Work_Codes!$AC$257:$AO$261)*(K$388:K$392))</f>
        <v>0</v>
      </c>
      <c r="L496" s="81">
        <f ca="1">SUMPRODUCT((Work_Codes!$AC$254:$AO$254=$E496)*(Work_Codes!$AC$257:$AO$261)*(L$388:L$392))</f>
        <v>0</v>
      </c>
      <c r="M496" s="81">
        <f ca="1">SUMPRODUCT((Work_Codes!$AC$254:$AO$254=$E496)*(Work_Codes!$AC$257:$AO$261)*(M$388:M$392))</f>
        <v>0</v>
      </c>
      <c r="N496" s="81">
        <f ca="1">SUMPRODUCT((Work_Codes!$AC$254:$AO$254=$E496)*(Work_Codes!$AC$257:$AO$261)*(N$388:N$392))</f>
        <v>0</v>
      </c>
      <c r="O496" s="81">
        <f ca="1">SUMPRODUCT((Work_Codes!$AC$254:$AO$254=$E496)*(Work_Codes!$AC$257:$AO$261)*(O$388:O$392))</f>
        <v>0</v>
      </c>
      <c r="P496" s="81">
        <f ca="1">SUMPRODUCT((Work_Codes!$AC$254:$AO$254=$E496)*(Work_Codes!$AC$257:$AO$261)*(P$388:P$392))</f>
        <v>0</v>
      </c>
      <c r="Q496" s="81">
        <f ca="1">SUMPRODUCT((Work_Codes!$AC$254:$AO$254=$E496)*(Work_Codes!$AC$257:$AO$261)*(Q$388:Q$392))</f>
        <v>0</v>
      </c>
      <c r="R496" s="81">
        <f ca="1">SUMPRODUCT((Work_Codes!$AC$254:$AO$254=$E496)*(Work_Codes!$AC$257:$AO$261)*(R$388:R$392))</f>
        <v>0</v>
      </c>
      <c r="S496" s="81">
        <f ca="1">SUMPRODUCT((Work_Codes!$AC$254:$AO$254=$E496)*(Work_Codes!$AC$257:$AO$261)*(S$388:S$392))</f>
        <v>0</v>
      </c>
      <c r="T496" s="81">
        <f ca="1">SUMPRODUCT((Work_Codes!$AC$254:$AO$254=$E496)*(Work_Codes!$AC$257:$AO$261)*(T$388:T$392))</f>
        <v>0</v>
      </c>
    </row>
    <row r="497" spans="4:20" ht="12" customHeight="1" outlineLevel="2">
      <c r="E497" s="247" t="str">
        <f>GC!C73</f>
        <v>Government contributions</v>
      </c>
      <c r="F497" s="247"/>
      <c r="G497" s="247"/>
      <c r="H497" s="247"/>
      <c r="I497" s="247"/>
      <c r="J497" s="81">
        <f ca="1">SUMPRODUCT((Work_Codes!$AC$254:$AO$254=$E497)*(Work_Codes!$AC$257:$AO$261)*(J$388:J$392))</f>
        <v>0</v>
      </c>
      <c r="K497" s="81">
        <f ca="1">SUMPRODUCT((Work_Codes!$AC$254:$AO$254=$E497)*(Work_Codes!$AC$257:$AO$261)*(K$388:K$392))</f>
        <v>0</v>
      </c>
      <c r="L497" s="81">
        <f ca="1">SUMPRODUCT((Work_Codes!$AC$254:$AO$254=$E497)*(Work_Codes!$AC$257:$AO$261)*(L$388:L$392))</f>
        <v>0</v>
      </c>
      <c r="M497" s="81">
        <f ca="1">SUMPRODUCT((Work_Codes!$AC$254:$AO$254=$E497)*(Work_Codes!$AC$257:$AO$261)*(M$388:M$392))</f>
        <v>0</v>
      </c>
      <c r="N497" s="81">
        <f ca="1">SUMPRODUCT((Work_Codes!$AC$254:$AO$254=$E497)*(Work_Codes!$AC$257:$AO$261)*(N$388:N$392))</f>
        <v>0</v>
      </c>
      <c r="O497" s="81">
        <f ca="1">SUMPRODUCT((Work_Codes!$AC$254:$AO$254=$E497)*(Work_Codes!$AC$257:$AO$261)*(O$388:O$392))</f>
        <v>0</v>
      </c>
      <c r="P497" s="81">
        <f ca="1">SUMPRODUCT((Work_Codes!$AC$254:$AO$254=$E497)*(Work_Codes!$AC$257:$AO$261)*(P$388:P$392))</f>
        <v>0</v>
      </c>
      <c r="Q497" s="81">
        <f ca="1">SUMPRODUCT((Work_Codes!$AC$254:$AO$254=$E497)*(Work_Codes!$AC$257:$AO$261)*(Q$388:Q$392))</f>
        <v>0</v>
      </c>
      <c r="R497" s="81">
        <f ca="1">SUMPRODUCT((Work_Codes!$AC$254:$AO$254=$E497)*(Work_Codes!$AC$257:$AO$261)*(R$388:R$392))</f>
        <v>0</v>
      </c>
      <c r="S497" s="81">
        <f ca="1">SUMPRODUCT((Work_Codes!$AC$254:$AO$254=$E497)*(Work_Codes!$AC$257:$AO$261)*(S$388:S$392))</f>
        <v>0</v>
      </c>
      <c r="T497" s="81">
        <f ca="1">SUMPRODUCT((Work_Codes!$AC$254:$AO$254=$E497)*(Work_Codes!$AC$257:$AO$261)*(T$388:T$392))</f>
        <v>0</v>
      </c>
    </row>
    <row r="498" spans="4:20" ht="12" customHeight="1" outlineLevel="2">
      <c r="E498" s="249" t="str">
        <f>"Total "&amp;D482</f>
        <v>Total Direct Costs</v>
      </c>
      <c r="F498" s="249"/>
      <c r="G498" s="249"/>
      <c r="H498" s="249"/>
      <c r="I498" s="249"/>
      <c r="J498" s="82">
        <f t="shared" ref="J498:T498" ca="1" si="50">SUM(J484:J497)</f>
        <v>0</v>
      </c>
      <c r="K498" s="82">
        <f t="shared" ca="1" si="50"/>
        <v>0</v>
      </c>
      <c r="L498" s="82">
        <f t="shared" ca="1" si="50"/>
        <v>0</v>
      </c>
      <c r="M498" s="82">
        <f t="shared" ca="1" si="50"/>
        <v>0</v>
      </c>
      <c r="N498" s="82">
        <f t="shared" ca="1" si="50"/>
        <v>0</v>
      </c>
      <c r="O498" s="82">
        <f t="shared" ca="1" si="50"/>
        <v>875690.99101359525</v>
      </c>
      <c r="P498" s="82">
        <f t="shared" ca="1" si="50"/>
        <v>1751558.3016190997</v>
      </c>
      <c r="Q498" s="82">
        <f t="shared" ca="1" si="50"/>
        <v>1751834.1896319462</v>
      </c>
      <c r="R498" s="82">
        <f t="shared" ca="1" si="50"/>
        <v>1752226.7309645989</v>
      </c>
      <c r="S498" s="82">
        <f t="shared" ca="1" si="50"/>
        <v>1752623.5935681693</v>
      </c>
      <c r="T498" s="82">
        <f t="shared" ca="1" si="50"/>
        <v>1753024.8250131444</v>
      </c>
    </row>
    <row r="499" spans="4:20" outlineLevel="2"/>
    <row r="500" spans="4:20" outlineLevel="2">
      <c r="D500" s="37" t="s">
        <v>216</v>
      </c>
    </row>
    <row r="501" spans="4:20" ht="5.9" customHeight="1" outlineLevel="2"/>
    <row r="502" spans="4:20" ht="12" customHeight="1" outlineLevel="2">
      <c r="E502" s="247" t="str">
        <f>GC!C60</f>
        <v>Mains replacement</v>
      </c>
      <c r="F502" s="247"/>
      <c r="G502" s="247"/>
      <c r="H502" s="247"/>
      <c r="I502" s="247"/>
      <c r="J502" s="81">
        <f ca="1">J484*(1+INDEX(J$310:J$312,MATCH(Work_Codes!$I$251,$D$310:$D$312,0)))</f>
        <v>0</v>
      </c>
      <c r="K502" s="81">
        <f ca="1">K484*(1+INDEX(K$310:K$312,MATCH(Work_Codes!$I$251,$D$310:$D$312,0)))</f>
        <v>0</v>
      </c>
      <c r="L502" s="81">
        <f ca="1">L484*(1+INDEX(L$310:L$312,MATCH(Work_Codes!$I$251,$D$310:$D$312,0)))</f>
        <v>0</v>
      </c>
      <c r="M502" s="81">
        <f ca="1">M484*(1+INDEX(M$310:M$312,MATCH(Work_Codes!$I$251,$D$310:$D$312,0)))</f>
        <v>0</v>
      </c>
      <c r="N502" s="81">
        <f ca="1">N484*(1+INDEX(N$310:N$312,MATCH(Work_Codes!$I$251,$D$310:$D$312,0)))</f>
        <v>0</v>
      </c>
      <c r="O502" s="81">
        <f ca="1">O484*(1+INDEX(O$310:O$312,MATCH(Work_Codes!$I$251,$D$310:$D$312,0)))</f>
        <v>0</v>
      </c>
      <c r="P502" s="81">
        <f ca="1">P484*(1+INDEX(P$310:P$312,MATCH(Work_Codes!$I$251,$D$310:$D$312,0)))</f>
        <v>0</v>
      </c>
      <c r="Q502" s="81">
        <f ca="1">Q484*(1+INDEX(Q$310:Q$312,MATCH(Work_Codes!$I$251,$D$310:$D$312,0)))</f>
        <v>0</v>
      </c>
      <c r="R502" s="81">
        <f ca="1">R484*(1+INDEX(R$310:R$312,MATCH(Work_Codes!$I$251,$D$310:$D$312,0)))</f>
        <v>0</v>
      </c>
      <c r="S502" s="81">
        <f ca="1">S484*(1+INDEX(S$310:S$312,MATCH(Work_Codes!$I$251,$D$310:$D$312,0)))</f>
        <v>0</v>
      </c>
      <c r="T502" s="81">
        <f ca="1">T484*(1+INDEX(T$310:T$312,MATCH(Work_Codes!$I$251,$D$310:$D$312,0)))</f>
        <v>0</v>
      </c>
    </row>
    <row r="503" spans="4:20" ht="12" customHeight="1" outlineLevel="2">
      <c r="E503" s="247" t="str">
        <f>GC!C61</f>
        <v>Residential new customer connections</v>
      </c>
      <c r="F503" s="247"/>
      <c r="G503" s="247"/>
      <c r="H503" s="247"/>
      <c r="I503" s="247"/>
      <c r="J503" s="81">
        <f ca="1">J485*(1+INDEX(J$310:J$312,MATCH(Work_Codes!$I$251,$D$310:$D$312,0)))</f>
        <v>0</v>
      </c>
      <c r="K503" s="81">
        <f ca="1">K485*(1+INDEX(K$310:K$312,MATCH(Work_Codes!$I$251,$D$310:$D$312,0)))</f>
        <v>0</v>
      </c>
      <c r="L503" s="81">
        <f ca="1">L485*(1+INDEX(L$310:L$312,MATCH(Work_Codes!$I$251,$D$310:$D$312,0)))</f>
        <v>0</v>
      </c>
      <c r="M503" s="81">
        <f ca="1">M485*(1+INDEX(M$310:M$312,MATCH(Work_Codes!$I$251,$D$310:$D$312,0)))</f>
        <v>0</v>
      </c>
      <c r="N503" s="81">
        <f ca="1">N485*(1+INDEX(N$310:N$312,MATCH(Work_Codes!$I$251,$D$310:$D$312,0)))</f>
        <v>0</v>
      </c>
      <c r="O503" s="81">
        <f ca="1">O485*(1+INDEX(O$310:O$312,MATCH(Work_Codes!$I$251,$D$310:$D$312,0)))</f>
        <v>0</v>
      </c>
      <c r="P503" s="81">
        <f ca="1">P485*(1+INDEX(P$310:P$312,MATCH(Work_Codes!$I$251,$D$310:$D$312,0)))</f>
        <v>0</v>
      </c>
      <c r="Q503" s="81">
        <f ca="1">Q485*(1+INDEX(Q$310:Q$312,MATCH(Work_Codes!$I$251,$D$310:$D$312,0)))</f>
        <v>0</v>
      </c>
      <c r="R503" s="81">
        <f ca="1">R485*(1+INDEX(R$310:R$312,MATCH(Work_Codes!$I$251,$D$310:$D$312,0)))</f>
        <v>0</v>
      </c>
      <c r="S503" s="81">
        <f ca="1">S485*(1+INDEX(S$310:S$312,MATCH(Work_Codes!$I$251,$D$310:$D$312,0)))</f>
        <v>0</v>
      </c>
      <c r="T503" s="81">
        <f ca="1">T485*(1+INDEX(T$310:T$312,MATCH(Work_Codes!$I$251,$D$310:$D$312,0)))</f>
        <v>0</v>
      </c>
    </row>
    <row r="504" spans="4:20" ht="12" customHeight="1" outlineLevel="2">
      <c r="E504" s="247" t="str">
        <f>GC!C62</f>
        <v>Commercial and industrial new customer connections</v>
      </c>
      <c r="F504" s="247"/>
      <c r="G504" s="247"/>
      <c r="H504" s="247"/>
      <c r="I504" s="247"/>
      <c r="J504" s="81">
        <f ca="1">J486*(1+INDEX(J$310:J$312,MATCH(Work_Codes!$I$251,$D$310:$D$312,0)))</f>
        <v>0</v>
      </c>
      <c r="K504" s="81">
        <f ca="1">K486*(1+INDEX(K$310:K$312,MATCH(Work_Codes!$I$251,$D$310:$D$312,0)))</f>
        <v>0</v>
      </c>
      <c r="L504" s="81">
        <f ca="1">L486*(1+INDEX(L$310:L$312,MATCH(Work_Codes!$I$251,$D$310:$D$312,0)))</f>
        <v>0</v>
      </c>
      <c r="M504" s="81">
        <f ca="1">M486*(1+INDEX(M$310:M$312,MATCH(Work_Codes!$I$251,$D$310:$D$312,0)))</f>
        <v>0</v>
      </c>
      <c r="N504" s="81">
        <f ca="1">N486*(1+INDEX(N$310:N$312,MATCH(Work_Codes!$I$251,$D$310:$D$312,0)))</f>
        <v>0</v>
      </c>
      <c r="O504" s="81">
        <f ca="1">O486*(1+INDEX(O$310:O$312,MATCH(Work_Codes!$I$251,$D$310:$D$312,0)))</f>
        <v>0</v>
      </c>
      <c r="P504" s="81">
        <f ca="1">P486*(1+INDEX(P$310:P$312,MATCH(Work_Codes!$I$251,$D$310:$D$312,0)))</f>
        <v>0</v>
      </c>
      <c r="Q504" s="81">
        <f ca="1">Q486*(1+INDEX(Q$310:Q$312,MATCH(Work_Codes!$I$251,$D$310:$D$312,0)))</f>
        <v>0</v>
      </c>
      <c r="R504" s="81">
        <f ca="1">R486*(1+INDEX(R$310:R$312,MATCH(Work_Codes!$I$251,$D$310:$D$312,0)))</f>
        <v>0</v>
      </c>
      <c r="S504" s="81">
        <f ca="1">S486*(1+INDEX(S$310:S$312,MATCH(Work_Codes!$I$251,$D$310:$D$312,0)))</f>
        <v>0</v>
      </c>
      <c r="T504" s="81">
        <f ca="1">T486*(1+INDEX(T$310:T$312,MATCH(Work_Codes!$I$251,$D$310:$D$312,0)))</f>
        <v>0</v>
      </c>
    </row>
    <row r="505" spans="4:20" ht="12" customHeight="1" outlineLevel="2">
      <c r="E505" s="247" t="str">
        <f>GC!C63</f>
        <v>Residential meter replacement</v>
      </c>
      <c r="F505" s="247"/>
      <c r="G505" s="247"/>
      <c r="H505" s="247"/>
      <c r="I505" s="247"/>
      <c r="J505" s="81">
        <f ca="1">J487*(1+INDEX(J$310:J$312,MATCH(Work_Codes!$I$251,$D$310:$D$312,0)))</f>
        <v>0</v>
      </c>
      <c r="K505" s="81">
        <f ca="1">K487*(1+INDEX(K$310:K$312,MATCH(Work_Codes!$I$251,$D$310:$D$312,0)))</f>
        <v>0</v>
      </c>
      <c r="L505" s="81">
        <f ca="1">L487*(1+INDEX(L$310:L$312,MATCH(Work_Codes!$I$251,$D$310:$D$312,0)))</f>
        <v>0</v>
      </c>
      <c r="M505" s="81">
        <f ca="1">M487*(1+INDEX(M$310:M$312,MATCH(Work_Codes!$I$251,$D$310:$D$312,0)))</f>
        <v>0</v>
      </c>
      <c r="N505" s="81">
        <f ca="1">N487*(1+INDEX(N$310:N$312,MATCH(Work_Codes!$I$251,$D$310:$D$312,0)))</f>
        <v>0</v>
      </c>
      <c r="O505" s="81">
        <f ca="1">O487*(1+INDEX(O$310:O$312,MATCH(Work_Codes!$I$251,$D$310:$D$312,0)))</f>
        <v>0</v>
      </c>
      <c r="P505" s="81">
        <f ca="1">P487*(1+INDEX(P$310:P$312,MATCH(Work_Codes!$I$251,$D$310:$D$312,0)))</f>
        <v>0</v>
      </c>
      <c r="Q505" s="81">
        <f ca="1">Q487*(1+INDEX(Q$310:Q$312,MATCH(Work_Codes!$I$251,$D$310:$D$312,0)))</f>
        <v>0</v>
      </c>
      <c r="R505" s="81">
        <f ca="1">R487*(1+INDEX(R$310:R$312,MATCH(Work_Codes!$I$251,$D$310:$D$312,0)))</f>
        <v>0</v>
      </c>
      <c r="S505" s="81">
        <f ca="1">S487*(1+INDEX(S$310:S$312,MATCH(Work_Codes!$I$251,$D$310:$D$312,0)))</f>
        <v>0</v>
      </c>
      <c r="T505" s="81">
        <f ca="1">T487*(1+INDEX(T$310:T$312,MATCH(Work_Codes!$I$251,$D$310:$D$312,0)))</f>
        <v>0</v>
      </c>
    </row>
    <row r="506" spans="4:20" ht="12" customHeight="1" outlineLevel="2">
      <c r="E506" s="247" t="str">
        <f>GC!C64</f>
        <v>Commercial and industrial meter replacement</v>
      </c>
      <c r="F506" s="247"/>
      <c r="G506" s="247"/>
      <c r="H506" s="247"/>
      <c r="I506" s="247"/>
      <c r="J506" s="81">
        <f ca="1">J488*(1+INDEX(J$310:J$312,MATCH(Work_Codes!$I$251,$D$310:$D$312,0)))</f>
        <v>0</v>
      </c>
      <c r="K506" s="81">
        <f ca="1">K488*(1+INDEX(K$310:K$312,MATCH(Work_Codes!$I$251,$D$310:$D$312,0)))</f>
        <v>0</v>
      </c>
      <c r="L506" s="81">
        <f ca="1">L488*(1+INDEX(L$310:L$312,MATCH(Work_Codes!$I$251,$D$310:$D$312,0)))</f>
        <v>0</v>
      </c>
      <c r="M506" s="81">
        <f ca="1">M488*(1+INDEX(M$310:M$312,MATCH(Work_Codes!$I$251,$D$310:$D$312,0)))</f>
        <v>0</v>
      </c>
      <c r="N506" s="81">
        <f ca="1">N488*(1+INDEX(N$310:N$312,MATCH(Work_Codes!$I$251,$D$310:$D$312,0)))</f>
        <v>0</v>
      </c>
      <c r="O506" s="81">
        <f ca="1">O488*(1+INDEX(O$310:O$312,MATCH(Work_Codes!$I$251,$D$310:$D$312,0)))</f>
        <v>0</v>
      </c>
      <c r="P506" s="81">
        <f ca="1">P488*(1+INDEX(P$310:P$312,MATCH(Work_Codes!$I$251,$D$310:$D$312,0)))</f>
        <v>0</v>
      </c>
      <c r="Q506" s="81">
        <f ca="1">Q488*(1+INDEX(Q$310:Q$312,MATCH(Work_Codes!$I$251,$D$310:$D$312,0)))</f>
        <v>0</v>
      </c>
      <c r="R506" s="81">
        <f ca="1">R488*(1+INDEX(R$310:R$312,MATCH(Work_Codes!$I$251,$D$310:$D$312,0)))</f>
        <v>0</v>
      </c>
      <c r="S506" s="81">
        <f ca="1">S488*(1+INDEX(S$310:S$312,MATCH(Work_Codes!$I$251,$D$310:$D$312,0)))</f>
        <v>0</v>
      </c>
      <c r="T506" s="81">
        <f ca="1">T488*(1+INDEX(T$310:T$312,MATCH(Work_Codes!$I$251,$D$310:$D$312,0)))</f>
        <v>0</v>
      </c>
    </row>
    <row r="507" spans="4:20" ht="12" customHeight="1" outlineLevel="2">
      <c r="E507" s="247" t="str">
        <f>GC!C65</f>
        <v>Augmentation</v>
      </c>
      <c r="F507" s="247"/>
      <c r="G507" s="247"/>
      <c r="H507" s="247"/>
      <c r="I507" s="247"/>
      <c r="J507" s="81">
        <f ca="1">J489*(1+INDEX(J$310:J$312,MATCH(Work_Codes!$I$251,$D$310:$D$312,0)))</f>
        <v>0</v>
      </c>
      <c r="K507" s="81">
        <f ca="1">K489*(1+INDEX(K$310:K$312,MATCH(Work_Codes!$I$251,$D$310:$D$312,0)))</f>
        <v>0</v>
      </c>
      <c r="L507" s="81">
        <f ca="1">L489*(1+INDEX(L$310:L$312,MATCH(Work_Codes!$I$251,$D$310:$D$312,0)))</f>
        <v>0</v>
      </c>
      <c r="M507" s="81">
        <f ca="1">M489*(1+INDEX(M$310:M$312,MATCH(Work_Codes!$I$251,$D$310:$D$312,0)))</f>
        <v>0</v>
      </c>
      <c r="N507" s="81">
        <f ca="1">N489*(1+INDEX(N$310:N$312,MATCH(Work_Codes!$I$251,$D$310:$D$312,0)))</f>
        <v>0</v>
      </c>
      <c r="O507" s="81">
        <f ca="1">O489*(1+INDEX(O$310:O$312,MATCH(Work_Codes!$I$251,$D$310:$D$312,0)))</f>
        <v>0</v>
      </c>
      <c r="P507" s="81">
        <f ca="1">P489*(1+INDEX(P$310:P$312,MATCH(Work_Codes!$I$251,$D$310:$D$312,0)))</f>
        <v>0</v>
      </c>
      <c r="Q507" s="81">
        <f ca="1">Q489*(1+INDEX(Q$310:Q$312,MATCH(Work_Codes!$I$251,$D$310:$D$312,0)))</f>
        <v>0</v>
      </c>
      <c r="R507" s="81">
        <f ca="1">R489*(1+INDEX(R$310:R$312,MATCH(Work_Codes!$I$251,$D$310:$D$312,0)))</f>
        <v>0</v>
      </c>
      <c r="S507" s="81">
        <f ca="1">S489*(1+INDEX(S$310:S$312,MATCH(Work_Codes!$I$251,$D$310:$D$312,0)))</f>
        <v>0</v>
      </c>
      <c r="T507" s="81">
        <f ca="1">T489*(1+INDEX(T$310:T$312,MATCH(Work_Codes!$I$251,$D$310:$D$312,0)))</f>
        <v>0</v>
      </c>
    </row>
    <row r="508" spans="4:20" ht="12" customHeight="1" outlineLevel="2">
      <c r="E508" s="247" t="str">
        <f>GC!C66</f>
        <v>IT capex</v>
      </c>
      <c r="F508" s="247"/>
      <c r="G508" s="247"/>
      <c r="H508" s="247"/>
      <c r="I508" s="247"/>
      <c r="J508" s="81">
        <f ca="1">J490*(1+INDEX(J$310:J$312,MATCH(Work_Codes!$I$251,$D$310:$D$312,0)))</f>
        <v>0</v>
      </c>
      <c r="K508" s="81">
        <f ca="1">K490*(1+INDEX(K$310:K$312,MATCH(Work_Codes!$I$251,$D$310:$D$312,0)))</f>
        <v>0</v>
      </c>
      <c r="L508" s="81">
        <f ca="1">L490*(1+INDEX(L$310:L$312,MATCH(Work_Codes!$I$251,$D$310:$D$312,0)))</f>
        <v>0</v>
      </c>
      <c r="M508" s="81">
        <f ca="1">M490*(1+INDEX(M$310:M$312,MATCH(Work_Codes!$I$251,$D$310:$D$312,0)))</f>
        <v>0</v>
      </c>
      <c r="N508" s="81">
        <f ca="1">N490*(1+INDEX(N$310:N$312,MATCH(Work_Codes!$I$251,$D$310:$D$312,0)))</f>
        <v>0</v>
      </c>
      <c r="O508" s="81">
        <f ca="1">O490*(1+INDEX(O$310:O$312,MATCH(Work_Codes!$I$251,$D$310:$D$312,0)))</f>
        <v>0</v>
      </c>
      <c r="P508" s="81">
        <f ca="1">P490*(1+INDEX(P$310:P$312,MATCH(Work_Codes!$I$251,$D$310:$D$312,0)))</f>
        <v>0</v>
      </c>
      <c r="Q508" s="81">
        <f ca="1">Q490*(1+INDEX(Q$310:Q$312,MATCH(Work_Codes!$I$251,$D$310:$D$312,0)))</f>
        <v>0</v>
      </c>
      <c r="R508" s="81">
        <f ca="1">R490*(1+INDEX(R$310:R$312,MATCH(Work_Codes!$I$251,$D$310:$D$312,0)))</f>
        <v>0</v>
      </c>
      <c r="S508" s="81">
        <f ca="1">S490*(1+INDEX(S$310:S$312,MATCH(Work_Codes!$I$251,$D$310:$D$312,0)))</f>
        <v>0</v>
      </c>
      <c r="T508" s="81">
        <f ca="1">T490*(1+INDEX(T$310:T$312,MATCH(Work_Codes!$I$251,$D$310:$D$312,0)))</f>
        <v>0</v>
      </c>
    </row>
    <row r="509" spans="4:20" ht="12" customHeight="1" outlineLevel="2">
      <c r="E509" s="247" t="str">
        <f>GC!C67</f>
        <v>SCADA</v>
      </c>
      <c r="F509" s="247"/>
      <c r="G509" s="247"/>
      <c r="H509" s="247"/>
      <c r="I509" s="247"/>
      <c r="J509" s="81">
        <f ca="1">J491*(1+INDEX(J$310:J$312,MATCH(Work_Codes!$I$251,$D$310:$D$312,0)))</f>
        <v>0</v>
      </c>
      <c r="K509" s="81">
        <f ca="1">K491*(1+INDEX(K$310:K$312,MATCH(Work_Codes!$I$251,$D$310:$D$312,0)))</f>
        <v>0</v>
      </c>
      <c r="L509" s="81">
        <f ca="1">L491*(1+INDEX(L$310:L$312,MATCH(Work_Codes!$I$251,$D$310:$D$312,0)))</f>
        <v>0</v>
      </c>
      <c r="M509" s="81">
        <f ca="1">M491*(1+INDEX(M$310:M$312,MATCH(Work_Codes!$I$251,$D$310:$D$312,0)))</f>
        <v>0</v>
      </c>
      <c r="N509" s="81">
        <f ca="1">N491*(1+INDEX(N$310:N$312,MATCH(Work_Codes!$I$251,$D$310:$D$312,0)))</f>
        <v>0</v>
      </c>
      <c r="O509" s="81">
        <f ca="1">O491*(1+INDEX(O$310:O$312,MATCH(Work_Codes!$I$251,$D$310:$D$312,0)))</f>
        <v>0</v>
      </c>
      <c r="P509" s="81">
        <f ca="1">P491*(1+INDEX(P$310:P$312,MATCH(Work_Codes!$I$251,$D$310:$D$312,0)))</f>
        <v>0</v>
      </c>
      <c r="Q509" s="81">
        <f ca="1">Q491*(1+INDEX(Q$310:Q$312,MATCH(Work_Codes!$I$251,$D$310:$D$312,0)))</f>
        <v>0</v>
      </c>
      <c r="R509" s="81">
        <f ca="1">R491*(1+INDEX(R$310:R$312,MATCH(Work_Codes!$I$251,$D$310:$D$312,0)))</f>
        <v>0</v>
      </c>
      <c r="S509" s="81">
        <f ca="1">S491*(1+INDEX(S$310:S$312,MATCH(Work_Codes!$I$251,$D$310:$D$312,0)))</f>
        <v>0</v>
      </c>
      <c r="T509" s="81">
        <f ca="1">T491*(1+INDEX(T$310:T$312,MATCH(Work_Codes!$I$251,$D$310:$D$312,0)))</f>
        <v>0</v>
      </c>
    </row>
    <row r="510" spans="4:20" ht="12" customHeight="1" outlineLevel="2">
      <c r="E510" s="247" t="str">
        <f>GC!C68</f>
        <v>Other</v>
      </c>
      <c r="F510" s="247"/>
      <c r="G510" s="247"/>
      <c r="H510" s="247"/>
      <c r="I510" s="247"/>
      <c r="J510" s="81">
        <f ca="1">J492*(1+INDEX(J$310:J$312,MATCH(Work_Codes!$I$251,$D$310:$D$312,0)))</f>
        <v>0</v>
      </c>
      <c r="K510" s="81">
        <f ca="1">K492*(1+INDEX(K$310:K$312,MATCH(Work_Codes!$I$251,$D$310:$D$312,0)))</f>
        <v>0</v>
      </c>
      <c r="L510" s="81">
        <f ca="1">L492*(1+INDEX(L$310:L$312,MATCH(Work_Codes!$I$251,$D$310:$D$312,0)))</f>
        <v>0</v>
      </c>
      <c r="M510" s="81">
        <f ca="1">M492*(1+INDEX(M$310:M$312,MATCH(Work_Codes!$I$251,$D$310:$D$312,0)))</f>
        <v>0</v>
      </c>
      <c r="N510" s="81">
        <f ca="1">N492*(1+INDEX(N$310:N$312,MATCH(Work_Codes!$I$251,$D$310:$D$312,0)))</f>
        <v>0</v>
      </c>
      <c r="O510" s="81">
        <f ca="1">O492*(1+INDEX(O$310:O$312,MATCH(Work_Codes!$I$251,$D$310:$D$312,0)))</f>
        <v>904837.46285997739</v>
      </c>
      <c r="P510" s="81">
        <f ca="1">P492*(1+INDEX(P$310:P$312,MATCH(Work_Codes!$I$251,$D$310:$D$312,0)))</f>
        <v>1798417.1462318224</v>
      </c>
      <c r="Q510" s="81">
        <f ca="1">Q492*(1+INDEX(Q$310:Q$312,MATCH(Work_Codes!$I$251,$D$310:$D$312,0)))</f>
        <v>1797488.0175518033</v>
      </c>
      <c r="R510" s="81">
        <f ca="1">R492*(1+INDEX(R$310:R$312,MATCH(Work_Codes!$I$251,$D$310:$D$312,0)))</f>
        <v>1799314.330397421</v>
      </c>
      <c r="S510" s="81">
        <f ca="1">S492*(1+INDEX(S$310:S$312,MATCH(Work_Codes!$I$251,$D$310:$D$312,0)))</f>
        <v>1802654.300263783</v>
      </c>
      <c r="T510" s="81">
        <f ca="1">T492*(1+INDEX(T$310:T$312,MATCH(Work_Codes!$I$251,$D$310:$D$312,0)))</f>
        <v>1805475.9907779892</v>
      </c>
    </row>
    <row r="511" spans="4:20" outlineLevel="2">
      <c r="E511" s="247" t="str">
        <f>GC!C69</f>
        <v>Capitalised Leases</v>
      </c>
      <c r="F511" s="247"/>
      <c r="G511" s="247"/>
      <c r="H511" s="247"/>
      <c r="I511" s="247"/>
      <c r="J511" s="81">
        <f ca="1">J493*(1+INDEX(J$310:J$312,MATCH(Work_Codes!$I$251,$D$310:$D$312,0)))</f>
        <v>0</v>
      </c>
      <c r="K511" s="81">
        <f ca="1">K493*(1+INDEX(K$310:K$312,MATCH(Work_Codes!$I$251,$D$310:$D$312,0)))</f>
        <v>0</v>
      </c>
      <c r="L511" s="81">
        <f ca="1">L493*(1+INDEX(L$310:L$312,MATCH(Work_Codes!$I$251,$D$310:$D$312,0)))</f>
        <v>0</v>
      </c>
      <c r="M511" s="81">
        <f ca="1">M493*(1+INDEX(M$310:M$312,MATCH(Work_Codes!$I$251,$D$310:$D$312,0)))</f>
        <v>0</v>
      </c>
      <c r="N511" s="81">
        <f ca="1">N493*(1+INDEX(N$310:N$312,MATCH(Work_Codes!$I$251,$D$310:$D$312,0)))</f>
        <v>0</v>
      </c>
      <c r="O511" s="81">
        <f ca="1">O493*(1+INDEX(O$310:O$312,MATCH(Work_Codes!$I$251,$D$310:$D$312,0)))</f>
        <v>0</v>
      </c>
      <c r="P511" s="81">
        <f ca="1">P493*(1+INDEX(P$310:P$312,MATCH(Work_Codes!$I$251,$D$310:$D$312,0)))</f>
        <v>0</v>
      </c>
      <c r="Q511" s="81">
        <f ca="1">Q493*(1+INDEX(Q$310:Q$312,MATCH(Work_Codes!$I$251,$D$310:$D$312,0)))</f>
        <v>0</v>
      </c>
      <c r="R511" s="81">
        <f ca="1">R493*(1+INDEX(R$310:R$312,MATCH(Work_Codes!$I$251,$D$310:$D$312,0)))</f>
        <v>0</v>
      </c>
      <c r="S511" s="81">
        <f ca="1">S493*(1+INDEX(S$310:S$312,MATCH(Work_Codes!$I$251,$D$310:$D$312,0)))</f>
        <v>0</v>
      </c>
      <c r="T511" s="81">
        <f ca="1">T493*(1+INDEX(T$310:T$312,MATCH(Work_Codes!$I$251,$D$310:$D$312,0)))</f>
        <v>0</v>
      </c>
    </row>
    <row r="512" spans="4:20" ht="12" customHeight="1" outlineLevel="2">
      <c r="E512" s="247" t="str">
        <f>GC!C70</f>
        <v>Gas Extensions - Energy for the Regions</v>
      </c>
      <c r="F512" s="247"/>
      <c r="G512" s="247"/>
      <c r="H512" s="247"/>
      <c r="I512" s="247"/>
      <c r="J512" s="81">
        <f ca="1">J494*(1+INDEX(J$310:J$312,MATCH(Work_Codes!$I$251,$D$310:$D$312,0)))</f>
        <v>0</v>
      </c>
      <c r="K512" s="81">
        <f ca="1">K494*(1+INDEX(K$310:K$312,MATCH(Work_Codes!$I$251,$D$310:$D$312,0)))</f>
        <v>0</v>
      </c>
      <c r="L512" s="81">
        <f ca="1">L494*(1+INDEX(L$310:L$312,MATCH(Work_Codes!$I$251,$D$310:$D$312,0)))</f>
        <v>0</v>
      </c>
      <c r="M512" s="81">
        <f ca="1">M494*(1+INDEX(M$310:M$312,MATCH(Work_Codes!$I$251,$D$310:$D$312,0)))</f>
        <v>0</v>
      </c>
      <c r="N512" s="81">
        <f ca="1">N494*(1+INDEX(N$310:N$312,MATCH(Work_Codes!$I$251,$D$310:$D$312,0)))</f>
        <v>0</v>
      </c>
      <c r="O512" s="81">
        <f ca="1">O494*(1+INDEX(O$310:O$312,MATCH(Work_Codes!$I$251,$D$310:$D$312,0)))</f>
        <v>0</v>
      </c>
      <c r="P512" s="81">
        <f ca="1">P494*(1+INDEX(P$310:P$312,MATCH(Work_Codes!$I$251,$D$310:$D$312,0)))</f>
        <v>0</v>
      </c>
      <c r="Q512" s="81">
        <f ca="1">Q494*(1+INDEX(Q$310:Q$312,MATCH(Work_Codes!$I$251,$D$310:$D$312,0)))</f>
        <v>0</v>
      </c>
      <c r="R512" s="81">
        <f ca="1">R494*(1+INDEX(R$310:R$312,MATCH(Work_Codes!$I$251,$D$310:$D$312,0)))</f>
        <v>0</v>
      </c>
      <c r="S512" s="81">
        <f ca="1">S494*(1+INDEX(S$310:S$312,MATCH(Work_Codes!$I$251,$D$310:$D$312,0)))</f>
        <v>0</v>
      </c>
      <c r="T512" s="81">
        <f ca="1">T494*(1+INDEX(T$310:T$312,MATCH(Work_Codes!$I$251,$D$310:$D$312,0)))</f>
        <v>0</v>
      </c>
    </row>
    <row r="513" spans="4:20" ht="12" customHeight="1" outlineLevel="2">
      <c r="E513" s="247" t="str">
        <f>GC!C71</f>
        <v>Gas Extensions - Other</v>
      </c>
      <c r="F513" s="247"/>
      <c r="G513" s="247"/>
      <c r="H513" s="247"/>
      <c r="I513" s="247"/>
      <c r="J513" s="81">
        <f ca="1">J495*(1+INDEX(J$310:J$312,MATCH(Work_Codes!$I$251,$D$310:$D$312,0)))</f>
        <v>0</v>
      </c>
      <c r="K513" s="81">
        <f ca="1">K495*(1+INDEX(K$310:K$312,MATCH(Work_Codes!$I$251,$D$310:$D$312,0)))</f>
        <v>0</v>
      </c>
      <c r="L513" s="81">
        <f ca="1">L495*(1+INDEX(L$310:L$312,MATCH(Work_Codes!$I$251,$D$310:$D$312,0)))</f>
        <v>0</v>
      </c>
      <c r="M513" s="81">
        <f ca="1">M495*(1+INDEX(M$310:M$312,MATCH(Work_Codes!$I$251,$D$310:$D$312,0)))</f>
        <v>0</v>
      </c>
      <c r="N513" s="81">
        <f ca="1">N495*(1+INDEX(N$310:N$312,MATCH(Work_Codes!$I$251,$D$310:$D$312,0)))</f>
        <v>0</v>
      </c>
      <c r="O513" s="81">
        <f ca="1">O495*(1+INDEX(O$310:O$312,MATCH(Work_Codes!$I$251,$D$310:$D$312,0)))</f>
        <v>0</v>
      </c>
      <c r="P513" s="81">
        <f ca="1">P495*(1+INDEX(P$310:P$312,MATCH(Work_Codes!$I$251,$D$310:$D$312,0)))</f>
        <v>0</v>
      </c>
      <c r="Q513" s="81">
        <f ca="1">Q495*(1+INDEX(Q$310:Q$312,MATCH(Work_Codes!$I$251,$D$310:$D$312,0)))</f>
        <v>0</v>
      </c>
      <c r="R513" s="81">
        <f ca="1">R495*(1+INDEX(R$310:R$312,MATCH(Work_Codes!$I$251,$D$310:$D$312,0)))</f>
        <v>0</v>
      </c>
      <c r="S513" s="81">
        <f ca="1">S495*(1+INDEX(S$310:S$312,MATCH(Work_Codes!$I$251,$D$310:$D$312,0)))</f>
        <v>0</v>
      </c>
      <c r="T513" s="81">
        <f ca="1">T495*(1+INDEX(T$310:T$312,MATCH(Work_Codes!$I$251,$D$310:$D$312,0)))</f>
        <v>0</v>
      </c>
    </row>
    <row r="514" spans="4:20" ht="12" customHeight="1" outlineLevel="2">
      <c r="E514" s="247" t="str">
        <f>GC!C72</f>
        <v>Customer contributions</v>
      </c>
      <c r="F514" s="247"/>
      <c r="G514" s="247"/>
      <c r="H514" s="247"/>
      <c r="I514" s="247"/>
      <c r="J514" s="81">
        <f ca="1">J496*(1+INDEX(J$310:J$312,MATCH(Work_Codes!$I$251,$D$310:$D$312,0)))</f>
        <v>0</v>
      </c>
      <c r="K514" s="81">
        <f ca="1">K496*(1+INDEX(K$310:K$312,MATCH(Work_Codes!$I$251,$D$310:$D$312,0)))</f>
        <v>0</v>
      </c>
      <c r="L514" s="81">
        <f ca="1">L496*(1+INDEX(L$310:L$312,MATCH(Work_Codes!$I$251,$D$310:$D$312,0)))</f>
        <v>0</v>
      </c>
      <c r="M514" s="81">
        <f ca="1">M496*(1+INDEX(M$310:M$312,MATCH(Work_Codes!$I$251,$D$310:$D$312,0)))</f>
        <v>0</v>
      </c>
      <c r="N514" s="81">
        <f ca="1">N496*(1+INDEX(N$310:N$312,MATCH(Work_Codes!$I$251,$D$310:$D$312,0)))</f>
        <v>0</v>
      </c>
      <c r="O514" s="81">
        <f ca="1">O496*(1+INDEX(O$310:O$312,MATCH(Work_Codes!$I$251,$D$310:$D$312,0)))</f>
        <v>0</v>
      </c>
      <c r="P514" s="81">
        <f ca="1">P496*(1+INDEX(P$310:P$312,MATCH(Work_Codes!$I$251,$D$310:$D$312,0)))</f>
        <v>0</v>
      </c>
      <c r="Q514" s="81">
        <f ca="1">Q496*(1+INDEX(Q$310:Q$312,MATCH(Work_Codes!$I$251,$D$310:$D$312,0)))</f>
        <v>0</v>
      </c>
      <c r="R514" s="81">
        <f ca="1">R496*(1+INDEX(R$310:R$312,MATCH(Work_Codes!$I$251,$D$310:$D$312,0)))</f>
        <v>0</v>
      </c>
      <c r="S514" s="81">
        <f ca="1">S496*(1+INDEX(S$310:S$312,MATCH(Work_Codes!$I$251,$D$310:$D$312,0)))</f>
        <v>0</v>
      </c>
      <c r="T514" s="81">
        <f ca="1">T496*(1+INDEX(T$310:T$312,MATCH(Work_Codes!$I$251,$D$310:$D$312,0)))</f>
        <v>0</v>
      </c>
    </row>
    <row r="515" spans="4:20" ht="12" customHeight="1" outlineLevel="2">
      <c r="E515" s="247" t="str">
        <f>GC!C73</f>
        <v>Government contributions</v>
      </c>
      <c r="F515" s="247"/>
      <c r="G515" s="247"/>
      <c r="H515" s="247"/>
      <c r="I515" s="247"/>
      <c r="J515" s="81">
        <f ca="1">J497*(1+INDEX(J$310:J$312,MATCH(Work_Codes!$I$251,$D$310:$D$312,0)))</f>
        <v>0</v>
      </c>
      <c r="K515" s="81">
        <f ca="1">K497*(1+INDEX(K$310:K$312,MATCH(Work_Codes!$I$251,$D$310:$D$312,0)))</f>
        <v>0</v>
      </c>
      <c r="L515" s="81">
        <f ca="1">L497*(1+INDEX(L$310:L$312,MATCH(Work_Codes!$I$251,$D$310:$D$312,0)))</f>
        <v>0</v>
      </c>
      <c r="M515" s="81">
        <f ca="1">M497*(1+INDEX(M$310:M$312,MATCH(Work_Codes!$I$251,$D$310:$D$312,0)))</f>
        <v>0</v>
      </c>
      <c r="N515" s="81">
        <f ca="1">N497*(1+INDEX(N$310:N$312,MATCH(Work_Codes!$I$251,$D$310:$D$312,0)))</f>
        <v>0</v>
      </c>
      <c r="O515" s="81">
        <f ca="1">O497*(1+INDEX(O$310:O$312,MATCH(Work_Codes!$I$251,$D$310:$D$312,0)))</f>
        <v>0</v>
      </c>
      <c r="P515" s="81">
        <f ca="1">P497*(1+INDEX(P$310:P$312,MATCH(Work_Codes!$I$251,$D$310:$D$312,0)))</f>
        <v>0</v>
      </c>
      <c r="Q515" s="81">
        <f ca="1">Q497*(1+INDEX(Q$310:Q$312,MATCH(Work_Codes!$I$251,$D$310:$D$312,0)))</f>
        <v>0</v>
      </c>
      <c r="R515" s="81">
        <f ca="1">R497*(1+INDEX(R$310:R$312,MATCH(Work_Codes!$I$251,$D$310:$D$312,0)))</f>
        <v>0</v>
      </c>
      <c r="S515" s="81">
        <f ca="1">S497*(1+INDEX(S$310:S$312,MATCH(Work_Codes!$I$251,$D$310:$D$312,0)))</f>
        <v>0</v>
      </c>
      <c r="T515" s="81">
        <f ca="1">T497*(1+INDEX(T$310:T$312,MATCH(Work_Codes!$I$251,$D$310:$D$312,0)))</f>
        <v>0</v>
      </c>
    </row>
    <row r="516" spans="4:20" ht="12" customHeight="1" outlineLevel="2">
      <c r="E516" s="249" t="str">
        <f>"Total "&amp;D500</f>
        <v>Total Direct Costs + Overheads</v>
      </c>
      <c r="F516" s="249"/>
      <c r="G516" s="249"/>
      <c r="H516" s="249"/>
      <c r="I516" s="249"/>
      <c r="J516" s="82">
        <f t="shared" ref="J516:T516" ca="1" si="51">SUM(J502:J515)</f>
        <v>0</v>
      </c>
      <c r="K516" s="82">
        <f t="shared" ca="1" si="51"/>
        <v>0</v>
      </c>
      <c r="L516" s="82">
        <f t="shared" ca="1" si="51"/>
        <v>0</v>
      </c>
      <c r="M516" s="82">
        <f t="shared" ca="1" si="51"/>
        <v>0</v>
      </c>
      <c r="N516" s="82">
        <f t="shared" ca="1" si="51"/>
        <v>0</v>
      </c>
      <c r="O516" s="82">
        <f t="shared" ca="1" si="51"/>
        <v>904837.46285997739</v>
      </c>
      <c r="P516" s="82">
        <f t="shared" ca="1" si="51"/>
        <v>1798417.1462318224</v>
      </c>
      <c r="Q516" s="82">
        <f t="shared" ca="1" si="51"/>
        <v>1797488.0175518033</v>
      </c>
      <c r="R516" s="82">
        <f t="shared" ca="1" si="51"/>
        <v>1799314.330397421</v>
      </c>
      <c r="S516" s="82">
        <f t="shared" ca="1" si="51"/>
        <v>1802654.300263783</v>
      </c>
      <c r="T516" s="82">
        <f t="shared" ca="1" si="51"/>
        <v>1805475.9907779892</v>
      </c>
    </row>
    <row r="517" spans="4:20" outlineLevel="2"/>
    <row r="518" spans="4:20" outlineLevel="2">
      <c r="D518" s="37" t="s">
        <v>367</v>
      </c>
    </row>
    <row r="519" spans="4:20" ht="5.75" customHeight="1" outlineLevel="2"/>
    <row r="520" spans="4:20" outlineLevel="2">
      <c r="E520" s="247" t="str">
        <f>GC!C60</f>
        <v>Mains replacement</v>
      </c>
      <c r="F520" s="247"/>
      <c r="G520" s="247"/>
      <c r="H520" s="247"/>
      <c r="I520" s="247"/>
      <c r="J520" s="81">
        <f ca="1">SUMPRODUCT((Work_Codes!$AC$254:$AO$254=$E520)*(Work_Codes!$AC$265:$AO$265)*(J$349:J$349))</f>
        <v>0</v>
      </c>
      <c r="K520" s="81">
        <f ca="1">SUMPRODUCT((Work_Codes!$AC$254:$AO$254=$E520)*(Work_Codes!$AC$265:$AO$265)*(K$349:K$349))</f>
        <v>0</v>
      </c>
      <c r="L520" s="81">
        <f ca="1">SUMPRODUCT((Work_Codes!$AC$254:$AO$254=$E520)*(Work_Codes!$AC$265:$AO$265)*(L$349:L$349))</f>
        <v>0</v>
      </c>
      <c r="M520" s="81">
        <f ca="1">SUMPRODUCT((Work_Codes!$AC$254:$AO$254=$E520)*(Work_Codes!$AC$265:$AO$265)*(M$349:M$349))</f>
        <v>0</v>
      </c>
      <c r="N520" s="81">
        <f ca="1">SUMPRODUCT((Work_Codes!$AC$254:$AO$254=$E520)*(Work_Codes!$AC$265:$AO$265)*(N$349:N$349))</f>
        <v>0</v>
      </c>
      <c r="O520" s="81">
        <f ca="1">SUMPRODUCT((Work_Codes!$AC$254:$AO$254=$E520)*(Work_Codes!$AC$265:$AO$265)*(O$349:O$349))</f>
        <v>0</v>
      </c>
      <c r="P520" s="81">
        <f ca="1">SUMPRODUCT((Work_Codes!$AC$254:$AO$254=$E520)*(Work_Codes!$AC$265:$AO$265)*(P$349:P$349))</f>
        <v>0</v>
      </c>
      <c r="Q520" s="81">
        <f ca="1">SUMPRODUCT((Work_Codes!$AC$254:$AO$254=$E520)*(Work_Codes!$AC$265:$AO$265)*(Q$349:Q$349))</f>
        <v>0</v>
      </c>
      <c r="R520" s="81">
        <f ca="1">SUMPRODUCT((Work_Codes!$AC$254:$AO$254=$E520)*(Work_Codes!$AC$265:$AO$265)*(R$349:R$349))</f>
        <v>0</v>
      </c>
      <c r="S520" s="81">
        <f ca="1">SUMPRODUCT((Work_Codes!$AC$254:$AO$254=$E520)*(Work_Codes!$AC$265:$AO$265)*(S$349:S$349))</f>
        <v>0</v>
      </c>
      <c r="T520" s="81">
        <f ca="1">SUMPRODUCT((Work_Codes!$AC$254:$AO$254=$E520)*(Work_Codes!$AC$265:$AO$265)*(T$349:T$349))</f>
        <v>0</v>
      </c>
    </row>
    <row r="521" spans="4:20" outlineLevel="2">
      <c r="E521" s="247" t="str">
        <f>GC!C61</f>
        <v>Residential new customer connections</v>
      </c>
      <c r="F521" s="247"/>
      <c r="G521" s="247"/>
      <c r="H521" s="247"/>
      <c r="I521" s="247"/>
      <c r="J521" s="81">
        <f ca="1">SUMPRODUCT((Work_Codes!$AC$254:$AO$254=$E521)*(Work_Codes!$AC$265:$AO$265)*(J$349:J$349))</f>
        <v>0</v>
      </c>
      <c r="K521" s="81">
        <f ca="1">SUMPRODUCT((Work_Codes!$AC$254:$AO$254=$E521)*(Work_Codes!$AC$265:$AO$265)*(K$349:K$349))</f>
        <v>0</v>
      </c>
      <c r="L521" s="81">
        <f ca="1">SUMPRODUCT((Work_Codes!$AC$254:$AO$254=$E521)*(Work_Codes!$AC$265:$AO$265)*(L$349:L$349))</f>
        <v>0</v>
      </c>
      <c r="M521" s="81">
        <f ca="1">SUMPRODUCT((Work_Codes!$AC$254:$AO$254=$E521)*(Work_Codes!$AC$265:$AO$265)*(M$349:M$349))</f>
        <v>0</v>
      </c>
      <c r="N521" s="81">
        <f ca="1">SUMPRODUCT((Work_Codes!$AC$254:$AO$254=$E521)*(Work_Codes!$AC$265:$AO$265)*(N$349:N$349))</f>
        <v>0</v>
      </c>
      <c r="O521" s="81">
        <f ca="1">SUMPRODUCT((Work_Codes!$AC$254:$AO$254=$E521)*(Work_Codes!$AC$265:$AO$265)*(O$349:O$349))</f>
        <v>0</v>
      </c>
      <c r="P521" s="81">
        <f ca="1">SUMPRODUCT((Work_Codes!$AC$254:$AO$254=$E521)*(Work_Codes!$AC$265:$AO$265)*(P$349:P$349))</f>
        <v>0</v>
      </c>
      <c r="Q521" s="81">
        <f ca="1">SUMPRODUCT((Work_Codes!$AC$254:$AO$254=$E521)*(Work_Codes!$AC$265:$AO$265)*(Q$349:Q$349))</f>
        <v>0</v>
      </c>
      <c r="R521" s="81">
        <f ca="1">SUMPRODUCT((Work_Codes!$AC$254:$AO$254=$E521)*(Work_Codes!$AC$265:$AO$265)*(R$349:R$349))</f>
        <v>0</v>
      </c>
      <c r="S521" s="81">
        <f ca="1">SUMPRODUCT((Work_Codes!$AC$254:$AO$254=$E521)*(Work_Codes!$AC$265:$AO$265)*(S$349:S$349))</f>
        <v>0</v>
      </c>
      <c r="T521" s="81">
        <f ca="1">SUMPRODUCT((Work_Codes!$AC$254:$AO$254=$E521)*(Work_Codes!$AC$265:$AO$265)*(T$349:T$349))</f>
        <v>0</v>
      </c>
    </row>
    <row r="522" spans="4:20" outlineLevel="2">
      <c r="E522" s="247" t="str">
        <f>GC!C62</f>
        <v>Commercial and industrial new customer connections</v>
      </c>
      <c r="F522" s="247"/>
      <c r="G522" s="247"/>
      <c r="H522" s="247"/>
      <c r="I522" s="247"/>
      <c r="J522" s="81">
        <f ca="1">SUMPRODUCT((Work_Codes!$AC$254:$AO$254=$E522)*(Work_Codes!$AC$265:$AO$265)*(J$349:J$349))</f>
        <v>0</v>
      </c>
      <c r="K522" s="81">
        <f ca="1">SUMPRODUCT((Work_Codes!$AC$254:$AO$254=$E522)*(Work_Codes!$AC$265:$AO$265)*(K$349:K$349))</f>
        <v>0</v>
      </c>
      <c r="L522" s="81">
        <f ca="1">SUMPRODUCT((Work_Codes!$AC$254:$AO$254=$E522)*(Work_Codes!$AC$265:$AO$265)*(L$349:L$349))</f>
        <v>0</v>
      </c>
      <c r="M522" s="81">
        <f ca="1">SUMPRODUCT((Work_Codes!$AC$254:$AO$254=$E522)*(Work_Codes!$AC$265:$AO$265)*(M$349:M$349))</f>
        <v>0</v>
      </c>
      <c r="N522" s="81">
        <f ca="1">SUMPRODUCT((Work_Codes!$AC$254:$AO$254=$E522)*(Work_Codes!$AC$265:$AO$265)*(N$349:N$349))</f>
        <v>0</v>
      </c>
      <c r="O522" s="81">
        <f ca="1">SUMPRODUCT((Work_Codes!$AC$254:$AO$254=$E522)*(Work_Codes!$AC$265:$AO$265)*(O$349:O$349))</f>
        <v>0</v>
      </c>
      <c r="P522" s="81">
        <f ca="1">SUMPRODUCT((Work_Codes!$AC$254:$AO$254=$E522)*(Work_Codes!$AC$265:$AO$265)*(P$349:P$349))</f>
        <v>0</v>
      </c>
      <c r="Q522" s="81">
        <f ca="1">SUMPRODUCT((Work_Codes!$AC$254:$AO$254=$E522)*(Work_Codes!$AC$265:$AO$265)*(Q$349:Q$349))</f>
        <v>0</v>
      </c>
      <c r="R522" s="81">
        <f ca="1">SUMPRODUCT((Work_Codes!$AC$254:$AO$254=$E522)*(Work_Codes!$AC$265:$AO$265)*(R$349:R$349))</f>
        <v>0</v>
      </c>
      <c r="S522" s="81">
        <f ca="1">SUMPRODUCT((Work_Codes!$AC$254:$AO$254=$E522)*(Work_Codes!$AC$265:$AO$265)*(S$349:S$349))</f>
        <v>0</v>
      </c>
      <c r="T522" s="81">
        <f ca="1">SUMPRODUCT((Work_Codes!$AC$254:$AO$254=$E522)*(Work_Codes!$AC$265:$AO$265)*(T$349:T$349))</f>
        <v>0</v>
      </c>
    </row>
    <row r="523" spans="4:20" outlineLevel="2">
      <c r="E523" s="247" t="str">
        <f>GC!C63</f>
        <v>Residential meter replacement</v>
      </c>
      <c r="F523" s="247"/>
      <c r="G523" s="247"/>
      <c r="H523" s="247"/>
      <c r="I523" s="247"/>
      <c r="J523" s="81">
        <f ca="1">SUMPRODUCT((Work_Codes!$AC$254:$AO$254=$E523)*(Work_Codes!$AC$265:$AO$265)*(J$349:J$349))</f>
        <v>0</v>
      </c>
      <c r="K523" s="81">
        <f ca="1">SUMPRODUCT((Work_Codes!$AC$254:$AO$254=$E523)*(Work_Codes!$AC$265:$AO$265)*(K$349:K$349))</f>
        <v>0</v>
      </c>
      <c r="L523" s="81">
        <f ca="1">SUMPRODUCT((Work_Codes!$AC$254:$AO$254=$E523)*(Work_Codes!$AC$265:$AO$265)*(L$349:L$349))</f>
        <v>0</v>
      </c>
      <c r="M523" s="81">
        <f ca="1">SUMPRODUCT((Work_Codes!$AC$254:$AO$254=$E523)*(Work_Codes!$AC$265:$AO$265)*(M$349:M$349))</f>
        <v>0</v>
      </c>
      <c r="N523" s="81">
        <f ca="1">SUMPRODUCT((Work_Codes!$AC$254:$AO$254=$E523)*(Work_Codes!$AC$265:$AO$265)*(N$349:N$349))</f>
        <v>0</v>
      </c>
      <c r="O523" s="81">
        <f ca="1">SUMPRODUCT((Work_Codes!$AC$254:$AO$254=$E523)*(Work_Codes!$AC$265:$AO$265)*(O$349:O$349))</f>
        <v>0</v>
      </c>
      <c r="P523" s="81">
        <f ca="1">SUMPRODUCT((Work_Codes!$AC$254:$AO$254=$E523)*(Work_Codes!$AC$265:$AO$265)*(P$349:P$349))</f>
        <v>0</v>
      </c>
      <c r="Q523" s="81">
        <f ca="1">SUMPRODUCT((Work_Codes!$AC$254:$AO$254=$E523)*(Work_Codes!$AC$265:$AO$265)*(Q$349:Q$349))</f>
        <v>0</v>
      </c>
      <c r="R523" s="81">
        <f ca="1">SUMPRODUCT((Work_Codes!$AC$254:$AO$254=$E523)*(Work_Codes!$AC$265:$AO$265)*(R$349:R$349))</f>
        <v>0</v>
      </c>
      <c r="S523" s="81">
        <f ca="1">SUMPRODUCT((Work_Codes!$AC$254:$AO$254=$E523)*(Work_Codes!$AC$265:$AO$265)*(S$349:S$349))</f>
        <v>0</v>
      </c>
      <c r="T523" s="81">
        <f ca="1">SUMPRODUCT((Work_Codes!$AC$254:$AO$254=$E523)*(Work_Codes!$AC$265:$AO$265)*(T$349:T$349))</f>
        <v>0</v>
      </c>
    </row>
    <row r="524" spans="4:20" outlineLevel="2">
      <c r="E524" s="247" t="str">
        <f>GC!C64</f>
        <v>Commercial and industrial meter replacement</v>
      </c>
      <c r="F524" s="247"/>
      <c r="G524" s="247"/>
      <c r="H524" s="247"/>
      <c r="I524" s="247"/>
      <c r="J524" s="81">
        <f ca="1">SUMPRODUCT((Work_Codes!$AC$254:$AO$254=$E524)*(Work_Codes!$AC$265:$AO$265)*(J$349:J$349))</f>
        <v>0</v>
      </c>
      <c r="K524" s="81">
        <f ca="1">SUMPRODUCT((Work_Codes!$AC$254:$AO$254=$E524)*(Work_Codes!$AC$265:$AO$265)*(K$349:K$349))</f>
        <v>0</v>
      </c>
      <c r="L524" s="81">
        <f ca="1">SUMPRODUCT((Work_Codes!$AC$254:$AO$254=$E524)*(Work_Codes!$AC$265:$AO$265)*(L$349:L$349))</f>
        <v>0</v>
      </c>
      <c r="M524" s="81">
        <f ca="1">SUMPRODUCT((Work_Codes!$AC$254:$AO$254=$E524)*(Work_Codes!$AC$265:$AO$265)*(M$349:M$349))</f>
        <v>0</v>
      </c>
      <c r="N524" s="81">
        <f ca="1">SUMPRODUCT((Work_Codes!$AC$254:$AO$254=$E524)*(Work_Codes!$AC$265:$AO$265)*(N$349:N$349))</f>
        <v>0</v>
      </c>
      <c r="O524" s="81">
        <f ca="1">SUMPRODUCT((Work_Codes!$AC$254:$AO$254=$E524)*(Work_Codes!$AC$265:$AO$265)*(O$349:O$349))</f>
        <v>0</v>
      </c>
      <c r="P524" s="81">
        <f ca="1">SUMPRODUCT((Work_Codes!$AC$254:$AO$254=$E524)*(Work_Codes!$AC$265:$AO$265)*(P$349:P$349))</f>
        <v>0</v>
      </c>
      <c r="Q524" s="81">
        <f ca="1">SUMPRODUCT((Work_Codes!$AC$254:$AO$254=$E524)*(Work_Codes!$AC$265:$AO$265)*(Q$349:Q$349))</f>
        <v>0</v>
      </c>
      <c r="R524" s="81">
        <f ca="1">SUMPRODUCT((Work_Codes!$AC$254:$AO$254=$E524)*(Work_Codes!$AC$265:$AO$265)*(R$349:R$349))</f>
        <v>0</v>
      </c>
      <c r="S524" s="81">
        <f ca="1">SUMPRODUCT((Work_Codes!$AC$254:$AO$254=$E524)*(Work_Codes!$AC$265:$AO$265)*(S$349:S$349))</f>
        <v>0</v>
      </c>
      <c r="T524" s="81">
        <f ca="1">SUMPRODUCT((Work_Codes!$AC$254:$AO$254=$E524)*(Work_Codes!$AC$265:$AO$265)*(T$349:T$349))</f>
        <v>0</v>
      </c>
    </row>
    <row r="525" spans="4:20" outlineLevel="2">
      <c r="E525" s="247" t="str">
        <f>GC!C65</f>
        <v>Augmentation</v>
      </c>
      <c r="F525" s="247"/>
      <c r="G525" s="247"/>
      <c r="H525" s="247"/>
      <c r="I525" s="247"/>
      <c r="J525" s="81">
        <f ca="1">SUMPRODUCT((Work_Codes!$AC$254:$AO$254=$E525)*(Work_Codes!$AC$265:$AO$265)*(J$349:J$349))</f>
        <v>0</v>
      </c>
      <c r="K525" s="81">
        <f ca="1">SUMPRODUCT((Work_Codes!$AC$254:$AO$254=$E525)*(Work_Codes!$AC$265:$AO$265)*(K$349:K$349))</f>
        <v>0</v>
      </c>
      <c r="L525" s="81">
        <f ca="1">SUMPRODUCT((Work_Codes!$AC$254:$AO$254=$E525)*(Work_Codes!$AC$265:$AO$265)*(L$349:L$349))</f>
        <v>0</v>
      </c>
      <c r="M525" s="81">
        <f ca="1">SUMPRODUCT((Work_Codes!$AC$254:$AO$254=$E525)*(Work_Codes!$AC$265:$AO$265)*(M$349:M$349))</f>
        <v>0</v>
      </c>
      <c r="N525" s="81">
        <f ca="1">SUMPRODUCT((Work_Codes!$AC$254:$AO$254=$E525)*(Work_Codes!$AC$265:$AO$265)*(N$349:N$349))</f>
        <v>0</v>
      </c>
      <c r="O525" s="81">
        <f ca="1">SUMPRODUCT((Work_Codes!$AC$254:$AO$254=$E525)*(Work_Codes!$AC$265:$AO$265)*(O$349:O$349))</f>
        <v>0</v>
      </c>
      <c r="P525" s="81">
        <f ca="1">SUMPRODUCT((Work_Codes!$AC$254:$AO$254=$E525)*(Work_Codes!$AC$265:$AO$265)*(P$349:P$349))</f>
        <v>0</v>
      </c>
      <c r="Q525" s="81">
        <f ca="1">SUMPRODUCT((Work_Codes!$AC$254:$AO$254=$E525)*(Work_Codes!$AC$265:$AO$265)*(Q$349:Q$349))</f>
        <v>0</v>
      </c>
      <c r="R525" s="81">
        <f ca="1">SUMPRODUCT((Work_Codes!$AC$254:$AO$254=$E525)*(Work_Codes!$AC$265:$AO$265)*(R$349:R$349))</f>
        <v>0</v>
      </c>
      <c r="S525" s="81">
        <f ca="1">SUMPRODUCT((Work_Codes!$AC$254:$AO$254=$E525)*(Work_Codes!$AC$265:$AO$265)*(S$349:S$349))</f>
        <v>0</v>
      </c>
      <c r="T525" s="81">
        <f ca="1">SUMPRODUCT((Work_Codes!$AC$254:$AO$254=$E525)*(Work_Codes!$AC$265:$AO$265)*(T$349:T$349))</f>
        <v>0</v>
      </c>
    </row>
    <row r="526" spans="4:20" outlineLevel="2">
      <c r="E526" s="247" t="str">
        <f>GC!C66</f>
        <v>IT capex</v>
      </c>
      <c r="F526" s="247"/>
      <c r="G526" s="247"/>
      <c r="H526" s="247"/>
      <c r="I526" s="247"/>
      <c r="J526" s="81">
        <f ca="1">SUMPRODUCT((Work_Codes!$AC$254:$AO$254=$E526)*(Work_Codes!$AC$265:$AO$265)*(J$349:J$349))</f>
        <v>0</v>
      </c>
      <c r="K526" s="81">
        <f ca="1">SUMPRODUCT((Work_Codes!$AC$254:$AO$254=$E526)*(Work_Codes!$AC$265:$AO$265)*(K$349:K$349))</f>
        <v>0</v>
      </c>
      <c r="L526" s="81">
        <f ca="1">SUMPRODUCT((Work_Codes!$AC$254:$AO$254=$E526)*(Work_Codes!$AC$265:$AO$265)*(L$349:L$349))</f>
        <v>0</v>
      </c>
      <c r="M526" s="81">
        <f ca="1">SUMPRODUCT((Work_Codes!$AC$254:$AO$254=$E526)*(Work_Codes!$AC$265:$AO$265)*(M$349:M$349))</f>
        <v>0</v>
      </c>
      <c r="N526" s="81">
        <f ca="1">SUMPRODUCT((Work_Codes!$AC$254:$AO$254=$E526)*(Work_Codes!$AC$265:$AO$265)*(N$349:N$349))</f>
        <v>0</v>
      </c>
      <c r="O526" s="81">
        <f ca="1">SUMPRODUCT((Work_Codes!$AC$254:$AO$254=$E526)*(Work_Codes!$AC$265:$AO$265)*(O$349:O$349))</f>
        <v>0</v>
      </c>
      <c r="P526" s="81">
        <f ca="1">SUMPRODUCT((Work_Codes!$AC$254:$AO$254=$E526)*(Work_Codes!$AC$265:$AO$265)*(P$349:P$349))</f>
        <v>0</v>
      </c>
      <c r="Q526" s="81">
        <f ca="1">SUMPRODUCT((Work_Codes!$AC$254:$AO$254=$E526)*(Work_Codes!$AC$265:$AO$265)*(Q$349:Q$349))</f>
        <v>0</v>
      </c>
      <c r="R526" s="81">
        <f ca="1">SUMPRODUCT((Work_Codes!$AC$254:$AO$254=$E526)*(Work_Codes!$AC$265:$AO$265)*(R$349:R$349))</f>
        <v>0</v>
      </c>
      <c r="S526" s="81">
        <f ca="1">SUMPRODUCT((Work_Codes!$AC$254:$AO$254=$E526)*(Work_Codes!$AC$265:$AO$265)*(S$349:S$349))</f>
        <v>0</v>
      </c>
      <c r="T526" s="81">
        <f ca="1">SUMPRODUCT((Work_Codes!$AC$254:$AO$254=$E526)*(Work_Codes!$AC$265:$AO$265)*(T$349:T$349))</f>
        <v>0</v>
      </c>
    </row>
    <row r="527" spans="4:20" outlineLevel="2">
      <c r="E527" s="247" t="str">
        <f>GC!C67</f>
        <v>SCADA</v>
      </c>
      <c r="F527" s="247"/>
      <c r="G527" s="247"/>
      <c r="H527" s="247"/>
      <c r="I527" s="247"/>
      <c r="J527" s="81">
        <f ca="1">SUMPRODUCT((Work_Codes!$AC$254:$AO$254=$E527)*(Work_Codes!$AC$265:$AO$265)*(J$349:J$349))</f>
        <v>0</v>
      </c>
      <c r="K527" s="81">
        <f ca="1">SUMPRODUCT((Work_Codes!$AC$254:$AO$254=$E527)*(Work_Codes!$AC$265:$AO$265)*(K$349:K$349))</f>
        <v>0</v>
      </c>
      <c r="L527" s="81">
        <f ca="1">SUMPRODUCT((Work_Codes!$AC$254:$AO$254=$E527)*(Work_Codes!$AC$265:$AO$265)*(L$349:L$349))</f>
        <v>0</v>
      </c>
      <c r="M527" s="81">
        <f ca="1">SUMPRODUCT((Work_Codes!$AC$254:$AO$254=$E527)*(Work_Codes!$AC$265:$AO$265)*(M$349:M$349))</f>
        <v>0</v>
      </c>
      <c r="N527" s="81">
        <f ca="1">SUMPRODUCT((Work_Codes!$AC$254:$AO$254=$E527)*(Work_Codes!$AC$265:$AO$265)*(N$349:N$349))</f>
        <v>0</v>
      </c>
      <c r="O527" s="81">
        <f ca="1">SUMPRODUCT((Work_Codes!$AC$254:$AO$254=$E527)*(Work_Codes!$AC$265:$AO$265)*(O$349:O$349))</f>
        <v>0</v>
      </c>
      <c r="P527" s="81">
        <f ca="1">SUMPRODUCT((Work_Codes!$AC$254:$AO$254=$E527)*(Work_Codes!$AC$265:$AO$265)*(P$349:P$349))</f>
        <v>0</v>
      </c>
      <c r="Q527" s="81">
        <f ca="1">SUMPRODUCT((Work_Codes!$AC$254:$AO$254=$E527)*(Work_Codes!$AC$265:$AO$265)*(Q$349:Q$349))</f>
        <v>0</v>
      </c>
      <c r="R527" s="81">
        <f ca="1">SUMPRODUCT((Work_Codes!$AC$254:$AO$254=$E527)*(Work_Codes!$AC$265:$AO$265)*(R$349:R$349))</f>
        <v>0</v>
      </c>
      <c r="S527" s="81">
        <f ca="1">SUMPRODUCT((Work_Codes!$AC$254:$AO$254=$E527)*(Work_Codes!$AC$265:$AO$265)*(S$349:S$349))</f>
        <v>0</v>
      </c>
      <c r="T527" s="81">
        <f ca="1">SUMPRODUCT((Work_Codes!$AC$254:$AO$254=$E527)*(Work_Codes!$AC$265:$AO$265)*(T$349:T$349))</f>
        <v>0</v>
      </c>
    </row>
    <row r="528" spans="4:20" outlineLevel="2">
      <c r="E528" s="247" t="str">
        <f>GC!C68</f>
        <v>Other</v>
      </c>
      <c r="F528" s="247"/>
      <c r="G528" s="247"/>
      <c r="H528" s="247"/>
      <c r="I528" s="247"/>
      <c r="J528" s="81">
        <f ca="1">SUMPRODUCT((Work_Codes!$AC$254:$AO$254=$E528)*(Work_Codes!$AC$265:$AO$265)*(J$349:J$349))</f>
        <v>0</v>
      </c>
      <c r="K528" s="81">
        <f ca="1">SUMPRODUCT((Work_Codes!$AC$254:$AO$254=$E528)*(Work_Codes!$AC$265:$AO$265)*(K$349:K$349))</f>
        <v>0</v>
      </c>
      <c r="L528" s="81">
        <f ca="1">SUMPRODUCT((Work_Codes!$AC$254:$AO$254=$E528)*(Work_Codes!$AC$265:$AO$265)*(L$349:L$349))</f>
        <v>0</v>
      </c>
      <c r="M528" s="81">
        <f ca="1">SUMPRODUCT((Work_Codes!$AC$254:$AO$254=$E528)*(Work_Codes!$AC$265:$AO$265)*(M$349:M$349))</f>
        <v>0</v>
      </c>
      <c r="N528" s="81">
        <f ca="1">SUMPRODUCT((Work_Codes!$AC$254:$AO$254=$E528)*(Work_Codes!$AC$265:$AO$265)*(N$349:N$349))</f>
        <v>0</v>
      </c>
      <c r="O528" s="81">
        <f ca="1">SUMPRODUCT((Work_Codes!$AC$254:$AO$254=$E528)*(Work_Codes!$AC$265:$AO$265)*(O$349:O$349))</f>
        <v>0</v>
      </c>
      <c r="P528" s="81">
        <f ca="1">SUMPRODUCT((Work_Codes!$AC$254:$AO$254=$E528)*(Work_Codes!$AC$265:$AO$265)*(P$349:P$349))</f>
        <v>0</v>
      </c>
      <c r="Q528" s="81">
        <f ca="1">SUMPRODUCT((Work_Codes!$AC$254:$AO$254=$E528)*(Work_Codes!$AC$265:$AO$265)*(Q$349:Q$349))</f>
        <v>0</v>
      </c>
      <c r="R528" s="81">
        <f ca="1">SUMPRODUCT((Work_Codes!$AC$254:$AO$254=$E528)*(Work_Codes!$AC$265:$AO$265)*(R$349:R$349))</f>
        <v>0</v>
      </c>
      <c r="S528" s="81">
        <f ca="1">SUMPRODUCT((Work_Codes!$AC$254:$AO$254=$E528)*(Work_Codes!$AC$265:$AO$265)*(S$349:S$349))</f>
        <v>0</v>
      </c>
      <c r="T528" s="81">
        <f ca="1">SUMPRODUCT((Work_Codes!$AC$254:$AO$254=$E528)*(Work_Codes!$AC$265:$AO$265)*(T$349:T$349))</f>
        <v>0</v>
      </c>
    </row>
    <row r="529" spans="2:20" outlineLevel="2">
      <c r="E529" s="247" t="str">
        <f>GC!C69</f>
        <v>Capitalised Leases</v>
      </c>
      <c r="F529" s="247"/>
      <c r="G529" s="247"/>
      <c r="H529" s="247"/>
      <c r="I529" s="247"/>
      <c r="J529" s="81">
        <f ca="1">SUMPRODUCT((Work_Codes!$AC$254:$AO$254=$E529)*(Work_Codes!$AC$265:$AO$265)*(J$349:J$349))</f>
        <v>0</v>
      </c>
      <c r="K529" s="81">
        <f ca="1">SUMPRODUCT((Work_Codes!$AC$254:$AO$254=$E529)*(Work_Codes!$AC$265:$AO$265)*(K$349:K$349))</f>
        <v>0</v>
      </c>
      <c r="L529" s="81">
        <f ca="1">SUMPRODUCT((Work_Codes!$AC$254:$AO$254=$E529)*(Work_Codes!$AC$265:$AO$265)*(L$349:L$349))</f>
        <v>0</v>
      </c>
      <c r="M529" s="81">
        <f ca="1">SUMPRODUCT((Work_Codes!$AC$254:$AO$254=$E529)*(Work_Codes!$AC$265:$AO$265)*(M$349:M$349))</f>
        <v>0</v>
      </c>
      <c r="N529" s="81">
        <f ca="1">SUMPRODUCT((Work_Codes!$AC$254:$AO$254=$E529)*(Work_Codes!$AC$265:$AO$265)*(N$349:N$349))</f>
        <v>0</v>
      </c>
      <c r="O529" s="81">
        <f ca="1">SUMPRODUCT((Work_Codes!$AC$254:$AO$254=$E529)*(Work_Codes!$AC$265:$AO$265)*(O$349:O$349))</f>
        <v>0</v>
      </c>
      <c r="P529" s="81">
        <f ca="1">SUMPRODUCT((Work_Codes!$AC$254:$AO$254=$E529)*(Work_Codes!$AC$265:$AO$265)*(P$349:P$349))</f>
        <v>0</v>
      </c>
      <c r="Q529" s="81">
        <f ca="1">SUMPRODUCT((Work_Codes!$AC$254:$AO$254=$E529)*(Work_Codes!$AC$265:$AO$265)*(Q$349:Q$349))</f>
        <v>0</v>
      </c>
      <c r="R529" s="81">
        <f ca="1">SUMPRODUCT((Work_Codes!$AC$254:$AO$254=$E529)*(Work_Codes!$AC$265:$AO$265)*(R$349:R$349))</f>
        <v>0</v>
      </c>
      <c r="S529" s="81">
        <f ca="1">SUMPRODUCT((Work_Codes!$AC$254:$AO$254=$E529)*(Work_Codes!$AC$265:$AO$265)*(S$349:S$349))</f>
        <v>0</v>
      </c>
      <c r="T529" s="81">
        <f ca="1">SUMPRODUCT((Work_Codes!$AC$254:$AO$254=$E529)*(Work_Codes!$AC$265:$AO$265)*(T$349:T$349))</f>
        <v>0</v>
      </c>
    </row>
    <row r="530" spans="2:20" outlineLevel="2">
      <c r="E530" s="247" t="str">
        <f>GC!C70</f>
        <v>Gas Extensions - Energy for the Regions</v>
      </c>
      <c r="F530" s="247"/>
      <c r="G530" s="247"/>
      <c r="H530" s="247"/>
      <c r="I530" s="247"/>
      <c r="J530" s="81">
        <f ca="1">SUMPRODUCT((Work_Codes!$AC$254:$AO$254=$E530)*(Work_Codes!$AC$265:$AO$265)*(J$349:J$349))</f>
        <v>0</v>
      </c>
      <c r="K530" s="81">
        <f ca="1">SUMPRODUCT((Work_Codes!$AC$254:$AO$254=$E530)*(Work_Codes!$AC$265:$AO$265)*(K$349:K$349))</f>
        <v>0</v>
      </c>
      <c r="L530" s="81">
        <f ca="1">SUMPRODUCT((Work_Codes!$AC$254:$AO$254=$E530)*(Work_Codes!$AC$265:$AO$265)*(L$349:L$349))</f>
        <v>0</v>
      </c>
      <c r="M530" s="81">
        <f ca="1">SUMPRODUCT((Work_Codes!$AC$254:$AO$254=$E530)*(Work_Codes!$AC$265:$AO$265)*(M$349:M$349))</f>
        <v>0</v>
      </c>
      <c r="N530" s="81">
        <f ca="1">SUMPRODUCT((Work_Codes!$AC$254:$AO$254=$E530)*(Work_Codes!$AC$265:$AO$265)*(N$349:N$349))</f>
        <v>0</v>
      </c>
      <c r="O530" s="81">
        <f ca="1">SUMPRODUCT((Work_Codes!$AC$254:$AO$254=$E530)*(Work_Codes!$AC$265:$AO$265)*(O$349:O$349))</f>
        <v>0</v>
      </c>
      <c r="P530" s="81">
        <f ca="1">SUMPRODUCT((Work_Codes!$AC$254:$AO$254=$E530)*(Work_Codes!$AC$265:$AO$265)*(P$349:P$349))</f>
        <v>0</v>
      </c>
      <c r="Q530" s="81">
        <f ca="1">SUMPRODUCT((Work_Codes!$AC$254:$AO$254=$E530)*(Work_Codes!$AC$265:$AO$265)*(Q$349:Q$349))</f>
        <v>0</v>
      </c>
      <c r="R530" s="81">
        <f ca="1">SUMPRODUCT((Work_Codes!$AC$254:$AO$254=$E530)*(Work_Codes!$AC$265:$AO$265)*(R$349:R$349))</f>
        <v>0</v>
      </c>
      <c r="S530" s="81">
        <f ca="1">SUMPRODUCT((Work_Codes!$AC$254:$AO$254=$E530)*(Work_Codes!$AC$265:$AO$265)*(S$349:S$349))</f>
        <v>0</v>
      </c>
      <c r="T530" s="81">
        <f ca="1">SUMPRODUCT((Work_Codes!$AC$254:$AO$254=$E530)*(Work_Codes!$AC$265:$AO$265)*(T$349:T$349))</f>
        <v>0</v>
      </c>
    </row>
    <row r="531" spans="2:20" outlineLevel="2">
      <c r="E531" s="247" t="str">
        <f>GC!C71</f>
        <v>Gas Extensions - Other</v>
      </c>
      <c r="F531" s="247"/>
      <c r="G531" s="247"/>
      <c r="H531" s="247"/>
      <c r="I531" s="247"/>
      <c r="J531" s="81">
        <f ca="1">SUMPRODUCT((Work_Codes!$AC$254:$AO$254=$E531)*(Work_Codes!$AC$265:$AO$265)*(J$349:J$349))</f>
        <v>0</v>
      </c>
      <c r="K531" s="81">
        <f ca="1">SUMPRODUCT((Work_Codes!$AC$254:$AO$254=$E531)*(Work_Codes!$AC$265:$AO$265)*(K$349:K$349))</f>
        <v>0</v>
      </c>
      <c r="L531" s="81">
        <f ca="1">SUMPRODUCT((Work_Codes!$AC$254:$AO$254=$E531)*(Work_Codes!$AC$265:$AO$265)*(L$349:L$349))</f>
        <v>0</v>
      </c>
      <c r="M531" s="81">
        <f ca="1">SUMPRODUCT((Work_Codes!$AC$254:$AO$254=$E531)*(Work_Codes!$AC$265:$AO$265)*(M$349:M$349))</f>
        <v>0</v>
      </c>
      <c r="N531" s="81">
        <f ca="1">SUMPRODUCT((Work_Codes!$AC$254:$AO$254=$E531)*(Work_Codes!$AC$265:$AO$265)*(N$349:N$349))</f>
        <v>0</v>
      </c>
      <c r="O531" s="81">
        <f ca="1">SUMPRODUCT((Work_Codes!$AC$254:$AO$254=$E531)*(Work_Codes!$AC$265:$AO$265)*(O$349:O$349))</f>
        <v>0</v>
      </c>
      <c r="P531" s="81">
        <f ca="1">SUMPRODUCT((Work_Codes!$AC$254:$AO$254=$E531)*(Work_Codes!$AC$265:$AO$265)*(P$349:P$349))</f>
        <v>0</v>
      </c>
      <c r="Q531" s="81">
        <f ca="1">SUMPRODUCT((Work_Codes!$AC$254:$AO$254=$E531)*(Work_Codes!$AC$265:$AO$265)*(Q$349:Q$349))</f>
        <v>0</v>
      </c>
      <c r="R531" s="81">
        <f ca="1">SUMPRODUCT((Work_Codes!$AC$254:$AO$254=$E531)*(Work_Codes!$AC$265:$AO$265)*(R$349:R$349))</f>
        <v>0</v>
      </c>
      <c r="S531" s="81">
        <f ca="1">SUMPRODUCT((Work_Codes!$AC$254:$AO$254=$E531)*(Work_Codes!$AC$265:$AO$265)*(S$349:S$349))</f>
        <v>0</v>
      </c>
      <c r="T531" s="81">
        <f ca="1">SUMPRODUCT((Work_Codes!$AC$254:$AO$254=$E531)*(Work_Codes!$AC$265:$AO$265)*(T$349:T$349))</f>
        <v>0</v>
      </c>
    </row>
    <row r="532" spans="2:20" outlineLevel="2">
      <c r="E532" s="247" t="str">
        <f>GC!C72</f>
        <v>Customer contributions</v>
      </c>
      <c r="F532" s="247"/>
      <c r="G532" s="247"/>
      <c r="H532" s="247"/>
      <c r="I532" s="247"/>
      <c r="J532" s="81">
        <f ca="1">SUMPRODUCT((Work_Codes!$AC$254:$AO$254=$E532)*(Work_Codes!$AC$265:$AO$265)*(J$349:J$349))</f>
        <v>0</v>
      </c>
      <c r="K532" s="81">
        <f ca="1">SUMPRODUCT((Work_Codes!$AC$254:$AO$254=$E532)*(Work_Codes!$AC$265:$AO$265)*(K$349:K$349))</f>
        <v>0</v>
      </c>
      <c r="L532" s="81">
        <f ca="1">SUMPRODUCT((Work_Codes!$AC$254:$AO$254=$E532)*(Work_Codes!$AC$265:$AO$265)*(L$349:L$349))</f>
        <v>0</v>
      </c>
      <c r="M532" s="81">
        <f ca="1">SUMPRODUCT((Work_Codes!$AC$254:$AO$254=$E532)*(Work_Codes!$AC$265:$AO$265)*(M$349:M$349))</f>
        <v>0</v>
      </c>
      <c r="N532" s="81">
        <f ca="1">SUMPRODUCT((Work_Codes!$AC$254:$AO$254=$E532)*(Work_Codes!$AC$265:$AO$265)*(N$349:N$349))</f>
        <v>0</v>
      </c>
      <c r="O532" s="81">
        <f ca="1">SUMPRODUCT((Work_Codes!$AC$254:$AO$254=$E532)*(Work_Codes!$AC$265:$AO$265)*(O$349:O$349))</f>
        <v>0</v>
      </c>
      <c r="P532" s="81">
        <f ca="1">SUMPRODUCT((Work_Codes!$AC$254:$AO$254=$E532)*(Work_Codes!$AC$265:$AO$265)*(P$349:P$349))</f>
        <v>0</v>
      </c>
      <c r="Q532" s="81">
        <f ca="1">SUMPRODUCT((Work_Codes!$AC$254:$AO$254=$E532)*(Work_Codes!$AC$265:$AO$265)*(Q$349:Q$349))</f>
        <v>0</v>
      </c>
      <c r="R532" s="81">
        <f ca="1">SUMPRODUCT((Work_Codes!$AC$254:$AO$254=$E532)*(Work_Codes!$AC$265:$AO$265)*(R$349:R$349))</f>
        <v>0</v>
      </c>
      <c r="S532" s="81">
        <f ca="1">SUMPRODUCT((Work_Codes!$AC$254:$AO$254=$E532)*(Work_Codes!$AC$265:$AO$265)*(S$349:S$349))</f>
        <v>0</v>
      </c>
      <c r="T532" s="81">
        <f ca="1">SUMPRODUCT((Work_Codes!$AC$254:$AO$254=$E532)*(Work_Codes!$AC$265:$AO$265)*(T$349:T$349))</f>
        <v>0</v>
      </c>
    </row>
    <row r="533" spans="2:20" outlineLevel="2">
      <c r="E533" s="247" t="str">
        <f>GC!C73</f>
        <v>Government contributions</v>
      </c>
      <c r="F533" s="247"/>
      <c r="G533" s="247"/>
      <c r="H533" s="247"/>
      <c r="I533" s="247"/>
      <c r="J533" s="81">
        <f ca="1">SUMPRODUCT((Work_Codes!$AC$254:$AO$254=$E533)*(Work_Codes!$AC$265:$AO$265)*(J$349:J$349))</f>
        <v>0</v>
      </c>
      <c r="K533" s="81">
        <f ca="1">SUMPRODUCT((Work_Codes!$AC$254:$AO$254=$E533)*(Work_Codes!$AC$265:$AO$265)*(K$349:K$349))</f>
        <v>0</v>
      </c>
      <c r="L533" s="81">
        <f ca="1">SUMPRODUCT((Work_Codes!$AC$254:$AO$254=$E533)*(Work_Codes!$AC$265:$AO$265)*(L$349:L$349))</f>
        <v>0</v>
      </c>
      <c r="M533" s="81">
        <f ca="1">SUMPRODUCT((Work_Codes!$AC$254:$AO$254=$E533)*(Work_Codes!$AC$265:$AO$265)*(M$349:M$349))</f>
        <v>0</v>
      </c>
      <c r="N533" s="81">
        <f ca="1">SUMPRODUCT((Work_Codes!$AC$254:$AO$254=$E533)*(Work_Codes!$AC$265:$AO$265)*(N$349:N$349))</f>
        <v>0</v>
      </c>
      <c r="O533" s="81">
        <f ca="1">SUMPRODUCT((Work_Codes!$AC$254:$AO$254=$E533)*(Work_Codes!$AC$265:$AO$265)*(O$349:O$349))</f>
        <v>0</v>
      </c>
      <c r="P533" s="81">
        <f ca="1">SUMPRODUCT((Work_Codes!$AC$254:$AO$254=$E533)*(Work_Codes!$AC$265:$AO$265)*(P$349:P$349))</f>
        <v>0</v>
      </c>
      <c r="Q533" s="81">
        <f ca="1">SUMPRODUCT((Work_Codes!$AC$254:$AO$254=$E533)*(Work_Codes!$AC$265:$AO$265)*(Q$349:Q$349))</f>
        <v>0</v>
      </c>
      <c r="R533" s="81">
        <f ca="1">SUMPRODUCT((Work_Codes!$AC$254:$AO$254=$E533)*(Work_Codes!$AC$265:$AO$265)*(R$349:R$349))</f>
        <v>0</v>
      </c>
      <c r="S533" s="81">
        <f ca="1">SUMPRODUCT((Work_Codes!$AC$254:$AO$254=$E533)*(Work_Codes!$AC$265:$AO$265)*(S$349:S$349))</f>
        <v>0</v>
      </c>
      <c r="T533" s="81">
        <f ca="1">SUMPRODUCT((Work_Codes!$AC$254:$AO$254=$E533)*(Work_Codes!$AC$265:$AO$265)*(T$349:T$349))</f>
        <v>0</v>
      </c>
    </row>
    <row r="534" spans="2:20" outlineLevel="2">
      <c r="E534" s="249" t="str">
        <f t="shared" ref="E534" si="52">"Total "&amp;D518</f>
        <v>Total Customer Contributions</v>
      </c>
      <c r="F534" s="249"/>
      <c r="G534" s="249"/>
      <c r="H534" s="249"/>
      <c r="I534" s="249"/>
      <c r="J534" s="82">
        <f t="shared" ref="J534:T534" ca="1" si="53">SUM(J520:J533)</f>
        <v>0</v>
      </c>
      <c r="K534" s="82">
        <f t="shared" ca="1" si="53"/>
        <v>0</v>
      </c>
      <c r="L534" s="82">
        <f t="shared" ca="1" si="53"/>
        <v>0</v>
      </c>
      <c r="M534" s="82">
        <f t="shared" ca="1" si="53"/>
        <v>0</v>
      </c>
      <c r="N534" s="82">
        <f t="shared" ca="1" si="53"/>
        <v>0</v>
      </c>
      <c r="O534" s="82">
        <f t="shared" ca="1" si="53"/>
        <v>0</v>
      </c>
      <c r="P534" s="82">
        <f t="shared" ca="1" si="53"/>
        <v>0</v>
      </c>
      <c r="Q534" s="82">
        <f t="shared" ca="1" si="53"/>
        <v>0</v>
      </c>
      <c r="R534" s="82">
        <f t="shared" ca="1" si="53"/>
        <v>0</v>
      </c>
      <c r="S534" s="82">
        <f t="shared" ca="1" si="53"/>
        <v>0</v>
      </c>
      <c r="T534" s="82">
        <f t="shared" ca="1" si="53"/>
        <v>0</v>
      </c>
    </row>
    <row r="535" spans="2:20" outlineLevel="2">
      <c r="B535" s="12"/>
      <c r="C535" s="12"/>
      <c r="D535" s="12"/>
      <c r="E535" s="12"/>
      <c r="F535" s="12"/>
      <c r="G535" s="12"/>
      <c r="H535" s="12"/>
      <c r="I535" s="12"/>
      <c r="J535" s="12"/>
      <c r="K535" s="12"/>
      <c r="L535" s="12"/>
      <c r="M535" s="12"/>
      <c r="N535" s="12"/>
      <c r="O535" s="12"/>
      <c r="P535" s="12"/>
      <c r="Q535" s="12"/>
      <c r="R535" s="12"/>
      <c r="S535" s="12"/>
      <c r="T535" s="12"/>
    </row>
    <row r="536" spans="2:20" outlineLevel="2"/>
    <row r="537" spans="2:20" outlineLevel="2">
      <c r="C537" s="37" t="s">
        <v>311</v>
      </c>
    </row>
    <row r="538" spans="2:20" ht="5.9" customHeight="1" outlineLevel="2"/>
    <row r="539" spans="2:20" outlineLevel="2">
      <c r="D539" s="37" t="s">
        <v>215</v>
      </c>
    </row>
    <row r="540" spans="2:20" ht="5.9" customHeight="1" outlineLevel="2"/>
    <row r="541" spans="2:20" outlineLevel="2">
      <c r="E541" s="247" t="str">
        <f>GC!C78</f>
        <v>Mains &amp; Services</v>
      </c>
      <c r="F541" s="247"/>
      <c r="G541" s="247"/>
      <c r="H541" s="247"/>
      <c r="I541" s="247"/>
      <c r="J541" s="81">
        <f ca="1">SUMPRODUCT((Work_Codes!$AR$254:$AX$254=$E541)*(Work_Codes!$AR$257:$AX$261)*(J$388:J$392))</f>
        <v>0</v>
      </c>
      <c r="K541" s="81">
        <f ca="1">SUMPRODUCT((Work_Codes!$AR$254:$AX$254=$E541)*(Work_Codes!$AR$257:$AX$261)*(K$388:K$392))</f>
        <v>0</v>
      </c>
      <c r="L541" s="81">
        <f ca="1">SUMPRODUCT((Work_Codes!$AR$254:$AX$254=$E541)*(Work_Codes!$AR$257:$AX$261)*(L$388:L$392))</f>
        <v>0</v>
      </c>
      <c r="M541" s="81">
        <f ca="1">SUMPRODUCT((Work_Codes!$AR$254:$AX$254=$E541)*(Work_Codes!$AR$257:$AX$261)*(M$388:M$392))</f>
        <v>0</v>
      </c>
      <c r="N541" s="81">
        <f ca="1">SUMPRODUCT((Work_Codes!$AR$254:$AX$254=$E541)*(Work_Codes!$AR$257:$AX$261)*(N$388:N$392))</f>
        <v>0</v>
      </c>
      <c r="O541" s="81">
        <f ca="1">SUMPRODUCT((Work_Codes!$AR$254:$AX$254=$E541)*(Work_Codes!$AR$257:$AX$261)*(O$388:O$392))</f>
        <v>0</v>
      </c>
      <c r="P541" s="81">
        <f ca="1">SUMPRODUCT((Work_Codes!$AR$254:$AX$254=$E541)*(Work_Codes!$AR$257:$AX$261)*(P$388:P$392))</f>
        <v>0</v>
      </c>
      <c r="Q541" s="81">
        <f ca="1">SUMPRODUCT((Work_Codes!$AR$254:$AX$254=$E541)*(Work_Codes!$AR$257:$AX$261)*(Q$388:Q$392))</f>
        <v>0</v>
      </c>
      <c r="R541" s="81">
        <f ca="1">SUMPRODUCT((Work_Codes!$AR$254:$AX$254=$E541)*(Work_Codes!$AR$257:$AX$261)*(R$388:R$392))</f>
        <v>0</v>
      </c>
      <c r="S541" s="81">
        <f ca="1">SUMPRODUCT((Work_Codes!$AR$254:$AX$254=$E541)*(Work_Codes!$AR$257:$AX$261)*(S$388:S$392))</f>
        <v>0</v>
      </c>
      <c r="T541" s="81">
        <f ca="1">SUMPRODUCT((Work_Codes!$AR$254:$AX$254=$E541)*(Work_Codes!$AR$257:$AX$261)*(T$388:T$392))</f>
        <v>0</v>
      </c>
    </row>
    <row r="542" spans="2:20" outlineLevel="2">
      <c r="E542" s="247" t="str">
        <f>GC!C79</f>
        <v>Meters Domestic</v>
      </c>
      <c r="F542" s="247"/>
      <c r="G542" s="247"/>
      <c r="H542" s="247"/>
      <c r="I542" s="247"/>
      <c r="J542" s="81">
        <f ca="1">SUMPRODUCT((Work_Codes!$AR$254:$AX$254=$E542)*(Work_Codes!$AR$257:$AX$261)*(J$388:J$392))</f>
        <v>0</v>
      </c>
      <c r="K542" s="81">
        <f ca="1">SUMPRODUCT((Work_Codes!$AR$254:$AX$254=$E542)*(Work_Codes!$AR$257:$AX$261)*(K$388:K$392))</f>
        <v>0</v>
      </c>
      <c r="L542" s="81">
        <f ca="1">SUMPRODUCT((Work_Codes!$AR$254:$AX$254=$E542)*(Work_Codes!$AR$257:$AX$261)*(L$388:L$392))</f>
        <v>0</v>
      </c>
      <c r="M542" s="81">
        <f ca="1">SUMPRODUCT((Work_Codes!$AR$254:$AX$254=$E542)*(Work_Codes!$AR$257:$AX$261)*(M$388:M$392))</f>
        <v>0</v>
      </c>
      <c r="N542" s="81">
        <f ca="1">SUMPRODUCT((Work_Codes!$AR$254:$AX$254=$E542)*(Work_Codes!$AR$257:$AX$261)*(N$388:N$392))</f>
        <v>0</v>
      </c>
      <c r="O542" s="81">
        <f ca="1">SUMPRODUCT((Work_Codes!$AR$254:$AX$254=$E542)*(Work_Codes!$AR$257:$AX$261)*(O$388:O$392))</f>
        <v>0</v>
      </c>
      <c r="P542" s="81">
        <f ca="1">SUMPRODUCT((Work_Codes!$AR$254:$AX$254=$E542)*(Work_Codes!$AR$257:$AX$261)*(P$388:P$392))</f>
        <v>0</v>
      </c>
      <c r="Q542" s="81">
        <f ca="1">SUMPRODUCT((Work_Codes!$AR$254:$AX$254=$E542)*(Work_Codes!$AR$257:$AX$261)*(Q$388:Q$392))</f>
        <v>0</v>
      </c>
      <c r="R542" s="81">
        <f ca="1">SUMPRODUCT((Work_Codes!$AR$254:$AX$254=$E542)*(Work_Codes!$AR$257:$AX$261)*(R$388:R$392))</f>
        <v>0</v>
      </c>
      <c r="S542" s="81">
        <f ca="1">SUMPRODUCT((Work_Codes!$AR$254:$AX$254=$E542)*(Work_Codes!$AR$257:$AX$261)*(S$388:S$392))</f>
        <v>0</v>
      </c>
      <c r="T542" s="81">
        <f ca="1">SUMPRODUCT((Work_Codes!$AR$254:$AX$254=$E542)*(Work_Codes!$AR$257:$AX$261)*(T$388:T$392))</f>
        <v>0</v>
      </c>
    </row>
    <row r="543" spans="2:20" outlineLevel="2">
      <c r="E543" s="247" t="str">
        <f>GC!C80</f>
        <v>Meters Industrial &amp; Commercial</v>
      </c>
      <c r="F543" s="247"/>
      <c r="G543" s="247"/>
      <c r="H543" s="247"/>
      <c r="I543" s="247"/>
      <c r="J543" s="81">
        <f ca="1">SUMPRODUCT((Work_Codes!$AR$254:$AX$254=$E543)*(Work_Codes!$AR$257:$AX$261)*(J$388:J$392))</f>
        <v>0</v>
      </c>
      <c r="K543" s="81">
        <f ca="1">SUMPRODUCT((Work_Codes!$AR$254:$AX$254=$E543)*(Work_Codes!$AR$257:$AX$261)*(K$388:K$392))</f>
        <v>0</v>
      </c>
      <c r="L543" s="81">
        <f ca="1">SUMPRODUCT((Work_Codes!$AR$254:$AX$254=$E543)*(Work_Codes!$AR$257:$AX$261)*(L$388:L$392))</f>
        <v>0</v>
      </c>
      <c r="M543" s="81">
        <f ca="1">SUMPRODUCT((Work_Codes!$AR$254:$AX$254=$E543)*(Work_Codes!$AR$257:$AX$261)*(M$388:M$392))</f>
        <v>0</v>
      </c>
      <c r="N543" s="81">
        <f ca="1">SUMPRODUCT((Work_Codes!$AR$254:$AX$254=$E543)*(Work_Codes!$AR$257:$AX$261)*(N$388:N$392))</f>
        <v>0</v>
      </c>
      <c r="O543" s="81">
        <f ca="1">SUMPRODUCT((Work_Codes!$AR$254:$AX$254=$E543)*(Work_Codes!$AR$257:$AX$261)*(O$388:O$392))</f>
        <v>0</v>
      </c>
      <c r="P543" s="81">
        <f ca="1">SUMPRODUCT((Work_Codes!$AR$254:$AX$254=$E543)*(Work_Codes!$AR$257:$AX$261)*(P$388:P$392))</f>
        <v>0</v>
      </c>
      <c r="Q543" s="81">
        <f ca="1">SUMPRODUCT((Work_Codes!$AR$254:$AX$254=$E543)*(Work_Codes!$AR$257:$AX$261)*(Q$388:Q$392))</f>
        <v>0</v>
      </c>
      <c r="R543" s="81">
        <f ca="1">SUMPRODUCT((Work_Codes!$AR$254:$AX$254=$E543)*(Work_Codes!$AR$257:$AX$261)*(R$388:R$392))</f>
        <v>0</v>
      </c>
      <c r="S543" s="81">
        <f ca="1">SUMPRODUCT((Work_Codes!$AR$254:$AX$254=$E543)*(Work_Codes!$AR$257:$AX$261)*(S$388:S$392))</f>
        <v>0</v>
      </c>
      <c r="T543" s="81">
        <f ca="1">SUMPRODUCT((Work_Codes!$AR$254:$AX$254=$E543)*(Work_Codes!$AR$257:$AX$261)*(T$388:T$392))</f>
        <v>0</v>
      </c>
    </row>
    <row r="544" spans="2:20" outlineLevel="2">
      <c r="E544" s="247" t="str">
        <f>GC!C81</f>
        <v>Buildings</v>
      </c>
      <c r="F544" s="247"/>
      <c r="G544" s="247"/>
      <c r="H544" s="247"/>
      <c r="I544" s="247"/>
      <c r="J544" s="81">
        <f ca="1">SUMPRODUCT((Work_Codes!$AR$254:$AX$254=$E544)*(Work_Codes!$AR$257:$AX$261)*(J$388:J$392))</f>
        <v>0</v>
      </c>
      <c r="K544" s="81">
        <f ca="1">SUMPRODUCT((Work_Codes!$AR$254:$AX$254=$E544)*(Work_Codes!$AR$257:$AX$261)*(K$388:K$392))</f>
        <v>0</v>
      </c>
      <c r="L544" s="81">
        <f ca="1">SUMPRODUCT((Work_Codes!$AR$254:$AX$254=$E544)*(Work_Codes!$AR$257:$AX$261)*(L$388:L$392))</f>
        <v>0</v>
      </c>
      <c r="M544" s="81">
        <f ca="1">SUMPRODUCT((Work_Codes!$AR$254:$AX$254=$E544)*(Work_Codes!$AR$257:$AX$261)*(M$388:M$392))</f>
        <v>0</v>
      </c>
      <c r="N544" s="81">
        <f ca="1">SUMPRODUCT((Work_Codes!$AR$254:$AX$254=$E544)*(Work_Codes!$AR$257:$AX$261)*(N$388:N$392))</f>
        <v>0</v>
      </c>
      <c r="O544" s="81">
        <f ca="1">SUMPRODUCT((Work_Codes!$AR$254:$AX$254=$E544)*(Work_Codes!$AR$257:$AX$261)*(O$388:O$392))</f>
        <v>0</v>
      </c>
      <c r="P544" s="81">
        <f ca="1">SUMPRODUCT((Work_Codes!$AR$254:$AX$254=$E544)*(Work_Codes!$AR$257:$AX$261)*(P$388:P$392))</f>
        <v>0</v>
      </c>
      <c r="Q544" s="81">
        <f ca="1">SUMPRODUCT((Work_Codes!$AR$254:$AX$254=$E544)*(Work_Codes!$AR$257:$AX$261)*(Q$388:Q$392))</f>
        <v>0</v>
      </c>
      <c r="R544" s="81">
        <f ca="1">SUMPRODUCT((Work_Codes!$AR$254:$AX$254=$E544)*(Work_Codes!$AR$257:$AX$261)*(R$388:R$392))</f>
        <v>0</v>
      </c>
      <c r="S544" s="81">
        <f ca="1">SUMPRODUCT((Work_Codes!$AR$254:$AX$254=$E544)*(Work_Codes!$AR$257:$AX$261)*(S$388:S$392))</f>
        <v>0</v>
      </c>
      <c r="T544" s="81">
        <f ca="1">SUMPRODUCT((Work_Codes!$AR$254:$AX$254=$E544)*(Work_Codes!$AR$257:$AX$261)*(T$388:T$392))</f>
        <v>0</v>
      </c>
    </row>
    <row r="545" spans="2:20" outlineLevel="2">
      <c r="E545" s="247" t="str">
        <f>GC!C82</f>
        <v>Other Assets</v>
      </c>
      <c r="F545" s="247"/>
      <c r="G545" s="247"/>
      <c r="H545" s="247"/>
      <c r="I545" s="247"/>
      <c r="J545" s="81">
        <f ca="1">SUMPRODUCT((Work_Codes!$AR$254:$AX$254=$E545)*(Work_Codes!$AR$257:$AX$261)*(J$388:J$392))</f>
        <v>0</v>
      </c>
      <c r="K545" s="81">
        <f ca="1">SUMPRODUCT((Work_Codes!$AR$254:$AX$254=$E545)*(Work_Codes!$AR$257:$AX$261)*(K$388:K$392))</f>
        <v>0</v>
      </c>
      <c r="L545" s="81">
        <f ca="1">SUMPRODUCT((Work_Codes!$AR$254:$AX$254=$E545)*(Work_Codes!$AR$257:$AX$261)*(L$388:L$392))</f>
        <v>0</v>
      </c>
      <c r="M545" s="81">
        <f ca="1">SUMPRODUCT((Work_Codes!$AR$254:$AX$254=$E545)*(Work_Codes!$AR$257:$AX$261)*(M$388:M$392))</f>
        <v>0</v>
      </c>
      <c r="N545" s="81">
        <f ca="1">SUMPRODUCT((Work_Codes!$AR$254:$AX$254=$E545)*(Work_Codes!$AR$257:$AX$261)*(N$388:N$392))</f>
        <v>0</v>
      </c>
      <c r="O545" s="81">
        <f ca="1">SUMPRODUCT((Work_Codes!$AR$254:$AX$254=$E545)*(Work_Codes!$AR$257:$AX$261)*(O$388:O$392))</f>
        <v>875690.99101359525</v>
      </c>
      <c r="P545" s="81">
        <f ca="1">SUMPRODUCT((Work_Codes!$AR$254:$AX$254=$E545)*(Work_Codes!$AR$257:$AX$261)*(P$388:P$392))</f>
        <v>1751558.3016190997</v>
      </c>
      <c r="Q545" s="81">
        <f ca="1">SUMPRODUCT((Work_Codes!$AR$254:$AX$254=$E545)*(Work_Codes!$AR$257:$AX$261)*(Q$388:Q$392))</f>
        <v>1751834.1896319462</v>
      </c>
      <c r="R545" s="81">
        <f ca="1">SUMPRODUCT((Work_Codes!$AR$254:$AX$254=$E545)*(Work_Codes!$AR$257:$AX$261)*(R$388:R$392))</f>
        <v>1752226.7309645989</v>
      </c>
      <c r="S545" s="81">
        <f ca="1">SUMPRODUCT((Work_Codes!$AR$254:$AX$254=$E545)*(Work_Codes!$AR$257:$AX$261)*(S$388:S$392))</f>
        <v>1752623.5935681693</v>
      </c>
      <c r="T545" s="81">
        <f ca="1">SUMPRODUCT((Work_Codes!$AR$254:$AX$254=$E545)*(Work_Codes!$AR$257:$AX$261)*(T$388:T$392))</f>
        <v>1753024.8250131444</v>
      </c>
    </row>
    <row r="546" spans="2:20" outlineLevel="2">
      <c r="E546" s="247" t="str">
        <f>GC!C83</f>
        <v>Repairs</v>
      </c>
      <c r="F546" s="247"/>
      <c r="G546" s="247"/>
      <c r="H546" s="247"/>
      <c r="I546" s="247"/>
      <c r="J546" s="81">
        <f ca="1">SUMPRODUCT((Work_Codes!$AR$254:$AX$254=$E546)*(Work_Codes!$AR$257:$AX$261)*(J$388:J$392))</f>
        <v>0</v>
      </c>
      <c r="K546" s="81">
        <f ca="1">SUMPRODUCT((Work_Codes!$AR$254:$AX$254=$E546)*(Work_Codes!$AR$257:$AX$261)*(K$388:K$392))</f>
        <v>0</v>
      </c>
      <c r="L546" s="81">
        <f ca="1">SUMPRODUCT((Work_Codes!$AR$254:$AX$254=$E546)*(Work_Codes!$AR$257:$AX$261)*(L$388:L$392))</f>
        <v>0</v>
      </c>
      <c r="M546" s="81">
        <f ca="1">SUMPRODUCT((Work_Codes!$AR$254:$AX$254=$E546)*(Work_Codes!$AR$257:$AX$261)*(M$388:M$392))</f>
        <v>0</v>
      </c>
      <c r="N546" s="81">
        <f ca="1">SUMPRODUCT((Work_Codes!$AR$254:$AX$254=$E546)*(Work_Codes!$AR$257:$AX$261)*(N$388:N$392))</f>
        <v>0</v>
      </c>
      <c r="O546" s="81">
        <f ca="1">SUMPRODUCT((Work_Codes!$AR$254:$AX$254=$E546)*(Work_Codes!$AR$257:$AX$261)*(O$388:O$392))</f>
        <v>0</v>
      </c>
      <c r="P546" s="81">
        <f ca="1">SUMPRODUCT((Work_Codes!$AR$254:$AX$254=$E546)*(Work_Codes!$AR$257:$AX$261)*(P$388:P$392))</f>
        <v>0</v>
      </c>
      <c r="Q546" s="81">
        <f ca="1">SUMPRODUCT((Work_Codes!$AR$254:$AX$254=$E546)*(Work_Codes!$AR$257:$AX$261)*(Q$388:Q$392))</f>
        <v>0</v>
      </c>
      <c r="R546" s="81">
        <f ca="1">SUMPRODUCT((Work_Codes!$AR$254:$AX$254=$E546)*(Work_Codes!$AR$257:$AX$261)*(R$388:R$392))</f>
        <v>0</v>
      </c>
      <c r="S546" s="81">
        <f ca="1">SUMPRODUCT((Work_Codes!$AR$254:$AX$254=$E546)*(Work_Codes!$AR$257:$AX$261)*(S$388:S$392))</f>
        <v>0</v>
      </c>
      <c r="T546" s="81">
        <f ca="1">SUMPRODUCT((Work_Codes!$AR$254:$AX$254=$E546)*(Work_Codes!$AR$257:$AX$261)*(T$388:T$392))</f>
        <v>0</v>
      </c>
    </row>
    <row r="547" spans="2:20" outlineLevel="2">
      <c r="E547" s="247" t="str">
        <f>GC!C84</f>
        <v>Land</v>
      </c>
      <c r="F547" s="247"/>
      <c r="G547" s="247"/>
      <c r="H547" s="247"/>
      <c r="I547" s="247"/>
      <c r="J547" s="81">
        <f ca="1">SUMPRODUCT((Work_Codes!$AR$254:$AX$254=$E547)*(Work_Codes!$AR$257:$AX$261)*(J$388:J$392))</f>
        <v>0</v>
      </c>
      <c r="K547" s="81">
        <f ca="1">SUMPRODUCT((Work_Codes!$AR$254:$AX$254=$E547)*(Work_Codes!$AR$257:$AX$261)*(K$388:K$392))</f>
        <v>0</v>
      </c>
      <c r="L547" s="81">
        <f ca="1">SUMPRODUCT((Work_Codes!$AR$254:$AX$254=$E547)*(Work_Codes!$AR$257:$AX$261)*(L$388:L$392))</f>
        <v>0</v>
      </c>
      <c r="M547" s="81">
        <f ca="1">SUMPRODUCT((Work_Codes!$AR$254:$AX$254=$E547)*(Work_Codes!$AR$257:$AX$261)*(M$388:M$392))</f>
        <v>0</v>
      </c>
      <c r="N547" s="81">
        <f ca="1">SUMPRODUCT((Work_Codes!$AR$254:$AX$254=$E547)*(Work_Codes!$AR$257:$AX$261)*(N$388:N$392))</f>
        <v>0</v>
      </c>
      <c r="O547" s="81">
        <f ca="1">SUMPRODUCT((Work_Codes!$AR$254:$AX$254=$E547)*(Work_Codes!$AR$257:$AX$261)*(O$388:O$392))</f>
        <v>0</v>
      </c>
      <c r="P547" s="81">
        <f ca="1">SUMPRODUCT((Work_Codes!$AR$254:$AX$254=$E547)*(Work_Codes!$AR$257:$AX$261)*(P$388:P$392))</f>
        <v>0</v>
      </c>
      <c r="Q547" s="81">
        <f ca="1">SUMPRODUCT((Work_Codes!$AR$254:$AX$254=$E547)*(Work_Codes!$AR$257:$AX$261)*(Q$388:Q$392))</f>
        <v>0</v>
      </c>
      <c r="R547" s="81">
        <f ca="1">SUMPRODUCT((Work_Codes!$AR$254:$AX$254=$E547)*(Work_Codes!$AR$257:$AX$261)*(R$388:R$392))</f>
        <v>0</v>
      </c>
      <c r="S547" s="81">
        <f ca="1">SUMPRODUCT((Work_Codes!$AR$254:$AX$254=$E547)*(Work_Codes!$AR$257:$AX$261)*(S$388:S$392))</f>
        <v>0</v>
      </c>
      <c r="T547" s="81">
        <f ca="1">SUMPRODUCT((Work_Codes!$AR$254:$AX$254=$E547)*(Work_Codes!$AR$257:$AX$261)*(T$388:T$392))</f>
        <v>0</v>
      </c>
    </row>
    <row r="548" spans="2:20" outlineLevel="2">
      <c r="E548" s="249" t="str">
        <f>"Total "&amp;D539</f>
        <v>Total Direct Costs</v>
      </c>
      <c r="F548" s="249"/>
      <c r="G548" s="249"/>
      <c r="H548" s="249"/>
      <c r="I548" s="249"/>
      <c r="J548" s="82">
        <f t="shared" ref="J548:T548" ca="1" si="54">SUM(J541:J547)</f>
        <v>0</v>
      </c>
      <c r="K548" s="82">
        <f t="shared" ca="1" si="54"/>
        <v>0</v>
      </c>
      <c r="L548" s="82">
        <f t="shared" ca="1" si="54"/>
        <v>0</v>
      </c>
      <c r="M548" s="82">
        <f t="shared" ca="1" si="54"/>
        <v>0</v>
      </c>
      <c r="N548" s="82">
        <f t="shared" ca="1" si="54"/>
        <v>0</v>
      </c>
      <c r="O548" s="82">
        <f t="shared" ca="1" si="54"/>
        <v>875690.99101359525</v>
      </c>
      <c r="P548" s="82">
        <f t="shared" ca="1" si="54"/>
        <v>1751558.3016190997</v>
      </c>
      <c r="Q548" s="82">
        <f t="shared" ca="1" si="54"/>
        <v>1751834.1896319462</v>
      </c>
      <c r="R548" s="82">
        <f t="shared" ca="1" si="54"/>
        <v>1752226.7309645989</v>
      </c>
      <c r="S548" s="82">
        <f t="shared" ca="1" si="54"/>
        <v>1752623.5935681693</v>
      </c>
      <c r="T548" s="82">
        <f t="shared" ca="1" si="54"/>
        <v>1753024.8250131444</v>
      </c>
    </row>
    <row r="549" spans="2:20" outlineLevel="2"/>
    <row r="550" spans="2:20" outlineLevel="2">
      <c r="D550" s="37" t="s">
        <v>313</v>
      </c>
    </row>
    <row r="551" spans="2:20" ht="5.9" customHeight="1" outlineLevel="2"/>
    <row r="552" spans="2:20" outlineLevel="2">
      <c r="E552" s="247" t="str">
        <f>GC!C78</f>
        <v>Mains &amp; Services</v>
      </c>
      <c r="F552" s="247"/>
      <c r="G552" s="247"/>
      <c r="H552" s="247"/>
      <c r="I552" s="247"/>
      <c r="J552" s="81">
        <f ca="1">J541*(1+INDEX(J$310:J$312,MATCH(Work_Codes!$I$251,$D$310:$D$312,0)))</f>
        <v>0</v>
      </c>
      <c r="K552" s="81">
        <f ca="1">K541*(1+INDEX(K$310:K$312,MATCH(Work_Codes!$I$251,$D$310:$D$312,0)))</f>
        <v>0</v>
      </c>
      <c r="L552" s="81">
        <f ca="1">L541*(1+INDEX(L$310:L$312,MATCH(Work_Codes!$I$251,$D$310:$D$312,0)))</f>
        <v>0</v>
      </c>
      <c r="M552" s="81">
        <f ca="1">M541*(1+INDEX(M$310:M$312,MATCH(Work_Codes!$I$251,$D$310:$D$312,0)))</f>
        <v>0</v>
      </c>
      <c r="N552" s="81">
        <f ca="1">N541*(1+INDEX(N$310:N$312,MATCH(Work_Codes!$I$251,$D$310:$D$312,0)))</f>
        <v>0</v>
      </c>
      <c r="O552" s="81">
        <f ca="1">O541*(1+INDEX(O$310:O$312,MATCH(Work_Codes!$I$251,$D$310:$D$312,0)))</f>
        <v>0</v>
      </c>
      <c r="P552" s="81">
        <f ca="1">P541*(1+INDEX(P$310:P$312,MATCH(Work_Codes!$I$251,$D$310:$D$312,0)))</f>
        <v>0</v>
      </c>
      <c r="Q552" s="81">
        <f ca="1">Q541*(1+INDEX(Q$310:Q$312,MATCH(Work_Codes!$I$251,$D$310:$D$312,0)))</f>
        <v>0</v>
      </c>
      <c r="R552" s="81">
        <f ca="1">R541*(1+INDEX(R$310:R$312,MATCH(Work_Codes!$I$251,$D$310:$D$312,0)))</f>
        <v>0</v>
      </c>
      <c r="S552" s="81">
        <f ca="1">S541*(1+INDEX(S$310:S$312,MATCH(Work_Codes!$I$251,$D$310:$D$312,0)))</f>
        <v>0</v>
      </c>
      <c r="T552" s="81">
        <f ca="1">T541*(1+INDEX(T$310:T$312,MATCH(Work_Codes!$I$251,$D$310:$D$312,0)))</f>
        <v>0</v>
      </c>
    </row>
    <row r="553" spans="2:20" outlineLevel="2">
      <c r="E553" s="247" t="str">
        <f>GC!C79</f>
        <v>Meters Domestic</v>
      </c>
      <c r="F553" s="247"/>
      <c r="G553" s="247"/>
      <c r="H553" s="247"/>
      <c r="I553" s="247"/>
      <c r="J553" s="81">
        <f ca="1">J542*(1+INDEX(J$310:J$312,MATCH(Work_Codes!$I$251,$D$310:$D$312,0)))</f>
        <v>0</v>
      </c>
      <c r="K553" s="81">
        <f ca="1">K542*(1+INDEX(K$310:K$312,MATCH(Work_Codes!$I$251,$D$310:$D$312,0)))</f>
        <v>0</v>
      </c>
      <c r="L553" s="81">
        <f ca="1">L542*(1+INDEX(L$310:L$312,MATCH(Work_Codes!$I$251,$D$310:$D$312,0)))</f>
        <v>0</v>
      </c>
      <c r="M553" s="81">
        <f ca="1">M542*(1+INDEX(M$310:M$312,MATCH(Work_Codes!$I$251,$D$310:$D$312,0)))</f>
        <v>0</v>
      </c>
      <c r="N553" s="81">
        <f ca="1">N542*(1+INDEX(N$310:N$312,MATCH(Work_Codes!$I$251,$D$310:$D$312,0)))</f>
        <v>0</v>
      </c>
      <c r="O553" s="81">
        <f ca="1">O542*(1+INDEX(O$310:O$312,MATCH(Work_Codes!$I$251,$D$310:$D$312,0)))</f>
        <v>0</v>
      </c>
      <c r="P553" s="81">
        <f ca="1">P542*(1+INDEX(P$310:P$312,MATCH(Work_Codes!$I$251,$D$310:$D$312,0)))</f>
        <v>0</v>
      </c>
      <c r="Q553" s="81">
        <f ca="1">Q542*(1+INDEX(Q$310:Q$312,MATCH(Work_Codes!$I$251,$D$310:$D$312,0)))</f>
        <v>0</v>
      </c>
      <c r="R553" s="81">
        <f ca="1">R542*(1+INDEX(R$310:R$312,MATCH(Work_Codes!$I$251,$D$310:$D$312,0)))</f>
        <v>0</v>
      </c>
      <c r="S553" s="81">
        <f ca="1">S542*(1+INDEX(S$310:S$312,MATCH(Work_Codes!$I$251,$D$310:$D$312,0)))</f>
        <v>0</v>
      </c>
      <c r="T553" s="81">
        <f ca="1">T542*(1+INDEX(T$310:T$312,MATCH(Work_Codes!$I$251,$D$310:$D$312,0)))</f>
        <v>0</v>
      </c>
    </row>
    <row r="554" spans="2:20" outlineLevel="2">
      <c r="E554" s="247" t="str">
        <f>GC!C80</f>
        <v>Meters Industrial &amp; Commercial</v>
      </c>
      <c r="F554" s="247"/>
      <c r="G554" s="247"/>
      <c r="H554" s="247"/>
      <c r="I554" s="247"/>
      <c r="J554" s="81">
        <f ca="1">J543*(1+INDEX(J$310:J$312,MATCH(Work_Codes!$I$251,$D$310:$D$312,0)))</f>
        <v>0</v>
      </c>
      <c r="K554" s="81">
        <f ca="1">K543*(1+INDEX(K$310:K$312,MATCH(Work_Codes!$I$251,$D$310:$D$312,0)))</f>
        <v>0</v>
      </c>
      <c r="L554" s="81">
        <f ca="1">L543*(1+INDEX(L$310:L$312,MATCH(Work_Codes!$I$251,$D$310:$D$312,0)))</f>
        <v>0</v>
      </c>
      <c r="M554" s="81">
        <f ca="1">M543*(1+INDEX(M$310:M$312,MATCH(Work_Codes!$I$251,$D$310:$D$312,0)))</f>
        <v>0</v>
      </c>
      <c r="N554" s="81">
        <f ca="1">N543*(1+INDEX(N$310:N$312,MATCH(Work_Codes!$I$251,$D$310:$D$312,0)))</f>
        <v>0</v>
      </c>
      <c r="O554" s="81">
        <f ca="1">O543*(1+INDEX(O$310:O$312,MATCH(Work_Codes!$I$251,$D$310:$D$312,0)))</f>
        <v>0</v>
      </c>
      <c r="P554" s="81">
        <f ca="1">P543*(1+INDEX(P$310:P$312,MATCH(Work_Codes!$I$251,$D$310:$D$312,0)))</f>
        <v>0</v>
      </c>
      <c r="Q554" s="81">
        <f ca="1">Q543*(1+INDEX(Q$310:Q$312,MATCH(Work_Codes!$I$251,$D$310:$D$312,0)))</f>
        <v>0</v>
      </c>
      <c r="R554" s="81">
        <f ca="1">R543*(1+INDEX(R$310:R$312,MATCH(Work_Codes!$I$251,$D$310:$D$312,0)))</f>
        <v>0</v>
      </c>
      <c r="S554" s="81">
        <f ca="1">S543*(1+INDEX(S$310:S$312,MATCH(Work_Codes!$I$251,$D$310:$D$312,0)))</f>
        <v>0</v>
      </c>
      <c r="T554" s="81">
        <f ca="1">T543*(1+INDEX(T$310:T$312,MATCH(Work_Codes!$I$251,$D$310:$D$312,0)))</f>
        <v>0</v>
      </c>
    </row>
    <row r="555" spans="2:20" outlineLevel="2">
      <c r="E555" s="247" t="str">
        <f>GC!C81</f>
        <v>Buildings</v>
      </c>
      <c r="F555" s="247"/>
      <c r="G555" s="247"/>
      <c r="H555" s="247"/>
      <c r="I555" s="247"/>
      <c r="J555" s="81">
        <f ca="1">J544*(1+INDEX(J$310:J$312,MATCH(Work_Codes!$I$251,$D$310:$D$312,0)))</f>
        <v>0</v>
      </c>
      <c r="K555" s="81">
        <f ca="1">K544*(1+INDEX(K$310:K$312,MATCH(Work_Codes!$I$251,$D$310:$D$312,0)))</f>
        <v>0</v>
      </c>
      <c r="L555" s="81">
        <f ca="1">L544*(1+INDEX(L$310:L$312,MATCH(Work_Codes!$I$251,$D$310:$D$312,0)))</f>
        <v>0</v>
      </c>
      <c r="M555" s="81">
        <f ca="1">M544*(1+INDEX(M$310:M$312,MATCH(Work_Codes!$I$251,$D$310:$D$312,0)))</f>
        <v>0</v>
      </c>
      <c r="N555" s="81">
        <f ca="1">N544*(1+INDEX(N$310:N$312,MATCH(Work_Codes!$I$251,$D$310:$D$312,0)))</f>
        <v>0</v>
      </c>
      <c r="O555" s="81">
        <f ca="1">O544*(1+INDEX(O$310:O$312,MATCH(Work_Codes!$I$251,$D$310:$D$312,0)))</f>
        <v>0</v>
      </c>
      <c r="P555" s="81">
        <f ca="1">P544*(1+INDEX(P$310:P$312,MATCH(Work_Codes!$I$251,$D$310:$D$312,0)))</f>
        <v>0</v>
      </c>
      <c r="Q555" s="81">
        <f ca="1">Q544*(1+INDEX(Q$310:Q$312,MATCH(Work_Codes!$I$251,$D$310:$D$312,0)))</f>
        <v>0</v>
      </c>
      <c r="R555" s="81">
        <f ca="1">R544*(1+INDEX(R$310:R$312,MATCH(Work_Codes!$I$251,$D$310:$D$312,0)))</f>
        <v>0</v>
      </c>
      <c r="S555" s="81">
        <f ca="1">S544*(1+INDEX(S$310:S$312,MATCH(Work_Codes!$I$251,$D$310:$D$312,0)))</f>
        <v>0</v>
      </c>
      <c r="T555" s="81">
        <f ca="1">T544*(1+INDEX(T$310:T$312,MATCH(Work_Codes!$I$251,$D$310:$D$312,0)))</f>
        <v>0</v>
      </c>
    </row>
    <row r="556" spans="2:20" outlineLevel="2">
      <c r="E556" s="247" t="str">
        <f>GC!C82</f>
        <v>Other Assets</v>
      </c>
      <c r="F556" s="247"/>
      <c r="G556" s="247"/>
      <c r="H556" s="247"/>
      <c r="I556" s="247"/>
      <c r="J556" s="81">
        <f ca="1">J545*(1+INDEX(J$310:J$312,MATCH(Work_Codes!$I$251,$D$310:$D$312,0)))</f>
        <v>0</v>
      </c>
      <c r="K556" s="81">
        <f ca="1">K545*(1+INDEX(K$310:K$312,MATCH(Work_Codes!$I$251,$D$310:$D$312,0)))</f>
        <v>0</v>
      </c>
      <c r="L556" s="81">
        <f ca="1">L545*(1+INDEX(L$310:L$312,MATCH(Work_Codes!$I$251,$D$310:$D$312,0)))</f>
        <v>0</v>
      </c>
      <c r="M556" s="81">
        <f ca="1">M545*(1+INDEX(M$310:M$312,MATCH(Work_Codes!$I$251,$D$310:$D$312,0)))</f>
        <v>0</v>
      </c>
      <c r="N556" s="81">
        <f ca="1">N545*(1+INDEX(N$310:N$312,MATCH(Work_Codes!$I$251,$D$310:$D$312,0)))</f>
        <v>0</v>
      </c>
      <c r="O556" s="81">
        <f ca="1">O545*(1+INDEX(O$310:O$312,MATCH(Work_Codes!$I$251,$D$310:$D$312,0)))</f>
        <v>904837.46285997739</v>
      </c>
      <c r="P556" s="81">
        <f ca="1">P545*(1+INDEX(P$310:P$312,MATCH(Work_Codes!$I$251,$D$310:$D$312,0)))</f>
        <v>1798417.1462318224</v>
      </c>
      <c r="Q556" s="81">
        <f ca="1">Q545*(1+INDEX(Q$310:Q$312,MATCH(Work_Codes!$I$251,$D$310:$D$312,0)))</f>
        <v>1797488.0175518033</v>
      </c>
      <c r="R556" s="81">
        <f ca="1">R545*(1+INDEX(R$310:R$312,MATCH(Work_Codes!$I$251,$D$310:$D$312,0)))</f>
        <v>1799314.330397421</v>
      </c>
      <c r="S556" s="81">
        <f ca="1">S545*(1+INDEX(S$310:S$312,MATCH(Work_Codes!$I$251,$D$310:$D$312,0)))</f>
        <v>1802654.300263783</v>
      </c>
      <c r="T556" s="81">
        <f ca="1">T545*(1+INDEX(T$310:T$312,MATCH(Work_Codes!$I$251,$D$310:$D$312,0)))</f>
        <v>1805475.9907779892</v>
      </c>
    </row>
    <row r="557" spans="2:20" outlineLevel="2">
      <c r="E557" s="247" t="str">
        <f>GC!C83</f>
        <v>Repairs</v>
      </c>
      <c r="F557" s="247"/>
      <c r="G557" s="247"/>
      <c r="H557" s="247"/>
      <c r="I557" s="247"/>
      <c r="J557" s="81">
        <f ca="1">J546*(1+INDEX(J$310:J$312,MATCH(Work_Codes!$I$251,$D$310:$D$312,0)))</f>
        <v>0</v>
      </c>
      <c r="K557" s="81">
        <f ca="1">K546*(1+INDEX(K$310:K$312,MATCH(Work_Codes!$I$251,$D$310:$D$312,0)))</f>
        <v>0</v>
      </c>
      <c r="L557" s="81">
        <f ca="1">L546*(1+INDEX(L$310:L$312,MATCH(Work_Codes!$I$251,$D$310:$D$312,0)))</f>
        <v>0</v>
      </c>
      <c r="M557" s="81">
        <f ca="1">M546*(1+INDEX(M$310:M$312,MATCH(Work_Codes!$I$251,$D$310:$D$312,0)))</f>
        <v>0</v>
      </c>
      <c r="N557" s="81">
        <f ca="1">N546*(1+INDEX(N$310:N$312,MATCH(Work_Codes!$I$251,$D$310:$D$312,0)))</f>
        <v>0</v>
      </c>
      <c r="O557" s="81">
        <f ca="1">O546*(1+INDEX(O$310:O$312,MATCH(Work_Codes!$I$251,$D$310:$D$312,0)))</f>
        <v>0</v>
      </c>
      <c r="P557" s="81">
        <f ca="1">P546*(1+INDEX(P$310:P$312,MATCH(Work_Codes!$I$251,$D$310:$D$312,0)))</f>
        <v>0</v>
      </c>
      <c r="Q557" s="81">
        <f ca="1">Q546*(1+INDEX(Q$310:Q$312,MATCH(Work_Codes!$I$251,$D$310:$D$312,0)))</f>
        <v>0</v>
      </c>
      <c r="R557" s="81">
        <f ca="1">R546*(1+INDEX(R$310:R$312,MATCH(Work_Codes!$I$251,$D$310:$D$312,0)))</f>
        <v>0</v>
      </c>
      <c r="S557" s="81">
        <f ca="1">S546*(1+INDEX(S$310:S$312,MATCH(Work_Codes!$I$251,$D$310:$D$312,0)))</f>
        <v>0</v>
      </c>
      <c r="T557" s="81">
        <f ca="1">T546*(1+INDEX(T$310:T$312,MATCH(Work_Codes!$I$251,$D$310:$D$312,0)))</f>
        <v>0</v>
      </c>
    </row>
    <row r="558" spans="2:20" outlineLevel="2">
      <c r="E558" s="247" t="str">
        <f>GC!C84</f>
        <v>Land</v>
      </c>
      <c r="F558" s="247"/>
      <c r="G558" s="247"/>
      <c r="H558" s="247"/>
      <c r="I558" s="247"/>
      <c r="J558" s="81">
        <f ca="1">J547*(1+INDEX(J$310:J$312,MATCH(Work_Codes!$I$251,$D$310:$D$312,0)))</f>
        <v>0</v>
      </c>
      <c r="K558" s="81">
        <f ca="1">K547*(1+INDEX(K$310:K$312,MATCH(Work_Codes!$I$251,$D$310:$D$312,0)))</f>
        <v>0</v>
      </c>
      <c r="L558" s="81">
        <f ca="1">L547*(1+INDEX(L$310:L$312,MATCH(Work_Codes!$I$251,$D$310:$D$312,0)))</f>
        <v>0</v>
      </c>
      <c r="M558" s="81">
        <f ca="1">M547*(1+INDEX(M$310:M$312,MATCH(Work_Codes!$I$251,$D$310:$D$312,0)))</f>
        <v>0</v>
      </c>
      <c r="N558" s="81">
        <f ca="1">N547*(1+INDEX(N$310:N$312,MATCH(Work_Codes!$I$251,$D$310:$D$312,0)))</f>
        <v>0</v>
      </c>
      <c r="O558" s="81">
        <f ca="1">O547*(1+INDEX(O$310:O$312,MATCH(Work_Codes!$I$251,$D$310:$D$312,0)))</f>
        <v>0</v>
      </c>
      <c r="P558" s="81">
        <f ca="1">P547*(1+INDEX(P$310:P$312,MATCH(Work_Codes!$I$251,$D$310:$D$312,0)))</f>
        <v>0</v>
      </c>
      <c r="Q558" s="81">
        <f ca="1">Q547*(1+INDEX(Q$310:Q$312,MATCH(Work_Codes!$I$251,$D$310:$D$312,0)))</f>
        <v>0</v>
      </c>
      <c r="R558" s="81">
        <f ca="1">R547*(1+INDEX(R$310:R$312,MATCH(Work_Codes!$I$251,$D$310:$D$312,0)))</f>
        <v>0</v>
      </c>
      <c r="S558" s="81">
        <f ca="1">S547*(1+INDEX(S$310:S$312,MATCH(Work_Codes!$I$251,$D$310:$D$312,0)))</f>
        <v>0</v>
      </c>
      <c r="T558" s="81">
        <f ca="1">T547*(1+INDEX(T$310:T$312,MATCH(Work_Codes!$I$251,$D$310:$D$312,0)))</f>
        <v>0</v>
      </c>
    </row>
    <row r="559" spans="2:20" outlineLevel="2">
      <c r="E559" s="249" t="str">
        <f>"Total "&amp;D550</f>
        <v>Total Direct Costs +  Overheads</v>
      </c>
      <c r="F559" s="249"/>
      <c r="G559" s="249"/>
      <c r="H559" s="249"/>
      <c r="I559" s="249"/>
      <c r="J559" s="82">
        <f t="shared" ref="J559:T559" ca="1" si="55">SUM(J552:J558)</f>
        <v>0</v>
      </c>
      <c r="K559" s="82">
        <f t="shared" ca="1" si="55"/>
        <v>0</v>
      </c>
      <c r="L559" s="82">
        <f t="shared" ca="1" si="55"/>
        <v>0</v>
      </c>
      <c r="M559" s="82">
        <f t="shared" ca="1" si="55"/>
        <v>0</v>
      </c>
      <c r="N559" s="82">
        <f t="shared" ca="1" si="55"/>
        <v>0</v>
      </c>
      <c r="O559" s="82">
        <f t="shared" ca="1" si="55"/>
        <v>904837.46285997739</v>
      </c>
      <c r="P559" s="82">
        <f t="shared" ca="1" si="55"/>
        <v>1798417.1462318224</v>
      </c>
      <c r="Q559" s="82">
        <f t="shared" ca="1" si="55"/>
        <v>1797488.0175518033</v>
      </c>
      <c r="R559" s="82">
        <f t="shared" ca="1" si="55"/>
        <v>1799314.330397421</v>
      </c>
      <c r="S559" s="82">
        <f t="shared" ca="1" si="55"/>
        <v>1802654.300263783</v>
      </c>
      <c r="T559" s="82">
        <f t="shared" ca="1" si="55"/>
        <v>1805475.9907779892</v>
      </c>
    </row>
    <row r="560" spans="2:20" outlineLevel="1">
      <c r="B560" s="12"/>
      <c r="C560" s="12"/>
      <c r="D560" s="12"/>
      <c r="E560" s="12"/>
      <c r="F560" s="12"/>
      <c r="G560" s="12"/>
      <c r="H560" s="12"/>
      <c r="I560" s="12"/>
      <c r="J560" s="12"/>
      <c r="K560" s="12"/>
      <c r="L560" s="12"/>
      <c r="M560" s="12"/>
      <c r="N560" s="12"/>
      <c r="O560" s="12"/>
      <c r="P560" s="12"/>
      <c r="Q560" s="12"/>
      <c r="R560" s="12"/>
      <c r="S560" s="12"/>
      <c r="T560" s="12"/>
    </row>
    <row r="561" spans="2:20" outlineLevel="1"/>
    <row r="562" spans="2:20" outlineLevel="1">
      <c r="C562" s="37" t="s">
        <v>19</v>
      </c>
    </row>
    <row r="563" spans="2:20" ht="5.9" customHeight="1" outlineLevel="1"/>
    <row r="564" spans="2:20" outlineLevel="1">
      <c r="F564" s="51" t="str">
        <f>$B$298&amp;" Work Code v RAB Category Direct Check"</f>
        <v>3014 - Inputs Work Code v RAB Category Direct Check</v>
      </c>
      <c r="I564" s="130">
        <f ca="1">IF(ISERROR(SUM(J564:T564)),1,MIN(SUM(J564:T564),1))</f>
        <v>0</v>
      </c>
      <c r="J564" s="81">
        <f t="shared" ref="J564:T564" ca="1" si="56">J394-J417</f>
        <v>0</v>
      </c>
      <c r="K564" s="81">
        <f t="shared" ca="1" si="56"/>
        <v>0</v>
      </c>
      <c r="L564" s="81">
        <f t="shared" ca="1" si="56"/>
        <v>0</v>
      </c>
      <c r="M564" s="81">
        <f t="shared" ca="1" si="56"/>
        <v>0</v>
      </c>
      <c r="N564" s="81">
        <f t="shared" ca="1" si="56"/>
        <v>0</v>
      </c>
      <c r="O564" s="81">
        <f t="shared" ca="1" si="56"/>
        <v>0</v>
      </c>
      <c r="P564" s="81">
        <f t="shared" ca="1" si="56"/>
        <v>0</v>
      </c>
      <c r="Q564" s="81">
        <f t="shared" ca="1" si="56"/>
        <v>0</v>
      </c>
      <c r="R564" s="81">
        <f t="shared" ca="1" si="56"/>
        <v>0</v>
      </c>
      <c r="S564" s="81">
        <f t="shared" ca="1" si="56"/>
        <v>0</v>
      </c>
      <c r="T564" s="81">
        <f t="shared" ca="1" si="56"/>
        <v>0</v>
      </c>
    </row>
    <row r="565" spans="2:20" outlineLevel="1">
      <c r="F565" s="51" t="str">
        <f>$B$298&amp;" Work Code v RIN Category Direct Check"</f>
        <v>3014 - Inputs Work Code v RIN Category Direct Check</v>
      </c>
      <c r="I565" s="130">
        <f ca="1">IF(ISERROR(SUM(J565:T565)),1,MIN(SUM(J565:T565),1))</f>
        <v>0</v>
      </c>
      <c r="J565" s="81">
        <f t="shared" ref="J565:T565" ca="1" si="57">J394-J498</f>
        <v>0</v>
      </c>
      <c r="K565" s="81">
        <f t="shared" ca="1" si="57"/>
        <v>0</v>
      </c>
      <c r="L565" s="81">
        <f t="shared" ca="1" si="57"/>
        <v>0</v>
      </c>
      <c r="M565" s="81">
        <f t="shared" ca="1" si="57"/>
        <v>0</v>
      </c>
      <c r="N565" s="81">
        <f t="shared" ca="1" si="57"/>
        <v>0</v>
      </c>
      <c r="O565" s="81">
        <f t="shared" ca="1" si="57"/>
        <v>0</v>
      </c>
      <c r="P565" s="81">
        <f t="shared" ca="1" si="57"/>
        <v>0</v>
      </c>
      <c r="Q565" s="81">
        <f t="shared" ca="1" si="57"/>
        <v>0</v>
      </c>
      <c r="R565" s="81">
        <f t="shared" ca="1" si="57"/>
        <v>0</v>
      </c>
      <c r="S565" s="81">
        <f t="shared" ca="1" si="57"/>
        <v>0</v>
      </c>
      <c r="T565" s="81">
        <f t="shared" ca="1" si="57"/>
        <v>0</v>
      </c>
    </row>
    <row r="566" spans="2:20" outlineLevel="1">
      <c r="F566" s="51" t="str">
        <f>$B$298&amp;" Work Code v Tax Category Direct Check"</f>
        <v>3014 - Inputs Work Code v Tax Category Direct Check</v>
      </c>
      <c r="I566" s="130">
        <f ca="1">IF(ISERROR(SUM(J566:T566)),1,MIN(SUM(J566:T566),1))</f>
        <v>0</v>
      </c>
      <c r="J566" s="81">
        <f t="shared" ref="J566:T566" ca="1" si="58">J394-J548</f>
        <v>0</v>
      </c>
      <c r="K566" s="81">
        <f t="shared" ca="1" si="58"/>
        <v>0</v>
      </c>
      <c r="L566" s="81">
        <f t="shared" ca="1" si="58"/>
        <v>0</v>
      </c>
      <c r="M566" s="81">
        <f t="shared" ca="1" si="58"/>
        <v>0</v>
      </c>
      <c r="N566" s="81">
        <f t="shared" ca="1" si="58"/>
        <v>0</v>
      </c>
      <c r="O566" s="81">
        <f t="shared" ca="1" si="58"/>
        <v>0</v>
      </c>
      <c r="P566" s="81">
        <f t="shared" ca="1" si="58"/>
        <v>0</v>
      </c>
      <c r="Q566" s="81">
        <f t="shared" ca="1" si="58"/>
        <v>0</v>
      </c>
      <c r="R566" s="81">
        <f t="shared" ca="1" si="58"/>
        <v>0</v>
      </c>
      <c r="S566" s="81">
        <f t="shared" ca="1" si="58"/>
        <v>0</v>
      </c>
      <c r="T566" s="81">
        <f t="shared" ca="1" si="58"/>
        <v>0</v>
      </c>
    </row>
    <row r="567" spans="2:20" outlineLevel="1">
      <c r="F567" s="51" t="str">
        <f>$B$298&amp;" Customer Contributions v RAB Category Direct Check"</f>
        <v>3014 - Inputs Customer Contributions v RAB Category Direct Check</v>
      </c>
      <c r="I567" s="130">
        <f ca="1">IF(ISERROR(SUM(J567:T567)),1,MIN(SUM(J567:T567),1))</f>
        <v>0</v>
      </c>
      <c r="J567" s="81">
        <f t="shared" ref="J567:T567" ca="1" si="59">J351-J477</f>
        <v>0</v>
      </c>
      <c r="K567" s="81">
        <f t="shared" ca="1" si="59"/>
        <v>0</v>
      </c>
      <c r="L567" s="81">
        <f t="shared" ca="1" si="59"/>
        <v>0</v>
      </c>
      <c r="M567" s="81">
        <f t="shared" ca="1" si="59"/>
        <v>0</v>
      </c>
      <c r="N567" s="81">
        <f t="shared" ca="1" si="59"/>
        <v>0</v>
      </c>
      <c r="O567" s="81">
        <f t="shared" ca="1" si="59"/>
        <v>0</v>
      </c>
      <c r="P567" s="81">
        <f t="shared" ca="1" si="59"/>
        <v>0</v>
      </c>
      <c r="Q567" s="81">
        <f t="shared" ca="1" si="59"/>
        <v>0</v>
      </c>
      <c r="R567" s="81">
        <f t="shared" ca="1" si="59"/>
        <v>0</v>
      </c>
      <c r="S567" s="81">
        <f t="shared" ca="1" si="59"/>
        <v>0</v>
      </c>
      <c r="T567" s="81">
        <f t="shared" ca="1" si="59"/>
        <v>0</v>
      </c>
    </row>
    <row r="568" spans="2:20" ht="5.9" customHeight="1" outlineLevel="1"/>
    <row r="569" spans="2:20" outlineLevel="1">
      <c r="F569" s="51" t="str">
        <f>$B$298&amp;" RAB v RIN Direct + Overhead Check"</f>
        <v>3014 - Inputs RAB v RIN Direct + Overhead Check</v>
      </c>
      <c r="I569" s="130">
        <f ca="1">IF(ISERROR(SUM(J569:T569)),1,MIN(SUM(J569:T569),1))</f>
        <v>0</v>
      </c>
      <c r="J569" s="81">
        <f t="shared" ref="J569:T569" ca="1" si="60">J457-J516</f>
        <v>0</v>
      </c>
      <c r="K569" s="81">
        <f t="shared" ca="1" si="60"/>
        <v>0</v>
      </c>
      <c r="L569" s="81">
        <f t="shared" ca="1" si="60"/>
        <v>0</v>
      </c>
      <c r="M569" s="81">
        <f t="shared" ca="1" si="60"/>
        <v>0</v>
      </c>
      <c r="N569" s="81">
        <f t="shared" ca="1" si="60"/>
        <v>0</v>
      </c>
      <c r="O569" s="81">
        <f t="shared" ca="1" si="60"/>
        <v>0</v>
      </c>
      <c r="P569" s="81">
        <f t="shared" ca="1" si="60"/>
        <v>0</v>
      </c>
      <c r="Q569" s="81">
        <f t="shared" ca="1" si="60"/>
        <v>0</v>
      </c>
      <c r="R569" s="81">
        <f t="shared" ca="1" si="60"/>
        <v>0</v>
      </c>
      <c r="S569" s="81">
        <f t="shared" ca="1" si="60"/>
        <v>0</v>
      </c>
      <c r="T569" s="81">
        <f t="shared" ca="1" si="60"/>
        <v>0</v>
      </c>
    </row>
    <row r="570" spans="2:20" outlineLevel="1">
      <c r="F570" s="51" t="str">
        <f>$B$298&amp;" RAB v Tax Direct + Overhead Check"</f>
        <v>3014 - Inputs RAB v Tax Direct + Overhead Check</v>
      </c>
      <c r="I570" s="130">
        <f ca="1">IF(ISERROR(SUM(J570:T570)),1,MIN(SUM(J570:T570),1))</f>
        <v>0</v>
      </c>
      <c r="J570" s="81">
        <f t="shared" ref="J570:T570" ca="1" si="61">J457-J559</f>
        <v>0</v>
      </c>
      <c r="K570" s="81">
        <f t="shared" ca="1" si="61"/>
        <v>0</v>
      </c>
      <c r="L570" s="81">
        <f t="shared" ca="1" si="61"/>
        <v>0</v>
      </c>
      <c r="M570" s="81">
        <f t="shared" ca="1" si="61"/>
        <v>0</v>
      </c>
      <c r="N570" s="81">
        <f t="shared" ca="1" si="61"/>
        <v>0</v>
      </c>
      <c r="O570" s="81">
        <f t="shared" ca="1" si="61"/>
        <v>0</v>
      </c>
      <c r="P570" s="81">
        <f t="shared" ca="1" si="61"/>
        <v>0</v>
      </c>
      <c r="Q570" s="81">
        <f t="shared" ca="1" si="61"/>
        <v>0</v>
      </c>
      <c r="R570" s="81">
        <f t="shared" ca="1" si="61"/>
        <v>0</v>
      </c>
      <c r="S570" s="81">
        <f t="shared" ca="1" si="61"/>
        <v>0</v>
      </c>
      <c r="T570" s="81">
        <f t="shared" ca="1" si="61"/>
        <v>0</v>
      </c>
    </row>
    <row r="571" spans="2:20" ht="12" outlineLevel="1" thickBot="1">
      <c r="B571" s="94"/>
      <c r="C571" s="94"/>
      <c r="D571" s="94"/>
      <c r="E571" s="94"/>
      <c r="F571" s="94"/>
      <c r="G571" s="94"/>
      <c r="H571" s="94"/>
      <c r="I571" s="94"/>
      <c r="J571" s="94"/>
      <c r="K571" s="94"/>
      <c r="L571" s="94"/>
      <c r="M571" s="94"/>
      <c r="N571" s="94"/>
      <c r="O571" s="94"/>
      <c r="P571" s="94"/>
      <c r="Q571" s="94"/>
      <c r="R571" s="94"/>
      <c r="S571" s="94"/>
      <c r="T571" s="94"/>
    </row>
  </sheetData>
  <sheetProtection formatColumns="0" formatRows="0"/>
  <mergeCells count="271">
    <mergeCell ref="E258:I258"/>
    <mergeCell ref="E534:I534"/>
    <mergeCell ref="E520:I520"/>
    <mergeCell ref="E521:I521"/>
    <mergeCell ref="E522:I522"/>
    <mergeCell ref="E523:I523"/>
    <mergeCell ref="E524:I524"/>
    <mergeCell ref="E525:I525"/>
    <mergeCell ref="E526:I526"/>
    <mergeCell ref="E527:I527"/>
    <mergeCell ref="E528:I528"/>
    <mergeCell ref="E529:I529"/>
    <mergeCell ref="E530:I530"/>
    <mergeCell ref="E531:I531"/>
    <mergeCell ref="E532:I532"/>
    <mergeCell ref="E533:I533"/>
    <mergeCell ref="E477:I477"/>
    <mergeCell ref="E461:I461"/>
    <mergeCell ref="E462:I462"/>
    <mergeCell ref="E463:I463"/>
    <mergeCell ref="E464:I464"/>
    <mergeCell ref="E465:I465"/>
    <mergeCell ref="E466:I466"/>
    <mergeCell ref="E467:I467"/>
    <mergeCell ref="E249:I249"/>
    <mergeCell ref="E250:I250"/>
    <mergeCell ref="E251:I251"/>
    <mergeCell ref="E252:I252"/>
    <mergeCell ref="E253:I253"/>
    <mergeCell ref="E254:I254"/>
    <mergeCell ref="E255:I255"/>
    <mergeCell ref="E256:I256"/>
    <mergeCell ref="E257:I257"/>
    <mergeCell ref="E401:I401"/>
    <mergeCell ref="E468:I468"/>
    <mergeCell ref="E469:I469"/>
    <mergeCell ref="E470:I470"/>
    <mergeCell ref="E471:I471"/>
    <mergeCell ref="E472:I472"/>
    <mergeCell ref="E474:I474"/>
    <mergeCell ref="E475:I475"/>
    <mergeCell ref="E476:I476"/>
    <mergeCell ref="E405:I405"/>
    <mergeCell ref="E455:I455"/>
    <mergeCell ref="E456:I456"/>
    <mergeCell ref="E473:I473"/>
    <mergeCell ref="E449:I449"/>
    <mergeCell ref="E452:I452"/>
    <mergeCell ref="E451:I451"/>
    <mergeCell ref="E448:I448"/>
    <mergeCell ref="E433:I433"/>
    <mergeCell ref="E434:I434"/>
    <mergeCell ref="E435:I435"/>
    <mergeCell ref="E436:I436"/>
    <mergeCell ref="D76:I76"/>
    <mergeCell ref="E172:I172"/>
    <mergeCell ref="E442:I442"/>
    <mergeCell ref="E213:I213"/>
    <mergeCell ref="E214:I214"/>
    <mergeCell ref="E431:I431"/>
    <mergeCell ref="E422:I422"/>
    <mergeCell ref="E447:I447"/>
    <mergeCell ref="E189:I189"/>
    <mergeCell ref="E190:I190"/>
    <mergeCell ref="E191:I191"/>
    <mergeCell ref="E192:I192"/>
    <mergeCell ref="E193:I193"/>
    <mergeCell ref="E220:I220"/>
    <mergeCell ref="E426:I426"/>
    <mergeCell ref="E427:I427"/>
    <mergeCell ref="E432:I432"/>
    <mergeCell ref="E430:I430"/>
    <mergeCell ref="E443:I443"/>
    <mergeCell ref="E444:I444"/>
    <mergeCell ref="E445:I445"/>
    <mergeCell ref="E446:I446"/>
    <mergeCell ref="E182:I182"/>
    <mergeCell ref="E219:I219"/>
    <mergeCell ref="E221:I221"/>
    <mergeCell ref="D70:I70"/>
    <mergeCell ref="D89:I89"/>
    <mergeCell ref="D99:I99"/>
    <mergeCell ref="D109:I109"/>
    <mergeCell ref="D119:I119"/>
    <mergeCell ref="E223:I223"/>
    <mergeCell ref="E209:I209"/>
    <mergeCell ref="E210:I210"/>
    <mergeCell ref="E211:I211"/>
    <mergeCell ref="E212:I212"/>
    <mergeCell ref="E126:I126"/>
    <mergeCell ref="E127:I127"/>
    <mergeCell ref="E128:I128"/>
    <mergeCell ref="E129:I129"/>
    <mergeCell ref="E130:I130"/>
    <mergeCell ref="E131:I131"/>
    <mergeCell ref="E162:I162"/>
    <mergeCell ref="E146:I146"/>
    <mergeCell ref="E147:I147"/>
    <mergeCell ref="E148:I148"/>
    <mergeCell ref="E149:I149"/>
    <mergeCell ref="E217:I217"/>
    <mergeCell ref="E215:I215"/>
    <mergeCell ref="E179:I179"/>
    <mergeCell ref="E180:I180"/>
    <mergeCell ref="E181:I181"/>
    <mergeCell ref="E198:I198"/>
    <mergeCell ref="E199:I199"/>
    <mergeCell ref="E200:I200"/>
    <mergeCell ref="E201:I201"/>
    <mergeCell ref="E202:I202"/>
    <mergeCell ref="E186:I186"/>
    <mergeCell ref="E187:I187"/>
    <mergeCell ref="E188:I188"/>
    <mergeCell ref="E248:I248"/>
    <mergeCell ref="E454:I454"/>
    <mergeCell ref="E178:I178"/>
    <mergeCell ref="E173:I173"/>
    <mergeCell ref="E174:I174"/>
    <mergeCell ref="E453:I453"/>
    <mergeCell ref="E437:I437"/>
    <mergeCell ref="E413:I413"/>
    <mergeCell ref="E414:I414"/>
    <mergeCell ref="E272:I272"/>
    <mergeCell ref="D394:I394"/>
    <mergeCell ref="E284:I284"/>
    <mergeCell ref="E277:I277"/>
    <mergeCell ref="E278:I278"/>
    <mergeCell ref="E279:I279"/>
    <mergeCell ref="E280:I280"/>
    <mergeCell ref="E281:I281"/>
    <mergeCell ref="E227:I227"/>
    <mergeCell ref="E177:I177"/>
    <mergeCell ref="E194:I194"/>
    <mergeCell ref="E195:I195"/>
    <mergeCell ref="E196:I196"/>
    <mergeCell ref="E197:I197"/>
    <mergeCell ref="E216:I216"/>
    <mergeCell ref="E132:I132"/>
    <mergeCell ref="E133:I133"/>
    <mergeCell ref="E134:I134"/>
    <mergeCell ref="E135:I135"/>
    <mergeCell ref="E136:I136"/>
    <mergeCell ref="E175:I175"/>
    <mergeCell ref="E176:I176"/>
    <mergeCell ref="E137:I137"/>
    <mergeCell ref="E429:I429"/>
    <mergeCell ref="E423:I423"/>
    <mergeCell ref="E424:I424"/>
    <mergeCell ref="E228:I228"/>
    <mergeCell ref="E229:I229"/>
    <mergeCell ref="E230:I230"/>
    <mergeCell ref="E231:I231"/>
    <mergeCell ref="E232:I232"/>
    <mergeCell ref="E233:I233"/>
    <mergeCell ref="E234:I234"/>
    <mergeCell ref="E235:I235"/>
    <mergeCell ref="E415:I415"/>
    <mergeCell ref="E138:I138"/>
    <mergeCell ref="E139:I139"/>
    <mergeCell ref="E140:I140"/>
    <mergeCell ref="E141:I141"/>
    <mergeCell ref="E508:I508"/>
    <mergeCell ref="E509:I509"/>
    <mergeCell ref="E510:I510"/>
    <mergeCell ref="E486:I486"/>
    <mergeCell ref="E487:I487"/>
    <mergeCell ref="E488:I488"/>
    <mergeCell ref="E489:I489"/>
    <mergeCell ref="E490:I490"/>
    <mergeCell ref="E491:I491"/>
    <mergeCell ref="E492:I492"/>
    <mergeCell ref="E494:I494"/>
    <mergeCell ref="E495:I495"/>
    <mergeCell ref="E496:I496"/>
    <mergeCell ref="E497:I497"/>
    <mergeCell ref="E512:I512"/>
    <mergeCell ref="E513:I513"/>
    <mergeCell ref="E237:I237"/>
    <mergeCell ref="E238:I238"/>
    <mergeCell ref="E239:I239"/>
    <mergeCell ref="E240:I240"/>
    <mergeCell ref="E502:I502"/>
    <mergeCell ref="E503:I503"/>
    <mergeCell ref="E504:I504"/>
    <mergeCell ref="E505:I505"/>
    <mergeCell ref="E506:I506"/>
    <mergeCell ref="E241:I241"/>
    <mergeCell ref="E273:I273"/>
    <mergeCell ref="E266:I266"/>
    <mergeCell ref="E267:I267"/>
    <mergeCell ref="E268:I268"/>
    <mergeCell ref="E269:I269"/>
    <mergeCell ref="E270:I270"/>
    <mergeCell ref="E271:I271"/>
    <mergeCell ref="E441:I441"/>
    <mergeCell ref="E507:I507"/>
    <mergeCell ref="E498:I498"/>
    <mergeCell ref="E484:I484"/>
    <mergeCell ref="E485:I485"/>
    <mergeCell ref="E516:I516"/>
    <mergeCell ref="E218:I218"/>
    <mergeCell ref="E236:I236"/>
    <mergeCell ref="E493:I493"/>
    <mergeCell ref="E511:I511"/>
    <mergeCell ref="E457:I457"/>
    <mergeCell ref="E559:I559"/>
    <mergeCell ref="E552:I552"/>
    <mergeCell ref="E553:I553"/>
    <mergeCell ref="E554:I554"/>
    <mergeCell ref="E555:I555"/>
    <mergeCell ref="E556:I556"/>
    <mergeCell ref="E557:I557"/>
    <mergeCell ref="E558:I558"/>
    <mergeCell ref="E514:I514"/>
    <mergeCell ref="E515:I515"/>
    <mergeCell ref="E548:I548"/>
    <mergeCell ref="E541:I541"/>
    <mergeCell ref="E542:I542"/>
    <mergeCell ref="E543:I543"/>
    <mergeCell ref="E544:I544"/>
    <mergeCell ref="E545:I545"/>
    <mergeCell ref="E546:I546"/>
    <mergeCell ref="E547:I547"/>
    <mergeCell ref="D384:I384"/>
    <mergeCell ref="E142:I142"/>
    <mergeCell ref="E166:I166"/>
    <mergeCell ref="E167:I167"/>
    <mergeCell ref="E168:I168"/>
    <mergeCell ref="E169:I169"/>
    <mergeCell ref="E153:I153"/>
    <mergeCell ref="E150:I150"/>
    <mergeCell ref="E151:I151"/>
    <mergeCell ref="E152:I152"/>
    <mergeCell ref="E154:I154"/>
    <mergeCell ref="E155:I155"/>
    <mergeCell ref="E156:I156"/>
    <mergeCell ref="E157:I157"/>
    <mergeCell ref="E158:I158"/>
    <mergeCell ref="E159:I159"/>
    <mergeCell ref="E160:I160"/>
    <mergeCell ref="E161:I161"/>
    <mergeCell ref="E170:I170"/>
    <mergeCell ref="E171:I171"/>
    <mergeCell ref="E259:I259"/>
    <mergeCell ref="E245:I245"/>
    <mergeCell ref="E246:I246"/>
    <mergeCell ref="E247:I247"/>
    <mergeCell ref="N2:O2"/>
    <mergeCell ref="E222:I222"/>
    <mergeCell ref="E450:I450"/>
    <mergeCell ref="E417:I417"/>
    <mergeCell ref="E408:I408"/>
    <mergeCell ref="E409:I409"/>
    <mergeCell ref="E410:I410"/>
    <mergeCell ref="E411:I411"/>
    <mergeCell ref="E403:I403"/>
    <mergeCell ref="E404:I404"/>
    <mergeCell ref="E282:I282"/>
    <mergeCell ref="E283:I283"/>
    <mergeCell ref="D351:I351"/>
    <mergeCell ref="E428:I428"/>
    <mergeCell ref="E402:I402"/>
    <mergeCell ref="E406:I406"/>
    <mergeCell ref="E412:I412"/>
    <mergeCell ref="E421:I421"/>
    <mergeCell ref="E416:I416"/>
    <mergeCell ref="E425:I425"/>
    <mergeCell ref="E407:I407"/>
    <mergeCell ref="D345:I345"/>
    <mergeCell ref="D364:I364"/>
    <mergeCell ref="D374:I374"/>
  </mergeCells>
  <conditionalFormatting sqref="I289">
    <cfRule type="cellIs" dxfId="839" priority="1" operator="notEqual">
      <formula>0</formula>
    </cfRule>
  </conditionalFormatting>
  <conditionalFormatting sqref="I564">
    <cfRule type="cellIs" dxfId="838" priority="2" operator="notEqual">
      <formula>0</formula>
    </cfRule>
  </conditionalFormatting>
  <conditionalFormatting sqref="J289:T289">
    <cfRule type="cellIs" dxfId="837" priority="3" operator="notEqual">
      <formula>0</formula>
    </cfRule>
  </conditionalFormatting>
  <conditionalFormatting sqref="J564:T564">
    <cfRule type="cellIs" dxfId="836" priority="4" operator="notEqual">
      <formula>0</formula>
    </cfRule>
  </conditionalFormatting>
  <conditionalFormatting sqref="I290">
    <cfRule type="cellIs" dxfId="835" priority="5" operator="notEqual">
      <formula>0</formula>
    </cfRule>
  </conditionalFormatting>
  <conditionalFormatting sqref="I565">
    <cfRule type="cellIs" dxfId="834" priority="6" operator="notEqual">
      <formula>0</formula>
    </cfRule>
  </conditionalFormatting>
  <conditionalFormatting sqref="J290:T290">
    <cfRule type="cellIs" dxfId="833" priority="7" operator="notEqual">
      <formula>0</formula>
    </cfRule>
  </conditionalFormatting>
  <conditionalFormatting sqref="J565:T565">
    <cfRule type="cellIs" dxfId="832" priority="8" operator="notEqual">
      <formula>0</formula>
    </cfRule>
  </conditionalFormatting>
  <conditionalFormatting sqref="I291">
    <cfRule type="cellIs" dxfId="831" priority="9" operator="notEqual">
      <formula>0</formula>
    </cfRule>
  </conditionalFormatting>
  <conditionalFormatting sqref="I566">
    <cfRule type="cellIs" dxfId="830" priority="10" operator="notEqual">
      <formula>0</formula>
    </cfRule>
  </conditionalFormatting>
  <conditionalFormatting sqref="J291:T291">
    <cfRule type="cellIs" dxfId="829" priority="11" operator="notEqual">
      <formula>0</formula>
    </cfRule>
  </conditionalFormatting>
  <conditionalFormatting sqref="J566:T566">
    <cfRule type="cellIs" dxfId="828" priority="12" operator="notEqual">
      <formula>0</formula>
    </cfRule>
  </conditionalFormatting>
  <conditionalFormatting sqref="I294">
    <cfRule type="cellIs" dxfId="827" priority="13" operator="notEqual">
      <formula>0</formula>
    </cfRule>
  </conditionalFormatting>
  <conditionalFormatting sqref="I569">
    <cfRule type="cellIs" dxfId="826" priority="14" operator="notEqual">
      <formula>0</formula>
    </cfRule>
  </conditionalFormatting>
  <conditionalFormatting sqref="J294:T294">
    <cfRule type="cellIs" dxfId="825" priority="15" operator="notEqual">
      <formula>0</formula>
    </cfRule>
  </conditionalFormatting>
  <conditionalFormatting sqref="J569:T569">
    <cfRule type="cellIs" dxfId="824" priority="16" operator="notEqual">
      <formula>0</formula>
    </cfRule>
  </conditionalFormatting>
  <conditionalFormatting sqref="I295">
    <cfRule type="cellIs" dxfId="823" priority="17" operator="notEqual">
      <formula>0</formula>
    </cfRule>
  </conditionalFormatting>
  <conditionalFormatting sqref="I570">
    <cfRule type="cellIs" dxfId="822" priority="18" operator="notEqual">
      <formula>0</formula>
    </cfRule>
  </conditionalFormatting>
  <conditionalFormatting sqref="J295:T295">
    <cfRule type="cellIs" dxfId="821" priority="19" operator="notEqual">
      <formula>0</formula>
    </cfRule>
  </conditionalFormatting>
  <conditionalFormatting sqref="J570:T570">
    <cfRule type="cellIs" dxfId="820" priority="20" operator="notEqual">
      <formula>0</formula>
    </cfRule>
  </conditionalFormatting>
  <conditionalFormatting sqref="I292">
    <cfRule type="cellIs" dxfId="819" priority="21" operator="notEqual">
      <formula>0</formula>
    </cfRule>
  </conditionalFormatting>
  <conditionalFormatting sqref="I567">
    <cfRule type="cellIs" dxfId="818" priority="22" operator="notEqual">
      <formula>0</formula>
    </cfRule>
  </conditionalFormatting>
  <conditionalFormatting sqref="J292:T292">
    <cfRule type="cellIs" dxfId="817" priority="23" operator="notEqual">
      <formula>0</formula>
    </cfRule>
  </conditionalFormatting>
  <conditionalFormatting sqref="J567:T567">
    <cfRule type="cellIs" dxfId="816" priority="24" operator="notEqual">
      <formula>0</formula>
    </cfRule>
  </conditionalFormatting>
  <dataValidations count="1">
    <dataValidation type="custom" showErrorMessage="1" errorTitle="Invalid Assumption" error="Assumption must be a number." sqref="J74:T74 J349:T349 J329:T333 J319:T323 J54:T58 J44:T48" xr:uid="{CB705B69-22EA-48BE-9F50-D6129EF5E7B7}">
      <formula1>NOT(ISERROR(J44/1))</formula1>
    </dataValidation>
  </dataValidations>
  <hyperlinks>
    <hyperlink ref="A1" location="HL_Home" tooltip="Go to Table of Contents" display="HL_Home" xr:uid="{2138A63F-0619-46AE-93E4-C616A857875F}"/>
    <hyperlink ref="A2" location="HL_Err_Chk" tooltip="Go to Error Checks" display="HL_Err_Chk" xr:uid="{49A4934D-888E-4E79-8716-6FFEB0A5C3AA}"/>
  </hyperlinks>
  <pageMargins left="0.39370078740157499" right="0.39370078740157499" top="0.59055118110236204" bottom="0.98425196850393704" header="0" footer="0.31496062992126"/>
  <pageSetup paperSize="9" orientation="landscape" r:id="rId1"/>
  <headerFooter>
    <oddFooter>&amp;L&amp;F
&amp;A
Printed: &amp;T on &amp;D&amp;CPage &amp;P of &amp;N</oddFooter>
  </headerFooter>
  <customProperties>
    <customPr name="EpmWorksheetKeyString_GUID" r:id="rId2"/>
  </customProperties>
  <legacyDrawing r:id="rId3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B842B3-12E1-4A0E-835B-0CA387EAE160}">
  <sheetPr>
    <pageSetUpPr autoPageBreaks="0"/>
  </sheetPr>
  <dimension ref="A1:T627"/>
  <sheetViews>
    <sheetView showGridLines="0" zoomScaleNormal="100" workbookViewId="0">
      <pane xSplit="9" ySplit="21" topLeftCell="J22" activePane="bottomRight" state="frozen"/>
      <selection activeCell="N2" sqref="N2:O2"/>
      <selection pane="topRight" activeCell="N2" sqref="N2:O2"/>
      <selection pane="bottomLeft" activeCell="N2" sqref="N2:O2"/>
      <selection pane="bottomRight" activeCell="N2" sqref="N2:O2"/>
    </sheetView>
  </sheetViews>
  <sheetFormatPr defaultColWidth="11.59765625" defaultRowHeight="11.5" outlineLevelRow="3"/>
  <cols>
    <col min="1" max="5" width="3.59765625" customWidth="1"/>
    <col min="6" max="7" width="15.59765625" customWidth="1"/>
  </cols>
  <sheetData>
    <row r="1" spans="1:20" ht="14">
      <c r="A1" s="10" t="s">
        <v>11</v>
      </c>
      <c r="B1" s="6" t="s">
        <v>295</v>
      </c>
    </row>
    <row r="2" spans="1:20" ht="13">
      <c r="A2" s="23" t="s">
        <v>26</v>
      </c>
      <c r="B2" s="7" t="str">
        <f ca="1">Model_Name</f>
        <v>GAAR Capex Forecast</v>
      </c>
      <c r="N2" s="253" t="s">
        <v>493</v>
      </c>
      <c r="O2" s="253"/>
    </row>
    <row r="3" spans="1:20">
      <c r="B3" s="30"/>
      <c r="C3" s="30"/>
      <c r="D3" s="30"/>
      <c r="E3" s="30"/>
      <c r="F3" s="30"/>
      <c r="G3" s="30"/>
      <c r="H3" s="30"/>
      <c r="I3" s="30"/>
      <c r="J3" s="30"/>
      <c r="K3" s="30"/>
      <c r="L3" s="30"/>
      <c r="M3" s="30"/>
      <c r="N3" s="30"/>
      <c r="O3" s="30"/>
      <c r="P3" s="30"/>
      <c r="Q3" s="30"/>
      <c r="R3" s="30"/>
      <c r="S3" s="30"/>
      <c r="T3" s="30"/>
    </row>
    <row r="4" spans="1:20">
      <c r="B4" s="116" t="s">
        <v>74</v>
      </c>
      <c r="C4" s="118"/>
      <c r="D4" s="118"/>
      <c r="E4" s="118"/>
      <c r="F4" s="118"/>
      <c r="G4" s="118"/>
      <c r="H4" s="118"/>
      <c r="I4" s="118"/>
      <c r="J4" s="119">
        <f t="shared" ref="J4:T4" si="0">J8</f>
        <v>43465</v>
      </c>
      <c r="K4" s="119">
        <f t="shared" si="0"/>
        <v>43830</v>
      </c>
      <c r="L4" s="119">
        <f t="shared" si="0"/>
        <v>44196</v>
      </c>
      <c r="M4" s="119">
        <f t="shared" si="0"/>
        <v>44561</v>
      </c>
      <c r="N4" s="119">
        <f t="shared" si="0"/>
        <v>44926</v>
      </c>
      <c r="O4" s="121">
        <f t="shared" si="0"/>
        <v>45107</v>
      </c>
      <c r="P4" s="121">
        <f t="shared" si="0"/>
        <v>45473</v>
      </c>
      <c r="Q4" s="121">
        <f t="shared" si="0"/>
        <v>45838</v>
      </c>
      <c r="R4" s="121">
        <f t="shared" si="0"/>
        <v>46203</v>
      </c>
      <c r="S4" s="121">
        <f t="shared" si="0"/>
        <v>46568</v>
      </c>
      <c r="T4" s="121">
        <f t="shared" si="0"/>
        <v>46934</v>
      </c>
    </row>
    <row r="5" spans="1:20">
      <c r="B5" s="117" t="s">
        <v>100</v>
      </c>
      <c r="C5" s="117"/>
      <c r="D5" s="117"/>
      <c r="E5" s="117"/>
      <c r="F5" s="117"/>
      <c r="G5" s="117"/>
      <c r="H5" s="117"/>
      <c r="I5" s="117"/>
      <c r="J5" s="120">
        <f t="shared" ref="J5:T5" si="1">YEAR(J8)</f>
        <v>2018</v>
      </c>
      <c r="K5" s="120">
        <f t="shared" si="1"/>
        <v>2019</v>
      </c>
      <c r="L5" s="120">
        <f t="shared" si="1"/>
        <v>2020</v>
      </c>
      <c r="M5" s="120">
        <f t="shared" si="1"/>
        <v>2021</v>
      </c>
      <c r="N5" s="120">
        <f t="shared" si="1"/>
        <v>2022</v>
      </c>
      <c r="O5" s="120">
        <f t="shared" si="1"/>
        <v>2023</v>
      </c>
      <c r="P5" s="120">
        <f t="shared" si="1"/>
        <v>2024</v>
      </c>
      <c r="Q5" s="120">
        <f t="shared" si="1"/>
        <v>2025</v>
      </c>
      <c r="R5" s="120">
        <f t="shared" si="1"/>
        <v>2026</v>
      </c>
      <c r="S5" s="120">
        <f t="shared" si="1"/>
        <v>2027</v>
      </c>
      <c r="T5" s="120">
        <f t="shared" si="1"/>
        <v>2028</v>
      </c>
    </row>
    <row r="6" spans="1:20">
      <c r="B6" s="113" t="s">
        <v>91</v>
      </c>
      <c r="C6" s="113"/>
      <c r="D6" s="113"/>
      <c r="E6" s="113"/>
      <c r="F6" s="113"/>
      <c r="G6" s="113"/>
      <c r="H6" s="113"/>
      <c r="I6" s="113"/>
      <c r="J6" s="115" t="str">
        <f t="shared" ref="J6:T6" si="2">IF(J$17,"Actual","Forecast")</f>
        <v>Actual</v>
      </c>
      <c r="K6" s="115" t="str">
        <f t="shared" si="2"/>
        <v>Actual</v>
      </c>
      <c r="L6" s="115" t="str">
        <f t="shared" si="2"/>
        <v>Actual</v>
      </c>
      <c r="M6" s="115" t="str">
        <f t="shared" si="2"/>
        <v>Actual</v>
      </c>
      <c r="N6" s="115" t="str">
        <f t="shared" si="2"/>
        <v>Forecast</v>
      </c>
      <c r="O6" s="114" t="str">
        <f t="shared" si="2"/>
        <v>Forecast</v>
      </c>
      <c r="P6" s="114" t="str">
        <f t="shared" si="2"/>
        <v>Forecast</v>
      </c>
      <c r="Q6" s="114" t="str">
        <f t="shared" si="2"/>
        <v>Forecast</v>
      </c>
      <c r="R6" s="114" t="str">
        <f t="shared" si="2"/>
        <v>Forecast</v>
      </c>
      <c r="S6" s="114" t="str">
        <f t="shared" si="2"/>
        <v>Forecast</v>
      </c>
      <c r="T6" s="114" t="str">
        <f t="shared" si="2"/>
        <v>Forecast</v>
      </c>
    </row>
    <row r="7" spans="1:20" hidden="1" outlineLevel="3">
      <c r="B7" s="30" t="s">
        <v>101</v>
      </c>
      <c r="C7" s="30"/>
      <c r="D7" s="30"/>
      <c r="E7" s="30"/>
      <c r="F7" s="30"/>
      <c r="G7" s="30"/>
      <c r="H7" s="30"/>
      <c r="I7" s="30"/>
      <c r="J7" s="36">
        <f>EDATE(Ts_Start_Date,(J10-1)*Ts_Mths_In_Yr)</f>
        <v>43101</v>
      </c>
      <c r="K7" s="36">
        <f>EDATE(Ts_Start_Date,(K10-1)*Ts_Mths_In_Yr)</f>
        <v>43466</v>
      </c>
      <c r="L7" s="36">
        <f>EDATE(Ts_Start_Date,(L10-1)*Ts_Mths_In_Yr)</f>
        <v>43831</v>
      </c>
      <c r="M7" s="36">
        <f>EDATE(Ts_Start_Date,(M10-1)*Ts_Mths_In_Yr)</f>
        <v>44197</v>
      </c>
      <c r="N7" s="36">
        <f>EDATE(Ts_Start_Date,(N10-1)*Ts_Mths_In_Yr)</f>
        <v>44562</v>
      </c>
      <c r="O7" s="36">
        <f>Ts_Stub_Start_Date</f>
        <v>44927</v>
      </c>
      <c r="P7" s="36">
        <f>EDATE(Ts_Forecast_Reg_Start_Date,(P16-1)*Ts_Mths_In_Yr)</f>
        <v>45108</v>
      </c>
      <c r="Q7" s="36">
        <f>EDATE(Ts_Forecast_Reg_Start_Date,(Q16-1)*Ts_Mths_In_Yr)</f>
        <v>45474</v>
      </c>
      <c r="R7" s="36">
        <f>EDATE(Ts_Forecast_Reg_Start_Date,(R16-1)*Ts_Mths_In_Yr)</f>
        <v>45839</v>
      </c>
      <c r="S7" s="36">
        <f>EDATE(Ts_Forecast_Reg_Start_Date,(S16-1)*Ts_Mths_In_Yr)</f>
        <v>46204</v>
      </c>
      <c r="T7" s="36">
        <f>EDATE(Ts_Forecast_Reg_Start_Date,(T16-1)*Ts_Mths_In_Yr)</f>
        <v>46569</v>
      </c>
    </row>
    <row r="8" spans="1:20" hidden="1" outlineLevel="3">
      <c r="B8" s="30" t="s">
        <v>102</v>
      </c>
      <c r="C8" s="30"/>
      <c r="D8" s="30"/>
      <c r="E8" s="30"/>
      <c r="F8" s="30"/>
      <c r="G8" s="30"/>
      <c r="H8" s="30"/>
      <c r="I8" s="30"/>
      <c r="J8" s="36">
        <f>EOMONTH(J7,Ts_Mths_In_Yr-1)</f>
        <v>43465</v>
      </c>
      <c r="K8" s="36">
        <f>EOMONTH(K7,Ts_Mths_In_Yr-1)</f>
        <v>43830</v>
      </c>
      <c r="L8" s="36">
        <f>EOMONTH(L7,Ts_Mths_In_Yr-1)</f>
        <v>44196</v>
      </c>
      <c r="M8" s="36">
        <f>EOMONTH(M7,Ts_Mths_In_Yr-1)</f>
        <v>44561</v>
      </c>
      <c r="N8" s="36">
        <f>EOMONTH(N7,Ts_Mths_In_Yr-1)</f>
        <v>44926</v>
      </c>
      <c r="O8" s="36">
        <f>EOMONTH(O7,Ts_Stub_Length-1)</f>
        <v>45107</v>
      </c>
      <c r="P8" s="36">
        <f>EOMONTH(P7,Ts_Mths_In_Yr-1)</f>
        <v>45473</v>
      </c>
      <c r="Q8" s="36">
        <f>EOMONTH(Q7,Ts_Mths_In_Yr-1)</f>
        <v>45838</v>
      </c>
      <c r="R8" s="36">
        <f>EOMONTH(R7,Ts_Mths_In_Yr-1)</f>
        <v>46203</v>
      </c>
      <c r="S8" s="36">
        <f>EOMONTH(S7,Ts_Mths_In_Yr-1)</f>
        <v>46568</v>
      </c>
      <c r="T8" s="36">
        <f>EOMONTH(T7,Ts_Mths_In_Yr-1)</f>
        <v>46934</v>
      </c>
    </row>
    <row r="9" spans="1:20" hidden="1" outlineLevel="3">
      <c r="B9" s="30" t="s">
        <v>87</v>
      </c>
      <c r="C9" s="30"/>
      <c r="D9" s="30"/>
      <c r="E9" s="30"/>
      <c r="F9" s="30"/>
      <c r="G9" s="30"/>
      <c r="H9" s="30"/>
      <c r="I9" s="30"/>
      <c r="J9" s="14">
        <f t="shared" ref="J9:T9" si="3">DATEDIF(J7,J8,"m")+1</f>
        <v>12</v>
      </c>
      <c r="K9" s="14">
        <f t="shared" si="3"/>
        <v>12</v>
      </c>
      <c r="L9" s="14">
        <f t="shared" si="3"/>
        <v>12</v>
      </c>
      <c r="M9" s="14">
        <f t="shared" si="3"/>
        <v>12</v>
      </c>
      <c r="N9" s="14">
        <f t="shared" si="3"/>
        <v>12</v>
      </c>
      <c r="O9" s="14">
        <f t="shared" si="3"/>
        <v>6</v>
      </c>
      <c r="P9" s="38">
        <f t="shared" si="3"/>
        <v>12</v>
      </c>
      <c r="Q9" s="38">
        <f t="shared" si="3"/>
        <v>12</v>
      </c>
      <c r="R9" s="38">
        <f t="shared" si="3"/>
        <v>12</v>
      </c>
      <c r="S9" s="38">
        <f t="shared" si="3"/>
        <v>12</v>
      </c>
      <c r="T9" s="38">
        <f t="shared" si="3"/>
        <v>12</v>
      </c>
    </row>
    <row r="10" spans="1:20" hidden="1" outlineLevel="3">
      <c r="B10" s="30" t="s">
        <v>72</v>
      </c>
      <c r="C10" s="30"/>
      <c r="D10" s="30"/>
      <c r="E10" s="30"/>
      <c r="F10" s="30"/>
      <c r="G10" s="30"/>
      <c r="H10" s="30"/>
      <c r="I10" s="30"/>
      <c r="J10" s="40">
        <f>COLUMNS($J$10:J10)</f>
        <v>1</v>
      </c>
      <c r="K10" s="40">
        <f>COLUMNS($J$10:K10)</f>
        <v>2</v>
      </c>
      <c r="L10" s="40">
        <f>COLUMNS($J$10:L10)</f>
        <v>3</v>
      </c>
      <c r="M10" s="40">
        <f>COLUMNS($J$10:M10)</f>
        <v>4</v>
      </c>
      <c r="N10" s="40">
        <f>COLUMNS($J$10:N10)</f>
        <v>5</v>
      </c>
      <c r="O10" s="40">
        <f>COLUMNS($J$10:O10)</f>
        <v>6</v>
      </c>
      <c r="P10" s="40">
        <f>COLUMNS($J$10:P10)</f>
        <v>7</v>
      </c>
      <c r="Q10" s="40">
        <f>COLUMNS($J$10:Q10)</f>
        <v>8</v>
      </c>
      <c r="R10" s="40">
        <f>COLUMNS($J$10:R10)</f>
        <v>9</v>
      </c>
      <c r="S10" s="40">
        <f>COLUMNS($J$10:S10)</f>
        <v>10</v>
      </c>
      <c r="T10" s="40">
        <f>COLUMNS($J$10:T10)</f>
        <v>11</v>
      </c>
    </row>
    <row r="11" spans="1:20" hidden="1" outlineLevel="3">
      <c r="B11" s="30" t="s">
        <v>76</v>
      </c>
      <c r="C11" s="30"/>
      <c r="D11" s="30"/>
      <c r="E11" s="30"/>
      <c r="F11" s="30"/>
      <c r="G11" s="30"/>
      <c r="H11" s="30"/>
      <c r="I11" s="30"/>
      <c r="J11" s="40">
        <f>(J12&lt;&gt;0)*1</f>
        <v>1</v>
      </c>
      <c r="K11" s="40">
        <f>(K12&lt;&gt;0)*1</f>
        <v>1</v>
      </c>
      <c r="L11" s="40">
        <f>(L12&lt;&gt;0)*1</f>
        <v>1</v>
      </c>
      <c r="M11" s="40">
        <f>(M12&lt;&gt;0)*1</f>
        <v>1</v>
      </c>
      <c r="N11" s="40">
        <f>(N12&lt;&gt;0)*1</f>
        <v>1</v>
      </c>
      <c r="O11" s="45">
        <v>0</v>
      </c>
      <c r="P11" s="45">
        <v>0</v>
      </c>
      <c r="Q11" s="45">
        <v>0</v>
      </c>
      <c r="R11" s="45">
        <v>0</v>
      </c>
      <c r="S11" s="45">
        <v>0</v>
      </c>
      <c r="T11" s="45">
        <v>0</v>
      </c>
    </row>
    <row r="12" spans="1:20" hidden="1" outlineLevel="3">
      <c r="B12" s="30" t="s">
        <v>96</v>
      </c>
      <c r="C12" s="30"/>
      <c r="D12" s="30"/>
      <c r="E12" s="30"/>
      <c r="F12" s="30"/>
      <c r="G12" s="30"/>
      <c r="H12" s="30"/>
      <c r="I12" s="30"/>
      <c r="J12" s="40">
        <f>COLUMNS($J$10:J10)</f>
        <v>1</v>
      </c>
      <c r="K12" s="40">
        <f>COLUMNS($J$10:K10)</f>
        <v>2</v>
      </c>
      <c r="L12" s="40">
        <f>COLUMNS($J$10:L10)</f>
        <v>3</v>
      </c>
      <c r="M12" s="40">
        <f>COLUMNS($J$10:M10)</f>
        <v>4</v>
      </c>
      <c r="N12" s="40">
        <f>COLUMNS($J$10:N10)</f>
        <v>5</v>
      </c>
      <c r="O12" s="45">
        <v>0</v>
      </c>
      <c r="P12" s="45">
        <v>0</v>
      </c>
      <c r="Q12" s="45">
        <v>0</v>
      </c>
      <c r="R12" s="45">
        <v>0</v>
      </c>
      <c r="S12" s="45">
        <v>0</v>
      </c>
      <c r="T12" s="45">
        <v>0</v>
      </c>
    </row>
    <row r="13" spans="1:20" hidden="1" outlineLevel="3">
      <c r="B13" s="30" t="s">
        <v>79</v>
      </c>
      <c r="C13" s="30"/>
      <c r="D13" s="30"/>
      <c r="E13" s="30"/>
      <c r="F13" s="30"/>
      <c r="G13" s="30"/>
      <c r="H13" s="30"/>
      <c r="I13" s="30"/>
      <c r="J13" s="45">
        <v>0</v>
      </c>
      <c r="K13" s="45">
        <v>0</v>
      </c>
      <c r="L13" s="45">
        <v>0</v>
      </c>
      <c r="M13" s="45">
        <v>0</v>
      </c>
      <c r="N13" s="45">
        <v>0</v>
      </c>
      <c r="O13" s="40">
        <f>(O14&lt;&gt;0)*1</f>
        <v>1</v>
      </c>
      <c r="P13" s="45">
        <v>0</v>
      </c>
      <c r="Q13" s="45">
        <v>0</v>
      </c>
      <c r="R13" s="45">
        <v>0</v>
      </c>
      <c r="S13" s="45">
        <v>0</v>
      </c>
      <c r="T13" s="45">
        <v>0</v>
      </c>
    </row>
    <row r="14" spans="1:20" hidden="1" outlineLevel="3">
      <c r="B14" s="30" t="s">
        <v>97</v>
      </c>
      <c r="C14" s="30"/>
      <c r="D14" s="30"/>
      <c r="E14" s="30"/>
      <c r="F14" s="30"/>
      <c r="G14" s="30"/>
      <c r="H14" s="30"/>
      <c r="I14" s="30"/>
      <c r="J14" s="45">
        <v>0</v>
      </c>
      <c r="K14" s="45">
        <v>0</v>
      </c>
      <c r="L14" s="45">
        <v>0</v>
      </c>
      <c r="M14" s="45">
        <v>0</v>
      </c>
      <c r="N14" s="45">
        <v>0</v>
      </c>
      <c r="O14" s="40">
        <f>COLUMNS($O$14:O14)</f>
        <v>1</v>
      </c>
      <c r="P14" s="45">
        <v>0</v>
      </c>
      <c r="Q14" s="45">
        <v>0</v>
      </c>
      <c r="R14" s="45">
        <v>0</v>
      </c>
      <c r="S14" s="45">
        <v>0</v>
      </c>
      <c r="T14" s="45">
        <v>0</v>
      </c>
    </row>
    <row r="15" spans="1:20" hidden="1" outlineLevel="3">
      <c r="B15" s="30" t="s">
        <v>82</v>
      </c>
      <c r="C15" s="30"/>
      <c r="D15" s="30"/>
      <c r="E15" s="30"/>
      <c r="F15" s="30"/>
      <c r="G15" s="30"/>
      <c r="H15" s="30"/>
      <c r="I15" s="30"/>
      <c r="J15" s="45">
        <v>0</v>
      </c>
      <c r="K15" s="45">
        <v>0</v>
      </c>
      <c r="L15" s="45">
        <v>0</v>
      </c>
      <c r="M15" s="45">
        <v>0</v>
      </c>
      <c r="N15" s="45">
        <v>0</v>
      </c>
      <c r="O15" s="45">
        <v>0</v>
      </c>
      <c r="P15" s="39">
        <f>(P16&lt;&gt;0)*1</f>
        <v>1</v>
      </c>
      <c r="Q15" s="39">
        <f>(Q16&lt;&gt;0)*1</f>
        <v>1</v>
      </c>
      <c r="R15" s="39">
        <f>(R16&lt;&gt;0)*1</f>
        <v>1</v>
      </c>
      <c r="S15" s="39">
        <f>(S16&lt;&gt;0)*1</f>
        <v>1</v>
      </c>
      <c r="T15" s="39">
        <f>(T16&lt;&gt;0)*1</f>
        <v>1</v>
      </c>
    </row>
    <row r="16" spans="1:20" hidden="1" outlineLevel="3">
      <c r="B16" s="30" t="s">
        <v>98</v>
      </c>
      <c r="C16" s="30"/>
      <c r="D16" s="30"/>
      <c r="E16" s="30"/>
      <c r="F16" s="30"/>
      <c r="G16" s="30"/>
      <c r="H16" s="30"/>
      <c r="I16" s="30"/>
      <c r="J16" s="45">
        <v>0</v>
      </c>
      <c r="K16" s="45">
        <v>0</v>
      </c>
      <c r="L16" s="45">
        <v>0</v>
      </c>
      <c r="M16" s="45">
        <v>0</v>
      </c>
      <c r="N16" s="45">
        <v>0</v>
      </c>
      <c r="O16" s="45">
        <v>0</v>
      </c>
      <c r="P16" s="39">
        <f>COLUMNS($P$16:P16)</f>
        <v>1</v>
      </c>
      <c r="Q16" s="39">
        <f>COLUMNS($P$16:Q16)</f>
        <v>2</v>
      </c>
      <c r="R16" s="39">
        <f>COLUMNS($P$16:R16)</f>
        <v>3</v>
      </c>
      <c r="S16" s="39">
        <f>COLUMNS($P$16:S16)</f>
        <v>4</v>
      </c>
      <c r="T16" s="39">
        <f>COLUMNS($P$16:T16)</f>
        <v>5</v>
      </c>
    </row>
    <row r="17" spans="2:20" hidden="1" outlineLevel="3">
      <c r="B17" s="30" t="s">
        <v>206</v>
      </c>
      <c r="C17" s="30"/>
      <c r="D17" s="30"/>
      <c r="E17" s="30"/>
      <c r="F17" s="30"/>
      <c r="G17" s="30"/>
      <c r="H17" s="30"/>
      <c r="I17" s="30"/>
      <c r="J17" s="39">
        <f t="shared" ref="J17:T17" si="4">IF(J$5&lt;=Ts_Last_Actual_Year,1,0)</f>
        <v>1</v>
      </c>
      <c r="K17" s="39">
        <f t="shared" si="4"/>
        <v>1</v>
      </c>
      <c r="L17" s="39">
        <f t="shared" si="4"/>
        <v>1</v>
      </c>
      <c r="M17" s="39">
        <f t="shared" si="4"/>
        <v>1</v>
      </c>
      <c r="N17" s="39">
        <f t="shared" si="4"/>
        <v>0</v>
      </c>
      <c r="O17" s="39">
        <f t="shared" si="4"/>
        <v>0</v>
      </c>
      <c r="P17" s="39">
        <f t="shared" si="4"/>
        <v>0</v>
      </c>
      <c r="Q17" s="39">
        <f t="shared" si="4"/>
        <v>0</v>
      </c>
      <c r="R17" s="39">
        <f t="shared" si="4"/>
        <v>0</v>
      </c>
      <c r="S17" s="39">
        <f t="shared" si="4"/>
        <v>0</v>
      </c>
      <c r="T17" s="39">
        <f t="shared" si="4"/>
        <v>0</v>
      </c>
    </row>
    <row r="18" spans="2:20" hidden="1" outlineLevel="3">
      <c r="B18" s="30" t="s">
        <v>207</v>
      </c>
      <c r="C18" s="30"/>
      <c r="D18" s="30"/>
      <c r="E18" s="30"/>
      <c r="F18" s="30"/>
      <c r="G18" s="30"/>
      <c r="H18" s="30"/>
      <c r="I18" s="30"/>
      <c r="J18" s="39">
        <f t="shared" ref="J18:T18" si="5">IF(J$5&gt;Ts_Last_Actual_Year,1,0)</f>
        <v>0</v>
      </c>
      <c r="K18" s="39">
        <f t="shared" si="5"/>
        <v>0</v>
      </c>
      <c r="L18" s="39">
        <f t="shared" si="5"/>
        <v>0</v>
      </c>
      <c r="M18" s="39">
        <f t="shared" si="5"/>
        <v>0</v>
      </c>
      <c r="N18" s="39">
        <f t="shared" si="5"/>
        <v>1</v>
      </c>
      <c r="O18" s="40">
        <f t="shared" si="5"/>
        <v>1</v>
      </c>
      <c r="P18" s="40">
        <f t="shared" si="5"/>
        <v>1</v>
      </c>
      <c r="Q18" s="40">
        <f t="shared" si="5"/>
        <v>1</v>
      </c>
      <c r="R18" s="40">
        <f t="shared" si="5"/>
        <v>1</v>
      </c>
      <c r="S18" s="40">
        <f t="shared" si="5"/>
        <v>1</v>
      </c>
      <c r="T18" s="40">
        <f t="shared" si="5"/>
        <v>1</v>
      </c>
    </row>
    <row r="19" spans="2:20" hidden="1" outlineLevel="3">
      <c r="B19" s="30" t="s">
        <v>208</v>
      </c>
      <c r="C19" s="30"/>
      <c r="D19" s="30"/>
      <c r="E19" s="30"/>
      <c r="F19" s="30"/>
      <c r="G19" s="30"/>
      <c r="H19" s="30"/>
      <c r="I19" s="30"/>
      <c r="J19" s="39">
        <f>SUM($J18:J18)</f>
        <v>0</v>
      </c>
      <c r="K19" s="39">
        <f>SUM($J18:K18)</f>
        <v>0</v>
      </c>
      <c r="L19" s="39">
        <f>SUM($J18:L18)</f>
        <v>0</v>
      </c>
      <c r="M19" s="39">
        <f>SUM($J18:M18)</f>
        <v>0</v>
      </c>
      <c r="N19" s="39">
        <f>SUM($J18:N18)</f>
        <v>1</v>
      </c>
      <c r="O19" s="40">
        <f>SUM($J18:O18)</f>
        <v>2</v>
      </c>
      <c r="P19" s="40">
        <f>SUM($J18:P18)</f>
        <v>3</v>
      </c>
      <c r="Q19" s="40">
        <f>SUM($J18:Q18)</f>
        <v>4</v>
      </c>
      <c r="R19" s="40">
        <f>SUM($J18:R18)</f>
        <v>5</v>
      </c>
      <c r="S19" s="40">
        <f>SUM($J18:S18)</f>
        <v>6</v>
      </c>
      <c r="T19" s="40">
        <f>SUM($J18:T18)</f>
        <v>7</v>
      </c>
    </row>
    <row r="20" spans="2:20" hidden="1" outlineLevel="3">
      <c r="B20" s="30" t="s">
        <v>481</v>
      </c>
      <c r="C20" s="30"/>
      <c r="D20" s="30"/>
      <c r="E20" s="30"/>
      <c r="F20" s="30"/>
      <c r="G20" s="30"/>
      <c r="H20" s="30"/>
      <c r="I20" s="30"/>
      <c r="J20" s="38">
        <f t="shared" ref="J20:N20" si="6">J9/12</f>
        <v>1</v>
      </c>
      <c r="K20" s="38">
        <f t="shared" si="6"/>
        <v>1</v>
      </c>
      <c r="L20" s="38">
        <f t="shared" si="6"/>
        <v>1</v>
      </c>
      <c r="M20" s="38">
        <f t="shared" si="6"/>
        <v>1</v>
      </c>
      <c r="N20" s="38">
        <f t="shared" si="6"/>
        <v>1</v>
      </c>
      <c r="O20" s="38">
        <f>O9/12</f>
        <v>0.5</v>
      </c>
      <c r="P20" s="38">
        <f t="shared" ref="P20:T20" si="7">P9/12</f>
        <v>1</v>
      </c>
      <c r="Q20" s="38">
        <f t="shared" si="7"/>
        <v>1</v>
      </c>
      <c r="R20" s="38">
        <f t="shared" si="7"/>
        <v>1</v>
      </c>
      <c r="S20" s="38">
        <f t="shared" si="7"/>
        <v>1</v>
      </c>
      <c r="T20" s="38">
        <f t="shared" si="7"/>
        <v>1</v>
      </c>
    </row>
    <row r="21" spans="2:20" hidden="1" outlineLevel="3">
      <c r="B21" s="30"/>
      <c r="C21" s="30"/>
      <c r="D21" s="30"/>
      <c r="E21" s="30"/>
      <c r="F21" s="30"/>
      <c r="G21" s="30"/>
      <c r="H21" s="30"/>
      <c r="I21" s="30"/>
      <c r="J21" s="30"/>
      <c r="K21" s="30"/>
      <c r="L21" s="30"/>
      <c r="M21" s="30"/>
      <c r="N21" s="30"/>
      <c r="O21" s="30"/>
      <c r="P21" s="30"/>
      <c r="Q21" s="30"/>
      <c r="R21" s="30"/>
      <c r="S21" s="30"/>
      <c r="T21" s="30"/>
    </row>
    <row r="22" spans="2:20" collapsed="1"/>
    <row r="23" spans="2:20" ht="14">
      <c r="B23" s="110" t="s">
        <v>254</v>
      </c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</row>
    <row r="24" spans="2:20" ht="5.9" customHeight="1"/>
    <row r="25" spans="2:20" ht="14">
      <c r="B25" s="56" t="str">
        <f>GC!F22</f>
        <v>Cathodic Protection</v>
      </c>
    </row>
    <row r="26" spans="2:20" ht="5.9" customHeight="1" outlineLevel="1"/>
    <row r="27" spans="2:20" hidden="1" outlineLevel="2">
      <c r="C27" s="37" t="s">
        <v>204</v>
      </c>
    </row>
    <row r="28" spans="2:20" ht="5.9" hidden="1" customHeight="1" outlineLevel="2"/>
    <row r="29" spans="2:20" hidden="1" outlineLevel="2">
      <c r="D29" s="51" t="s">
        <v>103</v>
      </c>
      <c r="J29" s="92">
        <f>Rates!J42</f>
        <v>1</v>
      </c>
      <c r="K29" s="92">
        <f>Rates!K42</f>
        <v>1</v>
      </c>
      <c r="L29" s="92">
        <f>Rates!L42</f>
        <v>1</v>
      </c>
      <c r="M29" s="92">
        <f>Rates!M42</f>
        <v>1</v>
      </c>
      <c r="N29" s="92">
        <f>Rates!N42</f>
        <v>1</v>
      </c>
      <c r="O29" s="92">
        <f>Rates!O42</f>
        <v>1.0051959235721353</v>
      </c>
      <c r="P29" s="92">
        <f>Rates!P42</f>
        <v>1.0102301741405761</v>
      </c>
      <c r="Q29" s="92">
        <f>Rates!Q42</f>
        <v>1.0181072873442809</v>
      </c>
      <c r="R29" s="92">
        <f>Rates!R42</f>
        <v>1.0293150686557422</v>
      </c>
      <c r="S29" s="92">
        <f>Rates!S42</f>
        <v>1.040646230246951</v>
      </c>
      <c r="T29" s="92">
        <f>Rates!T42</f>
        <v>1.0521021303433229</v>
      </c>
    </row>
    <row r="30" spans="2:20" hidden="1" outlineLevel="2">
      <c r="D30" s="51" t="s">
        <v>104</v>
      </c>
      <c r="J30" s="92">
        <f>Rates!J43</f>
        <v>1</v>
      </c>
      <c r="K30" s="92">
        <f>Rates!K43</f>
        <v>1</v>
      </c>
      <c r="L30" s="92">
        <f>Rates!L43</f>
        <v>1</v>
      </c>
      <c r="M30" s="92">
        <f>Rates!M43</f>
        <v>1</v>
      </c>
      <c r="N30" s="92">
        <f>Rates!N43</f>
        <v>1</v>
      </c>
      <c r="O30" s="92">
        <f>Rates!O43</f>
        <v>1</v>
      </c>
      <c r="P30" s="92">
        <f>Rates!P43</f>
        <v>1</v>
      </c>
      <c r="Q30" s="92">
        <f>Rates!Q43</f>
        <v>1</v>
      </c>
      <c r="R30" s="92">
        <f>Rates!R43</f>
        <v>1</v>
      </c>
      <c r="S30" s="92">
        <f>Rates!S43</f>
        <v>1</v>
      </c>
      <c r="T30" s="92">
        <f>Rates!T43</f>
        <v>1</v>
      </c>
    </row>
    <row r="31" spans="2:20" hidden="1" outlineLevel="2">
      <c r="D31" s="51" t="s">
        <v>130</v>
      </c>
      <c r="J31" s="92">
        <f>Rates!J45</f>
        <v>1</v>
      </c>
      <c r="K31" s="92">
        <f>Rates!K45</f>
        <v>1</v>
      </c>
      <c r="L31" s="92">
        <f>Rates!L45</f>
        <v>1</v>
      </c>
      <c r="M31" s="92">
        <f>Rates!M45</f>
        <v>1</v>
      </c>
      <c r="N31" s="92">
        <f>Rates!N45</f>
        <v>1</v>
      </c>
      <c r="O31" s="92">
        <f>Rates!O45</f>
        <v>1</v>
      </c>
      <c r="P31" s="92">
        <f>Rates!P45</f>
        <v>1</v>
      </c>
      <c r="Q31" s="92">
        <f>Rates!Q45</f>
        <v>1</v>
      </c>
      <c r="R31" s="92">
        <f>Rates!R45</f>
        <v>1</v>
      </c>
      <c r="S31" s="92">
        <f>Rates!S45</f>
        <v>1</v>
      </c>
      <c r="T31" s="92">
        <f>Rates!T45</f>
        <v>1</v>
      </c>
    </row>
    <row r="32" spans="2:20" ht="5.9" hidden="1" customHeight="1" outlineLevel="2"/>
    <row r="33" spans="3:20" hidden="1" outlineLevel="2">
      <c r="C33" s="37" t="s">
        <v>105</v>
      </c>
    </row>
    <row r="34" spans="3:20" ht="5.9" hidden="1" customHeight="1" outlineLevel="2"/>
    <row r="35" spans="3:20" hidden="1" outlineLevel="2">
      <c r="D35" s="51" t="s">
        <v>106</v>
      </c>
      <c r="J35" s="100">
        <f>Rates!J50</f>
        <v>6.9591273870889495E-2</v>
      </c>
      <c r="K35" s="100">
        <f>Rates!K50</f>
        <v>7.3934468928182201E-2</v>
      </c>
      <c r="L35" s="100">
        <f>Rates!L50</f>
        <v>7.5085976469407303E-2</v>
      </c>
      <c r="M35" s="100">
        <f>Rates!M50</f>
        <v>8.0103391005934096E-2</v>
      </c>
      <c r="N35" s="100">
        <f>Rates!N50</f>
        <v>3.7711007382937055E-2</v>
      </c>
      <c r="O35" s="100">
        <f>Rates!O50</f>
        <v>3.3283969054706777E-2</v>
      </c>
      <c r="P35" s="100">
        <f>Rates!P50</f>
        <v>2.6752660513445464E-2</v>
      </c>
      <c r="Q35" s="100">
        <f>Rates!Q50</f>
        <v>2.6060587348993774E-2</v>
      </c>
      <c r="R35" s="100">
        <f>Rates!R50</f>
        <v>2.6873005987587139E-2</v>
      </c>
      <c r="S35" s="100">
        <f>Rates!S50</f>
        <v>2.8546178928104012E-2</v>
      </c>
      <c r="T35" s="100">
        <f>Rates!T50</f>
        <v>2.9920378203686534E-2</v>
      </c>
    </row>
    <row r="36" spans="3:20" hidden="1" outlineLevel="2">
      <c r="D36" s="51" t="s">
        <v>107</v>
      </c>
      <c r="J36" s="100">
        <f>Rates!J51</f>
        <v>5.5842732834613398E-2</v>
      </c>
      <c r="K36" s="100">
        <f>Rates!K51</f>
        <v>5.16564294790849E-2</v>
      </c>
      <c r="L36" s="100">
        <f>Rates!L51</f>
        <v>6.0535031919173997E-2</v>
      </c>
      <c r="M36" s="100">
        <f>Rates!M51</f>
        <v>7.1630695797579302E-2</v>
      </c>
      <c r="N36" s="100">
        <f>Rates!N51</f>
        <v>7.4343858126268231E-2</v>
      </c>
      <c r="O36" s="100">
        <f>Rates!O51</f>
        <v>7.4059082290758096E-2</v>
      </c>
      <c r="P36" s="100">
        <f>Rates!P51</f>
        <v>2.4388539961794877E-2</v>
      </c>
      <c r="Q36" s="100">
        <f>Rates!Q51</f>
        <v>2.1171310758207256E-2</v>
      </c>
      <c r="R36" s="100">
        <f>Rates!R51</f>
        <v>2.0024144075344485E-2</v>
      </c>
      <c r="S36" s="100">
        <f>Rates!S51</f>
        <v>3.9620009613577346E-2</v>
      </c>
      <c r="T36" s="100">
        <f>Rates!T51</f>
        <v>5.404914337922874E-2</v>
      </c>
    </row>
    <row r="37" spans="3:20" hidden="1" outlineLevel="2">
      <c r="D37" s="51" t="s">
        <v>108</v>
      </c>
      <c r="J37" s="100">
        <f>Rates!J52</f>
        <v>0</v>
      </c>
      <c r="K37" s="100">
        <f>Rates!K52</f>
        <v>0</v>
      </c>
      <c r="L37" s="100">
        <f>Rates!L52</f>
        <v>0</v>
      </c>
      <c r="M37" s="100">
        <f>Rates!M52</f>
        <v>0</v>
      </c>
      <c r="N37" s="100">
        <f>Rates!N52</f>
        <v>0</v>
      </c>
      <c r="O37" s="100">
        <f>Rates!O52</f>
        <v>0</v>
      </c>
      <c r="P37" s="100">
        <f>Rates!P52</f>
        <v>0</v>
      </c>
      <c r="Q37" s="100">
        <f>Rates!Q52</f>
        <v>0</v>
      </c>
      <c r="R37" s="100">
        <f>Rates!R52</f>
        <v>0</v>
      </c>
      <c r="S37" s="100">
        <f>Rates!S52</f>
        <v>0</v>
      </c>
      <c r="T37" s="100">
        <f>Rates!T52</f>
        <v>0</v>
      </c>
    </row>
    <row r="38" spans="3:20" outlineLevel="1" collapsed="1"/>
    <row r="39" spans="3:20" ht="5.9" customHeight="1" outlineLevel="1"/>
    <row r="40" spans="3:20" outlineLevel="1">
      <c r="C40" s="37" t="s">
        <v>118</v>
      </c>
    </row>
    <row r="41" spans="3:20" ht="5.9" customHeight="1" outlineLevel="1"/>
    <row r="42" spans="3:20" outlineLevel="1">
      <c r="D42" s="37" t="s">
        <v>160</v>
      </c>
      <c r="H42" s="107" t="s">
        <v>192</v>
      </c>
    </row>
    <row r="43" spans="3:20" ht="5.9" customHeight="1" outlineLevel="1"/>
    <row r="44" spans="3:20" outlineLevel="1">
      <c r="D44" s="102" t="str">
        <f>Work_Codes!D275</f>
        <v>New CPU Installation (Small 2 Amps)</v>
      </c>
      <c r="H44" s="63"/>
      <c r="J44" s="125"/>
      <c r="K44" s="125"/>
      <c r="L44" s="125"/>
      <c r="M44" s="125"/>
      <c r="N44" s="212"/>
      <c r="O44" s="211"/>
      <c r="P44" s="212"/>
      <c r="Q44" s="212"/>
      <c r="R44" s="212"/>
      <c r="S44" s="212"/>
      <c r="T44" s="212"/>
    </row>
    <row r="45" spans="3:20" outlineLevel="1">
      <c r="D45" s="174" t="str">
        <f>Work_Codes!D276</f>
        <v>Small Anode Bed Replacement</v>
      </c>
      <c r="H45" s="63"/>
      <c r="J45" s="125"/>
      <c r="K45" s="125"/>
      <c r="L45" s="125"/>
      <c r="M45" s="125"/>
      <c r="N45" s="212"/>
      <c r="O45" s="211"/>
      <c r="P45" s="212"/>
      <c r="Q45" s="212"/>
      <c r="R45" s="212"/>
      <c r="S45" s="212"/>
      <c r="T45" s="212"/>
    </row>
    <row r="46" spans="3:20" outlineLevel="1">
      <c r="D46" s="174" t="str">
        <f>Work_Codes!D277</f>
        <v>Large Anode Bed Replacement</v>
      </c>
      <c r="H46" s="63"/>
      <c r="J46" s="125"/>
      <c r="K46" s="125"/>
      <c r="L46" s="125"/>
      <c r="M46" s="125"/>
      <c r="N46" s="212"/>
      <c r="O46" s="211"/>
      <c r="P46" s="212"/>
      <c r="Q46" s="212"/>
      <c r="R46" s="212"/>
      <c r="S46" s="212"/>
      <c r="T46" s="212"/>
    </row>
    <row r="47" spans="3:20" outlineLevel="1">
      <c r="D47" s="174" t="str">
        <f>Work_Codes!D278</f>
        <v>New sacrificial anode</v>
      </c>
      <c r="H47" s="63"/>
      <c r="J47" s="125"/>
      <c r="K47" s="125"/>
      <c r="L47" s="125"/>
      <c r="M47" s="125"/>
      <c r="N47" s="212"/>
      <c r="O47" s="211"/>
      <c r="P47" s="212"/>
      <c r="Q47" s="212"/>
      <c r="R47" s="212"/>
      <c r="S47" s="212"/>
      <c r="T47" s="212"/>
    </row>
    <row r="48" spans="3:20" outlineLevel="1">
      <c r="D48" s="174" t="str">
        <f>Work_Codes!D279</f>
        <v>Replace Expiring Sacrificial Anode</v>
      </c>
      <c r="H48" s="63"/>
      <c r="J48" s="125"/>
      <c r="K48" s="125"/>
      <c r="L48" s="125"/>
      <c r="M48" s="125"/>
      <c r="N48" s="212"/>
      <c r="O48" s="211"/>
      <c r="P48" s="212"/>
      <c r="Q48" s="212"/>
      <c r="R48" s="212"/>
      <c r="S48" s="212"/>
      <c r="T48" s="212"/>
    </row>
    <row r="49" spans="3:20" outlineLevel="1">
      <c r="D49" s="174" t="str">
        <f>Work_Codes!D280</f>
        <v>CP UNIT Remote Monitoring</v>
      </c>
      <c r="H49" s="63"/>
      <c r="J49" s="125"/>
      <c r="K49" s="125"/>
      <c r="L49" s="125"/>
      <c r="M49" s="125"/>
      <c r="N49" s="212"/>
      <c r="O49" s="211"/>
      <c r="P49" s="212"/>
      <c r="Q49" s="212"/>
      <c r="R49" s="212"/>
      <c r="S49" s="212"/>
      <c r="T49" s="212"/>
    </row>
    <row r="50" spans="3:20" outlineLevel="1">
      <c r="D50" s="174" t="str">
        <f>Work_Codes!D281</f>
        <v>City Gate Remote Potential survey</v>
      </c>
      <c r="H50" s="63"/>
      <c r="J50" s="125"/>
      <c r="K50" s="125"/>
      <c r="L50" s="125"/>
      <c r="M50" s="125"/>
      <c r="N50" s="212"/>
      <c r="O50" s="211"/>
      <c r="P50" s="212"/>
      <c r="Q50" s="212"/>
      <c r="R50" s="212"/>
      <c r="S50" s="212"/>
      <c r="T50" s="212"/>
    </row>
    <row r="51" spans="3:20" outlineLevel="1">
      <c r="D51" s="174" t="str">
        <f>Work_Codes!D282</f>
        <v>Miscellaneous CPS</v>
      </c>
      <c r="H51" s="63"/>
      <c r="J51" s="125"/>
      <c r="K51" s="125"/>
      <c r="L51" s="125"/>
      <c r="M51" s="193"/>
      <c r="N51" s="217"/>
      <c r="O51" s="211"/>
      <c r="P51" s="212"/>
      <c r="Q51" s="211"/>
      <c r="R51" s="212"/>
      <c r="S51" s="212"/>
      <c r="T51" s="212"/>
    </row>
    <row r="52" spans="3:20" outlineLevel="1">
      <c r="D52" s="102" t="str">
        <f>Work_Codes!D283</f>
        <v>Capex Items Category 9</v>
      </c>
      <c r="H52" s="63"/>
      <c r="J52" s="125"/>
      <c r="K52" s="125"/>
      <c r="L52" s="125"/>
      <c r="M52" s="125"/>
      <c r="N52" s="211"/>
      <c r="O52" s="212"/>
      <c r="P52" s="212"/>
      <c r="Q52" s="212"/>
      <c r="R52" s="212"/>
      <c r="S52" s="212"/>
      <c r="T52" s="212"/>
    </row>
    <row r="53" spans="3:20" outlineLevel="1">
      <c r="D53" s="105"/>
      <c r="H53" s="58"/>
      <c r="J53" s="66"/>
      <c r="K53" s="66"/>
      <c r="L53" s="66"/>
      <c r="M53" s="66"/>
      <c r="N53" s="66"/>
      <c r="O53" s="66"/>
      <c r="P53" s="66"/>
      <c r="Q53" s="66"/>
      <c r="R53" s="66"/>
      <c r="S53" s="66"/>
      <c r="T53" s="66"/>
    </row>
    <row r="54" spans="3:20" outlineLevel="1">
      <c r="C54" s="37" t="s">
        <v>119</v>
      </c>
    </row>
    <row r="55" spans="3:20" ht="5.9" customHeight="1" outlineLevel="1"/>
    <row r="56" spans="3:20" outlineLevel="1">
      <c r="D56" s="37" t="str">
        <f>D42</f>
        <v>Capex Category</v>
      </c>
    </row>
    <row r="57" spans="3:20" ht="5.9" customHeight="1" outlineLevel="1"/>
    <row r="58" spans="3:20" outlineLevel="1">
      <c r="D58" s="102" t="str">
        <f>Work_Codes!D275</f>
        <v>New CPU Installation (Small 2 Amps)</v>
      </c>
      <c r="J58" s="163"/>
      <c r="K58" s="163"/>
      <c r="L58" s="163"/>
      <c r="M58" s="163"/>
      <c r="N58" s="213"/>
      <c r="O58" s="215"/>
      <c r="P58" s="213"/>
      <c r="Q58" s="213"/>
      <c r="R58" s="213"/>
      <c r="S58" s="213"/>
      <c r="T58" s="213"/>
    </row>
    <row r="59" spans="3:20" outlineLevel="1">
      <c r="D59" s="174" t="str">
        <f>Work_Codes!D276</f>
        <v>Small Anode Bed Replacement</v>
      </c>
      <c r="J59" s="163"/>
      <c r="K59" s="163"/>
      <c r="L59" s="163"/>
      <c r="M59" s="163"/>
      <c r="N59" s="213"/>
      <c r="O59" s="215"/>
      <c r="P59" s="213"/>
      <c r="Q59" s="213"/>
      <c r="R59" s="213"/>
      <c r="S59" s="213"/>
      <c r="T59" s="213"/>
    </row>
    <row r="60" spans="3:20" outlineLevel="1">
      <c r="D60" s="174" t="str">
        <f>Work_Codes!D277</f>
        <v>Large Anode Bed Replacement</v>
      </c>
      <c r="J60" s="163"/>
      <c r="K60" s="163"/>
      <c r="L60" s="163"/>
      <c r="M60" s="163"/>
      <c r="N60" s="213"/>
      <c r="O60" s="215"/>
      <c r="P60" s="213"/>
      <c r="Q60" s="213"/>
      <c r="R60" s="213"/>
      <c r="S60" s="213"/>
      <c r="T60" s="213"/>
    </row>
    <row r="61" spans="3:20" outlineLevel="1">
      <c r="D61" s="174" t="str">
        <f>Work_Codes!D278</f>
        <v>New sacrificial anode</v>
      </c>
      <c r="J61" s="163"/>
      <c r="K61" s="163"/>
      <c r="L61" s="163"/>
      <c r="M61" s="163"/>
      <c r="N61" s="213"/>
      <c r="O61" s="215"/>
      <c r="P61" s="213"/>
      <c r="Q61" s="213"/>
      <c r="R61" s="213"/>
      <c r="S61" s="213"/>
      <c r="T61" s="213"/>
    </row>
    <row r="62" spans="3:20" outlineLevel="1">
      <c r="D62" s="174" t="str">
        <f>Work_Codes!D279</f>
        <v>Replace Expiring Sacrificial Anode</v>
      </c>
      <c r="J62" s="163"/>
      <c r="K62" s="163"/>
      <c r="L62" s="163"/>
      <c r="M62" s="163"/>
      <c r="N62" s="213"/>
      <c r="O62" s="215"/>
      <c r="P62" s="213"/>
      <c r="Q62" s="213"/>
      <c r="R62" s="213"/>
      <c r="S62" s="213"/>
      <c r="T62" s="213"/>
    </row>
    <row r="63" spans="3:20" outlineLevel="1">
      <c r="D63" s="174" t="str">
        <f>Work_Codes!D280</f>
        <v>CP UNIT Remote Monitoring</v>
      </c>
      <c r="J63" s="163"/>
      <c r="K63" s="163"/>
      <c r="L63" s="163"/>
      <c r="M63" s="163"/>
      <c r="N63" s="213"/>
      <c r="O63" s="215"/>
      <c r="P63" s="213"/>
      <c r="Q63" s="213"/>
      <c r="R63" s="213"/>
      <c r="S63" s="213"/>
      <c r="T63" s="213"/>
    </row>
    <row r="64" spans="3:20" outlineLevel="1">
      <c r="D64" s="174" t="str">
        <f>Work_Codes!D281</f>
        <v>City Gate Remote Potential survey</v>
      </c>
      <c r="J64" s="163"/>
      <c r="K64" s="163"/>
      <c r="L64" s="163"/>
      <c r="M64" s="163"/>
      <c r="N64" s="213"/>
      <c r="O64" s="215"/>
      <c r="P64" s="213"/>
      <c r="Q64" s="213"/>
      <c r="R64" s="213"/>
      <c r="S64" s="213"/>
      <c r="T64" s="213"/>
    </row>
    <row r="65" spans="3:20" outlineLevel="1">
      <c r="D65" s="174" t="str">
        <f>Work_Codes!D282</f>
        <v>Miscellaneous CPS</v>
      </c>
      <c r="J65" s="163"/>
      <c r="K65" s="163"/>
      <c r="L65" s="163"/>
      <c r="M65" s="163"/>
      <c r="N65" s="213"/>
      <c r="O65" s="215"/>
      <c r="P65" s="213"/>
      <c r="Q65" s="213"/>
      <c r="R65" s="213"/>
      <c r="S65" s="213"/>
      <c r="T65" s="213"/>
    </row>
    <row r="66" spans="3:20" outlineLevel="1">
      <c r="D66" s="102" t="str">
        <f>Work_Codes!D283</f>
        <v>Capex Items Category 9</v>
      </c>
      <c r="J66" s="163"/>
      <c r="K66" s="163"/>
      <c r="L66" s="163"/>
      <c r="M66" s="163"/>
      <c r="N66" s="213"/>
      <c r="O66" s="213"/>
      <c r="P66" s="213"/>
      <c r="Q66" s="213"/>
      <c r="R66" s="213"/>
      <c r="S66" s="213"/>
      <c r="T66" s="213"/>
    </row>
    <row r="67" spans="3:20" outlineLevel="1"/>
    <row r="68" spans="3:20" outlineLevel="1">
      <c r="C68" s="37" t="s">
        <v>193</v>
      </c>
    </row>
    <row r="69" spans="3:20" ht="5.9" customHeight="1" outlineLevel="1"/>
    <row r="70" spans="3:20" outlineLevel="1">
      <c r="D70" s="37" t="str">
        <f>D42</f>
        <v>Capex Category</v>
      </c>
    </row>
    <row r="71" spans="3:20" ht="5.9" customHeight="1" outlineLevel="1"/>
    <row r="72" spans="3:20" outlineLevel="1">
      <c r="D72" s="102" t="str">
        <f>Work_Codes!D275</f>
        <v>New CPU Installation (Small 2 Amps)</v>
      </c>
      <c r="J72" s="81">
        <v>0</v>
      </c>
      <c r="K72" s="81">
        <v>0</v>
      </c>
      <c r="L72" s="81">
        <v>0</v>
      </c>
      <c r="M72" s="81">
        <v>0</v>
      </c>
      <c r="N72" s="81">
        <v>0</v>
      </c>
      <c r="O72" s="81">
        <v>35000</v>
      </c>
      <c r="P72" s="81">
        <v>70000</v>
      </c>
      <c r="Q72" s="81">
        <v>70000</v>
      </c>
      <c r="R72" s="81">
        <v>70000</v>
      </c>
      <c r="S72" s="81">
        <v>70000</v>
      </c>
      <c r="T72" s="81">
        <v>70000</v>
      </c>
    </row>
    <row r="73" spans="3:20" outlineLevel="1">
      <c r="D73" s="174" t="str">
        <f>Work_Codes!D276</f>
        <v>Small Anode Bed Replacement</v>
      </c>
      <c r="J73" s="81">
        <v>0</v>
      </c>
      <c r="K73" s="81">
        <v>0</v>
      </c>
      <c r="L73" s="81">
        <v>0</v>
      </c>
      <c r="M73" s="81">
        <v>0</v>
      </c>
      <c r="N73" s="81">
        <v>0</v>
      </c>
      <c r="O73" s="81">
        <v>10000</v>
      </c>
      <c r="P73" s="81">
        <v>20000</v>
      </c>
      <c r="Q73" s="81">
        <v>20000</v>
      </c>
      <c r="R73" s="81">
        <v>30000</v>
      </c>
      <c r="S73" s="81">
        <v>30000</v>
      </c>
      <c r="T73" s="81">
        <v>30000</v>
      </c>
    </row>
    <row r="74" spans="3:20" outlineLevel="1">
      <c r="D74" s="174" t="str">
        <f>Work_Codes!D277</f>
        <v>Large Anode Bed Replacement</v>
      </c>
      <c r="J74" s="81">
        <v>0</v>
      </c>
      <c r="K74" s="81">
        <v>0</v>
      </c>
      <c r="L74" s="81">
        <v>0</v>
      </c>
      <c r="M74" s="81">
        <v>0</v>
      </c>
      <c r="N74" s="81">
        <v>0</v>
      </c>
      <c r="O74" s="81">
        <v>22500</v>
      </c>
      <c r="P74" s="81">
        <v>45000</v>
      </c>
      <c r="Q74" s="81">
        <v>45000</v>
      </c>
      <c r="R74" s="81">
        <v>45000</v>
      </c>
      <c r="S74" s="81">
        <v>45000</v>
      </c>
      <c r="T74" s="81">
        <v>45000</v>
      </c>
    </row>
    <row r="75" spans="3:20" outlineLevel="1">
      <c r="D75" s="174" t="str">
        <f>Work_Codes!D278</f>
        <v>New sacrificial anode</v>
      </c>
      <c r="J75" s="81">
        <v>0</v>
      </c>
      <c r="K75" s="81">
        <v>0</v>
      </c>
      <c r="L75" s="81">
        <v>0</v>
      </c>
      <c r="M75" s="81">
        <v>0</v>
      </c>
      <c r="N75" s="81">
        <v>0</v>
      </c>
      <c r="O75" s="81">
        <v>13500</v>
      </c>
      <c r="P75" s="81">
        <v>27000</v>
      </c>
      <c r="Q75" s="81">
        <v>27000</v>
      </c>
      <c r="R75" s="81">
        <v>18000</v>
      </c>
      <c r="S75" s="81">
        <v>18000</v>
      </c>
      <c r="T75" s="81">
        <v>18000</v>
      </c>
    </row>
    <row r="76" spans="3:20" outlineLevel="1">
      <c r="D76" s="174" t="str">
        <f>Work_Codes!D279</f>
        <v>Replace Expiring Sacrificial Anode</v>
      </c>
      <c r="J76" s="81">
        <v>0</v>
      </c>
      <c r="K76" s="81">
        <v>0</v>
      </c>
      <c r="L76" s="81">
        <v>0</v>
      </c>
      <c r="M76" s="81">
        <v>0</v>
      </c>
      <c r="N76" s="81">
        <v>0</v>
      </c>
      <c r="O76" s="81">
        <v>24000</v>
      </c>
      <c r="P76" s="81">
        <v>48000</v>
      </c>
      <c r="Q76" s="81">
        <v>48000</v>
      </c>
      <c r="R76" s="81">
        <v>64000</v>
      </c>
      <c r="S76" s="81">
        <v>64000</v>
      </c>
      <c r="T76" s="81">
        <v>64000</v>
      </c>
    </row>
    <row r="77" spans="3:20" outlineLevel="1">
      <c r="D77" s="174" t="str">
        <f>Work_Codes!D280</f>
        <v>CP UNIT Remote Monitoring</v>
      </c>
      <c r="J77" s="81">
        <v>0</v>
      </c>
      <c r="K77" s="81">
        <v>0</v>
      </c>
      <c r="L77" s="81">
        <v>0</v>
      </c>
      <c r="M77" s="81">
        <v>0</v>
      </c>
      <c r="N77" s="81">
        <v>0</v>
      </c>
      <c r="O77" s="81">
        <v>30000</v>
      </c>
      <c r="P77" s="81">
        <v>60000</v>
      </c>
      <c r="Q77" s="81">
        <v>60000</v>
      </c>
      <c r="R77" s="81">
        <v>30000</v>
      </c>
      <c r="S77" s="81">
        <v>30000</v>
      </c>
      <c r="T77" s="81">
        <v>30000</v>
      </c>
    </row>
    <row r="78" spans="3:20" outlineLevel="1">
      <c r="D78" s="174" t="str">
        <f>Work_Codes!D281</f>
        <v>City Gate Remote Potential survey</v>
      </c>
      <c r="J78" s="81">
        <v>0</v>
      </c>
      <c r="K78" s="81">
        <v>0</v>
      </c>
      <c r="L78" s="81">
        <v>0</v>
      </c>
      <c r="M78" s="81">
        <v>0</v>
      </c>
      <c r="N78" s="81">
        <v>0</v>
      </c>
      <c r="O78" s="81">
        <v>7000</v>
      </c>
      <c r="P78" s="81">
        <v>14000</v>
      </c>
      <c r="Q78" s="81">
        <v>14000</v>
      </c>
      <c r="R78" s="81">
        <v>14000</v>
      </c>
      <c r="S78" s="81">
        <v>14000</v>
      </c>
      <c r="T78" s="81">
        <v>14000</v>
      </c>
    </row>
    <row r="79" spans="3:20" outlineLevel="1">
      <c r="D79" s="174" t="str">
        <f>Work_Codes!D282</f>
        <v>Miscellaneous CPS</v>
      </c>
      <c r="J79" s="81">
        <v>0</v>
      </c>
      <c r="K79" s="81">
        <v>0</v>
      </c>
      <c r="L79" s="81">
        <v>0</v>
      </c>
      <c r="M79" s="81">
        <v>0</v>
      </c>
      <c r="N79" s="81">
        <v>0</v>
      </c>
      <c r="O79" s="81">
        <v>50000</v>
      </c>
      <c r="P79" s="81">
        <v>100000</v>
      </c>
      <c r="Q79" s="81">
        <v>120000</v>
      </c>
      <c r="R79" s="81">
        <v>120000</v>
      </c>
      <c r="S79" s="81">
        <v>120000</v>
      </c>
      <c r="T79" s="81">
        <v>120000</v>
      </c>
    </row>
    <row r="80" spans="3:20" outlineLevel="1">
      <c r="D80" s="102" t="str">
        <f>Work_Codes!D283</f>
        <v>Capex Items Category 9</v>
      </c>
      <c r="J80" s="81">
        <v>0</v>
      </c>
      <c r="K80" s="81">
        <v>0</v>
      </c>
      <c r="L80" s="81">
        <v>0</v>
      </c>
      <c r="M80" s="81">
        <v>0</v>
      </c>
      <c r="N80" s="81">
        <v>202503.22321251826</v>
      </c>
      <c r="O80" s="81">
        <v>0</v>
      </c>
      <c r="P80" s="81">
        <v>0</v>
      </c>
      <c r="Q80" s="81">
        <v>0</v>
      </c>
      <c r="R80" s="81">
        <v>0</v>
      </c>
      <c r="S80" s="81">
        <v>0</v>
      </c>
      <c r="T80" s="81">
        <v>0</v>
      </c>
    </row>
    <row r="81" spans="3:20" ht="5.9" customHeight="1" outlineLevel="1">
      <c r="D81" s="37"/>
      <c r="J81" s="78"/>
      <c r="K81" s="78"/>
      <c r="L81" s="78"/>
      <c r="M81" s="78"/>
      <c r="N81" s="78"/>
      <c r="O81" s="78"/>
      <c r="P81" s="78"/>
      <c r="Q81" s="78"/>
      <c r="R81" s="78"/>
      <c r="S81" s="78"/>
      <c r="T81" s="78"/>
    </row>
    <row r="82" spans="3:20" outlineLevel="1">
      <c r="D82" s="249" t="str">
        <f>"Total "&amp;B25</f>
        <v>Total Cathodic Protection</v>
      </c>
      <c r="E82" s="249"/>
      <c r="F82" s="249"/>
      <c r="G82" s="249"/>
      <c r="H82" s="249"/>
      <c r="I82" s="249"/>
      <c r="J82" s="82">
        <f t="shared" ref="J82:T82" si="8">SUM(J72:J81)</f>
        <v>0</v>
      </c>
      <c r="K82" s="82">
        <f t="shared" si="8"/>
        <v>0</v>
      </c>
      <c r="L82" s="82">
        <f t="shared" si="8"/>
        <v>0</v>
      </c>
      <c r="M82" s="82">
        <f t="shared" si="8"/>
        <v>0</v>
      </c>
      <c r="N82" s="82">
        <f t="shared" si="8"/>
        <v>202503.22321251826</v>
      </c>
      <c r="O82" s="82">
        <f t="shared" si="8"/>
        <v>192000</v>
      </c>
      <c r="P82" s="82">
        <f t="shared" si="8"/>
        <v>384000</v>
      </c>
      <c r="Q82" s="82">
        <f t="shared" si="8"/>
        <v>404000</v>
      </c>
      <c r="R82" s="82">
        <f t="shared" si="8"/>
        <v>391000</v>
      </c>
      <c r="S82" s="82">
        <f t="shared" si="8"/>
        <v>391000</v>
      </c>
      <c r="T82" s="82">
        <f t="shared" si="8"/>
        <v>391000</v>
      </c>
    </row>
    <row r="83" spans="3:20" outlineLevel="1"/>
    <row r="84" spans="3:20" outlineLevel="1">
      <c r="C84" s="37" t="s">
        <v>286</v>
      </c>
    </row>
    <row r="85" spans="3:20" ht="5.9" customHeight="1" outlineLevel="1"/>
    <row r="86" spans="3:20" outlineLevel="1">
      <c r="D86" s="143" t="str">
        <f>Work_Codes!D287</f>
        <v>Customer Contributions Category 1</v>
      </c>
      <c r="J86" s="148">
        <v>0</v>
      </c>
      <c r="K86" s="148">
        <v>0</v>
      </c>
      <c r="L86" s="148">
        <v>0</v>
      </c>
      <c r="M86" s="148">
        <v>0</v>
      </c>
      <c r="N86" s="148">
        <v>0</v>
      </c>
      <c r="O86" s="148">
        <v>0</v>
      </c>
      <c r="P86" s="148">
        <v>0</v>
      </c>
      <c r="Q86" s="148">
        <v>0</v>
      </c>
      <c r="R86" s="148">
        <v>0</v>
      </c>
      <c r="S86" s="148">
        <v>0</v>
      </c>
      <c r="T86" s="148">
        <v>0</v>
      </c>
    </row>
    <row r="87" spans="3:20" ht="5.9" customHeight="1" outlineLevel="1"/>
    <row r="88" spans="3:20" outlineLevel="1">
      <c r="D88" s="249" t="str">
        <f>"Total "&amp;C84</f>
        <v>Total Customer Connections</v>
      </c>
      <c r="E88" s="249"/>
      <c r="F88" s="249"/>
      <c r="G88" s="249"/>
      <c r="H88" s="249"/>
      <c r="I88" s="249"/>
      <c r="J88" s="82">
        <f t="shared" ref="J88:T88" si="9">SUM(J86:J87)</f>
        <v>0</v>
      </c>
      <c r="K88" s="82">
        <f t="shared" si="9"/>
        <v>0</v>
      </c>
      <c r="L88" s="82">
        <f t="shared" si="9"/>
        <v>0</v>
      </c>
      <c r="M88" s="82">
        <f t="shared" si="9"/>
        <v>0</v>
      </c>
      <c r="N88" s="82">
        <f t="shared" si="9"/>
        <v>0</v>
      </c>
      <c r="O88" s="82">
        <f t="shared" si="9"/>
        <v>0</v>
      </c>
      <c r="P88" s="82">
        <f t="shared" si="9"/>
        <v>0</v>
      </c>
      <c r="Q88" s="82">
        <f t="shared" si="9"/>
        <v>0</v>
      </c>
      <c r="R88" s="82">
        <f t="shared" si="9"/>
        <v>0</v>
      </c>
      <c r="S88" s="82">
        <f t="shared" si="9"/>
        <v>0</v>
      </c>
      <c r="T88" s="82">
        <f t="shared" si="9"/>
        <v>0</v>
      </c>
    </row>
    <row r="89" spans="3:20" outlineLevel="1">
      <c r="C89" s="12"/>
      <c r="D89" s="12"/>
      <c r="E89" s="12"/>
      <c r="F89" s="12"/>
      <c r="G89" s="12"/>
      <c r="H89" s="12"/>
      <c r="I89" s="12"/>
      <c r="J89" s="12"/>
      <c r="K89" s="12"/>
      <c r="L89" s="12"/>
      <c r="M89" s="12"/>
      <c r="N89" s="12"/>
      <c r="O89" s="12"/>
      <c r="P89" s="12"/>
      <c r="Q89" s="12"/>
      <c r="R89" s="12"/>
      <c r="S89" s="12"/>
      <c r="T89" s="12"/>
    </row>
    <row r="90" spans="3:20" outlineLevel="1"/>
    <row r="91" spans="3:20" outlineLevel="1">
      <c r="C91" s="37" t="s">
        <v>213</v>
      </c>
    </row>
    <row r="92" spans="3:20" ht="5.9" hidden="1" customHeight="1" outlineLevel="2"/>
    <row r="93" spans="3:20" hidden="1" outlineLevel="2">
      <c r="C93" s="37" t="s">
        <v>128</v>
      </c>
    </row>
    <row r="94" spans="3:20" ht="5.9" hidden="1" customHeight="1" outlineLevel="2"/>
    <row r="95" spans="3:20" hidden="1" outlineLevel="2">
      <c r="D95" s="102" t="str">
        <f>Work_Codes!D275</f>
        <v>New CPU Installation (Small 2 Amps)</v>
      </c>
      <c r="J95" s="81">
        <f>Work_Codes!$I275*J72*J$29</f>
        <v>0</v>
      </c>
      <c r="K95" s="81">
        <f>Work_Codes!$I275*K72*K$29</f>
        <v>0</v>
      </c>
      <c r="L95" s="81">
        <f>Work_Codes!$I275*L72*L$29</f>
        <v>0</v>
      </c>
      <c r="M95" s="81">
        <f>Work_Codes!$I275*M72*M$29</f>
        <v>0</v>
      </c>
      <c r="N95" s="81">
        <f>Work_Codes!$I275*N72*N$29</f>
        <v>0</v>
      </c>
      <c r="O95" s="81">
        <f>Work_Codes!$I275*O72*O$29</f>
        <v>1407.2742930009895</v>
      </c>
      <c r="P95" s="81">
        <f>Work_Codes!$I275*P72*P$29</f>
        <v>2828.6444875936131</v>
      </c>
      <c r="Q95" s="81">
        <f>Work_Codes!$I275*Q72*Q$29</f>
        <v>2850.7004045639865</v>
      </c>
      <c r="R95" s="81">
        <f>Work_Codes!$I275*R72*R$29</f>
        <v>2882.0821922360783</v>
      </c>
      <c r="S95" s="81">
        <f>Work_Codes!$I275*S72*S$29</f>
        <v>2913.8094446914629</v>
      </c>
      <c r="T95" s="81">
        <f>Work_Codes!$I275*T72*T$29</f>
        <v>2945.8859649613041</v>
      </c>
    </row>
    <row r="96" spans="3:20" hidden="1" outlineLevel="2" collapsed="1">
      <c r="D96" s="174" t="str">
        <f>Work_Codes!D276</f>
        <v>Small Anode Bed Replacement</v>
      </c>
      <c r="J96" s="81">
        <f>Work_Codes!$I276*J73*J$29</f>
        <v>0</v>
      </c>
      <c r="K96" s="81">
        <f>Work_Codes!$I276*K73*K$29</f>
        <v>0</v>
      </c>
      <c r="L96" s="81">
        <f>Work_Codes!$I276*L73*L$29</f>
        <v>0</v>
      </c>
      <c r="M96" s="81">
        <f>Work_Codes!$I276*M73*M$29</f>
        <v>0</v>
      </c>
      <c r="N96" s="81">
        <f>Work_Codes!$I276*N73*N$29</f>
        <v>0</v>
      </c>
      <c r="O96" s="81">
        <f>Work_Codes!$I276*O73*O$29</f>
        <v>402.0783694288541</v>
      </c>
      <c r="P96" s="81">
        <f>Work_Codes!$I276*P73*P$29</f>
        <v>808.18413931246096</v>
      </c>
      <c r="Q96" s="81">
        <f>Work_Codes!$I276*Q73*Q$29</f>
        <v>814.48582987542477</v>
      </c>
      <c r="R96" s="81">
        <f>Work_Codes!$I276*R73*R$29</f>
        <v>1235.1780823868905</v>
      </c>
      <c r="S96" s="81">
        <f>Work_Codes!$I276*S73*S$29</f>
        <v>1248.7754762963411</v>
      </c>
      <c r="T96" s="81">
        <f>Work_Codes!$I276*T73*T$29</f>
        <v>1262.5225564119876</v>
      </c>
    </row>
    <row r="97" spans="3:20" hidden="1" outlineLevel="2">
      <c r="D97" s="174" t="str">
        <f>Work_Codes!D277</f>
        <v>Large Anode Bed Replacement</v>
      </c>
      <c r="J97" s="81">
        <f>Work_Codes!$I277*J74*J$29</f>
        <v>0</v>
      </c>
      <c r="K97" s="81">
        <f>Work_Codes!$I277*K74*K$29</f>
        <v>0</v>
      </c>
      <c r="L97" s="81">
        <f>Work_Codes!$I277*L74*L$29</f>
        <v>0</v>
      </c>
      <c r="M97" s="81">
        <f>Work_Codes!$I277*M74*M$29</f>
        <v>0</v>
      </c>
      <c r="N97" s="81">
        <f>Work_Codes!$I277*N74*N$29</f>
        <v>0</v>
      </c>
      <c r="O97" s="81">
        <f>Work_Codes!$I277*O74*O$29</f>
        <v>904.67633121492179</v>
      </c>
      <c r="P97" s="81">
        <f>Work_Codes!$I277*P74*P$29</f>
        <v>1818.414313453037</v>
      </c>
      <c r="Q97" s="81">
        <f>Work_Codes!$I277*Q74*Q$29</f>
        <v>1832.5931172197056</v>
      </c>
      <c r="R97" s="81">
        <f>Work_Codes!$I277*R74*R$29</f>
        <v>1852.7671235803359</v>
      </c>
      <c r="S97" s="81">
        <f>Work_Codes!$I277*S74*S$29</f>
        <v>1873.1632144445118</v>
      </c>
      <c r="T97" s="81">
        <f>Work_Codes!$I277*T74*T$29</f>
        <v>1893.7838346179813</v>
      </c>
    </row>
    <row r="98" spans="3:20" hidden="1" outlineLevel="2">
      <c r="D98" s="174" t="str">
        <f>Work_Codes!D278</f>
        <v>New sacrificial anode</v>
      </c>
      <c r="J98" s="81">
        <f>Work_Codes!$I278*J75*J$29</f>
        <v>0</v>
      </c>
      <c r="K98" s="81">
        <f>Work_Codes!$I278*K75*K$29</f>
        <v>0</v>
      </c>
      <c r="L98" s="81">
        <f>Work_Codes!$I278*L75*L$29</f>
        <v>0</v>
      </c>
      <c r="M98" s="81">
        <f>Work_Codes!$I278*M75*M$29</f>
        <v>0</v>
      </c>
      <c r="N98" s="81">
        <f>Work_Codes!$I278*N75*N$29</f>
        <v>0</v>
      </c>
      <c r="O98" s="81">
        <f>Work_Codes!$I278*O75*O$29</f>
        <v>542.80579872895305</v>
      </c>
      <c r="P98" s="81">
        <f>Work_Codes!$I278*P75*P$29</f>
        <v>1091.0485880718222</v>
      </c>
      <c r="Q98" s="81">
        <f>Work_Codes!$I278*Q75*Q$29</f>
        <v>1099.5558703318234</v>
      </c>
      <c r="R98" s="81">
        <f>Work_Codes!$I278*R75*R$29</f>
        <v>741.10684943213437</v>
      </c>
      <c r="S98" s="81">
        <f>Work_Codes!$I278*S75*S$29</f>
        <v>749.26528577780471</v>
      </c>
      <c r="T98" s="81">
        <f>Work_Codes!$I278*T75*T$29</f>
        <v>757.51353384719243</v>
      </c>
    </row>
    <row r="99" spans="3:20" hidden="1" outlineLevel="2">
      <c r="D99" s="174" t="str">
        <f>Work_Codes!D279</f>
        <v>Replace Expiring Sacrificial Anode</v>
      </c>
      <c r="J99" s="81">
        <f>Work_Codes!$I279*J76*J$29</f>
        <v>0</v>
      </c>
      <c r="K99" s="81">
        <f>Work_Codes!$I279*K76*K$29</f>
        <v>0</v>
      </c>
      <c r="L99" s="81">
        <f>Work_Codes!$I279*L76*L$29</f>
        <v>0</v>
      </c>
      <c r="M99" s="81">
        <f>Work_Codes!$I279*M76*M$29</f>
        <v>0</v>
      </c>
      <c r="N99" s="81">
        <f>Work_Codes!$I279*N76*N$29</f>
        <v>0</v>
      </c>
      <c r="O99" s="81">
        <f>Work_Codes!$I279*O76*O$29</f>
        <v>964.98808662924989</v>
      </c>
      <c r="P99" s="81">
        <f>Work_Codes!$I279*P76*P$29</f>
        <v>1939.6419343499063</v>
      </c>
      <c r="Q99" s="81">
        <f>Work_Codes!$I279*Q76*Q$29</f>
        <v>1954.7659917010194</v>
      </c>
      <c r="R99" s="81">
        <f>Work_Codes!$I279*R76*R$29</f>
        <v>2635.0465757586999</v>
      </c>
      <c r="S99" s="81">
        <f>Work_Codes!$I279*S76*S$29</f>
        <v>2664.0543494321946</v>
      </c>
      <c r="T99" s="81">
        <f>Work_Codes!$I279*T76*T$29</f>
        <v>2693.3814536789068</v>
      </c>
    </row>
    <row r="100" spans="3:20" hidden="1" outlineLevel="2">
      <c r="D100" s="174" t="str">
        <f>Work_Codes!D280</f>
        <v>CP UNIT Remote Monitoring</v>
      </c>
      <c r="J100" s="81">
        <f>Work_Codes!$I280*J77*J$29</f>
        <v>0</v>
      </c>
      <c r="K100" s="81">
        <f>Work_Codes!$I280*K77*K$29</f>
        <v>0</v>
      </c>
      <c r="L100" s="81">
        <f>Work_Codes!$I280*L77*L$29</f>
        <v>0</v>
      </c>
      <c r="M100" s="81">
        <f>Work_Codes!$I280*M77*M$29</f>
        <v>0</v>
      </c>
      <c r="N100" s="81">
        <f>Work_Codes!$I280*N77*N$29</f>
        <v>0</v>
      </c>
      <c r="O100" s="81">
        <f>Work_Codes!$I280*O77*O$29</f>
        <v>1206.2351082865623</v>
      </c>
      <c r="P100" s="81">
        <f>Work_Codes!$I280*P77*P$29</f>
        <v>2424.5524179373829</v>
      </c>
      <c r="Q100" s="81">
        <f>Work_Codes!$I280*Q77*Q$29</f>
        <v>2443.4574896262743</v>
      </c>
      <c r="R100" s="81">
        <f>Work_Codes!$I280*R77*R$29</f>
        <v>1235.1780823868905</v>
      </c>
      <c r="S100" s="81">
        <f>Work_Codes!$I280*S77*S$29</f>
        <v>1248.7754762963411</v>
      </c>
      <c r="T100" s="81">
        <f>Work_Codes!$I280*T77*T$29</f>
        <v>1262.5225564119876</v>
      </c>
    </row>
    <row r="101" spans="3:20" hidden="1" outlineLevel="2">
      <c r="D101" s="174" t="str">
        <f>Work_Codes!D281</f>
        <v>City Gate Remote Potential survey</v>
      </c>
      <c r="J101" s="81">
        <f>Work_Codes!$I281*J78*J$29</f>
        <v>0</v>
      </c>
      <c r="K101" s="81">
        <f>Work_Codes!$I281*K78*K$29</f>
        <v>0</v>
      </c>
      <c r="L101" s="81">
        <f>Work_Codes!$I281*L78*L$29</f>
        <v>0</v>
      </c>
      <c r="M101" s="81">
        <f>Work_Codes!$I281*M78*M$29</f>
        <v>0</v>
      </c>
      <c r="N101" s="81">
        <f>Work_Codes!$I281*N78*N$29</f>
        <v>0</v>
      </c>
      <c r="O101" s="81">
        <f>Work_Codes!$I281*O78*O$29</f>
        <v>281.45485860019789</v>
      </c>
      <c r="P101" s="81">
        <f>Work_Codes!$I281*P78*P$29</f>
        <v>565.72889751872265</v>
      </c>
      <c r="Q101" s="81">
        <f>Work_Codes!$I281*Q78*Q$29</f>
        <v>570.14008091279732</v>
      </c>
      <c r="R101" s="81">
        <f>Work_Codes!$I281*R78*R$29</f>
        <v>576.41643844721557</v>
      </c>
      <c r="S101" s="81">
        <f>Work_Codes!$I281*S78*S$29</f>
        <v>582.7618889382926</v>
      </c>
      <c r="T101" s="81">
        <f>Work_Codes!$I281*T78*T$29</f>
        <v>589.17719299226087</v>
      </c>
    </row>
    <row r="102" spans="3:20" hidden="1" outlineLevel="2">
      <c r="D102" s="174" t="str">
        <f>Work_Codes!D282</f>
        <v>Miscellaneous CPS</v>
      </c>
      <c r="J102" s="81">
        <f>Work_Codes!$I282*J79*J$29</f>
        <v>0</v>
      </c>
      <c r="K102" s="81">
        <f>Work_Codes!$I282*K79*K$29</f>
        <v>0</v>
      </c>
      <c r="L102" s="81">
        <f>Work_Codes!$I282*L79*L$29</f>
        <v>0</v>
      </c>
      <c r="M102" s="81">
        <f>Work_Codes!$I282*M79*M$29</f>
        <v>0</v>
      </c>
      <c r="N102" s="81">
        <f>Work_Codes!$I282*N79*N$29</f>
        <v>0</v>
      </c>
      <c r="O102" s="81">
        <f>Work_Codes!$I282*O79*O$29</f>
        <v>2010.3918471442705</v>
      </c>
      <c r="P102" s="81">
        <f>Work_Codes!$I282*P79*P$29</f>
        <v>4040.9206965623048</v>
      </c>
      <c r="Q102" s="81">
        <f>Work_Codes!$I282*Q79*Q$29</f>
        <v>4886.9149792525486</v>
      </c>
      <c r="R102" s="81">
        <f>Work_Codes!$I282*R79*R$29</f>
        <v>4940.7123295475621</v>
      </c>
      <c r="S102" s="81">
        <f>Work_Codes!$I282*S79*S$29</f>
        <v>4995.1019051853646</v>
      </c>
      <c r="T102" s="81">
        <f>Work_Codes!$I282*T79*T$29</f>
        <v>5050.0902256479503</v>
      </c>
    </row>
    <row r="103" spans="3:20" hidden="1" outlineLevel="2">
      <c r="D103" s="102" t="str">
        <f>Work_Codes!D283</f>
        <v>Capex Items Category 9</v>
      </c>
      <c r="J103" s="81">
        <f>Work_Codes!$I283*J80*J$29</f>
        <v>0</v>
      </c>
      <c r="K103" s="81">
        <f>Work_Codes!$I283*K80*K$29</f>
        <v>0</v>
      </c>
      <c r="L103" s="81">
        <f>Work_Codes!$I283*L80*L$29</f>
        <v>0</v>
      </c>
      <c r="M103" s="81">
        <f>Work_Codes!$I283*M80*M$29</f>
        <v>0</v>
      </c>
      <c r="N103" s="81">
        <f>Work_Codes!$I283*N80*N$29</f>
        <v>8100.1289285007306</v>
      </c>
      <c r="O103" s="81">
        <f>Work_Codes!$I283*O80*O$29</f>
        <v>0</v>
      </c>
      <c r="P103" s="81">
        <f>Work_Codes!$I283*P80*P$29</f>
        <v>0</v>
      </c>
      <c r="Q103" s="81">
        <f>Work_Codes!$I283*Q80*Q$29</f>
        <v>0</v>
      </c>
      <c r="R103" s="81">
        <f>Work_Codes!$I283*R80*R$29</f>
        <v>0</v>
      </c>
      <c r="S103" s="81">
        <f>Work_Codes!$I283*S80*S$29</f>
        <v>0</v>
      </c>
      <c r="T103" s="81">
        <f>Work_Codes!$I283*T80*T$29</f>
        <v>0</v>
      </c>
    </row>
    <row r="104" spans="3:20" ht="5.9" hidden="1" customHeight="1" outlineLevel="2"/>
    <row r="105" spans="3:20" hidden="1" outlineLevel="2">
      <c r="D105" s="249" t="str">
        <f>"Total "&amp;C93</f>
        <v>Total Internal Labour</v>
      </c>
      <c r="E105" s="249"/>
      <c r="F105" s="249"/>
      <c r="G105" s="249"/>
      <c r="H105" s="249"/>
      <c r="I105" s="249"/>
      <c r="J105" s="82">
        <f t="shared" ref="J105:T105" si="10">SUM(J95:J104)</f>
        <v>0</v>
      </c>
      <c r="K105" s="82">
        <f t="shared" si="10"/>
        <v>0</v>
      </c>
      <c r="L105" s="82">
        <f t="shared" si="10"/>
        <v>0</v>
      </c>
      <c r="M105" s="82">
        <f t="shared" si="10"/>
        <v>0</v>
      </c>
      <c r="N105" s="82">
        <f t="shared" si="10"/>
        <v>8100.1289285007306</v>
      </c>
      <c r="O105" s="82">
        <f t="shared" si="10"/>
        <v>7719.9046930339991</v>
      </c>
      <c r="P105" s="82">
        <f t="shared" si="10"/>
        <v>15517.13547479925</v>
      </c>
      <c r="Q105" s="82">
        <f t="shared" si="10"/>
        <v>16452.61376348358</v>
      </c>
      <c r="R105" s="82">
        <f t="shared" si="10"/>
        <v>16098.487673775806</v>
      </c>
      <c r="S105" s="82">
        <f t="shared" si="10"/>
        <v>16275.707041062313</v>
      </c>
      <c r="T105" s="82">
        <f t="shared" si="10"/>
        <v>16454.877318569572</v>
      </c>
    </row>
    <row r="106" spans="3:20" hidden="1" outlineLevel="2"/>
    <row r="107" spans="3:20" hidden="1" outlineLevel="2">
      <c r="C107" s="37" t="s">
        <v>129</v>
      </c>
    </row>
    <row r="108" spans="3:20" ht="5.9" hidden="1" customHeight="1" outlineLevel="2"/>
    <row r="109" spans="3:20" hidden="1" outlineLevel="2">
      <c r="D109" s="102" t="str">
        <f>Work_Codes!D275</f>
        <v>New CPU Installation (Small 2 Amps)</v>
      </c>
      <c r="J109" s="81">
        <f>Work_Codes!$J275*J72*J$30</f>
        <v>0</v>
      </c>
      <c r="K109" s="81">
        <f>Work_Codes!$J275*K72*K$30</f>
        <v>0</v>
      </c>
      <c r="L109" s="81">
        <f>Work_Codes!$J275*L72*L$30</f>
        <v>0</v>
      </c>
      <c r="M109" s="81">
        <f>Work_Codes!$J275*M72*M$30</f>
        <v>0</v>
      </c>
      <c r="N109" s="81">
        <f>Work_Codes!$J275*N72*N$30</f>
        <v>0</v>
      </c>
      <c r="O109" s="81">
        <f>Work_Codes!$J275*O72*O$30</f>
        <v>26600</v>
      </c>
      <c r="P109" s="81">
        <f>Work_Codes!$J275*P72*P$30</f>
        <v>53200</v>
      </c>
      <c r="Q109" s="81">
        <f>Work_Codes!$J275*Q72*Q$30</f>
        <v>53200</v>
      </c>
      <c r="R109" s="81">
        <f>Work_Codes!$J275*R72*R$30</f>
        <v>53200</v>
      </c>
      <c r="S109" s="81">
        <f>Work_Codes!$J275*S72*S$30</f>
        <v>53200</v>
      </c>
      <c r="T109" s="81">
        <f>Work_Codes!$J275*T72*T$30</f>
        <v>53200</v>
      </c>
    </row>
    <row r="110" spans="3:20" hidden="1" outlineLevel="2">
      <c r="D110" s="174" t="str">
        <f>Work_Codes!D276</f>
        <v>Small Anode Bed Replacement</v>
      </c>
      <c r="J110" s="81">
        <f>Work_Codes!$J276*J73*J$30</f>
        <v>0</v>
      </c>
      <c r="K110" s="81">
        <f>Work_Codes!$J276*K73*K$30</f>
        <v>0</v>
      </c>
      <c r="L110" s="81">
        <f>Work_Codes!$J276*L73*L$30</f>
        <v>0</v>
      </c>
      <c r="M110" s="81">
        <f>Work_Codes!$J276*M73*M$30</f>
        <v>0</v>
      </c>
      <c r="N110" s="81">
        <f>Work_Codes!$J276*N73*N$30</f>
        <v>0</v>
      </c>
      <c r="O110" s="81">
        <f>Work_Codes!$J276*O73*O$30</f>
        <v>7600</v>
      </c>
      <c r="P110" s="81">
        <f>Work_Codes!$J276*P73*P$30</f>
        <v>15200</v>
      </c>
      <c r="Q110" s="81">
        <f>Work_Codes!$J276*Q73*Q$30</f>
        <v>15200</v>
      </c>
      <c r="R110" s="81">
        <f>Work_Codes!$J276*R73*R$30</f>
        <v>22800</v>
      </c>
      <c r="S110" s="81">
        <f>Work_Codes!$J276*S73*S$30</f>
        <v>22800</v>
      </c>
      <c r="T110" s="81">
        <f>Work_Codes!$J276*T73*T$30</f>
        <v>22800</v>
      </c>
    </row>
    <row r="111" spans="3:20" hidden="1" outlineLevel="2">
      <c r="D111" s="174" t="str">
        <f>Work_Codes!D277</f>
        <v>Large Anode Bed Replacement</v>
      </c>
      <c r="J111" s="81">
        <f>Work_Codes!$J277*J74*J$30</f>
        <v>0</v>
      </c>
      <c r="K111" s="81">
        <f>Work_Codes!$J277*K74*K$30</f>
        <v>0</v>
      </c>
      <c r="L111" s="81">
        <f>Work_Codes!$J277*L74*L$30</f>
        <v>0</v>
      </c>
      <c r="M111" s="81">
        <f>Work_Codes!$J277*M74*M$30</f>
        <v>0</v>
      </c>
      <c r="N111" s="81">
        <f>Work_Codes!$J277*N74*N$30</f>
        <v>0</v>
      </c>
      <c r="O111" s="81">
        <f>Work_Codes!$J277*O74*O$30</f>
        <v>17100</v>
      </c>
      <c r="P111" s="81">
        <f>Work_Codes!$J277*P74*P$30</f>
        <v>34200</v>
      </c>
      <c r="Q111" s="81">
        <f>Work_Codes!$J277*Q74*Q$30</f>
        <v>34200</v>
      </c>
      <c r="R111" s="81">
        <f>Work_Codes!$J277*R74*R$30</f>
        <v>34200</v>
      </c>
      <c r="S111" s="81">
        <f>Work_Codes!$J277*S74*S$30</f>
        <v>34200</v>
      </c>
      <c r="T111" s="81">
        <f>Work_Codes!$J277*T74*T$30</f>
        <v>34200</v>
      </c>
    </row>
    <row r="112" spans="3:20" hidden="1" outlineLevel="2">
      <c r="D112" s="174" t="str">
        <f>Work_Codes!D278</f>
        <v>New sacrificial anode</v>
      </c>
      <c r="J112" s="81">
        <f>Work_Codes!$J278*J75*J$30</f>
        <v>0</v>
      </c>
      <c r="K112" s="81">
        <f>Work_Codes!$J278*K75*K$30</f>
        <v>0</v>
      </c>
      <c r="L112" s="81">
        <f>Work_Codes!$J278*L75*L$30</f>
        <v>0</v>
      </c>
      <c r="M112" s="81">
        <f>Work_Codes!$J278*M75*M$30</f>
        <v>0</v>
      </c>
      <c r="N112" s="81">
        <f>Work_Codes!$J278*N75*N$30</f>
        <v>0</v>
      </c>
      <c r="O112" s="81">
        <f>Work_Codes!$J278*O75*O$30</f>
        <v>10260</v>
      </c>
      <c r="P112" s="81">
        <f>Work_Codes!$J278*P75*P$30</f>
        <v>20520</v>
      </c>
      <c r="Q112" s="81">
        <f>Work_Codes!$J278*Q75*Q$30</f>
        <v>20520</v>
      </c>
      <c r="R112" s="81">
        <f>Work_Codes!$J278*R75*R$30</f>
        <v>13680</v>
      </c>
      <c r="S112" s="81">
        <f>Work_Codes!$J278*S75*S$30</f>
        <v>13680</v>
      </c>
      <c r="T112" s="81">
        <f>Work_Codes!$J278*T75*T$30</f>
        <v>13680</v>
      </c>
    </row>
    <row r="113" spans="3:20" hidden="1" outlineLevel="2">
      <c r="D113" s="174" t="str">
        <f>Work_Codes!D279</f>
        <v>Replace Expiring Sacrificial Anode</v>
      </c>
      <c r="J113" s="81">
        <f>Work_Codes!$J279*J76*J$30</f>
        <v>0</v>
      </c>
      <c r="K113" s="81">
        <f>Work_Codes!$J279*K76*K$30</f>
        <v>0</v>
      </c>
      <c r="L113" s="81">
        <f>Work_Codes!$J279*L76*L$30</f>
        <v>0</v>
      </c>
      <c r="M113" s="81">
        <f>Work_Codes!$J279*M76*M$30</f>
        <v>0</v>
      </c>
      <c r="N113" s="81">
        <f>Work_Codes!$J279*N76*N$30</f>
        <v>0</v>
      </c>
      <c r="O113" s="81">
        <f>Work_Codes!$J279*O76*O$30</f>
        <v>18240</v>
      </c>
      <c r="P113" s="81">
        <f>Work_Codes!$J279*P76*P$30</f>
        <v>36480</v>
      </c>
      <c r="Q113" s="81">
        <f>Work_Codes!$J279*Q76*Q$30</f>
        <v>36480</v>
      </c>
      <c r="R113" s="81">
        <f>Work_Codes!$J279*R76*R$30</f>
        <v>48640</v>
      </c>
      <c r="S113" s="81">
        <f>Work_Codes!$J279*S76*S$30</f>
        <v>48640</v>
      </c>
      <c r="T113" s="81">
        <f>Work_Codes!$J279*T76*T$30</f>
        <v>48640</v>
      </c>
    </row>
    <row r="114" spans="3:20" hidden="1" outlineLevel="2">
      <c r="D114" s="174" t="str">
        <f>Work_Codes!D280</f>
        <v>CP UNIT Remote Monitoring</v>
      </c>
      <c r="J114" s="81">
        <f>Work_Codes!$J280*J77*J$30</f>
        <v>0</v>
      </c>
      <c r="K114" s="81">
        <f>Work_Codes!$J280*K77*K$30</f>
        <v>0</v>
      </c>
      <c r="L114" s="81">
        <f>Work_Codes!$J280*L77*L$30</f>
        <v>0</v>
      </c>
      <c r="M114" s="81">
        <f>Work_Codes!$J280*M77*M$30</f>
        <v>0</v>
      </c>
      <c r="N114" s="81">
        <f>Work_Codes!$J280*N77*N$30</f>
        <v>0</v>
      </c>
      <c r="O114" s="81">
        <f>Work_Codes!$J280*O77*O$30</f>
        <v>22800</v>
      </c>
      <c r="P114" s="81">
        <f>Work_Codes!$J280*P77*P$30</f>
        <v>45600</v>
      </c>
      <c r="Q114" s="81">
        <f>Work_Codes!$J280*Q77*Q$30</f>
        <v>45600</v>
      </c>
      <c r="R114" s="81">
        <f>Work_Codes!$J280*R77*R$30</f>
        <v>22800</v>
      </c>
      <c r="S114" s="81">
        <f>Work_Codes!$J280*S77*S$30</f>
        <v>22800</v>
      </c>
      <c r="T114" s="81">
        <f>Work_Codes!$J280*T77*T$30</f>
        <v>22800</v>
      </c>
    </row>
    <row r="115" spans="3:20" hidden="1" outlineLevel="2">
      <c r="D115" s="174" t="str">
        <f>Work_Codes!D281</f>
        <v>City Gate Remote Potential survey</v>
      </c>
      <c r="J115" s="81">
        <f>Work_Codes!$J281*J78*J$30</f>
        <v>0</v>
      </c>
      <c r="K115" s="81">
        <f>Work_Codes!$J281*K78*K$30</f>
        <v>0</v>
      </c>
      <c r="L115" s="81">
        <f>Work_Codes!$J281*L78*L$30</f>
        <v>0</v>
      </c>
      <c r="M115" s="81">
        <f>Work_Codes!$J281*M78*M$30</f>
        <v>0</v>
      </c>
      <c r="N115" s="81">
        <f>Work_Codes!$J281*N78*N$30</f>
        <v>0</v>
      </c>
      <c r="O115" s="81">
        <f>Work_Codes!$J281*O78*O$30</f>
        <v>5320</v>
      </c>
      <c r="P115" s="81">
        <f>Work_Codes!$J281*P78*P$30</f>
        <v>10640</v>
      </c>
      <c r="Q115" s="81">
        <f>Work_Codes!$J281*Q78*Q$30</f>
        <v>10640</v>
      </c>
      <c r="R115" s="81">
        <f>Work_Codes!$J281*R78*R$30</f>
        <v>10640</v>
      </c>
      <c r="S115" s="81">
        <f>Work_Codes!$J281*S78*S$30</f>
        <v>10640</v>
      </c>
      <c r="T115" s="81">
        <f>Work_Codes!$J281*T78*T$30</f>
        <v>10640</v>
      </c>
    </row>
    <row r="116" spans="3:20" hidden="1" outlineLevel="2">
      <c r="D116" s="174" t="str">
        <f>Work_Codes!D282</f>
        <v>Miscellaneous CPS</v>
      </c>
      <c r="J116" s="81">
        <f>Work_Codes!$J282*J79*J$30</f>
        <v>0</v>
      </c>
      <c r="K116" s="81">
        <f>Work_Codes!$J282*K79*K$30</f>
        <v>0</v>
      </c>
      <c r="L116" s="81">
        <f>Work_Codes!$J282*L79*L$30</f>
        <v>0</v>
      </c>
      <c r="M116" s="81">
        <f>Work_Codes!$J282*M79*M$30</f>
        <v>0</v>
      </c>
      <c r="N116" s="81">
        <f>Work_Codes!$J282*N79*N$30</f>
        <v>0</v>
      </c>
      <c r="O116" s="81">
        <f>Work_Codes!$J282*O79*O$30</f>
        <v>38000</v>
      </c>
      <c r="P116" s="81">
        <f>Work_Codes!$J282*P79*P$30</f>
        <v>76000</v>
      </c>
      <c r="Q116" s="81">
        <f>Work_Codes!$J282*Q79*Q$30</f>
        <v>91200</v>
      </c>
      <c r="R116" s="81">
        <f>Work_Codes!$J282*R79*R$30</f>
        <v>91200</v>
      </c>
      <c r="S116" s="81">
        <f>Work_Codes!$J282*S79*S$30</f>
        <v>91200</v>
      </c>
      <c r="T116" s="81">
        <f>Work_Codes!$J282*T79*T$30</f>
        <v>91200</v>
      </c>
    </row>
    <row r="117" spans="3:20" hidden="1" outlineLevel="2">
      <c r="D117" s="102" t="str">
        <f>Work_Codes!D283</f>
        <v>Capex Items Category 9</v>
      </c>
      <c r="J117" s="81">
        <f>Work_Codes!$J283*J80*J$30</f>
        <v>0</v>
      </c>
      <c r="K117" s="81">
        <f>Work_Codes!$J283*K80*K$30</f>
        <v>0</v>
      </c>
      <c r="L117" s="81">
        <f>Work_Codes!$J283*L80*L$30</f>
        <v>0</v>
      </c>
      <c r="M117" s="81">
        <f>Work_Codes!$J283*M80*M$30</f>
        <v>0</v>
      </c>
      <c r="N117" s="81">
        <f>Work_Codes!$J283*N80*N$30</f>
        <v>153902.44964151387</v>
      </c>
      <c r="O117" s="81">
        <f>Work_Codes!$J283*O80*O$30</f>
        <v>0</v>
      </c>
      <c r="P117" s="81">
        <f>Work_Codes!$J283*P80*P$30</f>
        <v>0</v>
      </c>
      <c r="Q117" s="81">
        <f>Work_Codes!$J283*Q80*Q$30</f>
        <v>0</v>
      </c>
      <c r="R117" s="81">
        <f>Work_Codes!$J283*R80*R$30</f>
        <v>0</v>
      </c>
      <c r="S117" s="81">
        <f>Work_Codes!$J283*S80*S$30</f>
        <v>0</v>
      </c>
      <c r="T117" s="81">
        <f>Work_Codes!$J283*T80*T$30</f>
        <v>0</v>
      </c>
    </row>
    <row r="118" spans="3:20" ht="5.9" hidden="1" customHeight="1" outlineLevel="2"/>
    <row r="119" spans="3:20" hidden="1" outlineLevel="2">
      <c r="D119" s="249" t="str">
        <f>"Total "&amp;C107</f>
        <v>Total External Labour</v>
      </c>
      <c r="E119" s="249"/>
      <c r="F119" s="249"/>
      <c r="G119" s="249"/>
      <c r="H119" s="249"/>
      <c r="I119" s="249"/>
      <c r="J119" s="82">
        <f t="shared" ref="J119:T119" si="11">SUM(J109:J118)</f>
        <v>0</v>
      </c>
      <c r="K119" s="82">
        <f t="shared" si="11"/>
        <v>0</v>
      </c>
      <c r="L119" s="82">
        <f t="shared" si="11"/>
        <v>0</v>
      </c>
      <c r="M119" s="82">
        <f t="shared" si="11"/>
        <v>0</v>
      </c>
      <c r="N119" s="82">
        <f t="shared" si="11"/>
        <v>153902.44964151387</v>
      </c>
      <c r="O119" s="82">
        <f t="shared" si="11"/>
        <v>145920</v>
      </c>
      <c r="P119" s="82">
        <f t="shared" si="11"/>
        <v>291840</v>
      </c>
      <c r="Q119" s="82">
        <f t="shared" si="11"/>
        <v>307040</v>
      </c>
      <c r="R119" s="82">
        <f t="shared" si="11"/>
        <v>297160</v>
      </c>
      <c r="S119" s="82">
        <f t="shared" si="11"/>
        <v>297160</v>
      </c>
      <c r="T119" s="82">
        <f t="shared" si="11"/>
        <v>297160</v>
      </c>
    </row>
    <row r="120" spans="3:20" hidden="1" outlineLevel="2"/>
    <row r="121" spans="3:20" hidden="1" outlineLevel="2">
      <c r="C121" s="37" t="s">
        <v>130</v>
      </c>
    </row>
    <row r="122" spans="3:20" ht="5.9" hidden="1" customHeight="1" outlineLevel="2"/>
    <row r="123" spans="3:20" hidden="1" outlineLevel="2">
      <c r="D123" s="102" t="str">
        <f>Work_Codes!D275</f>
        <v>New CPU Installation (Small 2 Amps)</v>
      </c>
      <c r="J123" s="81">
        <f>Work_Codes!$K275*J72*J$31</f>
        <v>0</v>
      </c>
      <c r="K123" s="81">
        <f>Work_Codes!$K275*K72*K$31</f>
        <v>0</v>
      </c>
      <c r="L123" s="81">
        <f>Work_Codes!$K275*L72*L$31</f>
        <v>0</v>
      </c>
      <c r="M123" s="81">
        <f>Work_Codes!$K275*M72*M$31</f>
        <v>0</v>
      </c>
      <c r="N123" s="81">
        <f>Work_Codes!$K275*N72*N$31</f>
        <v>0</v>
      </c>
      <c r="O123" s="81">
        <f>Work_Codes!$K275*O72*O$31</f>
        <v>6999.9999999999982</v>
      </c>
      <c r="P123" s="81">
        <f>Work_Codes!$K275*P72*P$31</f>
        <v>13999.999999999996</v>
      </c>
      <c r="Q123" s="81">
        <f>Work_Codes!$K275*Q72*Q$31</f>
        <v>13999.999999999996</v>
      </c>
      <c r="R123" s="81">
        <f>Work_Codes!$K275*R72*R$31</f>
        <v>13999.999999999996</v>
      </c>
      <c r="S123" s="81">
        <f>Work_Codes!$K275*S72*S$31</f>
        <v>13999.999999999996</v>
      </c>
      <c r="T123" s="81">
        <f>Work_Codes!$K275*T72*T$31</f>
        <v>13999.999999999996</v>
      </c>
    </row>
    <row r="124" spans="3:20" hidden="1" outlineLevel="2">
      <c r="D124" s="174" t="str">
        <f>Work_Codes!D276</f>
        <v>Small Anode Bed Replacement</v>
      </c>
      <c r="J124" s="81">
        <f>Work_Codes!$K276*J73*J$31</f>
        <v>0</v>
      </c>
      <c r="K124" s="81">
        <f>Work_Codes!$K276*K73*K$31</f>
        <v>0</v>
      </c>
      <c r="L124" s="81">
        <f>Work_Codes!$K276*L73*L$31</f>
        <v>0</v>
      </c>
      <c r="M124" s="81">
        <f>Work_Codes!$K276*M73*M$31</f>
        <v>0</v>
      </c>
      <c r="N124" s="81">
        <f>Work_Codes!$K276*N73*N$31</f>
        <v>0</v>
      </c>
      <c r="O124" s="81">
        <f>Work_Codes!$K276*O73*O$31</f>
        <v>1999.9999999999995</v>
      </c>
      <c r="P124" s="81">
        <f>Work_Codes!$K276*P73*P$31</f>
        <v>3999.9999999999991</v>
      </c>
      <c r="Q124" s="81">
        <f>Work_Codes!$K276*Q73*Q$31</f>
        <v>3999.9999999999991</v>
      </c>
      <c r="R124" s="81">
        <f>Work_Codes!$K276*R73*R$31</f>
        <v>5999.9999999999991</v>
      </c>
      <c r="S124" s="81">
        <f>Work_Codes!$K276*S73*S$31</f>
        <v>5999.9999999999991</v>
      </c>
      <c r="T124" s="81">
        <f>Work_Codes!$K276*T73*T$31</f>
        <v>5999.9999999999991</v>
      </c>
    </row>
    <row r="125" spans="3:20" hidden="1" outlineLevel="2">
      <c r="D125" s="174" t="str">
        <f>Work_Codes!D277</f>
        <v>Large Anode Bed Replacement</v>
      </c>
      <c r="J125" s="81">
        <f>Work_Codes!$K277*J74*J$31</f>
        <v>0</v>
      </c>
      <c r="K125" s="81">
        <f>Work_Codes!$K277*K74*K$31</f>
        <v>0</v>
      </c>
      <c r="L125" s="81">
        <f>Work_Codes!$K277*L74*L$31</f>
        <v>0</v>
      </c>
      <c r="M125" s="81">
        <f>Work_Codes!$K277*M74*M$31</f>
        <v>0</v>
      </c>
      <c r="N125" s="81">
        <f>Work_Codes!$K277*N74*N$31</f>
        <v>0</v>
      </c>
      <c r="O125" s="81">
        <f>Work_Codes!$K277*O74*O$31</f>
        <v>4499.9999999999991</v>
      </c>
      <c r="P125" s="81">
        <f>Work_Codes!$K277*P74*P$31</f>
        <v>8999.9999999999982</v>
      </c>
      <c r="Q125" s="81">
        <f>Work_Codes!$K277*Q74*Q$31</f>
        <v>8999.9999999999982</v>
      </c>
      <c r="R125" s="81">
        <f>Work_Codes!$K277*R74*R$31</f>
        <v>8999.9999999999982</v>
      </c>
      <c r="S125" s="81">
        <f>Work_Codes!$K277*S74*S$31</f>
        <v>8999.9999999999982</v>
      </c>
      <c r="T125" s="81">
        <f>Work_Codes!$K277*T74*T$31</f>
        <v>8999.9999999999982</v>
      </c>
    </row>
    <row r="126" spans="3:20" hidden="1" outlineLevel="2">
      <c r="D126" s="174" t="str">
        <f>Work_Codes!D278</f>
        <v>New sacrificial anode</v>
      </c>
      <c r="J126" s="81">
        <f>Work_Codes!$K278*J75*J$31</f>
        <v>0</v>
      </c>
      <c r="K126" s="81">
        <f>Work_Codes!$K278*K75*K$31</f>
        <v>0</v>
      </c>
      <c r="L126" s="81">
        <f>Work_Codes!$K278*L75*L$31</f>
        <v>0</v>
      </c>
      <c r="M126" s="81">
        <f>Work_Codes!$K278*M75*M$31</f>
        <v>0</v>
      </c>
      <c r="N126" s="81">
        <f>Work_Codes!$K278*N75*N$31</f>
        <v>0</v>
      </c>
      <c r="O126" s="81">
        <f>Work_Codes!$K278*O75*O$31</f>
        <v>2699.9999999999995</v>
      </c>
      <c r="P126" s="81">
        <f>Work_Codes!$K278*P75*P$31</f>
        <v>5399.9999999999991</v>
      </c>
      <c r="Q126" s="81">
        <f>Work_Codes!$K278*Q75*Q$31</f>
        <v>5399.9999999999991</v>
      </c>
      <c r="R126" s="81">
        <f>Work_Codes!$K278*R75*R$31</f>
        <v>3599.9999999999991</v>
      </c>
      <c r="S126" s="81">
        <f>Work_Codes!$K278*S75*S$31</f>
        <v>3599.9999999999991</v>
      </c>
      <c r="T126" s="81">
        <f>Work_Codes!$K278*T75*T$31</f>
        <v>3599.9999999999991</v>
      </c>
    </row>
    <row r="127" spans="3:20" hidden="1" outlineLevel="2">
      <c r="D127" s="174" t="str">
        <f>Work_Codes!D279</f>
        <v>Replace Expiring Sacrificial Anode</v>
      </c>
      <c r="J127" s="81">
        <f>Work_Codes!$K279*J76*J$31</f>
        <v>0</v>
      </c>
      <c r="K127" s="81">
        <f>Work_Codes!$K279*K76*K$31</f>
        <v>0</v>
      </c>
      <c r="L127" s="81">
        <f>Work_Codes!$K279*L76*L$31</f>
        <v>0</v>
      </c>
      <c r="M127" s="81">
        <f>Work_Codes!$K279*M76*M$31</f>
        <v>0</v>
      </c>
      <c r="N127" s="81">
        <f>Work_Codes!$K279*N76*N$31</f>
        <v>0</v>
      </c>
      <c r="O127" s="81">
        <f>Work_Codes!$K279*O76*O$31</f>
        <v>4799.9999999999991</v>
      </c>
      <c r="P127" s="81">
        <f>Work_Codes!$K279*P76*P$31</f>
        <v>9599.9999999999982</v>
      </c>
      <c r="Q127" s="81">
        <f>Work_Codes!$K279*Q76*Q$31</f>
        <v>9599.9999999999982</v>
      </c>
      <c r="R127" s="81">
        <f>Work_Codes!$K279*R76*R$31</f>
        <v>12799.999999999996</v>
      </c>
      <c r="S127" s="81">
        <f>Work_Codes!$K279*S76*S$31</f>
        <v>12799.999999999996</v>
      </c>
      <c r="T127" s="81">
        <f>Work_Codes!$K279*T76*T$31</f>
        <v>12799.999999999996</v>
      </c>
    </row>
    <row r="128" spans="3:20" hidden="1" outlineLevel="2">
      <c r="D128" s="174" t="str">
        <f>Work_Codes!D280</f>
        <v>CP UNIT Remote Monitoring</v>
      </c>
      <c r="J128" s="81">
        <f>Work_Codes!$K280*J77*J$31</f>
        <v>0</v>
      </c>
      <c r="K128" s="81">
        <f>Work_Codes!$K280*K77*K$31</f>
        <v>0</v>
      </c>
      <c r="L128" s="81">
        <f>Work_Codes!$K280*L77*L$31</f>
        <v>0</v>
      </c>
      <c r="M128" s="81">
        <f>Work_Codes!$K280*M77*M$31</f>
        <v>0</v>
      </c>
      <c r="N128" s="81">
        <f>Work_Codes!$K280*N77*N$31</f>
        <v>0</v>
      </c>
      <c r="O128" s="81">
        <f>Work_Codes!$K280*O77*O$31</f>
        <v>5999.9999999999991</v>
      </c>
      <c r="P128" s="81">
        <f>Work_Codes!$K280*P77*P$31</f>
        <v>11999.999999999998</v>
      </c>
      <c r="Q128" s="81">
        <f>Work_Codes!$K280*Q77*Q$31</f>
        <v>11999.999999999998</v>
      </c>
      <c r="R128" s="81">
        <f>Work_Codes!$K280*R77*R$31</f>
        <v>5999.9999999999991</v>
      </c>
      <c r="S128" s="81">
        <f>Work_Codes!$K280*S77*S$31</f>
        <v>5999.9999999999991</v>
      </c>
      <c r="T128" s="81">
        <f>Work_Codes!$K280*T77*T$31</f>
        <v>5999.9999999999991</v>
      </c>
    </row>
    <row r="129" spans="3:20" hidden="1" outlineLevel="2">
      <c r="D129" s="174" t="str">
        <f>Work_Codes!D281</f>
        <v>City Gate Remote Potential survey</v>
      </c>
      <c r="J129" s="81">
        <f>Work_Codes!$K281*J78*J$31</f>
        <v>0</v>
      </c>
      <c r="K129" s="81">
        <f>Work_Codes!$K281*K78*K$31</f>
        <v>0</v>
      </c>
      <c r="L129" s="81">
        <f>Work_Codes!$K281*L78*L$31</f>
        <v>0</v>
      </c>
      <c r="M129" s="81">
        <f>Work_Codes!$K281*M78*M$31</f>
        <v>0</v>
      </c>
      <c r="N129" s="81">
        <f>Work_Codes!$K281*N78*N$31</f>
        <v>0</v>
      </c>
      <c r="O129" s="81">
        <f>Work_Codes!$K281*O78*O$31</f>
        <v>1399.9999999999998</v>
      </c>
      <c r="P129" s="81">
        <f>Work_Codes!$K281*P78*P$31</f>
        <v>2799.9999999999995</v>
      </c>
      <c r="Q129" s="81">
        <f>Work_Codes!$K281*Q78*Q$31</f>
        <v>2799.9999999999995</v>
      </c>
      <c r="R129" s="81">
        <f>Work_Codes!$K281*R78*R$31</f>
        <v>2799.9999999999995</v>
      </c>
      <c r="S129" s="81">
        <f>Work_Codes!$K281*S78*S$31</f>
        <v>2799.9999999999995</v>
      </c>
      <c r="T129" s="81">
        <f>Work_Codes!$K281*T78*T$31</f>
        <v>2799.9999999999995</v>
      </c>
    </row>
    <row r="130" spans="3:20" hidden="1" outlineLevel="2">
      <c r="D130" s="174" t="str">
        <f>Work_Codes!D282</f>
        <v>Miscellaneous CPS</v>
      </c>
      <c r="J130" s="81">
        <f>Work_Codes!$K282*J79*J$31</f>
        <v>0</v>
      </c>
      <c r="K130" s="81">
        <f>Work_Codes!$K282*K79*K$31</f>
        <v>0</v>
      </c>
      <c r="L130" s="81">
        <f>Work_Codes!$K282*L79*L$31</f>
        <v>0</v>
      </c>
      <c r="M130" s="81">
        <f>Work_Codes!$K282*M79*M$31</f>
        <v>0</v>
      </c>
      <c r="N130" s="81">
        <f>Work_Codes!$K282*N79*N$31</f>
        <v>0</v>
      </c>
      <c r="O130" s="81">
        <f>Work_Codes!$K282*O79*O$31</f>
        <v>9999.9999999999982</v>
      </c>
      <c r="P130" s="81">
        <f>Work_Codes!$K282*P79*P$31</f>
        <v>19999.999999999996</v>
      </c>
      <c r="Q130" s="81">
        <f>Work_Codes!$K282*Q79*Q$31</f>
        <v>23999.999999999996</v>
      </c>
      <c r="R130" s="81">
        <f>Work_Codes!$K282*R79*R$31</f>
        <v>23999.999999999996</v>
      </c>
      <c r="S130" s="81">
        <f>Work_Codes!$K282*S79*S$31</f>
        <v>23999.999999999996</v>
      </c>
      <c r="T130" s="81">
        <f>Work_Codes!$K282*T79*T$31</f>
        <v>23999.999999999996</v>
      </c>
    </row>
    <row r="131" spans="3:20" hidden="1" outlineLevel="2">
      <c r="D131" s="102" t="str">
        <f>Work_Codes!D283</f>
        <v>Capex Items Category 9</v>
      </c>
      <c r="J131" s="81">
        <f>Work_Codes!$K283*J80*J$31</f>
        <v>0</v>
      </c>
      <c r="K131" s="81">
        <f>Work_Codes!$K283*K80*K$31</f>
        <v>0</v>
      </c>
      <c r="L131" s="81">
        <f>Work_Codes!$K283*L80*L$31</f>
        <v>0</v>
      </c>
      <c r="M131" s="81">
        <f>Work_Codes!$K283*M80*M$31</f>
        <v>0</v>
      </c>
      <c r="N131" s="81">
        <f>Work_Codes!$K283*N80*N$31</f>
        <v>40500.644642503641</v>
      </c>
      <c r="O131" s="81">
        <f>Work_Codes!$K283*O80*O$31</f>
        <v>0</v>
      </c>
      <c r="P131" s="81">
        <f>Work_Codes!$K283*P80*P$31</f>
        <v>0</v>
      </c>
      <c r="Q131" s="81">
        <f>Work_Codes!$K283*Q80*Q$31</f>
        <v>0</v>
      </c>
      <c r="R131" s="81">
        <f>Work_Codes!$K283*R80*R$31</f>
        <v>0</v>
      </c>
      <c r="S131" s="81">
        <f>Work_Codes!$K283*S80*S$31</f>
        <v>0</v>
      </c>
      <c r="T131" s="81">
        <f>Work_Codes!$K283*T80*T$31</f>
        <v>0</v>
      </c>
    </row>
    <row r="132" spans="3:20" ht="5.9" hidden="1" customHeight="1" outlineLevel="2"/>
    <row r="133" spans="3:20" hidden="1" outlineLevel="2">
      <c r="D133" s="249" t="str">
        <f>"Total "&amp;C121</f>
        <v>Total Materials</v>
      </c>
      <c r="E133" s="249"/>
      <c r="F133" s="249"/>
      <c r="G133" s="249"/>
      <c r="H133" s="249"/>
      <c r="I133" s="249"/>
      <c r="J133" s="82">
        <f t="shared" ref="J133:T133" si="12">SUM(J123:J132)</f>
        <v>0</v>
      </c>
      <c r="K133" s="82">
        <f t="shared" si="12"/>
        <v>0</v>
      </c>
      <c r="L133" s="82">
        <f t="shared" si="12"/>
        <v>0</v>
      </c>
      <c r="M133" s="82">
        <f t="shared" si="12"/>
        <v>0</v>
      </c>
      <c r="N133" s="82">
        <f t="shared" si="12"/>
        <v>40500.644642503641</v>
      </c>
      <c r="O133" s="82">
        <f t="shared" si="12"/>
        <v>38399.999999999993</v>
      </c>
      <c r="P133" s="82">
        <f t="shared" si="12"/>
        <v>76799.999999999985</v>
      </c>
      <c r="Q133" s="82">
        <f t="shared" si="12"/>
        <v>80799.999999999985</v>
      </c>
      <c r="R133" s="82">
        <f t="shared" si="12"/>
        <v>78199.999999999985</v>
      </c>
      <c r="S133" s="82">
        <f t="shared" si="12"/>
        <v>78199.999999999985</v>
      </c>
      <c r="T133" s="82">
        <f t="shared" si="12"/>
        <v>78199.999999999985</v>
      </c>
    </row>
    <row r="134" spans="3:20" outlineLevel="1" collapsed="1"/>
    <row r="135" spans="3:20" outlineLevel="1">
      <c r="C135" s="37" t="s">
        <v>217</v>
      </c>
    </row>
    <row r="136" spans="3:20" ht="5.9" customHeight="1" outlineLevel="1"/>
    <row r="137" spans="3:20" outlineLevel="1">
      <c r="D137" s="102" t="str">
        <f>Work_Codes!D275</f>
        <v>New CPU Installation (Small 2 Amps)</v>
      </c>
      <c r="J137" s="81">
        <f t="shared" ref="J137:T137" si="13">J95+J109+J123</f>
        <v>0</v>
      </c>
      <c r="K137" s="81">
        <f t="shared" si="13"/>
        <v>0</v>
      </c>
      <c r="L137" s="81">
        <f t="shared" si="13"/>
        <v>0</v>
      </c>
      <c r="M137" s="81">
        <f t="shared" si="13"/>
        <v>0</v>
      </c>
      <c r="N137" s="81">
        <f t="shared" si="13"/>
        <v>0</v>
      </c>
      <c r="O137" s="81">
        <f t="shared" si="13"/>
        <v>35007.274293000984</v>
      </c>
      <c r="P137" s="81">
        <f t="shared" si="13"/>
        <v>70028.644487593614</v>
      </c>
      <c r="Q137" s="81">
        <f t="shared" si="13"/>
        <v>70050.700404563977</v>
      </c>
      <c r="R137" s="81">
        <f t="shared" si="13"/>
        <v>70082.082192236077</v>
      </c>
      <c r="S137" s="81">
        <f t="shared" si="13"/>
        <v>70113.809444691462</v>
      </c>
      <c r="T137" s="81">
        <f t="shared" si="13"/>
        <v>70145.8859649613</v>
      </c>
    </row>
    <row r="138" spans="3:20" outlineLevel="1">
      <c r="D138" s="174" t="str">
        <f>Work_Codes!D276</f>
        <v>Small Anode Bed Replacement</v>
      </c>
      <c r="J138" s="81">
        <f t="shared" ref="J138:T138" si="14">J96+J110+J124</f>
        <v>0</v>
      </c>
      <c r="K138" s="81">
        <f t="shared" si="14"/>
        <v>0</v>
      </c>
      <c r="L138" s="81">
        <f t="shared" si="14"/>
        <v>0</v>
      </c>
      <c r="M138" s="81">
        <f t="shared" si="14"/>
        <v>0</v>
      </c>
      <c r="N138" s="81">
        <f t="shared" si="14"/>
        <v>0</v>
      </c>
      <c r="O138" s="81">
        <f t="shared" si="14"/>
        <v>10002.078369428853</v>
      </c>
      <c r="P138" s="81">
        <f t="shared" si="14"/>
        <v>20008.18413931246</v>
      </c>
      <c r="Q138" s="81">
        <f t="shared" si="14"/>
        <v>20014.485829875422</v>
      </c>
      <c r="R138" s="81">
        <f t="shared" si="14"/>
        <v>30035.17808238689</v>
      </c>
      <c r="S138" s="81">
        <f t="shared" si="14"/>
        <v>30048.775476296341</v>
      </c>
      <c r="T138" s="81">
        <f t="shared" si="14"/>
        <v>30062.522556411986</v>
      </c>
    </row>
    <row r="139" spans="3:20" outlineLevel="1">
      <c r="D139" s="174" t="str">
        <f>Work_Codes!D277</f>
        <v>Large Anode Bed Replacement</v>
      </c>
      <c r="J139" s="81">
        <f t="shared" ref="J139:T139" si="15">J97+J111+J125</f>
        <v>0</v>
      </c>
      <c r="K139" s="81">
        <f t="shared" si="15"/>
        <v>0</v>
      </c>
      <c r="L139" s="81">
        <f t="shared" si="15"/>
        <v>0</v>
      </c>
      <c r="M139" s="81">
        <f t="shared" si="15"/>
        <v>0</v>
      </c>
      <c r="N139" s="81">
        <f t="shared" si="15"/>
        <v>0</v>
      </c>
      <c r="O139" s="81">
        <f t="shared" si="15"/>
        <v>22504.676331214923</v>
      </c>
      <c r="P139" s="81">
        <f t="shared" si="15"/>
        <v>45018.414313453039</v>
      </c>
      <c r="Q139" s="81">
        <f t="shared" si="15"/>
        <v>45032.593117219709</v>
      </c>
      <c r="R139" s="81">
        <f t="shared" si="15"/>
        <v>45052.767123580335</v>
      </c>
      <c r="S139" s="81">
        <f t="shared" si="15"/>
        <v>45073.16321444451</v>
      </c>
      <c r="T139" s="81">
        <f t="shared" si="15"/>
        <v>45093.783834617978</v>
      </c>
    </row>
    <row r="140" spans="3:20" outlineLevel="1">
      <c r="D140" s="174" t="str">
        <f>Work_Codes!D278</f>
        <v>New sacrificial anode</v>
      </c>
      <c r="J140" s="81">
        <f t="shared" ref="J140:T140" si="16">J98+J112+J126</f>
        <v>0</v>
      </c>
      <c r="K140" s="81">
        <f t="shared" si="16"/>
        <v>0</v>
      </c>
      <c r="L140" s="81">
        <f t="shared" si="16"/>
        <v>0</v>
      </c>
      <c r="M140" s="81">
        <f t="shared" si="16"/>
        <v>0</v>
      </c>
      <c r="N140" s="81">
        <f t="shared" si="16"/>
        <v>0</v>
      </c>
      <c r="O140" s="81">
        <f t="shared" si="16"/>
        <v>13502.805798728954</v>
      </c>
      <c r="P140" s="81">
        <f t="shared" si="16"/>
        <v>27011.048588071822</v>
      </c>
      <c r="Q140" s="81">
        <f t="shared" si="16"/>
        <v>27019.555870331824</v>
      </c>
      <c r="R140" s="81">
        <f t="shared" si="16"/>
        <v>18021.106849432133</v>
      </c>
      <c r="S140" s="81">
        <f t="shared" si="16"/>
        <v>18029.265285777805</v>
      </c>
      <c r="T140" s="81">
        <f t="shared" si="16"/>
        <v>18037.513533847192</v>
      </c>
    </row>
    <row r="141" spans="3:20" outlineLevel="1">
      <c r="D141" s="174" t="str">
        <f>Work_Codes!D279</f>
        <v>Replace Expiring Sacrificial Anode</v>
      </c>
      <c r="J141" s="81">
        <f t="shared" ref="J141:T141" si="17">J99+J113+J127</f>
        <v>0</v>
      </c>
      <c r="K141" s="81">
        <f t="shared" si="17"/>
        <v>0</v>
      </c>
      <c r="L141" s="81">
        <f t="shared" si="17"/>
        <v>0</v>
      </c>
      <c r="M141" s="81">
        <f t="shared" si="17"/>
        <v>0</v>
      </c>
      <c r="N141" s="81">
        <f t="shared" si="17"/>
        <v>0</v>
      </c>
      <c r="O141" s="81">
        <f t="shared" si="17"/>
        <v>24004.988086629251</v>
      </c>
      <c r="P141" s="81">
        <f t="shared" si="17"/>
        <v>48019.641934349907</v>
      </c>
      <c r="Q141" s="81">
        <f t="shared" si="17"/>
        <v>48034.765991701017</v>
      </c>
      <c r="R141" s="81">
        <f t="shared" si="17"/>
        <v>64075.046575758694</v>
      </c>
      <c r="S141" s="81">
        <f t="shared" si="17"/>
        <v>64104.05434943219</v>
      </c>
      <c r="T141" s="81">
        <f t="shared" si="17"/>
        <v>64133.3814536789</v>
      </c>
    </row>
    <row r="142" spans="3:20" outlineLevel="1">
      <c r="D142" s="174" t="str">
        <f>Work_Codes!D280</f>
        <v>CP UNIT Remote Monitoring</v>
      </c>
      <c r="J142" s="81">
        <f t="shared" ref="J142:T142" si="18">J100+J114+J128</f>
        <v>0</v>
      </c>
      <c r="K142" s="81">
        <f t="shared" si="18"/>
        <v>0</v>
      </c>
      <c r="L142" s="81">
        <f t="shared" si="18"/>
        <v>0</v>
      </c>
      <c r="M142" s="81">
        <f t="shared" si="18"/>
        <v>0</v>
      </c>
      <c r="N142" s="81">
        <f t="shared" si="18"/>
        <v>0</v>
      </c>
      <c r="O142" s="81">
        <f t="shared" si="18"/>
        <v>30006.235108286561</v>
      </c>
      <c r="P142" s="81">
        <f t="shared" si="18"/>
        <v>60024.552417937382</v>
      </c>
      <c r="Q142" s="81">
        <f t="shared" si="18"/>
        <v>60043.457489626271</v>
      </c>
      <c r="R142" s="81">
        <f t="shared" si="18"/>
        <v>30035.17808238689</v>
      </c>
      <c r="S142" s="81">
        <f t="shared" si="18"/>
        <v>30048.775476296341</v>
      </c>
      <c r="T142" s="81">
        <f t="shared" si="18"/>
        <v>30062.522556411986</v>
      </c>
    </row>
    <row r="143" spans="3:20" outlineLevel="1">
      <c r="D143" s="174" t="str">
        <f>Work_Codes!D281</f>
        <v>City Gate Remote Potential survey</v>
      </c>
      <c r="J143" s="81">
        <f t="shared" ref="J143:T143" si="19">J101+J115+J129</f>
        <v>0</v>
      </c>
      <c r="K143" s="81">
        <f t="shared" si="19"/>
        <v>0</v>
      </c>
      <c r="L143" s="81">
        <f t="shared" si="19"/>
        <v>0</v>
      </c>
      <c r="M143" s="81">
        <f t="shared" si="19"/>
        <v>0</v>
      </c>
      <c r="N143" s="81">
        <f t="shared" si="19"/>
        <v>0</v>
      </c>
      <c r="O143" s="81">
        <f t="shared" si="19"/>
        <v>7001.4548586001983</v>
      </c>
      <c r="P143" s="81">
        <f t="shared" si="19"/>
        <v>14005.728897518722</v>
      </c>
      <c r="Q143" s="81">
        <f t="shared" si="19"/>
        <v>14010.140080912797</v>
      </c>
      <c r="R143" s="81">
        <f t="shared" si="19"/>
        <v>14016.416438447215</v>
      </c>
      <c r="S143" s="81">
        <f t="shared" si="19"/>
        <v>14022.761888938292</v>
      </c>
      <c r="T143" s="81">
        <f t="shared" si="19"/>
        <v>14029.177192992262</v>
      </c>
    </row>
    <row r="144" spans="3:20" outlineLevel="1">
      <c r="D144" s="174" t="str">
        <f>Work_Codes!D282</f>
        <v>Miscellaneous CPS</v>
      </c>
      <c r="J144" s="81">
        <f t="shared" ref="J144:T144" si="20">J102+J116+J130</f>
        <v>0</v>
      </c>
      <c r="K144" s="81">
        <f t="shared" si="20"/>
        <v>0</v>
      </c>
      <c r="L144" s="81">
        <f t="shared" si="20"/>
        <v>0</v>
      </c>
      <c r="M144" s="81">
        <f t="shared" si="20"/>
        <v>0</v>
      </c>
      <c r="N144" s="81">
        <f t="shared" si="20"/>
        <v>0</v>
      </c>
      <c r="O144" s="81">
        <f t="shared" si="20"/>
        <v>50010.391847144274</v>
      </c>
      <c r="P144" s="81">
        <f t="shared" si="20"/>
        <v>100040.9206965623</v>
      </c>
      <c r="Q144" s="81">
        <f t="shared" si="20"/>
        <v>120086.91497925254</v>
      </c>
      <c r="R144" s="81">
        <f t="shared" si="20"/>
        <v>120140.71232954756</v>
      </c>
      <c r="S144" s="81">
        <f t="shared" si="20"/>
        <v>120195.10190518537</v>
      </c>
      <c r="T144" s="81">
        <f t="shared" si="20"/>
        <v>120250.09022564795</v>
      </c>
    </row>
    <row r="145" spans="2:20" outlineLevel="1">
      <c r="D145" s="102" t="str">
        <f>Work_Codes!D283</f>
        <v>Capex Items Category 9</v>
      </c>
      <c r="J145" s="81">
        <f t="shared" ref="J145:T145" si="21">J103+J117+J131</f>
        <v>0</v>
      </c>
      <c r="K145" s="81">
        <f t="shared" si="21"/>
        <v>0</v>
      </c>
      <c r="L145" s="81">
        <f t="shared" si="21"/>
        <v>0</v>
      </c>
      <c r="M145" s="81">
        <f t="shared" si="21"/>
        <v>0</v>
      </c>
      <c r="N145" s="81">
        <f t="shared" si="21"/>
        <v>202503.22321251823</v>
      </c>
      <c r="O145" s="81">
        <f t="shared" si="21"/>
        <v>0</v>
      </c>
      <c r="P145" s="81">
        <f t="shared" si="21"/>
        <v>0</v>
      </c>
      <c r="Q145" s="81">
        <f t="shared" si="21"/>
        <v>0</v>
      </c>
      <c r="R145" s="81">
        <f t="shared" si="21"/>
        <v>0</v>
      </c>
      <c r="S145" s="81">
        <f t="shared" si="21"/>
        <v>0</v>
      </c>
      <c r="T145" s="81">
        <f t="shared" si="21"/>
        <v>0</v>
      </c>
    </row>
    <row r="146" spans="2:20" ht="5.9" customHeight="1" outlineLevel="1"/>
    <row r="147" spans="2:20" outlineLevel="1">
      <c r="D147" s="249" t="str">
        <f>C135</f>
        <v>Total Direct Capex including Escalation (Non CPI)</v>
      </c>
      <c r="E147" s="249"/>
      <c r="F147" s="249"/>
      <c r="G147" s="249"/>
      <c r="H147" s="249"/>
      <c r="I147" s="249"/>
      <c r="J147" s="82">
        <f t="shared" ref="J147:T147" si="22">SUM(J137:J146)</f>
        <v>0</v>
      </c>
      <c r="K147" s="82">
        <f t="shared" si="22"/>
        <v>0</v>
      </c>
      <c r="L147" s="82">
        <f t="shared" si="22"/>
        <v>0</v>
      </c>
      <c r="M147" s="82">
        <f t="shared" si="22"/>
        <v>0</v>
      </c>
      <c r="N147" s="82">
        <f t="shared" si="22"/>
        <v>202503.22321251823</v>
      </c>
      <c r="O147" s="82">
        <f t="shared" si="22"/>
        <v>192039.90469303401</v>
      </c>
      <c r="P147" s="82">
        <f t="shared" si="22"/>
        <v>384157.1354747992</v>
      </c>
      <c r="Q147" s="82">
        <f t="shared" si="22"/>
        <v>404292.61376348359</v>
      </c>
      <c r="R147" s="82">
        <f t="shared" si="22"/>
        <v>391458.48767377576</v>
      </c>
      <c r="S147" s="82">
        <f t="shared" si="22"/>
        <v>391635.7070410623</v>
      </c>
      <c r="T147" s="82">
        <f t="shared" si="22"/>
        <v>391814.87731856958</v>
      </c>
    </row>
    <row r="148" spans="2:20" outlineLevel="1">
      <c r="B148" s="12"/>
      <c r="C148" s="12"/>
      <c r="D148" s="12"/>
      <c r="E148" s="12"/>
      <c r="F148" s="12"/>
      <c r="G148" s="12"/>
      <c r="H148" s="12"/>
      <c r="I148" s="12"/>
      <c r="J148" s="12"/>
      <c r="K148" s="12"/>
      <c r="L148" s="12"/>
      <c r="M148" s="12"/>
      <c r="N148" s="12"/>
      <c r="O148" s="12"/>
      <c r="P148" s="12"/>
      <c r="Q148" s="12"/>
      <c r="R148" s="12"/>
      <c r="S148" s="12"/>
      <c r="T148" s="12"/>
    </row>
    <row r="149" spans="2:20" outlineLevel="1"/>
    <row r="150" spans="2:20" outlineLevel="1">
      <c r="C150" s="37" t="s">
        <v>195</v>
      </c>
    </row>
    <row r="151" spans="2:20" ht="5.9" customHeight="1" outlineLevel="2"/>
    <row r="152" spans="2:20" outlineLevel="2">
      <c r="D152" s="37" t="s">
        <v>215</v>
      </c>
    </row>
    <row r="153" spans="2:20" ht="5.9" customHeight="1" outlineLevel="2"/>
    <row r="154" spans="2:20" ht="11.5" customHeight="1" outlineLevel="2">
      <c r="E154" s="247" t="str">
        <f>GC!C40</f>
        <v>Transmission pipelines</v>
      </c>
      <c r="F154" s="247"/>
      <c r="G154" s="247"/>
      <c r="H154" s="247"/>
      <c r="I154" s="247"/>
      <c r="J154" s="81">
        <f ca="1">SUMPRODUCT((Work_Codes!$N$272:$Y$272=$E154)*(Work_Codes!$N$275:$Y$283)*(J$137:J$145))</f>
        <v>0</v>
      </c>
      <c r="K154" s="81">
        <f ca="1">SUMPRODUCT((Work_Codes!$N$272:$Y$272=$E154)*(Work_Codes!$N$275:$Y$283)*(K$137:K$145))</f>
        <v>0</v>
      </c>
      <c r="L154" s="81">
        <f ca="1">SUMPRODUCT((Work_Codes!$N$272:$Y$272=$E154)*(Work_Codes!$N$275:$Y$283)*(L$137:L$145))</f>
        <v>0</v>
      </c>
      <c r="M154" s="81">
        <f ca="1">SUMPRODUCT((Work_Codes!$N$272:$Y$272=$E154)*(Work_Codes!$N$275:$Y$283)*(M$137:M$145))</f>
        <v>0</v>
      </c>
      <c r="N154" s="81">
        <f ca="1">SUMPRODUCT((Work_Codes!$N$272:$Y$272=$E154)*(Work_Codes!$N$275:$Y$283)*(N$137:N$145))</f>
        <v>0</v>
      </c>
      <c r="O154" s="81">
        <f ca="1">SUMPRODUCT((Work_Codes!$N$272:$Y$272=$E154)*(Work_Codes!$N$275:$Y$283)*(O$137:O$145))</f>
        <v>0</v>
      </c>
      <c r="P154" s="81">
        <f ca="1">SUMPRODUCT((Work_Codes!$N$272:$Y$272=$E154)*(Work_Codes!$N$275:$Y$283)*(P$137:P$145))</f>
        <v>0</v>
      </c>
      <c r="Q154" s="81">
        <f ca="1">SUMPRODUCT((Work_Codes!$N$272:$Y$272=$E154)*(Work_Codes!$N$275:$Y$283)*(Q$137:Q$145))</f>
        <v>0</v>
      </c>
      <c r="R154" s="81">
        <f ca="1">SUMPRODUCT((Work_Codes!$N$272:$Y$272=$E154)*(Work_Codes!$N$275:$Y$283)*(R$137:R$145))</f>
        <v>0</v>
      </c>
      <c r="S154" s="81">
        <f ca="1">SUMPRODUCT((Work_Codes!$N$272:$Y$272=$E154)*(Work_Codes!$N$275:$Y$283)*(S$137:S$145))</f>
        <v>0</v>
      </c>
      <c r="T154" s="81">
        <f ca="1">SUMPRODUCT((Work_Codes!$N$272:$Y$272=$E154)*(Work_Codes!$N$275:$Y$283)*(T$137:T$145))</f>
        <v>0</v>
      </c>
    </row>
    <row r="155" spans="2:20" ht="11.5" customHeight="1" outlineLevel="2">
      <c r="E155" s="247" t="str">
        <f>GC!C41</f>
        <v>Distribution pipelines</v>
      </c>
      <c r="F155" s="247"/>
      <c r="G155" s="247"/>
      <c r="H155" s="247"/>
      <c r="I155" s="247"/>
      <c r="J155" s="81">
        <f ca="1">SUMPRODUCT((Work_Codes!$N$272:$Y$272=$E155)*(Work_Codes!$N$275:$Y$283)*(J$137:J$145))</f>
        <v>0</v>
      </c>
      <c r="K155" s="81">
        <f ca="1">SUMPRODUCT((Work_Codes!$N$272:$Y$272=$E155)*(Work_Codes!$N$275:$Y$283)*(K$137:K$145))</f>
        <v>0</v>
      </c>
      <c r="L155" s="81">
        <f ca="1">SUMPRODUCT((Work_Codes!$N$272:$Y$272=$E155)*(Work_Codes!$N$275:$Y$283)*(L$137:L$145))</f>
        <v>0</v>
      </c>
      <c r="M155" s="81">
        <f ca="1">SUMPRODUCT((Work_Codes!$N$272:$Y$272=$E155)*(Work_Codes!$N$275:$Y$283)*(M$137:M$145))</f>
        <v>0</v>
      </c>
      <c r="N155" s="81">
        <f ca="1">SUMPRODUCT((Work_Codes!$N$272:$Y$272=$E155)*(Work_Codes!$N$275:$Y$283)*(N$137:N$145))</f>
        <v>0</v>
      </c>
      <c r="O155" s="81">
        <f ca="1">SUMPRODUCT((Work_Codes!$N$272:$Y$272=$E155)*(Work_Codes!$N$275:$Y$283)*(O$137:O$145))</f>
        <v>0</v>
      </c>
      <c r="P155" s="81">
        <f ca="1">SUMPRODUCT((Work_Codes!$N$272:$Y$272=$E155)*(Work_Codes!$N$275:$Y$283)*(P$137:P$145))</f>
        <v>0</v>
      </c>
      <c r="Q155" s="81">
        <f ca="1">SUMPRODUCT((Work_Codes!$N$272:$Y$272=$E155)*(Work_Codes!$N$275:$Y$283)*(Q$137:Q$145))</f>
        <v>0</v>
      </c>
      <c r="R155" s="81">
        <f ca="1">SUMPRODUCT((Work_Codes!$N$272:$Y$272=$E155)*(Work_Codes!$N$275:$Y$283)*(R$137:R$145))</f>
        <v>0</v>
      </c>
      <c r="S155" s="81">
        <f ca="1">SUMPRODUCT((Work_Codes!$N$272:$Y$272=$E155)*(Work_Codes!$N$275:$Y$283)*(S$137:S$145))</f>
        <v>0</v>
      </c>
      <c r="T155" s="81">
        <f ca="1">SUMPRODUCT((Work_Codes!$N$272:$Y$272=$E155)*(Work_Codes!$N$275:$Y$283)*(T$137:T$145))</f>
        <v>0</v>
      </c>
    </row>
    <row r="156" spans="2:20" ht="11.5" customHeight="1" outlineLevel="2">
      <c r="E156" s="247" t="str">
        <f>GC!C42</f>
        <v>Service pipes</v>
      </c>
      <c r="F156" s="247"/>
      <c r="G156" s="247"/>
      <c r="H156" s="247"/>
      <c r="I156" s="247"/>
      <c r="J156" s="81">
        <f ca="1">SUMPRODUCT((Work_Codes!$N$272:$Y$272=$E156)*(Work_Codes!$N$275:$Y$283)*(J$137:J$145))</f>
        <v>0</v>
      </c>
      <c r="K156" s="81">
        <f ca="1">SUMPRODUCT((Work_Codes!$N$272:$Y$272=$E156)*(Work_Codes!$N$275:$Y$283)*(K$137:K$145))</f>
        <v>0</v>
      </c>
      <c r="L156" s="81">
        <f ca="1">SUMPRODUCT((Work_Codes!$N$272:$Y$272=$E156)*(Work_Codes!$N$275:$Y$283)*(L$137:L$145))</f>
        <v>0</v>
      </c>
      <c r="M156" s="81">
        <f ca="1">SUMPRODUCT((Work_Codes!$N$272:$Y$272=$E156)*(Work_Codes!$N$275:$Y$283)*(M$137:M$145))</f>
        <v>0</v>
      </c>
      <c r="N156" s="81">
        <f ca="1">SUMPRODUCT((Work_Codes!$N$272:$Y$272=$E156)*(Work_Codes!$N$275:$Y$283)*(N$137:N$145))</f>
        <v>0</v>
      </c>
      <c r="O156" s="81">
        <f ca="1">SUMPRODUCT((Work_Codes!$N$272:$Y$272=$E156)*(Work_Codes!$N$275:$Y$283)*(O$137:O$145))</f>
        <v>0</v>
      </c>
      <c r="P156" s="81">
        <f ca="1">SUMPRODUCT((Work_Codes!$N$272:$Y$272=$E156)*(Work_Codes!$N$275:$Y$283)*(P$137:P$145))</f>
        <v>0</v>
      </c>
      <c r="Q156" s="81">
        <f ca="1">SUMPRODUCT((Work_Codes!$N$272:$Y$272=$E156)*(Work_Codes!$N$275:$Y$283)*(Q$137:Q$145))</f>
        <v>0</v>
      </c>
      <c r="R156" s="81">
        <f ca="1">SUMPRODUCT((Work_Codes!$N$272:$Y$272=$E156)*(Work_Codes!$N$275:$Y$283)*(R$137:R$145))</f>
        <v>0</v>
      </c>
      <c r="S156" s="81">
        <f ca="1">SUMPRODUCT((Work_Codes!$N$272:$Y$272=$E156)*(Work_Codes!$N$275:$Y$283)*(S$137:S$145))</f>
        <v>0</v>
      </c>
      <c r="T156" s="81">
        <f ca="1">SUMPRODUCT((Work_Codes!$N$272:$Y$272=$E156)*(Work_Codes!$N$275:$Y$283)*(T$137:T$145))</f>
        <v>0</v>
      </c>
    </row>
    <row r="157" spans="2:20" ht="11.5" customHeight="1" outlineLevel="2">
      <c r="E157" s="247" t="str">
        <f>GC!C43</f>
        <v>Cathodic protection</v>
      </c>
      <c r="F157" s="247"/>
      <c r="G157" s="247"/>
      <c r="H157" s="247"/>
      <c r="I157" s="247"/>
      <c r="J157" s="81">
        <f ca="1">SUMPRODUCT((Work_Codes!$N$272:$Y$272=$E157)*(Work_Codes!$N$275:$Y$283)*(J$137:J$145))</f>
        <v>0</v>
      </c>
      <c r="K157" s="81">
        <f ca="1">SUMPRODUCT((Work_Codes!$N$272:$Y$272=$E157)*(Work_Codes!$N$275:$Y$283)*(K$137:K$145))</f>
        <v>0</v>
      </c>
      <c r="L157" s="81">
        <f ca="1">SUMPRODUCT((Work_Codes!$N$272:$Y$272=$E157)*(Work_Codes!$N$275:$Y$283)*(L$137:L$145))</f>
        <v>0</v>
      </c>
      <c r="M157" s="81">
        <f ca="1">SUMPRODUCT((Work_Codes!$N$272:$Y$272=$E157)*(Work_Codes!$N$275:$Y$283)*(M$137:M$145))</f>
        <v>0</v>
      </c>
      <c r="N157" s="81">
        <f ca="1">SUMPRODUCT((Work_Codes!$N$272:$Y$272=$E157)*(Work_Codes!$N$275:$Y$283)*(N$137:N$145))</f>
        <v>0</v>
      </c>
      <c r="O157" s="81">
        <f ca="1">SUMPRODUCT((Work_Codes!$N$272:$Y$272=$E157)*(Work_Codes!$N$275:$Y$283)*(O$137:O$145))</f>
        <v>0</v>
      </c>
      <c r="P157" s="81">
        <f ca="1">SUMPRODUCT((Work_Codes!$N$272:$Y$272=$E157)*(Work_Codes!$N$275:$Y$283)*(P$137:P$145))</f>
        <v>0</v>
      </c>
      <c r="Q157" s="81">
        <f ca="1">SUMPRODUCT((Work_Codes!$N$272:$Y$272=$E157)*(Work_Codes!$N$275:$Y$283)*(Q$137:Q$145))</f>
        <v>0</v>
      </c>
      <c r="R157" s="81">
        <f ca="1">SUMPRODUCT((Work_Codes!$N$272:$Y$272=$E157)*(Work_Codes!$N$275:$Y$283)*(R$137:R$145))</f>
        <v>0</v>
      </c>
      <c r="S157" s="81">
        <f ca="1">SUMPRODUCT((Work_Codes!$N$272:$Y$272=$E157)*(Work_Codes!$N$275:$Y$283)*(S$137:S$145))</f>
        <v>0</v>
      </c>
      <c r="T157" s="81">
        <f ca="1">SUMPRODUCT((Work_Codes!$N$272:$Y$272=$E157)*(Work_Codes!$N$275:$Y$283)*(T$137:T$145))</f>
        <v>0</v>
      </c>
    </row>
    <row r="158" spans="2:20" ht="11.5" customHeight="1" outlineLevel="2">
      <c r="E158" s="247" t="str">
        <f>GC!C44</f>
        <v>Supply Regulators / Valve Stations</v>
      </c>
      <c r="F158" s="247"/>
      <c r="G158" s="247"/>
      <c r="H158" s="247"/>
      <c r="I158" s="247"/>
      <c r="J158" s="81">
        <f ca="1">SUMPRODUCT((Work_Codes!$N$272:$Y$272=$E158)*(Work_Codes!$N$275:$Y$283)*(J$137:J$145))</f>
        <v>0</v>
      </c>
      <c r="K158" s="81">
        <f ca="1">SUMPRODUCT((Work_Codes!$N$272:$Y$272=$E158)*(Work_Codes!$N$275:$Y$283)*(K$137:K$145))</f>
        <v>0</v>
      </c>
      <c r="L158" s="81">
        <f ca="1">SUMPRODUCT((Work_Codes!$N$272:$Y$272=$E158)*(Work_Codes!$N$275:$Y$283)*(L$137:L$145))</f>
        <v>0</v>
      </c>
      <c r="M158" s="81">
        <f ca="1">SUMPRODUCT((Work_Codes!$N$272:$Y$272=$E158)*(Work_Codes!$N$275:$Y$283)*(M$137:M$145))</f>
        <v>0</v>
      </c>
      <c r="N158" s="81">
        <f ca="1">SUMPRODUCT((Work_Codes!$N$272:$Y$272=$E158)*(Work_Codes!$N$275:$Y$283)*(N$137:N$145))</f>
        <v>0</v>
      </c>
      <c r="O158" s="81">
        <f ca="1">SUMPRODUCT((Work_Codes!$N$272:$Y$272=$E158)*(Work_Codes!$N$275:$Y$283)*(O$137:O$145))</f>
        <v>0</v>
      </c>
      <c r="P158" s="81">
        <f ca="1">SUMPRODUCT((Work_Codes!$N$272:$Y$272=$E158)*(Work_Codes!$N$275:$Y$283)*(P$137:P$145))</f>
        <v>0</v>
      </c>
      <c r="Q158" s="81">
        <f ca="1">SUMPRODUCT((Work_Codes!$N$272:$Y$272=$E158)*(Work_Codes!$N$275:$Y$283)*(Q$137:Q$145))</f>
        <v>0</v>
      </c>
      <c r="R158" s="81">
        <f ca="1">SUMPRODUCT((Work_Codes!$N$272:$Y$272=$E158)*(Work_Codes!$N$275:$Y$283)*(R$137:R$145))</f>
        <v>0</v>
      </c>
      <c r="S158" s="81">
        <f ca="1">SUMPRODUCT((Work_Codes!$N$272:$Y$272=$E158)*(Work_Codes!$N$275:$Y$283)*(S$137:S$145))</f>
        <v>0</v>
      </c>
      <c r="T158" s="81">
        <f ca="1">SUMPRODUCT((Work_Codes!$N$272:$Y$272=$E158)*(Work_Codes!$N$275:$Y$283)*(T$137:T$145))</f>
        <v>0</v>
      </c>
    </row>
    <row r="159" spans="2:20" ht="11.5" customHeight="1" outlineLevel="2">
      <c r="E159" s="247" t="str">
        <f>GC!C45</f>
        <v>Meters</v>
      </c>
      <c r="F159" s="247"/>
      <c r="G159" s="247"/>
      <c r="H159" s="247"/>
      <c r="I159" s="247"/>
      <c r="J159" s="81">
        <f ca="1">SUMPRODUCT((Work_Codes!$N$272:$Y$272=$E159)*(Work_Codes!$N$275:$Y$283)*(J$137:J$145))</f>
        <v>0</v>
      </c>
      <c r="K159" s="81">
        <f ca="1">SUMPRODUCT((Work_Codes!$N$272:$Y$272=$E159)*(Work_Codes!$N$275:$Y$283)*(K$137:K$145))</f>
        <v>0</v>
      </c>
      <c r="L159" s="81">
        <f ca="1">SUMPRODUCT((Work_Codes!$N$272:$Y$272=$E159)*(Work_Codes!$N$275:$Y$283)*(L$137:L$145))</f>
        <v>0</v>
      </c>
      <c r="M159" s="81">
        <f ca="1">SUMPRODUCT((Work_Codes!$N$272:$Y$272=$E159)*(Work_Codes!$N$275:$Y$283)*(M$137:M$145))</f>
        <v>0</v>
      </c>
      <c r="N159" s="81">
        <f ca="1">SUMPRODUCT((Work_Codes!$N$272:$Y$272=$E159)*(Work_Codes!$N$275:$Y$283)*(N$137:N$145))</f>
        <v>0</v>
      </c>
      <c r="O159" s="81">
        <f ca="1">SUMPRODUCT((Work_Codes!$N$272:$Y$272=$E159)*(Work_Codes!$N$275:$Y$283)*(O$137:O$145))</f>
        <v>0</v>
      </c>
      <c r="P159" s="81">
        <f ca="1">SUMPRODUCT((Work_Codes!$N$272:$Y$272=$E159)*(Work_Codes!$N$275:$Y$283)*(P$137:P$145))</f>
        <v>0</v>
      </c>
      <c r="Q159" s="81">
        <f ca="1">SUMPRODUCT((Work_Codes!$N$272:$Y$272=$E159)*(Work_Codes!$N$275:$Y$283)*(Q$137:Q$145))</f>
        <v>0</v>
      </c>
      <c r="R159" s="81">
        <f ca="1">SUMPRODUCT((Work_Codes!$N$272:$Y$272=$E159)*(Work_Codes!$N$275:$Y$283)*(R$137:R$145))</f>
        <v>0</v>
      </c>
      <c r="S159" s="81">
        <f ca="1">SUMPRODUCT((Work_Codes!$N$272:$Y$272=$E159)*(Work_Codes!$N$275:$Y$283)*(S$137:S$145))</f>
        <v>0</v>
      </c>
      <c r="T159" s="81">
        <f ca="1">SUMPRODUCT((Work_Codes!$N$272:$Y$272=$E159)*(Work_Codes!$N$275:$Y$283)*(T$137:T$145))</f>
        <v>0</v>
      </c>
    </row>
    <row r="160" spans="2:20" ht="11.5" customHeight="1" outlineLevel="2">
      <c r="E160" s="247" t="str">
        <f>GC!C46</f>
        <v>SCADA and remote control</v>
      </c>
      <c r="F160" s="247"/>
      <c r="G160" s="247"/>
      <c r="H160" s="247"/>
      <c r="I160" s="247"/>
      <c r="J160" s="81">
        <f ca="1">SUMPRODUCT((Work_Codes!$N$272:$Y$272=$E160)*(Work_Codes!$N$275:$Y$283)*(J$137:J$145))</f>
        <v>0</v>
      </c>
      <c r="K160" s="81">
        <f ca="1">SUMPRODUCT((Work_Codes!$N$272:$Y$272=$E160)*(Work_Codes!$N$275:$Y$283)*(K$137:K$145))</f>
        <v>0</v>
      </c>
      <c r="L160" s="81">
        <f ca="1">SUMPRODUCT((Work_Codes!$N$272:$Y$272=$E160)*(Work_Codes!$N$275:$Y$283)*(L$137:L$145))</f>
        <v>0</v>
      </c>
      <c r="M160" s="81">
        <f ca="1">SUMPRODUCT((Work_Codes!$N$272:$Y$272=$E160)*(Work_Codes!$N$275:$Y$283)*(M$137:M$145))</f>
        <v>0</v>
      </c>
      <c r="N160" s="81">
        <f ca="1">SUMPRODUCT((Work_Codes!$N$272:$Y$272=$E160)*(Work_Codes!$N$275:$Y$283)*(N$137:N$145))</f>
        <v>0</v>
      </c>
      <c r="O160" s="81">
        <f ca="1">SUMPRODUCT((Work_Codes!$N$272:$Y$272=$E160)*(Work_Codes!$N$275:$Y$283)*(O$137:O$145))</f>
        <v>0</v>
      </c>
      <c r="P160" s="81">
        <f ca="1">SUMPRODUCT((Work_Codes!$N$272:$Y$272=$E160)*(Work_Codes!$N$275:$Y$283)*(P$137:P$145))</f>
        <v>0</v>
      </c>
      <c r="Q160" s="81">
        <f ca="1">SUMPRODUCT((Work_Codes!$N$272:$Y$272=$E160)*(Work_Codes!$N$275:$Y$283)*(Q$137:Q$145))</f>
        <v>0</v>
      </c>
      <c r="R160" s="81">
        <f ca="1">SUMPRODUCT((Work_Codes!$N$272:$Y$272=$E160)*(Work_Codes!$N$275:$Y$283)*(R$137:R$145))</f>
        <v>0</v>
      </c>
      <c r="S160" s="81">
        <f ca="1">SUMPRODUCT((Work_Codes!$N$272:$Y$272=$E160)*(Work_Codes!$N$275:$Y$283)*(S$137:S$145))</f>
        <v>0</v>
      </c>
      <c r="T160" s="81">
        <f ca="1">SUMPRODUCT((Work_Codes!$N$272:$Y$272=$E160)*(Work_Codes!$N$275:$Y$283)*(T$137:T$145))</f>
        <v>0</v>
      </c>
    </row>
    <row r="161" spans="4:20" ht="11.5" customHeight="1" outlineLevel="2">
      <c r="E161" s="247" t="str">
        <f>GC!C47</f>
        <v>Buildings</v>
      </c>
      <c r="F161" s="247"/>
      <c r="G161" s="247"/>
      <c r="H161" s="247"/>
      <c r="I161" s="247"/>
      <c r="J161" s="81">
        <f ca="1">SUMPRODUCT((Work_Codes!$N$272:$Y$272=$E161)*(Work_Codes!$N$275:$Y$283)*(J$137:J$145))</f>
        <v>0</v>
      </c>
      <c r="K161" s="81">
        <f ca="1">SUMPRODUCT((Work_Codes!$N$272:$Y$272=$E161)*(Work_Codes!$N$275:$Y$283)*(K$137:K$145))</f>
        <v>0</v>
      </c>
      <c r="L161" s="81">
        <f ca="1">SUMPRODUCT((Work_Codes!$N$272:$Y$272=$E161)*(Work_Codes!$N$275:$Y$283)*(L$137:L$145))</f>
        <v>0</v>
      </c>
      <c r="M161" s="81">
        <f ca="1">SUMPRODUCT((Work_Codes!$N$272:$Y$272=$E161)*(Work_Codes!$N$275:$Y$283)*(M$137:M$145))</f>
        <v>0</v>
      </c>
      <c r="N161" s="81">
        <f ca="1">SUMPRODUCT((Work_Codes!$N$272:$Y$272=$E161)*(Work_Codes!$N$275:$Y$283)*(N$137:N$145))</f>
        <v>0</v>
      </c>
      <c r="O161" s="81">
        <f ca="1">SUMPRODUCT((Work_Codes!$N$272:$Y$272=$E161)*(Work_Codes!$N$275:$Y$283)*(O$137:O$145))</f>
        <v>0</v>
      </c>
      <c r="P161" s="81">
        <f ca="1">SUMPRODUCT((Work_Codes!$N$272:$Y$272=$E161)*(Work_Codes!$N$275:$Y$283)*(P$137:P$145))</f>
        <v>0</v>
      </c>
      <c r="Q161" s="81">
        <f ca="1">SUMPRODUCT((Work_Codes!$N$272:$Y$272=$E161)*(Work_Codes!$N$275:$Y$283)*(Q$137:Q$145))</f>
        <v>0</v>
      </c>
      <c r="R161" s="81">
        <f ca="1">SUMPRODUCT((Work_Codes!$N$272:$Y$272=$E161)*(Work_Codes!$N$275:$Y$283)*(R$137:R$145))</f>
        <v>0</v>
      </c>
      <c r="S161" s="81">
        <f ca="1">SUMPRODUCT((Work_Codes!$N$272:$Y$272=$E161)*(Work_Codes!$N$275:$Y$283)*(S$137:S$145))</f>
        <v>0</v>
      </c>
      <c r="T161" s="81">
        <f ca="1">SUMPRODUCT((Work_Codes!$N$272:$Y$272=$E161)*(Work_Codes!$N$275:$Y$283)*(T$137:T$145))</f>
        <v>0</v>
      </c>
    </row>
    <row r="162" spans="4:20" ht="11.5" customHeight="1" outlineLevel="2">
      <c r="E162" s="247" t="str">
        <f>GC!C48</f>
        <v>Other - IT</v>
      </c>
      <c r="F162" s="247"/>
      <c r="G162" s="247"/>
      <c r="H162" s="247"/>
      <c r="I162" s="247"/>
      <c r="J162" s="81">
        <f ca="1">SUMPRODUCT((Work_Codes!$N$272:$Y$272=$E162)*(Work_Codes!$N$275:$Y$283)*(J$137:J$145))</f>
        <v>0</v>
      </c>
      <c r="K162" s="81">
        <f ca="1">SUMPRODUCT((Work_Codes!$N$272:$Y$272=$E162)*(Work_Codes!$N$275:$Y$283)*(K$137:K$145))</f>
        <v>0</v>
      </c>
      <c r="L162" s="81">
        <f ca="1">SUMPRODUCT((Work_Codes!$N$272:$Y$272=$E162)*(Work_Codes!$N$275:$Y$283)*(L$137:L$145))</f>
        <v>0</v>
      </c>
      <c r="M162" s="81">
        <f ca="1">SUMPRODUCT((Work_Codes!$N$272:$Y$272=$E162)*(Work_Codes!$N$275:$Y$283)*(M$137:M$145))</f>
        <v>0</v>
      </c>
      <c r="N162" s="81">
        <f ca="1">SUMPRODUCT((Work_Codes!$N$272:$Y$272=$E162)*(Work_Codes!$N$275:$Y$283)*(N$137:N$145))</f>
        <v>0</v>
      </c>
      <c r="O162" s="81">
        <f ca="1">SUMPRODUCT((Work_Codes!$N$272:$Y$272=$E162)*(Work_Codes!$N$275:$Y$283)*(O$137:O$145))</f>
        <v>0</v>
      </c>
      <c r="P162" s="81">
        <f ca="1">SUMPRODUCT((Work_Codes!$N$272:$Y$272=$E162)*(Work_Codes!$N$275:$Y$283)*(P$137:P$145))</f>
        <v>0</v>
      </c>
      <c r="Q162" s="81">
        <f ca="1">SUMPRODUCT((Work_Codes!$N$272:$Y$272=$E162)*(Work_Codes!$N$275:$Y$283)*(Q$137:Q$145))</f>
        <v>0</v>
      </c>
      <c r="R162" s="81">
        <f ca="1">SUMPRODUCT((Work_Codes!$N$272:$Y$272=$E162)*(Work_Codes!$N$275:$Y$283)*(R$137:R$145))</f>
        <v>0</v>
      </c>
      <c r="S162" s="81">
        <f ca="1">SUMPRODUCT((Work_Codes!$N$272:$Y$272=$E162)*(Work_Codes!$N$275:$Y$283)*(S$137:S$145))</f>
        <v>0</v>
      </c>
      <c r="T162" s="81">
        <f ca="1">SUMPRODUCT((Work_Codes!$N$272:$Y$272=$E162)*(Work_Codes!$N$275:$Y$283)*(T$137:T$145))</f>
        <v>0</v>
      </c>
    </row>
    <row r="163" spans="4:20" ht="11.5" customHeight="1" outlineLevel="2">
      <c r="E163" s="247" t="str">
        <f>GC!C49</f>
        <v>Other - non IT</v>
      </c>
      <c r="F163" s="247"/>
      <c r="G163" s="247"/>
      <c r="H163" s="247"/>
      <c r="I163" s="247"/>
      <c r="J163" s="81">
        <f ca="1">SUMPRODUCT((Work_Codes!$N$272:$Y$272=$E163)*(Work_Codes!$N$275:$Y$283)*(J$137:J$145))</f>
        <v>0</v>
      </c>
      <c r="K163" s="81">
        <f ca="1">SUMPRODUCT((Work_Codes!$N$272:$Y$272=$E163)*(Work_Codes!$N$275:$Y$283)*(K$137:K$145))</f>
        <v>0</v>
      </c>
      <c r="L163" s="81">
        <f ca="1">SUMPRODUCT((Work_Codes!$N$272:$Y$272=$E163)*(Work_Codes!$N$275:$Y$283)*(L$137:L$145))</f>
        <v>0</v>
      </c>
      <c r="M163" s="81">
        <f ca="1">SUMPRODUCT((Work_Codes!$N$272:$Y$272=$E163)*(Work_Codes!$N$275:$Y$283)*(M$137:M$145))</f>
        <v>0</v>
      </c>
      <c r="N163" s="81">
        <f ca="1">SUMPRODUCT((Work_Codes!$N$272:$Y$272=$E163)*(Work_Codes!$N$275:$Y$283)*(N$137:N$145))</f>
        <v>0</v>
      </c>
      <c r="O163" s="81">
        <f ca="1">SUMPRODUCT((Work_Codes!$N$272:$Y$272=$E163)*(Work_Codes!$N$275:$Y$283)*(O$137:O$145))</f>
        <v>0</v>
      </c>
      <c r="P163" s="81">
        <f ca="1">SUMPRODUCT((Work_Codes!$N$272:$Y$272=$E163)*(Work_Codes!$N$275:$Y$283)*(P$137:P$145))</f>
        <v>0</v>
      </c>
      <c r="Q163" s="81">
        <f ca="1">SUMPRODUCT((Work_Codes!$N$272:$Y$272=$E163)*(Work_Codes!$N$275:$Y$283)*(Q$137:Q$145))</f>
        <v>0</v>
      </c>
      <c r="R163" s="81">
        <f ca="1">SUMPRODUCT((Work_Codes!$N$272:$Y$272=$E163)*(Work_Codes!$N$275:$Y$283)*(R$137:R$145))</f>
        <v>0</v>
      </c>
      <c r="S163" s="81">
        <f ca="1">SUMPRODUCT((Work_Codes!$N$272:$Y$272=$E163)*(Work_Codes!$N$275:$Y$283)*(S$137:S$145))</f>
        <v>0</v>
      </c>
      <c r="T163" s="81">
        <f ca="1">SUMPRODUCT((Work_Codes!$N$272:$Y$272=$E163)*(Work_Codes!$N$275:$Y$283)*(T$137:T$145))</f>
        <v>0</v>
      </c>
    </row>
    <row r="164" spans="4:20" ht="11.5" customHeight="1" outlineLevel="2">
      <c r="E164" s="247" t="str">
        <f>GC!C50</f>
        <v>Land</v>
      </c>
      <c r="F164" s="247"/>
      <c r="G164" s="247"/>
      <c r="H164" s="247"/>
      <c r="I164" s="247"/>
      <c r="J164" s="81">
        <f ca="1">SUMPRODUCT((Work_Codes!$N$272:$Y$272=$E164)*(Work_Codes!$N$275:$Y$283)*(J$137:J$145))</f>
        <v>0</v>
      </c>
      <c r="K164" s="81">
        <f ca="1">SUMPRODUCT((Work_Codes!$N$272:$Y$272=$E164)*(Work_Codes!$N$275:$Y$283)*(K$137:K$145))</f>
        <v>0</v>
      </c>
      <c r="L164" s="81">
        <f ca="1">SUMPRODUCT((Work_Codes!$N$272:$Y$272=$E164)*(Work_Codes!$N$275:$Y$283)*(L$137:L$145))</f>
        <v>0</v>
      </c>
      <c r="M164" s="81">
        <f ca="1">SUMPRODUCT((Work_Codes!$N$272:$Y$272=$E164)*(Work_Codes!$N$275:$Y$283)*(M$137:M$145))</f>
        <v>0</v>
      </c>
      <c r="N164" s="81">
        <f ca="1">SUMPRODUCT((Work_Codes!$N$272:$Y$272=$E164)*(Work_Codes!$N$275:$Y$283)*(N$137:N$145))</f>
        <v>0</v>
      </c>
      <c r="O164" s="81">
        <f ca="1">SUMPRODUCT((Work_Codes!$N$272:$Y$272=$E164)*(Work_Codes!$N$275:$Y$283)*(O$137:O$145))</f>
        <v>0</v>
      </c>
      <c r="P164" s="81">
        <f ca="1">SUMPRODUCT((Work_Codes!$N$272:$Y$272=$E164)*(Work_Codes!$N$275:$Y$283)*(P$137:P$145))</f>
        <v>0</v>
      </c>
      <c r="Q164" s="81">
        <f ca="1">SUMPRODUCT((Work_Codes!$N$272:$Y$272=$E164)*(Work_Codes!$N$275:$Y$283)*(Q$137:Q$145))</f>
        <v>0</v>
      </c>
      <c r="R164" s="81">
        <f ca="1">SUMPRODUCT((Work_Codes!$N$272:$Y$272=$E164)*(Work_Codes!$N$275:$Y$283)*(R$137:R$145))</f>
        <v>0</v>
      </c>
      <c r="S164" s="81">
        <f ca="1">SUMPRODUCT((Work_Codes!$N$272:$Y$272=$E164)*(Work_Codes!$N$275:$Y$283)*(S$137:S$145))</f>
        <v>0</v>
      </c>
      <c r="T164" s="81">
        <f ca="1">SUMPRODUCT((Work_Codes!$N$272:$Y$272=$E164)*(Work_Codes!$N$275:$Y$283)*(T$137:T$145))</f>
        <v>0</v>
      </c>
    </row>
    <row r="165" spans="4:20" outlineLevel="2">
      <c r="E165" s="247" t="str">
        <f>GC!C51</f>
        <v>Capitalised Leases</v>
      </c>
      <c r="F165" s="247"/>
      <c r="G165" s="247"/>
      <c r="H165" s="247"/>
      <c r="I165" s="247"/>
      <c r="J165" s="81">
        <f ca="1">SUMPRODUCT((Work_Codes!$N$272:$Y$272=$E165)*(Work_Codes!$N$275:$Y$283)*(J$137:J$145))</f>
        <v>0</v>
      </c>
      <c r="K165" s="81">
        <f ca="1">SUMPRODUCT((Work_Codes!$N$272:$Y$272=$E165)*(Work_Codes!$N$275:$Y$283)*(K$137:K$145))</f>
        <v>0</v>
      </c>
      <c r="L165" s="81">
        <f ca="1">SUMPRODUCT((Work_Codes!$N$272:$Y$272=$E165)*(Work_Codes!$N$275:$Y$283)*(L$137:L$145))</f>
        <v>0</v>
      </c>
      <c r="M165" s="81">
        <f ca="1">SUMPRODUCT((Work_Codes!$N$272:$Y$272=$E165)*(Work_Codes!$N$275:$Y$283)*(M$137:M$145))</f>
        <v>0</v>
      </c>
      <c r="N165" s="81">
        <f ca="1">SUMPRODUCT((Work_Codes!$N$272:$Y$272=$E165)*(Work_Codes!$N$275:$Y$283)*(N$137:N$145))</f>
        <v>0</v>
      </c>
      <c r="O165" s="81">
        <f ca="1">SUMPRODUCT((Work_Codes!$N$272:$Y$272=$E165)*(Work_Codes!$N$275:$Y$283)*(O$137:O$145))</f>
        <v>0</v>
      </c>
      <c r="P165" s="81">
        <f ca="1">SUMPRODUCT((Work_Codes!$N$272:$Y$272=$E165)*(Work_Codes!$N$275:$Y$283)*(P$137:P$145))</f>
        <v>0</v>
      </c>
      <c r="Q165" s="81">
        <f ca="1">SUMPRODUCT((Work_Codes!$N$272:$Y$272=$E165)*(Work_Codes!$N$275:$Y$283)*(Q$137:Q$145))</f>
        <v>0</v>
      </c>
      <c r="R165" s="81">
        <f ca="1">SUMPRODUCT((Work_Codes!$N$272:$Y$272=$E165)*(Work_Codes!$N$275:$Y$283)*(R$137:R$145))</f>
        <v>0</v>
      </c>
      <c r="S165" s="81">
        <f ca="1">SUMPRODUCT((Work_Codes!$N$272:$Y$272=$E165)*(Work_Codes!$N$275:$Y$283)*(S$137:S$145))</f>
        <v>0</v>
      </c>
      <c r="T165" s="81">
        <f ca="1">SUMPRODUCT((Work_Codes!$N$272:$Y$272=$E165)*(Work_Codes!$N$275:$Y$283)*(T$137:T$145))</f>
        <v>0</v>
      </c>
    </row>
    <row r="166" spans="4:20" outlineLevel="2">
      <c r="E166" s="247" t="str">
        <f>GC!C52</f>
        <v>Transmission pipelines - post 1998</v>
      </c>
      <c r="F166" s="247"/>
      <c r="G166" s="247"/>
      <c r="H166" s="247"/>
      <c r="I166" s="247"/>
      <c r="J166" s="81">
        <f ca="1">SUMPRODUCT((Work_Codes!$N$272:$Y$272=$E166)*(Work_Codes!$N$275:$Y$283)*(J$137:J$145))</f>
        <v>0</v>
      </c>
      <c r="K166" s="81">
        <f ca="1">SUMPRODUCT((Work_Codes!$N$272:$Y$272=$E166)*(Work_Codes!$N$275:$Y$283)*(K$137:K$145))</f>
        <v>0</v>
      </c>
      <c r="L166" s="81">
        <f ca="1">SUMPRODUCT((Work_Codes!$N$272:$Y$272=$E166)*(Work_Codes!$N$275:$Y$283)*(L$137:L$145))</f>
        <v>0</v>
      </c>
      <c r="M166" s="81">
        <f ca="1">SUMPRODUCT((Work_Codes!$N$272:$Y$272=$E166)*(Work_Codes!$N$275:$Y$283)*(M$137:M$145))</f>
        <v>0</v>
      </c>
      <c r="N166" s="81">
        <f ca="1">SUMPRODUCT((Work_Codes!$N$272:$Y$272=$E166)*(Work_Codes!$N$275:$Y$283)*(N$137:N$145))</f>
        <v>0</v>
      </c>
      <c r="O166" s="81">
        <f ca="1">SUMPRODUCT((Work_Codes!$N$272:$Y$272=$E166)*(Work_Codes!$N$275:$Y$283)*(O$137:O$145))</f>
        <v>0</v>
      </c>
      <c r="P166" s="81">
        <f ca="1">SUMPRODUCT((Work_Codes!$N$272:$Y$272=$E166)*(Work_Codes!$N$275:$Y$283)*(P$137:P$145))</f>
        <v>0</v>
      </c>
      <c r="Q166" s="81">
        <f ca="1">SUMPRODUCT((Work_Codes!$N$272:$Y$272=$E166)*(Work_Codes!$N$275:$Y$283)*(Q$137:Q$145))</f>
        <v>0</v>
      </c>
      <c r="R166" s="81">
        <f ca="1">SUMPRODUCT((Work_Codes!$N$272:$Y$272=$E166)*(Work_Codes!$N$275:$Y$283)*(R$137:R$145))</f>
        <v>0</v>
      </c>
      <c r="S166" s="81">
        <f ca="1">SUMPRODUCT((Work_Codes!$N$272:$Y$272=$E166)*(Work_Codes!$N$275:$Y$283)*(S$137:S$145))</f>
        <v>0</v>
      </c>
      <c r="T166" s="81">
        <f ca="1">SUMPRODUCT((Work_Codes!$N$272:$Y$272=$E166)*(Work_Codes!$N$275:$Y$283)*(T$137:T$145))</f>
        <v>0</v>
      </c>
    </row>
    <row r="167" spans="4:20" outlineLevel="2">
      <c r="E167" s="247" t="str">
        <f>GC!C53</f>
        <v>Distribution pipelines - post 1998</v>
      </c>
      <c r="F167" s="247"/>
      <c r="G167" s="247"/>
      <c r="H167" s="247"/>
      <c r="I167" s="247"/>
      <c r="J167" s="81">
        <f ca="1">SUMPRODUCT((Work_Codes!$N$272:$Y$272=$E167)*(Work_Codes!$N$275:$Y$283)*(J$137:J$145))</f>
        <v>0</v>
      </c>
      <c r="K167" s="81">
        <f ca="1">SUMPRODUCT((Work_Codes!$N$272:$Y$272=$E167)*(Work_Codes!$N$275:$Y$283)*(K$137:K$145))</f>
        <v>0</v>
      </c>
      <c r="L167" s="81">
        <f ca="1">SUMPRODUCT((Work_Codes!$N$272:$Y$272=$E167)*(Work_Codes!$N$275:$Y$283)*(L$137:L$145))</f>
        <v>0</v>
      </c>
      <c r="M167" s="81">
        <f ca="1">SUMPRODUCT((Work_Codes!$N$272:$Y$272=$E167)*(Work_Codes!$N$275:$Y$283)*(M$137:M$145))</f>
        <v>0</v>
      </c>
      <c r="N167" s="81">
        <f ca="1">SUMPRODUCT((Work_Codes!$N$272:$Y$272=$E167)*(Work_Codes!$N$275:$Y$283)*(N$137:N$145))</f>
        <v>0</v>
      </c>
      <c r="O167" s="81">
        <f ca="1">SUMPRODUCT((Work_Codes!$N$272:$Y$272=$E167)*(Work_Codes!$N$275:$Y$283)*(O$137:O$145))</f>
        <v>0</v>
      </c>
      <c r="P167" s="81">
        <f ca="1">SUMPRODUCT((Work_Codes!$N$272:$Y$272=$E167)*(Work_Codes!$N$275:$Y$283)*(P$137:P$145))</f>
        <v>0</v>
      </c>
      <c r="Q167" s="81">
        <f ca="1">SUMPRODUCT((Work_Codes!$N$272:$Y$272=$E167)*(Work_Codes!$N$275:$Y$283)*(Q$137:Q$145))</f>
        <v>0</v>
      </c>
      <c r="R167" s="81">
        <f ca="1">SUMPRODUCT((Work_Codes!$N$272:$Y$272=$E167)*(Work_Codes!$N$275:$Y$283)*(R$137:R$145))</f>
        <v>0</v>
      </c>
      <c r="S167" s="81">
        <f ca="1">SUMPRODUCT((Work_Codes!$N$272:$Y$272=$E167)*(Work_Codes!$N$275:$Y$283)*(S$137:S$145))</f>
        <v>0</v>
      </c>
      <c r="T167" s="81">
        <f ca="1">SUMPRODUCT((Work_Codes!$N$272:$Y$272=$E167)*(Work_Codes!$N$275:$Y$283)*(T$137:T$145))</f>
        <v>0</v>
      </c>
    </row>
    <row r="168" spans="4:20" outlineLevel="2">
      <c r="E168" s="247" t="str">
        <f>GC!C54</f>
        <v>Service pipes - post 1998</v>
      </c>
      <c r="F168" s="247"/>
      <c r="G168" s="247"/>
      <c r="H168" s="247"/>
      <c r="I168" s="247"/>
      <c r="J168" s="81">
        <f ca="1">SUMPRODUCT((Work_Codes!$N$272:$Y$272=$E168)*(Work_Codes!$N$275:$Y$283)*(J$137:J$145))</f>
        <v>0</v>
      </c>
      <c r="K168" s="81">
        <f ca="1">SUMPRODUCT((Work_Codes!$N$272:$Y$272=$E168)*(Work_Codes!$N$275:$Y$283)*(K$137:K$145))</f>
        <v>0</v>
      </c>
      <c r="L168" s="81">
        <f ca="1">SUMPRODUCT((Work_Codes!$N$272:$Y$272=$E168)*(Work_Codes!$N$275:$Y$283)*(L$137:L$145))</f>
        <v>0</v>
      </c>
      <c r="M168" s="81">
        <f ca="1">SUMPRODUCT((Work_Codes!$N$272:$Y$272=$E168)*(Work_Codes!$N$275:$Y$283)*(M$137:M$145))</f>
        <v>0</v>
      </c>
      <c r="N168" s="81">
        <f ca="1">SUMPRODUCT((Work_Codes!$N$272:$Y$272=$E168)*(Work_Codes!$N$275:$Y$283)*(N$137:N$145))</f>
        <v>0</v>
      </c>
      <c r="O168" s="81">
        <f ca="1">SUMPRODUCT((Work_Codes!$N$272:$Y$272=$E168)*(Work_Codes!$N$275:$Y$283)*(O$137:O$145))</f>
        <v>0</v>
      </c>
      <c r="P168" s="81">
        <f ca="1">SUMPRODUCT((Work_Codes!$N$272:$Y$272=$E168)*(Work_Codes!$N$275:$Y$283)*(P$137:P$145))</f>
        <v>0</v>
      </c>
      <c r="Q168" s="81">
        <f ca="1">SUMPRODUCT((Work_Codes!$N$272:$Y$272=$E168)*(Work_Codes!$N$275:$Y$283)*(Q$137:Q$145))</f>
        <v>0</v>
      </c>
      <c r="R168" s="81">
        <f ca="1">SUMPRODUCT((Work_Codes!$N$272:$Y$272=$E168)*(Work_Codes!$N$275:$Y$283)*(R$137:R$145))</f>
        <v>0</v>
      </c>
      <c r="S168" s="81">
        <f ca="1">SUMPRODUCT((Work_Codes!$N$272:$Y$272=$E168)*(Work_Codes!$N$275:$Y$283)*(S$137:S$145))</f>
        <v>0</v>
      </c>
      <c r="T168" s="81">
        <f ca="1">SUMPRODUCT((Work_Codes!$N$272:$Y$272=$E168)*(Work_Codes!$N$275:$Y$283)*(T$137:T$145))</f>
        <v>0</v>
      </c>
    </row>
    <row r="169" spans="4:20" outlineLevel="2">
      <c r="E169" s="247" t="str">
        <f>GC!C55</f>
        <v>Cathodic protection - post 1998</v>
      </c>
      <c r="F169" s="247"/>
      <c r="G169" s="247"/>
      <c r="H169" s="247"/>
      <c r="I169" s="247"/>
      <c r="J169" s="81">
        <f ca="1">SUMPRODUCT((Work_Codes!$N$272:$Y$272=$E169)*(Work_Codes!$N$275:$Y$283)*(J$137:J$145))</f>
        <v>0</v>
      </c>
      <c r="K169" s="81">
        <f ca="1">SUMPRODUCT((Work_Codes!$N$272:$Y$272=$E169)*(Work_Codes!$N$275:$Y$283)*(K$137:K$145))</f>
        <v>0</v>
      </c>
      <c r="L169" s="81">
        <f ca="1">SUMPRODUCT((Work_Codes!$N$272:$Y$272=$E169)*(Work_Codes!$N$275:$Y$283)*(L$137:L$145))</f>
        <v>0</v>
      </c>
      <c r="M169" s="81">
        <f ca="1">SUMPRODUCT((Work_Codes!$N$272:$Y$272=$E169)*(Work_Codes!$N$275:$Y$283)*(M$137:M$145))</f>
        <v>0</v>
      </c>
      <c r="N169" s="81">
        <f ca="1">SUMPRODUCT((Work_Codes!$N$272:$Y$272=$E169)*(Work_Codes!$N$275:$Y$283)*(N$137:N$145))</f>
        <v>202503.22321251823</v>
      </c>
      <c r="O169" s="81">
        <f ca="1">SUMPRODUCT((Work_Codes!$N$272:$Y$272=$E169)*(Work_Codes!$N$275:$Y$283)*(O$137:O$145))</f>
        <v>192039.90469303401</v>
      </c>
      <c r="P169" s="81">
        <f ca="1">SUMPRODUCT((Work_Codes!$N$272:$Y$272=$E169)*(Work_Codes!$N$275:$Y$283)*(P$137:P$145))</f>
        <v>384157.1354747992</v>
      </c>
      <c r="Q169" s="81">
        <f ca="1">SUMPRODUCT((Work_Codes!$N$272:$Y$272=$E169)*(Work_Codes!$N$275:$Y$283)*(Q$137:Q$145))</f>
        <v>404292.61376348359</v>
      </c>
      <c r="R169" s="81">
        <f ca="1">SUMPRODUCT((Work_Codes!$N$272:$Y$272=$E169)*(Work_Codes!$N$275:$Y$283)*(R$137:R$145))</f>
        <v>391458.48767377576</v>
      </c>
      <c r="S169" s="81">
        <f ca="1">SUMPRODUCT((Work_Codes!$N$272:$Y$272=$E169)*(Work_Codes!$N$275:$Y$283)*(S$137:S$145))</f>
        <v>391635.7070410623</v>
      </c>
      <c r="T169" s="81">
        <f ca="1">SUMPRODUCT((Work_Codes!$N$272:$Y$272=$E169)*(Work_Codes!$N$275:$Y$283)*(T$137:T$145))</f>
        <v>391814.87731856958</v>
      </c>
    </row>
    <row r="170" spans="4:20" ht="12" customHeight="1" outlineLevel="2">
      <c r="E170" s="249" t="str">
        <f>"Total "&amp;D152</f>
        <v>Total Direct Costs</v>
      </c>
      <c r="F170" s="249"/>
      <c r="G170" s="249"/>
      <c r="H170" s="249"/>
      <c r="I170" s="249"/>
      <c r="J170" s="82">
        <f t="shared" ref="J170:T170" ca="1" si="23">SUM(J154:J169)</f>
        <v>0</v>
      </c>
      <c r="K170" s="82">
        <f t="shared" ca="1" si="23"/>
        <v>0</v>
      </c>
      <c r="L170" s="82">
        <f t="shared" ca="1" si="23"/>
        <v>0</v>
      </c>
      <c r="M170" s="82">
        <f t="shared" ca="1" si="23"/>
        <v>0</v>
      </c>
      <c r="N170" s="82">
        <f t="shared" ca="1" si="23"/>
        <v>202503.22321251823</v>
      </c>
      <c r="O170" s="82">
        <f t="shared" ca="1" si="23"/>
        <v>192039.90469303401</v>
      </c>
      <c r="P170" s="82">
        <f t="shared" ca="1" si="23"/>
        <v>384157.1354747992</v>
      </c>
      <c r="Q170" s="82">
        <f t="shared" ca="1" si="23"/>
        <v>404292.61376348359</v>
      </c>
      <c r="R170" s="82">
        <f t="shared" ca="1" si="23"/>
        <v>391458.48767377576</v>
      </c>
      <c r="S170" s="82">
        <f t="shared" ca="1" si="23"/>
        <v>391635.7070410623</v>
      </c>
      <c r="T170" s="82">
        <f t="shared" ca="1" si="23"/>
        <v>391814.87731856958</v>
      </c>
    </row>
    <row r="171" spans="4:20" outlineLevel="2"/>
    <row r="172" spans="4:20" outlineLevel="2">
      <c r="D172" s="37" t="s">
        <v>364</v>
      </c>
    </row>
    <row r="173" spans="4:20" ht="5.9" customHeight="1" outlineLevel="2"/>
    <row r="174" spans="4:20" outlineLevel="2">
      <c r="E174" s="247" t="str">
        <f>GC!C40</f>
        <v>Transmission pipelines</v>
      </c>
      <c r="F174" s="247"/>
      <c r="G174" s="247"/>
      <c r="H174" s="247"/>
      <c r="I174" s="247"/>
      <c r="J174" s="81">
        <f ca="1">J154*(INDEX(J$35:J$37,MATCH(Work_Codes!$I$269,$D$35:$D$37,0)))</f>
        <v>0</v>
      </c>
      <c r="K174" s="81">
        <f ca="1">K154*(INDEX(K$35:K$37,MATCH(Work_Codes!$I$269,$D$35:$D$37,0)))</f>
        <v>0</v>
      </c>
      <c r="L174" s="81">
        <f ca="1">L154*(INDEX(L$35:L$37,MATCH(Work_Codes!$I$269,$D$35:$D$37,0)))</f>
        <v>0</v>
      </c>
      <c r="M174" s="81">
        <f ca="1">M154*(INDEX(M$35:M$37,MATCH(Work_Codes!$I$269,$D$35:$D$37,0)))</f>
        <v>0</v>
      </c>
      <c r="N174" s="81">
        <f ca="1">N154*(INDEX(N$35:N$37,MATCH(Work_Codes!$I$269,$D$35:$D$37,0)))</f>
        <v>0</v>
      </c>
      <c r="O174" s="81">
        <f ca="1">O154*(INDEX(O$35:O$37,MATCH(Work_Codes!$I$269,$D$35:$D$37,0)))</f>
        <v>0</v>
      </c>
      <c r="P174" s="81">
        <f ca="1">P154*(INDEX(P$35:P$37,MATCH(Work_Codes!$I$269,$D$35:$D$37,0)))</f>
        <v>0</v>
      </c>
      <c r="Q174" s="81">
        <f ca="1">Q154*(INDEX(Q$35:Q$37,MATCH(Work_Codes!$I$269,$D$35:$D$37,0)))</f>
        <v>0</v>
      </c>
      <c r="R174" s="81">
        <f ca="1">R154*(INDEX(R$35:R$37,MATCH(Work_Codes!$I$269,$D$35:$D$37,0)))</f>
        <v>0</v>
      </c>
      <c r="S174" s="81">
        <f ca="1">S154*(INDEX(S$35:S$37,MATCH(Work_Codes!$I$269,$D$35:$D$37,0)))</f>
        <v>0</v>
      </c>
      <c r="T174" s="81">
        <f ca="1">T154*(INDEX(T$35:T$37,MATCH(Work_Codes!$I$269,$D$35:$D$37,0)))</f>
        <v>0</v>
      </c>
    </row>
    <row r="175" spans="4:20" outlineLevel="2">
      <c r="E175" s="247" t="str">
        <f>GC!C41</f>
        <v>Distribution pipelines</v>
      </c>
      <c r="F175" s="247"/>
      <c r="G175" s="247"/>
      <c r="H175" s="247"/>
      <c r="I175" s="247"/>
      <c r="J175" s="81">
        <f ca="1">J155*(INDEX(J$35:J$37,MATCH(Work_Codes!$I$269,$D$35:$D$37,0)))</f>
        <v>0</v>
      </c>
      <c r="K175" s="81">
        <f ca="1">K155*(INDEX(K$35:K$37,MATCH(Work_Codes!$I$269,$D$35:$D$37,0)))</f>
        <v>0</v>
      </c>
      <c r="L175" s="81">
        <f ca="1">L155*(INDEX(L$35:L$37,MATCH(Work_Codes!$I$269,$D$35:$D$37,0)))</f>
        <v>0</v>
      </c>
      <c r="M175" s="81">
        <f ca="1">M155*(INDEX(M$35:M$37,MATCH(Work_Codes!$I$269,$D$35:$D$37,0)))</f>
        <v>0</v>
      </c>
      <c r="N175" s="81">
        <f ca="1">N155*(INDEX(N$35:N$37,MATCH(Work_Codes!$I$269,$D$35:$D$37,0)))</f>
        <v>0</v>
      </c>
      <c r="O175" s="81">
        <f ca="1">O155*(INDEX(O$35:O$37,MATCH(Work_Codes!$I$269,$D$35:$D$37,0)))</f>
        <v>0</v>
      </c>
      <c r="P175" s="81">
        <f ca="1">P155*(INDEX(P$35:P$37,MATCH(Work_Codes!$I$269,$D$35:$D$37,0)))</f>
        <v>0</v>
      </c>
      <c r="Q175" s="81">
        <f ca="1">Q155*(INDEX(Q$35:Q$37,MATCH(Work_Codes!$I$269,$D$35:$D$37,0)))</f>
        <v>0</v>
      </c>
      <c r="R175" s="81">
        <f ca="1">R155*(INDEX(R$35:R$37,MATCH(Work_Codes!$I$269,$D$35:$D$37,0)))</f>
        <v>0</v>
      </c>
      <c r="S175" s="81">
        <f ca="1">S155*(INDEX(S$35:S$37,MATCH(Work_Codes!$I$269,$D$35:$D$37,0)))</f>
        <v>0</v>
      </c>
      <c r="T175" s="81">
        <f ca="1">T155*(INDEX(T$35:T$37,MATCH(Work_Codes!$I$269,$D$35:$D$37,0)))</f>
        <v>0</v>
      </c>
    </row>
    <row r="176" spans="4:20" outlineLevel="2">
      <c r="E176" s="247" t="str">
        <f>GC!C42</f>
        <v>Service pipes</v>
      </c>
      <c r="F176" s="247"/>
      <c r="G176" s="247"/>
      <c r="H176" s="247"/>
      <c r="I176" s="247"/>
      <c r="J176" s="81">
        <f ca="1">J156*(INDEX(J$35:J$37,MATCH(Work_Codes!$I$269,$D$35:$D$37,0)))</f>
        <v>0</v>
      </c>
      <c r="K176" s="81">
        <f ca="1">K156*(INDEX(K$35:K$37,MATCH(Work_Codes!$I$269,$D$35:$D$37,0)))</f>
        <v>0</v>
      </c>
      <c r="L176" s="81">
        <f ca="1">L156*(INDEX(L$35:L$37,MATCH(Work_Codes!$I$269,$D$35:$D$37,0)))</f>
        <v>0</v>
      </c>
      <c r="M176" s="81">
        <f ca="1">M156*(INDEX(M$35:M$37,MATCH(Work_Codes!$I$269,$D$35:$D$37,0)))</f>
        <v>0</v>
      </c>
      <c r="N176" s="81">
        <f ca="1">N156*(INDEX(N$35:N$37,MATCH(Work_Codes!$I$269,$D$35:$D$37,0)))</f>
        <v>0</v>
      </c>
      <c r="O176" s="81">
        <f ca="1">O156*(INDEX(O$35:O$37,MATCH(Work_Codes!$I$269,$D$35:$D$37,0)))</f>
        <v>0</v>
      </c>
      <c r="P176" s="81">
        <f ca="1">P156*(INDEX(P$35:P$37,MATCH(Work_Codes!$I$269,$D$35:$D$37,0)))</f>
        <v>0</v>
      </c>
      <c r="Q176" s="81">
        <f ca="1">Q156*(INDEX(Q$35:Q$37,MATCH(Work_Codes!$I$269,$D$35:$D$37,0)))</f>
        <v>0</v>
      </c>
      <c r="R176" s="81">
        <f ca="1">R156*(INDEX(R$35:R$37,MATCH(Work_Codes!$I$269,$D$35:$D$37,0)))</f>
        <v>0</v>
      </c>
      <c r="S176" s="81">
        <f ca="1">S156*(INDEX(S$35:S$37,MATCH(Work_Codes!$I$269,$D$35:$D$37,0)))</f>
        <v>0</v>
      </c>
      <c r="T176" s="81">
        <f ca="1">T156*(INDEX(T$35:T$37,MATCH(Work_Codes!$I$269,$D$35:$D$37,0)))</f>
        <v>0</v>
      </c>
    </row>
    <row r="177" spans="4:20" outlineLevel="2">
      <c r="E177" s="247" t="str">
        <f>GC!C43</f>
        <v>Cathodic protection</v>
      </c>
      <c r="F177" s="247"/>
      <c r="G177" s="247"/>
      <c r="H177" s="247"/>
      <c r="I177" s="247"/>
      <c r="J177" s="81">
        <f ca="1">J157*(INDEX(J$35:J$37,MATCH(Work_Codes!$I$269,$D$35:$D$37,0)))</f>
        <v>0</v>
      </c>
      <c r="K177" s="81">
        <f ca="1">K157*(INDEX(K$35:K$37,MATCH(Work_Codes!$I$269,$D$35:$D$37,0)))</f>
        <v>0</v>
      </c>
      <c r="L177" s="81">
        <f ca="1">L157*(INDEX(L$35:L$37,MATCH(Work_Codes!$I$269,$D$35:$D$37,0)))</f>
        <v>0</v>
      </c>
      <c r="M177" s="81">
        <f ca="1">M157*(INDEX(M$35:M$37,MATCH(Work_Codes!$I$269,$D$35:$D$37,0)))</f>
        <v>0</v>
      </c>
      <c r="N177" s="81">
        <f ca="1">N157*(INDEX(N$35:N$37,MATCH(Work_Codes!$I$269,$D$35:$D$37,0)))</f>
        <v>0</v>
      </c>
      <c r="O177" s="81">
        <f ca="1">O157*(INDEX(O$35:O$37,MATCH(Work_Codes!$I$269,$D$35:$D$37,0)))</f>
        <v>0</v>
      </c>
      <c r="P177" s="81">
        <f ca="1">P157*(INDEX(P$35:P$37,MATCH(Work_Codes!$I$269,$D$35:$D$37,0)))</f>
        <v>0</v>
      </c>
      <c r="Q177" s="81">
        <f ca="1">Q157*(INDEX(Q$35:Q$37,MATCH(Work_Codes!$I$269,$D$35:$D$37,0)))</f>
        <v>0</v>
      </c>
      <c r="R177" s="81">
        <f ca="1">R157*(INDEX(R$35:R$37,MATCH(Work_Codes!$I$269,$D$35:$D$37,0)))</f>
        <v>0</v>
      </c>
      <c r="S177" s="81">
        <f ca="1">S157*(INDEX(S$35:S$37,MATCH(Work_Codes!$I$269,$D$35:$D$37,0)))</f>
        <v>0</v>
      </c>
      <c r="T177" s="81">
        <f ca="1">T157*(INDEX(T$35:T$37,MATCH(Work_Codes!$I$269,$D$35:$D$37,0)))</f>
        <v>0</v>
      </c>
    </row>
    <row r="178" spans="4:20" outlineLevel="2">
      <c r="E178" s="247" t="str">
        <f>GC!C44</f>
        <v>Supply Regulators / Valve Stations</v>
      </c>
      <c r="F178" s="247"/>
      <c r="G178" s="247"/>
      <c r="H178" s="247"/>
      <c r="I178" s="247"/>
      <c r="J178" s="81">
        <f ca="1">J158*(INDEX(J$35:J$37,MATCH(Work_Codes!$I$269,$D$35:$D$37,0)))</f>
        <v>0</v>
      </c>
      <c r="K178" s="81">
        <f ca="1">K158*(INDEX(K$35:K$37,MATCH(Work_Codes!$I$269,$D$35:$D$37,0)))</f>
        <v>0</v>
      </c>
      <c r="L178" s="81">
        <f ca="1">L158*(INDEX(L$35:L$37,MATCH(Work_Codes!$I$269,$D$35:$D$37,0)))</f>
        <v>0</v>
      </c>
      <c r="M178" s="81">
        <f ca="1">M158*(INDEX(M$35:M$37,MATCH(Work_Codes!$I$269,$D$35:$D$37,0)))</f>
        <v>0</v>
      </c>
      <c r="N178" s="81">
        <f ca="1">N158*(INDEX(N$35:N$37,MATCH(Work_Codes!$I$269,$D$35:$D$37,0)))</f>
        <v>0</v>
      </c>
      <c r="O178" s="81">
        <f ca="1">O158*(INDEX(O$35:O$37,MATCH(Work_Codes!$I$269,$D$35:$D$37,0)))</f>
        <v>0</v>
      </c>
      <c r="P178" s="81">
        <f ca="1">P158*(INDEX(P$35:P$37,MATCH(Work_Codes!$I$269,$D$35:$D$37,0)))</f>
        <v>0</v>
      </c>
      <c r="Q178" s="81">
        <f ca="1">Q158*(INDEX(Q$35:Q$37,MATCH(Work_Codes!$I$269,$D$35:$D$37,0)))</f>
        <v>0</v>
      </c>
      <c r="R178" s="81">
        <f ca="1">R158*(INDEX(R$35:R$37,MATCH(Work_Codes!$I$269,$D$35:$D$37,0)))</f>
        <v>0</v>
      </c>
      <c r="S178" s="81">
        <f ca="1">S158*(INDEX(S$35:S$37,MATCH(Work_Codes!$I$269,$D$35:$D$37,0)))</f>
        <v>0</v>
      </c>
      <c r="T178" s="81">
        <f ca="1">T158*(INDEX(T$35:T$37,MATCH(Work_Codes!$I$269,$D$35:$D$37,0)))</f>
        <v>0</v>
      </c>
    </row>
    <row r="179" spans="4:20" outlineLevel="2">
      <c r="E179" s="247" t="str">
        <f>GC!C45</f>
        <v>Meters</v>
      </c>
      <c r="F179" s="247"/>
      <c r="G179" s="247"/>
      <c r="H179" s="247"/>
      <c r="I179" s="247"/>
      <c r="J179" s="81">
        <f ca="1">J159*(INDEX(J$35:J$37,MATCH(Work_Codes!$I$269,$D$35:$D$37,0)))</f>
        <v>0</v>
      </c>
      <c r="K179" s="81">
        <f ca="1">K159*(INDEX(K$35:K$37,MATCH(Work_Codes!$I$269,$D$35:$D$37,0)))</f>
        <v>0</v>
      </c>
      <c r="L179" s="81">
        <f ca="1">L159*(INDEX(L$35:L$37,MATCH(Work_Codes!$I$269,$D$35:$D$37,0)))</f>
        <v>0</v>
      </c>
      <c r="M179" s="81">
        <f ca="1">M159*(INDEX(M$35:M$37,MATCH(Work_Codes!$I$269,$D$35:$D$37,0)))</f>
        <v>0</v>
      </c>
      <c r="N179" s="81">
        <f ca="1">N159*(INDEX(N$35:N$37,MATCH(Work_Codes!$I$269,$D$35:$D$37,0)))</f>
        <v>0</v>
      </c>
      <c r="O179" s="81">
        <f ca="1">O159*(INDEX(O$35:O$37,MATCH(Work_Codes!$I$269,$D$35:$D$37,0)))</f>
        <v>0</v>
      </c>
      <c r="P179" s="81">
        <f ca="1">P159*(INDEX(P$35:P$37,MATCH(Work_Codes!$I$269,$D$35:$D$37,0)))</f>
        <v>0</v>
      </c>
      <c r="Q179" s="81">
        <f ca="1">Q159*(INDEX(Q$35:Q$37,MATCH(Work_Codes!$I$269,$D$35:$D$37,0)))</f>
        <v>0</v>
      </c>
      <c r="R179" s="81">
        <f ca="1">R159*(INDEX(R$35:R$37,MATCH(Work_Codes!$I$269,$D$35:$D$37,0)))</f>
        <v>0</v>
      </c>
      <c r="S179" s="81">
        <f ca="1">S159*(INDEX(S$35:S$37,MATCH(Work_Codes!$I$269,$D$35:$D$37,0)))</f>
        <v>0</v>
      </c>
      <c r="T179" s="81">
        <f ca="1">T159*(INDEX(T$35:T$37,MATCH(Work_Codes!$I$269,$D$35:$D$37,0)))</f>
        <v>0</v>
      </c>
    </row>
    <row r="180" spans="4:20" outlineLevel="2">
      <c r="E180" s="247" t="str">
        <f>GC!C46</f>
        <v>SCADA and remote control</v>
      </c>
      <c r="F180" s="247"/>
      <c r="G180" s="247"/>
      <c r="H180" s="247"/>
      <c r="I180" s="247"/>
      <c r="J180" s="81">
        <f ca="1">J160*(INDEX(J$35:J$37,MATCH(Work_Codes!$I$269,$D$35:$D$37,0)))</f>
        <v>0</v>
      </c>
      <c r="K180" s="81">
        <f ca="1">K160*(INDEX(K$35:K$37,MATCH(Work_Codes!$I$269,$D$35:$D$37,0)))</f>
        <v>0</v>
      </c>
      <c r="L180" s="81">
        <f ca="1">L160*(INDEX(L$35:L$37,MATCH(Work_Codes!$I$269,$D$35:$D$37,0)))</f>
        <v>0</v>
      </c>
      <c r="M180" s="81">
        <f ca="1">M160*(INDEX(M$35:M$37,MATCH(Work_Codes!$I$269,$D$35:$D$37,0)))</f>
        <v>0</v>
      </c>
      <c r="N180" s="81">
        <f ca="1">N160*(INDEX(N$35:N$37,MATCH(Work_Codes!$I$269,$D$35:$D$37,0)))</f>
        <v>0</v>
      </c>
      <c r="O180" s="81">
        <f ca="1">O160*(INDEX(O$35:O$37,MATCH(Work_Codes!$I$269,$D$35:$D$37,0)))</f>
        <v>0</v>
      </c>
      <c r="P180" s="81">
        <f ca="1">P160*(INDEX(P$35:P$37,MATCH(Work_Codes!$I$269,$D$35:$D$37,0)))</f>
        <v>0</v>
      </c>
      <c r="Q180" s="81">
        <f ca="1">Q160*(INDEX(Q$35:Q$37,MATCH(Work_Codes!$I$269,$D$35:$D$37,0)))</f>
        <v>0</v>
      </c>
      <c r="R180" s="81">
        <f ca="1">R160*(INDEX(R$35:R$37,MATCH(Work_Codes!$I$269,$D$35:$D$37,0)))</f>
        <v>0</v>
      </c>
      <c r="S180" s="81">
        <f ca="1">S160*(INDEX(S$35:S$37,MATCH(Work_Codes!$I$269,$D$35:$D$37,0)))</f>
        <v>0</v>
      </c>
      <c r="T180" s="81">
        <f ca="1">T160*(INDEX(T$35:T$37,MATCH(Work_Codes!$I$269,$D$35:$D$37,0)))</f>
        <v>0</v>
      </c>
    </row>
    <row r="181" spans="4:20" outlineLevel="2">
      <c r="E181" s="247" t="str">
        <f>GC!C47</f>
        <v>Buildings</v>
      </c>
      <c r="F181" s="247"/>
      <c r="G181" s="247"/>
      <c r="H181" s="247"/>
      <c r="I181" s="247"/>
      <c r="J181" s="81">
        <f ca="1">J161*(INDEX(J$35:J$37,MATCH(Work_Codes!$I$269,$D$35:$D$37,0)))</f>
        <v>0</v>
      </c>
      <c r="K181" s="81">
        <f ca="1">K161*(INDEX(K$35:K$37,MATCH(Work_Codes!$I$269,$D$35:$D$37,0)))</f>
        <v>0</v>
      </c>
      <c r="L181" s="81">
        <f ca="1">L161*(INDEX(L$35:L$37,MATCH(Work_Codes!$I$269,$D$35:$D$37,0)))</f>
        <v>0</v>
      </c>
      <c r="M181" s="81">
        <f ca="1">M161*(INDEX(M$35:M$37,MATCH(Work_Codes!$I$269,$D$35:$D$37,0)))</f>
        <v>0</v>
      </c>
      <c r="N181" s="81">
        <f ca="1">N161*(INDEX(N$35:N$37,MATCH(Work_Codes!$I$269,$D$35:$D$37,0)))</f>
        <v>0</v>
      </c>
      <c r="O181" s="81">
        <f ca="1">O161*(INDEX(O$35:O$37,MATCH(Work_Codes!$I$269,$D$35:$D$37,0)))</f>
        <v>0</v>
      </c>
      <c r="P181" s="81">
        <f ca="1">P161*(INDEX(P$35:P$37,MATCH(Work_Codes!$I$269,$D$35:$D$37,0)))</f>
        <v>0</v>
      </c>
      <c r="Q181" s="81">
        <f ca="1">Q161*(INDEX(Q$35:Q$37,MATCH(Work_Codes!$I$269,$D$35:$D$37,0)))</f>
        <v>0</v>
      </c>
      <c r="R181" s="81">
        <f ca="1">R161*(INDEX(R$35:R$37,MATCH(Work_Codes!$I$269,$D$35:$D$37,0)))</f>
        <v>0</v>
      </c>
      <c r="S181" s="81">
        <f ca="1">S161*(INDEX(S$35:S$37,MATCH(Work_Codes!$I$269,$D$35:$D$37,0)))</f>
        <v>0</v>
      </c>
      <c r="T181" s="81">
        <f ca="1">T161*(INDEX(T$35:T$37,MATCH(Work_Codes!$I$269,$D$35:$D$37,0)))</f>
        <v>0</v>
      </c>
    </row>
    <row r="182" spans="4:20" outlineLevel="2">
      <c r="E182" s="247" t="str">
        <f>GC!C48</f>
        <v>Other - IT</v>
      </c>
      <c r="F182" s="247"/>
      <c r="G182" s="247"/>
      <c r="H182" s="247"/>
      <c r="I182" s="247"/>
      <c r="J182" s="81">
        <f ca="1">J162*(INDEX(J$35:J$37,MATCH(Work_Codes!$I$269,$D$35:$D$37,0)))</f>
        <v>0</v>
      </c>
      <c r="K182" s="81">
        <f ca="1">K162*(INDEX(K$35:K$37,MATCH(Work_Codes!$I$269,$D$35:$D$37,0)))</f>
        <v>0</v>
      </c>
      <c r="L182" s="81">
        <f ca="1">L162*(INDEX(L$35:L$37,MATCH(Work_Codes!$I$269,$D$35:$D$37,0)))</f>
        <v>0</v>
      </c>
      <c r="M182" s="81">
        <f ca="1">M162*(INDEX(M$35:M$37,MATCH(Work_Codes!$I$269,$D$35:$D$37,0)))</f>
        <v>0</v>
      </c>
      <c r="N182" s="81">
        <f ca="1">N162*(INDEX(N$35:N$37,MATCH(Work_Codes!$I$269,$D$35:$D$37,0)))</f>
        <v>0</v>
      </c>
      <c r="O182" s="81">
        <f ca="1">O162*(INDEX(O$35:O$37,MATCH(Work_Codes!$I$269,$D$35:$D$37,0)))</f>
        <v>0</v>
      </c>
      <c r="P182" s="81">
        <f ca="1">P162*(INDEX(P$35:P$37,MATCH(Work_Codes!$I$269,$D$35:$D$37,0)))</f>
        <v>0</v>
      </c>
      <c r="Q182" s="81">
        <f ca="1">Q162*(INDEX(Q$35:Q$37,MATCH(Work_Codes!$I$269,$D$35:$D$37,0)))</f>
        <v>0</v>
      </c>
      <c r="R182" s="81">
        <f ca="1">R162*(INDEX(R$35:R$37,MATCH(Work_Codes!$I$269,$D$35:$D$37,0)))</f>
        <v>0</v>
      </c>
      <c r="S182" s="81">
        <f ca="1">S162*(INDEX(S$35:S$37,MATCH(Work_Codes!$I$269,$D$35:$D$37,0)))</f>
        <v>0</v>
      </c>
      <c r="T182" s="81">
        <f ca="1">T162*(INDEX(T$35:T$37,MATCH(Work_Codes!$I$269,$D$35:$D$37,0)))</f>
        <v>0</v>
      </c>
    </row>
    <row r="183" spans="4:20" outlineLevel="2">
      <c r="E183" s="247" t="str">
        <f>GC!C49</f>
        <v>Other - non IT</v>
      </c>
      <c r="F183" s="247"/>
      <c r="G183" s="247"/>
      <c r="H183" s="247"/>
      <c r="I183" s="247"/>
      <c r="J183" s="81">
        <f ca="1">J163*(INDEX(J$35:J$37,MATCH(Work_Codes!$I$269,$D$35:$D$37,0)))</f>
        <v>0</v>
      </c>
      <c r="K183" s="81">
        <f ca="1">K163*(INDEX(K$35:K$37,MATCH(Work_Codes!$I$269,$D$35:$D$37,0)))</f>
        <v>0</v>
      </c>
      <c r="L183" s="81">
        <f ca="1">L163*(INDEX(L$35:L$37,MATCH(Work_Codes!$I$269,$D$35:$D$37,0)))</f>
        <v>0</v>
      </c>
      <c r="M183" s="81">
        <f ca="1">M163*(INDEX(M$35:M$37,MATCH(Work_Codes!$I$269,$D$35:$D$37,0)))</f>
        <v>0</v>
      </c>
      <c r="N183" s="81">
        <f ca="1">N163*(INDEX(N$35:N$37,MATCH(Work_Codes!$I$269,$D$35:$D$37,0)))</f>
        <v>0</v>
      </c>
      <c r="O183" s="81">
        <f ca="1">O163*(INDEX(O$35:O$37,MATCH(Work_Codes!$I$269,$D$35:$D$37,0)))</f>
        <v>0</v>
      </c>
      <c r="P183" s="81">
        <f ca="1">P163*(INDEX(P$35:P$37,MATCH(Work_Codes!$I$269,$D$35:$D$37,0)))</f>
        <v>0</v>
      </c>
      <c r="Q183" s="81">
        <f ca="1">Q163*(INDEX(Q$35:Q$37,MATCH(Work_Codes!$I$269,$D$35:$D$37,0)))</f>
        <v>0</v>
      </c>
      <c r="R183" s="81">
        <f ca="1">R163*(INDEX(R$35:R$37,MATCH(Work_Codes!$I$269,$D$35:$D$37,0)))</f>
        <v>0</v>
      </c>
      <c r="S183" s="81">
        <f ca="1">S163*(INDEX(S$35:S$37,MATCH(Work_Codes!$I$269,$D$35:$D$37,0)))</f>
        <v>0</v>
      </c>
      <c r="T183" s="81">
        <f ca="1">T163*(INDEX(T$35:T$37,MATCH(Work_Codes!$I$269,$D$35:$D$37,0)))</f>
        <v>0</v>
      </c>
    </row>
    <row r="184" spans="4:20" outlineLevel="2">
      <c r="E184" s="247" t="str">
        <f>GC!C50</f>
        <v>Land</v>
      </c>
      <c r="F184" s="247"/>
      <c r="G184" s="247"/>
      <c r="H184" s="247"/>
      <c r="I184" s="247"/>
      <c r="J184" s="81">
        <f ca="1">J164*(INDEX(J$35:J$37,MATCH(Work_Codes!$I$269,$D$35:$D$37,0)))</f>
        <v>0</v>
      </c>
      <c r="K184" s="81">
        <f ca="1">K164*(INDEX(K$35:K$37,MATCH(Work_Codes!$I$269,$D$35:$D$37,0)))</f>
        <v>0</v>
      </c>
      <c r="L184" s="81">
        <f ca="1">L164*(INDEX(L$35:L$37,MATCH(Work_Codes!$I$269,$D$35:$D$37,0)))</f>
        <v>0</v>
      </c>
      <c r="M184" s="81">
        <f ca="1">M164*(INDEX(M$35:M$37,MATCH(Work_Codes!$I$269,$D$35:$D$37,0)))</f>
        <v>0</v>
      </c>
      <c r="N184" s="81">
        <f ca="1">N164*(INDEX(N$35:N$37,MATCH(Work_Codes!$I$269,$D$35:$D$37,0)))</f>
        <v>0</v>
      </c>
      <c r="O184" s="81">
        <f ca="1">O164*(INDEX(O$35:O$37,MATCH(Work_Codes!$I$269,$D$35:$D$37,0)))</f>
        <v>0</v>
      </c>
      <c r="P184" s="81">
        <f ca="1">P164*(INDEX(P$35:P$37,MATCH(Work_Codes!$I$269,$D$35:$D$37,0)))</f>
        <v>0</v>
      </c>
      <c r="Q184" s="81">
        <f ca="1">Q164*(INDEX(Q$35:Q$37,MATCH(Work_Codes!$I$269,$D$35:$D$37,0)))</f>
        <v>0</v>
      </c>
      <c r="R184" s="81">
        <f ca="1">R164*(INDEX(R$35:R$37,MATCH(Work_Codes!$I$269,$D$35:$D$37,0)))</f>
        <v>0</v>
      </c>
      <c r="S184" s="81">
        <f ca="1">S164*(INDEX(S$35:S$37,MATCH(Work_Codes!$I$269,$D$35:$D$37,0)))</f>
        <v>0</v>
      </c>
      <c r="T184" s="81">
        <f ca="1">T164*(INDEX(T$35:T$37,MATCH(Work_Codes!$I$269,$D$35:$D$37,0)))</f>
        <v>0</v>
      </c>
    </row>
    <row r="185" spans="4:20" outlineLevel="2">
      <c r="E185" s="247" t="str">
        <f>GC!C51</f>
        <v>Capitalised Leases</v>
      </c>
      <c r="F185" s="247"/>
      <c r="G185" s="247"/>
      <c r="H185" s="247"/>
      <c r="I185" s="247"/>
      <c r="J185" s="81">
        <f ca="1">J165*(INDEX(J$35:J$37,MATCH(Work_Codes!$I$269,$D$35:$D$37,0)))</f>
        <v>0</v>
      </c>
      <c r="K185" s="81">
        <f ca="1">K165*(INDEX(K$35:K$37,MATCH(Work_Codes!$I$269,$D$35:$D$37,0)))</f>
        <v>0</v>
      </c>
      <c r="L185" s="81">
        <f ca="1">L165*(INDEX(L$35:L$37,MATCH(Work_Codes!$I$269,$D$35:$D$37,0)))</f>
        <v>0</v>
      </c>
      <c r="M185" s="81">
        <f ca="1">M165*(INDEX(M$35:M$37,MATCH(Work_Codes!$I$269,$D$35:$D$37,0)))</f>
        <v>0</v>
      </c>
      <c r="N185" s="81">
        <f ca="1">N165*(INDEX(N$35:N$37,MATCH(Work_Codes!$I$269,$D$35:$D$37,0)))</f>
        <v>0</v>
      </c>
      <c r="O185" s="81">
        <f ca="1">O165*(INDEX(O$35:O$37,MATCH(Work_Codes!$I$269,$D$35:$D$37,0)))</f>
        <v>0</v>
      </c>
      <c r="P185" s="81">
        <f ca="1">P165*(INDEX(P$35:P$37,MATCH(Work_Codes!$I$269,$D$35:$D$37,0)))</f>
        <v>0</v>
      </c>
      <c r="Q185" s="81">
        <f ca="1">Q165*(INDEX(Q$35:Q$37,MATCH(Work_Codes!$I$269,$D$35:$D$37,0)))</f>
        <v>0</v>
      </c>
      <c r="R185" s="81">
        <f ca="1">R165*(INDEX(R$35:R$37,MATCH(Work_Codes!$I$269,$D$35:$D$37,0)))</f>
        <v>0</v>
      </c>
      <c r="S185" s="81">
        <f ca="1">S165*(INDEX(S$35:S$37,MATCH(Work_Codes!$I$269,$D$35:$D$37,0)))</f>
        <v>0</v>
      </c>
      <c r="T185" s="81">
        <f ca="1">T165*(INDEX(T$35:T$37,MATCH(Work_Codes!$I$269,$D$35:$D$37,0)))</f>
        <v>0</v>
      </c>
    </row>
    <row r="186" spans="4:20" outlineLevel="2">
      <c r="E186" s="247" t="str">
        <f>GC!C52</f>
        <v>Transmission pipelines - post 1998</v>
      </c>
      <c r="F186" s="247"/>
      <c r="G186" s="247"/>
      <c r="H186" s="247"/>
      <c r="I186" s="247"/>
      <c r="J186" s="81">
        <f ca="1">J166*(INDEX(J$35:J$37,MATCH(Work_Codes!$I$269,$D$35:$D$37,0)))</f>
        <v>0</v>
      </c>
      <c r="K186" s="81">
        <f ca="1">K166*(INDEX(K$35:K$37,MATCH(Work_Codes!$I$269,$D$35:$D$37,0)))</f>
        <v>0</v>
      </c>
      <c r="L186" s="81">
        <f ca="1">L166*(INDEX(L$35:L$37,MATCH(Work_Codes!$I$269,$D$35:$D$37,0)))</f>
        <v>0</v>
      </c>
      <c r="M186" s="81">
        <f ca="1">M166*(INDEX(M$35:M$37,MATCH(Work_Codes!$I$269,$D$35:$D$37,0)))</f>
        <v>0</v>
      </c>
      <c r="N186" s="81">
        <f ca="1">N166*(INDEX(N$35:N$37,MATCH(Work_Codes!$I$269,$D$35:$D$37,0)))</f>
        <v>0</v>
      </c>
      <c r="O186" s="81">
        <f ca="1">O166*(INDEX(O$35:O$37,MATCH(Work_Codes!$I$269,$D$35:$D$37,0)))</f>
        <v>0</v>
      </c>
      <c r="P186" s="81">
        <f ca="1">P166*(INDEX(P$35:P$37,MATCH(Work_Codes!$I$269,$D$35:$D$37,0)))</f>
        <v>0</v>
      </c>
      <c r="Q186" s="81">
        <f ca="1">Q166*(INDEX(Q$35:Q$37,MATCH(Work_Codes!$I$269,$D$35:$D$37,0)))</f>
        <v>0</v>
      </c>
      <c r="R186" s="81">
        <f ca="1">R166*(INDEX(R$35:R$37,MATCH(Work_Codes!$I$269,$D$35:$D$37,0)))</f>
        <v>0</v>
      </c>
      <c r="S186" s="81">
        <f ca="1">S166*(INDEX(S$35:S$37,MATCH(Work_Codes!$I$269,$D$35:$D$37,0)))</f>
        <v>0</v>
      </c>
      <c r="T186" s="81">
        <f ca="1">T166*(INDEX(T$35:T$37,MATCH(Work_Codes!$I$269,$D$35:$D$37,0)))</f>
        <v>0</v>
      </c>
    </row>
    <row r="187" spans="4:20" outlineLevel="2">
      <c r="E187" s="247" t="str">
        <f>GC!C53</f>
        <v>Distribution pipelines - post 1998</v>
      </c>
      <c r="F187" s="247"/>
      <c r="G187" s="247"/>
      <c r="H187" s="247"/>
      <c r="I187" s="247"/>
      <c r="J187" s="81">
        <f ca="1">J167*(INDEX(J$35:J$37,MATCH(Work_Codes!$I$269,$D$35:$D$37,0)))</f>
        <v>0</v>
      </c>
      <c r="K187" s="81">
        <f ca="1">K167*(INDEX(K$35:K$37,MATCH(Work_Codes!$I$269,$D$35:$D$37,0)))</f>
        <v>0</v>
      </c>
      <c r="L187" s="81">
        <f ca="1">L167*(INDEX(L$35:L$37,MATCH(Work_Codes!$I$269,$D$35:$D$37,0)))</f>
        <v>0</v>
      </c>
      <c r="M187" s="81">
        <f ca="1">M167*(INDEX(M$35:M$37,MATCH(Work_Codes!$I$269,$D$35:$D$37,0)))</f>
        <v>0</v>
      </c>
      <c r="N187" s="81">
        <f ca="1">N167*(INDEX(N$35:N$37,MATCH(Work_Codes!$I$269,$D$35:$D$37,0)))</f>
        <v>0</v>
      </c>
      <c r="O187" s="81">
        <f ca="1">O167*(INDEX(O$35:O$37,MATCH(Work_Codes!$I$269,$D$35:$D$37,0)))</f>
        <v>0</v>
      </c>
      <c r="P187" s="81">
        <f ca="1">P167*(INDEX(P$35:P$37,MATCH(Work_Codes!$I$269,$D$35:$D$37,0)))</f>
        <v>0</v>
      </c>
      <c r="Q187" s="81">
        <f ca="1">Q167*(INDEX(Q$35:Q$37,MATCH(Work_Codes!$I$269,$D$35:$D$37,0)))</f>
        <v>0</v>
      </c>
      <c r="R187" s="81">
        <f ca="1">R167*(INDEX(R$35:R$37,MATCH(Work_Codes!$I$269,$D$35:$D$37,0)))</f>
        <v>0</v>
      </c>
      <c r="S187" s="81">
        <f ca="1">S167*(INDEX(S$35:S$37,MATCH(Work_Codes!$I$269,$D$35:$D$37,0)))</f>
        <v>0</v>
      </c>
      <c r="T187" s="81">
        <f ca="1">T167*(INDEX(T$35:T$37,MATCH(Work_Codes!$I$269,$D$35:$D$37,0)))</f>
        <v>0</v>
      </c>
    </row>
    <row r="188" spans="4:20" outlineLevel="2">
      <c r="E188" s="247" t="str">
        <f>GC!C54</f>
        <v>Service pipes - post 1998</v>
      </c>
      <c r="F188" s="247"/>
      <c r="G188" s="247"/>
      <c r="H188" s="247"/>
      <c r="I188" s="247"/>
      <c r="J188" s="81">
        <f ca="1">J168*(INDEX(J$35:J$37,MATCH(Work_Codes!$I$269,$D$35:$D$37,0)))</f>
        <v>0</v>
      </c>
      <c r="K188" s="81">
        <f ca="1">K168*(INDEX(K$35:K$37,MATCH(Work_Codes!$I$269,$D$35:$D$37,0)))</f>
        <v>0</v>
      </c>
      <c r="L188" s="81">
        <f ca="1">L168*(INDEX(L$35:L$37,MATCH(Work_Codes!$I$269,$D$35:$D$37,0)))</f>
        <v>0</v>
      </c>
      <c r="M188" s="81">
        <f ca="1">M168*(INDEX(M$35:M$37,MATCH(Work_Codes!$I$269,$D$35:$D$37,0)))</f>
        <v>0</v>
      </c>
      <c r="N188" s="81">
        <f ca="1">N168*(INDEX(N$35:N$37,MATCH(Work_Codes!$I$269,$D$35:$D$37,0)))</f>
        <v>0</v>
      </c>
      <c r="O188" s="81">
        <f ca="1">O168*(INDEX(O$35:O$37,MATCH(Work_Codes!$I$269,$D$35:$D$37,0)))</f>
        <v>0</v>
      </c>
      <c r="P188" s="81">
        <f ca="1">P168*(INDEX(P$35:P$37,MATCH(Work_Codes!$I$269,$D$35:$D$37,0)))</f>
        <v>0</v>
      </c>
      <c r="Q188" s="81">
        <f ca="1">Q168*(INDEX(Q$35:Q$37,MATCH(Work_Codes!$I$269,$D$35:$D$37,0)))</f>
        <v>0</v>
      </c>
      <c r="R188" s="81">
        <f ca="1">R168*(INDEX(R$35:R$37,MATCH(Work_Codes!$I$269,$D$35:$D$37,0)))</f>
        <v>0</v>
      </c>
      <c r="S188" s="81">
        <f ca="1">S168*(INDEX(S$35:S$37,MATCH(Work_Codes!$I$269,$D$35:$D$37,0)))</f>
        <v>0</v>
      </c>
      <c r="T188" s="81">
        <f ca="1">T168*(INDEX(T$35:T$37,MATCH(Work_Codes!$I$269,$D$35:$D$37,0)))</f>
        <v>0</v>
      </c>
    </row>
    <row r="189" spans="4:20" outlineLevel="2">
      <c r="E189" s="247" t="str">
        <f>GC!C55</f>
        <v>Cathodic protection - post 1998</v>
      </c>
      <c r="F189" s="247"/>
      <c r="G189" s="247"/>
      <c r="H189" s="247"/>
      <c r="I189" s="247"/>
      <c r="J189" s="81">
        <f ca="1">J169*(INDEX(J$35:J$37,MATCH(Work_Codes!$I$269,$D$35:$D$37,0)))</f>
        <v>0</v>
      </c>
      <c r="K189" s="81">
        <f ca="1">K169*(INDEX(K$35:K$37,MATCH(Work_Codes!$I$269,$D$35:$D$37,0)))</f>
        <v>0</v>
      </c>
      <c r="L189" s="81">
        <f ca="1">L169*(INDEX(L$35:L$37,MATCH(Work_Codes!$I$269,$D$35:$D$37,0)))</f>
        <v>0</v>
      </c>
      <c r="M189" s="81">
        <f ca="1">M169*(INDEX(M$35:M$37,MATCH(Work_Codes!$I$269,$D$35:$D$37,0)))</f>
        <v>0</v>
      </c>
      <c r="N189" s="81">
        <f ca="1">N169*(INDEX(N$35:N$37,MATCH(Work_Codes!$I$269,$D$35:$D$37,0)))</f>
        <v>7636.6005456358253</v>
      </c>
      <c r="O189" s="81">
        <f ca="1">O169*(INDEX(O$35:O$37,MATCH(Work_Codes!$I$269,$D$35:$D$37,0)))</f>
        <v>6391.8502450717833</v>
      </c>
      <c r="P189" s="81">
        <f ca="1">P169*(INDEX(P$35:P$37,MATCH(Work_Codes!$I$269,$D$35:$D$37,0)))</f>
        <v>10277.22542917498</v>
      </c>
      <c r="Q189" s="81">
        <f ca="1">Q169*(INDEX(Q$35:Q$37,MATCH(Work_Codes!$I$269,$D$35:$D$37,0)))</f>
        <v>10536.102975536267</v>
      </c>
      <c r="R189" s="81">
        <f ca="1">R169*(INDEX(R$35:R$37,MATCH(Work_Codes!$I$269,$D$35:$D$37,0)))</f>
        <v>10519.666283149183</v>
      </c>
      <c r="S189" s="81">
        <f ca="1">S169*(INDEX(S$35:S$37,MATCH(Work_Codes!$I$269,$D$35:$D$37,0)))</f>
        <v>11179.702967828689</v>
      </c>
      <c r="T189" s="81">
        <f ca="1">T169*(INDEX(T$35:T$37,MATCH(Work_Codes!$I$269,$D$35:$D$37,0)))</f>
        <v>11723.249315202642</v>
      </c>
    </row>
    <row r="190" spans="4:20" outlineLevel="2">
      <c r="E190" s="249" t="str">
        <f>"Total "&amp;D172</f>
        <v>Total Overheads</v>
      </c>
      <c r="F190" s="249"/>
      <c r="G190" s="249"/>
      <c r="H190" s="249"/>
      <c r="I190" s="249"/>
      <c r="J190" s="82">
        <f t="shared" ref="J190:T190" ca="1" si="24">SUM(J174:J189)</f>
        <v>0</v>
      </c>
      <c r="K190" s="82">
        <f t="shared" ca="1" si="24"/>
        <v>0</v>
      </c>
      <c r="L190" s="82">
        <f t="shared" ca="1" si="24"/>
        <v>0</v>
      </c>
      <c r="M190" s="82">
        <f t="shared" ca="1" si="24"/>
        <v>0</v>
      </c>
      <c r="N190" s="82">
        <f t="shared" ca="1" si="24"/>
        <v>7636.6005456358253</v>
      </c>
      <c r="O190" s="82">
        <f t="shared" ca="1" si="24"/>
        <v>6391.8502450717833</v>
      </c>
      <c r="P190" s="82">
        <f t="shared" ca="1" si="24"/>
        <v>10277.22542917498</v>
      </c>
      <c r="Q190" s="82">
        <f t="shared" ca="1" si="24"/>
        <v>10536.102975536267</v>
      </c>
      <c r="R190" s="82">
        <f t="shared" ca="1" si="24"/>
        <v>10519.666283149183</v>
      </c>
      <c r="S190" s="82">
        <f t="shared" ca="1" si="24"/>
        <v>11179.702967828689</v>
      </c>
      <c r="T190" s="82">
        <f t="shared" ca="1" si="24"/>
        <v>11723.249315202642</v>
      </c>
    </row>
    <row r="191" spans="4:20" outlineLevel="2"/>
    <row r="192" spans="4:20" outlineLevel="2">
      <c r="D192" s="37" t="s">
        <v>216</v>
      </c>
    </row>
    <row r="193" spans="5:20" ht="5.9" customHeight="1" outlineLevel="2"/>
    <row r="194" spans="5:20" ht="11.5" customHeight="1" outlineLevel="2">
      <c r="E194" s="247" t="str">
        <f>GC!C40</f>
        <v>Transmission pipelines</v>
      </c>
      <c r="F194" s="247"/>
      <c r="G194" s="247"/>
      <c r="H194" s="247"/>
      <c r="I194" s="247"/>
      <c r="J194" s="81">
        <f ca="1">J154*(1+INDEX(J$35:J$37,MATCH(Work_Codes!$I$269,$D$35:$D$37,0)))</f>
        <v>0</v>
      </c>
      <c r="K194" s="81">
        <f ca="1">K154*(1+INDEX(K$35:K$37,MATCH(Work_Codes!$I$269,$D$35:$D$37,0)))</f>
        <v>0</v>
      </c>
      <c r="L194" s="81">
        <f ca="1">L154*(1+INDEX(L$35:L$37,MATCH(Work_Codes!$I$269,$D$35:$D$37,0)))</f>
        <v>0</v>
      </c>
      <c r="M194" s="81">
        <f ca="1">M154*(1+INDEX(M$35:M$37,MATCH(Work_Codes!$I$269,$D$35:$D$37,0)))</f>
        <v>0</v>
      </c>
      <c r="N194" s="81">
        <f ca="1">N154*(1+INDEX(N$35:N$37,MATCH(Work_Codes!$I$269,$D$35:$D$37,0)))</f>
        <v>0</v>
      </c>
      <c r="O194" s="81">
        <f ca="1">O154*(1+INDEX(O$35:O$37,MATCH(Work_Codes!$I$269,$D$35:$D$37,0)))</f>
        <v>0</v>
      </c>
      <c r="P194" s="81">
        <f ca="1">P154*(1+INDEX(P$35:P$37,MATCH(Work_Codes!$I$269,$D$35:$D$37,0)))</f>
        <v>0</v>
      </c>
      <c r="Q194" s="81">
        <f ca="1">Q154*(1+INDEX(Q$35:Q$37,MATCH(Work_Codes!$I$269,$D$35:$D$37,0)))</f>
        <v>0</v>
      </c>
      <c r="R194" s="81">
        <f ca="1">R154*(1+INDEX(R$35:R$37,MATCH(Work_Codes!$I$269,$D$35:$D$37,0)))</f>
        <v>0</v>
      </c>
      <c r="S194" s="81">
        <f ca="1">S154*(1+INDEX(S$35:S$37,MATCH(Work_Codes!$I$269,$D$35:$D$37,0)))</f>
        <v>0</v>
      </c>
      <c r="T194" s="81">
        <f ca="1">T154*(1+INDEX(T$35:T$37,MATCH(Work_Codes!$I$269,$D$35:$D$37,0)))</f>
        <v>0</v>
      </c>
    </row>
    <row r="195" spans="5:20" ht="11.5" customHeight="1" outlineLevel="2">
      <c r="E195" s="247" t="str">
        <f>GC!C41</f>
        <v>Distribution pipelines</v>
      </c>
      <c r="F195" s="247"/>
      <c r="G195" s="247"/>
      <c r="H195" s="247"/>
      <c r="I195" s="247"/>
      <c r="J195" s="81">
        <f ca="1">J155*(1+INDEX(J$35:J$37,MATCH(Work_Codes!$I$269,$D$35:$D$37,0)))</f>
        <v>0</v>
      </c>
      <c r="K195" s="81">
        <f ca="1">K155*(1+INDEX(K$35:K$37,MATCH(Work_Codes!$I$269,$D$35:$D$37,0)))</f>
        <v>0</v>
      </c>
      <c r="L195" s="81">
        <f ca="1">L155*(1+INDEX(L$35:L$37,MATCH(Work_Codes!$I$269,$D$35:$D$37,0)))</f>
        <v>0</v>
      </c>
      <c r="M195" s="81">
        <f ca="1">M155*(1+INDEX(M$35:M$37,MATCH(Work_Codes!$I$269,$D$35:$D$37,0)))</f>
        <v>0</v>
      </c>
      <c r="N195" s="81">
        <f ca="1">N155*(1+INDEX(N$35:N$37,MATCH(Work_Codes!$I$269,$D$35:$D$37,0)))</f>
        <v>0</v>
      </c>
      <c r="O195" s="81">
        <f ca="1">O155*(1+INDEX(O$35:O$37,MATCH(Work_Codes!$I$269,$D$35:$D$37,0)))</f>
        <v>0</v>
      </c>
      <c r="P195" s="81">
        <f ca="1">P155*(1+INDEX(P$35:P$37,MATCH(Work_Codes!$I$269,$D$35:$D$37,0)))</f>
        <v>0</v>
      </c>
      <c r="Q195" s="81">
        <f ca="1">Q155*(1+INDEX(Q$35:Q$37,MATCH(Work_Codes!$I$269,$D$35:$D$37,0)))</f>
        <v>0</v>
      </c>
      <c r="R195" s="81">
        <f ca="1">R155*(1+INDEX(R$35:R$37,MATCH(Work_Codes!$I$269,$D$35:$D$37,0)))</f>
        <v>0</v>
      </c>
      <c r="S195" s="81">
        <f ca="1">S155*(1+INDEX(S$35:S$37,MATCH(Work_Codes!$I$269,$D$35:$D$37,0)))</f>
        <v>0</v>
      </c>
      <c r="T195" s="81">
        <f ca="1">T155*(1+INDEX(T$35:T$37,MATCH(Work_Codes!$I$269,$D$35:$D$37,0)))</f>
        <v>0</v>
      </c>
    </row>
    <row r="196" spans="5:20" ht="11.5" customHeight="1" outlineLevel="2">
      <c r="E196" s="247" t="str">
        <f>GC!C42</f>
        <v>Service pipes</v>
      </c>
      <c r="F196" s="247"/>
      <c r="G196" s="247"/>
      <c r="H196" s="247"/>
      <c r="I196" s="247"/>
      <c r="J196" s="81">
        <f ca="1">J156*(1+INDEX(J$35:J$37,MATCH(Work_Codes!$I$269,$D$35:$D$37,0)))</f>
        <v>0</v>
      </c>
      <c r="K196" s="81">
        <f ca="1">K156*(1+INDEX(K$35:K$37,MATCH(Work_Codes!$I$269,$D$35:$D$37,0)))</f>
        <v>0</v>
      </c>
      <c r="L196" s="81">
        <f ca="1">L156*(1+INDEX(L$35:L$37,MATCH(Work_Codes!$I$269,$D$35:$D$37,0)))</f>
        <v>0</v>
      </c>
      <c r="M196" s="81">
        <f ca="1">M156*(1+INDEX(M$35:M$37,MATCH(Work_Codes!$I$269,$D$35:$D$37,0)))</f>
        <v>0</v>
      </c>
      <c r="N196" s="81">
        <f ca="1">N156*(1+INDEX(N$35:N$37,MATCH(Work_Codes!$I$269,$D$35:$D$37,0)))</f>
        <v>0</v>
      </c>
      <c r="O196" s="81">
        <f ca="1">O156*(1+INDEX(O$35:O$37,MATCH(Work_Codes!$I$269,$D$35:$D$37,0)))</f>
        <v>0</v>
      </c>
      <c r="P196" s="81">
        <f ca="1">P156*(1+INDEX(P$35:P$37,MATCH(Work_Codes!$I$269,$D$35:$D$37,0)))</f>
        <v>0</v>
      </c>
      <c r="Q196" s="81">
        <f ca="1">Q156*(1+INDEX(Q$35:Q$37,MATCH(Work_Codes!$I$269,$D$35:$D$37,0)))</f>
        <v>0</v>
      </c>
      <c r="R196" s="81">
        <f ca="1">R156*(1+INDEX(R$35:R$37,MATCH(Work_Codes!$I$269,$D$35:$D$37,0)))</f>
        <v>0</v>
      </c>
      <c r="S196" s="81">
        <f ca="1">S156*(1+INDEX(S$35:S$37,MATCH(Work_Codes!$I$269,$D$35:$D$37,0)))</f>
        <v>0</v>
      </c>
      <c r="T196" s="81">
        <f ca="1">T156*(1+INDEX(T$35:T$37,MATCH(Work_Codes!$I$269,$D$35:$D$37,0)))</f>
        <v>0</v>
      </c>
    </row>
    <row r="197" spans="5:20" ht="11.5" customHeight="1" outlineLevel="2">
      <c r="E197" s="247" t="str">
        <f>GC!C43</f>
        <v>Cathodic protection</v>
      </c>
      <c r="F197" s="247"/>
      <c r="G197" s="247"/>
      <c r="H197" s="247"/>
      <c r="I197" s="247"/>
      <c r="J197" s="81">
        <f ca="1">J157*(1+INDEX(J$35:J$37,MATCH(Work_Codes!$I$269,$D$35:$D$37,0)))</f>
        <v>0</v>
      </c>
      <c r="K197" s="81">
        <f ca="1">K157*(1+INDEX(K$35:K$37,MATCH(Work_Codes!$I$269,$D$35:$D$37,0)))</f>
        <v>0</v>
      </c>
      <c r="L197" s="81">
        <f ca="1">L157*(1+INDEX(L$35:L$37,MATCH(Work_Codes!$I$269,$D$35:$D$37,0)))</f>
        <v>0</v>
      </c>
      <c r="M197" s="81">
        <f ca="1">M157*(1+INDEX(M$35:M$37,MATCH(Work_Codes!$I$269,$D$35:$D$37,0)))</f>
        <v>0</v>
      </c>
      <c r="N197" s="81">
        <f ca="1">N157*(1+INDEX(N$35:N$37,MATCH(Work_Codes!$I$269,$D$35:$D$37,0)))</f>
        <v>0</v>
      </c>
      <c r="O197" s="81">
        <f ca="1">O157*(1+INDEX(O$35:O$37,MATCH(Work_Codes!$I$269,$D$35:$D$37,0)))</f>
        <v>0</v>
      </c>
      <c r="P197" s="81">
        <f ca="1">P157*(1+INDEX(P$35:P$37,MATCH(Work_Codes!$I$269,$D$35:$D$37,0)))</f>
        <v>0</v>
      </c>
      <c r="Q197" s="81">
        <f ca="1">Q157*(1+INDEX(Q$35:Q$37,MATCH(Work_Codes!$I$269,$D$35:$D$37,0)))</f>
        <v>0</v>
      </c>
      <c r="R197" s="81">
        <f ca="1">R157*(1+INDEX(R$35:R$37,MATCH(Work_Codes!$I$269,$D$35:$D$37,0)))</f>
        <v>0</v>
      </c>
      <c r="S197" s="81">
        <f ca="1">S157*(1+INDEX(S$35:S$37,MATCH(Work_Codes!$I$269,$D$35:$D$37,0)))</f>
        <v>0</v>
      </c>
      <c r="T197" s="81">
        <f ca="1">T157*(1+INDEX(T$35:T$37,MATCH(Work_Codes!$I$269,$D$35:$D$37,0)))</f>
        <v>0</v>
      </c>
    </row>
    <row r="198" spans="5:20" ht="11.5" customHeight="1" outlineLevel="2">
      <c r="E198" s="247" t="str">
        <f>GC!C44</f>
        <v>Supply Regulators / Valve Stations</v>
      </c>
      <c r="F198" s="247"/>
      <c r="G198" s="247"/>
      <c r="H198" s="247"/>
      <c r="I198" s="247"/>
      <c r="J198" s="81">
        <f ca="1">J158*(1+INDEX(J$35:J$37,MATCH(Work_Codes!$I$269,$D$35:$D$37,0)))</f>
        <v>0</v>
      </c>
      <c r="K198" s="81">
        <f ca="1">K158*(1+INDEX(K$35:K$37,MATCH(Work_Codes!$I$269,$D$35:$D$37,0)))</f>
        <v>0</v>
      </c>
      <c r="L198" s="81">
        <f ca="1">L158*(1+INDEX(L$35:L$37,MATCH(Work_Codes!$I$269,$D$35:$D$37,0)))</f>
        <v>0</v>
      </c>
      <c r="M198" s="81">
        <f ca="1">M158*(1+INDEX(M$35:M$37,MATCH(Work_Codes!$I$269,$D$35:$D$37,0)))</f>
        <v>0</v>
      </c>
      <c r="N198" s="81">
        <f ca="1">N158*(1+INDEX(N$35:N$37,MATCH(Work_Codes!$I$269,$D$35:$D$37,0)))</f>
        <v>0</v>
      </c>
      <c r="O198" s="81">
        <f ca="1">O158*(1+INDEX(O$35:O$37,MATCH(Work_Codes!$I$269,$D$35:$D$37,0)))</f>
        <v>0</v>
      </c>
      <c r="P198" s="81">
        <f ca="1">P158*(1+INDEX(P$35:P$37,MATCH(Work_Codes!$I$269,$D$35:$D$37,0)))</f>
        <v>0</v>
      </c>
      <c r="Q198" s="81">
        <f ca="1">Q158*(1+INDEX(Q$35:Q$37,MATCH(Work_Codes!$I$269,$D$35:$D$37,0)))</f>
        <v>0</v>
      </c>
      <c r="R198" s="81">
        <f ca="1">R158*(1+INDEX(R$35:R$37,MATCH(Work_Codes!$I$269,$D$35:$D$37,0)))</f>
        <v>0</v>
      </c>
      <c r="S198" s="81">
        <f ca="1">S158*(1+INDEX(S$35:S$37,MATCH(Work_Codes!$I$269,$D$35:$D$37,0)))</f>
        <v>0</v>
      </c>
      <c r="T198" s="81">
        <f ca="1">T158*(1+INDEX(T$35:T$37,MATCH(Work_Codes!$I$269,$D$35:$D$37,0)))</f>
        <v>0</v>
      </c>
    </row>
    <row r="199" spans="5:20" ht="11.5" customHeight="1" outlineLevel="2">
      <c r="E199" s="247" t="str">
        <f>GC!C45</f>
        <v>Meters</v>
      </c>
      <c r="F199" s="247"/>
      <c r="G199" s="247"/>
      <c r="H199" s="247"/>
      <c r="I199" s="247"/>
      <c r="J199" s="81">
        <f ca="1">J159*(1+INDEX(J$35:J$37,MATCH(Work_Codes!$I$269,$D$35:$D$37,0)))</f>
        <v>0</v>
      </c>
      <c r="K199" s="81">
        <f ca="1">K159*(1+INDEX(K$35:K$37,MATCH(Work_Codes!$I$269,$D$35:$D$37,0)))</f>
        <v>0</v>
      </c>
      <c r="L199" s="81">
        <f ca="1">L159*(1+INDEX(L$35:L$37,MATCH(Work_Codes!$I$269,$D$35:$D$37,0)))</f>
        <v>0</v>
      </c>
      <c r="M199" s="81">
        <f ca="1">M159*(1+INDEX(M$35:M$37,MATCH(Work_Codes!$I$269,$D$35:$D$37,0)))</f>
        <v>0</v>
      </c>
      <c r="N199" s="81">
        <f ca="1">N159*(1+INDEX(N$35:N$37,MATCH(Work_Codes!$I$269,$D$35:$D$37,0)))</f>
        <v>0</v>
      </c>
      <c r="O199" s="81">
        <f ca="1">O159*(1+INDEX(O$35:O$37,MATCH(Work_Codes!$I$269,$D$35:$D$37,0)))</f>
        <v>0</v>
      </c>
      <c r="P199" s="81">
        <f ca="1">P159*(1+INDEX(P$35:P$37,MATCH(Work_Codes!$I$269,$D$35:$D$37,0)))</f>
        <v>0</v>
      </c>
      <c r="Q199" s="81">
        <f ca="1">Q159*(1+INDEX(Q$35:Q$37,MATCH(Work_Codes!$I$269,$D$35:$D$37,0)))</f>
        <v>0</v>
      </c>
      <c r="R199" s="81">
        <f ca="1">R159*(1+INDEX(R$35:R$37,MATCH(Work_Codes!$I$269,$D$35:$D$37,0)))</f>
        <v>0</v>
      </c>
      <c r="S199" s="81">
        <f ca="1">S159*(1+INDEX(S$35:S$37,MATCH(Work_Codes!$I$269,$D$35:$D$37,0)))</f>
        <v>0</v>
      </c>
      <c r="T199" s="81">
        <f ca="1">T159*(1+INDEX(T$35:T$37,MATCH(Work_Codes!$I$269,$D$35:$D$37,0)))</f>
        <v>0</v>
      </c>
    </row>
    <row r="200" spans="5:20" ht="11.5" customHeight="1" outlineLevel="2">
      <c r="E200" s="247" t="str">
        <f>GC!C46</f>
        <v>SCADA and remote control</v>
      </c>
      <c r="F200" s="247"/>
      <c r="G200" s="247"/>
      <c r="H200" s="247"/>
      <c r="I200" s="247"/>
      <c r="J200" s="81">
        <f ca="1">J160*(1+INDEX(J$35:J$37,MATCH(Work_Codes!$I$269,$D$35:$D$37,0)))</f>
        <v>0</v>
      </c>
      <c r="K200" s="81">
        <f ca="1">K160*(1+INDEX(K$35:K$37,MATCH(Work_Codes!$I$269,$D$35:$D$37,0)))</f>
        <v>0</v>
      </c>
      <c r="L200" s="81">
        <f ca="1">L160*(1+INDEX(L$35:L$37,MATCH(Work_Codes!$I$269,$D$35:$D$37,0)))</f>
        <v>0</v>
      </c>
      <c r="M200" s="81">
        <f ca="1">M160*(1+INDEX(M$35:M$37,MATCH(Work_Codes!$I$269,$D$35:$D$37,0)))</f>
        <v>0</v>
      </c>
      <c r="N200" s="81">
        <f ca="1">N160*(1+INDEX(N$35:N$37,MATCH(Work_Codes!$I$269,$D$35:$D$37,0)))</f>
        <v>0</v>
      </c>
      <c r="O200" s="81">
        <f ca="1">O160*(1+INDEX(O$35:O$37,MATCH(Work_Codes!$I$269,$D$35:$D$37,0)))</f>
        <v>0</v>
      </c>
      <c r="P200" s="81">
        <f ca="1">P160*(1+INDEX(P$35:P$37,MATCH(Work_Codes!$I$269,$D$35:$D$37,0)))</f>
        <v>0</v>
      </c>
      <c r="Q200" s="81">
        <f ca="1">Q160*(1+INDEX(Q$35:Q$37,MATCH(Work_Codes!$I$269,$D$35:$D$37,0)))</f>
        <v>0</v>
      </c>
      <c r="R200" s="81">
        <f ca="1">R160*(1+INDEX(R$35:R$37,MATCH(Work_Codes!$I$269,$D$35:$D$37,0)))</f>
        <v>0</v>
      </c>
      <c r="S200" s="81">
        <f ca="1">S160*(1+INDEX(S$35:S$37,MATCH(Work_Codes!$I$269,$D$35:$D$37,0)))</f>
        <v>0</v>
      </c>
      <c r="T200" s="81">
        <f ca="1">T160*(1+INDEX(T$35:T$37,MATCH(Work_Codes!$I$269,$D$35:$D$37,0)))</f>
        <v>0</v>
      </c>
    </row>
    <row r="201" spans="5:20" ht="11.5" customHeight="1" outlineLevel="2">
      <c r="E201" s="247" t="str">
        <f>GC!C47</f>
        <v>Buildings</v>
      </c>
      <c r="F201" s="247"/>
      <c r="G201" s="247"/>
      <c r="H201" s="247"/>
      <c r="I201" s="247"/>
      <c r="J201" s="81">
        <f ca="1">J161*(1+INDEX(J$35:J$37,MATCH(Work_Codes!$I$269,$D$35:$D$37,0)))</f>
        <v>0</v>
      </c>
      <c r="K201" s="81">
        <f ca="1">K161*(1+INDEX(K$35:K$37,MATCH(Work_Codes!$I$269,$D$35:$D$37,0)))</f>
        <v>0</v>
      </c>
      <c r="L201" s="81">
        <f ca="1">L161*(1+INDEX(L$35:L$37,MATCH(Work_Codes!$I$269,$D$35:$D$37,0)))</f>
        <v>0</v>
      </c>
      <c r="M201" s="81">
        <f ca="1">M161*(1+INDEX(M$35:M$37,MATCH(Work_Codes!$I$269,$D$35:$D$37,0)))</f>
        <v>0</v>
      </c>
      <c r="N201" s="81">
        <f ca="1">N161*(1+INDEX(N$35:N$37,MATCH(Work_Codes!$I$269,$D$35:$D$37,0)))</f>
        <v>0</v>
      </c>
      <c r="O201" s="81">
        <f ca="1">O161*(1+INDEX(O$35:O$37,MATCH(Work_Codes!$I$269,$D$35:$D$37,0)))</f>
        <v>0</v>
      </c>
      <c r="P201" s="81">
        <f ca="1">P161*(1+INDEX(P$35:P$37,MATCH(Work_Codes!$I$269,$D$35:$D$37,0)))</f>
        <v>0</v>
      </c>
      <c r="Q201" s="81">
        <f ca="1">Q161*(1+INDEX(Q$35:Q$37,MATCH(Work_Codes!$I$269,$D$35:$D$37,0)))</f>
        <v>0</v>
      </c>
      <c r="R201" s="81">
        <f ca="1">R161*(1+INDEX(R$35:R$37,MATCH(Work_Codes!$I$269,$D$35:$D$37,0)))</f>
        <v>0</v>
      </c>
      <c r="S201" s="81">
        <f ca="1">S161*(1+INDEX(S$35:S$37,MATCH(Work_Codes!$I$269,$D$35:$D$37,0)))</f>
        <v>0</v>
      </c>
      <c r="T201" s="81">
        <f ca="1">T161*(1+INDEX(T$35:T$37,MATCH(Work_Codes!$I$269,$D$35:$D$37,0)))</f>
        <v>0</v>
      </c>
    </row>
    <row r="202" spans="5:20" ht="11.5" customHeight="1" outlineLevel="2">
      <c r="E202" s="247" t="str">
        <f>GC!C48</f>
        <v>Other - IT</v>
      </c>
      <c r="F202" s="247"/>
      <c r="G202" s="247"/>
      <c r="H202" s="247"/>
      <c r="I202" s="247"/>
      <c r="J202" s="81">
        <f ca="1">J162*(1+INDEX(J$35:J$37,MATCH(Work_Codes!$I$269,$D$35:$D$37,0)))</f>
        <v>0</v>
      </c>
      <c r="K202" s="81">
        <f ca="1">K162*(1+INDEX(K$35:K$37,MATCH(Work_Codes!$I$269,$D$35:$D$37,0)))</f>
        <v>0</v>
      </c>
      <c r="L202" s="81">
        <f ca="1">L162*(1+INDEX(L$35:L$37,MATCH(Work_Codes!$I$269,$D$35:$D$37,0)))</f>
        <v>0</v>
      </c>
      <c r="M202" s="81">
        <f ca="1">M162*(1+INDEX(M$35:M$37,MATCH(Work_Codes!$I$269,$D$35:$D$37,0)))</f>
        <v>0</v>
      </c>
      <c r="N202" s="81">
        <f ca="1">N162*(1+INDEX(N$35:N$37,MATCH(Work_Codes!$I$269,$D$35:$D$37,0)))</f>
        <v>0</v>
      </c>
      <c r="O202" s="81">
        <f ca="1">O162*(1+INDEX(O$35:O$37,MATCH(Work_Codes!$I$269,$D$35:$D$37,0)))</f>
        <v>0</v>
      </c>
      <c r="P202" s="81">
        <f ca="1">P162*(1+INDEX(P$35:P$37,MATCH(Work_Codes!$I$269,$D$35:$D$37,0)))</f>
        <v>0</v>
      </c>
      <c r="Q202" s="81">
        <f ca="1">Q162*(1+INDEX(Q$35:Q$37,MATCH(Work_Codes!$I$269,$D$35:$D$37,0)))</f>
        <v>0</v>
      </c>
      <c r="R202" s="81">
        <f ca="1">R162*(1+INDEX(R$35:R$37,MATCH(Work_Codes!$I$269,$D$35:$D$37,0)))</f>
        <v>0</v>
      </c>
      <c r="S202" s="81">
        <f ca="1">S162*(1+INDEX(S$35:S$37,MATCH(Work_Codes!$I$269,$D$35:$D$37,0)))</f>
        <v>0</v>
      </c>
      <c r="T202" s="81">
        <f ca="1">T162*(1+INDEX(T$35:T$37,MATCH(Work_Codes!$I$269,$D$35:$D$37,0)))</f>
        <v>0</v>
      </c>
    </row>
    <row r="203" spans="5:20" ht="11.5" customHeight="1" outlineLevel="2">
      <c r="E203" s="247" t="str">
        <f>GC!C49</f>
        <v>Other - non IT</v>
      </c>
      <c r="F203" s="247"/>
      <c r="G203" s="247"/>
      <c r="H203" s="247"/>
      <c r="I203" s="247"/>
      <c r="J203" s="81">
        <f ca="1">J163*(1+INDEX(J$35:J$37,MATCH(Work_Codes!$I$269,$D$35:$D$37,0)))</f>
        <v>0</v>
      </c>
      <c r="K203" s="81">
        <f ca="1">K163*(1+INDEX(K$35:K$37,MATCH(Work_Codes!$I$269,$D$35:$D$37,0)))</f>
        <v>0</v>
      </c>
      <c r="L203" s="81">
        <f ca="1">L163*(1+INDEX(L$35:L$37,MATCH(Work_Codes!$I$269,$D$35:$D$37,0)))</f>
        <v>0</v>
      </c>
      <c r="M203" s="81">
        <f ca="1">M163*(1+INDEX(M$35:M$37,MATCH(Work_Codes!$I$269,$D$35:$D$37,0)))</f>
        <v>0</v>
      </c>
      <c r="N203" s="81">
        <f ca="1">N163*(1+INDEX(N$35:N$37,MATCH(Work_Codes!$I$269,$D$35:$D$37,0)))</f>
        <v>0</v>
      </c>
      <c r="O203" s="81">
        <f ca="1">O163*(1+INDEX(O$35:O$37,MATCH(Work_Codes!$I$269,$D$35:$D$37,0)))</f>
        <v>0</v>
      </c>
      <c r="P203" s="81">
        <f ca="1">P163*(1+INDEX(P$35:P$37,MATCH(Work_Codes!$I$269,$D$35:$D$37,0)))</f>
        <v>0</v>
      </c>
      <c r="Q203" s="81">
        <f ca="1">Q163*(1+INDEX(Q$35:Q$37,MATCH(Work_Codes!$I$269,$D$35:$D$37,0)))</f>
        <v>0</v>
      </c>
      <c r="R203" s="81">
        <f ca="1">R163*(1+INDEX(R$35:R$37,MATCH(Work_Codes!$I$269,$D$35:$D$37,0)))</f>
        <v>0</v>
      </c>
      <c r="S203" s="81">
        <f ca="1">S163*(1+INDEX(S$35:S$37,MATCH(Work_Codes!$I$269,$D$35:$D$37,0)))</f>
        <v>0</v>
      </c>
      <c r="T203" s="81">
        <f ca="1">T163*(1+INDEX(T$35:T$37,MATCH(Work_Codes!$I$269,$D$35:$D$37,0)))</f>
        <v>0</v>
      </c>
    </row>
    <row r="204" spans="5:20" ht="11.5" customHeight="1" outlineLevel="2">
      <c r="E204" s="247" t="str">
        <f>GC!C50</f>
        <v>Land</v>
      </c>
      <c r="F204" s="247"/>
      <c r="G204" s="247"/>
      <c r="H204" s="247"/>
      <c r="I204" s="247"/>
      <c r="J204" s="81">
        <f ca="1">J164*(1+INDEX(J$35:J$37,MATCH(Work_Codes!$I$269,$D$35:$D$37,0)))</f>
        <v>0</v>
      </c>
      <c r="K204" s="81">
        <f ca="1">K164*(1+INDEX(K$35:K$37,MATCH(Work_Codes!$I$269,$D$35:$D$37,0)))</f>
        <v>0</v>
      </c>
      <c r="L204" s="81">
        <f ca="1">L164*(1+INDEX(L$35:L$37,MATCH(Work_Codes!$I$269,$D$35:$D$37,0)))</f>
        <v>0</v>
      </c>
      <c r="M204" s="81">
        <f ca="1">M164*(1+INDEX(M$35:M$37,MATCH(Work_Codes!$I$269,$D$35:$D$37,0)))</f>
        <v>0</v>
      </c>
      <c r="N204" s="81">
        <f ca="1">N164*(1+INDEX(N$35:N$37,MATCH(Work_Codes!$I$269,$D$35:$D$37,0)))</f>
        <v>0</v>
      </c>
      <c r="O204" s="81">
        <f ca="1">O164*(1+INDEX(O$35:O$37,MATCH(Work_Codes!$I$269,$D$35:$D$37,0)))</f>
        <v>0</v>
      </c>
      <c r="P204" s="81">
        <f ca="1">P164*(1+INDEX(P$35:P$37,MATCH(Work_Codes!$I$269,$D$35:$D$37,0)))</f>
        <v>0</v>
      </c>
      <c r="Q204" s="81">
        <f ca="1">Q164*(1+INDEX(Q$35:Q$37,MATCH(Work_Codes!$I$269,$D$35:$D$37,0)))</f>
        <v>0</v>
      </c>
      <c r="R204" s="81">
        <f ca="1">R164*(1+INDEX(R$35:R$37,MATCH(Work_Codes!$I$269,$D$35:$D$37,0)))</f>
        <v>0</v>
      </c>
      <c r="S204" s="81">
        <f ca="1">S164*(1+INDEX(S$35:S$37,MATCH(Work_Codes!$I$269,$D$35:$D$37,0)))</f>
        <v>0</v>
      </c>
      <c r="T204" s="81">
        <f ca="1">T164*(1+INDEX(T$35:T$37,MATCH(Work_Codes!$I$269,$D$35:$D$37,0)))</f>
        <v>0</v>
      </c>
    </row>
    <row r="205" spans="5:20" outlineLevel="2">
      <c r="E205" s="247" t="str">
        <f>GC!C51</f>
        <v>Capitalised Leases</v>
      </c>
      <c r="F205" s="247"/>
      <c r="G205" s="247"/>
      <c r="H205" s="247"/>
      <c r="I205" s="247"/>
      <c r="J205" s="81">
        <f ca="1">J165*(1+INDEX(J$35:J$37,MATCH(Work_Codes!$I$269,$D$35:$D$37,0)))</f>
        <v>0</v>
      </c>
      <c r="K205" s="81">
        <f ca="1">K165*(1+INDEX(K$35:K$37,MATCH(Work_Codes!$I$269,$D$35:$D$37,0)))</f>
        <v>0</v>
      </c>
      <c r="L205" s="81">
        <f ca="1">L165*(1+INDEX(L$35:L$37,MATCH(Work_Codes!$I$269,$D$35:$D$37,0)))</f>
        <v>0</v>
      </c>
      <c r="M205" s="81">
        <f ca="1">M165*(1+INDEX(M$35:M$37,MATCH(Work_Codes!$I$269,$D$35:$D$37,0)))</f>
        <v>0</v>
      </c>
      <c r="N205" s="81">
        <f ca="1">N165*(1+INDEX(N$35:N$37,MATCH(Work_Codes!$I$269,$D$35:$D$37,0)))</f>
        <v>0</v>
      </c>
      <c r="O205" s="81">
        <f ca="1">O165*(1+INDEX(O$35:O$37,MATCH(Work_Codes!$I$269,$D$35:$D$37,0)))</f>
        <v>0</v>
      </c>
      <c r="P205" s="81">
        <f ca="1">P165*(1+INDEX(P$35:P$37,MATCH(Work_Codes!$I$269,$D$35:$D$37,0)))</f>
        <v>0</v>
      </c>
      <c r="Q205" s="81">
        <f ca="1">Q165*(1+INDEX(Q$35:Q$37,MATCH(Work_Codes!$I$269,$D$35:$D$37,0)))</f>
        <v>0</v>
      </c>
      <c r="R205" s="81">
        <f ca="1">R165*(1+INDEX(R$35:R$37,MATCH(Work_Codes!$I$269,$D$35:$D$37,0)))</f>
        <v>0</v>
      </c>
      <c r="S205" s="81">
        <f ca="1">S165*(1+INDEX(S$35:S$37,MATCH(Work_Codes!$I$269,$D$35:$D$37,0)))</f>
        <v>0</v>
      </c>
      <c r="T205" s="81">
        <f ca="1">T165*(1+INDEX(T$35:T$37,MATCH(Work_Codes!$I$269,$D$35:$D$37,0)))</f>
        <v>0</v>
      </c>
    </row>
    <row r="206" spans="5:20" outlineLevel="2">
      <c r="E206" s="247" t="str">
        <f>GC!C52</f>
        <v>Transmission pipelines - post 1998</v>
      </c>
      <c r="F206" s="247"/>
      <c r="G206" s="247"/>
      <c r="H206" s="247"/>
      <c r="I206" s="247"/>
      <c r="J206" s="81">
        <f ca="1">J166*(1+INDEX(J$35:J$37,MATCH(Work_Codes!$I$269,$D$35:$D$37,0)))</f>
        <v>0</v>
      </c>
      <c r="K206" s="81">
        <f ca="1">K166*(1+INDEX(K$35:K$37,MATCH(Work_Codes!$I$269,$D$35:$D$37,0)))</f>
        <v>0</v>
      </c>
      <c r="L206" s="81">
        <f ca="1">L166*(1+INDEX(L$35:L$37,MATCH(Work_Codes!$I$269,$D$35:$D$37,0)))</f>
        <v>0</v>
      </c>
      <c r="M206" s="81">
        <f ca="1">M166*(1+INDEX(M$35:M$37,MATCH(Work_Codes!$I$269,$D$35:$D$37,0)))</f>
        <v>0</v>
      </c>
      <c r="N206" s="81">
        <f ca="1">N166*(1+INDEX(N$35:N$37,MATCH(Work_Codes!$I$269,$D$35:$D$37,0)))</f>
        <v>0</v>
      </c>
      <c r="O206" s="81">
        <f ca="1">O166*(1+INDEX(O$35:O$37,MATCH(Work_Codes!$I$269,$D$35:$D$37,0)))</f>
        <v>0</v>
      </c>
      <c r="P206" s="81">
        <f ca="1">P166*(1+INDEX(P$35:P$37,MATCH(Work_Codes!$I$269,$D$35:$D$37,0)))</f>
        <v>0</v>
      </c>
      <c r="Q206" s="81">
        <f ca="1">Q166*(1+INDEX(Q$35:Q$37,MATCH(Work_Codes!$I$269,$D$35:$D$37,0)))</f>
        <v>0</v>
      </c>
      <c r="R206" s="81">
        <f ca="1">R166*(1+INDEX(R$35:R$37,MATCH(Work_Codes!$I$269,$D$35:$D$37,0)))</f>
        <v>0</v>
      </c>
      <c r="S206" s="81">
        <f ca="1">S166*(1+INDEX(S$35:S$37,MATCH(Work_Codes!$I$269,$D$35:$D$37,0)))</f>
        <v>0</v>
      </c>
      <c r="T206" s="81">
        <f ca="1">T166*(1+INDEX(T$35:T$37,MATCH(Work_Codes!$I$269,$D$35:$D$37,0)))</f>
        <v>0</v>
      </c>
    </row>
    <row r="207" spans="5:20" outlineLevel="2">
      <c r="E207" s="247" t="str">
        <f>GC!C53</f>
        <v>Distribution pipelines - post 1998</v>
      </c>
      <c r="F207" s="247"/>
      <c r="G207" s="247"/>
      <c r="H207" s="247"/>
      <c r="I207" s="247"/>
      <c r="J207" s="81">
        <f ca="1">J167*(1+INDEX(J$35:J$37,MATCH(Work_Codes!$I$269,$D$35:$D$37,0)))</f>
        <v>0</v>
      </c>
      <c r="K207" s="81">
        <f ca="1">K167*(1+INDEX(K$35:K$37,MATCH(Work_Codes!$I$269,$D$35:$D$37,0)))</f>
        <v>0</v>
      </c>
      <c r="L207" s="81">
        <f ca="1">L167*(1+INDEX(L$35:L$37,MATCH(Work_Codes!$I$269,$D$35:$D$37,0)))</f>
        <v>0</v>
      </c>
      <c r="M207" s="81">
        <f ca="1">M167*(1+INDEX(M$35:M$37,MATCH(Work_Codes!$I$269,$D$35:$D$37,0)))</f>
        <v>0</v>
      </c>
      <c r="N207" s="81">
        <f ca="1">N167*(1+INDEX(N$35:N$37,MATCH(Work_Codes!$I$269,$D$35:$D$37,0)))</f>
        <v>0</v>
      </c>
      <c r="O207" s="81">
        <f ca="1">O167*(1+INDEX(O$35:O$37,MATCH(Work_Codes!$I$269,$D$35:$D$37,0)))</f>
        <v>0</v>
      </c>
      <c r="P207" s="81">
        <f ca="1">P167*(1+INDEX(P$35:P$37,MATCH(Work_Codes!$I$269,$D$35:$D$37,0)))</f>
        <v>0</v>
      </c>
      <c r="Q207" s="81">
        <f ca="1">Q167*(1+INDEX(Q$35:Q$37,MATCH(Work_Codes!$I$269,$D$35:$D$37,0)))</f>
        <v>0</v>
      </c>
      <c r="R207" s="81">
        <f ca="1">R167*(1+INDEX(R$35:R$37,MATCH(Work_Codes!$I$269,$D$35:$D$37,0)))</f>
        <v>0</v>
      </c>
      <c r="S207" s="81">
        <f ca="1">S167*(1+INDEX(S$35:S$37,MATCH(Work_Codes!$I$269,$D$35:$D$37,0)))</f>
        <v>0</v>
      </c>
      <c r="T207" s="81">
        <f ca="1">T167*(1+INDEX(T$35:T$37,MATCH(Work_Codes!$I$269,$D$35:$D$37,0)))</f>
        <v>0</v>
      </c>
    </row>
    <row r="208" spans="5:20" outlineLevel="2">
      <c r="E208" s="247" t="str">
        <f>GC!C54</f>
        <v>Service pipes - post 1998</v>
      </c>
      <c r="F208" s="247"/>
      <c r="G208" s="247"/>
      <c r="H208" s="247"/>
      <c r="I208" s="247"/>
      <c r="J208" s="81">
        <f ca="1">J168*(1+INDEX(J$35:J$37,MATCH(Work_Codes!$I$269,$D$35:$D$37,0)))</f>
        <v>0</v>
      </c>
      <c r="K208" s="81">
        <f ca="1">K168*(1+INDEX(K$35:K$37,MATCH(Work_Codes!$I$269,$D$35:$D$37,0)))</f>
        <v>0</v>
      </c>
      <c r="L208" s="81">
        <f ca="1">L168*(1+INDEX(L$35:L$37,MATCH(Work_Codes!$I$269,$D$35:$D$37,0)))</f>
        <v>0</v>
      </c>
      <c r="M208" s="81">
        <f ca="1">M168*(1+INDEX(M$35:M$37,MATCH(Work_Codes!$I$269,$D$35:$D$37,0)))</f>
        <v>0</v>
      </c>
      <c r="N208" s="81">
        <f ca="1">N168*(1+INDEX(N$35:N$37,MATCH(Work_Codes!$I$269,$D$35:$D$37,0)))</f>
        <v>0</v>
      </c>
      <c r="O208" s="81">
        <f ca="1">O168*(1+INDEX(O$35:O$37,MATCH(Work_Codes!$I$269,$D$35:$D$37,0)))</f>
        <v>0</v>
      </c>
      <c r="P208" s="81">
        <f ca="1">P168*(1+INDEX(P$35:P$37,MATCH(Work_Codes!$I$269,$D$35:$D$37,0)))</f>
        <v>0</v>
      </c>
      <c r="Q208" s="81">
        <f ca="1">Q168*(1+INDEX(Q$35:Q$37,MATCH(Work_Codes!$I$269,$D$35:$D$37,0)))</f>
        <v>0</v>
      </c>
      <c r="R208" s="81">
        <f ca="1">R168*(1+INDEX(R$35:R$37,MATCH(Work_Codes!$I$269,$D$35:$D$37,0)))</f>
        <v>0</v>
      </c>
      <c r="S208" s="81">
        <f ca="1">S168*(1+INDEX(S$35:S$37,MATCH(Work_Codes!$I$269,$D$35:$D$37,0)))</f>
        <v>0</v>
      </c>
      <c r="T208" s="81">
        <f ca="1">T168*(1+INDEX(T$35:T$37,MATCH(Work_Codes!$I$269,$D$35:$D$37,0)))</f>
        <v>0</v>
      </c>
    </row>
    <row r="209" spans="4:20" outlineLevel="2">
      <c r="E209" s="247" t="str">
        <f>GC!C55</f>
        <v>Cathodic protection - post 1998</v>
      </c>
      <c r="F209" s="247"/>
      <c r="G209" s="247"/>
      <c r="H209" s="247"/>
      <c r="I209" s="247"/>
      <c r="J209" s="81">
        <f ca="1">J169*(1+INDEX(J$35:J$37,MATCH(Work_Codes!$I$269,$D$35:$D$37,0)))</f>
        <v>0</v>
      </c>
      <c r="K209" s="81">
        <f ca="1">K169*(1+INDEX(K$35:K$37,MATCH(Work_Codes!$I$269,$D$35:$D$37,0)))</f>
        <v>0</v>
      </c>
      <c r="L209" s="81">
        <f ca="1">L169*(1+INDEX(L$35:L$37,MATCH(Work_Codes!$I$269,$D$35:$D$37,0)))</f>
        <v>0</v>
      </c>
      <c r="M209" s="81">
        <f ca="1">M169*(1+INDEX(M$35:M$37,MATCH(Work_Codes!$I$269,$D$35:$D$37,0)))</f>
        <v>0</v>
      </c>
      <c r="N209" s="81">
        <f ca="1">N169*(1+INDEX(N$35:N$37,MATCH(Work_Codes!$I$269,$D$35:$D$37,0)))</f>
        <v>210139.82375815403</v>
      </c>
      <c r="O209" s="81">
        <f ca="1">O169*(1+INDEX(O$35:O$37,MATCH(Work_Codes!$I$269,$D$35:$D$37,0)))</f>
        <v>198431.75493810582</v>
      </c>
      <c r="P209" s="81">
        <f ca="1">P169*(1+INDEX(P$35:P$37,MATCH(Work_Codes!$I$269,$D$35:$D$37,0)))</f>
        <v>394434.36090397416</v>
      </c>
      <c r="Q209" s="81">
        <f ca="1">Q169*(1+INDEX(Q$35:Q$37,MATCH(Work_Codes!$I$269,$D$35:$D$37,0)))</f>
        <v>414828.7167390199</v>
      </c>
      <c r="R209" s="81">
        <f ca="1">R169*(1+INDEX(R$35:R$37,MATCH(Work_Codes!$I$269,$D$35:$D$37,0)))</f>
        <v>401978.15395692497</v>
      </c>
      <c r="S209" s="81">
        <f ca="1">S169*(1+INDEX(S$35:S$37,MATCH(Work_Codes!$I$269,$D$35:$D$37,0)))</f>
        <v>402815.41000889102</v>
      </c>
      <c r="T209" s="81">
        <f ca="1">T169*(1+INDEX(T$35:T$37,MATCH(Work_Codes!$I$269,$D$35:$D$37,0)))</f>
        <v>403538.12663377222</v>
      </c>
    </row>
    <row r="210" spans="4:20" ht="12" customHeight="1" outlineLevel="2">
      <c r="E210" s="249" t="str">
        <f>"Total "&amp;D192</f>
        <v>Total Direct Costs + Overheads</v>
      </c>
      <c r="F210" s="249"/>
      <c r="G210" s="249"/>
      <c r="H210" s="249"/>
      <c r="I210" s="249"/>
      <c r="J210" s="82">
        <f t="shared" ref="J210:T210" ca="1" si="25">SUM(J194:J209)</f>
        <v>0</v>
      </c>
      <c r="K210" s="82">
        <f t="shared" ca="1" si="25"/>
        <v>0</v>
      </c>
      <c r="L210" s="82">
        <f t="shared" ca="1" si="25"/>
        <v>0</v>
      </c>
      <c r="M210" s="82">
        <f t="shared" ca="1" si="25"/>
        <v>0</v>
      </c>
      <c r="N210" s="82">
        <f t="shared" ca="1" si="25"/>
        <v>210139.82375815403</v>
      </c>
      <c r="O210" s="82">
        <f t="shared" ca="1" si="25"/>
        <v>198431.75493810582</v>
      </c>
      <c r="P210" s="82">
        <f t="shared" ca="1" si="25"/>
        <v>394434.36090397416</v>
      </c>
      <c r="Q210" s="82">
        <f t="shared" ca="1" si="25"/>
        <v>414828.7167390199</v>
      </c>
      <c r="R210" s="82">
        <f t="shared" ca="1" si="25"/>
        <v>401978.15395692497</v>
      </c>
      <c r="S210" s="82">
        <f t="shared" ca="1" si="25"/>
        <v>402815.41000889102</v>
      </c>
      <c r="T210" s="82">
        <f t="shared" ca="1" si="25"/>
        <v>403538.12663377222</v>
      </c>
    </row>
    <row r="211" spans="4:20" outlineLevel="2"/>
    <row r="212" spans="4:20" outlineLevel="2">
      <c r="D212" s="37" t="s">
        <v>367</v>
      </c>
    </row>
    <row r="213" spans="4:20" ht="5.9" customHeight="1" outlineLevel="2"/>
    <row r="214" spans="4:20" outlineLevel="2">
      <c r="E214" s="247" t="str">
        <f>GC!C40</f>
        <v>Transmission pipelines</v>
      </c>
      <c r="F214" s="247"/>
      <c r="G214" s="247"/>
      <c r="H214" s="247"/>
      <c r="I214" s="247"/>
      <c r="J214" s="81">
        <f ca="1">SUMPRODUCT((Work_Codes!$N$272:$Y$272=$E214)*(Work_Codes!$N$287:$Y$287)*(J$86:J$86))</f>
        <v>0</v>
      </c>
      <c r="K214" s="81">
        <f ca="1">SUMPRODUCT((Work_Codes!$N$272:$Y$272=$E214)*(Work_Codes!$N$287:$Y$287)*(K$86:K$86))</f>
        <v>0</v>
      </c>
      <c r="L214" s="81">
        <f ca="1">SUMPRODUCT((Work_Codes!$N$272:$Y$272=$E214)*(Work_Codes!$N$287:$Y$287)*(L$86:L$86))</f>
        <v>0</v>
      </c>
      <c r="M214" s="81">
        <f ca="1">SUMPRODUCT((Work_Codes!$N$272:$Y$272=$E214)*(Work_Codes!$N$287:$Y$287)*(M$86:M$86))</f>
        <v>0</v>
      </c>
      <c r="N214" s="81">
        <f ca="1">SUMPRODUCT((Work_Codes!$N$272:$Y$272=$E214)*(Work_Codes!$N$287:$Y$287)*(N$86:N$86))</f>
        <v>0</v>
      </c>
      <c r="O214" s="81">
        <f ca="1">SUMPRODUCT((Work_Codes!$N$272:$Y$272=$E214)*(Work_Codes!$N$287:$Y$287)*(O$86:O$86))</f>
        <v>0</v>
      </c>
      <c r="P214" s="81">
        <f ca="1">SUMPRODUCT((Work_Codes!$N$272:$Y$272=$E214)*(Work_Codes!$N$287:$Y$287)*(P$86:P$86))</f>
        <v>0</v>
      </c>
      <c r="Q214" s="81">
        <f ca="1">SUMPRODUCT((Work_Codes!$N$272:$Y$272=$E214)*(Work_Codes!$N$287:$Y$287)*(Q$86:Q$86))</f>
        <v>0</v>
      </c>
      <c r="R214" s="81">
        <f ca="1">SUMPRODUCT((Work_Codes!$N$272:$Y$272=$E214)*(Work_Codes!$N$287:$Y$287)*(R$86:R$86))</f>
        <v>0</v>
      </c>
      <c r="S214" s="81">
        <f ca="1">SUMPRODUCT((Work_Codes!$N$272:$Y$272=$E214)*(Work_Codes!$N$287:$Y$287)*(S$86:S$86))</f>
        <v>0</v>
      </c>
      <c r="T214" s="81">
        <f ca="1">SUMPRODUCT((Work_Codes!$N$272:$Y$272=$E214)*(Work_Codes!$N$287:$Y$287)*(T$86:T$86))</f>
        <v>0</v>
      </c>
    </row>
    <row r="215" spans="4:20" outlineLevel="2">
      <c r="E215" s="247" t="str">
        <f>GC!C41</f>
        <v>Distribution pipelines</v>
      </c>
      <c r="F215" s="247"/>
      <c r="G215" s="247"/>
      <c r="H215" s="247"/>
      <c r="I215" s="247"/>
      <c r="J215" s="81">
        <f ca="1">SUMPRODUCT((Work_Codes!$N$272:$Y$272=$E215)*(Work_Codes!$N$287:$Y$287)*(J$86:J$86))</f>
        <v>0</v>
      </c>
      <c r="K215" s="81">
        <f ca="1">SUMPRODUCT((Work_Codes!$N$272:$Y$272=$E215)*(Work_Codes!$N$287:$Y$287)*(K$86:K$86))</f>
        <v>0</v>
      </c>
      <c r="L215" s="81">
        <f ca="1">SUMPRODUCT((Work_Codes!$N$272:$Y$272=$E215)*(Work_Codes!$N$287:$Y$287)*(L$86:L$86))</f>
        <v>0</v>
      </c>
      <c r="M215" s="81">
        <f ca="1">SUMPRODUCT((Work_Codes!$N$272:$Y$272=$E215)*(Work_Codes!$N$287:$Y$287)*(M$86:M$86))</f>
        <v>0</v>
      </c>
      <c r="N215" s="81">
        <f ca="1">SUMPRODUCT((Work_Codes!$N$272:$Y$272=$E215)*(Work_Codes!$N$287:$Y$287)*(N$86:N$86))</f>
        <v>0</v>
      </c>
      <c r="O215" s="81">
        <f ca="1">SUMPRODUCT((Work_Codes!$N$272:$Y$272=$E215)*(Work_Codes!$N$287:$Y$287)*(O$86:O$86))</f>
        <v>0</v>
      </c>
      <c r="P215" s="81">
        <f ca="1">SUMPRODUCT((Work_Codes!$N$272:$Y$272=$E215)*(Work_Codes!$N$287:$Y$287)*(P$86:P$86))</f>
        <v>0</v>
      </c>
      <c r="Q215" s="81">
        <f ca="1">SUMPRODUCT((Work_Codes!$N$272:$Y$272=$E215)*(Work_Codes!$N$287:$Y$287)*(Q$86:Q$86))</f>
        <v>0</v>
      </c>
      <c r="R215" s="81">
        <f ca="1">SUMPRODUCT((Work_Codes!$N$272:$Y$272=$E215)*(Work_Codes!$N$287:$Y$287)*(R$86:R$86))</f>
        <v>0</v>
      </c>
      <c r="S215" s="81">
        <f ca="1">SUMPRODUCT((Work_Codes!$N$272:$Y$272=$E215)*(Work_Codes!$N$287:$Y$287)*(S$86:S$86))</f>
        <v>0</v>
      </c>
      <c r="T215" s="81">
        <f ca="1">SUMPRODUCT((Work_Codes!$N$272:$Y$272=$E215)*(Work_Codes!$N$287:$Y$287)*(T$86:T$86))</f>
        <v>0</v>
      </c>
    </row>
    <row r="216" spans="4:20" outlineLevel="2">
      <c r="E216" s="247" t="str">
        <f>GC!C42</f>
        <v>Service pipes</v>
      </c>
      <c r="F216" s="247"/>
      <c r="G216" s="247"/>
      <c r="H216" s="247"/>
      <c r="I216" s="247"/>
      <c r="J216" s="81">
        <f ca="1">SUMPRODUCT((Work_Codes!$N$272:$Y$272=$E216)*(Work_Codes!$N$287:$Y$287)*(J$86:J$86))</f>
        <v>0</v>
      </c>
      <c r="K216" s="81">
        <f ca="1">SUMPRODUCT((Work_Codes!$N$272:$Y$272=$E216)*(Work_Codes!$N$287:$Y$287)*(K$86:K$86))</f>
        <v>0</v>
      </c>
      <c r="L216" s="81">
        <f ca="1">SUMPRODUCT((Work_Codes!$N$272:$Y$272=$E216)*(Work_Codes!$N$287:$Y$287)*(L$86:L$86))</f>
        <v>0</v>
      </c>
      <c r="M216" s="81">
        <f ca="1">SUMPRODUCT((Work_Codes!$N$272:$Y$272=$E216)*(Work_Codes!$N$287:$Y$287)*(M$86:M$86))</f>
        <v>0</v>
      </c>
      <c r="N216" s="81">
        <f ca="1">SUMPRODUCT((Work_Codes!$N$272:$Y$272=$E216)*(Work_Codes!$N$287:$Y$287)*(N$86:N$86))</f>
        <v>0</v>
      </c>
      <c r="O216" s="81">
        <f ca="1">SUMPRODUCT((Work_Codes!$N$272:$Y$272=$E216)*(Work_Codes!$N$287:$Y$287)*(O$86:O$86))</f>
        <v>0</v>
      </c>
      <c r="P216" s="81">
        <f ca="1">SUMPRODUCT((Work_Codes!$N$272:$Y$272=$E216)*(Work_Codes!$N$287:$Y$287)*(P$86:P$86))</f>
        <v>0</v>
      </c>
      <c r="Q216" s="81">
        <f ca="1">SUMPRODUCT((Work_Codes!$N$272:$Y$272=$E216)*(Work_Codes!$N$287:$Y$287)*(Q$86:Q$86))</f>
        <v>0</v>
      </c>
      <c r="R216" s="81">
        <f ca="1">SUMPRODUCT((Work_Codes!$N$272:$Y$272=$E216)*(Work_Codes!$N$287:$Y$287)*(R$86:R$86))</f>
        <v>0</v>
      </c>
      <c r="S216" s="81">
        <f ca="1">SUMPRODUCT((Work_Codes!$N$272:$Y$272=$E216)*(Work_Codes!$N$287:$Y$287)*(S$86:S$86))</f>
        <v>0</v>
      </c>
      <c r="T216" s="81">
        <f ca="1">SUMPRODUCT((Work_Codes!$N$272:$Y$272=$E216)*(Work_Codes!$N$287:$Y$287)*(T$86:T$86))</f>
        <v>0</v>
      </c>
    </row>
    <row r="217" spans="4:20" outlineLevel="2">
      <c r="E217" s="247" t="str">
        <f>GC!C43</f>
        <v>Cathodic protection</v>
      </c>
      <c r="F217" s="247"/>
      <c r="G217" s="247"/>
      <c r="H217" s="247"/>
      <c r="I217" s="247"/>
      <c r="J217" s="81">
        <f ca="1">SUMPRODUCT((Work_Codes!$N$272:$Y$272=$E217)*(Work_Codes!$N$287:$Y$287)*(J$86:J$86))</f>
        <v>0</v>
      </c>
      <c r="K217" s="81">
        <f ca="1">SUMPRODUCT((Work_Codes!$N$272:$Y$272=$E217)*(Work_Codes!$N$287:$Y$287)*(K$86:K$86))</f>
        <v>0</v>
      </c>
      <c r="L217" s="81">
        <f ca="1">SUMPRODUCT((Work_Codes!$N$272:$Y$272=$E217)*(Work_Codes!$N$287:$Y$287)*(L$86:L$86))</f>
        <v>0</v>
      </c>
      <c r="M217" s="81">
        <f ca="1">SUMPRODUCT((Work_Codes!$N$272:$Y$272=$E217)*(Work_Codes!$N$287:$Y$287)*(M$86:M$86))</f>
        <v>0</v>
      </c>
      <c r="N217" s="81">
        <f ca="1">SUMPRODUCT((Work_Codes!$N$272:$Y$272=$E217)*(Work_Codes!$N$287:$Y$287)*(N$86:N$86))</f>
        <v>0</v>
      </c>
      <c r="O217" s="81">
        <f ca="1">SUMPRODUCT((Work_Codes!$N$272:$Y$272=$E217)*(Work_Codes!$N$287:$Y$287)*(O$86:O$86))</f>
        <v>0</v>
      </c>
      <c r="P217" s="81">
        <f ca="1">SUMPRODUCT((Work_Codes!$N$272:$Y$272=$E217)*(Work_Codes!$N$287:$Y$287)*(P$86:P$86))</f>
        <v>0</v>
      </c>
      <c r="Q217" s="81">
        <f ca="1">SUMPRODUCT((Work_Codes!$N$272:$Y$272=$E217)*(Work_Codes!$N$287:$Y$287)*(Q$86:Q$86))</f>
        <v>0</v>
      </c>
      <c r="R217" s="81">
        <f ca="1">SUMPRODUCT((Work_Codes!$N$272:$Y$272=$E217)*(Work_Codes!$N$287:$Y$287)*(R$86:R$86))</f>
        <v>0</v>
      </c>
      <c r="S217" s="81">
        <f ca="1">SUMPRODUCT((Work_Codes!$N$272:$Y$272=$E217)*(Work_Codes!$N$287:$Y$287)*(S$86:S$86))</f>
        <v>0</v>
      </c>
      <c r="T217" s="81">
        <f ca="1">SUMPRODUCT((Work_Codes!$N$272:$Y$272=$E217)*(Work_Codes!$N$287:$Y$287)*(T$86:T$86))</f>
        <v>0</v>
      </c>
    </row>
    <row r="218" spans="4:20" outlineLevel="2">
      <c r="E218" s="247" t="str">
        <f>GC!C44</f>
        <v>Supply Regulators / Valve Stations</v>
      </c>
      <c r="F218" s="247"/>
      <c r="G218" s="247"/>
      <c r="H218" s="247"/>
      <c r="I218" s="247"/>
      <c r="J218" s="81">
        <f ca="1">SUMPRODUCT((Work_Codes!$N$272:$Y$272=$E218)*(Work_Codes!$N$287:$Y$287)*(J$86:J$86))</f>
        <v>0</v>
      </c>
      <c r="K218" s="81">
        <f ca="1">SUMPRODUCT((Work_Codes!$N$272:$Y$272=$E218)*(Work_Codes!$N$287:$Y$287)*(K$86:K$86))</f>
        <v>0</v>
      </c>
      <c r="L218" s="81">
        <f ca="1">SUMPRODUCT((Work_Codes!$N$272:$Y$272=$E218)*(Work_Codes!$N$287:$Y$287)*(L$86:L$86))</f>
        <v>0</v>
      </c>
      <c r="M218" s="81">
        <f ca="1">SUMPRODUCT((Work_Codes!$N$272:$Y$272=$E218)*(Work_Codes!$N$287:$Y$287)*(M$86:M$86))</f>
        <v>0</v>
      </c>
      <c r="N218" s="81">
        <f ca="1">SUMPRODUCT((Work_Codes!$N$272:$Y$272=$E218)*(Work_Codes!$N$287:$Y$287)*(N$86:N$86))</f>
        <v>0</v>
      </c>
      <c r="O218" s="81">
        <f ca="1">SUMPRODUCT((Work_Codes!$N$272:$Y$272=$E218)*(Work_Codes!$N$287:$Y$287)*(O$86:O$86))</f>
        <v>0</v>
      </c>
      <c r="P218" s="81">
        <f ca="1">SUMPRODUCT((Work_Codes!$N$272:$Y$272=$E218)*(Work_Codes!$N$287:$Y$287)*(P$86:P$86))</f>
        <v>0</v>
      </c>
      <c r="Q218" s="81">
        <f ca="1">SUMPRODUCT((Work_Codes!$N$272:$Y$272=$E218)*(Work_Codes!$N$287:$Y$287)*(Q$86:Q$86))</f>
        <v>0</v>
      </c>
      <c r="R218" s="81">
        <f ca="1">SUMPRODUCT((Work_Codes!$N$272:$Y$272=$E218)*(Work_Codes!$N$287:$Y$287)*(R$86:R$86))</f>
        <v>0</v>
      </c>
      <c r="S218" s="81">
        <f ca="1">SUMPRODUCT((Work_Codes!$N$272:$Y$272=$E218)*(Work_Codes!$N$287:$Y$287)*(S$86:S$86))</f>
        <v>0</v>
      </c>
      <c r="T218" s="81">
        <f ca="1">SUMPRODUCT((Work_Codes!$N$272:$Y$272=$E218)*(Work_Codes!$N$287:$Y$287)*(T$86:T$86))</f>
        <v>0</v>
      </c>
    </row>
    <row r="219" spans="4:20" outlineLevel="2">
      <c r="E219" s="247" t="str">
        <f>GC!C45</f>
        <v>Meters</v>
      </c>
      <c r="F219" s="247"/>
      <c r="G219" s="247"/>
      <c r="H219" s="247"/>
      <c r="I219" s="247"/>
      <c r="J219" s="81">
        <f ca="1">SUMPRODUCT((Work_Codes!$N$272:$Y$272=$E219)*(Work_Codes!$N$287:$Y$287)*(J$86:J$86))</f>
        <v>0</v>
      </c>
      <c r="K219" s="81">
        <f ca="1">SUMPRODUCT((Work_Codes!$N$272:$Y$272=$E219)*(Work_Codes!$N$287:$Y$287)*(K$86:K$86))</f>
        <v>0</v>
      </c>
      <c r="L219" s="81">
        <f ca="1">SUMPRODUCT((Work_Codes!$N$272:$Y$272=$E219)*(Work_Codes!$N$287:$Y$287)*(L$86:L$86))</f>
        <v>0</v>
      </c>
      <c r="M219" s="81">
        <f ca="1">SUMPRODUCT((Work_Codes!$N$272:$Y$272=$E219)*(Work_Codes!$N$287:$Y$287)*(M$86:M$86))</f>
        <v>0</v>
      </c>
      <c r="N219" s="81">
        <f ca="1">SUMPRODUCT((Work_Codes!$N$272:$Y$272=$E219)*(Work_Codes!$N$287:$Y$287)*(N$86:N$86))</f>
        <v>0</v>
      </c>
      <c r="O219" s="81">
        <f ca="1">SUMPRODUCT((Work_Codes!$N$272:$Y$272=$E219)*(Work_Codes!$N$287:$Y$287)*(O$86:O$86))</f>
        <v>0</v>
      </c>
      <c r="P219" s="81">
        <f ca="1">SUMPRODUCT((Work_Codes!$N$272:$Y$272=$E219)*(Work_Codes!$N$287:$Y$287)*(P$86:P$86))</f>
        <v>0</v>
      </c>
      <c r="Q219" s="81">
        <f ca="1">SUMPRODUCT((Work_Codes!$N$272:$Y$272=$E219)*(Work_Codes!$N$287:$Y$287)*(Q$86:Q$86))</f>
        <v>0</v>
      </c>
      <c r="R219" s="81">
        <f ca="1">SUMPRODUCT((Work_Codes!$N$272:$Y$272=$E219)*(Work_Codes!$N$287:$Y$287)*(R$86:R$86))</f>
        <v>0</v>
      </c>
      <c r="S219" s="81">
        <f ca="1">SUMPRODUCT((Work_Codes!$N$272:$Y$272=$E219)*(Work_Codes!$N$287:$Y$287)*(S$86:S$86))</f>
        <v>0</v>
      </c>
      <c r="T219" s="81">
        <f ca="1">SUMPRODUCT((Work_Codes!$N$272:$Y$272=$E219)*(Work_Codes!$N$287:$Y$287)*(T$86:T$86))</f>
        <v>0</v>
      </c>
    </row>
    <row r="220" spans="4:20" outlineLevel="2">
      <c r="E220" s="247" t="str">
        <f>GC!C46</f>
        <v>SCADA and remote control</v>
      </c>
      <c r="F220" s="247"/>
      <c r="G220" s="247"/>
      <c r="H220" s="247"/>
      <c r="I220" s="247"/>
      <c r="J220" s="81">
        <f ca="1">SUMPRODUCT((Work_Codes!$N$272:$Y$272=$E220)*(Work_Codes!$N$287:$Y$287)*(J$86:J$86))</f>
        <v>0</v>
      </c>
      <c r="K220" s="81">
        <f ca="1">SUMPRODUCT((Work_Codes!$N$272:$Y$272=$E220)*(Work_Codes!$N$287:$Y$287)*(K$86:K$86))</f>
        <v>0</v>
      </c>
      <c r="L220" s="81">
        <f ca="1">SUMPRODUCT((Work_Codes!$N$272:$Y$272=$E220)*(Work_Codes!$N$287:$Y$287)*(L$86:L$86))</f>
        <v>0</v>
      </c>
      <c r="M220" s="81">
        <f ca="1">SUMPRODUCT((Work_Codes!$N$272:$Y$272=$E220)*(Work_Codes!$N$287:$Y$287)*(M$86:M$86))</f>
        <v>0</v>
      </c>
      <c r="N220" s="81">
        <f ca="1">SUMPRODUCT((Work_Codes!$N$272:$Y$272=$E220)*(Work_Codes!$N$287:$Y$287)*(N$86:N$86))</f>
        <v>0</v>
      </c>
      <c r="O220" s="81">
        <f ca="1">SUMPRODUCT((Work_Codes!$N$272:$Y$272=$E220)*(Work_Codes!$N$287:$Y$287)*(O$86:O$86))</f>
        <v>0</v>
      </c>
      <c r="P220" s="81">
        <f ca="1">SUMPRODUCT((Work_Codes!$N$272:$Y$272=$E220)*(Work_Codes!$N$287:$Y$287)*(P$86:P$86))</f>
        <v>0</v>
      </c>
      <c r="Q220" s="81">
        <f ca="1">SUMPRODUCT((Work_Codes!$N$272:$Y$272=$E220)*(Work_Codes!$N$287:$Y$287)*(Q$86:Q$86))</f>
        <v>0</v>
      </c>
      <c r="R220" s="81">
        <f ca="1">SUMPRODUCT((Work_Codes!$N$272:$Y$272=$E220)*(Work_Codes!$N$287:$Y$287)*(R$86:R$86))</f>
        <v>0</v>
      </c>
      <c r="S220" s="81">
        <f ca="1">SUMPRODUCT((Work_Codes!$N$272:$Y$272=$E220)*(Work_Codes!$N$287:$Y$287)*(S$86:S$86))</f>
        <v>0</v>
      </c>
      <c r="T220" s="81">
        <f ca="1">SUMPRODUCT((Work_Codes!$N$272:$Y$272=$E220)*(Work_Codes!$N$287:$Y$287)*(T$86:T$86))</f>
        <v>0</v>
      </c>
    </row>
    <row r="221" spans="4:20" outlineLevel="2">
      <c r="E221" s="247" t="str">
        <f>GC!C47</f>
        <v>Buildings</v>
      </c>
      <c r="F221" s="247"/>
      <c r="G221" s="247"/>
      <c r="H221" s="247"/>
      <c r="I221" s="247"/>
      <c r="J221" s="81">
        <f ca="1">SUMPRODUCT((Work_Codes!$N$272:$Y$272=$E221)*(Work_Codes!$N$287:$Y$287)*(J$86:J$86))</f>
        <v>0</v>
      </c>
      <c r="K221" s="81">
        <f ca="1">SUMPRODUCT((Work_Codes!$N$272:$Y$272=$E221)*(Work_Codes!$N$287:$Y$287)*(K$86:K$86))</f>
        <v>0</v>
      </c>
      <c r="L221" s="81">
        <f ca="1">SUMPRODUCT((Work_Codes!$N$272:$Y$272=$E221)*(Work_Codes!$N$287:$Y$287)*(L$86:L$86))</f>
        <v>0</v>
      </c>
      <c r="M221" s="81">
        <f ca="1">SUMPRODUCT((Work_Codes!$N$272:$Y$272=$E221)*(Work_Codes!$N$287:$Y$287)*(M$86:M$86))</f>
        <v>0</v>
      </c>
      <c r="N221" s="81">
        <f ca="1">SUMPRODUCT((Work_Codes!$N$272:$Y$272=$E221)*(Work_Codes!$N$287:$Y$287)*(N$86:N$86))</f>
        <v>0</v>
      </c>
      <c r="O221" s="81">
        <f ca="1">SUMPRODUCT((Work_Codes!$N$272:$Y$272=$E221)*(Work_Codes!$N$287:$Y$287)*(O$86:O$86))</f>
        <v>0</v>
      </c>
      <c r="P221" s="81">
        <f ca="1">SUMPRODUCT((Work_Codes!$N$272:$Y$272=$E221)*(Work_Codes!$N$287:$Y$287)*(P$86:P$86))</f>
        <v>0</v>
      </c>
      <c r="Q221" s="81">
        <f ca="1">SUMPRODUCT((Work_Codes!$N$272:$Y$272=$E221)*(Work_Codes!$N$287:$Y$287)*(Q$86:Q$86))</f>
        <v>0</v>
      </c>
      <c r="R221" s="81">
        <f ca="1">SUMPRODUCT((Work_Codes!$N$272:$Y$272=$E221)*(Work_Codes!$N$287:$Y$287)*(R$86:R$86))</f>
        <v>0</v>
      </c>
      <c r="S221" s="81">
        <f ca="1">SUMPRODUCT((Work_Codes!$N$272:$Y$272=$E221)*(Work_Codes!$N$287:$Y$287)*(S$86:S$86))</f>
        <v>0</v>
      </c>
      <c r="T221" s="81">
        <f ca="1">SUMPRODUCT((Work_Codes!$N$272:$Y$272=$E221)*(Work_Codes!$N$287:$Y$287)*(T$86:T$86))</f>
        <v>0</v>
      </c>
    </row>
    <row r="222" spans="4:20" outlineLevel="2">
      <c r="E222" s="247" t="str">
        <f>GC!C48</f>
        <v>Other - IT</v>
      </c>
      <c r="F222" s="247"/>
      <c r="G222" s="247"/>
      <c r="H222" s="247"/>
      <c r="I222" s="247"/>
      <c r="J222" s="81">
        <f ca="1">SUMPRODUCT((Work_Codes!$N$272:$Y$272=$E222)*(Work_Codes!$N$287:$Y$287)*(J$86:J$86))</f>
        <v>0</v>
      </c>
      <c r="K222" s="81">
        <f ca="1">SUMPRODUCT((Work_Codes!$N$272:$Y$272=$E222)*(Work_Codes!$N$287:$Y$287)*(K$86:K$86))</f>
        <v>0</v>
      </c>
      <c r="L222" s="81">
        <f ca="1">SUMPRODUCT((Work_Codes!$N$272:$Y$272=$E222)*(Work_Codes!$N$287:$Y$287)*(L$86:L$86))</f>
        <v>0</v>
      </c>
      <c r="M222" s="81">
        <f ca="1">SUMPRODUCT((Work_Codes!$N$272:$Y$272=$E222)*(Work_Codes!$N$287:$Y$287)*(M$86:M$86))</f>
        <v>0</v>
      </c>
      <c r="N222" s="81">
        <f ca="1">SUMPRODUCT((Work_Codes!$N$272:$Y$272=$E222)*(Work_Codes!$N$287:$Y$287)*(N$86:N$86))</f>
        <v>0</v>
      </c>
      <c r="O222" s="81">
        <f ca="1">SUMPRODUCT((Work_Codes!$N$272:$Y$272=$E222)*(Work_Codes!$N$287:$Y$287)*(O$86:O$86))</f>
        <v>0</v>
      </c>
      <c r="P222" s="81">
        <f ca="1">SUMPRODUCT((Work_Codes!$N$272:$Y$272=$E222)*(Work_Codes!$N$287:$Y$287)*(P$86:P$86))</f>
        <v>0</v>
      </c>
      <c r="Q222" s="81">
        <f ca="1">SUMPRODUCT((Work_Codes!$N$272:$Y$272=$E222)*(Work_Codes!$N$287:$Y$287)*(Q$86:Q$86))</f>
        <v>0</v>
      </c>
      <c r="R222" s="81">
        <f ca="1">SUMPRODUCT((Work_Codes!$N$272:$Y$272=$E222)*(Work_Codes!$N$287:$Y$287)*(R$86:R$86))</f>
        <v>0</v>
      </c>
      <c r="S222" s="81">
        <f ca="1">SUMPRODUCT((Work_Codes!$N$272:$Y$272=$E222)*(Work_Codes!$N$287:$Y$287)*(S$86:S$86))</f>
        <v>0</v>
      </c>
      <c r="T222" s="81">
        <f ca="1">SUMPRODUCT((Work_Codes!$N$272:$Y$272=$E222)*(Work_Codes!$N$287:$Y$287)*(T$86:T$86))</f>
        <v>0</v>
      </c>
    </row>
    <row r="223" spans="4:20" outlineLevel="2">
      <c r="E223" s="247" t="str">
        <f>GC!C49</f>
        <v>Other - non IT</v>
      </c>
      <c r="F223" s="247"/>
      <c r="G223" s="247"/>
      <c r="H223" s="247"/>
      <c r="I223" s="247"/>
      <c r="J223" s="81">
        <f ca="1">SUMPRODUCT((Work_Codes!$N$272:$Y$272=$E223)*(Work_Codes!$N$287:$Y$287)*(J$86:J$86))</f>
        <v>0</v>
      </c>
      <c r="K223" s="81">
        <f ca="1">SUMPRODUCT((Work_Codes!$N$272:$Y$272=$E223)*(Work_Codes!$N$287:$Y$287)*(K$86:K$86))</f>
        <v>0</v>
      </c>
      <c r="L223" s="81">
        <f ca="1">SUMPRODUCT((Work_Codes!$N$272:$Y$272=$E223)*(Work_Codes!$N$287:$Y$287)*(L$86:L$86))</f>
        <v>0</v>
      </c>
      <c r="M223" s="81">
        <f ca="1">SUMPRODUCT((Work_Codes!$N$272:$Y$272=$E223)*(Work_Codes!$N$287:$Y$287)*(M$86:M$86))</f>
        <v>0</v>
      </c>
      <c r="N223" s="81">
        <f ca="1">SUMPRODUCT((Work_Codes!$N$272:$Y$272=$E223)*(Work_Codes!$N$287:$Y$287)*(N$86:N$86))</f>
        <v>0</v>
      </c>
      <c r="O223" s="81">
        <f ca="1">SUMPRODUCT((Work_Codes!$N$272:$Y$272=$E223)*(Work_Codes!$N$287:$Y$287)*(O$86:O$86))</f>
        <v>0</v>
      </c>
      <c r="P223" s="81">
        <f ca="1">SUMPRODUCT((Work_Codes!$N$272:$Y$272=$E223)*(Work_Codes!$N$287:$Y$287)*(P$86:P$86))</f>
        <v>0</v>
      </c>
      <c r="Q223" s="81">
        <f ca="1">SUMPRODUCT((Work_Codes!$N$272:$Y$272=$E223)*(Work_Codes!$N$287:$Y$287)*(Q$86:Q$86))</f>
        <v>0</v>
      </c>
      <c r="R223" s="81">
        <f ca="1">SUMPRODUCT((Work_Codes!$N$272:$Y$272=$E223)*(Work_Codes!$N$287:$Y$287)*(R$86:R$86))</f>
        <v>0</v>
      </c>
      <c r="S223" s="81">
        <f ca="1">SUMPRODUCT((Work_Codes!$N$272:$Y$272=$E223)*(Work_Codes!$N$287:$Y$287)*(S$86:S$86))</f>
        <v>0</v>
      </c>
      <c r="T223" s="81">
        <f ca="1">SUMPRODUCT((Work_Codes!$N$272:$Y$272=$E223)*(Work_Codes!$N$287:$Y$287)*(T$86:T$86))</f>
        <v>0</v>
      </c>
    </row>
    <row r="224" spans="4:20" outlineLevel="2">
      <c r="E224" s="247" t="str">
        <f>GC!C50</f>
        <v>Land</v>
      </c>
      <c r="F224" s="247"/>
      <c r="G224" s="247"/>
      <c r="H224" s="247"/>
      <c r="I224" s="247"/>
      <c r="J224" s="81">
        <f ca="1">SUMPRODUCT((Work_Codes!$N$272:$Y$272=$E224)*(Work_Codes!$N$287:$Y$287)*(J$86:J$86))</f>
        <v>0</v>
      </c>
      <c r="K224" s="81">
        <f ca="1">SUMPRODUCT((Work_Codes!$N$272:$Y$272=$E224)*(Work_Codes!$N$287:$Y$287)*(K$86:K$86))</f>
        <v>0</v>
      </c>
      <c r="L224" s="81">
        <f ca="1">SUMPRODUCT((Work_Codes!$N$272:$Y$272=$E224)*(Work_Codes!$N$287:$Y$287)*(L$86:L$86))</f>
        <v>0</v>
      </c>
      <c r="M224" s="81">
        <f ca="1">SUMPRODUCT((Work_Codes!$N$272:$Y$272=$E224)*(Work_Codes!$N$287:$Y$287)*(M$86:M$86))</f>
        <v>0</v>
      </c>
      <c r="N224" s="81">
        <f ca="1">SUMPRODUCT((Work_Codes!$N$272:$Y$272=$E224)*(Work_Codes!$N$287:$Y$287)*(N$86:N$86))</f>
        <v>0</v>
      </c>
      <c r="O224" s="81">
        <f ca="1">SUMPRODUCT((Work_Codes!$N$272:$Y$272=$E224)*(Work_Codes!$N$287:$Y$287)*(O$86:O$86))</f>
        <v>0</v>
      </c>
      <c r="P224" s="81">
        <f ca="1">SUMPRODUCT((Work_Codes!$N$272:$Y$272=$E224)*(Work_Codes!$N$287:$Y$287)*(P$86:P$86))</f>
        <v>0</v>
      </c>
      <c r="Q224" s="81">
        <f ca="1">SUMPRODUCT((Work_Codes!$N$272:$Y$272=$E224)*(Work_Codes!$N$287:$Y$287)*(Q$86:Q$86))</f>
        <v>0</v>
      </c>
      <c r="R224" s="81">
        <f ca="1">SUMPRODUCT((Work_Codes!$N$272:$Y$272=$E224)*(Work_Codes!$N$287:$Y$287)*(R$86:R$86))</f>
        <v>0</v>
      </c>
      <c r="S224" s="81">
        <f ca="1">SUMPRODUCT((Work_Codes!$N$272:$Y$272=$E224)*(Work_Codes!$N$287:$Y$287)*(S$86:S$86))</f>
        <v>0</v>
      </c>
      <c r="T224" s="81">
        <f ca="1">SUMPRODUCT((Work_Codes!$N$272:$Y$272=$E224)*(Work_Codes!$N$287:$Y$287)*(T$86:T$86))</f>
        <v>0</v>
      </c>
    </row>
    <row r="225" spans="2:20" outlineLevel="2">
      <c r="E225" s="247" t="str">
        <f>GC!C51</f>
        <v>Capitalised Leases</v>
      </c>
      <c r="F225" s="247"/>
      <c r="G225" s="247"/>
      <c r="H225" s="247"/>
      <c r="I225" s="247"/>
      <c r="J225" s="81">
        <f ca="1">SUMPRODUCT((Work_Codes!$N$272:$Y$272=$E225)*(Work_Codes!$N$287:$Y$287)*(J$86:J$86))</f>
        <v>0</v>
      </c>
      <c r="K225" s="81">
        <f ca="1">SUMPRODUCT((Work_Codes!$N$272:$Y$272=$E225)*(Work_Codes!$N$287:$Y$287)*(K$86:K$86))</f>
        <v>0</v>
      </c>
      <c r="L225" s="81">
        <f ca="1">SUMPRODUCT((Work_Codes!$N$272:$Y$272=$E225)*(Work_Codes!$N$287:$Y$287)*(L$86:L$86))</f>
        <v>0</v>
      </c>
      <c r="M225" s="81">
        <f ca="1">SUMPRODUCT((Work_Codes!$N$272:$Y$272=$E225)*(Work_Codes!$N$287:$Y$287)*(M$86:M$86))</f>
        <v>0</v>
      </c>
      <c r="N225" s="81">
        <f ca="1">SUMPRODUCT((Work_Codes!$N$272:$Y$272=$E225)*(Work_Codes!$N$287:$Y$287)*(N$86:N$86))</f>
        <v>0</v>
      </c>
      <c r="O225" s="81">
        <f ca="1">SUMPRODUCT((Work_Codes!$N$272:$Y$272=$E225)*(Work_Codes!$N$287:$Y$287)*(O$86:O$86))</f>
        <v>0</v>
      </c>
      <c r="P225" s="81">
        <f ca="1">SUMPRODUCT((Work_Codes!$N$272:$Y$272=$E225)*(Work_Codes!$N$287:$Y$287)*(P$86:P$86))</f>
        <v>0</v>
      </c>
      <c r="Q225" s="81">
        <f ca="1">SUMPRODUCT((Work_Codes!$N$272:$Y$272=$E225)*(Work_Codes!$N$287:$Y$287)*(Q$86:Q$86))</f>
        <v>0</v>
      </c>
      <c r="R225" s="81">
        <f ca="1">SUMPRODUCT((Work_Codes!$N$272:$Y$272=$E225)*(Work_Codes!$N$287:$Y$287)*(R$86:R$86))</f>
        <v>0</v>
      </c>
      <c r="S225" s="81">
        <f ca="1">SUMPRODUCT((Work_Codes!$N$272:$Y$272=$E225)*(Work_Codes!$N$287:$Y$287)*(S$86:S$86))</f>
        <v>0</v>
      </c>
      <c r="T225" s="81">
        <f ca="1">SUMPRODUCT((Work_Codes!$N$272:$Y$272=$E225)*(Work_Codes!$N$287:$Y$287)*(T$86:T$86))</f>
        <v>0</v>
      </c>
    </row>
    <row r="226" spans="2:20" outlineLevel="2">
      <c r="E226" s="247" t="str">
        <f>GC!C52</f>
        <v>Transmission pipelines - post 1998</v>
      </c>
      <c r="F226" s="247"/>
      <c r="G226" s="247"/>
      <c r="H226" s="247"/>
      <c r="I226" s="247"/>
      <c r="J226" s="81">
        <f ca="1">SUMPRODUCT((Work_Codes!$N$272:$Y$272=$E226)*(Work_Codes!$N$287:$Y$287)*(J$86:J$86))</f>
        <v>0</v>
      </c>
      <c r="K226" s="81">
        <f ca="1">SUMPRODUCT((Work_Codes!$N$272:$Y$272=$E226)*(Work_Codes!$N$287:$Y$287)*(K$86:K$86))</f>
        <v>0</v>
      </c>
      <c r="L226" s="81">
        <f ca="1">SUMPRODUCT((Work_Codes!$N$272:$Y$272=$E226)*(Work_Codes!$N$287:$Y$287)*(L$86:L$86))</f>
        <v>0</v>
      </c>
      <c r="M226" s="81">
        <f ca="1">SUMPRODUCT((Work_Codes!$N$272:$Y$272=$E226)*(Work_Codes!$N$287:$Y$287)*(M$86:M$86))</f>
        <v>0</v>
      </c>
      <c r="N226" s="81">
        <f ca="1">SUMPRODUCT((Work_Codes!$N$272:$Y$272=$E226)*(Work_Codes!$N$287:$Y$287)*(N$86:N$86))</f>
        <v>0</v>
      </c>
      <c r="O226" s="81">
        <f ca="1">SUMPRODUCT((Work_Codes!$N$272:$Y$272=$E226)*(Work_Codes!$N$287:$Y$287)*(O$86:O$86))</f>
        <v>0</v>
      </c>
      <c r="P226" s="81">
        <f ca="1">SUMPRODUCT((Work_Codes!$N$272:$Y$272=$E226)*(Work_Codes!$N$287:$Y$287)*(P$86:P$86))</f>
        <v>0</v>
      </c>
      <c r="Q226" s="81">
        <f ca="1">SUMPRODUCT((Work_Codes!$N$272:$Y$272=$E226)*(Work_Codes!$N$287:$Y$287)*(Q$86:Q$86))</f>
        <v>0</v>
      </c>
      <c r="R226" s="81">
        <f ca="1">SUMPRODUCT((Work_Codes!$N$272:$Y$272=$E226)*(Work_Codes!$N$287:$Y$287)*(R$86:R$86))</f>
        <v>0</v>
      </c>
      <c r="S226" s="81">
        <f ca="1">SUMPRODUCT((Work_Codes!$N$272:$Y$272=$E226)*(Work_Codes!$N$287:$Y$287)*(S$86:S$86))</f>
        <v>0</v>
      </c>
      <c r="T226" s="81">
        <f ca="1">SUMPRODUCT((Work_Codes!$N$272:$Y$272=$E226)*(Work_Codes!$N$287:$Y$287)*(T$86:T$86))</f>
        <v>0</v>
      </c>
    </row>
    <row r="227" spans="2:20" outlineLevel="2">
      <c r="E227" s="247" t="str">
        <f>GC!C53</f>
        <v>Distribution pipelines - post 1998</v>
      </c>
      <c r="F227" s="247"/>
      <c r="G227" s="247"/>
      <c r="H227" s="247"/>
      <c r="I227" s="247"/>
      <c r="J227" s="81">
        <f ca="1">SUMPRODUCT((Work_Codes!$N$272:$Y$272=$E227)*(Work_Codes!$N$287:$Y$287)*(J$86:J$86))</f>
        <v>0</v>
      </c>
      <c r="K227" s="81">
        <f ca="1">SUMPRODUCT((Work_Codes!$N$272:$Y$272=$E227)*(Work_Codes!$N$287:$Y$287)*(K$86:K$86))</f>
        <v>0</v>
      </c>
      <c r="L227" s="81">
        <f ca="1">SUMPRODUCT((Work_Codes!$N$272:$Y$272=$E227)*(Work_Codes!$N$287:$Y$287)*(L$86:L$86))</f>
        <v>0</v>
      </c>
      <c r="M227" s="81">
        <f ca="1">SUMPRODUCT((Work_Codes!$N$272:$Y$272=$E227)*(Work_Codes!$N$287:$Y$287)*(M$86:M$86))</f>
        <v>0</v>
      </c>
      <c r="N227" s="81">
        <f ca="1">SUMPRODUCT((Work_Codes!$N$272:$Y$272=$E227)*(Work_Codes!$N$287:$Y$287)*(N$86:N$86))</f>
        <v>0</v>
      </c>
      <c r="O227" s="81">
        <f ca="1">SUMPRODUCT((Work_Codes!$N$272:$Y$272=$E227)*(Work_Codes!$N$287:$Y$287)*(O$86:O$86))</f>
        <v>0</v>
      </c>
      <c r="P227" s="81">
        <f ca="1">SUMPRODUCT((Work_Codes!$N$272:$Y$272=$E227)*(Work_Codes!$N$287:$Y$287)*(P$86:P$86))</f>
        <v>0</v>
      </c>
      <c r="Q227" s="81">
        <f ca="1">SUMPRODUCT((Work_Codes!$N$272:$Y$272=$E227)*(Work_Codes!$N$287:$Y$287)*(Q$86:Q$86))</f>
        <v>0</v>
      </c>
      <c r="R227" s="81">
        <f ca="1">SUMPRODUCT((Work_Codes!$N$272:$Y$272=$E227)*(Work_Codes!$N$287:$Y$287)*(R$86:R$86))</f>
        <v>0</v>
      </c>
      <c r="S227" s="81">
        <f ca="1">SUMPRODUCT((Work_Codes!$N$272:$Y$272=$E227)*(Work_Codes!$N$287:$Y$287)*(S$86:S$86))</f>
        <v>0</v>
      </c>
      <c r="T227" s="81">
        <f ca="1">SUMPRODUCT((Work_Codes!$N$272:$Y$272=$E227)*(Work_Codes!$N$287:$Y$287)*(T$86:T$86))</f>
        <v>0</v>
      </c>
    </row>
    <row r="228" spans="2:20" outlineLevel="2">
      <c r="E228" s="247" t="str">
        <f>GC!C54</f>
        <v>Service pipes - post 1998</v>
      </c>
      <c r="F228" s="247"/>
      <c r="G228" s="247"/>
      <c r="H228" s="247"/>
      <c r="I228" s="247"/>
      <c r="J228" s="81">
        <f ca="1">SUMPRODUCT((Work_Codes!$N$272:$Y$272=$E228)*(Work_Codes!$N$287:$Y$287)*(J$86:J$86))</f>
        <v>0</v>
      </c>
      <c r="K228" s="81">
        <f ca="1">SUMPRODUCT((Work_Codes!$N$272:$Y$272=$E228)*(Work_Codes!$N$287:$Y$287)*(K$86:K$86))</f>
        <v>0</v>
      </c>
      <c r="L228" s="81">
        <f ca="1">SUMPRODUCT((Work_Codes!$N$272:$Y$272=$E228)*(Work_Codes!$N$287:$Y$287)*(L$86:L$86))</f>
        <v>0</v>
      </c>
      <c r="M228" s="81">
        <f ca="1">SUMPRODUCT((Work_Codes!$N$272:$Y$272=$E228)*(Work_Codes!$N$287:$Y$287)*(M$86:M$86))</f>
        <v>0</v>
      </c>
      <c r="N228" s="81">
        <f ca="1">SUMPRODUCT((Work_Codes!$N$272:$Y$272=$E228)*(Work_Codes!$N$287:$Y$287)*(N$86:N$86))</f>
        <v>0</v>
      </c>
      <c r="O228" s="81">
        <f ca="1">SUMPRODUCT((Work_Codes!$N$272:$Y$272=$E228)*(Work_Codes!$N$287:$Y$287)*(O$86:O$86))</f>
        <v>0</v>
      </c>
      <c r="P228" s="81">
        <f ca="1">SUMPRODUCT((Work_Codes!$N$272:$Y$272=$E228)*(Work_Codes!$N$287:$Y$287)*(P$86:P$86))</f>
        <v>0</v>
      </c>
      <c r="Q228" s="81">
        <f ca="1">SUMPRODUCT((Work_Codes!$N$272:$Y$272=$E228)*(Work_Codes!$N$287:$Y$287)*(Q$86:Q$86))</f>
        <v>0</v>
      </c>
      <c r="R228" s="81">
        <f ca="1">SUMPRODUCT((Work_Codes!$N$272:$Y$272=$E228)*(Work_Codes!$N$287:$Y$287)*(R$86:R$86))</f>
        <v>0</v>
      </c>
      <c r="S228" s="81">
        <f ca="1">SUMPRODUCT((Work_Codes!$N$272:$Y$272=$E228)*(Work_Codes!$N$287:$Y$287)*(S$86:S$86))</f>
        <v>0</v>
      </c>
      <c r="T228" s="81">
        <f ca="1">SUMPRODUCT((Work_Codes!$N$272:$Y$272=$E228)*(Work_Codes!$N$287:$Y$287)*(T$86:T$86))</f>
        <v>0</v>
      </c>
    </row>
    <row r="229" spans="2:20" outlineLevel="2">
      <c r="E229" s="247" t="str">
        <f>GC!C55</f>
        <v>Cathodic protection - post 1998</v>
      </c>
      <c r="F229" s="247"/>
      <c r="G229" s="247"/>
      <c r="H229" s="247"/>
      <c r="I229" s="247"/>
      <c r="J229" s="81">
        <f ca="1">SUMPRODUCT((Work_Codes!$N$272:$Y$272=$E229)*(Work_Codes!$N$287:$Y$287)*(J$86:J$86))</f>
        <v>0</v>
      </c>
      <c r="K229" s="81">
        <f ca="1">SUMPRODUCT((Work_Codes!$N$272:$Y$272=$E229)*(Work_Codes!$N$287:$Y$287)*(K$86:K$86))</f>
        <v>0</v>
      </c>
      <c r="L229" s="81">
        <f ca="1">SUMPRODUCT((Work_Codes!$N$272:$Y$272=$E229)*(Work_Codes!$N$287:$Y$287)*(L$86:L$86))</f>
        <v>0</v>
      </c>
      <c r="M229" s="81">
        <f ca="1">SUMPRODUCT((Work_Codes!$N$272:$Y$272=$E229)*(Work_Codes!$N$287:$Y$287)*(M$86:M$86))</f>
        <v>0</v>
      </c>
      <c r="N229" s="81">
        <f ca="1">SUMPRODUCT((Work_Codes!$N$272:$Y$272=$E229)*(Work_Codes!$N$287:$Y$287)*(N$86:N$86))</f>
        <v>0</v>
      </c>
      <c r="O229" s="81">
        <f ca="1">SUMPRODUCT((Work_Codes!$N$272:$Y$272=$E229)*(Work_Codes!$N$287:$Y$287)*(O$86:O$86))</f>
        <v>0</v>
      </c>
      <c r="P229" s="81">
        <f ca="1">SUMPRODUCT((Work_Codes!$N$272:$Y$272=$E229)*(Work_Codes!$N$287:$Y$287)*(P$86:P$86))</f>
        <v>0</v>
      </c>
      <c r="Q229" s="81">
        <f ca="1">SUMPRODUCT((Work_Codes!$N$272:$Y$272=$E229)*(Work_Codes!$N$287:$Y$287)*(Q$86:Q$86))</f>
        <v>0</v>
      </c>
      <c r="R229" s="81">
        <f ca="1">SUMPRODUCT((Work_Codes!$N$272:$Y$272=$E229)*(Work_Codes!$N$287:$Y$287)*(R$86:R$86))</f>
        <v>0</v>
      </c>
      <c r="S229" s="81">
        <f ca="1">SUMPRODUCT((Work_Codes!$N$272:$Y$272=$E229)*(Work_Codes!$N$287:$Y$287)*(S$86:S$86))</f>
        <v>0</v>
      </c>
      <c r="T229" s="81">
        <f ca="1">SUMPRODUCT((Work_Codes!$N$272:$Y$272=$E229)*(Work_Codes!$N$287:$Y$287)*(T$86:T$86))</f>
        <v>0</v>
      </c>
    </row>
    <row r="230" spans="2:20" outlineLevel="2">
      <c r="E230" s="249" t="str">
        <f>"Total "&amp;D212</f>
        <v>Total Customer Contributions</v>
      </c>
      <c r="F230" s="249"/>
      <c r="G230" s="249"/>
      <c r="H230" s="249"/>
      <c r="I230" s="249"/>
      <c r="J230" s="82">
        <f t="shared" ref="J230:T230" ca="1" si="26">SUM(J214:J229)</f>
        <v>0</v>
      </c>
      <c r="K230" s="82">
        <f t="shared" ca="1" si="26"/>
        <v>0</v>
      </c>
      <c r="L230" s="82">
        <f t="shared" ca="1" si="26"/>
        <v>0</v>
      </c>
      <c r="M230" s="82">
        <f t="shared" ca="1" si="26"/>
        <v>0</v>
      </c>
      <c r="N230" s="82">
        <f t="shared" ca="1" si="26"/>
        <v>0</v>
      </c>
      <c r="O230" s="82">
        <f t="shared" ca="1" si="26"/>
        <v>0</v>
      </c>
      <c r="P230" s="82">
        <f t="shared" ca="1" si="26"/>
        <v>0</v>
      </c>
      <c r="Q230" s="82">
        <f t="shared" ca="1" si="26"/>
        <v>0</v>
      </c>
      <c r="R230" s="82">
        <f t="shared" ca="1" si="26"/>
        <v>0</v>
      </c>
      <c r="S230" s="82">
        <f t="shared" ca="1" si="26"/>
        <v>0</v>
      </c>
      <c r="T230" s="82">
        <f t="shared" ca="1" si="26"/>
        <v>0</v>
      </c>
    </row>
    <row r="231" spans="2:20" outlineLevel="1">
      <c r="B231" s="12"/>
      <c r="C231" s="12"/>
      <c r="D231" s="12"/>
      <c r="E231" s="12"/>
      <c r="F231" s="12"/>
      <c r="G231" s="12"/>
      <c r="H231" s="12"/>
      <c r="I231" s="12"/>
      <c r="J231" s="12"/>
      <c r="K231" s="12"/>
      <c r="L231" s="12"/>
      <c r="M231" s="12"/>
      <c r="N231" s="12"/>
      <c r="O231" s="12"/>
      <c r="P231" s="12"/>
      <c r="Q231" s="12"/>
      <c r="R231" s="12"/>
      <c r="S231" s="12"/>
      <c r="T231" s="12"/>
    </row>
    <row r="232" spans="2:20" outlineLevel="1"/>
    <row r="233" spans="2:20" outlineLevel="1">
      <c r="C233" s="37" t="s">
        <v>196</v>
      </c>
    </row>
    <row r="234" spans="2:20" ht="5.9" customHeight="1" outlineLevel="2"/>
    <row r="235" spans="2:20" outlineLevel="2">
      <c r="D235" s="37" t="s">
        <v>215</v>
      </c>
    </row>
    <row r="236" spans="2:20" ht="5.9" customHeight="1" outlineLevel="2"/>
    <row r="237" spans="2:20" ht="12" customHeight="1" outlineLevel="2">
      <c r="E237" s="247" t="str">
        <f>GC!C60</f>
        <v>Mains replacement</v>
      </c>
      <c r="F237" s="247"/>
      <c r="G237" s="247"/>
      <c r="H237" s="247"/>
      <c r="I237" s="247"/>
      <c r="J237" s="81">
        <f ca="1">SUMPRODUCT((Work_Codes!$AC$272:$AO$272=$E237)*(Work_Codes!$AC$275:$AO$283)*(J$137:J$145))</f>
        <v>0</v>
      </c>
      <c r="K237" s="81">
        <f ca="1">SUMPRODUCT((Work_Codes!$AC$272:$AO$272=$E237)*(Work_Codes!$AC$275:$AO$283)*(K$137:K$145))</f>
        <v>0</v>
      </c>
      <c r="L237" s="81">
        <f ca="1">SUMPRODUCT((Work_Codes!$AC$272:$AO$272=$E237)*(Work_Codes!$AC$275:$AO$283)*(L$137:L$145))</f>
        <v>0</v>
      </c>
      <c r="M237" s="81">
        <f ca="1">SUMPRODUCT((Work_Codes!$AC$272:$AO$272=$E237)*(Work_Codes!$AC$275:$AO$283)*(M$137:M$145))</f>
        <v>0</v>
      </c>
      <c r="N237" s="81">
        <f ca="1">SUMPRODUCT((Work_Codes!$AC$272:$AO$272=$E237)*(Work_Codes!$AC$275:$AO$283)*(N$137:N$145))</f>
        <v>0</v>
      </c>
      <c r="O237" s="81">
        <f ca="1">SUMPRODUCT((Work_Codes!$AC$272:$AO$272=$E237)*(Work_Codes!$AC$275:$AO$283)*(O$137:O$145))</f>
        <v>0</v>
      </c>
      <c r="P237" s="81">
        <f ca="1">SUMPRODUCT((Work_Codes!$AC$272:$AO$272=$E237)*(Work_Codes!$AC$275:$AO$283)*(P$137:P$145))</f>
        <v>0</v>
      </c>
      <c r="Q237" s="81">
        <f ca="1">SUMPRODUCT((Work_Codes!$AC$272:$AO$272=$E237)*(Work_Codes!$AC$275:$AO$283)*(Q$137:Q$145))</f>
        <v>0</v>
      </c>
      <c r="R237" s="81">
        <f ca="1">SUMPRODUCT((Work_Codes!$AC$272:$AO$272=$E237)*(Work_Codes!$AC$275:$AO$283)*(R$137:R$145))</f>
        <v>0</v>
      </c>
      <c r="S237" s="81">
        <f ca="1">SUMPRODUCT((Work_Codes!$AC$272:$AO$272=$E237)*(Work_Codes!$AC$275:$AO$283)*(S$137:S$145))</f>
        <v>0</v>
      </c>
      <c r="T237" s="81">
        <f ca="1">SUMPRODUCT((Work_Codes!$AC$272:$AO$272=$E237)*(Work_Codes!$AC$275:$AO$283)*(T$137:T$145))</f>
        <v>0</v>
      </c>
    </row>
    <row r="238" spans="2:20" ht="12" customHeight="1" outlineLevel="2">
      <c r="E238" s="247" t="str">
        <f>GC!C61</f>
        <v>Residential new customer connections</v>
      </c>
      <c r="F238" s="247"/>
      <c r="G238" s="247"/>
      <c r="H238" s="247"/>
      <c r="I238" s="247"/>
      <c r="J238" s="81">
        <f ca="1">SUMPRODUCT((Work_Codes!$AC$272:$AO$272=$E238)*(Work_Codes!$AC$275:$AO$283)*(J$137:J$145))</f>
        <v>0</v>
      </c>
      <c r="K238" s="81">
        <f ca="1">SUMPRODUCT((Work_Codes!$AC$272:$AO$272=$E238)*(Work_Codes!$AC$275:$AO$283)*(K$137:K$145))</f>
        <v>0</v>
      </c>
      <c r="L238" s="81">
        <f ca="1">SUMPRODUCT((Work_Codes!$AC$272:$AO$272=$E238)*(Work_Codes!$AC$275:$AO$283)*(L$137:L$145))</f>
        <v>0</v>
      </c>
      <c r="M238" s="81">
        <f ca="1">SUMPRODUCT((Work_Codes!$AC$272:$AO$272=$E238)*(Work_Codes!$AC$275:$AO$283)*(M$137:M$145))</f>
        <v>0</v>
      </c>
      <c r="N238" s="81">
        <f ca="1">SUMPRODUCT((Work_Codes!$AC$272:$AO$272=$E238)*(Work_Codes!$AC$275:$AO$283)*(N$137:N$145))</f>
        <v>0</v>
      </c>
      <c r="O238" s="81">
        <f ca="1">SUMPRODUCT((Work_Codes!$AC$272:$AO$272=$E238)*(Work_Codes!$AC$275:$AO$283)*(O$137:O$145))</f>
        <v>0</v>
      </c>
      <c r="P238" s="81">
        <f ca="1">SUMPRODUCT((Work_Codes!$AC$272:$AO$272=$E238)*(Work_Codes!$AC$275:$AO$283)*(P$137:P$145))</f>
        <v>0</v>
      </c>
      <c r="Q238" s="81">
        <f ca="1">SUMPRODUCT((Work_Codes!$AC$272:$AO$272=$E238)*(Work_Codes!$AC$275:$AO$283)*(Q$137:Q$145))</f>
        <v>0</v>
      </c>
      <c r="R238" s="81">
        <f ca="1">SUMPRODUCT((Work_Codes!$AC$272:$AO$272=$E238)*(Work_Codes!$AC$275:$AO$283)*(R$137:R$145))</f>
        <v>0</v>
      </c>
      <c r="S238" s="81">
        <f ca="1">SUMPRODUCT((Work_Codes!$AC$272:$AO$272=$E238)*(Work_Codes!$AC$275:$AO$283)*(S$137:S$145))</f>
        <v>0</v>
      </c>
      <c r="T238" s="81">
        <f ca="1">SUMPRODUCT((Work_Codes!$AC$272:$AO$272=$E238)*(Work_Codes!$AC$275:$AO$283)*(T$137:T$145))</f>
        <v>0</v>
      </c>
    </row>
    <row r="239" spans="2:20" ht="12" customHeight="1" outlineLevel="2">
      <c r="E239" s="247" t="str">
        <f>GC!C62</f>
        <v>Commercial and industrial new customer connections</v>
      </c>
      <c r="F239" s="247"/>
      <c r="G239" s="247"/>
      <c r="H239" s="247"/>
      <c r="I239" s="247"/>
      <c r="J239" s="81">
        <f ca="1">SUMPRODUCT((Work_Codes!$AC$272:$AO$272=$E239)*(Work_Codes!$AC$275:$AO$283)*(J$137:J$145))</f>
        <v>0</v>
      </c>
      <c r="K239" s="81">
        <f ca="1">SUMPRODUCT((Work_Codes!$AC$272:$AO$272=$E239)*(Work_Codes!$AC$275:$AO$283)*(K$137:K$145))</f>
        <v>0</v>
      </c>
      <c r="L239" s="81">
        <f ca="1">SUMPRODUCT((Work_Codes!$AC$272:$AO$272=$E239)*(Work_Codes!$AC$275:$AO$283)*(L$137:L$145))</f>
        <v>0</v>
      </c>
      <c r="M239" s="81">
        <f ca="1">SUMPRODUCT((Work_Codes!$AC$272:$AO$272=$E239)*(Work_Codes!$AC$275:$AO$283)*(M$137:M$145))</f>
        <v>0</v>
      </c>
      <c r="N239" s="81">
        <f ca="1">SUMPRODUCT((Work_Codes!$AC$272:$AO$272=$E239)*(Work_Codes!$AC$275:$AO$283)*(N$137:N$145))</f>
        <v>0</v>
      </c>
      <c r="O239" s="81">
        <f ca="1">SUMPRODUCT((Work_Codes!$AC$272:$AO$272=$E239)*(Work_Codes!$AC$275:$AO$283)*(O$137:O$145))</f>
        <v>0</v>
      </c>
      <c r="P239" s="81">
        <f ca="1">SUMPRODUCT((Work_Codes!$AC$272:$AO$272=$E239)*(Work_Codes!$AC$275:$AO$283)*(P$137:P$145))</f>
        <v>0</v>
      </c>
      <c r="Q239" s="81">
        <f ca="1">SUMPRODUCT((Work_Codes!$AC$272:$AO$272=$E239)*(Work_Codes!$AC$275:$AO$283)*(Q$137:Q$145))</f>
        <v>0</v>
      </c>
      <c r="R239" s="81">
        <f ca="1">SUMPRODUCT((Work_Codes!$AC$272:$AO$272=$E239)*(Work_Codes!$AC$275:$AO$283)*(R$137:R$145))</f>
        <v>0</v>
      </c>
      <c r="S239" s="81">
        <f ca="1">SUMPRODUCT((Work_Codes!$AC$272:$AO$272=$E239)*(Work_Codes!$AC$275:$AO$283)*(S$137:S$145))</f>
        <v>0</v>
      </c>
      <c r="T239" s="81">
        <f ca="1">SUMPRODUCT((Work_Codes!$AC$272:$AO$272=$E239)*(Work_Codes!$AC$275:$AO$283)*(T$137:T$145))</f>
        <v>0</v>
      </c>
    </row>
    <row r="240" spans="2:20" ht="12" customHeight="1" outlineLevel="2">
      <c r="E240" s="247" t="str">
        <f>GC!C63</f>
        <v>Residential meter replacement</v>
      </c>
      <c r="F240" s="247"/>
      <c r="G240" s="247"/>
      <c r="H240" s="247"/>
      <c r="I240" s="247"/>
      <c r="J240" s="81">
        <f ca="1">SUMPRODUCT((Work_Codes!$AC$272:$AO$272=$E240)*(Work_Codes!$AC$275:$AO$283)*(J$137:J$145))</f>
        <v>0</v>
      </c>
      <c r="K240" s="81">
        <f ca="1">SUMPRODUCT((Work_Codes!$AC$272:$AO$272=$E240)*(Work_Codes!$AC$275:$AO$283)*(K$137:K$145))</f>
        <v>0</v>
      </c>
      <c r="L240" s="81">
        <f ca="1">SUMPRODUCT((Work_Codes!$AC$272:$AO$272=$E240)*(Work_Codes!$AC$275:$AO$283)*(L$137:L$145))</f>
        <v>0</v>
      </c>
      <c r="M240" s="81">
        <f ca="1">SUMPRODUCT((Work_Codes!$AC$272:$AO$272=$E240)*(Work_Codes!$AC$275:$AO$283)*(M$137:M$145))</f>
        <v>0</v>
      </c>
      <c r="N240" s="81">
        <f ca="1">SUMPRODUCT((Work_Codes!$AC$272:$AO$272=$E240)*(Work_Codes!$AC$275:$AO$283)*(N$137:N$145))</f>
        <v>0</v>
      </c>
      <c r="O240" s="81">
        <f ca="1">SUMPRODUCT((Work_Codes!$AC$272:$AO$272=$E240)*(Work_Codes!$AC$275:$AO$283)*(O$137:O$145))</f>
        <v>0</v>
      </c>
      <c r="P240" s="81">
        <f ca="1">SUMPRODUCT((Work_Codes!$AC$272:$AO$272=$E240)*(Work_Codes!$AC$275:$AO$283)*(P$137:P$145))</f>
        <v>0</v>
      </c>
      <c r="Q240" s="81">
        <f ca="1">SUMPRODUCT((Work_Codes!$AC$272:$AO$272=$E240)*(Work_Codes!$AC$275:$AO$283)*(Q$137:Q$145))</f>
        <v>0</v>
      </c>
      <c r="R240" s="81">
        <f ca="1">SUMPRODUCT((Work_Codes!$AC$272:$AO$272=$E240)*(Work_Codes!$AC$275:$AO$283)*(R$137:R$145))</f>
        <v>0</v>
      </c>
      <c r="S240" s="81">
        <f ca="1">SUMPRODUCT((Work_Codes!$AC$272:$AO$272=$E240)*(Work_Codes!$AC$275:$AO$283)*(S$137:S$145))</f>
        <v>0</v>
      </c>
      <c r="T240" s="81">
        <f ca="1">SUMPRODUCT((Work_Codes!$AC$272:$AO$272=$E240)*(Work_Codes!$AC$275:$AO$283)*(T$137:T$145))</f>
        <v>0</v>
      </c>
    </row>
    <row r="241" spans="4:20" ht="12" customHeight="1" outlineLevel="2">
      <c r="E241" s="247" t="str">
        <f>GC!C64</f>
        <v>Commercial and industrial meter replacement</v>
      </c>
      <c r="F241" s="247"/>
      <c r="G241" s="247"/>
      <c r="H241" s="247"/>
      <c r="I241" s="247"/>
      <c r="J241" s="81">
        <f ca="1">SUMPRODUCT((Work_Codes!$AC$272:$AO$272=$E241)*(Work_Codes!$AC$275:$AO$283)*(J$137:J$145))</f>
        <v>0</v>
      </c>
      <c r="K241" s="81">
        <f ca="1">SUMPRODUCT((Work_Codes!$AC$272:$AO$272=$E241)*(Work_Codes!$AC$275:$AO$283)*(K$137:K$145))</f>
        <v>0</v>
      </c>
      <c r="L241" s="81">
        <f ca="1">SUMPRODUCT((Work_Codes!$AC$272:$AO$272=$E241)*(Work_Codes!$AC$275:$AO$283)*(L$137:L$145))</f>
        <v>0</v>
      </c>
      <c r="M241" s="81">
        <f ca="1">SUMPRODUCT((Work_Codes!$AC$272:$AO$272=$E241)*(Work_Codes!$AC$275:$AO$283)*(M$137:M$145))</f>
        <v>0</v>
      </c>
      <c r="N241" s="81">
        <f ca="1">SUMPRODUCT((Work_Codes!$AC$272:$AO$272=$E241)*(Work_Codes!$AC$275:$AO$283)*(N$137:N$145))</f>
        <v>0</v>
      </c>
      <c r="O241" s="81">
        <f ca="1">SUMPRODUCT((Work_Codes!$AC$272:$AO$272=$E241)*(Work_Codes!$AC$275:$AO$283)*(O$137:O$145))</f>
        <v>0</v>
      </c>
      <c r="P241" s="81">
        <f ca="1">SUMPRODUCT((Work_Codes!$AC$272:$AO$272=$E241)*(Work_Codes!$AC$275:$AO$283)*(P$137:P$145))</f>
        <v>0</v>
      </c>
      <c r="Q241" s="81">
        <f ca="1">SUMPRODUCT((Work_Codes!$AC$272:$AO$272=$E241)*(Work_Codes!$AC$275:$AO$283)*(Q$137:Q$145))</f>
        <v>0</v>
      </c>
      <c r="R241" s="81">
        <f ca="1">SUMPRODUCT((Work_Codes!$AC$272:$AO$272=$E241)*(Work_Codes!$AC$275:$AO$283)*(R$137:R$145))</f>
        <v>0</v>
      </c>
      <c r="S241" s="81">
        <f ca="1">SUMPRODUCT((Work_Codes!$AC$272:$AO$272=$E241)*(Work_Codes!$AC$275:$AO$283)*(S$137:S$145))</f>
        <v>0</v>
      </c>
      <c r="T241" s="81">
        <f ca="1">SUMPRODUCT((Work_Codes!$AC$272:$AO$272=$E241)*(Work_Codes!$AC$275:$AO$283)*(T$137:T$145))</f>
        <v>0</v>
      </c>
    </row>
    <row r="242" spans="4:20" ht="12" customHeight="1" outlineLevel="2">
      <c r="E242" s="247" t="str">
        <f>GC!C65</f>
        <v>Augmentation</v>
      </c>
      <c r="F242" s="247"/>
      <c r="G242" s="247"/>
      <c r="H242" s="247"/>
      <c r="I242" s="247"/>
      <c r="J242" s="81">
        <f ca="1">SUMPRODUCT((Work_Codes!$AC$272:$AO$272=$E242)*(Work_Codes!$AC$275:$AO$283)*(J$137:J$145))</f>
        <v>0</v>
      </c>
      <c r="K242" s="81">
        <f ca="1">SUMPRODUCT((Work_Codes!$AC$272:$AO$272=$E242)*(Work_Codes!$AC$275:$AO$283)*(K$137:K$145))</f>
        <v>0</v>
      </c>
      <c r="L242" s="81">
        <f ca="1">SUMPRODUCT((Work_Codes!$AC$272:$AO$272=$E242)*(Work_Codes!$AC$275:$AO$283)*(L$137:L$145))</f>
        <v>0</v>
      </c>
      <c r="M242" s="81">
        <f ca="1">SUMPRODUCT((Work_Codes!$AC$272:$AO$272=$E242)*(Work_Codes!$AC$275:$AO$283)*(M$137:M$145))</f>
        <v>0</v>
      </c>
      <c r="N242" s="81">
        <f ca="1">SUMPRODUCT((Work_Codes!$AC$272:$AO$272=$E242)*(Work_Codes!$AC$275:$AO$283)*(N$137:N$145))</f>
        <v>0</v>
      </c>
      <c r="O242" s="81">
        <f ca="1">SUMPRODUCT((Work_Codes!$AC$272:$AO$272=$E242)*(Work_Codes!$AC$275:$AO$283)*(O$137:O$145))</f>
        <v>0</v>
      </c>
      <c r="P242" s="81">
        <f ca="1">SUMPRODUCT((Work_Codes!$AC$272:$AO$272=$E242)*(Work_Codes!$AC$275:$AO$283)*(P$137:P$145))</f>
        <v>0</v>
      </c>
      <c r="Q242" s="81">
        <f ca="1">SUMPRODUCT((Work_Codes!$AC$272:$AO$272=$E242)*(Work_Codes!$AC$275:$AO$283)*(Q$137:Q$145))</f>
        <v>0</v>
      </c>
      <c r="R242" s="81">
        <f ca="1">SUMPRODUCT((Work_Codes!$AC$272:$AO$272=$E242)*(Work_Codes!$AC$275:$AO$283)*(R$137:R$145))</f>
        <v>0</v>
      </c>
      <c r="S242" s="81">
        <f ca="1">SUMPRODUCT((Work_Codes!$AC$272:$AO$272=$E242)*(Work_Codes!$AC$275:$AO$283)*(S$137:S$145))</f>
        <v>0</v>
      </c>
      <c r="T242" s="81">
        <f ca="1">SUMPRODUCT((Work_Codes!$AC$272:$AO$272=$E242)*(Work_Codes!$AC$275:$AO$283)*(T$137:T$145))</f>
        <v>0</v>
      </c>
    </row>
    <row r="243" spans="4:20" ht="12" customHeight="1" outlineLevel="2">
      <c r="E243" s="247" t="str">
        <f>GC!C66</f>
        <v>IT capex</v>
      </c>
      <c r="F243" s="247"/>
      <c r="G243" s="247"/>
      <c r="H243" s="247"/>
      <c r="I243" s="247"/>
      <c r="J243" s="81">
        <f ca="1">SUMPRODUCT((Work_Codes!$AC$272:$AO$272=$E243)*(Work_Codes!$AC$275:$AO$283)*(J$137:J$145))</f>
        <v>0</v>
      </c>
      <c r="K243" s="81">
        <f ca="1">SUMPRODUCT((Work_Codes!$AC$272:$AO$272=$E243)*(Work_Codes!$AC$275:$AO$283)*(K$137:K$145))</f>
        <v>0</v>
      </c>
      <c r="L243" s="81">
        <f ca="1">SUMPRODUCT((Work_Codes!$AC$272:$AO$272=$E243)*(Work_Codes!$AC$275:$AO$283)*(L$137:L$145))</f>
        <v>0</v>
      </c>
      <c r="M243" s="81">
        <f ca="1">SUMPRODUCT((Work_Codes!$AC$272:$AO$272=$E243)*(Work_Codes!$AC$275:$AO$283)*(M$137:M$145))</f>
        <v>0</v>
      </c>
      <c r="N243" s="81">
        <f ca="1">SUMPRODUCT((Work_Codes!$AC$272:$AO$272=$E243)*(Work_Codes!$AC$275:$AO$283)*(N$137:N$145))</f>
        <v>0</v>
      </c>
      <c r="O243" s="81">
        <f ca="1">SUMPRODUCT((Work_Codes!$AC$272:$AO$272=$E243)*(Work_Codes!$AC$275:$AO$283)*(O$137:O$145))</f>
        <v>0</v>
      </c>
      <c r="P243" s="81">
        <f ca="1">SUMPRODUCT((Work_Codes!$AC$272:$AO$272=$E243)*(Work_Codes!$AC$275:$AO$283)*(P$137:P$145))</f>
        <v>0</v>
      </c>
      <c r="Q243" s="81">
        <f ca="1">SUMPRODUCT((Work_Codes!$AC$272:$AO$272=$E243)*(Work_Codes!$AC$275:$AO$283)*(Q$137:Q$145))</f>
        <v>0</v>
      </c>
      <c r="R243" s="81">
        <f ca="1">SUMPRODUCT((Work_Codes!$AC$272:$AO$272=$E243)*(Work_Codes!$AC$275:$AO$283)*(R$137:R$145))</f>
        <v>0</v>
      </c>
      <c r="S243" s="81">
        <f ca="1">SUMPRODUCT((Work_Codes!$AC$272:$AO$272=$E243)*(Work_Codes!$AC$275:$AO$283)*(S$137:S$145))</f>
        <v>0</v>
      </c>
      <c r="T243" s="81">
        <f ca="1">SUMPRODUCT((Work_Codes!$AC$272:$AO$272=$E243)*(Work_Codes!$AC$275:$AO$283)*(T$137:T$145))</f>
        <v>0</v>
      </c>
    </row>
    <row r="244" spans="4:20" ht="12" customHeight="1" outlineLevel="2">
      <c r="E244" s="247" t="str">
        <f>GC!C67</f>
        <v>SCADA</v>
      </c>
      <c r="F244" s="247"/>
      <c r="G244" s="247"/>
      <c r="H244" s="247"/>
      <c r="I244" s="247"/>
      <c r="J244" s="81">
        <f ca="1">SUMPRODUCT((Work_Codes!$AC$272:$AO$272=$E244)*(Work_Codes!$AC$275:$AO$283)*(J$137:J$145))</f>
        <v>0</v>
      </c>
      <c r="K244" s="81">
        <f ca="1">SUMPRODUCT((Work_Codes!$AC$272:$AO$272=$E244)*(Work_Codes!$AC$275:$AO$283)*(K$137:K$145))</f>
        <v>0</v>
      </c>
      <c r="L244" s="81">
        <f ca="1">SUMPRODUCT((Work_Codes!$AC$272:$AO$272=$E244)*(Work_Codes!$AC$275:$AO$283)*(L$137:L$145))</f>
        <v>0</v>
      </c>
      <c r="M244" s="81">
        <f ca="1">SUMPRODUCT((Work_Codes!$AC$272:$AO$272=$E244)*(Work_Codes!$AC$275:$AO$283)*(M$137:M$145))</f>
        <v>0</v>
      </c>
      <c r="N244" s="81">
        <f ca="1">SUMPRODUCT((Work_Codes!$AC$272:$AO$272=$E244)*(Work_Codes!$AC$275:$AO$283)*(N$137:N$145))</f>
        <v>0</v>
      </c>
      <c r="O244" s="81">
        <f ca="1">SUMPRODUCT((Work_Codes!$AC$272:$AO$272=$E244)*(Work_Codes!$AC$275:$AO$283)*(O$137:O$145))</f>
        <v>0</v>
      </c>
      <c r="P244" s="81">
        <f ca="1">SUMPRODUCT((Work_Codes!$AC$272:$AO$272=$E244)*(Work_Codes!$AC$275:$AO$283)*(P$137:P$145))</f>
        <v>0</v>
      </c>
      <c r="Q244" s="81">
        <f ca="1">SUMPRODUCT((Work_Codes!$AC$272:$AO$272=$E244)*(Work_Codes!$AC$275:$AO$283)*(Q$137:Q$145))</f>
        <v>0</v>
      </c>
      <c r="R244" s="81">
        <f ca="1">SUMPRODUCT((Work_Codes!$AC$272:$AO$272=$E244)*(Work_Codes!$AC$275:$AO$283)*(R$137:R$145))</f>
        <v>0</v>
      </c>
      <c r="S244" s="81">
        <f ca="1">SUMPRODUCT((Work_Codes!$AC$272:$AO$272=$E244)*(Work_Codes!$AC$275:$AO$283)*(S$137:S$145))</f>
        <v>0</v>
      </c>
      <c r="T244" s="81">
        <f ca="1">SUMPRODUCT((Work_Codes!$AC$272:$AO$272=$E244)*(Work_Codes!$AC$275:$AO$283)*(T$137:T$145))</f>
        <v>0</v>
      </c>
    </row>
    <row r="245" spans="4:20" ht="12" customHeight="1" outlineLevel="2">
      <c r="E245" s="247" t="str">
        <f>GC!C68</f>
        <v>Other</v>
      </c>
      <c r="F245" s="247"/>
      <c r="G245" s="247"/>
      <c r="H245" s="247"/>
      <c r="I245" s="247"/>
      <c r="J245" s="81">
        <f ca="1">SUMPRODUCT((Work_Codes!$AC$272:$AO$272=$E245)*(Work_Codes!$AC$275:$AO$283)*(J$137:J$145))</f>
        <v>0</v>
      </c>
      <c r="K245" s="81">
        <f ca="1">SUMPRODUCT((Work_Codes!$AC$272:$AO$272=$E245)*(Work_Codes!$AC$275:$AO$283)*(K$137:K$145))</f>
        <v>0</v>
      </c>
      <c r="L245" s="81">
        <f ca="1">SUMPRODUCT((Work_Codes!$AC$272:$AO$272=$E245)*(Work_Codes!$AC$275:$AO$283)*(L$137:L$145))</f>
        <v>0</v>
      </c>
      <c r="M245" s="81">
        <f ca="1">SUMPRODUCT((Work_Codes!$AC$272:$AO$272=$E245)*(Work_Codes!$AC$275:$AO$283)*(M$137:M$145))</f>
        <v>0</v>
      </c>
      <c r="N245" s="81">
        <f ca="1">SUMPRODUCT((Work_Codes!$AC$272:$AO$272=$E245)*(Work_Codes!$AC$275:$AO$283)*(N$137:N$145))</f>
        <v>202503.22321251823</v>
      </c>
      <c r="O245" s="81">
        <f ca="1">SUMPRODUCT((Work_Codes!$AC$272:$AO$272=$E245)*(Work_Codes!$AC$275:$AO$283)*(O$137:O$145))</f>
        <v>192039.90469303401</v>
      </c>
      <c r="P245" s="81">
        <f ca="1">SUMPRODUCT((Work_Codes!$AC$272:$AO$272=$E245)*(Work_Codes!$AC$275:$AO$283)*(P$137:P$145))</f>
        <v>384157.1354747992</v>
      </c>
      <c r="Q245" s="81">
        <f ca="1">SUMPRODUCT((Work_Codes!$AC$272:$AO$272=$E245)*(Work_Codes!$AC$275:$AO$283)*(Q$137:Q$145))</f>
        <v>404292.61376348359</v>
      </c>
      <c r="R245" s="81">
        <f ca="1">SUMPRODUCT((Work_Codes!$AC$272:$AO$272=$E245)*(Work_Codes!$AC$275:$AO$283)*(R$137:R$145))</f>
        <v>391458.48767377576</v>
      </c>
      <c r="S245" s="81">
        <f ca="1">SUMPRODUCT((Work_Codes!$AC$272:$AO$272=$E245)*(Work_Codes!$AC$275:$AO$283)*(S$137:S$145))</f>
        <v>391635.7070410623</v>
      </c>
      <c r="T245" s="81">
        <f ca="1">SUMPRODUCT((Work_Codes!$AC$272:$AO$272=$E245)*(Work_Codes!$AC$275:$AO$283)*(T$137:T$145))</f>
        <v>391814.87731856958</v>
      </c>
    </row>
    <row r="246" spans="4:20" outlineLevel="2">
      <c r="E246" s="247" t="str">
        <f>GC!C69</f>
        <v>Capitalised Leases</v>
      </c>
      <c r="F246" s="247"/>
      <c r="G246" s="247"/>
      <c r="H246" s="247"/>
      <c r="I246" s="247"/>
      <c r="J246" s="81">
        <f ca="1">SUMPRODUCT((Work_Codes!$AC$272:$AO$272=$E246)*(Work_Codes!$AC$275:$AO$283)*(J$137:J$145))</f>
        <v>0</v>
      </c>
      <c r="K246" s="81">
        <f ca="1">SUMPRODUCT((Work_Codes!$AC$272:$AO$272=$E246)*(Work_Codes!$AC$275:$AO$283)*(K$137:K$145))</f>
        <v>0</v>
      </c>
      <c r="L246" s="81">
        <f ca="1">SUMPRODUCT((Work_Codes!$AC$272:$AO$272=$E246)*(Work_Codes!$AC$275:$AO$283)*(L$137:L$145))</f>
        <v>0</v>
      </c>
      <c r="M246" s="81">
        <f ca="1">SUMPRODUCT((Work_Codes!$AC$272:$AO$272=$E246)*(Work_Codes!$AC$275:$AO$283)*(M$137:M$145))</f>
        <v>0</v>
      </c>
      <c r="N246" s="81">
        <f ca="1">SUMPRODUCT((Work_Codes!$AC$272:$AO$272=$E246)*(Work_Codes!$AC$275:$AO$283)*(N$137:N$145))</f>
        <v>0</v>
      </c>
      <c r="O246" s="81">
        <f ca="1">SUMPRODUCT((Work_Codes!$AC$272:$AO$272=$E246)*(Work_Codes!$AC$275:$AO$283)*(O$137:O$145))</f>
        <v>0</v>
      </c>
      <c r="P246" s="81">
        <f ca="1">SUMPRODUCT((Work_Codes!$AC$272:$AO$272=$E246)*(Work_Codes!$AC$275:$AO$283)*(P$137:P$145))</f>
        <v>0</v>
      </c>
      <c r="Q246" s="81">
        <f ca="1">SUMPRODUCT((Work_Codes!$AC$272:$AO$272=$E246)*(Work_Codes!$AC$275:$AO$283)*(Q$137:Q$145))</f>
        <v>0</v>
      </c>
      <c r="R246" s="81">
        <f ca="1">SUMPRODUCT((Work_Codes!$AC$272:$AO$272=$E246)*(Work_Codes!$AC$275:$AO$283)*(R$137:R$145))</f>
        <v>0</v>
      </c>
      <c r="S246" s="81">
        <f ca="1">SUMPRODUCT((Work_Codes!$AC$272:$AO$272=$E246)*(Work_Codes!$AC$275:$AO$283)*(S$137:S$145))</f>
        <v>0</v>
      </c>
      <c r="T246" s="81">
        <f ca="1">SUMPRODUCT((Work_Codes!$AC$272:$AO$272=$E246)*(Work_Codes!$AC$275:$AO$283)*(T$137:T$145))</f>
        <v>0</v>
      </c>
    </row>
    <row r="247" spans="4:20" ht="12" customHeight="1" outlineLevel="2">
      <c r="E247" s="247" t="str">
        <f>GC!C70</f>
        <v>Gas Extensions - Energy for the Regions</v>
      </c>
      <c r="F247" s="247"/>
      <c r="G247" s="247"/>
      <c r="H247" s="247"/>
      <c r="I247" s="247"/>
      <c r="J247" s="81">
        <f ca="1">SUMPRODUCT((Work_Codes!$AC$272:$AO$272=$E247)*(Work_Codes!$AC$275:$AO$283)*(J$137:J$145))</f>
        <v>0</v>
      </c>
      <c r="K247" s="81">
        <f ca="1">SUMPRODUCT((Work_Codes!$AC$272:$AO$272=$E247)*(Work_Codes!$AC$275:$AO$283)*(K$137:K$145))</f>
        <v>0</v>
      </c>
      <c r="L247" s="81">
        <f ca="1">SUMPRODUCT((Work_Codes!$AC$272:$AO$272=$E247)*(Work_Codes!$AC$275:$AO$283)*(L$137:L$145))</f>
        <v>0</v>
      </c>
      <c r="M247" s="81">
        <f ca="1">SUMPRODUCT((Work_Codes!$AC$272:$AO$272=$E247)*(Work_Codes!$AC$275:$AO$283)*(M$137:M$145))</f>
        <v>0</v>
      </c>
      <c r="N247" s="81">
        <f ca="1">SUMPRODUCT((Work_Codes!$AC$272:$AO$272=$E247)*(Work_Codes!$AC$275:$AO$283)*(N$137:N$145))</f>
        <v>0</v>
      </c>
      <c r="O247" s="81">
        <f ca="1">SUMPRODUCT((Work_Codes!$AC$272:$AO$272=$E247)*(Work_Codes!$AC$275:$AO$283)*(O$137:O$145))</f>
        <v>0</v>
      </c>
      <c r="P247" s="81">
        <f ca="1">SUMPRODUCT((Work_Codes!$AC$272:$AO$272=$E247)*(Work_Codes!$AC$275:$AO$283)*(P$137:P$145))</f>
        <v>0</v>
      </c>
      <c r="Q247" s="81">
        <f ca="1">SUMPRODUCT((Work_Codes!$AC$272:$AO$272=$E247)*(Work_Codes!$AC$275:$AO$283)*(Q$137:Q$145))</f>
        <v>0</v>
      </c>
      <c r="R247" s="81">
        <f ca="1">SUMPRODUCT((Work_Codes!$AC$272:$AO$272=$E247)*(Work_Codes!$AC$275:$AO$283)*(R$137:R$145))</f>
        <v>0</v>
      </c>
      <c r="S247" s="81">
        <f ca="1">SUMPRODUCT((Work_Codes!$AC$272:$AO$272=$E247)*(Work_Codes!$AC$275:$AO$283)*(S$137:S$145))</f>
        <v>0</v>
      </c>
      <c r="T247" s="81">
        <f ca="1">SUMPRODUCT((Work_Codes!$AC$272:$AO$272=$E247)*(Work_Codes!$AC$275:$AO$283)*(T$137:T$145))</f>
        <v>0</v>
      </c>
    </row>
    <row r="248" spans="4:20" ht="12" customHeight="1" outlineLevel="2">
      <c r="E248" s="247" t="str">
        <f>GC!C71</f>
        <v>Gas Extensions - Other</v>
      </c>
      <c r="F248" s="247"/>
      <c r="G248" s="247"/>
      <c r="H248" s="247"/>
      <c r="I248" s="247"/>
      <c r="J248" s="81">
        <f ca="1">SUMPRODUCT((Work_Codes!$AC$272:$AO$272=$E248)*(Work_Codes!$AC$275:$AO$283)*(J$137:J$145))</f>
        <v>0</v>
      </c>
      <c r="K248" s="81">
        <f ca="1">SUMPRODUCT((Work_Codes!$AC$272:$AO$272=$E248)*(Work_Codes!$AC$275:$AO$283)*(K$137:K$145))</f>
        <v>0</v>
      </c>
      <c r="L248" s="81">
        <f ca="1">SUMPRODUCT((Work_Codes!$AC$272:$AO$272=$E248)*(Work_Codes!$AC$275:$AO$283)*(L$137:L$145))</f>
        <v>0</v>
      </c>
      <c r="M248" s="81">
        <f ca="1">SUMPRODUCT((Work_Codes!$AC$272:$AO$272=$E248)*(Work_Codes!$AC$275:$AO$283)*(M$137:M$145))</f>
        <v>0</v>
      </c>
      <c r="N248" s="81">
        <f ca="1">SUMPRODUCT((Work_Codes!$AC$272:$AO$272=$E248)*(Work_Codes!$AC$275:$AO$283)*(N$137:N$145))</f>
        <v>0</v>
      </c>
      <c r="O248" s="81">
        <f ca="1">SUMPRODUCT((Work_Codes!$AC$272:$AO$272=$E248)*(Work_Codes!$AC$275:$AO$283)*(O$137:O$145))</f>
        <v>0</v>
      </c>
      <c r="P248" s="81">
        <f ca="1">SUMPRODUCT((Work_Codes!$AC$272:$AO$272=$E248)*(Work_Codes!$AC$275:$AO$283)*(P$137:P$145))</f>
        <v>0</v>
      </c>
      <c r="Q248" s="81">
        <f ca="1">SUMPRODUCT((Work_Codes!$AC$272:$AO$272=$E248)*(Work_Codes!$AC$275:$AO$283)*(Q$137:Q$145))</f>
        <v>0</v>
      </c>
      <c r="R248" s="81">
        <f ca="1">SUMPRODUCT((Work_Codes!$AC$272:$AO$272=$E248)*(Work_Codes!$AC$275:$AO$283)*(R$137:R$145))</f>
        <v>0</v>
      </c>
      <c r="S248" s="81">
        <f ca="1">SUMPRODUCT((Work_Codes!$AC$272:$AO$272=$E248)*(Work_Codes!$AC$275:$AO$283)*(S$137:S$145))</f>
        <v>0</v>
      </c>
      <c r="T248" s="81">
        <f ca="1">SUMPRODUCT((Work_Codes!$AC$272:$AO$272=$E248)*(Work_Codes!$AC$275:$AO$283)*(T$137:T$145))</f>
        <v>0</v>
      </c>
    </row>
    <row r="249" spans="4:20" ht="12" customHeight="1" outlineLevel="2">
      <c r="E249" s="247" t="str">
        <f>GC!C72</f>
        <v>Customer contributions</v>
      </c>
      <c r="F249" s="247"/>
      <c r="G249" s="247"/>
      <c r="H249" s="247"/>
      <c r="I249" s="247"/>
      <c r="J249" s="81">
        <f ca="1">SUMPRODUCT((Work_Codes!$AC$272:$AO$272=$E249)*(Work_Codes!$AC$275:$AO$283)*(J$137:J$145))</f>
        <v>0</v>
      </c>
      <c r="K249" s="81">
        <f ca="1">SUMPRODUCT((Work_Codes!$AC$272:$AO$272=$E249)*(Work_Codes!$AC$275:$AO$283)*(K$137:K$145))</f>
        <v>0</v>
      </c>
      <c r="L249" s="81">
        <f ca="1">SUMPRODUCT((Work_Codes!$AC$272:$AO$272=$E249)*(Work_Codes!$AC$275:$AO$283)*(L$137:L$145))</f>
        <v>0</v>
      </c>
      <c r="M249" s="81">
        <f ca="1">SUMPRODUCT((Work_Codes!$AC$272:$AO$272=$E249)*(Work_Codes!$AC$275:$AO$283)*(M$137:M$145))</f>
        <v>0</v>
      </c>
      <c r="N249" s="81">
        <f ca="1">SUMPRODUCT((Work_Codes!$AC$272:$AO$272=$E249)*(Work_Codes!$AC$275:$AO$283)*(N$137:N$145))</f>
        <v>0</v>
      </c>
      <c r="O249" s="81">
        <f ca="1">SUMPRODUCT((Work_Codes!$AC$272:$AO$272=$E249)*(Work_Codes!$AC$275:$AO$283)*(O$137:O$145))</f>
        <v>0</v>
      </c>
      <c r="P249" s="81">
        <f ca="1">SUMPRODUCT((Work_Codes!$AC$272:$AO$272=$E249)*(Work_Codes!$AC$275:$AO$283)*(P$137:P$145))</f>
        <v>0</v>
      </c>
      <c r="Q249" s="81">
        <f ca="1">SUMPRODUCT((Work_Codes!$AC$272:$AO$272=$E249)*(Work_Codes!$AC$275:$AO$283)*(Q$137:Q$145))</f>
        <v>0</v>
      </c>
      <c r="R249" s="81">
        <f ca="1">SUMPRODUCT((Work_Codes!$AC$272:$AO$272=$E249)*(Work_Codes!$AC$275:$AO$283)*(R$137:R$145))</f>
        <v>0</v>
      </c>
      <c r="S249" s="81">
        <f ca="1">SUMPRODUCT((Work_Codes!$AC$272:$AO$272=$E249)*(Work_Codes!$AC$275:$AO$283)*(S$137:S$145))</f>
        <v>0</v>
      </c>
      <c r="T249" s="81">
        <f ca="1">SUMPRODUCT((Work_Codes!$AC$272:$AO$272=$E249)*(Work_Codes!$AC$275:$AO$283)*(T$137:T$145))</f>
        <v>0</v>
      </c>
    </row>
    <row r="250" spans="4:20" ht="12" customHeight="1" outlineLevel="2">
      <c r="E250" s="247" t="str">
        <f>GC!C73</f>
        <v>Government contributions</v>
      </c>
      <c r="F250" s="247"/>
      <c r="G250" s="247"/>
      <c r="H250" s="247"/>
      <c r="I250" s="247"/>
      <c r="J250" s="81">
        <f ca="1">SUMPRODUCT((Work_Codes!$AC$272:$AO$272=$E250)*(Work_Codes!$AC$275:$AO$283)*(J$137:J$145))</f>
        <v>0</v>
      </c>
      <c r="K250" s="81">
        <f ca="1">SUMPRODUCT((Work_Codes!$AC$272:$AO$272=$E250)*(Work_Codes!$AC$275:$AO$283)*(K$137:K$145))</f>
        <v>0</v>
      </c>
      <c r="L250" s="81">
        <f ca="1">SUMPRODUCT((Work_Codes!$AC$272:$AO$272=$E250)*(Work_Codes!$AC$275:$AO$283)*(L$137:L$145))</f>
        <v>0</v>
      </c>
      <c r="M250" s="81">
        <f ca="1">SUMPRODUCT((Work_Codes!$AC$272:$AO$272=$E250)*(Work_Codes!$AC$275:$AO$283)*(M$137:M$145))</f>
        <v>0</v>
      </c>
      <c r="N250" s="81">
        <f ca="1">SUMPRODUCT((Work_Codes!$AC$272:$AO$272=$E250)*(Work_Codes!$AC$275:$AO$283)*(N$137:N$145))</f>
        <v>0</v>
      </c>
      <c r="O250" s="81">
        <f ca="1">SUMPRODUCT((Work_Codes!$AC$272:$AO$272=$E250)*(Work_Codes!$AC$275:$AO$283)*(O$137:O$145))</f>
        <v>0</v>
      </c>
      <c r="P250" s="81">
        <f ca="1">SUMPRODUCT((Work_Codes!$AC$272:$AO$272=$E250)*(Work_Codes!$AC$275:$AO$283)*(P$137:P$145))</f>
        <v>0</v>
      </c>
      <c r="Q250" s="81">
        <f ca="1">SUMPRODUCT((Work_Codes!$AC$272:$AO$272=$E250)*(Work_Codes!$AC$275:$AO$283)*(Q$137:Q$145))</f>
        <v>0</v>
      </c>
      <c r="R250" s="81">
        <f ca="1">SUMPRODUCT((Work_Codes!$AC$272:$AO$272=$E250)*(Work_Codes!$AC$275:$AO$283)*(R$137:R$145))</f>
        <v>0</v>
      </c>
      <c r="S250" s="81">
        <f ca="1">SUMPRODUCT((Work_Codes!$AC$272:$AO$272=$E250)*(Work_Codes!$AC$275:$AO$283)*(S$137:S$145))</f>
        <v>0</v>
      </c>
      <c r="T250" s="81">
        <f ca="1">SUMPRODUCT((Work_Codes!$AC$272:$AO$272=$E250)*(Work_Codes!$AC$275:$AO$283)*(T$137:T$145))</f>
        <v>0</v>
      </c>
    </row>
    <row r="251" spans="4:20" ht="12" customHeight="1" outlineLevel="2">
      <c r="E251" s="249" t="str">
        <f>"Total "&amp;D235</f>
        <v>Total Direct Costs</v>
      </c>
      <c r="F251" s="249"/>
      <c r="G251" s="249"/>
      <c r="H251" s="249"/>
      <c r="I251" s="249"/>
      <c r="J251" s="82">
        <f t="shared" ref="J251:T251" ca="1" si="27">SUM(J237:J250)</f>
        <v>0</v>
      </c>
      <c r="K251" s="82">
        <f t="shared" ca="1" si="27"/>
        <v>0</v>
      </c>
      <c r="L251" s="82">
        <f t="shared" ca="1" si="27"/>
        <v>0</v>
      </c>
      <c r="M251" s="82">
        <f t="shared" ca="1" si="27"/>
        <v>0</v>
      </c>
      <c r="N251" s="82">
        <f t="shared" ca="1" si="27"/>
        <v>202503.22321251823</v>
      </c>
      <c r="O251" s="82">
        <f t="shared" ca="1" si="27"/>
        <v>192039.90469303401</v>
      </c>
      <c r="P251" s="82">
        <f t="shared" ca="1" si="27"/>
        <v>384157.1354747992</v>
      </c>
      <c r="Q251" s="82">
        <f t="shared" ca="1" si="27"/>
        <v>404292.61376348359</v>
      </c>
      <c r="R251" s="82">
        <f t="shared" ca="1" si="27"/>
        <v>391458.48767377576</v>
      </c>
      <c r="S251" s="82">
        <f t="shared" ca="1" si="27"/>
        <v>391635.7070410623</v>
      </c>
      <c r="T251" s="82">
        <f t="shared" ca="1" si="27"/>
        <v>391814.87731856958</v>
      </c>
    </row>
    <row r="252" spans="4:20" outlineLevel="2"/>
    <row r="253" spans="4:20" outlineLevel="2">
      <c r="D253" s="37" t="s">
        <v>216</v>
      </c>
    </row>
    <row r="254" spans="4:20" ht="5.9" customHeight="1" outlineLevel="2"/>
    <row r="255" spans="4:20" ht="12" customHeight="1" outlineLevel="2">
      <c r="E255" s="247" t="str">
        <f>GC!C60</f>
        <v>Mains replacement</v>
      </c>
      <c r="F255" s="247"/>
      <c r="G255" s="247"/>
      <c r="H255" s="247"/>
      <c r="I255" s="247"/>
      <c r="J255" s="81">
        <f ca="1">J237*(1+INDEX(J$35:J$37,MATCH(Work_Codes!$I$269,$D$35:$D$37,0)))</f>
        <v>0</v>
      </c>
      <c r="K255" s="81">
        <f ca="1">K237*(1+INDEX(K$35:K$37,MATCH(Work_Codes!$I$269,$D$35:$D$37,0)))</f>
        <v>0</v>
      </c>
      <c r="L255" s="81">
        <f ca="1">L237*(1+INDEX(L$35:L$37,MATCH(Work_Codes!$I$269,$D$35:$D$37,0)))</f>
        <v>0</v>
      </c>
      <c r="M255" s="81">
        <f ca="1">M237*(1+INDEX(M$35:M$37,MATCH(Work_Codes!$I$269,$D$35:$D$37,0)))</f>
        <v>0</v>
      </c>
      <c r="N255" s="81">
        <f ca="1">N237*(1+INDEX(N$35:N$37,MATCH(Work_Codes!$I$269,$D$35:$D$37,0)))</f>
        <v>0</v>
      </c>
      <c r="O255" s="81">
        <f ca="1">O237*(1+INDEX(O$35:O$37,MATCH(Work_Codes!$I$269,$D$35:$D$37,0)))</f>
        <v>0</v>
      </c>
      <c r="P255" s="81">
        <f ca="1">P237*(1+INDEX(P$35:P$37,MATCH(Work_Codes!$I$269,$D$35:$D$37,0)))</f>
        <v>0</v>
      </c>
      <c r="Q255" s="81">
        <f ca="1">Q237*(1+INDEX(Q$35:Q$37,MATCH(Work_Codes!$I$269,$D$35:$D$37,0)))</f>
        <v>0</v>
      </c>
      <c r="R255" s="81">
        <f ca="1">R237*(1+INDEX(R$35:R$37,MATCH(Work_Codes!$I$269,$D$35:$D$37,0)))</f>
        <v>0</v>
      </c>
      <c r="S255" s="81">
        <f ca="1">S237*(1+INDEX(S$35:S$37,MATCH(Work_Codes!$I$269,$D$35:$D$37,0)))</f>
        <v>0</v>
      </c>
      <c r="T255" s="81">
        <f ca="1">T237*(1+INDEX(T$35:T$37,MATCH(Work_Codes!$I$269,$D$35:$D$37,0)))</f>
        <v>0</v>
      </c>
    </row>
    <row r="256" spans="4:20" ht="12" customHeight="1" outlineLevel="2">
      <c r="E256" s="247" t="str">
        <f>GC!C61</f>
        <v>Residential new customer connections</v>
      </c>
      <c r="F256" s="247"/>
      <c r="G256" s="247"/>
      <c r="H256" s="247"/>
      <c r="I256" s="247"/>
      <c r="J256" s="81">
        <f ca="1">J238*(1+INDEX(J$35:J$37,MATCH(Work_Codes!$I$269,$D$35:$D$37,0)))</f>
        <v>0</v>
      </c>
      <c r="K256" s="81">
        <f ca="1">K238*(1+INDEX(K$35:K$37,MATCH(Work_Codes!$I$269,$D$35:$D$37,0)))</f>
        <v>0</v>
      </c>
      <c r="L256" s="81">
        <f ca="1">L238*(1+INDEX(L$35:L$37,MATCH(Work_Codes!$I$269,$D$35:$D$37,0)))</f>
        <v>0</v>
      </c>
      <c r="M256" s="81">
        <f ca="1">M238*(1+INDEX(M$35:M$37,MATCH(Work_Codes!$I$269,$D$35:$D$37,0)))</f>
        <v>0</v>
      </c>
      <c r="N256" s="81">
        <f ca="1">N238*(1+INDEX(N$35:N$37,MATCH(Work_Codes!$I$269,$D$35:$D$37,0)))</f>
        <v>0</v>
      </c>
      <c r="O256" s="81">
        <f ca="1">O238*(1+INDEX(O$35:O$37,MATCH(Work_Codes!$I$269,$D$35:$D$37,0)))</f>
        <v>0</v>
      </c>
      <c r="P256" s="81">
        <f ca="1">P238*(1+INDEX(P$35:P$37,MATCH(Work_Codes!$I$269,$D$35:$D$37,0)))</f>
        <v>0</v>
      </c>
      <c r="Q256" s="81">
        <f ca="1">Q238*(1+INDEX(Q$35:Q$37,MATCH(Work_Codes!$I$269,$D$35:$D$37,0)))</f>
        <v>0</v>
      </c>
      <c r="R256" s="81">
        <f ca="1">R238*(1+INDEX(R$35:R$37,MATCH(Work_Codes!$I$269,$D$35:$D$37,0)))</f>
        <v>0</v>
      </c>
      <c r="S256" s="81">
        <f ca="1">S238*(1+INDEX(S$35:S$37,MATCH(Work_Codes!$I$269,$D$35:$D$37,0)))</f>
        <v>0</v>
      </c>
      <c r="T256" s="81">
        <f ca="1">T238*(1+INDEX(T$35:T$37,MATCH(Work_Codes!$I$269,$D$35:$D$37,0)))</f>
        <v>0</v>
      </c>
    </row>
    <row r="257" spans="4:20" ht="12" customHeight="1" outlineLevel="2">
      <c r="E257" s="247" t="str">
        <f>GC!C62</f>
        <v>Commercial and industrial new customer connections</v>
      </c>
      <c r="F257" s="247"/>
      <c r="G257" s="247"/>
      <c r="H257" s="247"/>
      <c r="I257" s="247"/>
      <c r="J257" s="81">
        <f ca="1">J239*(1+INDEX(J$35:J$37,MATCH(Work_Codes!$I$269,$D$35:$D$37,0)))</f>
        <v>0</v>
      </c>
      <c r="K257" s="81">
        <f ca="1">K239*(1+INDEX(K$35:K$37,MATCH(Work_Codes!$I$269,$D$35:$D$37,0)))</f>
        <v>0</v>
      </c>
      <c r="L257" s="81">
        <f ca="1">L239*(1+INDEX(L$35:L$37,MATCH(Work_Codes!$I$269,$D$35:$D$37,0)))</f>
        <v>0</v>
      </c>
      <c r="M257" s="81">
        <f ca="1">M239*(1+INDEX(M$35:M$37,MATCH(Work_Codes!$I$269,$D$35:$D$37,0)))</f>
        <v>0</v>
      </c>
      <c r="N257" s="81">
        <f ca="1">N239*(1+INDEX(N$35:N$37,MATCH(Work_Codes!$I$269,$D$35:$D$37,0)))</f>
        <v>0</v>
      </c>
      <c r="O257" s="81">
        <f ca="1">O239*(1+INDEX(O$35:O$37,MATCH(Work_Codes!$I$269,$D$35:$D$37,0)))</f>
        <v>0</v>
      </c>
      <c r="P257" s="81">
        <f ca="1">P239*(1+INDEX(P$35:P$37,MATCH(Work_Codes!$I$269,$D$35:$D$37,0)))</f>
        <v>0</v>
      </c>
      <c r="Q257" s="81">
        <f ca="1">Q239*(1+INDEX(Q$35:Q$37,MATCH(Work_Codes!$I$269,$D$35:$D$37,0)))</f>
        <v>0</v>
      </c>
      <c r="R257" s="81">
        <f ca="1">R239*(1+INDEX(R$35:R$37,MATCH(Work_Codes!$I$269,$D$35:$D$37,0)))</f>
        <v>0</v>
      </c>
      <c r="S257" s="81">
        <f ca="1">S239*(1+INDEX(S$35:S$37,MATCH(Work_Codes!$I$269,$D$35:$D$37,0)))</f>
        <v>0</v>
      </c>
      <c r="T257" s="81">
        <f ca="1">T239*(1+INDEX(T$35:T$37,MATCH(Work_Codes!$I$269,$D$35:$D$37,0)))</f>
        <v>0</v>
      </c>
    </row>
    <row r="258" spans="4:20" ht="12" customHeight="1" outlineLevel="2">
      <c r="E258" s="247" t="str">
        <f>GC!C63</f>
        <v>Residential meter replacement</v>
      </c>
      <c r="F258" s="247"/>
      <c r="G258" s="247"/>
      <c r="H258" s="247"/>
      <c r="I258" s="247"/>
      <c r="J258" s="81">
        <f ca="1">J240*(1+INDEX(J$35:J$37,MATCH(Work_Codes!$I$269,$D$35:$D$37,0)))</f>
        <v>0</v>
      </c>
      <c r="K258" s="81">
        <f ca="1">K240*(1+INDEX(K$35:K$37,MATCH(Work_Codes!$I$269,$D$35:$D$37,0)))</f>
        <v>0</v>
      </c>
      <c r="L258" s="81">
        <f ca="1">L240*(1+INDEX(L$35:L$37,MATCH(Work_Codes!$I$269,$D$35:$D$37,0)))</f>
        <v>0</v>
      </c>
      <c r="M258" s="81">
        <f ca="1">M240*(1+INDEX(M$35:M$37,MATCH(Work_Codes!$I$269,$D$35:$D$37,0)))</f>
        <v>0</v>
      </c>
      <c r="N258" s="81">
        <f ca="1">N240*(1+INDEX(N$35:N$37,MATCH(Work_Codes!$I$269,$D$35:$D$37,0)))</f>
        <v>0</v>
      </c>
      <c r="O258" s="81">
        <f ca="1">O240*(1+INDEX(O$35:O$37,MATCH(Work_Codes!$I$269,$D$35:$D$37,0)))</f>
        <v>0</v>
      </c>
      <c r="P258" s="81">
        <f ca="1">P240*(1+INDEX(P$35:P$37,MATCH(Work_Codes!$I$269,$D$35:$D$37,0)))</f>
        <v>0</v>
      </c>
      <c r="Q258" s="81">
        <f ca="1">Q240*(1+INDEX(Q$35:Q$37,MATCH(Work_Codes!$I$269,$D$35:$D$37,0)))</f>
        <v>0</v>
      </c>
      <c r="R258" s="81">
        <f ca="1">R240*(1+INDEX(R$35:R$37,MATCH(Work_Codes!$I$269,$D$35:$D$37,0)))</f>
        <v>0</v>
      </c>
      <c r="S258" s="81">
        <f ca="1">S240*(1+INDEX(S$35:S$37,MATCH(Work_Codes!$I$269,$D$35:$D$37,0)))</f>
        <v>0</v>
      </c>
      <c r="T258" s="81">
        <f ca="1">T240*(1+INDEX(T$35:T$37,MATCH(Work_Codes!$I$269,$D$35:$D$37,0)))</f>
        <v>0</v>
      </c>
    </row>
    <row r="259" spans="4:20" ht="12" customHeight="1" outlineLevel="2">
      <c r="E259" s="247" t="str">
        <f>GC!C64</f>
        <v>Commercial and industrial meter replacement</v>
      </c>
      <c r="F259" s="247"/>
      <c r="G259" s="247"/>
      <c r="H259" s="247"/>
      <c r="I259" s="247"/>
      <c r="J259" s="81">
        <f ca="1">J241*(1+INDEX(J$35:J$37,MATCH(Work_Codes!$I$269,$D$35:$D$37,0)))</f>
        <v>0</v>
      </c>
      <c r="K259" s="81">
        <f ca="1">K241*(1+INDEX(K$35:K$37,MATCH(Work_Codes!$I$269,$D$35:$D$37,0)))</f>
        <v>0</v>
      </c>
      <c r="L259" s="81">
        <f ca="1">L241*(1+INDEX(L$35:L$37,MATCH(Work_Codes!$I$269,$D$35:$D$37,0)))</f>
        <v>0</v>
      </c>
      <c r="M259" s="81">
        <f ca="1">M241*(1+INDEX(M$35:M$37,MATCH(Work_Codes!$I$269,$D$35:$D$37,0)))</f>
        <v>0</v>
      </c>
      <c r="N259" s="81">
        <f ca="1">N241*(1+INDEX(N$35:N$37,MATCH(Work_Codes!$I$269,$D$35:$D$37,0)))</f>
        <v>0</v>
      </c>
      <c r="O259" s="81">
        <f ca="1">O241*(1+INDEX(O$35:O$37,MATCH(Work_Codes!$I$269,$D$35:$D$37,0)))</f>
        <v>0</v>
      </c>
      <c r="P259" s="81">
        <f ca="1">P241*(1+INDEX(P$35:P$37,MATCH(Work_Codes!$I$269,$D$35:$D$37,0)))</f>
        <v>0</v>
      </c>
      <c r="Q259" s="81">
        <f ca="1">Q241*(1+INDEX(Q$35:Q$37,MATCH(Work_Codes!$I$269,$D$35:$D$37,0)))</f>
        <v>0</v>
      </c>
      <c r="R259" s="81">
        <f ca="1">R241*(1+INDEX(R$35:R$37,MATCH(Work_Codes!$I$269,$D$35:$D$37,0)))</f>
        <v>0</v>
      </c>
      <c r="S259" s="81">
        <f ca="1">S241*(1+INDEX(S$35:S$37,MATCH(Work_Codes!$I$269,$D$35:$D$37,0)))</f>
        <v>0</v>
      </c>
      <c r="T259" s="81">
        <f ca="1">T241*(1+INDEX(T$35:T$37,MATCH(Work_Codes!$I$269,$D$35:$D$37,0)))</f>
        <v>0</v>
      </c>
    </row>
    <row r="260" spans="4:20" ht="12" customHeight="1" outlineLevel="2">
      <c r="E260" s="247" t="str">
        <f>GC!C65</f>
        <v>Augmentation</v>
      </c>
      <c r="F260" s="247"/>
      <c r="G260" s="247"/>
      <c r="H260" s="247"/>
      <c r="I260" s="247"/>
      <c r="J260" s="81">
        <f ca="1">J242*(1+INDEX(J$35:J$37,MATCH(Work_Codes!$I$269,$D$35:$D$37,0)))</f>
        <v>0</v>
      </c>
      <c r="K260" s="81">
        <f ca="1">K242*(1+INDEX(K$35:K$37,MATCH(Work_Codes!$I$269,$D$35:$D$37,0)))</f>
        <v>0</v>
      </c>
      <c r="L260" s="81">
        <f ca="1">L242*(1+INDEX(L$35:L$37,MATCH(Work_Codes!$I$269,$D$35:$D$37,0)))</f>
        <v>0</v>
      </c>
      <c r="M260" s="81">
        <f ca="1">M242*(1+INDEX(M$35:M$37,MATCH(Work_Codes!$I$269,$D$35:$D$37,0)))</f>
        <v>0</v>
      </c>
      <c r="N260" s="81">
        <f ca="1">N242*(1+INDEX(N$35:N$37,MATCH(Work_Codes!$I$269,$D$35:$D$37,0)))</f>
        <v>0</v>
      </c>
      <c r="O260" s="81">
        <f ca="1">O242*(1+INDEX(O$35:O$37,MATCH(Work_Codes!$I$269,$D$35:$D$37,0)))</f>
        <v>0</v>
      </c>
      <c r="P260" s="81">
        <f ca="1">P242*(1+INDEX(P$35:P$37,MATCH(Work_Codes!$I$269,$D$35:$D$37,0)))</f>
        <v>0</v>
      </c>
      <c r="Q260" s="81">
        <f ca="1">Q242*(1+INDEX(Q$35:Q$37,MATCH(Work_Codes!$I$269,$D$35:$D$37,0)))</f>
        <v>0</v>
      </c>
      <c r="R260" s="81">
        <f ca="1">R242*(1+INDEX(R$35:R$37,MATCH(Work_Codes!$I$269,$D$35:$D$37,0)))</f>
        <v>0</v>
      </c>
      <c r="S260" s="81">
        <f ca="1">S242*(1+INDEX(S$35:S$37,MATCH(Work_Codes!$I$269,$D$35:$D$37,0)))</f>
        <v>0</v>
      </c>
      <c r="T260" s="81">
        <f ca="1">T242*(1+INDEX(T$35:T$37,MATCH(Work_Codes!$I$269,$D$35:$D$37,0)))</f>
        <v>0</v>
      </c>
    </row>
    <row r="261" spans="4:20" ht="12" customHeight="1" outlineLevel="2">
      <c r="E261" s="247" t="str">
        <f>GC!C66</f>
        <v>IT capex</v>
      </c>
      <c r="F261" s="247"/>
      <c r="G261" s="247"/>
      <c r="H261" s="247"/>
      <c r="I261" s="247"/>
      <c r="J261" s="81">
        <f ca="1">J243*(1+INDEX(J$35:J$37,MATCH(Work_Codes!$I$269,$D$35:$D$37,0)))</f>
        <v>0</v>
      </c>
      <c r="K261" s="81">
        <f ca="1">K243*(1+INDEX(K$35:K$37,MATCH(Work_Codes!$I$269,$D$35:$D$37,0)))</f>
        <v>0</v>
      </c>
      <c r="L261" s="81">
        <f ca="1">L243*(1+INDEX(L$35:L$37,MATCH(Work_Codes!$I$269,$D$35:$D$37,0)))</f>
        <v>0</v>
      </c>
      <c r="M261" s="81">
        <f ca="1">M243*(1+INDEX(M$35:M$37,MATCH(Work_Codes!$I$269,$D$35:$D$37,0)))</f>
        <v>0</v>
      </c>
      <c r="N261" s="81">
        <f ca="1">N243*(1+INDEX(N$35:N$37,MATCH(Work_Codes!$I$269,$D$35:$D$37,0)))</f>
        <v>0</v>
      </c>
      <c r="O261" s="81">
        <f ca="1">O243*(1+INDEX(O$35:O$37,MATCH(Work_Codes!$I$269,$D$35:$D$37,0)))</f>
        <v>0</v>
      </c>
      <c r="P261" s="81">
        <f ca="1">P243*(1+INDEX(P$35:P$37,MATCH(Work_Codes!$I$269,$D$35:$D$37,0)))</f>
        <v>0</v>
      </c>
      <c r="Q261" s="81">
        <f ca="1">Q243*(1+INDEX(Q$35:Q$37,MATCH(Work_Codes!$I$269,$D$35:$D$37,0)))</f>
        <v>0</v>
      </c>
      <c r="R261" s="81">
        <f ca="1">R243*(1+INDEX(R$35:R$37,MATCH(Work_Codes!$I$269,$D$35:$D$37,0)))</f>
        <v>0</v>
      </c>
      <c r="S261" s="81">
        <f ca="1">S243*(1+INDEX(S$35:S$37,MATCH(Work_Codes!$I$269,$D$35:$D$37,0)))</f>
        <v>0</v>
      </c>
      <c r="T261" s="81">
        <f ca="1">T243*(1+INDEX(T$35:T$37,MATCH(Work_Codes!$I$269,$D$35:$D$37,0)))</f>
        <v>0</v>
      </c>
    </row>
    <row r="262" spans="4:20" ht="12" customHeight="1" outlineLevel="2">
      <c r="E262" s="247" t="str">
        <f>GC!C67</f>
        <v>SCADA</v>
      </c>
      <c r="F262" s="247"/>
      <c r="G262" s="247"/>
      <c r="H262" s="247"/>
      <c r="I262" s="247"/>
      <c r="J262" s="81">
        <f ca="1">J244*(1+INDEX(J$35:J$37,MATCH(Work_Codes!$I$269,$D$35:$D$37,0)))</f>
        <v>0</v>
      </c>
      <c r="K262" s="81">
        <f ca="1">K244*(1+INDEX(K$35:K$37,MATCH(Work_Codes!$I$269,$D$35:$D$37,0)))</f>
        <v>0</v>
      </c>
      <c r="L262" s="81">
        <f ca="1">L244*(1+INDEX(L$35:L$37,MATCH(Work_Codes!$I$269,$D$35:$D$37,0)))</f>
        <v>0</v>
      </c>
      <c r="M262" s="81">
        <f ca="1">M244*(1+INDEX(M$35:M$37,MATCH(Work_Codes!$I$269,$D$35:$D$37,0)))</f>
        <v>0</v>
      </c>
      <c r="N262" s="81">
        <f ca="1">N244*(1+INDEX(N$35:N$37,MATCH(Work_Codes!$I$269,$D$35:$D$37,0)))</f>
        <v>0</v>
      </c>
      <c r="O262" s="81">
        <f ca="1">O244*(1+INDEX(O$35:O$37,MATCH(Work_Codes!$I$269,$D$35:$D$37,0)))</f>
        <v>0</v>
      </c>
      <c r="P262" s="81">
        <f ca="1">P244*(1+INDEX(P$35:P$37,MATCH(Work_Codes!$I$269,$D$35:$D$37,0)))</f>
        <v>0</v>
      </c>
      <c r="Q262" s="81">
        <f ca="1">Q244*(1+INDEX(Q$35:Q$37,MATCH(Work_Codes!$I$269,$D$35:$D$37,0)))</f>
        <v>0</v>
      </c>
      <c r="R262" s="81">
        <f ca="1">R244*(1+INDEX(R$35:R$37,MATCH(Work_Codes!$I$269,$D$35:$D$37,0)))</f>
        <v>0</v>
      </c>
      <c r="S262" s="81">
        <f ca="1">S244*(1+INDEX(S$35:S$37,MATCH(Work_Codes!$I$269,$D$35:$D$37,0)))</f>
        <v>0</v>
      </c>
      <c r="T262" s="81">
        <f ca="1">T244*(1+INDEX(T$35:T$37,MATCH(Work_Codes!$I$269,$D$35:$D$37,0)))</f>
        <v>0</v>
      </c>
    </row>
    <row r="263" spans="4:20" ht="12" customHeight="1" outlineLevel="2">
      <c r="E263" s="247" t="str">
        <f>GC!C68</f>
        <v>Other</v>
      </c>
      <c r="F263" s="247"/>
      <c r="G263" s="247"/>
      <c r="H263" s="247"/>
      <c r="I263" s="247"/>
      <c r="J263" s="81">
        <f ca="1">J245*(1+INDEX(J$35:J$37,MATCH(Work_Codes!$I$269,$D$35:$D$37,0)))</f>
        <v>0</v>
      </c>
      <c r="K263" s="81">
        <f ca="1">K245*(1+INDEX(K$35:K$37,MATCH(Work_Codes!$I$269,$D$35:$D$37,0)))</f>
        <v>0</v>
      </c>
      <c r="L263" s="81">
        <f ca="1">L245*(1+INDEX(L$35:L$37,MATCH(Work_Codes!$I$269,$D$35:$D$37,0)))</f>
        <v>0</v>
      </c>
      <c r="M263" s="81">
        <f ca="1">M245*(1+INDEX(M$35:M$37,MATCH(Work_Codes!$I$269,$D$35:$D$37,0)))</f>
        <v>0</v>
      </c>
      <c r="N263" s="81">
        <f ca="1">N245*(1+INDEX(N$35:N$37,MATCH(Work_Codes!$I$269,$D$35:$D$37,0)))</f>
        <v>210139.82375815403</v>
      </c>
      <c r="O263" s="81">
        <f ca="1">O245*(1+INDEX(O$35:O$37,MATCH(Work_Codes!$I$269,$D$35:$D$37,0)))</f>
        <v>198431.75493810582</v>
      </c>
      <c r="P263" s="81">
        <f ca="1">P245*(1+INDEX(P$35:P$37,MATCH(Work_Codes!$I$269,$D$35:$D$37,0)))</f>
        <v>394434.36090397416</v>
      </c>
      <c r="Q263" s="81">
        <f ca="1">Q245*(1+INDEX(Q$35:Q$37,MATCH(Work_Codes!$I$269,$D$35:$D$37,0)))</f>
        <v>414828.7167390199</v>
      </c>
      <c r="R263" s="81">
        <f ca="1">R245*(1+INDEX(R$35:R$37,MATCH(Work_Codes!$I$269,$D$35:$D$37,0)))</f>
        <v>401978.15395692497</v>
      </c>
      <c r="S263" s="81">
        <f ca="1">S245*(1+INDEX(S$35:S$37,MATCH(Work_Codes!$I$269,$D$35:$D$37,0)))</f>
        <v>402815.41000889102</v>
      </c>
      <c r="T263" s="81">
        <f ca="1">T245*(1+INDEX(T$35:T$37,MATCH(Work_Codes!$I$269,$D$35:$D$37,0)))</f>
        <v>403538.12663377222</v>
      </c>
    </row>
    <row r="264" spans="4:20" outlineLevel="2">
      <c r="E264" s="247" t="str">
        <f>GC!C69</f>
        <v>Capitalised Leases</v>
      </c>
      <c r="F264" s="247"/>
      <c r="G264" s="247"/>
      <c r="H264" s="247"/>
      <c r="I264" s="247"/>
      <c r="J264" s="81">
        <f ca="1">J246*(1+INDEX(J$35:J$37,MATCH(Work_Codes!$I$269,$D$35:$D$37,0)))</f>
        <v>0</v>
      </c>
      <c r="K264" s="81">
        <f ca="1">K246*(1+INDEX(K$35:K$37,MATCH(Work_Codes!$I$269,$D$35:$D$37,0)))</f>
        <v>0</v>
      </c>
      <c r="L264" s="81">
        <f ca="1">L246*(1+INDEX(L$35:L$37,MATCH(Work_Codes!$I$269,$D$35:$D$37,0)))</f>
        <v>0</v>
      </c>
      <c r="M264" s="81">
        <f ca="1">M246*(1+INDEX(M$35:M$37,MATCH(Work_Codes!$I$269,$D$35:$D$37,0)))</f>
        <v>0</v>
      </c>
      <c r="N264" s="81">
        <f ca="1">N246*(1+INDEX(N$35:N$37,MATCH(Work_Codes!$I$269,$D$35:$D$37,0)))</f>
        <v>0</v>
      </c>
      <c r="O264" s="81">
        <f ca="1">O246*(1+INDEX(O$35:O$37,MATCH(Work_Codes!$I$269,$D$35:$D$37,0)))</f>
        <v>0</v>
      </c>
      <c r="P264" s="81">
        <f ca="1">P246*(1+INDEX(P$35:P$37,MATCH(Work_Codes!$I$269,$D$35:$D$37,0)))</f>
        <v>0</v>
      </c>
      <c r="Q264" s="81">
        <f ca="1">Q246*(1+INDEX(Q$35:Q$37,MATCH(Work_Codes!$I$269,$D$35:$D$37,0)))</f>
        <v>0</v>
      </c>
      <c r="R264" s="81">
        <f ca="1">R246*(1+INDEX(R$35:R$37,MATCH(Work_Codes!$I$269,$D$35:$D$37,0)))</f>
        <v>0</v>
      </c>
      <c r="S264" s="81">
        <f ca="1">S246*(1+INDEX(S$35:S$37,MATCH(Work_Codes!$I$269,$D$35:$D$37,0)))</f>
        <v>0</v>
      </c>
      <c r="T264" s="81">
        <f ca="1">T246*(1+INDEX(T$35:T$37,MATCH(Work_Codes!$I$269,$D$35:$D$37,0)))</f>
        <v>0</v>
      </c>
    </row>
    <row r="265" spans="4:20" ht="12" customHeight="1" outlineLevel="2">
      <c r="E265" s="247" t="str">
        <f>GC!C70</f>
        <v>Gas Extensions - Energy for the Regions</v>
      </c>
      <c r="F265" s="247"/>
      <c r="G265" s="247"/>
      <c r="H265" s="247"/>
      <c r="I265" s="247"/>
      <c r="J265" s="81">
        <f ca="1">J247*(1+INDEX(J$35:J$37,MATCH(Work_Codes!$I$269,$D$35:$D$37,0)))</f>
        <v>0</v>
      </c>
      <c r="K265" s="81">
        <f ca="1">K247*(1+INDEX(K$35:K$37,MATCH(Work_Codes!$I$269,$D$35:$D$37,0)))</f>
        <v>0</v>
      </c>
      <c r="L265" s="81">
        <f ca="1">L247*(1+INDEX(L$35:L$37,MATCH(Work_Codes!$I$269,$D$35:$D$37,0)))</f>
        <v>0</v>
      </c>
      <c r="M265" s="81">
        <f ca="1">M247*(1+INDEX(M$35:M$37,MATCH(Work_Codes!$I$269,$D$35:$D$37,0)))</f>
        <v>0</v>
      </c>
      <c r="N265" s="81">
        <f ca="1">N247*(1+INDEX(N$35:N$37,MATCH(Work_Codes!$I$269,$D$35:$D$37,0)))</f>
        <v>0</v>
      </c>
      <c r="O265" s="81">
        <f ca="1">O247*(1+INDEX(O$35:O$37,MATCH(Work_Codes!$I$269,$D$35:$D$37,0)))</f>
        <v>0</v>
      </c>
      <c r="P265" s="81">
        <f ca="1">P247*(1+INDEX(P$35:P$37,MATCH(Work_Codes!$I$269,$D$35:$D$37,0)))</f>
        <v>0</v>
      </c>
      <c r="Q265" s="81">
        <f ca="1">Q247*(1+INDEX(Q$35:Q$37,MATCH(Work_Codes!$I$269,$D$35:$D$37,0)))</f>
        <v>0</v>
      </c>
      <c r="R265" s="81">
        <f ca="1">R247*(1+INDEX(R$35:R$37,MATCH(Work_Codes!$I$269,$D$35:$D$37,0)))</f>
        <v>0</v>
      </c>
      <c r="S265" s="81">
        <f ca="1">S247*(1+INDEX(S$35:S$37,MATCH(Work_Codes!$I$269,$D$35:$D$37,0)))</f>
        <v>0</v>
      </c>
      <c r="T265" s="81">
        <f ca="1">T247*(1+INDEX(T$35:T$37,MATCH(Work_Codes!$I$269,$D$35:$D$37,0)))</f>
        <v>0</v>
      </c>
    </row>
    <row r="266" spans="4:20" ht="12" customHeight="1" outlineLevel="2">
      <c r="E266" s="247" t="str">
        <f>GC!C71</f>
        <v>Gas Extensions - Other</v>
      </c>
      <c r="F266" s="247"/>
      <c r="G266" s="247"/>
      <c r="H266" s="247"/>
      <c r="I266" s="247"/>
      <c r="J266" s="81">
        <f ca="1">J248*(1+INDEX(J$35:J$37,MATCH(Work_Codes!$I$269,$D$35:$D$37,0)))</f>
        <v>0</v>
      </c>
      <c r="K266" s="81">
        <f ca="1">K248*(1+INDEX(K$35:K$37,MATCH(Work_Codes!$I$269,$D$35:$D$37,0)))</f>
        <v>0</v>
      </c>
      <c r="L266" s="81">
        <f ca="1">L248*(1+INDEX(L$35:L$37,MATCH(Work_Codes!$I$269,$D$35:$D$37,0)))</f>
        <v>0</v>
      </c>
      <c r="M266" s="81">
        <f ca="1">M248*(1+INDEX(M$35:M$37,MATCH(Work_Codes!$I$269,$D$35:$D$37,0)))</f>
        <v>0</v>
      </c>
      <c r="N266" s="81">
        <f ca="1">N248*(1+INDEX(N$35:N$37,MATCH(Work_Codes!$I$269,$D$35:$D$37,0)))</f>
        <v>0</v>
      </c>
      <c r="O266" s="81">
        <f ca="1">O248*(1+INDEX(O$35:O$37,MATCH(Work_Codes!$I$269,$D$35:$D$37,0)))</f>
        <v>0</v>
      </c>
      <c r="P266" s="81">
        <f ca="1">P248*(1+INDEX(P$35:P$37,MATCH(Work_Codes!$I$269,$D$35:$D$37,0)))</f>
        <v>0</v>
      </c>
      <c r="Q266" s="81">
        <f ca="1">Q248*(1+INDEX(Q$35:Q$37,MATCH(Work_Codes!$I$269,$D$35:$D$37,0)))</f>
        <v>0</v>
      </c>
      <c r="R266" s="81">
        <f ca="1">R248*(1+INDEX(R$35:R$37,MATCH(Work_Codes!$I$269,$D$35:$D$37,0)))</f>
        <v>0</v>
      </c>
      <c r="S266" s="81">
        <f ca="1">S248*(1+INDEX(S$35:S$37,MATCH(Work_Codes!$I$269,$D$35:$D$37,0)))</f>
        <v>0</v>
      </c>
      <c r="T266" s="81">
        <f ca="1">T248*(1+INDEX(T$35:T$37,MATCH(Work_Codes!$I$269,$D$35:$D$37,0)))</f>
        <v>0</v>
      </c>
    </row>
    <row r="267" spans="4:20" ht="12" customHeight="1" outlineLevel="2">
      <c r="E267" s="247" t="str">
        <f>GC!C72</f>
        <v>Customer contributions</v>
      </c>
      <c r="F267" s="247"/>
      <c r="G267" s="247"/>
      <c r="H267" s="247"/>
      <c r="I267" s="247"/>
      <c r="J267" s="81">
        <f ca="1">J249*(1+INDEX(J$35:J$37,MATCH(Work_Codes!$I$269,$D$35:$D$37,0)))</f>
        <v>0</v>
      </c>
      <c r="K267" s="81">
        <f ca="1">K249*(1+INDEX(K$35:K$37,MATCH(Work_Codes!$I$269,$D$35:$D$37,0)))</f>
        <v>0</v>
      </c>
      <c r="L267" s="81">
        <f ca="1">L249*(1+INDEX(L$35:L$37,MATCH(Work_Codes!$I$269,$D$35:$D$37,0)))</f>
        <v>0</v>
      </c>
      <c r="M267" s="81">
        <f ca="1">M249*(1+INDEX(M$35:M$37,MATCH(Work_Codes!$I$269,$D$35:$D$37,0)))</f>
        <v>0</v>
      </c>
      <c r="N267" s="81">
        <f ca="1">N249*(1+INDEX(N$35:N$37,MATCH(Work_Codes!$I$269,$D$35:$D$37,0)))</f>
        <v>0</v>
      </c>
      <c r="O267" s="81">
        <f ca="1">O249*(1+INDEX(O$35:O$37,MATCH(Work_Codes!$I$269,$D$35:$D$37,0)))</f>
        <v>0</v>
      </c>
      <c r="P267" s="81">
        <f ca="1">P249*(1+INDEX(P$35:P$37,MATCH(Work_Codes!$I$269,$D$35:$D$37,0)))</f>
        <v>0</v>
      </c>
      <c r="Q267" s="81">
        <f ca="1">Q249*(1+INDEX(Q$35:Q$37,MATCH(Work_Codes!$I$269,$D$35:$D$37,0)))</f>
        <v>0</v>
      </c>
      <c r="R267" s="81">
        <f ca="1">R249*(1+INDEX(R$35:R$37,MATCH(Work_Codes!$I$269,$D$35:$D$37,0)))</f>
        <v>0</v>
      </c>
      <c r="S267" s="81">
        <f ca="1">S249*(1+INDEX(S$35:S$37,MATCH(Work_Codes!$I$269,$D$35:$D$37,0)))</f>
        <v>0</v>
      </c>
      <c r="T267" s="81">
        <f ca="1">T249*(1+INDEX(T$35:T$37,MATCH(Work_Codes!$I$269,$D$35:$D$37,0)))</f>
        <v>0</v>
      </c>
    </row>
    <row r="268" spans="4:20" ht="12" customHeight="1" outlineLevel="2">
      <c r="E268" s="247" t="str">
        <f>GC!C73</f>
        <v>Government contributions</v>
      </c>
      <c r="F268" s="247"/>
      <c r="G268" s="247"/>
      <c r="H268" s="247"/>
      <c r="I268" s="247"/>
      <c r="J268" s="81">
        <f ca="1">J250*(1+INDEX(J$35:J$37,MATCH(Work_Codes!$I$269,$D$35:$D$37,0)))</f>
        <v>0</v>
      </c>
      <c r="K268" s="81">
        <f ca="1">K250*(1+INDEX(K$35:K$37,MATCH(Work_Codes!$I$269,$D$35:$D$37,0)))</f>
        <v>0</v>
      </c>
      <c r="L268" s="81">
        <f ca="1">L250*(1+INDEX(L$35:L$37,MATCH(Work_Codes!$I$269,$D$35:$D$37,0)))</f>
        <v>0</v>
      </c>
      <c r="M268" s="81">
        <f ca="1">M250*(1+INDEX(M$35:M$37,MATCH(Work_Codes!$I$269,$D$35:$D$37,0)))</f>
        <v>0</v>
      </c>
      <c r="N268" s="81">
        <f ca="1">N250*(1+INDEX(N$35:N$37,MATCH(Work_Codes!$I$269,$D$35:$D$37,0)))</f>
        <v>0</v>
      </c>
      <c r="O268" s="81">
        <f ca="1">O250*(1+INDEX(O$35:O$37,MATCH(Work_Codes!$I$269,$D$35:$D$37,0)))</f>
        <v>0</v>
      </c>
      <c r="P268" s="81">
        <f ca="1">P250*(1+INDEX(P$35:P$37,MATCH(Work_Codes!$I$269,$D$35:$D$37,0)))</f>
        <v>0</v>
      </c>
      <c r="Q268" s="81">
        <f ca="1">Q250*(1+INDEX(Q$35:Q$37,MATCH(Work_Codes!$I$269,$D$35:$D$37,0)))</f>
        <v>0</v>
      </c>
      <c r="R268" s="81">
        <f ca="1">R250*(1+INDEX(R$35:R$37,MATCH(Work_Codes!$I$269,$D$35:$D$37,0)))</f>
        <v>0</v>
      </c>
      <c r="S268" s="81">
        <f ca="1">S250*(1+INDEX(S$35:S$37,MATCH(Work_Codes!$I$269,$D$35:$D$37,0)))</f>
        <v>0</v>
      </c>
      <c r="T268" s="81">
        <f ca="1">T250*(1+INDEX(T$35:T$37,MATCH(Work_Codes!$I$269,$D$35:$D$37,0)))</f>
        <v>0</v>
      </c>
    </row>
    <row r="269" spans="4:20" ht="12" customHeight="1" outlineLevel="2">
      <c r="E269" s="249" t="str">
        <f>"Total "&amp;D253</f>
        <v>Total Direct Costs + Overheads</v>
      </c>
      <c r="F269" s="249"/>
      <c r="G269" s="249"/>
      <c r="H269" s="249"/>
      <c r="I269" s="249"/>
      <c r="J269" s="82">
        <f t="shared" ref="J269:T269" ca="1" si="28">SUM(J255:J268)</f>
        <v>0</v>
      </c>
      <c r="K269" s="82">
        <f t="shared" ca="1" si="28"/>
        <v>0</v>
      </c>
      <c r="L269" s="82">
        <f t="shared" ca="1" si="28"/>
        <v>0</v>
      </c>
      <c r="M269" s="82">
        <f t="shared" ca="1" si="28"/>
        <v>0</v>
      </c>
      <c r="N269" s="82">
        <f t="shared" ca="1" si="28"/>
        <v>210139.82375815403</v>
      </c>
      <c r="O269" s="82">
        <f t="shared" ca="1" si="28"/>
        <v>198431.75493810582</v>
      </c>
      <c r="P269" s="82">
        <f t="shared" ca="1" si="28"/>
        <v>394434.36090397416</v>
      </c>
      <c r="Q269" s="82">
        <f t="shared" ca="1" si="28"/>
        <v>414828.7167390199</v>
      </c>
      <c r="R269" s="82">
        <f t="shared" ca="1" si="28"/>
        <v>401978.15395692497</v>
      </c>
      <c r="S269" s="82">
        <f t="shared" ca="1" si="28"/>
        <v>402815.41000889102</v>
      </c>
      <c r="T269" s="82">
        <f t="shared" ca="1" si="28"/>
        <v>403538.12663377222</v>
      </c>
    </row>
    <row r="270" spans="4:20" outlineLevel="2"/>
    <row r="271" spans="4:20" outlineLevel="2">
      <c r="D271" s="37" t="s">
        <v>367</v>
      </c>
    </row>
    <row r="272" spans="4:20" ht="5.75" customHeight="1" outlineLevel="2"/>
    <row r="273" spans="2:20" outlineLevel="2">
      <c r="E273" s="247" t="str">
        <f>GC!C60</f>
        <v>Mains replacement</v>
      </c>
      <c r="F273" s="247"/>
      <c r="G273" s="247"/>
      <c r="H273" s="247"/>
      <c r="I273" s="247"/>
      <c r="J273" s="81">
        <f ca="1">SUMPRODUCT((Work_Codes!$AC$272:$AO$272=$E273)*(Work_Codes!$AC$287:$AO$287)*(J$86:J$86))</f>
        <v>0</v>
      </c>
      <c r="K273" s="81">
        <f ca="1">SUMPRODUCT((Work_Codes!$AC$272:$AO$272=$E273)*(Work_Codes!$AC$287:$AO$287)*(K$86:K$86))</f>
        <v>0</v>
      </c>
      <c r="L273" s="81">
        <f ca="1">SUMPRODUCT((Work_Codes!$AC$272:$AO$272=$E273)*(Work_Codes!$AC$287:$AO$287)*(L$86:L$86))</f>
        <v>0</v>
      </c>
      <c r="M273" s="81">
        <f ca="1">SUMPRODUCT((Work_Codes!$AC$272:$AO$272=$E273)*(Work_Codes!$AC$287:$AO$287)*(M$86:M$86))</f>
        <v>0</v>
      </c>
      <c r="N273" s="81">
        <f ca="1">SUMPRODUCT((Work_Codes!$AC$272:$AO$272=$E273)*(Work_Codes!$AC$287:$AO$287)*(N$86:N$86))</f>
        <v>0</v>
      </c>
      <c r="O273" s="81">
        <f ca="1">SUMPRODUCT((Work_Codes!$AC$272:$AO$272=$E273)*(Work_Codes!$AC$287:$AO$287)*(O$86:O$86))</f>
        <v>0</v>
      </c>
      <c r="P273" s="81">
        <f ca="1">SUMPRODUCT((Work_Codes!$AC$272:$AO$272=$E273)*(Work_Codes!$AC$287:$AO$287)*(P$86:P$86))</f>
        <v>0</v>
      </c>
      <c r="Q273" s="81">
        <f ca="1">SUMPRODUCT((Work_Codes!$AC$272:$AO$272=$E273)*(Work_Codes!$AC$287:$AO$287)*(Q$86:Q$86))</f>
        <v>0</v>
      </c>
      <c r="R273" s="81">
        <f ca="1">SUMPRODUCT((Work_Codes!$AC$272:$AO$272=$E273)*(Work_Codes!$AC$287:$AO$287)*(R$86:R$86))</f>
        <v>0</v>
      </c>
      <c r="S273" s="81">
        <f ca="1">SUMPRODUCT((Work_Codes!$AC$272:$AO$272=$E273)*(Work_Codes!$AC$287:$AO$287)*(S$86:S$86))</f>
        <v>0</v>
      </c>
      <c r="T273" s="81">
        <f ca="1">SUMPRODUCT((Work_Codes!$AC$272:$AO$272=$E273)*(Work_Codes!$AC$287:$AO$287)*(T$86:T$86))</f>
        <v>0</v>
      </c>
    </row>
    <row r="274" spans="2:20" outlineLevel="2">
      <c r="E274" s="247" t="str">
        <f>GC!C61</f>
        <v>Residential new customer connections</v>
      </c>
      <c r="F274" s="247"/>
      <c r="G274" s="247"/>
      <c r="H274" s="247"/>
      <c r="I274" s="247"/>
      <c r="J274" s="81">
        <f ca="1">SUMPRODUCT((Work_Codes!$AC$272:$AO$272=$E274)*(Work_Codes!$AC$287:$AO$287)*(J$86:J$86))</f>
        <v>0</v>
      </c>
      <c r="K274" s="81">
        <f ca="1">SUMPRODUCT((Work_Codes!$AC$272:$AO$272=$E274)*(Work_Codes!$AC$287:$AO$287)*(K$86:K$86))</f>
        <v>0</v>
      </c>
      <c r="L274" s="81">
        <f ca="1">SUMPRODUCT((Work_Codes!$AC$272:$AO$272=$E274)*(Work_Codes!$AC$287:$AO$287)*(L$86:L$86))</f>
        <v>0</v>
      </c>
      <c r="M274" s="81">
        <f ca="1">SUMPRODUCT((Work_Codes!$AC$272:$AO$272=$E274)*(Work_Codes!$AC$287:$AO$287)*(M$86:M$86))</f>
        <v>0</v>
      </c>
      <c r="N274" s="81">
        <f ca="1">SUMPRODUCT((Work_Codes!$AC$272:$AO$272=$E274)*(Work_Codes!$AC$287:$AO$287)*(N$86:N$86))</f>
        <v>0</v>
      </c>
      <c r="O274" s="81">
        <f ca="1">SUMPRODUCT((Work_Codes!$AC$272:$AO$272=$E274)*(Work_Codes!$AC$287:$AO$287)*(O$86:O$86))</f>
        <v>0</v>
      </c>
      <c r="P274" s="81">
        <f ca="1">SUMPRODUCT((Work_Codes!$AC$272:$AO$272=$E274)*(Work_Codes!$AC$287:$AO$287)*(P$86:P$86))</f>
        <v>0</v>
      </c>
      <c r="Q274" s="81">
        <f ca="1">SUMPRODUCT((Work_Codes!$AC$272:$AO$272=$E274)*(Work_Codes!$AC$287:$AO$287)*(Q$86:Q$86))</f>
        <v>0</v>
      </c>
      <c r="R274" s="81">
        <f ca="1">SUMPRODUCT((Work_Codes!$AC$272:$AO$272=$E274)*(Work_Codes!$AC$287:$AO$287)*(R$86:R$86))</f>
        <v>0</v>
      </c>
      <c r="S274" s="81">
        <f ca="1">SUMPRODUCT((Work_Codes!$AC$272:$AO$272=$E274)*(Work_Codes!$AC$287:$AO$287)*(S$86:S$86))</f>
        <v>0</v>
      </c>
      <c r="T274" s="81">
        <f ca="1">SUMPRODUCT((Work_Codes!$AC$272:$AO$272=$E274)*(Work_Codes!$AC$287:$AO$287)*(T$86:T$86))</f>
        <v>0</v>
      </c>
    </row>
    <row r="275" spans="2:20" outlineLevel="2">
      <c r="E275" s="247" t="str">
        <f>GC!C62</f>
        <v>Commercial and industrial new customer connections</v>
      </c>
      <c r="F275" s="247"/>
      <c r="G275" s="247"/>
      <c r="H275" s="247"/>
      <c r="I275" s="247"/>
      <c r="J275" s="81">
        <f ca="1">SUMPRODUCT((Work_Codes!$AC$272:$AO$272=$E275)*(Work_Codes!$AC$287:$AO$287)*(J$86:J$86))</f>
        <v>0</v>
      </c>
      <c r="K275" s="81">
        <f ca="1">SUMPRODUCT((Work_Codes!$AC$272:$AO$272=$E275)*(Work_Codes!$AC$287:$AO$287)*(K$86:K$86))</f>
        <v>0</v>
      </c>
      <c r="L275" s="81">
        <f ca="1">SUMPRODUCT((Work_Codes!$AC$272:$AO$272=$E275)*(Work_Codes!$AC$287:$AO$287)*(L$86:L$86))</f>
        <v>0</v>
      </c>
      <c r="M275" s="81">
        <f ca="1">SUMPRODUCT((Work_Codes!$AC$272:$AO$272=$E275)*(Work_Codes!$AC$287:$AO$287)*(M$86:M$86))</f>
        <v>0</v>
      </c>
      <c r="N275" s="81">
        <f ca="1">SUMPRODUCT((Work_Codes!$AC$272:$AO$272=$E275)*(Work_Codes!$AC$287:$AO$287)*(N$86:N$86))</f>
        <v>0</v>
      </c>
      <c r="O275" s="81">
        <f ca="1">SUMPRODUCT((Work_Codes!$AC$272:$AO$272=$E275)*(Work_Codes!$AC$287:$AO$287)*(O$86:O$86))</f>
        <v>0</v>
      </c>
      <c r="P275" s="81">
        <f ca="1">SUMPRODUCT((Work_Codes!$AC$272:$AO$272=$E275)*(Work_Codes!$AC$287:$AO$287)*(P$86:P$86))</f>
        <v>0</v>
      </c>
      <c r="Q275" s="81">
        <f ca="1">SUMPRODUCT((Work_Codes!$AC$272:$AO$272=$E275)*(Work_Codes!$AC$287:$AO$287)*(Q$86:Q$86))</f>
        <v>0</v>
      </c>
      <c r="R275" s="81">
        <f ca="1">SUMPRODUCT((Work_Codes!$AC$272:$AO$272=$E275)*(Work_Codes!$AC$287:$AO$287)*(R$86:R$86))</f>
        <v>0</v>
      </c>
      <c r="S275" s="81">
        <f ca="1">SUMPRODUCT((Work_Codes!$AC$272:$AO$272=$E275)*(Work_Codes!$AC$287:$AO$287)*(S$86:S$86))</f>
        <v>0</v>
      </c>
      <c r="T275" s="81">
        <f ca="1">SUMPRODUCT((Work_Codes!$AC$272:$AO$272=$E275)*(Work_Codes!$AC$287:$AO$287)*(T$86:T$86))</f>
        <v>0</v>
      </c>
    </row>
    <row r="276" spans="2:20" outlineLevel="2">
      <c r="E276" s="247" t="str">
        <f>GC!C63</f>
        <v>Residential meter replacement</v>
      </c>
      <c r="F276" s="247"/>
      <c r="G276" s="247"/>
      <c r="H276" s="247"/>
      <c r="I276" s="247"/>
      <c r="J276" s="81">
        <f ca="1">SUMPRODUCT((Work_Codes!$AC$272:$AO$272=$E276)*(Work_Codes!$AC$287:$AO$287)*(J$86:J$86))</f>
        <v>0</v>
      </c>
      <c r="K276" s="81">
        <f ca="1">SUMPRODUCT((Work_Codes!$AC$272:$AO$272=$E276)*(Work_Codes!$AC$287:$AO$287)*(K$86:K$86))</f>
        <v>0</v>
      </c>
      <c r="L276" s="81">
        <f ca="1">SUMPRODUCT((Work_Codes!$AC$272:$AO$272=$E276)*(Work_Codes!$AC$287:$AO$287)*(L$86:L$86))</f>
        <v>0</v>
      </c>
      <c r="M276" s="81">
        <f ca="1">SUMPRODUCT((Work_Codes!$AC$272:$AO$272=$E276)*(Work_Codes!$AC$287:$AO$287)*(M$86:M$86))</f>
        <v>0</v>
      </c>
      <c r="N276" s="81">
        <f ca="1">SUMPRODUCT((Work_Codes!$AC$272:$AO$272=$E276)*(Work_Codes!$AC$287:$AO$287)*(N$86:N$86))</f>
        <v>0</v>
      </c>
      <c r="O276" s="81">
        <f ca="1">SUMPRODUCT((Work_Codes!$AC$272:$AO$272=$E276)*(Work_Codes!$AC$287:$AO$287)*(O$86:O$86))</f>
        <v>0</v>
      </c>
      <c r="P276" s="81">
        <f ca="1">SUMPRODUCT((Work_Codes!$AC$272:$AO$272=$E276)*(Work_Codes!$AC$287:$AO$287)*(P$86:P$86))</f>
        <v>0</v>
      </c>
      <c r="Q276" s="81">
        <f ca="1">SUMPRODUCT((Work_Codes!$AC$272:$AO$272=$E276)*(Work_Codes!$AC$287:$AO$287)*(Q$86:Q$86))</f>
        <v>0</v>
      </c>
      <c r="R276" s="81">
        <f ca="1">SUMPRODUCT((Work_Codes!$AC$272:$AO$272=$E276)*(Work_Codes!$AC$287:$AO$287)*(R$86:R$86))</f>
        <v>0</v>
      </c>
      <c r="S276" s="81">
        <f ca="1">SUMPRODUCT((Work_Codes!$AC$272:$AO$272=$E276)*(Work_Codes!$AC$287:$AO$287)*(S$86:S$86))</f>
        <v>0</v>
      </c>
      <c r="T276" s="81">
        <f ca="1">SUMPRODUCT((Work_Codes!$AC$272:$AO$272=$E276)*(Work_Codes!$AC$287:$AO$287)*(T$86:T$86))</f>
        <v>0</v>
      </c>
    </row>
    <row r="277" spans="2:20" outlineLevel="2">
      <c r="E277" s="247" t="str">
        <f>GC!C64</f>
        <v>Commercial and industrial meter replacement</v>
      </c>
      <c r="F277" s="247"/>
      <c r="G277" s="247"/>
      <c r="H277" s="247"/>
      <c r="I277" s="247"/>
      <c r="J277" s="81">
        <f ca="1">SUMPRODUCT((Work_Codes!$AC$272:$AO$272=$E277)*(Work_Codes!$AC$287:$AO$287)*(J$86:J$86))</f>
        <v>0</v>
      </c>
      <c r="K277" s="81">
        <f ca="1">SUMPRODUCT((Work_Codes!$AC$272:$AO$272=$E277)*(Work_Codes!$AC$287:$AO$287)*(K$86:K$86))</f>
        <v>0</v>
      </c>
      <c r="L277" s="81">
        <f ca="1">SUMPRODUCT((Work_Codes!$AC$272:$AO$272=$E277)*(Work_Codes!$AC$287:$AO$287)*(L$86:L$86))</f>
        <v>0</v>
      </c>
      <c r="M277" s="81">
        <f ca="1">SUMPRODUCT((Work_Codes!$AC$272:$AO$272=$E277)*(Work_Codes!$AC$287:$AO$287)*(M$86:M$86))</f>
        <v>0</v>
      </c>
      <c r="N277" s="81">
        <f ca="1">SUMPRODUCT((Work_Codes!$AC$272:$AO$272=$E277)*(Work_Codes!$AC$287:$AO$287)*(N$86:N$86))</f>
        <v>0</v>
      </c>
      <c r="O277" s="81">
        <f ca="1">SUMPRODUCT((Work_Codes!$AC$272:$AO$272=$E277)*(Work_Codes!$AC$287:$AO$287)*(O$86:O$86))</f>
        <v>0</v>
      </c>
      <c r="P277" s="81">
        <f ca="1">SUMPRODUCT((Work_Codes!$AC$272:$AO$272=$E277)*(Work_Codes!$AC$287:$AO$287)*(P$86:P$86))</f>
        <v>0</v>
      </c>
      <c r="Q277" s="81">
        <f ca="1">SUMPRODUCT((Work_Codes!$AC$272:$AO$272=$E277)*(Work_Codes!$AC$287:$AO$287)*(Q$86:Q$86))</f>
        <v>0</v>
      </c>
      <c r="R277" s="81">
        <f ca="1">SUMPRODUCT((Work_Codes!$AC$272:$AO$272=$E277)*(Work_Codes!$AC$287:$AO$287)*(R$86:R$86))</f>
        <v>0</v>
      </c>
      <c r="S277" s="81">
        <f ca="1">SUMPRODUCT((Work_Codes!$AC$272:$AO$272=$E277)*(Work_Codes!$AC$287:$AO$287)*(S$86:S$86))</f>
        <v>0</v>
      </c>
      <c r="T277" s="81">
        <f ca="1">SUMPRODUCT((Work_Codes!$AC$272:$AO$272=$E277)*(Work_Codes!$AC$287:$AO$287)*(T$86:T$86))</f>
        <v>0</v>
      </c>
    </row>
    <row r="278" spans="2:20" outlineLevel="2">
      <c r="E278" s="247" t="str">
        <f>GC!C65</f>
        <v>Augmentation</v>
      </c>
      <c r="F278" s="247"/>
      <c r="G278" s="247"/>
      <c r="H278" s="247"/>
      <c r="I278" s="247"/>
      <c r="J278" s="81">
        <f ca="1">SUMPRODUCT((Work_Codes!$AC$272:$AO$272=$E278)*(Work_Codes!$AC$287:$AO$287)*(J$86:J$86))</f>
        <v>0</v>
      </c>
      <c r="K278" s="81">
        <f ca="1">SUMPRODUCT((Work_Codes!$AC$272:$AO$272=$E278)*(Work_Codes!$AC$287:$AO$287)*(K$86:K$86))</f>
        <v>0</v>
      </c>
      <c r="L278" s="81">
        <f ca="1">SUMPRODUCT((Work_Codes!$AC$272:$AO$272=$E278)*(Work_Codes!$AC$287:$AO$287)*(L$86:L$86))</f>
        <v>0</v>
      </c>
      <c r="M278" s="81">
        <f ca="1">SUMPRODUCT((Work_Codes!$AC$272:$AO$272=$E278)*(Work_Codes!$AC$287:$AO$287)*(M$86:M$86))</f>
        <v>0</v>
      </c>
      <c r="N278" s="81">
        <f ca="1">SUMPRODUCT((Work_Codes!$AC$272:$AO$272=$E278)*(Work_Codes!$AC$287:$AO$287)*(N$86:N$86))</f>
        <v>0</v>
      </c>
      <c r="O278" s="81">
        <f ca="1">SUMPRODUCT((Work_Codes!$AC$272:$AO$272=$E278)*(Work_Codes!$AC$287:$AO$287)*(O$86:O$86))</f>
        <v>0</v>
      </c>
      <c r="P278" s="81">
        <f ca="1">SUMPRODUCT((Work_Codes!$AC$272:$AO$272=$E278)*(Work_Codes!$AC$287:$AO$287)*(P$86:P$86))</f>
        <v>0</v>
      </c>
      <c r="Q278" s="81">
        <f ca="1">SUMPRODUCT((Work_Codes!$AC$272:$AO$272=$E278)*(Work_Codes!$AC$287:$AO$287)*(Q$86:Q$86))</f>
        <v>0</v>
      </c>
      <c r="R278" s="81">
        <f ca="1">SUMPRODUCT((Work_Codes!$AC$272:$AO$272=$E278)*(Work_Codes!$AC$287:$AO$287)*(R$86:R$86))</f>
        <v>0</v>
      </c>
      <c r="S278" s="81">
        <f ca="1">SUMPRODUCT((Work_Codes!$AC$272:$AO$272=$E278)*(Work_Codes!$AC$287:$AO$287)*(S$86:S$86))</f>
        <v>0</v>
      </c>
      <c r="T278" s="81">
        <f ca="1">SUMPRODUCT((Work_Codes!$AC$272:$AO$272=$E278)*(Work_Codes!$AC$287:$AO$287)*(T$86:T$86))</f>
        <v>0</v>
      </c>
    </row>
    <row r="279" spans="2:20" outlineLevel="2">
      <c r="E279" s="247" t="str">
        <f>GC!C66</f>
        <v>IT capex</v>
      </c>
      <c r="F279" s="247"/>
      <c r="G279" s="247"/>
      <c r="H279" s="247"/>
      <c r="I279" s="247"/>
      <c r="J279" s="81">
        <f ca="1">SUMPRODUCT((Work_Codes!$AC$272:$AO$272=$E279)*(Work_Codes!$AC$287:$AO$287)*(J$86:J$86))</f>
        <v>0</v>
      </c>
      <c r="K279" s="81">
        <f ca="1">SUMPRODUCT((Work_Codes!$AC$272:$AO$272=$E279)*(Work_Codes!$AC$287:$AO$287)*(K$86:K$86))</f>
        <v>0</v>
      </c>
      <c r="L279" s="81">
        <f ca="1">SUMPRODUCT((Work_Codes!$AC$272:$AO$272=$E279)*(Work_Codes!$AC$287:$AO$287)*(L$86:L$86))</f>
        <v>0</v>
      </c>
      <c r="M279" s="81">
        <f ca="1">SUMPRODUCT((Work_Codes!$AC$272:$AO$272=$E279)*(Work_Codes!$AC$287:$AO$287)*(M$86:M$86))</f>
        <v>0</v>
      </c>
      <c r="N279" s="81">
        <f ca="1">SUMPRODUCT((Work_Codes!$AC$272:$AO$272=$E279)*(Work_Codes!$AC$287:$AO$287)*(N$86:N$86))</f>
        <v>0</v>
      </c>
      <c r="O279" s="81">
        <f ca="1">SUMPRODUCT((Work_Codes!$AC$272:$AO$272=$E279)*(Work_Codes!$AC$287:$AO$287)*(O$86:O$86))</f>
        <v>0</v>
      </c>
      <c r="P279" s="81">
        <f ca="1">SUMPRODUCT((Work_Codes!$AC$272:$AO$272=$E279)*(Work_Codes!$AC$287:$AO$287)*(P$86:P$86))</f>
        <v>0</v>
      </c>
      <c r="Q279" s="81">
        <f ca="1">SUMPRODUCT((Work_Codes!$AC$272:$AO$272=$E279)*(Work_Codes!$AC$287:$AO$287)*(Q$86:Q$86))</f>
        <v>0</v>
      </c>
      <c r="R279" s="81">
        <f ca="1">SUMPRODUCT((Work_Codes!$AC$272:$AO$272=$E279)*(Work_Codes!$AC$287:$AO$287)*(R$86:R$86))</f>
        <v>0</v>
      </c>
      <c r="S279" s="81">
        <f ca="1">SUMPRODUCT((Work_Codes!$AC$272:$AO$272=$E279)*(Work_Codes!$AC$287:$AO$287)*(S$86:S$86))</f>
        <v>0</v>
      </c>
      <c r="T279" s="81">
        <f ca="1">SUMPRODUCT((Work_Codes!$AC$272:$AO$272=$E279)*(Work_Codes!$AC$287:$AO$287)*(T$86:T$86))</f>
        <v>0</v>
      </c>
    </row>
    <row r="280" spans="2:20" outlineLevel="2">
      <c r="E280" s="247" t="str">
        <f>GC!C67</f>
        <v>SCADA</v>
      </c>
      <c r="F280" s="247"/>
      <c r="G280" s="247"/>
      <c r="H280" s="247"/>
      <c r="I280" s="247"/>
      <c r="J280" s="81">
        <f ca="1">SUMPRODUCT((Work_Codes!$AC$272:$AO$272=$E280)*(Work_Codes!$AC$287:$AO$287)*(J$86:J$86))</f>
        <v>0</v>
      </c>
      <c r="K280" s="81">
        <f ca="1">SUMPRODUCT((Work_Codes!$AC$272:$AO$272=$E280)*(Work_Codes!$AC$287:$AO$287)*(K$86:K$86))</f>
        <v>0</v>
      </c>
      <c r="L280" s="81">
        <f ca="1">SUMPRODUCT((Work_Codes!$AC$272:$AO$272=$E280)*(Work_Codes!$AC$287:$AO$287)*(L$86:L$86))</f>
        <v>0</v>
      </c>
      <c r="M280" s="81">
        <f ca="1">SUMPRODUCT((Work_Codes!$AC$272:$AO$272=$E280)*(Work_Codes!$AC$287:$AO$287)*(M$86:M$86))</f>
        <v>0</v>
      </c>
      <c r="N280" s="81">
        <f ca="1">SUMPRODUCT((Work_Codes!$AC$272:$AO$272=$E280)*(Work_Codes!$AC$287:$AO$287)*(N$86:N$86))</f>
        <v>0</v>
      </c>
      <c r="O280" s="81">
        <f ca="1">SUMPRODUCT((Work_Codes!$AC$272:$AO$272=$E280)*(Work_Codes!$AC$287:$AO$287)*(O$86:O$86))</f>
        <v>0</v>
      </c>
      <c r="P280" s="81">
        <f ca="1">SUMPRODUCT((Work_Codes!$AC$272:$AO$272=$E280)*(Work_Codes!$AC$287:$AO$287)*(P$86:P$86))</f>
        <v>0</v>
      </c>
      <c r="Q280" s="81">
        <f ca="1">SUMPRODUCT((Work_Codes!$AC$272:$AO$272=$E280)*(Work_Codes!$AC$287:$AO$287)*(Q$86:Q$86))</f>
        <v>0</v>
      </c>
      <c r="R280" s="81">
        <f ca="1">SUMPRODUCT((Work_Codes!$AC$272:$AO$272=$E280)*(Work_Codes!$AC$287:$AO$287)*(R$86:R$86))</f>
        <v>0</v>
      </c>
      <c r="S280" s="81">
        <f ca="1">SUMPRODUCT((Work_Codes!$AC$272:$AO$272=$E280)*(Work_Codes!$AC$287:$AO$287)*(S$86:S$86))</f>
        <v>0</v>
      </c>
      <c r="T280" s="81">
        <f ca="1">SUMPRODUCT((Work_Codes!$AC$272:$AO$272=$E280)*(Work_Codes!$AC$287:$AO$287)*(T$86:T$86))</f>
        <v>0</v>
      </c>
    </row>
    <row r="281" spans="2:20" outlineLevel="2">
      <c r="E281" s="247" t="str">
        <f>GC!C68</f>
        <v>Other</v>
      </c>
      <c r="F281" s="247"/>
      <c r="G281" s="247"/>
      <c r="H281" s="247"/>
      <c r="I281" s="247"/>
      <c r="J281" s="81">
        <f ca="1">SUMPRODUCT((Work_Codes!$AC$272:$AO$272=$E281)*(Work_Codes!$AC$287:$AO$287)*(J$86:J$86))</f>
        <v>0</v>
      </c>
      <c r="K281" s="81">
        <f ca="1">SUMPRODUCT((Work_Codes!$AC$272:$AO$272=$E281)*(Work_Codes!$AC$287:$AO$287)*(K$86:K$86))</f>
        <v>0</v>
      </c>
      <c r="L281" s="81">
        <f ca="1">SUMPRODUCT((Work_Codes!$AC$272:$AO$272=$E281)*(Work_Codes!$AC$287:$AO$287)*(L$86:L$86))</f>
        <v>0</v>
      </c>
      <c r="M281" s="81">
        <f ca="1">SUMPRODUCT((Work_Codes!$AC$272:$AO$272=$E281)*(Work_Codes!$AC$287:$AO$287)*(M$86:M$86))</f>
        <v>0</v>
      </c>
      <c r="N281" s="81">
        <f ca="1">SUMPRODUCT((Work_Codes!$AC$272:$AO$272=$E281)*(Work_Codes!$AC$287:$AO$287)*(N$86:N$86))</f>
        <v>0</v>
      </c>
      <c r="O281" s="81">
        <f ca="1">SUMPRODUCT((Work_Codes!$AC$272:$AO$272=$E281)*(Work_Codes!$AC$287:$AO$287)*(O$86:O$86))</f>
        <v>0</v>
      </c>
      <c r="P281" s="81">
        <f ca="1">SUMPRODUCT((Work_Codes!$AC$272:$AO$272=$E281)*(Work_Codes!$AC$287:$AO$287)*(P$86:P$86))</f>
        <v>0</v>
      </c>
      <c r="Q281" s="81">
        <f ca="1">SUMPRODUCT((Work_Codes!$AC$272:$AO$272=$E281)*(Work_Codes!$AC$287:$AO$287)*(Q$86:Q$86))</f>
        <v>0</v>
      </c>
      <c r="R281" s="81">
        <f ca="1">SUMPRODUCT((Work_Codes!$AC$272:$AO$272=$E281)*(Work_Codes!$AC$287:$AO$287)*(R$86:R$86))</f>
        <v>0</v>
      </c>
      <c r="S281" s="81">
        <f ca="1">SUMPRODUCT((Work_Codes!$AC$272:$AO$272=$E281)*(Work_Codes!$AC$287:$AO$287)*(S$86:S$86))</f>
        <v>0</v>
      </c>
      <c r="T281" s="81">
        <f ca="1">SUMPRODUCT((Work_Codes!$AC$272:$AO$272=$E281)*(Work_Codes!$AC$287:$AO$287)*(T$86:T$86))</f>
        <v>0</v>
      </c>
    </row>
    <row r="282" spans="2:20" outlineLevel="2">
      <c r="E282" s="247" t="str">
        <f>GC!C69</f>
        <v>Capitalised Leases</v>
      </c>
      <c r="F282" s="247"/>
      <c r="G282" s="247"/>
      <c r="H282" s="247"/>
      <c r="I282" s="247"/>
      <c r="J282" s="81">
        <f ca="1">SUMPRODUCT((Work_Codes!$AC$272:$AO$272=$E282)*(Work_Codes!$AC$287:$AO$287)*(J$86:J$86))</f>
        <v>0</v>
      </c>
      <c r="K282" s="81">
        <f ca="1">SUMPRODUCT((Work_Codes!$AC$272:$AO$272=$E282)*(Work_Codes!$AC$287:$AO$287)*(K$86:K$86))</f>
        <v>0</v>
      </c>
      <c r="L282" s="81">
        <f ca="1">SUMPRODUCT((Work_Codes!$AC$272:$AO$272=$E282)*(Work_Codes!$AC$287:$AO$287)*(L$86:L$86))</f>
        <v>0</v>
      </c>
      <c r="M282" s="81">
        <f ca="1">SUMPRODUCT((Work_Codes!$AC$272:$AO$272=$E282)*(Work_Codes!$AC$287:$AO$287)*(M$86:M$86))</f>
        <v>0</v>
      </c>
      <c r="N282" s="81">
        <f ca="1">SUMPRODUCT((Work_Codes!$AC$272:$AO$272=$E282)*(Work_Codes!$AC$287:$AO$287)*(N$86:N$86))</f>
        <v>0</v>
      </c>
      <c r="O282" s="81">
        <f ca="1">SUMPRODUCT((Work_Codes!$AC$272:$AO$272=$E282)*(Work_Codes!$AC$287:$AO$287)*(O$86:O$86))</f>
        <v>0</v>
      </c>
      <c r="P282" s="81">
        <f ca="1">SUMPRODUCT((Work_Codes!$AC$272:$AO$272=$E282)*(Work_Codes!$AC$287:$AO$287)*(P$86:P$86))</f>
        <v>0</v>
      </c>
      <c r="Q282" s="81">
        <f ca="1">SUMPRODUCT((Work_Codes!$AC$272:$AO$272=$E282)*(Work_Codes!$AC$287:$AO$287)*(Q$86:Q$86))</f>
        <v>0</v>
      </c>
      <c r="R282" s="81">
        <f ca="1">SUMPRODUCT((Work_Codes!$AC$272:$AO$272=$E282)*(Work_Codes!$AC$287:$AO$287)*(R$86:R$86))</f>
        <v>0</v>
      </c>
      <c r="S282" s="81">
        <f ca="1">SUMPRODUCT((Work_Codes!$AC$272:$AO$272=$E282)*(Work_Codes!$AC$287:$AO$287)*(S$86:S$86))</f>
        <v>0</v>
      </c>
      <c r="T282" s="81">
        <f ca="1">SUMPRODUCT((Work_Codes!$AC$272:$AO$272=$E282)*(Work_Codes!$AC$287:$AO$287)*(T$86:T$86))</f>
        <v>0</v>
      </c>
    </row>
    <row r="283" spans="2:20" outlineLevel="2">
      <c r="E283" s="247" t="str">
        <f>GC!C70</f>
        <v>Gas Extensions - Energy for the Regions</v>
      </c>
      <c r="F283" s="247"/>
      <c r="G283" s="247"/>
      <c r="H283" s="247"/>
      <c r="I283" s="247"/>
      <c r="J283" s="81">
        <f ca="1">SUMPRODUCT((Work_Codes!$AC$272:$AO$272=$E283)*(Work_Codes!$AC$287:$AO$287)*(J$86:J$86))</f>
        <v>0</v>
      </c>
      <c r="K283" s="81">
        <f ca="1">SUMPRODUCT((Work_Codes!$AC$272:$AO$272=$E283)*(Work_Codes!$AC$287:$AO$287)*(K$86:K$86))</f>
        <v>0</v>
      </c>
      <c r="L283" s="81">
        <f ca="1">SUMPRODUCT((Work_Codes!$AC$272:$AO$272=$E283)*(Work_Codes!$AC$287:$AO$287)*(L$86:L$86))</f>
        <v>0</v>
      </c>
      <c r="M283" s="81">
        <f ca="1">SUMPRODUCT((Work_Codes!$AC$272:$AO$272=$E283)*(Work_Codes!$AC$287:$AO$287)*(M$86:M$86))</f>
        <v>0</v>
      </c>
      <c r="N283" s="81">
        <f ca="1">SUMPRODUCT((Work_Codes!$AC$272:$AO$272=$E283)*(Work_Codes!$AC$287:$AO$287)*(N$86:N$86))</f>
        <v>0</v>
      </c>
      <c r="O283" s="81">
        <f ca="1">SUMPRODUCT((Work_Codes!$AC$272:$AO$272=$E283)*(Work_Codes!$AC$287:$AO$287)*(O$86:O$86))</f>
        <v>0</v>
      </c>
      <c r="P283" s="81">
        <f ca="1">SUMPRODUCT((Work_Codes!$AC$272:$AO$272=$E283)*(Work_Codes!$AC$287:$AO$287)*(P$86:P$86))</f>
        <v>0</v>
      </c>
      <c r="Q283" s="81">
        <f ca="1">SUMPRODUCT((Work_Codes!$AC$272:$AO$272=$E283)*(Work_Codes!$AC$287:$AO$287)*(Q$86:Q$86))</f>
        <v>0</v>
      </c>
      <c r="R283" s="81">
        <f ca="1">SUMPRODUCT((Work_Codes!$AC$272:$AO$272=$E283)*(Work_Codes!$AC$287:$AO$287)*(R$86:R$86))</f>
        <v>0</v>
      </c>
      <c r="S283" s="81">
        <f ca="1">SUMPRODUCT((Work_Codes!$AC$272:$AO$272=$E283)*(Work_Codes!$AC$287:$AO$287)*(S$86:S$86))</f>
        <v>0</v>
      </c>
      <c r="T283" s="81">
        <f ca="1">SUMPRODUCT((Work_Codes!$AC$272:$AO$272=$E283)*(Work_Codes!$AC$287:$AO$287)*(T$86:T$86))</f>
        <v>0</v>
      </c>
    </row>
    <row r="284" spans="2:20" outlineLevel="2">
      <c r="E284" s="247" t="str">
        <f>GC!C71</f>
        <v>Gas Extensions - Other</v>
      </c>
      <c r="F284" s="247"/>
      <c r="G284" s="247"/>
      <c r="H284" s="247"/>
      <c r="I284" s="247"/>
      <c r="J284" s="81">
        <f ca="1">SUMPRODUCT((Work_Codes!$AC$272:$AO$272=$E284)*(Work_Codes!$AC$287:$AO$287)*(J$86:J$86))</f>
        <v>0</v>
      </c>
      <c r="K284" s="81">
        <f ca="1">SUMPRODUCT((Work_Codes!$AC$272:$AO$272=$E284)*(Work_Codes!$AC$287:$AO$287)*(K$86:K$86))</f>
        <v>0</v>
      </c>
      <c r="L284" s="81">
        <f ca="1">SUMPRODUCT((Work_Codes!$AC$272:$AO$272=$E284)*(Work_Codes!$AC$287:$AO$287)*(L$86:L$86))</f>
        <v>0</v>
      </c>
      <c r="M284" s="81">
        <f ca="1">SUMPRODUCT((Work_Codes!$AC$272:$AO$272=$E284)*(Work_Codes!$AC$287:$AO$287)*(M$86:M$86))</f>
        <v>0</v>
      </c>
      <c r="N284" s="81">
        <f ca="1">SUMPRODUCT((Work_Codes!$AC$272:$AO$272=$E284)*(Work_Codes!$AC$287:$AO$287)*(N$86:N$86))</f>
        <v>0</v>
      </c>
      <c r="O284" s="81">
        <f ca="1">SUMPRODUCT((Work_Codes!$AC$272:$AO$272=$E284)*(Work_Codes!$AC$287:$AO$287)*(O$86:O$86))</f>
        <v>0</v>
      </c>
      <c r="P284" s="81">
        <f ca="1">SUMPRODUCT((Work_Codes!$AC$272:$AO$272=$E284)*(Work_Codes!$AC$287:$AO$287)*(P$86:P$86))</f>
        <v>0</v>
      </c>
      <c r="Q284" s="81">
        <f ca="1">SUMPRODUCT((Work_Codes!$AC$272:$AO$272=$E284)*(Work_Codes!$AC$287:$AO$287)*(Q$86:Q$86))</f>
        <v>0</v>
      </c>
      <c r="R284" s="81">
        <f ca="1">SUMPRODUCT((Work_Codes!$AC$272:$AO$272=$E284)*(Work_Codes!$AC$287:$AO$287)*(R$86:R$86))</f>
        <v>0</v>
      </c>
      <c r="S284" s="81">
        <f ca="1">SUMPRODUCT((Work_Codes!$AC$272:$AO$272=$E284)*(Work_Codes!$AC$287:$AO$287)*(S$86:S$86))</f>
        <v>0</v>
      </c>
      <c r="T284" s="81">
        <f ca="1">SUMPRODUCT((Work_Codes!$AC$272:$AO$272=$E284)*(Work_Codes!$AC$287:$AO$287)*(T$86:T$86))</f>
        <v>0</v>
      </c>
    </row>
    <row r="285" spans="2:20" outlineLevel="2">
      <c r="E285" s="247" t="str">
        <f>GC!C72</f>
        <v>Customer contributions</v>
      </c>
      <c r="F285" s="247"/>
      <c r="G285" s="247"/>
      <c r="H285" s="247"/>
      <c r="I285" s="247"/>
      <c r="J285" s="81">
        <f ca="1">SUMPRODUCT((Work_Codes!$AC$272:$AO$272=$E285)*(Work_Codes!$AC$287:$AO$287)*(J$86:J$86))</f>
        <v>0</v>
      </c>
      <c r="K285" s="81">
        <f ca="1">SUMPRODUCT((Work_Codes!$AC$272:$AO$272=$E285)*(Work_Codes!$AC$287:$AO$287)*(K$86:K$86))</f>
        <v>0</v>
      </c>
      <c r="L285" s="81">
        <f ca="1">SUMPRODUCT((Work_Codes!$AC$272:$AO$272=$E285)*(Work_Codes!$AC$287:$AO$287)*(L$86:L$86))</f>
        <v>0</v>
      </c>
      <c r="M285" s="81">
        <f ca="1">SUMPRODUCT((Work_Codes!$AC$272:$AO$272=$E285)*(Work_Codes!$AC$287:$AO$287)*(M$86:M$86))</f>
        <v>0</v>
      </c>
      <c r="N285" s="81">
        <f ca="1">SUMPRODUCT((Work_Codes!$AC$272:$AO$272=$E285)*(Work_Codes!$AC$287:$AO$287)*(N$86:N$86))</f>
        <v>0</v>
      </c>
      <c r="O285" s="81">
        <f ca="1">SUMPRODUCT((Work_Codes!$AC$272:$AO$272=$E285)*(Work_Codes!$AC$287:$AO$287)*(O$86:O$86))</f>
        <v>0</v>
      </c>
      <c r="P285" s="81">
        <f ca="1">SUMPRODUCT((Work_Codes!$AC$272:$AO$272=$E285)*(Work_Codes!$AC$287:$AO$287)*(P$86:P$86))</f>
        <v>0</v>
      </c>
      <c r="Q285" s="81">
        <f ca="1">SUMPRODUCT((Work_Codes!$AC$272:$AO$272=$E285)*(Work_Codes!$AC$287:$AO$287)*(Q$86:Q$86))</f>
        <v>0</v>
      </c>
      <c r="R285" s="81">
        <f ca="1">SUMPRODUCT((Work_Codes!$AC$272:$AO$272=$E285)*(Work_Codes!$AC$287:$AO$287)*(R$86:R$86))</f>
        <v>0</v>
      </c>
      <c r="S285" s="81">
        <f ca="1">SUMPRODUCT((Work_Codes!$AC$272:$AO$272=$E285)*(Work_Codes!$AC$287:$AO$287)*(S$86:S$86))</f>
        <v>0</v>
      </c>
      <c r="T285" s="81">
        <f ca="1">SUMPRODUCT((Work_Codes!$AC$272:$AO$272=$E285)*(Work_Codes!$AC$287:$AO$287)*(T$86:T$86))</f>
        <v>0</v>
      </c>
    </row>
    <row r="286" spans="2:20" outlineLevel="2">
      <c r="E286" s="247" t="str">
        <f>GC!C73</f>
        <v>Government contributions</v>
      </c>
      <c r="F286" s="247"/>
      <c r="G286" s="247"/>
      <c r="H286" s="247"/>
      <c r="I286" s="247"/>
      <c r="J286" s="81">
        <f ca="1">SUMPRODUCT((Work_Codes!$AC$272:$AO$272=$E286)*(Work_Codes!$AC$287:$AO$287)*(J$86:J$86))</f>
        <v>0</v>
      </c>
      <c r="K286" s="81">
        <f ca="1">SUMPRODUCT((Work_Codes!$AC$272:$AO$272=$E286)*(Work_Codes!$AC$287:$AO$287)*(K$86:K$86))</f>
        <v>0</v>
      </c>
      <c r="L286" s="81">
        <f ca="1">SUMPRODUCT((Work_Codes!$AC$272:$AO$272=$E286)*(Work_Codes!$AC$287:$AO$287)*(L$86:L$86))</f>
        <v>0</v>
      </c>
      <c r="M286" s="81">
        <f ca="1">SUMPRODUCT((Work_Codes!$AC$272:$AO$272=$E286)*(Work_Codes!$AC$287:$AO$287)*(M$86:M$86))</f>
        <v>0</v>
      </c>
      <c r="N286" s="81">
        <f ca="1">SUMPRODUCT((Work_Codes!$AC$272:$AO$272=$E286)*(Work_Codes!$AC$287:$AO$287)*(N$86:N$86))</f>
        <v>0</v>
      </c>
      <c r="O286" s="81">
        <f ca="1">SUMPRODUCT((Work_Codes!$AC$272:$AO$272=$E286)*(Work_Codes!$AC$287:$AO$287)*(O$86:O$86))</f>
        <v>0</v>
      </c>
      <c r="P286" s="81">
        <f ca="1">SUMPRODUCT((Work_Codes!$AC$272:$AO$272=$E286)*(Work_Codes!$AC$287:$AO$287)*(P$86:P$86))</f>
        <v>0</v>
      </c>
      <c r="Q286" s="81">
        <f ca="1">SUMPRODUCT((Work_Codes!$AC$272:$AO$272=$E286)*(Work_Codes!$AC$287:$AO$287)*(Q$86:Q$86))</f>
        <v>0</v>
      </c>
      <c r="R286" s="81">
        <f ca="1">SUMPRODUCT((Work_Codes!$AC$272:$AO$272=$E286)*(Work_Codes!$AC$287:$AO$287)*(R$86:R$86))</f>
        <v>0</v>
      </c>
      <c r="S286" s="81">
        <f ca="1">SUMPRODUCT((Work_Codes!$AC$272:$AO$272=$E286)*(Work_Codes!$AC$287:$AO$287)*(S$86:S$86))</f>
        <v>0</v>
      </c>
      <c r="T286" s="81">
        <f ca="1">SUMPRODUCT((Work_Codes!$AC$272:$AO$272=$E286)*(Work_Codes!$AC$287:$AO$287)*(T$86:T$86))</f>
        <v>0</v>
      </c>
    </row>
    <row r="287" spans="2:20" outlineLevel="2">
      <c r="E287" s="249" t="str">
        <f t="shared" ref="E287" si="29">"Total "&amp;D271</f>
        <v>Total Customer Contributions</v>
      </c>
      <c r="F287" s="249"/>
      <c r="G287" s="249"/>
      <c r="H287" s="249"/>
      <c r="I287" s="249"/>
      <c r="J287" s="82">
        <f t="shared" ref="J287:T287" ca="1" si="30">SUM(J273:J286)</f>
        <v>0</v>
      </c>
      <c r="K287" s="82">
        <f t="shared" ca="1" si="30"/>
        <v>0</v>
      </c>
      <c r="L287" s="82">
        <f t="shared" ca="1" si="30"/>
        <v>0</v>
      </c>
      <c r="M287" s="82">
        <f t="shared" ca="1" si="30"/>
        <v>0</v>
      </c>
      <c r="N287" s="82">
        <f t="shared" ca="1" si="30"/>
        <v>0</v>
      </c>
      <c r="O287" s="82">
        <f t="shared" ca="1" si="30"/>
        <v>0</v>
      </c>
      <c r="P287" s="82">
        <f t="shared" ca="1" si="30"/>
        <v>0</v>
      </c>
      <c r="Q287" s="82">
        <f t="shared" ca="1" si="30"/>
        <v>0</v>
      </c>
      <c r="R287" s="82">
        <f t="shared" ca="1" si="30"/>
        <v>0</v>
      </c>
      <c r="S287" s="82">
        <f t="shared" ca="1" si="30"/>
        <v>0</v>
      </c>
      <c r="T287" s="82">
        <f t="shared" ca="1" si="30"/>
        <v>0</v>
      </c>
    </row>
    <row r="288" spans="2:20" outlineLevel="2">
      <c r="B288" s="12"/>
      <c r="C288" s="12"/>
      <c r="D288" s="12"/>
      <c r="E288" s="12"/>
      <c r="F288" s="12"/>
      <c r="G288" s="12"/>
      <c r="H288" s="12"/>
      <c r="I288" s="12"/>
      <c r="J288" s="12"/>
      <c r="K288" s="12"/>
      <c r="L288" s="12"/>
      <c r="M288" s="12"/>
      <c r="N288" s="12"/>
      <c r="O288" s="12"/>
      <c r="P288" s="12"/>
      <c r="Q288" s="12"/>
      <c r="R288" s="12"/>
      <c r="S288" s="12"/>
      <c r="T288" s="12"/>
    </row>
    <row r="289" spans="3:20" outlineLevel="2"/>
    <row r="290" spans="3:20" outlineLevel="2">
      <c r="C290" s="37" t="s">
        <v>311</v>
      </c>
    </row>
    <row r="291" spans="3:20" ht="5.9" customHeight="1" outlineLevel="2"/>
    <row r="292" spans="3:20" outlineLevel="2">
      <c r="D292" s="37" t="s">
        <v>215</v>
      </c>
    </row>
    <row r="293" spans="3:20" ht="5.9" customHeight="1" outlineLevel="2"/>
    <row r="294" spans="3:20" outlineLevel="2">
      <c r="E294" s="247" t="str">
        <f>GC!C78</f>
        <v>Mains &amp; Services</v>
      </c>
      <c r="F294" s="247"/>
      <c r="G294" s="247"/>
      <c r="H294" s="247"/>
      <c r="I294" s="247"/>
      <c r="J294" s="81">
        <f ca="1">SUMPRODUCT((Work_Codes!$AR$272:$AX$272=$E294)*(Work_Codes!$AR$275:$AX$283)*(J$137:J$145))</f>
        <v>0</v>
      </c>
      <c r="K294" s="81">
        <f ca="1">SUMPRODUCT((Work_Codes!$AR$272:$AX$272=$E294)*(Work_Codes!$AR$275:$AX$283)*(K$137:K$145))</f>
        <v>0</v>
      </c>
      <c r="L294" s="81">
        <f ca="1">SUMPRODUCT((Work_Codes!$AR$272:$AX$272=$E294)*(Work_Codes!$AR$275:$AX$283)*(L$137:L$145))</f>
        <v>0</v>
      </c>
      <c r="M294" s="81">
        <f ca="1">SUMPRODUCT((Work_Codes!$AR$272:$AX$272=$E294)*(Work_Codes!$AR$275:$AX$283)*(M$137:M$145))</f>
        <v>0</v>
      </c>
      <c r="N294" s="81">
        <f ca="1">SUMPRODUCT((Work_Codes!$AR$272:$AX$272=$E294)*(Work_Codes!$AR$275:$AX$283)*(N$137:N$145))</f>
        <v>0</v>
      </c>
      <c r="O294" s="81">
        <f ca="1">SUMPRODUCT((Work_Codes!$AR$272:$AX$272=$E294)*(Work_Codes!$AR$275:$AX$283)*(O$137:O$145))</f>
        <v>0</v>
      </c>
      <c r="P294" s="81">
        <f ca="1">SUMPRODUCT((Work_Codes!$AR$272:$AX$272=$E294)*(Work_Codes!$AR$275:$AX$283)*(P$137:P$145))</f>
        <v>0</v>
      </c>
      <c r="Q294" s="81">
        <f ca="1">SUMPRODUCT((Work_Codes!$AR$272:$AX$272=$E294)*(Work_Codes!$AR$275:$AX$283)*(Q$137:Q$145))</f>
        <v>0</v>
      </c>
      <c r="R294" s="81">
        <f ca="1">SUMPRODUCT((Work_Codes!$AR$272:$AX$272=$E294)*(Work_Codes!$AR$275:$AX$283)*(R$137:R$145))</f>
        <v>0</v>
      </c>
      <c r="S294" s="81">
        <f ca="1">SUMPRODUCT((Work_Codes!$AR$272:$AX$272=$E294)*(Work_Codes!$AR$275:$AX$283)*(S$137:S$145))</f>
        <v>0</v>
      </c>
      <c r="T294" s="81">
        <f ca="1">SUMPRODUCT((Work_Codes!$AR$272:$AX$272=$E294)*(Work_Codes!$AR$275:$AX$283)*(T$137:T$145))</f>
        <v>0</v>
      </c>
    </row>
    <row r="295" spans="3:20" outlineLevel="2">
      <c r="E295" s="247" t="str">
        <f>GC!C79</f>
        <v>Meters Domestic</v>
      </c>
      <c r="F295" s="247"/>
      <c r="G295" s="247"/>
      <c r="H295" s="247"/>
      <c r="I295" s="247"/>
      <c r="J295" s="81">
        <f ca="1">SUMPRODUCT((Work_Codes!$AR$272:$AX$272=$E295)*(Work_Codes!$AR$275:$AX$283)*(J$137:J$145))</f>
        <v>0</v>
      </c>
      <c r="K295" s="81">
        <f ca="1">SUMPRODUCT((Work_Codes!$AR$272:$AX$272=$E295)*(Work_Codes!$AR$275:$AX$283)*(K$137:K$145))</f>
        <v>0</v>
      </c>
      <c r="L295" s="81">
        <f ca="1">SUMPRODUCT((Work_Codes!$AR$272:$AX$272=$E295)*(Work_Codes!$AR$275:$AX$283)*(L$137:L$145))</f>
        <v>0</v>
      </c>
      <c r="M295" s="81">
        <f ca="1">SUMPRODUCT((Work_Codes!$AR$272:$AX$272=$E295)*(Work_Codes!$AR$275:$AX$283)*(M$137:M$145))</f>
        <v>0</v>
      </c>
      <c r="N295" s="81">
        <f ca="1">SUMPRODUCT((Work_Codes!$AR$272:$AX$272=$E295)*(Work_Codes!$AR$275:$AX$283)*(N$137:N$145))</f>
        <v>0</v>
      </c>
      <c r="O295" s="81">
        <f ca="1">SUMPRODUCT((Work_Codes!$AR$272:$AX$272=$E295)*(Work_Codes!$AR$275:$AX$283)*(O$137:O$145))</f>
        <v>0</v>
      </c>
      <c r="P295" s="81">
        <f ca="1">SUMPRODUCT((Work_Codes!$AR$272:$AX$272=$E295)*(Work_Codes!$AR$275:$AX$283)*(P$137:P$145))</f>
        <v>0</v>
      </c>
      <c r="Q295" s="81">
        <f ca="1">SUMPRODUCT((Work_Codes!$AR$272:$AX$272=$E295)*(Work_Codes!$AR$275:$AX$283)*(Q$137:Q$145))</f>
        <v>0</v>
      </c>
      <c r="R295" s="81">
        <f ca="1">SUMPRODUCT((Work_Codes!$AR$272:$AX$272=$E295)*(Work_Codes!$AR$275:$AX$283)*(R$137:R$145))</f>
        <v>0</v>
      </c>
      <c r="S295" s="81">
        <f ca="1">SUMPRODUCT((Work_Codes!$AR$272:$AX$272=$E295)*(Work_Codes!$AR$275:$AX$283)*(S$137:S$145))</f>
        <v>0</v>
      </c>
      <c r="T295" s="81">
        <f ca="1">SUMPRODUCT((Work_Codes!$AR$272:$AX$272=$E295)*(Work_Codes!$AR$275:$AX$283)*(T$137:T$145))</f>
        <v>0</v>
      </c>
    </row>
    <row r="296" spans="3:20" outlineLevel="2">
      <c r="E296" s="247" t="str">
        <f>GC!C80</f>
        <v>Meters Industrial &amp; Commercial</v>
      </c>
      <c r="F296" s="247"/>
      <c r="G296" s="247"/>
      <c r="H296" s="247"/>
      <c r="I296" s="247"/>
      <c r="J296" s="81">
        <f ca="1">SUMPRODUCT((Work_Codes!$AR$272:$AX$272=$E296)*(Work_Codes!$AR$275:$AX$283)*(J$137:J$145))</f>
        <v>0</v>
      </c>
      <c r="K296" s="81">
        <f ca="1">SUMPRODUCT((Work_Codes!$AR$272:$AX$272=$E296)*(Work_Codes!$AR$275:$AX$283)*(K$137:K$145))</f>
        <v>0</v>
      </c>
      <c r="L296" s="81">
        <f ca="1">SUMPRODUCT((Work_Codes!$AR$272:$AX$272=$E296)*(Work_Codes!$AR$275:$AX$283)*(L$137:L$145))</f>
        <v>0</v>
      </c>
      <c r="M296" s="81">
        <f ca="1">SUMPRODUCT((Work_Codes!$AR$272:$AX$272=$E296)*(Work_Codes!$AR$275:$AX$283)*(M$137:M$145))</f>
        <v>0</v>
      </c>
      <c r="N296" s="81">
        <f ca="1">SUMPRODUCT((Work_Codes!$AR$272:$AX$272=$E296)*(Work_Codes!$AR$275:$AX$283)*(N$137:N$145))</f>
        <v>0</v>
      </c>
      <c r="O296" s="81">
        <f ca="1">SUMPRODUCT((Work_Codes!$AR$272:$AX$272=$E296)*(Work_Codes!$AR$275:$AX$283)*(O$137:O$145))</f>
        <v>0</v>
      </c>
      <c r="P296" s="81">
        <f ca="1">SUMPRODUCT((Work_Codes!$AR$272:$AX$272=$E296)*(Work_Codes!$AR$275:$AX$283)*(P$137:P$145))</f>
        <v>0</v>
      </c>
      <c r="Q296" s="81">
        <f ca="1">SUMPRODUCT((Work_Codes!$AR$272:$AX$272=$E296)*(Work_Codes!$AR$275:$AX$283)*(Q$137:Q$145))</f>
        <v>0</v>
      </c>
      <c r="R296" s="81">
        <f ca="1">SUMPRODUCT((Work_Codes!$AR$272:$AX$272=$E296)*(Work_Codes!$AR$275:$AX$283)*(R$137:R$145))</f>
        <v>0</v>
      </c>
      <c r="S296" s="81">
        <f ca="1">SUMPRODUCT((Work_Codes!$AR$272:$AX$272=$E296)*(Work_Codes!$AR$275:$AX$283)*(S$137:S$145))</f>
        <v>0</v>
      </c>
      <c r="T296" s="81">
        <f ca="1">SUMPRODUCT((Work_Codes!$AR$272:$AX$272=$E296)*(Work_Codes!$AR$275:$AX$283)*(T$137:T$145))</f>
        <v>0</v>
      </c>
    </row>
    <row r="297" spans="3:20" outlineLevel="2">
      <c r="E297" s="247" t="str">
        <f>GC!C81</f>
        <v>Buildings</v>
      </c>
      <c r="F297" s="247"/>
      <c r="G297" s="247"/>
      <c r="H297" s="247"/>
      <c r="I297" s="247"/>
      <c r="J297" s="81">
        <f ca="1">SUMPRODUCT((Work_Codes!$AR$272:$AX$272=$E297)*(Work_Codes!$AR$275:$AX$283)*(J$137:J$145))</f>
        <v>0</v>
      </c>
      <c r="K297" s="81">
        <f ca="1">SUMPRODUCT((Work_Codes!$AR$272:$AX$272=$E297)*(Work_Codes!$AR$275:$AX$283)*(K$137:K$145))</f>
        <v>0</v>
      </c>
      <c r="L297" s="81">
        <f ca="1">SUMPRODUCT((Work_Codes!$AR$272:$AX$272=$E297)*(Work_Codes!$AR$275:$AX$283)*(L$137:L$145))</f>
        <v>0</v>
      </c>
      <c r="M297" s="81">
        <f ca="1">SUMPRODUCT((Work_Codes!$AR$272:$AX$272=$E297)*(Work_Codes!$AR$275:$AX$283)*(M$137:M$145))</f>
        <v>0</v>
      </c>
      <c r="N297" s="81">
        <f ca="1">SUMPRODUCT((Work_Codes!$AR$272:$AX$272=$E297)*(Work_Codes!$AR$275:$AX$283)*(N$137:N$145))</f>
        <v>0</v>
      </c>
      <c r="O297" s="81">
        <f ca="1">SUMPRODUCT((Work_Codes!$AR$272:$AX$272=$E297)*(Work_Codes!$AR$275:$AX$283)*(O$137:O$145))</f>
        <v>0</v>
      </c>
      <c r="P297" s="81">
        <f ca="1">SUMPRODUCT((Work_Codes!$AR$272:$AX$272=$E297)*(Work_Codes!$AR$275:$AX$283)*(P$137:P$145))</f>
        <v>0</v>
      </c>
      <c r="Q297" s="81">
        <f ca="1">SUMPRODUCT((Work_Codes!$AR$272:$AX$272=$E297)*(Work_Codes!$AR$275:$AX$283)*(Q$137:Q$145))</f>
        <v>0</v>
      </c>
      <c r="R297" s="81">
        <f ca="1">SUMPRODUCT((Work_Codes!$AR$272:$AX$272=$E297)*(Work_Codes!$AR$275:$AX$283)*(R$137:R$145))</f>
        <v>0</v>
      </c>
      <c r="S297" s="81">
        <f ca="1">SUMPRODUCT((Work_Codes!$AR$272:$AX$272=$E297)*(Work_Codes!$AR$275:$AX$283)*(S$137:S$145))</f>
        <v>0</v>
      </c>
      <c r="T297" s="81">
        <f ca="1">SUMPRODUCT((Work_Codes!$AR$272:$AX$272=$E297)*(Work_Codes!$AR$275:$AX$283)*(T$137:T$145))</f>
        <v>0</v>
      </c>
    </row>
    <row r="298" spans="3:20" outlineLevel="2">
      <c r="E298" s="247" t="str">
        <f>GC!C82</f>
        <v>Other Assets</v>
      </c>
      <c r="F298" s="247"/>
      <c r="G298" s="247"/>
      <c r="H298" s="247"/>
      <c r="I298" s="247"/>
      <c r="J298" s="81">
        <f ca="1">SUMPRODUCT((Work_Codes!$AR$272:$AX$272=$E298)*(Work_Codes!$AR$275:$AX$283)*(J$137:J$145))</f>
        <v>0</v>
      </c>
      <c r="K298" s="81">
        <f ca="1">SUMPRODUCT((Work_Codes!$AR$272:$AX$272=$E298)*(Work_Codes!$AR$275:$AX$283)*(K$137:K$145))</f>
        <v>0</v>
      </c>
      <c r="L298" s="81">
        <f ca="1">SUMPRODUCT((Work_Codes!$AR$272:$AX$272=$E298)*(Work_Codes!$AR$275:$AX$283)*(L$137:L$145))</f>
        <v>0</v>
      </c>
      <c r="M298" s="81">
        <f ca="1">SUMPRODUCT((Work_Codes!$AR$272:$AX$272=$E298)*(Work_Codes!$AR$275:$AX$283)*(M$137:M$145))</f>
        <v>0</v>
      </c>
      <c r="N298" s="81">
        <f ca="1">SUMPRODUCT((Work_Codes!$AR$272:$AX$272=$E298)*(Work_Codes!$AR$275:$AX$283)*(N$137:N$145))</f>
        <v>202503.22321251823</v>
      </c>
      <c r="O298" s="81">
        <f ca="1">SUMPRODUCT((Work_Codes!$AR$272:$AX$272=$E298)*(Work_Codes!$AR$275:$AX$283)*(O$137:O$145))</f>
        <v>192039.90469303401</v>
      </c>
      <c r="P298" s="81">
        <f ca="1">SUMPRODUCT((Work_Codes!$AR$272:$AX$272=$E298)*(Work_Codes!$AR$275:$AX$283)*(P$137:P$145))</f>
        <v>384157.1354747992</v>
      </c>
      <c r="Q298" s="81">
        <f ca="1">SUMPRODUCT((Work_Codes!$AR$272:$AX$272=$E298)*(Work_Codes!$AR$275:$AX$283)*(Q$137:Q$145))</f>
        <v>404292.61376348359</v>
      </c>
      <c r="R298" s="81">
        <f ca="1">SUMPRODUCT((Work_Codes!$AR$272:$AX$272=$E298)*(Work_Codes!$AR$275:$AX$283)*(R$137:R$145))</f>
        <v>391458.48767377576</v>
      </c>
      <c r="S298" s="81">
        <f ca="1">SUMPRODUCT((Work_Codes!$AR$272:$AX$272=$E298)*(Work_Codes!$AR$275:$AX$283)*(S$137:S$145))</f>
        <v>391635.7070410623</v>
      </c>
      <c r="T298" s="81">
        <f ca="1">SUMPRODUCT((Work_Codes!$AR$272:$AX$272=$E298)*(Work_Codes!$AR$275:$AX$283)*(T$137:T$145))</f>
        <v>391814.87731856958</v>
      </c>
    </row>
    <row r="299" spans="3:20" outlineLevel="2">
      <c r="E299" s="247" t="str">
        <f>GC!C83</f>
        <v>Repairs</v>
      </c>
      <c r="F299" s="247"/>
      <c r="G299" s="247"/>
      <c r="H299" s="247"/>
      <c r="I299" s="247"/>
      <c r="J299" s="81">
        <f ca="1">SUMPRODUCT((Work_Codes!$AR$272:$AX$272=$E299)*(Work_Codes!$AR$275:$AX$283)*(J$137:J$145))</f>
        <v>0</v>
      </c>
      <c r="K299" s="81">
        <f ca="1">SUMPRODUCT((Work_Codes!$AR$272:$AX$272=$E299)*(Work_Codes!$AR$275:$AX$283)*(K$137:K$145))</f>
        <v>0</v>
      </c>
      <c r="L299" s="81">
        <f ca="1">SUMPRODUCT((Work_Codes!$AR$272:$AX$272=$E299)*(Work_Codes!$AR$275:$AX$283)*(L$137:L$145))</f>
        <v>0</v>
      </c>
      <c r="M299" s="81">
        <f ca="1">SUMPRODUCT((Work_Codes!$AR$272:$AX$272=$E299)*(Work_Codes!$AR$275:$AX$283)*(M$137:M$145))</f>
        <v>0</v>
      </c>
      <c r="N299" s="81">
        <f ca="1">SUMPRODUCT((Work_Codes!$AR$272:$AX$272=$E299)*(Work_Codes!$AR$275:$AX$283)*(N$137:N$145))</f>
        <v>0</v>
      </c>
      <c r="O299" s="81">
        <f ca="1">SUMPRODUCT((Work_Codes!$AR$272:$AX$272=$E299)*(Work_Codes!$AR$275:$AX$283)*(O$137:O$145))</f>
        <v>0</v>
      </c>
      <c r="P299" s="81">
        <f ca="1">SUMPRODUCT((Work_Codes!$AR$272:$AX$272=$E299)*(Work_Codes!$AR$275:$AX$283)*(P$137:P$145))</f>
        <v>0</v>
      </c>
      <c r="Q299" s="81">
        <f ca="1">SUMPRODUCT((Work_Codes!$AR$272:$AX$272=$E299)*(Work_Codes!$AR$275:$AX$283)*(Q$137:Q$145))</f>
        <v>0</v>
      </c>
      <c r="R299" s="81">
        <f ca="1">SUMPRODUCT((Work_Codes!$AR$272:$AX$272=$E299)*(Work_Codes!$AR$275:$AX$283)*(R$137:R$145))</f>
        <v>0</v>
      </c>
      <c r="S299" s="81">
        <f ca="1">SUMPRODUCT((Work_Codes!$AR$272:$AX$272=$E299)*(Work_Codes!$AR$275:$AX$283)*(S$137:S$145))</f>
        <v>0</v>
      </c>
      <c r="T299" s="81">
        <f ca="1">SUMPRODUCT((Work_Codes!$AR$272:$AX$272=$E299)*(Work_Codes!$AR$275:$AX$283)*(T$137:T$145))</f>
        <v>0</v>
      </c>
    </row>
    <row r="300" spans="3:20" outlineLevel="2">
      <c r="E300" s="247" t="str">
        <f>GC!C84</f>
        <v>Land</v>
      </c>
      <c r="F300" s="247"/>
      <c r="G300" s="247"/>
      <c r="H300" s="247"/>
      <c r="I300" s="247"/>
      <c r="J300" s="81">
        <f ca="1">SUMPRODUCT((Work_Codes!$AR$272:$AX$272=$E300)*(Work_Codes!$AR$275:$AX$283)*(J$137:J$145))</f>
        <v>0</v>
      </c>
      <c r="K300" s="81">
        <f ca="1">SUMPRODUCT((Work_Codes!$AR$272:$AX$272=$E300)*(Work_Codes!$AR$275:$AX$283)*(K$137:K$145))</f>
        <v>0</v>
      </c>
      <c r="L300" s="81">
        <f ca="1">SUMPRODUCT((Work_Codes!$AR$272:$AX$272=$E300)*(Work_Codes!$AR$275:$AX$283)*(L$137:L$145))</f>
        <v>0</v>
      </c>
      <c r="M300" s="81">
        <f ca="1">SUMPRODUCT((Work_Codes!$AR$272:$AX$272=$E300)*(Work_Codes!$AR$275:$AX$283)*(M$137:M$145))</f>
        <v>0</v>
      </c>
      <c r="N300" s="81">
        <f ca="1">SUMPRODUCT((Work_Codes!$AR$272:$AX$272=$E300)*(Work_Codes!$AR$275:$AX$283)*(N$137:N$145))</f>
        <v>0</v>
      </c>
      <c r="O300" s="81">
        <f ca="1">SUMPRODUCT((Work_Codes!$AR$272:$AX$272=$E300)*(Work_Codes!$AR$275:$AX$283)*(O$137:O$145))</f>
        <v>0</v>
      </c>
      <c r="P300" s="81">
        <f ca="1">SUMPRODUCT((Work_Codes!$AR$272:$AX$272=$E300)*(Work_Codes!$AR$275:$AX$283)*(P$137:P$145))</f>
        <v>0</v>
      </c>
      <c r="Q300" s="81">
        <f ca="1">SUMPRODUCT((Work_Codes!$AR$272:$AX$272=$E300)*(Work_Codes!$AR$275:$AX$283)*(Q$137:Q$145))</f>
        <v>0</v>
      </c>
      <c r="R300" s="81">
        <f ca="1">SUMPRODUCT((Work_Codes!$AR$272:$AX$272=$E300)*(Work_Codes!$AR$275:$AX$283)*(R$137:R$145))</f>
        <v>0</v>
      </c>
      <c r="S300" s="81">
        <f ca="1">SUMPRODUCT((Work_Codes!$AR$272:$AX$272=$E300)*(Work_Codes!$AR$275:$AX$283)*(S$137:S$145))</f>
        <v>0</v>
      </c>
      <c r="T300" s="81">
        <f ca="1">SUMPRODUCT((Work_Codes!$AR$272:$AX$272=$E300)*(Work_Codes!$AR$275:$AX$283)*(T$137:T$145))</f>
        <v>0</v>
      </c>
    </row>
    <row r="301" spans="3:20" outlineLevel="2">
      <c r="E301" s="249" t="str">
        <f>"Total "&amp;D292</f>
        <v>Total Direct Costs</v>
      </c>
      <c r="F301" s="249"/>
      <c r="G301" s="249"/>
      <c r="H301" s="249"/>
      <c r="I301" s="249"/>
      <c r="J301" s="82">
        <f t="shared" ref="J301:T301" ca="1" si="31">SUM(J294:J300)</f>
        <v>0</v>
      </c>
      <c r="K301" s="82">
        <f t="shared" ca="1" si="31"/>
        <v>0</v>
      </c>
      <c r="L301" s="82">
        <f t="shared" ca="1" si="31"/>
        <v>0</v>
      </c>
      <c r="M301" s="82">
        <f t="shared" ca="1" si="31"/>
        <v>0</v>
      </c>
      <c r="N301" s="82">
        <f t="shared" ca="1" si="31"/>
        <v>202503.22321251823</v>
      </c>
      <c r="O301" s="82">
        <f t="shared" ca="1" si="31"/>
        <v>192039.90469303401</v>
      </c>
      <c r="P301" s="82">
        <f t="shared" ca="1" si="31"/>
        <v>384157.1354747992</v>
      </c>
      <c r="Q301" s="82">
        <f t="shared" ca="1" si="31"/>
        <v>404292.61376348359</v>
      </c>
      <c r="R301" s="82">
        <f t="shared" ca="1" si="31"/>
        <v>391458.48767377576</v>
      </c>
      <c r="S301" s="82">
        <f t="shared" ca="1" si="31"/>
        <v>391635.7070410623</v>
      </c>
      <c r="T301" s="82">
        <f t="shared" ca="1" si="31"/>
        <v>391814.87731856958</v>
      </c>
    </row>
    <row r="302" spans="3:20" outlineLevel="2"/>
    <row r="303" spans="3:20" outlineLevel="2">
      <c r="D303" s="37" t="s">
        <v>313</v>
      </c>
    </row>
    <row r="304" spans="3:20" ht="5.9" customHeight="1" outlineLevel="2"/>
    <row r="305" spans="2:20" outlineLevel="2">
      <c r="E305" s="247" t="str">
        <f>GC!C78</f>
        <v>Mains &amp; Services</v>
      </c>
      <c r="F305" s="247"/>
      <c r="G305" s="247"/>
      <c r="H305" s="247"/>
      <c r="I305" s="247"/>
      <c r="J305" s="81">
        <f ca="1">J294*(1+INDEX(J$35:J$37,MATCH(Work_Codes!$I$269,$D$35:$D$37,0)))</f>
        <v>0</v>
      </c>
      <c r="K305" s="81">
        <f ca="1">K294*(1+INDEX(K$35:K$37,MATCH(Work_Codes!$I$269,$D$35:$D$37,0)))</f>
        <v>0</v>
      </c>
      <c r="L305" s="81">
        <f ca="1">L294*(1+INDEX(L$35:L$37,MATCH(Work_Codes!$I$269,$D$35:$D$37,0)))</f>
        <v>0</v>
      </c>
      <c r="M305" s="81">
        <f ca="1">M294*(1+INDEX(M$35:M$37,MATCH(Work_Codes!$I$269,$D$35:$D$37,0)))</f>
        <v>0</v>
      </c>
      <c r="N305" s="81">
        <f ca="1">N294*(1+INDEX(N$35:N$37,MATCH(Work_Codes!$I$269,$D$35:$D$37,0)))</f>
        <v>0</v>
      </c>
      <c r="O305" s="81">
        <f ca="1">O294*(1+INDEX(O$35:O$37,MATCH(Work_Codes!$I$269,$D$35:$D$37,0)))</f>
        <v>0</v>
      </c>
      <c r="P305" s="81">
        <f ca="1">P294*(1+INDEX(P$35:P$37,MATCH(Work_Codes!$I$269,$D$35:$D$37,0)))</f>
        <v>0</v>
      </c>
      <c r="Q305" s="81">
        <f ca="1">Q294*(1+INDEX(Q$35:Q$37,MATCH(Work_Codes!$I$269,$D$35:$D$37,0)))</f>
        <v>0</v>
      </c>
      <c r="R305" s="81">
        <f ca="1">R294*(1+INDEX(R$35:R$37,MATCH(Work_Codes!$I$269,$D$35:$D$37,0)))</f>
        <v>0</v>
      </c>
      <c r="S305" s="81">
        <f ca="1">S294*(1+INDEX(S$35:S$37,MATCH(Work_Codes!$I$269,$D$35:$D$37,0)))</f>
        <v>0</v>
      </c>
      <c r="T305" s="81">
        <f ca="1">T294*(1+INDEX(T$35:T$37,MATCH(Work_Codes!$I$269,$D$35:$D$37,0)))</f>
        <v>0</v>
      </c>
    </row>
    <row r="306" spans="2:20" outlineLevel="2">
      <c r="E306" s="247" t="str">
        <f>GC!C79</f>
        <v>Meters Domestic</v>
      </c>
      <c r="F306" s="247"/>
      <c r="G306" s="247"/>
      <c r="H306" s="247"/>
      <c r="I306" s="247"/>
      <c r="J306" s="81">
        <f ca="1">J295*(1+INDEX(J$35:J$37,MATCH(Work_Codes!$I$269,$D$35:$D$37,0)))</f>
        <v>0</v>
      </c>
      <c r="K306" s="81">
        <f ca="1">K295*(1+INDEX(K$35:K$37,MATCH(Work_Codes!$I$269,$D$35:$D$37,0)))</f>
        <v>0</v>
      </c>
      <c r="L306" s="81">
        <f ca="1">L295*(1+INDEX(L$35:L$37,MATCH(Work_Codes!$I$269,$D$35:$D$37,0)))</f>
        <v>0</v>
      </c>
      <c r="M306" s="81">
        <f ca="1">M295*(1+INDEX(M$35:M$37,MATCH(Work_Codes!$I$269,$D$35:$D$37,0)))</f>
        <v>0</v>
      </c>
      <c r="N306" s="81">
        <f ca="1">N295*(1+INDEX(N$35:N$37,MATCH(Work_Codes!$I$269,$D$35:$D$37,0)))</f>
        <v>0</v>
      </c>
      <c r="O306" s="81">
        <f ca="1">O295*(1+INDEX(O$35:O$37,MATCH(Work_Codes!$I$269,$D$35:$D$37,0)))</f>
        <v>0</v>
      </c>
      <c r="P306" s="81">
        <f ca="1">P295*(1+INDEX(P$35:P$37,MATCH(Work_Codes!$I$269,$D$35:$D$37,0)))</f>
        <v>0</v>
      </c>
      <c r="Q306" s="81">
        <f ca="1">Q295*(1+INDEX(Q$35:Q$37,MATCH(Work_Codes!$I$269,$D$35:$D$37,0)))</f>
        <v>0</v>
      </c>
      <c r="R306" s="81">
        <f ca="1">R295*(1+INDEX(R$35:R$37,MATCH(Work_Codes!$I$269,$D$35:$D$37,0)))</f>
        <v>0</v>
      </c>
      <c r="S306" s="81">
        <f ca="1">S295*(1+INDEX(S$35:S$37,MATCH(Work_Codes!$I$269,$D$35:$D$37,0)))</f>
        <v>0</v>
      </c>
      <c r="T306" s="81">
        <f ca="1">T295*(1+INDEX(T$35:T$37,MATCH(Work_Codes!$I$269,$D$35:$D$37,0)))</f>
        <v>0</v>
      </c>
    </row>
    <row r="307" spans="2:20" outlineLevel="2">
      <c r="E307" s="247" t="str">
        <f>GC!C80</f>
        <v>Meters Industrial &amp; Commercial</v>
      </c>
      <c r="F307" s="247"/>
      <c r="G307" s="247"/>
      <c r="H307" s="247"/>
      <c r="I307" s="247"/>
      <c r="J307" s="81">
        <f ca="1">J296*(1+INDEX(J$35:J$37,MATCH(Work_Codes!$I$269,$D$35:$D$37,0)))</f>
        <v>0</v>
      </c>
      <c r="K307" s="81">
        <f ca="1">K296*(1+INDEX(K$35:K$37,MATCH(Work_Codes!$I$269,$D$35:$D$37,0)))</f>
        <v>0</v>
      </c>
      <c r="L307" s="81">
        <f ca="1">L296*(1+INDEX(L$35:L$37,MATCH(Work_Codes!$I$269,$D$35:$D$37,0)))</f>
        <v>0</v>
      </c>
      <c r="M307" s="81">
        <f ca="1">M296*(1+INDEX(M$35:M$37,MATCH(Work_Codes!$I$269,$D$35:$D$37,0)))</f>
        <v>0</v>
      </c>
      <c r="N307" s="81">
        <f ca="1">N296*(1+INDEX(N$35:N$37,MATCH(Work_Codes!$I$269,$D$35:$D$37,0)))</f>
        <v>0</v>
      </c>
      <c r="O307" s="81">
        <f ca="1">O296*(1+INDEX(O$35:O$37,MATCH(Work_Codes!$I$269,$D$35:$D$37,0)))</f>
        <v>0</v>
      </c>
      <c r="P307" s="81">
        <f ca="1">P296*(1+INDEX(P$35:P$37,MATCH(Work_Codes!$I$269,$D$35:$D$37,0)))</f>
        <v>0</v>
      </c>
      <c r="Q307" s="81">
        <f ca="1">Q296*(1+INDEX(Q$35:Q$37,MATCH(Work_Codes!$I$269,$D$35:$D$37,0)))</f>
        <v>0</v>
      </c>
      <c r="R307" s="81">
        <f ca="1">R296*(1+INDEX(R$35:R$37,MATCH(Work_Codes!$I$269,$D$35:$D$37,0)))</f>
        <v>0</v>
      </c>
      <c r="S307" s="81">
        <f ca="1">S296*(1+INDEX(S$35:S$37,MATCH(Work_Codes!$I$269,$D$35:$D$37,0)))</f>
        <v>0</v>
      </c>
      <c r="T307" s="81">
        <f ca="1">T296*(1+INDEX(T$35:T$37,MATCH(Work_Codes!$I$269,$D$35:$D$37,0)))</f>
        <v>0</v>
      </c>
    </row>
    <row r="308" spans="2:20" outlineLevel="2">
      <c r="E308" s="247" t="str">
        <f>GC!C81</f>
        <v>Buildings</v>
      </c>
      <c r="F308" s="247"/>
      <c r="G308" s="247"/>
      <c r="H308" s="247"/>
      <c r="I308" s="247"/>
      <c r="J308" s="81">
        <f ca="1">J297*(1+INDEX(J$35:J$37,MATCH(Work_Codes!$I$269,$D$35:$D$37,0)))</f>
        <v>0</v>
      </c>
      <c r="K308" s="81">
        <f ca="1">K297*(1+INDEX(K$35:K$37,MATCH(Work_Codes!$I$269,$D$35:$D$37,0)))</f>
        <v>0</v>
      </c>
      <c r="L308" s="81">
        <f ca="1">L297*(1+INDEX(L$35:L$37,MATCH(Work_Codes!$I$269,$D$35:$D$37,0)))</f>
        <v>0</v>
      </c>
      <c r="M308" s="81">
        <f ca="1">M297*(1+INDEX(M$35:M$37,MATCH(Work_Codes!$I$269,$D$35:$D$37,0)))</f>
        <v>0</v>
      </c>
      <c r="N308" s="81">
        <f ca="1">N297*(1+INDEX(N$35:N$37,MATCH(Work_Codes!$I$269,$D$35:$D$37,0)))</f>
        <v>0</v>
      </c>
      <c r="O308" s="81">
        <f ca="1">O297*(1+INDEX(O$35:O$37,MATCH(Work_Codes!$I$269,$D$35:$D$37,0)))</f>
        <v>0</v>
      </c>
      <c r="P308" s="81">
        <f ca="1">P297*(1+INDEX(P$35:P$37,MATCH(Work_Codes!$I$269,$D$35:$D$37,0)))</f>
        <v>0</v>
      </c>
      <c r="Q308" s="81">
        <f ca="1">Q297*(1+INDEX(Q$35:Q$37,MATCH(Work_Codes!$I$269,$D$35:$D$37,0)))</f>
        <v>0</v>
      </c>
      <c r="R308" s="81">
        <f ca="1">R297*(1+INDEX(R$35:R$37,MATCH(Work_Codes!$I$269,$D$35:$D$37,0)))</f>
        <v>0</v>
      </c>
      <c r="S308" s="81">
        <f ca="1">S297*(1+INDEX(S$35:S$37,MATCH(Work_Codes!$I$269,$D$35:$D$37,0)))</f>
        <v>0</v>
      </c>
      <c r="T308" s="81">
        <f ca="1">T297*(1+INDEX(T$35:T$37,MATCH(Work_Codes!$I$269,$D$35:$D$37,0)))</f>
        <v>0</v>
      </c>
    </row>
    <row r="309" spans="2:20" outlineLevel="2">
      <c r="E309" s="247" t="str">
        <f>GC!C82</f>
        <v>Other Assets</v>
      </c>
      <c r="F309" s="247"/>
      <c r="G309" s="247"/>
      <c r="H309" s="247"/>
      <c r="I309" s="247"/>
      <c r="J309" s="81">
        <f ca="1">J298*(1+INDEX(J$35:J$37,MATCH(Work_Codes!$I$269,$D$35:$D$37,0)))</f>
        <v>0</v>
      </c>
      <c r="K309" s="81">
        <f ca="1">K298*(1+INDEX(K$35:K$37,MATCH(Work_Codes!$I$269,$D$35:$D$37,0)))</f>
        <v>0</v>
      </c>
      <c r="L309" s="81">
        <f ca="1">L298*(1+INDEX(L$35:L$37,MATCH(Work_Codes!$I$269,$D$35:$D$37,0)))</f>
        <v>0</v>
      </c>
      <c r="M309" s="81">
        <f ca="1">M298*(1+INDEX(M$35:M$37,MATCH(Work_Codes!$I$269,$D$35:$D$37,0)))</f>
        <v>0</v>
      </c>
      <c r="N309" s="81">
        <f ca="1">N298*(1+INDEX(N$35:N$37,MATCH(Work_Codes!$I$269,$D$35:$D$37,0)))</f>
        <v>210139.82375815403</v>
      </c>
      <c r="O309" s="81">
        <f ca="1">O298*(1+INDEX(O$35:O$37,MATCH(Work_Codes!$I$269,$D$35:$D$37,0)))</f>
        <v>198431.75493810582</v>
      </c>
      <c r="P309" s="81">
        <f ca="1">P298*(1+INDEX(P$35:P$37,MATCH(Work_Codes!$I$269,$D$35:$D$37,0)))</f>
        <v>394434.36090397416</v>
      </c>
      <c r="Q309" s="81">
        <f ca="1">Q298*(1+INDEX(Q$35:Q$37,MATCH(Work_Codes!$I$269,$D$35:$D$37,0)))</f>
        <v>414828.7167390199</v>
      </c>
      <c r="R309" s="81">
        <f ca="1">R298*(1+INDEX(R$35:R$37,MATCH(Work_Codes!$I$269,$D$35:$D$37,0)))</f>
        <v>401978.15395692497</v>
      </c>
      <c r="S309" s="81">
        <f ca="1">S298*(1+INDEX(S$35:S$37,MATCH(Work_Codes!$I$269,$D$35:$D$37,0)))</f>
        <v>402815.41000889102</v>
      </c>
      <c r="T309" s="81">
        <f ca="1">T298*(1+INDEX(T$35:T$37,MATCH(Work_Codes!$I$269,$D$35:$D$37,0)))</f>
        <v>403538.12663377222</v>
      </c>
    </row>
    <row r="310" spans="2:20" outlineLevel="2">
      <c r="E310" s="247" t="str">
        <f>GC!C83</f>
        <v>Repairs</v>
      </c>
      <c r="F310" s="247"/>
      <c r="G310" s="247"/>
      <c r="H310" s="247"/>
      <c r="I310" s="247"/>
      <c r="J310" s="81">
        <f ca="1">J299*(1+INDEX(J$35:J$37,MATCH(Work_Codes!$I$269,$D$35:$D$37,0)))</f>
        <v>0</v>
      </c>
      <c r="K310" s="81">
        <f ca="1">K299*(1+INDEX(K$35:K$37,MATCH(Work_Codes!$I$269,$D$35:$D$37,0)))</f>
        <v>0</v>
      </c>
      <c r="L310" s="81">
        <f ca="1">L299*(1+INDEX(L$35:L$37,MATCH(Work_Codes!$I$269,$D$35:$D$37,0)))</f>
        <v>0</v>
      </c>
      <c r="M310" s="81">
        <f ca="1">M299*(1+INDEX(M$35:M$37,MATCH(Work_Codes!$I$269,$D$35:$D$37,0)))</f>
        <v>0</v>
      </c>
      <c r="N310" s="81">
        <f ca="1">N299*(1+INDEX(N$35:N$37,MATCH(Work_Codes!$I$269,$D$35:$D$37,0)))</f>
        <v>0</v>
      </c>
      <c r="O310" s="81">
        <f ca="1">O299*(1+INDEX(O$35:O$37,MATCH(Work_Codes!$I$269,$D$35:$D$37,0)))</f>
        <v>0</v>
      </c>
      <c r="P310" s="81">
        <f ca="1">P299*(1+INDEX(P$35:P$37,MATCH(Work_Codes!$I$269,$D$35:$D$37,0)))</f>
        <v>0</v>
      </c>
      <c r="Q310" s="81">
        <f ca="1">Q299*(1+INDEX(Q$35:Q$37,MATCH(Work_Codes!$I$269,$D$35:$D$37,0)))</f>
        <v>0</v>
      </c>
      <c r="R310" s="81">
        <f ca="1">R299*(1+INDEX(R$35:R$37,MATCH(Work_Codes!$I$269,$D$35:$D$37,0)))</f>
        <v>0</v>
      </c>
      <c r="S310" s="81">
        <f ca="1">S299*(1+INDEX(S$35:S$37,MATCH(Work_Codes!$I$269,$D$35:$D$37,0)))</f>
        <v>0</v>
      </c>
      <c r="T310" s="81">
        <f ca="1">T299*(1+INDEX(T$35:T$37,MATCH(Work_Codes!$I$269,$D$35:$D$37,0)))</f>
        <v>0</v>
      </c>
    </row>
    <row r="311" spans="2:20" outlineLevel="2">
      <c r="E311" s="247" t="str">
        <f>GC!C84</f>
        <v>Land</v>
      </c>
      <c r="F311" s="247"/>
      <c r="G311" s="247"/>
      <c r="H311" s="247"/>
      <c r="I311" s="247"/>
      <c r="J311" s="81">
        <f ca="1">J300*(1+INDEX(J$35:J$37,MATCH(Work_Codes!$I$269,$D$35:$D$37,0)))</f>
        <v>0</v>
      </c>
      <c r="K311" s="81">
        <f ca="1">K300*(1+INDEX(K$35:K$37,MATCH(Work_Codes!$I$269,$D$35:$D$37,0)))</f>
        <v>0</v>
      </c>
      <c r="L311" s="81">
        <f ca="1">L300*(1+INDEX(L$35:L$37,MATCH(Work_Codes!$I$269,$D$35:$D$37,0)))</f>
        <v>0</v>
      </c>
      <c r="M311" s="81">
        <f ca="1">M300*(1+INDEX(M$35:M$37,MATCH(Work_Codes!$I$269,$D$35:$D$37,0)))</f>
        <v>0</v>
      </c>
      <c r="N311" s="81">
        <f ca="1">N300*(1+INDEX(N$35:N$37,MATCH(Work_Codes!$I$269,$D$35:$D$37,0)))</f>
        <v>0</v>
      </c>
      <c r="O311" s="81">
        <f ca="1">O300*(1+INDEX(O$35:O$37,MATCH(Work_Codes!$I$269,$D$35:$D$37,0)))</f>
        <v>0</v>
      </c>
      <c r="P311" s="81">
        <f ca="1">P300*(1+INDEX(P$35:P$37,MATCH(Work_Codes!$I$269,$D$35:$D$37,0)))</f>
        <v>0</v>
      </c>
      <c r="Q311" s="81">
        <f ca="1">Q300*(1+INDEX(Q$35:Q$37,MATCH(Work_Codes!$I$269,$D$35:$D$37,0)))</f>
        <v>0</v>
      </c>
      <c r="R311" s="81">
        <f ca="1">R300*(1+INDEX(R$35:R$37,MATCH(Work_Codes!$I$269,$D$35:$D$37,0)))</f>
        <v>0</v>
      </c>
      <c r="S311" s="81">
        <f ca="1">S300*(1+INDEX(S$35:S$37,MATCH(Work_Codes!$I$269,$D$35:$D$37,0)))</f>
        <v>0</v>
      </c>
      <c r="T311" s="81">
        <f ca="1">T300*(1+INDEX(T$35:T$37,MATCH(Work_Codes!$I$269,$D$35:$D$37,0)))</f>
        <v>0</v>
      </c>
    </row>
    <row r="312" spans="2:20" outlineLevel="2">
      <c r="E312" s="249" t="str">
        <f>"Total "&amp;D303</f>
        <v>Total Direct Costs +  Overheads</v>
      </c>
      <c r="F312" s="249"/>
      <c r="G312" s="249"/>
      <c r="H312" s="249"/>
      <c r="I312" s="249"/>
      <c r="J312" s="82">
        <f t="shared" ref="J312:T312" ca="1" si="32">SUM(J305:J311)</f>
        <v>0</v>
      </c>
      <c r="K312" s="82">
        <f t="shared" ca="1" si="32"/>
        <v>0</v>
      </c>
      <c r="L312" s="82">
        <f t="shared" ca="1" si="32"/>
        <v>0</v>
      </c>
      <c r="M312" s="82">
        <f t="shared" ca="1" si="32"/>
        <v>0</v>
      </c>
      <c r="N312" s="82">
        <f t="shared" ca="1" si="32"/>
        <v>210139.82375815403</v>
      </c>
      <c r="O312" s="82">
        <f t="shared" ca="1" si="32"/>
        <v>198431.75493810582</v>
      </c>
      <c r="P312" s="82">
        <f t="shared" ca="1" si="32"/>
        <v>394434.36090397416</v>
      </c>
      <c r="Q312" s="82">
        <f t="shared" ca="1" si="32"/>
        <v>414828.7167390199</v>
      </c>
      <c r="R312" s="82">
        <f t="shared" ca="1" si="32"/>
        <v>401978.15395692497</v>
      </c>
      <c r="S312" s="82">
        <f t="shared" ca="1" si="32"/>
        <v>402815.41000889102</v>
      </c>
      <c r="T312" s="82">
        <f t="shared" ca="1" si="32"/>
        <v>403538.12663377222</v>
      </c>
    </row>
    <row r="313" spans="2:20" outlineLevel="1">
      <c r="B313" s="12"/>
      <c r="C313" s="12"/>
      <c r="D313" s="12"/>
      <c r="E313" s="12"/>
      <c r="F313" s="12"/>
      <c r="G313" s="12"/>
      <c r="H313" s="12"/>
      <c r="I313" s="12"/>
      <c r="J313" s="12"/>
      <c r="K313" s="12"/>
      <c r="L313" s="12"/>
      <c r="M313" s="12"/>
      <c r="N313" s="12"/>
      <c r="O313" s="12"/>
      <c r="P313" s="12"/>
      <c r="Q313" s="12"/>
      <c r="R313" s="12"/>
      <c r="S313" s="12"/>
      <c r="T313" s="12"/>
    </row>
    <row r="314" spans="2:20" outlineLevel="1"/>
    <row r="315" spans="2:20" outlineLevel="1">
      <c r="C315" s="37" t="s">
        <v>19</v>
      </c>
    </row>
    <row r="316" spans="2:20" ht="5.9" customHeight="1" outlineLevel="1"/>
    <row r="317" spans="2:20" outlineLevel="1">
      <c r="F317" s="51" t="str">
        <f>$B$23&amp;" Work Code v RAB Category Direct Check"</f>
        <v>3015 - Inputs Work Code v RAB Category Direct Check</v>
      </c>
      <c r="I317" s="130">
        <f ca="1">IF(ISERROR(SUM(J317:T317)),1,MIN(SUM(J317:T317),1))</f>
        <v>0</v>
      </c>
      <c r="J317" s="81">
        <f t="shared" ref="J317:T317" ca="1" si="33">J147-J170</f>
        <v>0</v>
      </c>
      <c r="K317" s="81">
        <f t="shared" ca="1" si="33"/>
        <v>0</v>
      </c>
      <c r="L317" s="81">
        <f t="shared" ca="1" si="33"/>
        <v>0</v>
      </c>
      <c r="M317" s="81">
        <f t="shared" ca="1" si="33"/>
        <v>0</v>
      </c>
      <c r="N317" s="81">
        <f t="shared" ca="1" si="33"/>
        <v>0</v>
      </c>
      <c r="O317" s="81">
        <f t="shared" ca="1" si="33"/>
        <v>0</v>
      </c>
      <c r="P317" s="81">
        <f t="shared" ca="1" si="33"/>
        <v>0</v>
      </c>
      <c r="Q317" s="81">
        <f t="shared" ca="1" si="33"/>
        <v>0</v>
      </c>
      <c r="R317" s="81">
        <f t="shared" ca="1" si="33"/>
        <v>0</v>
      </c>
      <c r="S317" s="81">
        <f t="shared" ca="1" si="33"/>
        <v>0</v>
      </c>
      <c r="T317" s="81">
        <f t="shared" ca="1" si="33"/>
        <v>0</v>
      </c>
    </row>
    <row r="318" spans="2:20" outlineLevel="1">
      <c r="F318" s="51" t="str">
        <f>$B$23&amp;" Work Code v RIN Category Direct Check"</f>
        <v>3015 - Inputs Work Code v RIN Category Direct Check</v>
      </c>
      <c r="I318" s="130">
        <f ca="1">IF(ISERROR(SUM(J318:T318)),1,MIN(SUM(J318:T318),1))</f>
        <v>0</v>
      </c>
      <c r="J318" s="81">
        <f t="shared" ref="J318:T318" ca="1" si="34">J147-J251</f>
        <v>0</v>
      </c>
      <c r="K318" s="81">
        <f t="shared" ca="1" si="34"/>
        <v>0</v>
      </c>
      <c r="L318" s="81">
        <f t="shared" ca="1" si="34"/>
        <v>0</v>
      </c>
      <c r="M318" s="81">
        <f t="shared" ca="1" si="34"/>
        <v>0</v>
      </c>
      <c r="N318" s="81">
        <f t="shared" ca="1" si="34"/>
        <v>0</v>
      </c>
      <c r="O318" s="81">
        <f t="shared" ca="1" si="34"/>
        <v>0</v>
      </c>
      <c r="P318" s="81">
        <f t="shared" ca="1" si="34"/>
        <v>0</v>
      </c>
      <c r="Q318" s="81">
        <f t="shared" ca="1" si="34"/>
        <v>0</v>
      </c>
      <c r="R318" s="81">
        <f t="shared" ca="1" si="34"/>
        <v>0</v>
      </c>
      <c r="S318" s="81">
        <f t="shared" ca="1" si="34"/>
        <v>0</v>
      </c>
      <c r="T318" s="81">
        <f t="shared" ca="1" si="34"/>
        <v>0</v>
      </c>
    </row>
    <row r="319" spans="2:20" outlineLevel="1">
      <c r="F319" s="51" t="str">
        <f>$B$23&amp;" Work Code v Tax Category Direct Check"</f>
        <v>3015 - Inputs Work Code v Tax Category Direct Check</v>
      </c>
      <c r="I319" s="130">
        <f ca="1">IF(ISERROR(SUM(J319:T319)),1,MIN(SUM(J319:T319),1))</f>
        <v>0</v>
      </c>
      <c r="J319" s="81">
        <f t="shared" ref="J319:T319" ca="1" si="35">J147-J301</f>
        <v>0</v>
      </c>
      <c r="K319" s="81">
        <f t="shared" ca="1" si="35"/>
        <v>0</v>
      </c>
      <c r="L319" s="81">
        <f t="shared" ca="1" si="35"/>
        <v>0</v>
      </c>
      <c r="M319" s="81">
        <f t="shared" ca="1" si="35"/>
        <v>0</v>
      </c>
      <c r="N319" s="81">
        <f t="shared" ca="1" si="35"/>
        <v>0</v>
      </c>
      <c r="O319" s="81">
        <f t="shared" ca="1" si="35"/>
        <v>0</v>
      </c>
      <c r="P319" s="81">
        <f t="shared" ca="1" si="35"/>
        <v>0</v>
      </c>
      <c r="Q319" s="81">
        <f t="shared" ca="1" si="35"/>
        <v>0</v>
      </c>
      <c r="R319" s="81">
        <f t="shared" ca="1" si="35"/>
        <v>0</v>
      </c>
      <c r="S319" s="81">
        <f t="shared" ca="1" si="35"/>
        <v>0</v>
      </c>
      <c r="T319" s="81">
        <f t="shared" ca="1" si="35"/>
        <v>0</v>
      </c>
    </row>
    <row r="320" spans="2:20" outlineLevel="1">
      <c r="F320" s="51" t="str">
        <f>$B$23&amp;" Customer Contributions v RAB Category Direct Check"</f>
        <v>3015 - Inputs Customer Contributions v RAB Category Direct Check</v>
      </c>
      <c r="I320" s="130">
        <f ca="1">IF(ISERROR(SUM(J320:T320)),1,MIN(SUM(J320:T320),1))</f>
        <v>0</v>
      </c>
      <c r="J320" s="81">
        <f t="shared" ref="J320:T320" ca="1" si="36">J88-J230</f>
        <v>0</v>
      </c>
      <c r="K320" s="81">
        <f t="shared" ca="1" si="36"/>
        <v>0</v>
      </c>
      <c r="L320" s="81">
        <f t="shared" ca="1" si="36"/>
        <v>0</v>
      </c>
      <c r="M320" s="81">
        <f t="shared" ca="1" si="36"/>
        <v>0</v>
      </c>
      <c r="N320" s="81">
        <f t="shared" ca="1" si="36"/>
        <v>0</v>
      </c>
      <c r="O320" s="81">
        <f t="shared" ca="1" si="36"/>
        <v>0</v>
      </c>
      <c r="P320" s="81">
        <f t="shared" ca="1" si="36"/>
        <v>0</v>
      </c>
      <c r="Q320" s="81">
        <f t="shared" ca="1" si="36"/>
        <v>0</v>
      </c>
      <c r="R320" s="81">
        <f t="shared" ca="1" si="36"/>
        <v>0</v>
      </c>
      <c r="S320" s="81">
        <f t="shared" ca="1" si="36"/>
        <v>0</v>
      </c>
      <c r="T320" s="81">
        <f t="shared" ca="1" si="36"/>
        <v>0</v>
      </c>
    </row>
    <row r="321" spans="2:20" ht="5.9" customHeight="1" outlineLevel="1"/>
    <row r="322" spans="2:20" outlineLevel="1">
      <c r="F322" s="51" t="str">
        <f>$B$23&amp;" RAB v RIN Direct + Overhead Check"</f>
        <v>3015 - Inputs RAB v RIN Direct + Overhead Check</v>
      </c>
      <c r="I322" s="130">
        <f ca="1">IF(ISERROR(SUM(J322:T322)),1,MIN(SUM(J322:T322),1))</f>
        <v>0</v>
      </c>
      <c r="J322" s="81">
        <f t="shared" ref="J322:T322" ca="1" si="37">J210-J269</f>
        <v>0</v>
      </c>
      <c r="K322" s="81">
        <f t="shared" ca="1" si="37"/>
        <v>0</v>
      </c>
      <c r="L322" s="81">
        <f t="shared" ca="1" si="37"/>
        <v>0</v>
      </c>
      <c r="M322" s="81">
        <f t="shared" ca="1" si="37"/>
        <v>0</v>
      </c>
      <c r="N322" s="81">
        <f t="shared" ca="1" si="37"/>
        <v>0</v>
      </c>
      <c r="O322" s="81">
        <f t="shared" ca="1" si="37"/>
        <v>0</v>
      </c>
      <c r="P322" s="81">
        <f t="shared" ca="1" si="37"/>
        <v>0</v>
      </c>
      <c r="Q322" s="81">
        <f t="shared" ca="1" si="37"/>
        <v>0</v>
      </c>
      <c r="R322" s="81">
        <f t="shared" ca="1" si="37"/>
        <v>0</v>
      </c>
      <c r="S322" s="81">
        <f t="shared" ca="1" si="37"/>
        <v>0</v>
      </c>
      <c r="T322" s="81">
        <f t="shared" ca="1" si="37"/>
        <v>0</v>
      </c>
    </row>
    <row r="323" spans="2:20" outlineLevel="1">
      <c r="F323" s="51" t="str">
        <f>$B$23&amp;" RAB v Tax Direct + Overhead Check"</f>
        <v>3015 - Inputs RAB v Tax Direct + Overhead Check</v>
      </c>
      <c r="I323" s="130">
        <f ca="1">IF(ISERROR(SUM(J323:T323)),1,MIN(SUM(J323:T323),1))</f>
        <v>0</v>
      </c>
      <c r="J323" s="81">
        <f t="shared" ref="J323:T323" ca="1" si="38">J210-J312</f>
        <v>0</v>
      </c>
      <c r="K323" s="81">
        <f t="shared" ca="1" si="38"/>
        <v>0</v>
      </c>
      <c r="L323" s="81">
        <f t="shared" ca="1" si="38"/>
        <v>0</v>
      </c>
      <c r="M323" s="81">
        <f t="shared" ca="1" si="38"/>
        <v>0</v>
      </c>
      <c r="N323" s="81">
        <f t="shared" ca="1" si="38"/>
        <v>0</v>
      </c>
      <c r="O323" s="81">
        <f t="shared" ca="1" si="38"/>
        <v>0</v>
      </c>
      <c r="P323" s="81">
        <f t="shared" ca="1" si="38"/>
        <v>0</v>
      </c>
      <c r="Q323" s="81">
        <f t="shared" ca="1" si="38"/>
        <v>0</v>
      </c>
      <c r="R323" s="81">
        <f t="shared" ca="1" si="38"/>
        <v>0</v>
      </c>
      <c r="S323" s="81">
        <f t="shared" ca="1" si="38"/>
        <v>0</v>
      </c>
      <c r="T323" s="81">
        <f t="shared" ca="1" si="38"/>
        <v>0</v>
      </c>
    </row>
    <row r="324" spans="2:20" ht="12" outlineLevel="1" thickBot="1">
      <c r="B324" s="94"/>
      <c r="C324" s="94"/>
      <c r="D324" s="94"/>
      <c r="E324" s="94"/>
      <c r="F324" s="94"/>
      <c r="G324" s="94"/>
      <c r="H324" s="94"/>
      <c r="I324" s="94"/>
      <c r="J324" s="94"/>
      <c r="K324" s="94"/>
      <c r="L324" s="94"/>
      <c r="M324" s="94"/>
      <c r="N324" s="94"/>
      <c r="O324" s="94"/>
      <c r="P324" s="94"/>
      <c r="Q324" s="94"/>
      <c r="R324" s="94"/>
      <c r="S324" s="94"/>
      <c r="T324" s="94"/>
    </row>
    <row r="326" spans="2:20" ht="14">
      <c r="B326" s="110" t="s">
        <v>256</v>
      </c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</row>
    <row r="327" spans="2:20" ht="5.9" customHeight="1"/>
    <row r="328" spans="2:20" ht="14">
      <c r="B328" s="56" t="str">
        <f>GC!F23</f>
        <v>SCADA</v>
      </c>
    </row>
    <row r="329" spans="2:20" ht="5.9" customHeight="1" outlineLevel="1"/>
    <row r="330" spans="2:20" hidden="1" outlineLevel="2">
      <c r="C330" s="37" t="s">
        <v>204</v>
      </c>
    </row>
    <row r="331" spans="2:20" ht="5.9" hidden="1" customHeight="1" outlineLevel="2"/>
    <row r="332" spans="2:20" hidden="1" outlineLevel="2">
      <c r="D332" s="51" t="s">
        <v>103</v>
      </c>
      <c r="J332" s="92">
        <f>Rates!J42</f>
        <v>1</v>
      </c>
      <c r="K332" s="92">
        <f>Rates!K42</f>
        <v>1</v>
      </c>
      <c r="L332" s="92">
        <f>Rates!L42</f>
        <v>1</v>
      </c>
      <c r="M332" s="92">
        <f>Rates!M42</f>
        <v>1</v>
      </c>
      <c r="N332" s="92">
        <f>Rates!N42</f>
        <v>1</v>
      </c>
      <c r="O332" s="92">
        <f>Rates!O42</f>
        <v>1.0051959235721353</v>
      </c>
      <c r="P332" s="92">
        <f>Rates!P42</f>
        <v>1.0102301741405761</v>
      </c>
      <c r="Q332" s="92">
        <f>Rates!Q42</f>
        <v>1.0181072873442809</v>
      </c>
      <c r="R332" s="92">
        <f>Rates!R42</f>
        <v>1.0293150686557422</v>
      </c>
      <c r="S332" s="92">
        <f>Rates!S42</f>
        <v>1.040646230246951</v>
      </c>
      <c r="T332" s="92">
        <f>Rates!T42</f>
        <v>1.0521021303433229</v>
      </c>
    </row>
    <row r="333" spans="2:20" hidden="1" outlineLevel="2">
      <c r="D333" s="51" t="s">
        <v>104</v>
      </c>
      <c r="J333" s="92">
        <f>Rates!J43</f>
        <v>1</v>
      </c>
      <c r="K333" s="92">
        <f>Rates!K43</f>
        <v>1</v>
      </c>
      <c r="L333" s="92">
        <f>Rates!L43</f>
        <v>1</v>
      </c>
      <c r="M333" s="92">
        <f>Rates!M43</f>
        <v>1</v>
      </c>
      <c r="N333" s="92">
        <f>Rates!N43</f>
        <v>1</v>
      </c>
      <c r="O333" s="92">
        <f>Rates!O43</f>
        <v>1</v>
      </c>
      <c r="P333" s="92">
        <f>Rates!P43</f>
        <v>1</v>
      </c>
      <c r="Q333" s="92">
        <f>Rates!Q43</f>
        <v>1</v>
      </c>
      <c r="R333" s="92">
        <f>Rates!R43</f>
        <v>1</v>
      </c>
      <c r="S333" s="92">
        <f>Rates!S43</f>
        <v>1</v>
      </c>
      <c r="T333" s="92">
        <f>Rates!T43</f>
        <v>1</v>
      </c>
    </row>
    <row r="334" spans="2:20" hidden="1" outlineLevel="2">
      <c r="D334" s="51" t="s">
        <v>130</v>
      </c>
      <c r="J334" s="92">
        <f>Rates!J45</f>
        <v>1</v>
      </c>
      <c r="K334" s="92">
        <f>Rates!K45</f>
        <v>1</v>
      </c>
      <c r="L334" s="92">
        <f>Rates!L45</f>
        <v>1</v>
      </c>
      <c r="M334" s="92">
        <f>Rates!M45</f>
        <v>1</v>
      </c>
      <c r="N334" s="92">
        <f>Rates!N45</f>
        <v>1</v>
      </c>
      <c r="O334" s="92">
        <f>Rates!O45</f>
        <v>1</v>
      </c>
      <c r="P334" s="92">
        <f>Rates!P45</f>
        <v>1</v>
      </c>
      <c r="Q334" s="92">
        <f>Rates!Q45</f>
        <v>1</v>
      </c>
      <c r="R334" s="92">
        <f>Rates!R45</f>
        <v>1</v>
      </c>
      <c r="S334" s="92">
        <f>Rates!S45</f>
        <v>1</v>
      </c>
      <c r="T334" s="92">
        <f>Rates!T45</f>
        <v>1</v>
      </c>
    </row>
    <row r="335" spans="2:20" ht="5.9" hidden="1" customHeight="1" outlineLevel="2"/>
    <row r="336" spans="2:20" hidden="1" outlineLevel="2">
      <c r="C336" s="37" t="s">
        <v>105</v>
      </c>
    </row>
    <row r="337" spans="3:20" ht="5.9" hidden="1" customHeight="1" outlineLevel="2"/>
    <row r="338" spans="3:20" hidden="1" outlineLevel="2">
      <c r="D338" s="51" t="s">
        <v>106</v>
      </c>
      <c r="J338" s="100">
        <f>Rates!J50</f>
        <v>6.9591273870889495E-2</v>
      </c>
      <c r="K338" s="100">
        <f>Rates!K50</f>
        <v>7.3934468928182201E-2</v>
      </c>
      <c r="L338" s="100">
        <f>Rates!L50</f>
        <v>7.5085976469407303E-2</v>
      </c>
      <c r="M338" s="100">
        <f>Rates!M50</f>
        <v>8.0103391005934096E-2</v>
      </c>
      <c r="N338" s="100">
        <f>Rates!N50</f>
        <v>3.7711007382937055E-2</v>
      </c>
      <c r="O338" s="100">
        <f>Rates!O50</f>
        <v>3.3283969054706777E-2</v>
      </c>
      <c r="P338" s="100">
        <f>Rates!P50</f>
        <v>2.6752660513445464E-2</v>
      </c>
      <c r="Q338" s="100">
        <f>Rates!Q50</f>
        <v>2.6060587348993774E-2</v>
      </c>
      <c r="R338" s="100">
        <f>Rates!R50</f>
        <v>2.6873005987587139E-2</v>
      </c>
      <c r="S338" s="100">
        <f>Rates!S50</f>
        <v>2.8546178928104012E-2</v>
      </c>
      <c r="T338" s="100">
        <f>Rates!T50</f>
        <v>2.9920378203686534E-2</v>
      </c>
    </row>
    <row r="339" spans="3:20" hidden="1" outlineLevel="2">
      <c r="D339" s="51" t="s">
        <v>107</v>
      </c>
      <c r="J339" s="100">
        <f>Rates!J51</f>
        <v>5.5842732834613398E-2</v>
      </c>
      <c r="K339" s="100">
        <f>Rates!K51</f>
        <v>5.16564294790849E-2</v>
      </c>
      <c r="L339" s="100">
        <f>Rates!L51</f>
        <v>6.0535031919173997E-2</v>
      </c>
      <c r="M339" s="100">
        <f>Rates!M51</f>
        <v>7.1630695797579302E-2</v>
      </c>
      <c r="N339" s="100">
        <f>Rates!N51</f>
        <v>7.4343858126268231E-2</v>
      </c>
      <c r="O339" s="100">
        <f>Rates!O51</f>
        <v>7.4059082290758096E-2</v>
      </c>
      <c r="P339" s="100">
        <f>Rates!P51</f>
        <v>2.4388539961794877E-2</v>
      </c>
      <c r="Q339" s="100">
        <f>Rates!Q51</f>
        <v>2.1171310758207256E-2</v>
      </c>
      <c r="R339" s="100">
        <f>Rates!R51</f>
        <v>2.0024144075344485E-2</v>
      </c>
      <c r="S339" s="100">
        <f>Rates!S51</f>
        <v>3.9620009613577346E-2</v>
      </c>
      <c r="T339" s="100">
        <f>Rates!T51</f>
        <v>5.404914337922874E-2</v>
      </c>
    </row>
    <row r="340" spans="3:20" hidden="1" outlineLevel="2">
      <c r="D340" s="51" t="s">
        <v>108</v>
      </c>
      <c r="J340" s="100">
        <f>Rates!J52</f>
        <v>0</v>
      </c>
      <c r="K340" s="100">
        <f>Rates!K52</f>
        <v>0</v>
      </c>
      <c r="L340" s="100">
        <f>Rates!L52</f>
        <v>0</v>
      </c>
      <c r="M340" s="100">
        <f>Rates!M52</f>
        <v>0</v>
      </c>
      <c r="N340" s="100">
        <f>Rates!N52</f>
        <v>0</v>
      </c>
      <c r="O340" s="100">
        <f>Rates!O52</f>
        <v>0</v>
      </c>
      <c r="P340" s="100">
        <f>Rates!P52</f>
        <v>0</v>
      </c>
      <c r="Q340" s="100">
        <f>Rates!Q52</f>
        <v>0</v>
      </c>
      <c r="R340" s="100">
        <f>Rates!R52</f>
        <v>0</v>
      </c>
      <c r="S340" s="100">
        <f>Rates!S52</f>
        <v>0</v>
      </c>
      <c r="T340" s="100">
        <f>Rates!T52</f>
        <v>0</v>
      </c>
    </row>
    <row r="341" spans="3:20" outlineLevel="1" collapsed="1"/>
    <row r="342" spans="3:20" ht="5.9" customHeight="1" outlineLevel="1"/>
    <row r="343" spans="3:20" outlineLevel="1">
      <c r="C343" s="37" t="s">
        <v>118</v>
      </c>
    </row>
    <row r="344" spans="3:20" ht="5.9" customHeight="1" outlineLevel="1"/>
    <row r="345" spans="3:20" outlineLevel="1">
      <c r="D345" s="37" t="s">
        <v>160</v>
      </c>
      <c r="H345" s="107" t="s">
        <v>192</v>
      </c>
    </row>
    <row r="346" spans="3:20" ht="5.9" customHeight="1" outlineLevel="1"/>
    <row r="347" spans="3:20" outlineLevel="1">
      <c r="D347" s="102" t="str">
        <f>Work_Codes!D297</f>
        <v>Fringe RTU Installation</v>
      </c>
      <c r="H347" s="63"/>
      <c r="J347" s="125"/>
      <c r="K347" s="125"/>
      <c r="L347" s="125"/>
      <c r="M347" s="125"/>
      <c r="N347" s="212"/>
      <c r="O347" s="212"/>
      <c r="P347" s="212"/>
      <c r="Q347" s="212"/>
      <c r="R347" s="212"/>
      <c r="S347" s="212"/>
      <c r="T347" s="212"/>
    </row>
    <row r="348" spans="3:20" outlineLevel="1">
      <c r="D348" s="174" t="str">
        <f>Work_Codes!D298</f>
        <v>Fringe RTU Relocation</v>
      </c>
      <c r="H348" s="63"/>
      <c r="J348" s="125"/>
      <c r="K348" s="125"/>
      <c r="L348" s="125"/>
      <c r="M348" s="125"/>
      <c r="N348" s="212"/>
      <c r="O348" s="212"/>
      <c r="P348" s="212"/>
      <c r="Q348" s="212"/>
      <c r="R348" s="212"/>
      <c r="S348" s="212"/>
      <c r="T348" s="212"/>
    </row>
    <row r="349" spans="3:20" outlineLevel="1">
      <c r="D349" s="174" t="str">
        <f>Work_Codes!D299</f>
        <v>Kingfisher PC-1 Replacement</v>
      </c>
      <c r="H349" s="63"/>
      <c r="J349" s="125"/>
      <c r="K349" s="125"/>
      <c r="L349" s="125"/>
      <c r="M349" s="125"/>
      <c r="N349" s="212"/>
      <c r="O349" s="212"/>
      <c r="P349" s="212"/>
      <c r="Q349" s="212"/>
      <c r="R349" s="212"/>
      <c r="S349" s="212"/>
      <c r="T349" s="212"/>
    </row>
    <row r="350" spans="3:20" outlineLevel="1">
      <c r="D350" s="174" t="str">
        <f>Work_Codes!D300</f>
        <v>Moore Temperature Transmitter Replacement</v>
      </c>
      <c r="H350" s="63"/>
      <c r="J350" s="125"/>
      <c r="K350" s="125"/>
      <c r="L350" s="125"/>
      <c r="M350" s="125"/>
      <c r="N350" s="212"/>
      <c r="O350" s="212"/>
      <c r="P350" s="212"/>
      <c r="Q350" s="212"/>
      <c r="R350" s="212"/>
      <c r="S350" s="212"/>
      <c r="T350" s="212"/>
    </row>
    <row r="351" spans="3:20" outlineLevel="1">
      <c r="D351" s="174" t="str">
        <f>Work_Codes!D301</f>
        <v>Dossier Replacement</v>
      </c>
      <c r="H351" s="63"/>
      <c r="J351" s="125"/>
      <c r="K351" s="125"/>
      <c r="L351" s="125"/>
      <c r="M351" s="125"/>
      <c r="N351" s="212"/>
      <c r="O351" s="212"/>
      <c r="P351" s="212"/>
      <c r="Q351" s="212"/>
      <c r="R351" s="212"/>
      <c r="S351" s="212"/>
      <c r="T351" s="212"/>
    </row>
    <row r="352" spans="3:20" outlineLevel="1">
      <c r="D352" s="174" t="str">
        <f>Work_Codes!D302</f>
        <v>Slamshut Switch Replacement</v>
      </c>
      <c r="H352" s="63"/>
      <c r="J352" s="125"/>
      <c r="K352" s="125"/>
      <c r="L352" s="125"/>
      <c r="M352" s="125"/>
      <c r="N352" s="212"/>
      <c r="O352" s="212"/>
      <c r="P352" s="212"/>
      <c r="Q352" s="212"/>
      <c r="R352" s="212"/>
      <c r="S352" s="212"/>
      <c r="T352" s="212"/>
    </row>
    <row r="353" spans="3:20" outlineLevel="1">
      <c r="D353" s="174" t="str">
        <f>Work_Codes!D303</f>
        <v>Cabinet Replacement</v>
      </c>
      <c r="H353" s="63"/>
      <c r="J353" s="125"/>
      <c r="K353" s="125"/>
      <c r="L353" s="125"/>
      <c r="M353" s="125"/>
      <c r="N353" s="212"/>
      <c r="O353" s="212"/>
      <c r="P353" s="212"/>
      <c r="Q353" s="212"/>
      <c r="R353" s="212"/>
      <c r="S353" s="212"/>
      <c r="T353" s="212"/>
    </row>
    <row r="354" spans="3:20" outlineLevel="1">
      <c r="D354" s="174" t="str">
        <f>Work_Codes!D304</f>
        <v>Remote Pressure Monitoring Unit</v>
      </c>
      <c r="H354" s="63"/>
      <c r="J354" s="125"/>
      <c r="K354" s="125"/>
      <c r="L354" s="125"/>
      <c r="M354" s="125"/>
      <c r="N354" s="212"/>
      <c r="O354" s="212"/>
      <c r="P354" s="212"/>
      <c r="Q354" s="212"/>
      <c r="R354" s="212"/>
      <c r="S354" s="212"/>
      <c r="T354" s="212"/>
    </row>
    <row r="355" spans="3:20" outlineLevel="1">
      <c r="D355" s="102" t="str">
        <f>Work_Codes!D305</f>
        <v>SCADA Category 2</v>
      </c>
      <c r="H355" s="63"/>
      <c r="J355" s="125"/>
      <c r="K355" s="125"/>
      <c r="L355" s="125"/>
      <c r="M355" s="125"/>
      <c r="N355" s="211"/>
      <c r="O355" s="212"/>
      <c r="P355" s="212"/>
      <c r="Q355" s="212"/>
      <c r="R355" s="212"/>
      <c r="S355" s="212"/>
      <c r="T355" s="212"/>
    </row>
    <row r="356" spans="3:20" outlineLevel="1">
      <c r="D356" s="105"/>
      <c r="H356" s="58"/>
      <c r="J356" s="66"/>
      <c r="K356" s="66"/>
      <c r="L356" s="66"/>
      <c r="M356" s="66"/>
      <c r="N356" s="66"/>
      <c r="O356" s="66"/>
      <c r="P356" s="66"/>
      <c r="Q356" s="66"/>
      <c r="R356" s="66"/>
      <c r="S356" s="66"/>
      <c r="T356" s="66"/>
    </row>
    <row r="357" spans="3:20" outlineLevel="1">
      <c r="C357" s="37" t="s">
        <v>119</v>
      </c>
    </row>
    <row r="358" spans="3:20" ht="5.9" customHeight="1" outlineLevel="1"/>
    <row r="359" spans="3:20" outlineLevel="1">
      <c r="D359" s="37" t="str">
        <f>D345</f>
        <v>Capex Category</v>
      </c>
    </row>
    <row r="360" spans="3:20" ht="5.9" customHeight="1" outlineLevel="1"/>
    <row r="361" spans="3:20" outlineLevel="1">
      <c r="D361" s="102" t="str">
        <f>Work_Codes!D297</f>
        <v>Fringe RTU Installation</v>
      </c>
      <c r="J361" s="163"/>
      <c r="K361" s="163"/>
      <c r="L361" s="163"/>
      <c r="M361" s="163"/>
      <c r="N361" s="213"/>
      <c r="O361" s="213"/>
      <c r="P361" s="213"/>
      <c r="Q361" s="213"/>
      <c r="R361" s="213"/>
      <c r="S361" s="213"/>
      <c r="T361" s="213"/>
    </row>
    <row r="362" spans="3:20" outlineLevel="1">
      <c r="D362" s="174" t="str">
        <f>Work_Codes!D298</f>
        <v>Fringe RTU Relocation</v>
      </c>
      <c r="J362" s="163"/>
      <c r="K362" s="163"/>
      <c r="L362" s="163"/>
      <c r="M362" s="163"/>
      <c r="N362" s="213"/>
      <c r="O362" s="213"/>
      <c r="P362" s="213"/>
      <c r="Q362" s="213"/>
      <c r="R362" s="213"/>
      <c r="S362" s="213"/>
      <c r="T362" s="213"/>
    </row>
    <row r="363" spans="3:20" outlineLevel="1">
      <c r="D363" s="174" t="str">
        <f>Work_Codes!D299</f>
        <v>Kingfisher PC-1 Replacement</v>
      </c>
      <c r="J363" s="163"/>
      <c r="K363" s="163"/>
      <c r="L363" s="163"/>
      <c r="M363" s="163"/>
      <c r="N363" s="213"/>
      <c r="O363" s="213"/>
      <c r="P363" s="213"/>
      <c r="Q363" s="213"/>
      <c r="R363" s="213"/>
      <c r="S363" s="213"/>
      <c r="T363" s="213"/>
    </row>
    <row r="364" spans="3:20" outlineLevel="1">
      <c r="D364" s="174" t="str">
        <f>Work_Codes!D300</f>
        <v>Moore Temperature Transmitter Replacement</v>
      </c>
      <c r="J364" s="163"/>
      <c r="K364" s="163"/>
      <c r="L364" s="163"/>
      <c r="M364" s="163"/>
      <c r="N364" s="213"/>
      <c r="O364" s="213"/>
      <c r="P364" s="213"/>
      <c r="Q364" s="213"/>
      <c r="R364" s="213"/>
      <c r="S364" s="213"/>
      <c r="T364" s="213"/>
    </row>
    <row r="365" spans="3:20" outlineLevel="1">
      <c r="D365" s="174" t="str">
        <f>Work_Codes!D301</f>
        <v>Dossier Replacement</v>
      </c>
      <c r="J365" s="163"/>
      <c r="K365" s="163"/>
      <c r="L365" s="163"/>
      <c r="M365" s="163"/>
      <c r="N365" s="213"/>
      <c r="O365" s="213"/>
      <c r="P365" s="213"/>
      <c r="Q365" s="213"/>
      <c r="R365" s="213"/>
      <c r="S365" s="213"/>
      <c r="T365" s="213"/>
    </row>
    <row r="366" spans="3:20" outlineLevel="1">
      <c r="D366" s="174" t="str">
        <f>Work_Codes!D302</f>
        <v>Slamshut Switch Replacement</v>
      </c>
      <c r="J366" s="163"/>
      <c r="K366" s="163"/>
      <c r="L366" s="163"/>
      <c r="M366" s="163"/>
      <c r="N366" s="213"/>
      <c r="O366" s="213"/>
      <c r="P366" s="213"/>
      <c r="Q366" s="213"/>
      <c r="R366" s="213"/>
      <c r="S366" s="213"/>
      <c r="T366" s="213"/>
    </row>
    <row r="367" spans="3:20" outlineLevel="1">
      <c r="D367" s="174" t="str">
        <f>Work_Codes!D303</f>
        <v>Cabinet Replacement</v>
      </c>
      <c r="J367" s="163"/>
      <c r="K367" s="163"/>
      <c r="L367" s="163"/>
      <c r="M367" s="163"/>
      <c r="N367" s="213"/>
      <c r="O367" s="213"/>
      <c r="P367" s="213"/>
      <c r="Q367" s="213"/>
      <c r="R367" s="213"/>
      <c r="S367" s="213"/>
      <c r="T367" s="213"/>
    </row>
    <row r="368" spans="3:20" outlineLevel="1">
      <c r="D368" s="174" t="str">
        <f>Work_Codes!D304</f>
        <v>Remote Pressure Monitoring Unit</v>
      </c>
      <c r="J368" s="163"/>
      <c r="K368" s="163"/>
      <c r="L368" s="163"/>
      <c r="M368" s="163"/>
      <c r="N368" s="213"/>
      <c r="O368" s="213"/>
      <c r="P368" s="213"/>
      <c r="Q368" s="213"/>
      <c r="R368" s="213"/>
      <c r="S368" s="213"/>
      <c r="T368" s="213"/>
    </row>
    <row r="369" spans="3:20" outlineLevel="1">
      <c r="D369" s="102" t="str">
        <f>Work_Codes!D305</f>
        <v>SCADA Category 2</v>
      </c>
      <c r="J369" s="163"/>
      <c r="K369" s="163"/>
      <c r="L369" s="163"/>
      <c r="M369" s="163"/>
      <c r="N369" s="213"/>
      <c r="O369" s="213"/>
      <c r="P369" s="213"/>
      <c r="Q369" s="213"/>
      <c r="R369" s="213"/>
      <c r="S369" s="213"/>
      <c r="T369" s="213"/>
    </row>
    <row r="370" spans="3:20" outlineLevel="1"/>
    <row r="371" spans="3:20" outlineLevel="1">
      <c r="C371" s="37" t="s">
        <v>193</v>
      </c>
    </row>
    <row r="372" spans="3:20" ht="5.9" customHeight="1" outlineLevel="1"/>
    <row r="373" spans="3:20" outlineLevel="1">
      <c r="D373" s="37" t="str">
        <f>D345</f>
        <v>Capex Category</v>
      </c>
    </row>
    <row r="374" spans="3:20" ht="5.9" customHeight="1" outlineLevel="1"/>
    <row r="375" spans="3:20" outlineLevel="1">
      <c r="D375" s="102" t="str">
        <f>Work_Codes!D297</f>
        <v>Fringe RTU Installation</v>
      </c>
      <c r="J375" s="81">
        <v>0</v>
      </c>
      <c r="K375" s="81">
        <v>0</v>
      </c>
      <c r="L375" s="81">
        <v>0</v>
      </c>
      <c r="M375" s="81">
        <v>0</v>
      </c>
      <c r="N375" s="81">
        <v>0</v>
      </c>
      <c r="O375" s="81">
        <v>0</v>
      </c>
      <c r="P375" s="81">
        <v>40000</v>
      </c>
      <c r="Q375" s="81">
        <v>40000</v>
      </c>
      <c r="R375" s="81">
        <v>40000</v>
      </c>
      <c r="S375" s="81">
        <v>40000</v>
      </c>
      <c r="T375" s="81">
        <v>40000</v>
      </c>
    </row>
    <row r="376" spans="3:20" outlineLevel="1">
      <c r="D376" s="174" t="str">
        <f>Work_Codes!D298</f>
        <v>Fringe RTU Relocation</v>
      </c>
      <c r="J376" s="81">
        <v>0</v>
      </c>
      <c r="K376" s="81">
        <v>0</v>
      </c>
      <c r="L376" s="81">
        <v>0</v>
      </c>
      <c r="M376" s="81">
        <v>0</v>
      </c>
      <c r="N376" s="81">
        <v>0</v>
      </c>
      <c r="O376" s="81">
        <v>0</v>
      </c>
      <c r="P376" s="81">
        <v>25000</v>
      </c>
      <c r="Q376" s="81">
        <v>0</v>
      </c>
      <c r="R376" s="81">
        <v>25000</v>
      </c>
      <c r="S376" s="81">
        <v>0</v>
      </c>
      <c r="T376" s="81">
        <v>25000</v>
      </c>
    </row>
    <row r="377" spans="3:20" outlineLevel="1">
      <c r="D377" s="174" t="str">
        <f>Work_Codes!D299</f>
        <v>Kingfisher PC-1 Replacement</v>
      </c>
      <c r="J377" s="81">
        <v>0</v>
      </c>
      <c r="K377" s="81">
        <v>0</v>
      </c>
      <c r="L377" s="81">
        <v>0</v>
      </c>
      <c r="M377" s="81">
        <v>0</v>
      </c>
      <c r="N377" s="81">
        <v>0</v>
      </c>
      <c r="O377" s="81">
        <v>0</v>
      </c>
      <c r="P377" s="81">
        <v>60000</v>
      </c>
      <c r="Q377" s="81">
        <v>60000</v>
      </c>
      <c r="R377" s="81">
        <v>60000</v>
      </c>
      <c r="S377" s="81">
        <v>60000</v>
      </c>
      <c r="T377" s="81">
        <v>60000</v>
      </c>
    </row>
    <row r="378" spans="3:20" outlineLevel="1">
      <c r="D378" s="174" t="str">
        <f>Work_Codes!D300</f>
        <v>Moore Temperature Transmitter Replacement</v>
      </c>
      <c r="J378" s="81">
        <v>0</v>
      </c>
      <c r="K378" s="81">
        <v>0</v>
      </c>
      <c r="L378" s="81">
        <v>0</v>
      </c>
      <c r="M378" s="81">
        <v>0</v>
      </c>
      <c r="N378" s="81">
        <v>0</v>
      </c>
      <c r="O378" s="81">
        <v>0</v>
      </c>
      <c r="P378" s="81">
        <v>7500</v>
      </c>
      <c r="Q378" s="81">
        <v>7500</v>
      </c>
      <c r="R378" s="81">
        <v>7500</v>
      </c>
      <c r="S378" s="81">
        <v>10000</v>
      </c>
      <c r="T378" s="81">
        <v>7500</v>
      </c>
    </row>
    <row r="379" spans="3:20" outlineLevel="1">
      <c r="D379" s="174" t="str">
        <f>Work_Codes!D301</f>
        <v>Dossier Replacement</v>
      </c>
      <c r="J379" s="81">
        <v>0</v>
      </c>
      <c r="K379" s="81">
        <v>0</v>
      </c>
      <c r="L379" s="81">
        <v>0</v>
      </c>
      <c r="M379" s="81">
        <v>0</v>
      </c>
      <c r="N379" s="81">
        <v>0</v>
      </c>
      <c r="O379" s="81">
        <v>0</v>
      </c>
      <c r="P379" s="81">
        <v>40000</v>
      </c>
      <c r="Q379" s="81">
        <v>40000</v>
      </c>
      <c r="R379" s="81">
        <v>40000</v>
      </c>
      <c r="S379" s="81">
        <v>40000</v>
      </c>
      <c r="T379" s="81">
        <v>40000</v>
      </c>
    </row>
    <row r="380" spans="3:20" outlineLevel="1">
      <c r="D380" s="174" t="str">
        <f>Work_Codes!D302</f>
        <v>Slamshut Switch Replacement</v>
      </c>
      <c r="J380" s="81">
        <v>0</v>
      </c>
      <c r="K380" s="81">
        <v>0</v>
      </c>
      <c r="L380" s="81">
        <v>0</v>
      </c>
      <c r="M380" s="81">
        <v>0</v>
      </c>
      <c r="N380" s="81">
        <v>0</v>
      </c>
      <c r="O380" s="81">
        <v>0</v>
      </c>
      <c r="P380" s="81">
        <v>24500</v>
      </c>
      <c r="Q380" s="81">
        <v>24500</v>
      </c>
      <c r="R380" s="81">
        <v>24500</v>
      </c>
      <c r="S380" s="81">
        <v>24500</v>
      </c>
      <c r="T380" s="81">
        <v>24500</v>
      </c>
    </row>
    <row r="381" spans="3:20" outlineLevel="1">
      <c r="D381" s="174" t="str">
        <f>Work_Codes!D303</f>
        <v>Cabinet Replacement</v>
      </c>
      <c r="J381" s="81">
        <v>0</v>
      </c>
      <c r="K381" s="81">
        <v>0</v>
      </c>
      <c r="L381" s="81">
        <v>0</v>
      </c>
      <c r="M381" s="81">
        <v>0</v>
      </c>
      <c r="N381" s="81">
        <v>0</v>
      </c>
      <c r="O381" s="81">
        <v>0</v>
      </c>
      <c r="P381" s="81">
        <v>28000</v>
      </c>
      <c r="Q381" s="81">
        <v>28000</v>
      </c>
      <c r="R381" s="81">
        <v>28000</v>
      </c>
      <c r="S381" s="81">
        <v>28000</v>
      </c>
      <c r="T381" s="81">
        <v>28000</v>
      </c>
    </row>
    <row r="382" spans="3:20" outlineLevel="1">
      <c r="D382" s="174" t="str">
        <f>Work_Codes!D304</f>
        <v>Remote Pressure Monitoring Unit</v>
      </c>
      <c r="J382" s="81">
        <v>0</v>
      </c>
      <c r="K382" s="81">
        <v>0</v>
      </c>
      <c r="L382" s="81">
        <v>0</v>
      </c>
      <c r="M382" s="81">
        <v>0</v>
      </c>
      <c r="N382" s="81">
        <v>0</v>
      </c>
      <c r="O382" s="81">
        <v>0</v>
      </c>
      <c r="P382" s="81">
        <v>30000</v>
      </c>
      <c r="Q382" s="81">
        <v>30000</v>
      </c>
      <c r="R382" s="81">
        <v>30000</v>
      </c>
      <c r="S382" s="81">
        <v>30000</v>
      </c>
      <c r="T382" s="81">
        <v>30000</v>
      </c>
    </row>
    <row r="383" spans="3:20" outlineLevel="1">
      <c r="D383" s="102" t="str">
        <f>Work_Codes!D305</f>
        <v>SCADA Category 2</v>
      </c>
      <c r="J383" s="81">
        <v>0</v>
      </c>
      <c r="K383" s="81">
        <v>0</v>
      </c>
      <c r="L383" s="81">
        <v>0</v>
      </c>
      <c r="M383" s="81">
        <v>0</v>
      </c>
      <c r="N383" s="81">
        <v>1261735.9153766783</v>
      </c>
      <c r="O383" s="81">
        <v>140000</v>
      </c>
      <c r="P383" s="81">
        <v>900000</v>
      </c>
      <c r="Q383" s="81">
        <v>875000</v>
      </c>
      <c r="R383" s="81">
        <v>0</v>
      </c>
      <c r="S383" s="81">
        <v>0</v>
      </c>
      <c r="T383" s="81">
        <v>0</v>
      </c>
    </row>
    <row r="384" spans="3:20" ht="5.9" customHeight="1" outlineLevel="1">
      <c r="D384" s="37"/>
      <c r="J384" s="78"/>
      <c r="K384" s="78"/>
      <c r="L384" s="78"/>
      <c r="M384" s="78"/>
      <c r="N384" s="78"/>
      <c r="O384" s="78"/>
      <c r="P384" s="78"/>
      <c r="Q384" s="78"/>
      <c r="R384" s="78"/>
      <c r="S384" s="78"/>
      <c r="T384" s="78"/>
    </row>
    <row r="385" spans="3:20" outlineLevel="1">
      <c r="D385" s="249" t="str">
        <f>"Total "&amp;B328</f>
        <v>Total SCADA</v>
      </c>
      <c r="E385" s="249"/>
      <c r="F385" s="249"/>
      <c r="G385" s="249"/>
      <c r="H385" s="249"/>
      <c r="I385" s="249"/>
      <c r="J385" s="82">
        <f t="shared" ref="J385:T385" si="39">SUM(J375:J384)</f>
        <v>0</v>
      </c>
      <c r="K385" s="82">
        <f t="shared" si="39"/>
        <v>0</v>
      </c>
      <c r="L385" s="82">
        <f t="shared" si="39"/>
        <v>0</v>
      </c>
      <c r="M385" s="82">
        <f t="shared" si="39"/>
        <v>0</v>
      </c>
      <c r="N385" s="82">
        <f t="shared" si="39"/>
        <v>1261735.9153766783</v>
      </c>
      <c r="O385" s="82">
        <f t="shared" si="39"/>
        <v>140000</v>
      </c>
      <c r="P385" s="82">
        <f t="shared" si="39"/>
        <v>1155000</v>
      </c>
      <c r="Q385" s="82">
        <f t="shared" si="39"/>
        <v>1105000</v>
      </c>
      <c r="R385" s="82">
        <f t="shared" si="39"/>
        <v>255000</v>
      </c>
      <c r="S385" s="82">
        <f t="shared" si="39"/>
        <v>232500</v>
      </c>
      <c r="T385" s="82">
        <f t="shared" si="39"/>
        <v>255000</v>
      </c>
    </row>
    <row r="386" spans="3:20" outlineLevel="1"/>
    <row r="387" spans="3:20" outlineLevel="1">
      <c r="C387" s="37" t="s">
        <v>286</v>
      </c>
    </row>
    <row r="388" spans="3:20" ht="5.9" customHeight="1" outlineLevel="1"/>
    <row r="389" spans="3:20" outlineLevel="1">
      <c r="D389" s="143" t="str">
        <f>Work_Codes!D309</f>
        <v>Customer Contributions Category 1</v>
      </c>
      <c r="J389" s="148">
        <v>0</v>
      </c>
      <c r="K389" s="148">
        <v>0</v>
      </c>
      <c r="L389" s="148">
        <v>0</v>
      </c>
      <c r="M389" s="148">
        <v>0</v>
      </c>
      <c r="N389" s="148">
        <v>0</v>
      </c>
      <c r="O389" s="148">
        <v>0</v>
      </c>
      <c r="P389" s="148">
        <v>0</v>
      </c>
      <c r="Q389" s="148">
        <v>0</v>
      </c>
      <c r="R389" s="148">
        <v>0</v>
      </c>
      <c r="S389" s="148">
        <v>0</v>
      </c>
      <c r="T389" s="148">
        <v>0</v>
      </c>
    </row>
    <row r="390" spans="3:20" ht="5.9" customHeight="1" outlineLevel="1"/>
    <row r="391" spans="3:20" outlineLevel="1">
      <c r="D391" s="249" t="str">
        <f>"Total "&amp;C387</f>
        <v>Total Customer Connections</v>
      </c>
      <c r="E391" s="249"/>
      <c r="F391" s="249"/>
      <c r="G391" s="249"/>
      <c r="H391" s="249"/>
      <c r="I391" s="249"/>
      <c r="J391" s="82">
        <f t="shared" ref="J391:T391" si="40">SUM(J389:J390)</f>
        <v>0</v>
      </c>
      <c r="K391" s="82">
        <f t="shared" si="40"/>
        <v>0</v>
      </c>
      <c r="L391" s="82">
        <f t="shared" si="40"/>
        <v>0</v>
      </c>
      <c r="M391" s="82">
        <f t="shared" si="40"/>
        <v>0</v>
      </c>
      <c r="N391" s="82">
        <f t="shared" si="40"/>
        <v>0</v>
      </c>
      <c r="O391" s="82">
        <f t="shared" si="40"/>
        <v>0</v>
      </c>
      <c r="P391" s="82">
        <f t="shared" si="40"/>
        <v>0</v>
      </c>
      <c r="Q391" s="82">
        <f t="shared" si="40"/>
        <v>0</v>
      </c>
      <c r="R391" s="82">
        <f t="shared" si="40"/>
        <v>0</v>
      </c>
      <c r="S391" s="82">
        <f t="shared" si="40"/>
        <v>0</v>
      </c>
      <c r="T391" s="82">
        <f t="shared" si="40"/>
        <v>0</v>
      </c>
    </row>
    <row r="392" spans="3:20" outlineLevel="1">
      <c r="C392" s="12"/>
      <c r="D392" s="12"/>
      <c r="E392" s="12"/>
      <c r="F392" s="12"/>
      <c r="G392" s="12"/>
      <c r="H392" s="12"/>
      <c r="I392" s="12"/>
      <c r="J392" s="12"/>
      <c r="K392" s="12"/>
      <c r="L392" s="12"/>
      <c r="M392" s="12"/>
      <c r="N392" s="12"/>
      <c r="O392" s="12"/>
      <c r="P392" s="12"/>
      <c r="Q392" s="12"/>
      <c r="R392" s="12"/>
      <c r="S392" s="12"/>
      <c r="T392" s="12"/>
    </row>
    <row r="393" spans="3:20" outlineLevel="1"/>
    <row r="394" spans="3:20" outlineLevel="1">
      <c r="C394" s="37" t="s">
        <v>213</v>
      </c>
    </row>
    <row r="395" spans="3:20" ht="5.9" hidden="1" customHeight="1" outlineLevel="2"/>
    <row r="396" spans="3:20" hidden="1" outlineLevel="2">
      <c r="C396" s="37" t="s">
        <v>128</v>
      </c>
    </row>
    <row r="397" spans="3:20" ht="5.9" hidden="1" customHeight="1" outlineLevel="2"/>
    <row r="398" spans="3:20" hidden="1" outlineLevel="2">
      <c r="D398" s="102" t="str">
        <f>Work_Codes!D297</f>
        <v>Fringe RTU Installation</v>
      </c>
      <c r="J398" s="81">
        <f>Work_Codes!$I297*J375*J$332</f>
        <v>0</v>
      </c>
      <c r="K398" s="81">
        <f>Work_Codes!$I297*K375*K$332</f>
        <v>0</v>
      </c>
      <c r="L398" s="81">
        <f>Work_Codes!$I297*L375*L$332</f>
        <v>0</v>
      </c>
      <c r="M398" s="81">
        <f>Work_Codes!$I297*M375*M$332</f>
        <v>0</v>
      </c>
      <c r="N398" s="81">
        <f>Work_Codes!$I297*N375*N$332</f>
        <v>0</v>
      </c>
      <c r="O398" s="81">
        <f>Work_Codes!$I297*O375*O$332</f>
        <v>0</v>
      </c>
      <c r="P398" s="81">
        <f>Work_Codes!$I297*P375*P$332</f>
        <v>1212.2762089686914</v>
      </c>
      <c r="Q398" s="81">
        <f>Work_Codes!$I297*Q375*Q$332</f>
        <v>1221.7287448131372</v>
      </c>
      <c r="R398" s="81">
        <f>Work_Codes!$I297*R375*R$332</f>
        <v>1235.1780823868905</v>
      </c>
      <c r="S398" s="81">
        <f>Work_Codes!$I297*S375*S$332</f>
        <v>1248.7754762963411</v>
      </c>
      <c r="T398" s="81">
        <f>Work_Codes!$I297*T375*T$332</f>
        <v>1262.5225564119876</v>
      </c>
    </row>
    <row r="399" spans="3:20" hidden="1" outlineLevel="2" collapsed="1">
      <c r="D399" s="174" t="str">
        <f>Work_Codes!D298</f>
        <v>Fringe RTU Relocation</v>
      </c>
      <c r="J399" s="81">
        <f>Work_Codes!$I298*J376*J$332</f>
        <v>0</v>
      </c>
      <c r="K399" s="81">
        <f>Work_Codes!$I298*K376*K$332</f>
        <v>0</v>
      </c>
      <c r="L399" s="81">
        <f>Work_Codes!$I298*L376*L$332</f>
        <v>0</v>
      </c>
      <c r="M399" s="81">
        <f>Work_Codes!$I298*M376*M$332</f>
        <v>0</v>
      </c>
      <c r="N399" s="81">
        <f>Work_Codes!$I298*N376*N$332</f>
        <v>0</v>
      </c>
      <c r="O399" s="81">
        <f>Work_Codes!$I298*O376*O$332</f>
        <v>0</v>
      </c>
      <c r="P399" s="81">
        <f>Work_Codes!$I298*P376*P$332</f>
        <v>757.67263060543212</v>
      </c>
      <c r="Q399" s="81">
        <f>Work_Codes!$I298*Q376*Q$332</f>
        <v>0</v>
      </c>
      <c r="R399" s="81">
        <f>Work_Codes!$I298*R376*R$332</f>
        <v>771.98630149180667</v>
      </c>
      <c r="S399" s="81">
        <f>Work_Codes!$I298*S376*S$332</f>
        <v>0</v>
      </c>
      <c r="T399" s="81">
        <f>Work_Codes!$I298*T376*T$332</f>
        <v>789.07659775749221</v>
      </c>
    </row>
    <row r="400" spans="3:20" hidden="1" outlineLevel="2">
      <c r="D400" s="174" t="str">
        <f>Work_Codes!D299</f>
        <v>Kingfisher PC-1 Replacement</v>
      </c>
      <c r="J400" s="81">
        <f>Work_Codes!$I299*J377*J$332</f>
        <v>0</v>
      </c>
      <c r="K400" s="81">
        <f>Work_Codes!$I299*K377*K$332</f>
        <v>0</v>
      </c>
      <c r="L400" s="81">
        <f>Work_Codes!$I299*L377*L$332</f>
        <v>0</v>
      </c>
      <c r="M400" s="81">
        <f>Work_Codes!$I299*M377*M$332</f>
        <v>0</v>
      </c>
      <c r="N400" s="81">
        <f>Work_Codes!$I299*N377*N$332</f>
        <v>0</v>
      </c>
      <c r="O400" s="81">
        <f>Work_Codes!$I299*O377*O$332</f>
        <v>0</v>
      </c>
      <c r="P400" s="81">
        <f>Work_Codes!$I299*P377*P$332</f>
        <v>1818.414313453037</v>
      </c>
      <c r="Q400" s="81">
        <f>Work_Codes!$I299*Q377*Q$332</f>
        <v>1832.5931172197056</v>
      </c>
      <c r="R400" s="81">
        <f>Work_Codes!$I299*R377*R$332</f>
        <v>1852.7671235803359</v>
      </c>
      <c r="S400" s="81">
        <f>Work_Codes!$I299*S377*S$332</f>
        <v>1873.1632144445118</v>
      </c>
      <c r="T400" s="81">
        <f>Work_Codes!$I299*T377*T$332</f>
        <v>1893.7838346179813</v>
      </c>
    </row>
    <row r="401" spans="3:20" hidden="1" outlineLevel="2">
      <c r="D401" s="174" t="str">
        <f>Work_Codes!D300</f>
        <v>Moore Temperature Transmitter Replacement</v>
      </c>
      <c r="J401" s="81">
        <f>Work_Codes!$I300*J378*J$332</f>
        <v>0</v>
      </c>
      <c r="K401" s="81">
        <f>Work_Codes!$I300*K378*K$332</f>
        <v>0</v>
      </c>
      <c r="L401" s="81">
        <f>Work_Codes!$I300*L378*L$332</f>
        <v>0</v>
      </c>
      <c r="M401" s="81">
        <f>Work_Codes!$I300*M378*M$332</f>
        <v>0</v>
      </c>
      <c r="N401" s="81">
        <f>Work_Codes!$I300*N378*N$332</f>
        <v>0</v>
      </c>
      <c r="O401" s="81">
        <f>Work_Codes!$I300*O378*O$332</f>
        <v>0</v>
      </c>
      <c r="P401" s="81">
        <f>Work_Codes!$I300*P378*P$332</f>
        <v>227.30178918162963</v>
      </c>
      <c r="Q401" s="81">
        <f>Work_Codes!$I300*Q378*Q$332</f>
        <v>229.0741396524632</v>
      </c>
      <c r="R401" s="81">
        <f>Work_Codes!$I300*R378*R$332</f>
        <v>231.59589044754199</v>
      </c>
      <c r="S401" s="81">
        <f>Work_Codes!$I300*S378*S$332</f>
        <v>312.19386907408528</v>
      </c>
      <c r="T401" s="81">
        <f>Work_Codes!$I300*T378*T$332</f>
        <v>236.72297932724766</v>
      </c>
    </row>
    <row r="402" spans="3:20" hidden="1" outlineLevel="2">
      <c r="D402" s="174" t="str">
        <f>Work_Codes!D301</f>
        <v>Dossier Replacement</v>
      </c>
      <c r="J402" s="81">
        <f>Work_Codes!$I301*J379*J$332</f>
        <v>0</v>
      </c>
      <c r="K402" s="81">
        <f>Work_Codes!$I301*K379*K$332</f>
        <v>0</v>
      </c>
      <c r="L402" s="81">
        <f>Work_Codes!$I301*L379*L$332</f>
        <v>0</v>
      </c>
      <c r="M402" s="81">
        <f>Work_Codes!$I301*M379*M$332</f>
        <v>0</v>
      </c>
      <c r="N402" s="81">
        <f>Work_Codes!$I301*N379*N$332</f>
        <v>0</v>
      </c>
      <c r="O402" s="81">
        <f>Work_Codes!$I301*O379*O$332</f>
        <v>0</v>
      </c>
      <c r="P402" s="81">
        <f>Work_Codes!$I301*P379*P$332</f>
        <v>1212.2762089686914</v>
      </c>
      <c r="Q402" s="81">
        <f>Work_Codes!$I301*Q379*Q$332</f>
        <v>1221.7287448131372</v>
      </c>
      <c r="R402" s="81">
        <f>Work_Codes!$I301*R379*R$332</f>
        <v>1235.1780823868905</v>
      </c>
      <c r="S402" s="81">
        <f>Work_Codes!$I301*S379*S$332</f>
        <v>1248.7754762963411</v>
      </c>
      <c r="T402" s="81">
        <f>Work_Codes!$I301*T379*T$332</f>
        <v>1262.5225564119876</v>
      </c>
    </row>
    <row r="403" spans="3:20" hidden="1" outlineLevel="2">
      <c r="D403" s="174" t="str">
        <f>Work_Codes!D302</f>
        <v>Slamshut Switch Replacement</v>
      </c>
      <c r="J403" s="81">
        <f>Work_Codes!$I302*J380*J$332</f>
        <v>0</v>
      </c>
      <c r="K403" s="81">
        <f>Work_Codes!$I302*K380*K$332</f>
        <v>0</v>
      </c>
      <c r="L403" s="81">
        <f>Work_Codes!$I302*L380*L$332</f>
        <v>0</v>
      </c>
      <c r="M403" s="81">
        <f>Work_Codes!$I302*M380*M$332</f>
        <v>0</v>
      </c>
      <c r="N403" s="81">
        <f>Work_Codes!$I302*N380*N$332</f>
        <v>0</v>
      </c>
      <c r="O403" s="81">
        <f>Work_Codes!$I302*O380*O$332</f>
        <v>0</v>
      </c>
      <c r="P403" s="81">
        <f>Work_Codes!$I302*P380*P$332</f>
        <v>742.51917799332341</v>
      </c>
      <c r="Q403" s="81">
        <f>Work_Codes!$I302*Q380*Q$332</f>
        <v>748.30885619804644</v>
      </c>
      <c r="R403" s="81">
        <f>Work_Codes!$I302*R380*R$332</f>
        <v>756.54657546197052</v>
      </c>
      <c r="S403" s="81">
        <f>Work_Codes!$I302*S380*S$332</f>
        <v>764.87497923150897</v>
      </c>
      <c r="T403" s="81">
        <f>Work_Codes!$I302*T380*T$332</f>
        <v>773.29506580234238</v>
      </c>
    </row>
    <row r="404" spans="3:20" hidden="1" outlineLevel="2">
      <c r="D404" s="174" t="str">
        <f>Work_Codes!D303</f>
        <v>Cabinet Replacement</v>
      </c>
      <c r="J404" s="81">
        <f>Work_Codes!$I303*J381*J$332</f>
        <v>0</v>
      </c>
      <c r="K404" s="81">
        <f>Work_Codes!$I303*K381*K$332</f>
        <v>0</v>
      </c>
      <c r="L404" s="81">
        <f>Work_Codes!$I303*L381*L$332</f>
        <v>0</v>
      </c>
      <c r="M404" s="81">
        <f>Work_Codes!$I303*M381*M$332</f>
        <v>0</v>
      </c>
      <c r="N404" s="81">
        <f>Work_Codes!$I303*N381*N$332</f>
        <v>0</v>
      </c>
      <c r="O404" s="81">
        <f>Work_Codes!$I303*O381*O$332</f>
        <v>0</v>
      </c>
      <c r="P404" s="81">
        <f>Work_Codes!$I303*P381*P$332</f>
        <v>848.59334627808391</v>
      </c>
      <c r="Q404" s="81">
        <f>Work_Codes!$I303*Q381*Q$332</f>
        <v>855.21012136919592</v>
      </c>
      <c r="R404" s="81">
        <f>Work_Codes!$I303*R381*R$332</f>
        <v>864.62465767082347</v>
      </c>
      <c r="S404" s="81">
        <f>Work_Codes!$I303*S381*S$332</f>
        <v>874.14283340743884</v>
      </c>
      <c r="T404" s="81">
        <f>Work_Codes!$I303*T381*T$332</f>
        <v>883.76578948839119</v>
      </c>
    </row>
    <row r="405" spans="3:20" hidden="1" outlineLevel="2">
      <c r="D405" s="174" t="str">
        <f>Work_Codes!D304</f>
        <v>Remote Pressure Monitoring Unit</v>
      </c>
      <c r="J405" s="81">
        <f>Work_Codes!$I304*J382*J$332</f>
        <v>0</v>
      </c>
      <c r="K405" s="81">
        <f>Work_Codes!$I304*K382*K$332</f>
        <v>0</v>
      </c>
      <c r="L405" s="81">
        <f>Work_Codes!$I304*L382*L$332</f>
        <v>0</v>
      </c>
      <c r="M405" s="81">
        <f>Work_Codes!$I304*M382*M$332</f>
        <v>0</v>
      </c>
      <c r="N405" s="81">
        <f>Work_Codes!$I304*N382*N$332</f>
        <v>0</v>
      </c>
      <c r="O405" s="81">
        <f>Work_Codes!$I304*O382*O$332</f>
        <v>0</v>
      </c>
      <c r="P405" s="81">
        <f>Work_Codes!$I304*P382*P$332</f>
        <v>909.20715672651852</v>
      </c>
      <c r="Q405" s="81">
        <f>Work_Codes!$I304*Q382*Q$332</f>
        <v>916.29655860985281</v>
      </c>
      <c r="R405" s="81">
        <f>Work_Codes!$I304*R382*R$332</f>
        <v>926.38356179016796</v>
      </c>
      <c r="S405" s="81">
        <f>Work_Codes!$I304*S382*S$332</f>
        <v>936.58160722225591</v>
      </c>
      <c r="T405" s="81">
        <f>Work_Codes!$I304*T382*T$332</f>
        <v>946.89191730899063</v>
      </c>
    </row>
    <row r="406" spans="3:20" hidden="1" outlineLevel="2">
      <c r="D406" s="102" t="str">
        <f>Work_Codes!D305</f>
        <v>SCADA Category 2</v>
      </c>
      <c r="J406" s="81">
        <f>Work_Codes!$I305*J383*J$332</f>
        <v>0</v>
      </c>
      <c r="K406" s="81">
        <f>Work_Codes!$I305*K383*K$332</f>
        <v>0</v>
      </c>
      <c r="L406" s="81">
        <f>Work_Codes!$I305*L383*L$332</f>
        <v>0</v>
      </c>
      <c r="M406" s="81">
        <f>Work_Codes!$I305*M383*M$332</f>
        <v>0</v>
      </c>
      <c r="N406" s="81">
        <f>Work_Codes!$I305*N383*N$332</f>
        <v>37852.077461300352</v>
      </c>
      <c r="O406" s="81">
        <f>Work_Codes!$I305*O383*O$332</f>
        <v>4221.822879002968</v>
      </c>
      <c r="P406" s="81">
        <f>Work_Codes!$I305*P383*P$332</f>
        <v>27276.214701795558</v>
      </c>
      <c r="Q406" s="81">
        <f>Work_Codes!$I305*Q383*Q$332</f>
        <v>26725.316292787375</v>
      </c>
      <c r="R406" s="81">
        <f>Work_Codes!$I305*R383*R$332</f>
        <v>0</v>
      </c>
      <c r="S406" s="81">
        <f>Work_Codes!$I305*S383*S$332</f>
        <v>0</v>
      </c>
      <c r="T406" s="81">
        <f>Work_Codes!$I305*T383*T$332</f>
        <v>0</v>
      </c>
    </row>
    <row r="407" spans="3:20" ht="5.9" hidden="1" customHeight="1" outlineLevel="2"/>
    <row r="408" spans="3:20" hidden="1" outlineLevel="2">
      <c r="D408" s="249" t="str">
        <f>"Total "&amp;C396</f>
        <v>Total Internal Labour</v>
      </c>
      <c r="E408" s="249"/>
      <c r="F408" s="249"/>
      <c r="G408" s="249"/>
      <c r="H408" s="249"/>
      <c r="I408" s="249"/>
      <c r="J408" s="82">
        <f t="shared" ref="J408:T408" si="41">SUM(J398:J407)</f>
        <v>0</v>
      </c>
      <c r="K408" s="82">
        <f t="shared" si="41"/>
        <v>0</v>
      </c>
      <c r="L408" s="82">
        <f t="shared" si="41"/>
        <v>0</v>
      </c>
      <c r="M408" s="82">
        <f t="shared" si="41"/>
        <v>0</v>
      </c>
      <c r="N408" s="82">
        <f t="shared" si="41"/>
        <v>37852.077461300352</v>
      </c>
      <c r="O408" s="82">
        <f t="shared" si="41"/>
        <v>4221.822879002968</v>
      </c>
      <c r="P408" s="82">
        <f t="shared" si="41"/>
        <v>35004.475533970966</v>
      </c>
      <c r="Q408" s="82">
        <f t="shared" si="41"/>
        <v>33750.25657546291</v>
      </c>
      <c r="R408" s="82">
        <f t="shared" si="41"/>
        <v>7874.2602752164275</v>
      </c>
      <c r="S408" s="82">
        <f t="shared" si="41"/>
        <v>7258.5074559724835</v>
      </c>
      <c r="T408" s="82">
        <f t="shared" si="41"/>
        <v>8048.5812971264195</v>
      </c>
    </row>
    <row r="409" spans="3:20" hidden="1" outlineLevel="2"/>
    <row r="410" spans="3:20" hidden="1" outlineLevel="2">
      <c r="C410" s="37" t="s">
        <v>129</v>
      </c>
    </row>
    <row r="411" spans="3:20" ht="5.9" hidden="1" customHeight="1" outlineLevel="2"/>
    <row r="412" spans="3:20" hidden="1" outlineLevel="2">
      <c r="D412" s="102" t="str">
        <f>Work_Codes!D297</f>
        <v>Fringe RTU Installation</v>
      </c>
      <c r="J412" s="81">
        <f>Work_Codes!$J297*J375*J$333</f>
        <v>0</v>
      </c>
      <c r="K412" s="81">
        <f>Work_Codes!$J297*K375*K$333</f>
        <v>0</v>
      </c>
      <c r="L412" s="81">
        <f>Work_Codes!$J297*L375*L$333</f>
        <v>0</v>
      </c>
      <c r="M412" s="81">
        <f>Work_Codes!$J297*M375*M$333</f>
        <v>0</v>
      </c>
      <c r="N412" s="81">
        <f>Work_Codes!$J297*N375*N$333</f>
        <v>0</v>
      </c>
      <c r="O412" s="81">
        <f>Work_Codes!$J297*O375*O$333</f>
        <v>0</v>
      </c>
      <c r="P412" s="81">
        <f>Work_Codes!$J297*P375*P$333</f>
        <v>22799.999999999996</v>
      </c>
      <c r="Q412" s="81">
        <f>Work_Codes!$J297*Q375*Q$333</f>
        <v>22799.999999999996</v>
      </c>
      <c r="R412" s="81">
        <f>Work_Codes!$J297*R375*R$333</f>
        <v>22799.999999999996</v>
      </c>
      <c r="S412" s="81">
        <f>Work_Codes!$J297*S375*S$333</f>
        <v>22799.999999999996</v>
      </c>
      <c r="T412" s="81">
        <f>Work_Codes!$J297*T375*T$333</f>
        <v>22799.999999999996</v>
      </c>
    </row>
    <row r="413" spans="3:20" hidden="1" outlineLevel="2">
      <c r="D413" s="174" t="str">
        <f>Work_Codes!D298</f>
        <v>Fringe RTU Relocation</v>
      </c>
      <c r="J413" s="81">
        <f>Work_Codes!$J298*J376*J$333</f>
        <v>0</v>
      </c>
      <c r="K413" s="81">
        <f>Work_Codes!$J298*K376*K$333</f>
        <v>0</v>
      </c>
      <c r="L413" s="81">
        <f>Work_Codes!$J298*L376*L$333</f>
        <v>0</v>
      </c>
      <c r="M413" s="81">
        <f>Work_Codes!$J298*M376*M$333</f>
        <v>0</v>
      </c>
      <c r="N413" s="81">
        <f>Work_Codes!$J298*N376*N$333</f>
        <v>0</v>
      </c>
      <c r="O413" s="81">
        <f>Work_Codes!$J298*O376*O$333</f>
        <v>0</v>
      </c>
      <c r="P413" s="81">
        <f>Work_Codes!$J298*P376*P$333</f>
        <v>14249.999999999998</v>
      </c>
      <c r="Q413" s="81">
        <f>Work_Codes!$J298*Q376*Q$333</f>
        <v>0</v>
      </c>
      <c r="R413" s="81">
        <f>Work_Codes!$J298*R376*R$333</f>
        <v>14249.999999999998</v>
      </c>
      <c r="S413" s="81">
        <f>Work_Codes!$J298*S376*S$333</f>
        <v>0</v>
      </c>
      <c r="T413" s="81">
        <f>Work_Codes!$J298*T376*T$333</f>
        <v>14249.999999999998</v>
      </c>
    </row>
    <row r="414" spans="3:20" hidden="1" outlineLevel="2">
      <c r="D414" s="174" t="str">
        <f>Work_Codes!D299</f>
        <v>Kingfisher PC-1 Replacement</v>
      </c>
      <c r="J414" s="81">
        <f>Work_Codes!$J299*J377*J$333</f>
        <v>0</v>
      </c>
      <c r="K414" s="81">
        <f>Work_Codes!$J299*K377*K$333</f>
        <v>0</v>
      </c>
      <c r="L414" s="81">
        <f>Work_Codes!$J299*L377*L$333</f>
        <v>0</v>
      </c>
      <c r="M414" s="81">
        <f>Work_Codes!$J299*M377*M$333</f>
        <v>0</v>
      </c>
      <c r="N414" s="81">
        <f>Work_Codes!$J299*N377*N$333</f>
        <v>0</v>
      </c>
      <c r="O414" s="81">
        <f>Work_Codes!$J299*O377*O$333</f>
        <v>0</v>
      </c>
      <c r="P414" s="81">
        <f>Work_Codes!$J299*P377*P$333</f>
        <v>34200</v>
      </c>
      <c r="Q414" s="81">
        <f>Work_Codes!$J299*Q377*Q$333</f>
        <v>34200</v>
      </c>
      <c r="R414" s="81">
        <f>Work_Codes!$J299*R377*R$333</f>
        <v>34200</v>
      </c>
      <c r="S414" s="81">
        <f>Work_Codes!$J299*S377*S$333</f>
        <v>34200</v>
      </c>
      <c r="T414" s="81">
        <f>Work_Codes!$J299*T377*T$333</f>
        <v>34200</v>
      </c>
    </row>
    <row r="415" spans="3:20" hidden="1" outlineLevel="2">
      <c r="D415" s="174" t="str">
        <f>Work_Codes!D300</f>
        <v>Moore Temperature Transmitter Replacement</v>
      </c>
      <c r="J415" s="81">
        <f>Work_Codes!$J300*J378*J$333</f>
        <v>0</v>
      </c>
      <c r="K415" s="81">
        <f>Work_Codes!$J300*K378*K$333</f>
        <v>0</v>
      </c>
      <c r="L415" s="81">
        <f>Work_Codes!$J300*L378*L$333</f>
        <v>0</v>
      </c>
      <c r="M415" s="81">
        <f>Work_Codes!$J300*M378*M$333</f>
        <v>0</v>
      </c>
      <c r="N415" s="81">
        <f>Work_Codes!$J300*N378*N$333</f>
        <v>0</v>
      </c>
      <c r="O415" s="81">
        <f>Work_Codes!$J300*O378*O$333</f>
        <v>0</v>
      </c>
      <c r="P415" s="81">
        <f>Work_Codes!$J300*P378*P$333</f>
        <v>4275</v>
      </c>
      <c r="Q415" s="81">
        <f>Work_Codes!$J300*Q378*Q$333</f>
        <v>4275</v>
      </c>
      <c r="R415" s="81">
        <f>Work_Codes!$J300*R378*R$333</f>
        <v>4275</v>
      </c>
      <c r="S415" s="81">
        <f>Work_Codes!$J300*S378*S$333</f>
        <v>5699.9999999999991</v>
      </c>
      <c r="T415" s="81">
        <f>Work_Codes!$J300*T378*T$333</f>
        <v>4275</v>
      </c>
    </row>
    <row r="416" spans="3:20" hidden="1" outlineLevel="2">
      <c r="D416" s="174" t="str">
        <f>Work_Codes!D301</f>
        <v>Dossier Replacement</v>
      </c>
      <c r="J416" s="81">
        <f>Work_Codes!$J301*J379*J$333</f>
        <v>0</v>
      </c>
      <c r="K416" s="81">
        <f>Work_Codes!$J301*K379*K$333</f>
        <v>0</v>
      </c>
      <c r="L416" s="81">
        <f>Work_Codes!$J301*L379*L$333</f>
        <v>0</v>
      </c>
      <c r="M416" s="81">
        <f>Work_Codes!$J301*M379*M$333</f>
        <v>0</v>
      </c>
      <c r="N416" s="81">
        <f>Work_Codes!$J301*N379*N$333</f>
        <v>0</v>
      </c>
      <c r="O416" s="81">
        <f>Work_Codes!$J301*O379*O$333</f>
        <v>0</v>
      </c>
      <c r="P416" s="81">
        <f>Work_Codes!$J301*P379*P$333</f>
        <v>22799.999999999996</v>
      </c>
      <c r="Q416" s="81">
        <f>Work_Codes!$J301*Q379*Q$333</f>
        <v>22799.999999999996</v>
      </c>
      <c r="R416" s="81">
        <f>Work_Codes!$J301*R379*R$333</f>
        <v>22799.999999999996</v>
      </c>
      <c r="S416" s="81">
        <f>Work_Codes!$J301*S379*S$333</f>
        <v>22799.999999999996</v>
      </c>
      <c r="T416" s="81">
        <f>Work_Codes!$J301*T379*T$333</f>
        <v>22799.999999999996</v>
      </c>
    </row>
    <row r="417" spans="3:20" hidden="1" outlineLevel="2">
      <c r="D417" s="174" t="str">
        <f>Work_Codes!D302</f>
        <v>Slamshut Switch Replacement</v>
      </c>
      <c r="J417" s="81">
        <f>Work_Codes!$J302*J380*J$333</f>
        <v>0</v>
      </c>
      <c r="K417" s="81">
        <f>Work_Codes!$J302*K380*K$333</f>
        <v>0</v>
      </c>
      <c r="L417" s="81">
        <f>Work_Codes!$J302*L380*L$333</f>
        <v>0</v>
      </c>
      <c r="M417" s="81">
        <f>Work_Codes!$J302*M380*M$333</f>
        <v>0</v>
      </c>
      <c r="N417" s="81">
        <f>Work_Codes!$J302*N380*N$333</f>
        <v>0</v>
      </c>
      <c r="O417" s="81">
        <f>Work_Codes!$J302*O380*O$333</f>
        <v>0</v>
      </c>
      <c r="P417" s="81">
        <f>Work_Codes!$J302*P380*P$333</f>
        <v>13964.999999999998</v>
      </c>
      <c r="Q417" s="81">
        <f>Work_Codes!$J302*Q380*Q$333</f>
        <v>13964.999999999998</v>
      </c>
      <c r="R417" s="81">
        <f>Work_Codes!$J302*R380*R$333</f>
        <v>13964.999999999998</v>
      </c>
      <c r="S417" s="81">
        <f>Work_Codes!$J302*S380*S$333</f>
        <v>13964.999999999998</v>
      </c>
      <c r="T417" s="81">
        <f>Work_Codes!$J302*T380*T$333</f>
        <v>13964.999999999998</v>
      </c>
    </row>
    <row r="418" spans="3:20" hidden="1" outlineLevel="2">
      <c r="D418" s="174" t="str">
        <f>Work_Codes!D303</f>
        <v>Cabinet Replacement</v>
      </c>
      <c r="J418" s="81">
        <f>Work_Codes!$J303*J381*J$333</f>
        <v>0</v>
      </c>
      <c r="K418" s="81">
        <f>Work_Codes!$J303*K381*K$333</f>
        <v>0</v>
      </c>
      <c r="L418" s="81">
        <f>Work_Codes!$J303*L381*L$333</f>
        <v>0</v>
      </c>
      <c r="M418" s="81">
        <f>Work_Codes!$J303*M381*M$333</f>
        <v>0</v>
      </c>
      <c r="N418" s="81">
        <f>Work_Codes!$J303*N381*N$333</f>
        <v>0</v>
      </c>
      <c r="O418" s="81">
        <f>Work_Codes!$J303*O381*O$333</f>
        <v>0</v>
      </c>
      <c r="P418" s="81">
        <f>Work_Codes!$J303*P381*P$333</f>
        <v>15959.999999999998</v>
      </c>
      <c r="Q418" s="81">
        <f>Work_Codes!$J303*Q381*Q$333</f>
        <v>15959.999999999998</v>
      </c>
      <c r="R418" s="81">
        <f>Work_Codes!$J303*R381*R$333</f>
        <v>15959.999999999998</v>
      </c>
      <c r="S418" s="81">
        <f>Work_Codes!$J303*S381*S$333</f>
        <v>15959.999999999998</v>
      </c>
      <c r="T418" s="81">
        <f>Work_Codes!$J303*T381*T$333</f>
        <v>15959.999999999998</v>
      </c>
    </row>
    <row r="419" spans="3:20" hidden="1" outlineLevel="2">
      <c r="D419" s="174" t="str">
        <f>Work_Codes!D304</f>
        <v>Remote Pressure Monitoring Unit</v>
      </c>
      <c r="J419" s="81">
        <f>Work_Codes!$J304*J382*J$333</f>
        <v>0</v>
      </c>
      <c r="K419" s="81">
        <f>Work_Codes!$J304*K382*K$333</f>
        <v>0</v>
      </c>
      <c r="L419" s="81">
        <f>Work_Codes!$J304*L382*L$333</f>
        <v>0</v>
      </c>
      <c r="M419" s="81">
        <f>Work_Codes!$J304*M382*M$333</f>
        <v>0</v>
      </c>
      <c r="N419" s="81">
        <f>Work_Codes!$J304*N382*N$333</f>
        <v>0</v>
      </c>
      <c r="O419" s="81">
        <f>Work_Codes!$J304*O382*O$333</f>
        <v>0</v>
      </c>
      <c r="P419" s="81">
        <f>Work_Codes!$J304*P382*P$333</f>
        <v>17100</v>
      </c>
      <c r="Q419" s="81">
        <f>Work_Codes!$J304*Q382*Q$333</f>
        <v>17100</v>
      </c>
      <c r="R419" s="81">
        <f>Work_Codes!$J304*R382*R$333</f>
        <v>17100</v>
      </c>
      <c r="S419" s="81">
        <f>Work_Codes!$J304*S382*S$333</f>
        <v>17100</v>
      </c>
      <c r="T419" s="81">
        <f>Work_Codes!$J304*T382*T$333</f>
        <v>17100</v>
      </c>
    </row>
    <row r="420" spans="3:20" hidden="1" outlineLevel="2">
      <c r="D420" s="102" t="str">
        <f>Work_Codes!D305</f>
        <v>SCADA Category 2</v>
      </c>
      <c r="J420" s="81">
        <f>Work_Codes!$J305*J383*J$333</f>
        <v>0</v>
      </c>
      <c r="K420" s="81">
        <f>Work_Codes!$J305*K383*K$333</f>
        <v>0</v>
      </c>
      <c r="L420" s="81">
        <f>Work_Codes!$J305*L383*L$333</f>
        <v>0</v>
      </c>
      <c r="M420" s="81">
        <f>Work_Codes!$J305*M383*M$333</f>
        <v>0</v>
      </c>
      <c r="N420" s="81">
        <f>Work_Codes!$J305*N383*N$333</f>
        <v>719189.47176470654</v>
      </c>
      <c r="O420" s="81">
        <f>Work_Codes!$J305*O383*O$333</f>
        <v>79800</v>
      </c>
      <c r="P420" s="81">
        <f>Work_Codes!$J305*P383*P$333</f>
        <v>512999.99999999994</v>
      </c>
      <c r="Q420" s="81">
        <f>Work_Codes!$J305*Q383*Q$333</f>
        <v>498749.99999999994</v>
      </c>
      <c r="R420" s="81">
        <f>Work_Codes!$J305*R383*R$333</f>
        <v>0</v>
      </c>
      <c r="S420" s="81">
        <f>Work_Codes!$J305*S383*S$333</f>
        <v>0</v>
      </c>
      <c r="T420" s="81">
        <f>Work_Codes!$J305*T383*T$333</f>
        <v>0</v>
      </c>
    </row>
    <row r="421" spans="3:20" ht="5.9" hidden="1" customHeight="1" outlineLevel="2"/>
    <row r="422" spans="3:20" hidden="1" outlineLevel="2">
      <c r="D422" s="249" t="str">
        <f>"Total "&amp;C410</f>
        <v>Total External Labour</v>
      </c>
      <c r="E422" s="249"/>
      <c r="F422" s="249"/>
      <c r="G422" s="249"/>
      <c r="H422" s="249"/>
      <c r="I422" s="249"/>
      <c r="J422" s="82">
        <f t="shared" ref="J422:T422" si="42">SUM(J412:J421)</f>
        <v>0</v>
      </c>
      <c r="K422" s="82">
        <f t="shared" si="42"/>
        <v>0</v>
      </c>
      <c r="L422" s="82">
        <f t="shared" si="42"/>
        <v>0</v>
      </c>
      <c r="M422" s="82">
        <f t="shared" si="42"/>
        <v>0</v>
      </c>
      <c r="N422" s="82">
        <f t="shared" si="42"/>
        <v>719189.47176470654</v>
      </c>
      <c r="O422" s="82">
        <f t="shared" si="42"/>
        <v>79800</v>
      </c>
      <c r="P422" s="82">
        <f t="shared" si="42"/>
        <v>658350</v>
      </c>
      <c r="Q422" s="82">
        <f t="shared" si="42"/>
        <v>629850</v>
      </c>
      <c r="R422" s="82">
        <f t="shared" si="42"/>
        <v>145350</v>
      </c>
      <c r="S422" s="82">
        <f t="shared" si="42"/>
        <v>132525</v>
      </c>
      <c r="T422" s="82">
        <f t="shared" si="42"/>
        <v>145350</v>
      </c>
    </row>
    <row r="423" spans="3:20" hidden="1" outlineLevel="2"/>
    <row r="424" spans="3:20" hidden="1" outlineLevel="2">
      <c r="C424" s="37" t="s">
        <v>130</v>
      </c>
    </row>
    <row r="425" spans="3:20" ht="5.9" hidden="1" customHeight="1" outlineLevel="2"/>
    <row r="426" spans="3:20" hidden="1" outlineLevel="2">
      <c r="D426" s="102" t="str">
        <f>Work_Codes!D297</f>
        <v>Fringe RTU Installation</v>
      </c>
      <c r="J426" s="81">
        <f>Work_Codes!$K297*J375*J$334</f>
        <v>0</v>
      </c>
      <c r="K426" s="81">
        <f>Work_Codes!$K297*K375*K$334</f>
        <v>0</v>
      </c>
      <c r="L426" s="81">
        <f>Work_Codes!$K297*L375*L$334</f>
        <v>0</v>
      </c>
      <c r="M426" s="81">
        <f>Work_Codes!$K297*M375*M$334</f>
        <v>0</v>
      </c>
      <c r="N426" s="81">
        <f>Work_Codes!$K297*N375*N$334</f>
        <v>0</v>
      </c>
      <c r="O426" s="81">
        <f>Work_Codes!$K297*O375*O$334</f>
        <v>0</v>
      </c>
      <c r="P426" s="81">
        <f>Work_Codes!$K297*P375*P$334</f>
        <v>16000</v>
      </c>
      <c r="Q426" s="81">
        <f>Work_Codes!$K297*Q375*Q$334</f>
        <v>16000</v>
      </c>
      <c r="R426" s="81">
        <f>Work_Codes!$K297*R375*R$334</f>
        <v>16000</v>
      </c>
      <c r="S426" s="81">
        <f>Work_Codes!$K297*S375*S$334</f>
        <v>16000</v>
      </c>
      <c r="T426" s="81">
        <f>Work_Codes!$K297*T375*T$334</f>
        <v>16000</v>
      </c>
    </row>
    <row r="427" spans="3:20" hidden="1" outlineLevel="2">
      <c r="D427" s="174" t="str">
        <f>Work_Codes!D298</f>
        <v>Fringe RTU Relocation</v>
      </c>
      <c r="J427" s="81">
        <f>Work_Codes!$K298*J376*J$334</f>
        <v>0</v>
      </c>
      <c r="K427" s="81">
        <f>Work_Codes!$K298*K376*K$334</f>
        <v>0</v>
      </c>
      <c r="L427" s="81">
        <f>Work_Codes!$K298*L376*L$334</f>
        <v>0</v>
      </c>
      <c r="M427" s="81">
        <f>Work_Codes!$K298*M376*M$334</f>
        <v>0</v>
      </c>
      <c r="N427" s="81">
        <f>Work_Codes!$K298*N376*N$334</f>
        <v>0</v>
      </c>
      <c r="O427" s="81">
        <f>Work_Codes!$K298*O376*O$334</f>
        <v>0</v>
      </c>
      <c r="P427" s="81">
        <f>Work_Codes!$K298*P376*P$334</f>
        <v>10000</v>
      </c>
      <c r="Q427" s="81">
        <f>Work_Codes!$K298*Q376*Q$334</f>
        <v>0</v>
      </c>
      <c r="R427" s="81">
        <f>Work_Codes!$K298*R376*R$334</f>
        <v>10000</v>
      </c>
      <c r="S427" s="81">
        <f>Work_Codes!$K298*S376*S$334</f>
        <v>0</v>
      </c>
      <c r="T427" s="81">
        <f>Work_Codes!$K298*T376*T$334</f>
        <v>10000</v>
      </c>
    </row>
    <row r="428" spans="3:20" hidden="1" outlineLevel="2">
      <c r="D428" s="174" t="str">
        <f>Work_Codes!D299</f>
        <v>Kingfisher PC-1 Replacement</v>
      </c>
      <c r="J428" s="81">
        <f>Work_Codes!$K299*J377*J$334</f>
        <v>0</v>
      </c>
      <c r="K428" s="81">
        <f>Work_Codes!$K299*K377*K$334</f>
        <v>0</v>
      </c>
      <c r="L428" s="81">
        <f>Work_Codes!$K299*L377*L$334</f>
        <v>0</v>
      </c>
      <c r="M428" s="81">
        <f>Work_Codes!$K299*M377*M$334</f>
        <v>0</v>
      </c>
      <c r="N428" s="81">
        <f>Work_Codes!$K299*N377*N$334</f>
        <v>0</v>
      </c>
      <c r="O428" s="81">
        <f>Work_Codes!$K299*O377*O$334</f>
        <v>0</v>
      </c>
      <c r="P428" s="81">
        <f>Work_Codes!$K299*P377*P$334</f>
        <v>24000</v>
      </c>
      <c r="Q428" s="81">
        <f>Work_Codes!$K299*Q377*Q$334</f>
        <v>24000</v>
      </c>
      <c r="R428" s="81">
        <f>Work_Codes!$K299*R377*R$334</f>
        <v>24000</v>
      </c>
      <c r="S428" s="81">
        <f>Work_Codes!$K299*S377*S$334</f>
        <v>24000</v>
      </c>
      <c r="T428" s="81">
        <f>Work_Codes!$K299*T377*T$334</f>
        <v>24000</v>
      </c>
    </row>
    <row r="429" spans="3:20" hidden="1" outlineLevel="2">
      <c r="D429" s="174" t="str">
        <f>Work_Codes!D300</f>
        <v>Moore Temperature Transmitter Replacement</v>
      </c>
      <c r="J429" s="81">
        <f>Work_Codes!$K300*J378*J$334</f>
        <v>0</v>
      </c>
      <c r="K429" s="81">
        <f>Work_Codes!$K300*K378*K$334</f>
        <v>0</v>
      </c>
      <c r="L429" s="81">
        <f>Work_Codes!$K300*L378*L$334</f>
        <v>0</v>
      </c>
      <c r="M429" s="81">
        <f>Work_Codes!$K300*M378*M$334</f>
        <v>0</v>
      </c>
      <c r="N429" s="81">
        <f>Work_Codes!$K300*N378*N$334</f>
        <v>0</v>
      </c>
      <c r="O429" s="81">
        <f>Work_Codes!$K300*O378*O$334</f>
        <v>0</v>
      </c>
      <c r="P429" s="81">
        <f>Work_Codes!$K300*P378*P$334</f>
        <v>3000</v>
      </c>
      <c r="Q429" s="81">
        <f>Work_Codes!$K300*Q378*Q$334</f>
        <v>3000</v>
      </c>
      <c r="R429" s="81">
        <f>Work_Codes!$K300*R378*R$334</f>
        <v>3000</v>
      </c>
      <c r="S429" s="81">
        <f>Work_Codes!$K300*S378*S$334</f>
        <v>4000</v>
      </c>
      <c r="T429" s="81">
        <f>Work_Codes!$K300*T378*T$334</f>
        <v>3000</v>
      </c>
    </row>
    <row r="430" spans="3:20" hidden="1" outlineLevel="2">
      <c r="D430" s="174" t="str">
        <f>Work_Codes!D301</f>
        <v>Dossier Replacement</v>
      </c>
      <c r="J430" s="81">
        <f>Work_Codes!$K301*J379*J$334</f>
        <v>0</v>
      </c>
      <c r="K430" s="81">
        <f>Work_Codes!$K301*K379*K$334</f>
        <v>0</v>
      </c>
      <c r="L430" s="81">
        <f>Work_Codes!$K301*L379*L$334</f>
        <v>0</v>
      </c>
      <c r="M430" s="81">
        <f>Work_Codes!$K301*M379*M$334</f>
        <v>0</v>
      </c>
      <c r="N430" s="81">
        <f>Work_Codes!$K301*N379*N$334</f>
        <v>0</v>
      </c>
      <c r="O430" s="81">
        <f>Work_Codes!$K301*O379*O$334</f>
        <v>0</v>
      </c>
      <c r="P430" s="81">
        <f>Work_Codes!$K301*P379*P$334</f>
        <v>16000</v>
      </c>
      <c r="Q430" s="81">
        <f>Work_Codes!$K301*Q379*Q$334</f>
        <v>16000</v>
      </c>
      <c r="R430" s="81">
        <f>Work_Codes!$K301*R379*R$334</f>
        <v>16000</v>
      </c>
      <c r="S430" s="81">
        <f>Work_Codes!$K301*S379*S$334</f>
        <v>16000</v>
      </c>
      <c r="T430" s="81">
        <f>Work_Codes!$K301*T379*T$334</f>
        <v>16000</v>
      </c>
    </row>
    <row r="431" spans="3:20" hidden="1" outlineLevel="2">
      <c r="D431" s="174" t="str">
        <f>Work_Codes!D302</f>
        <v>Slamshut Switch Replacement</v>
      </c>
      <c r="J431" s="81">
        <f>Work_Codes!$K302*J380*J$334</f>
        <v>0</v>
      </c>
      <c r="K431" s="81">
        <f>Work_Codes!$K302*K380*K$334</f>
        <v>0</v>
      </c>
      <c r="L431" s="81">
        <f>Work_Codes!$K302*L380*L$334</f>
        <v>0</v>
      </c>
      <c r="M431" s="81">
        <f>Work_Codes!$K302*M380*M$334</f>
        <v>0</v>
      </c>
      <c r="N431" s="81">
        <f>Work_Codes!$K302*N380*N$334</f>
        <v>0</v>
      </c>
      <c r="O431" s="81">
        <f>Work_Codes!$K302*O380*O$334</f>
        <v>0</v>
      </c>
      <c r="P431" s="81">
        <f>Work_Codes!$K302*P380*P$334</f>
        <v>9800</v>
      </c>
      <c r="Q431" s="81">
        <f>Work_Codes!$K302*Q380*Q$334</f>
        <v>9800</v>
      </c>
      <c r="R431" s="81">
        <f>Work_Codes!$K302*R380*R$334</f>
        <v>9800</v>
      </c>
      <c r="S431" s="81">
        <f>Work_Codes!$K302*S380*S$334</f>
        <v>9800</v>
      </c>
      <c r="T431" s="81">
        <f>Work_Codes!$K302*T380*T$334</f>
        <v>9800</v>
      </c>
    </row>
    <row r="432" spans="3:20" hidden="1" outlineLevel="2">
      <c r="D432" s="174" t="str">
        <f>Work_Codes!D303</f>
        <v>Cabinet Replacement</v>
      </c>
      <c r="J432" s="81">
        <f>Work_Codes!$K303*J381*J$334</f>
        <v>0</v>
      </c>
      <c r="K432" s="81">
        <f>Work_Codes!$K303*K381*K$334</f>
        <v>0</v>
      </c>
      <c r="L432" s="81">
        <f>Work_Codes!$K303*L381*L$334</f>
        <v>0</v>
      </c>
      <c r="M432" s="81">
        <f>Work_Codes!$K303*M381*M$334</f>
        <v>0</v>
      </c>
      <c r="N432" s="81">
        <f>Work_Codes!$K303*N381*N$334</f>
        <v>0</v>
      </c>
      <c r="O432" s="81">
        <f>Work_Codes!$K303*O381*O$334</f>
        <v>0</v>
      </c>
      <c r="P432" s="81">
        <f>Work_Codes!$K303*P381*P$334</f>
        <v>11200</v>
      </c>
      <c r="Q432" s="81">
        <f>Work_Codes!$K303*Q381*Q$334</f>
        <v>11200</v>
      </c>
      <c r="R432" s="81">
        <f>Work_Codes!$K303*R381*R$334</f>
        <v>11200</v>
      </c>
      <c r="S432" s="81">
        <f>Work_Codes!$K303*S381*S$334</f>
        <v>11200</v>
      </c>
      <c r="T432" s="81">
        <f>Work_Codes!$K303*T381*T$334</f>
        <v>11200</v>
      </c>
    </row>
    <row r="433" spans="3:20" hidden="1" outlineLevel="2">
      <c r="D433" s="174" t="str">
        <f>Work_Codes!D304</f>
        <v>Remote Pressure Monitoring Unit</v>
      </c>
      <c r="J433" s="81">
        <f>Work_Codes!$K304*J382*J$334</f>
        <v>0</v>
      </c>
      <c r="K433" s="81">
        <f>Work_Codes!$K304*K382*K$334</f>
        <v>0</v>
      </c>
      <c r="L433" s="81">
        <f>Work_Codes!$K304*L382*L$334</f>
        <v>0</v>
      </c>
      <c r="M433" s="81">
        <f>Work_Codes!$K304*M382*M$334</f>
        <v>0</v>
      </c>
      <c r="N433" s="81">
        <f>Work_Codes!$K304*N382*N$334</f>
        <v>0</v>
      </c>
      <c r="O433" s="81">
        <f>Work_Codes!$K304*O382*O$334</f>
        <v>0</v>
      </c>
      <c r="P433" s="81">
        <f>Work_Codes!$K304*P382*P$334</f>
        <v>12000</v>
      </c>
      <c r="Q433" s="81">
        <f>Work_Codes!$K304*Q382*Q$334</f>
        <v>12000</v>
      </c>
      <c r="R433" s="81">
        <f>Work_Codes!$K304*R382*R$334</f>
        <v>12000</v>
      </c>
      <c r="S433" s="81">
        <f>Work_Codes!$K304*S382*S$334</f>
        <v>12000</v>
      </c>
      <c r="T433" s="81">
        <f>Work_Codes!$K304*T382*T$334</f>
        <v>12000</v>
      </c>
    </row>
    <row r="434" spans="3:20" hidden="1" outlineLevel="2">
      <c r="D434" s="102" t="str">
        <f>Work_Codes!D305</f>
        <v>SCADA Category 2</v>
      </c>
      <c r="J434" s="81">
        <f>Work_Codes!$K305*J383*J$334</f>
        <v>0</v>
      </c>
      <c r="K434" s="81">
        <f>Work_Codes!$K305*K383*K$334</f>
        <v>0</v>
      </c>
      <c r="L434" s="81">
        <f>Work_Codes!$K305*L383*L$334</f>
        <v>0</v>
      </c>
      <c r="M434" s="81">
        <f>Work_Codes!$K305*M383*M$334</f>
        <v>0</v>
      </c>
      <c r="N434" s="81">
        <f>Work_Codes!$K305*N383*N$334</f>
        <v>504694.36615067138</v>
      </c>
      <c r="O434" s="81">
        <f>Work_Codes!$K305*O383*O$334</f>
        <v>56000</v>
      </c>
      <c r="P434" s="81">
        <f>Work_Codes!$K305*P383*P$334</f>
        <v>360000</v>
      </c>
      <c r="Q434" s="81">
        <f>Work_Codes!$K305*Q383*Q$334</f>
        <v>350000</v>
      </c>
      <c r="R434" s="81">
        <f>Work_Codes!$K305*R383*R$334</f>
        <v>0</v>
      </c>
      <c r="S434" s="81">
        <f>Work_Codes!$K305*S383*S$334</f>
        <v>0</v>
      </c>
      <c r="T434" s="81">
        <f>Work_Codes!$K305*T383*T$334</f>
        <v>0</v>
      </c>
    </row>
    <row r="435" spans="3:20" ht="5.9" hidden="1" customHeight="1" outlineLevel="2"/>
    <row r="436" spans="3:20" hidden="1" outlineLevel="2">
      <c r="D436" s="249" t="str">
        <f>"Total "&amp;C424</f>
        <v>Total Materials</v>
      </c>
      <c r="E436" s="249"/>
      <c r="F436" s="249"/>
      <c r="G436" s="249"/>
      <c r="H436" s="249"/>
      <c r="I436" s="249"/>
      <c r="J436" s="82">
        <f t="shared" ref="J436:T436" si="43">SUM(J426:J435)</f>
        <v>0</v>
      </c>
      <c r="K436" s="82">
        <f t="shared" si="43"/>
        <v>0</v>
      </c>
      <c r="L436" s="82">
        <f t="shared" si="43"/>
        <v>0</v>
      </c>
      <c r="M436" s="82">
        <f t="shared" si="43"/>
        <v>0</v>
      </c>
      <c r="N436" s="82">
        <f t="shared" si="43"/>
        <v>504694.36615067138</v>
      </c>
      <c r="O436" s="82">
        <f t="shared" si="43"/>
        <v>56000</v>
      </c>
      <c r="P436" s="82">
        <f t="shared" si="43"/>
        <v>462000</v>
      </c>
      <c r="Q436" s="82">
        <f t="shared" si="43"/>
        <v>442000</v>
      </c>
      <c r="R436" s="82">
        <f t="shared" si="43"/>
        <v>102000</v>
      </c>
      <c r="S436" s="82">
        <f t="shared" si="43"/>
        <v>93000</v>
      </c>
      <c r="T436" s="82">
        <f t="shared" si="43"/>
        <v>102000</v>
      </c>
    </row>
    <row r="437" spans="3:20" outlineLevel="1" collapsed="1"/>
    <row r="438" spans="3:20" outlineLevel="1">
      <c r="C438" s="37" t="s">
        <v>217</v>
      </c>
    </row>
    <row r="439" spans="3:20" ht="5.9" customHeight="1" outlineLevel="1"/>
    <row r="440" spans="3:20" outlineLevel="1">
      <c r="D440" s="102" t="str">
        <f>Work_Codes!D297</f>
        <v>Fringe RTU Installation</v>
      </c>
      <c r="J440" s="81">
        <f t="shared" ref="J440:T440" si="44">J398+J412+J426</f>
        <v>0</v>
      </c>
      <c r="K440" s="81">
        <f t="shared" si="44"/>
        <v>0</v>
      </c>
      <c r="L440" s="81">
        <f t="shared" si="44"/>
        <v>0</v>
      </c>
      <c r="M440" s="81">
        <f t="shared" si="44"/>
        <v>0</v>
      </c>
      <c r="N440" s="81">
        <f t="shared" si="44"/>
        <v>0</v>
      </c>
      <c r="O440" s="81">
        <f t="shared" si="44"/>
        <v>0</v>
      </c>
      <c r="P440" s="81">
        <f t="shared" si="44"/>
        <v>40012.276208968688</v>
      </c>
      <c r="Q440" s="81">
        <f t="shared" si="44"/>
        <v>40021.728744813132</v>
      </c>
      <c r="R440" s="81">
        <f t="shared" si="44"/>
        <v>40035.17808238689</v>
      </c>
      <c r="S440" s="81">
        <f t="shared" si="44"/>
        <v>40048.775476296338</v>
      </c>
      <c r="T440" s="81">
        <f t="shared" si="44"/>
        <v>40062.522556411983</v>
      </c>
    </row>
    <row r="441" spans="3:20" outlineLevel="1">
      <c r="D441" s="174" t="str">
        <f>Work_Codes!D298</f>
        <v>Fringe RTU Relocation</v>
      </c>
      <c r="J441" s="81">
        <f t="shared" ref="J441:T441" si="45">J399+J413+J427</f>
        <v>0</v>
      </c>
      <c r="K441" s="81">
        <f t="shared" si="45"/>
        <v>0</v>
      </c>
      <c r="L441" s="81">
        <f t="shared" si="45"/>
        <v>0</v>
      </c>
      <c r="M441" s="81">
        <f t="shared" si="45"/>
        <v>0</v>
      </c>
      <c r="N441" s="81">
        <f t="shared" si="45"/>
        <v>0</v>
      </c>
      <c r="O441" s="81">
        <f t="shared" si="45"/>
        <v>0</v>
      </c>
      <c r="P441" s="81">
        <f t="shared" si="45"/>
        <v>25007.67263060543</v>
      </c>
      <c r="Q441" s="81">
        <f t="shared" si="45"/>
        <v>0</v>
      </c>
      <c r="R441" s="81">
        <f t="shared" si="45"/>
        <v>25021.986301491805</v>
      </c>
      <c r="S441" s="81">
        <f t="shared" si="45"/>
        <v>0</v>
      </c>
      <c r="T441" s="81">
        <f t="shared" si="45"/>
        <v>25039.076597757492</v>
      </c>
    </row>
    <row r="442" spans="3:20" outlineLevel="1">
      <c r="D442" s="174" t="str">
        <f>Work_Codes!D299</f>
        <v>Kingfisher PC-1 Replacement</v>
      </c>
      <c r="J442" s="81">
        <f t="shared" ref="J442:T442" si="46">J400+J414+J428</f>
        <v>0</v>
      </c>
      <c r="K442" s="81">
        <f t="shared" si="46"/>
        <v>0</v>
      </c>
      <c r="L442" s="81">
        <f t="shared" si="46"/>
        <v>0</v>
      </c>
      <c r="M442" s="81">
        <f t="shared" si="46"/>
        <v>0</v>
      </c>
      <c r="N442" s="81">
        <f t="shared" si="46"/>
        <v>0</v>
      </c>
      <c r="O442" s="81">
        <f t="shared" si="46"/>
        <v>0</v>
      </c>
      <c r="P442" s="81">
        <f t="shared" si="46"/>
        <v>60018.414313453039</v>
      </c>
      <c r="Q442" s="81">
        <f t="shared" si="46"/>
        <v>60032.593117219709</v>
      </c>
      <c r="R442" s="81">
        <f t="shared" si="46"/>
        <v>60052.767123580335</v>
      </c>
      <c r="S442" s="81">
        <f t="shared" si="46"/>
        <v>60073.16321444451</v>
      </c>
      <c r="T442" s="81">
        <f t="shared" si="46"/>
        <v>60093.783834617978</v>
      </c>
    </row>
    <row r="443" spans="3:20" outlineLevel="1">
      <c r="D443" s="174" t="str">
        <f>Work_Codes!D300</f>
        <v>Moore Temperature Transmitter Replacement</v>
      </c>
      <c r="J443" s="81">
        <f t="shared" ref="J443:T443" si="47">J401+J415+J429</f>
        <v>0</v>
      </c>
      <c r="K443" s="81">
        <f t="shared" si="47"/>
        <v>0</v>
      </c>
      <c r="L443" s="81">
        <f t="shared" si="47"/>
        <v>0</v>
      </c>
      <c r="M443" s="81">
        <f t="shared" si="47"/>
        <v>0</v>
      </c>
      <c r="N443" s="81">
        <f t="shared" si="47"/>
        <v>0</v>
      </c>
      <c r="O443" s="81">
        <f t="shared" si="47"/>
        <v>0</v>
      </c>
      <c r="P443" s="81">
        <f t="shared" si="47"/>
        <v>7502.3017891816298</v>
      </c>
      <c r="Q443" s="81">
        <f t="shared" si="47"/>
        <v>7504.0741396524636</v>
      </c>
      <c r="R443" s="81">
        <f t="shared" si="47"/>
        <v>7506.5958904475419</v>
      </c>
      <c r="S443" s="81">
        <f t="shared" si="47"/>
        <v>10012.193869074084</v>
      </c>
      <c r="T443" s="81">
        <f t="shared" si="47"/>
        <v>7511.7229793272472</v>
      </c>
    </row>
    <row r="444" spans="3:20" outlineLevel="1">
      <c r="D444" s="174" t="str">
        <f>Work_Codes!D301</f>
        <v>Dossier Replacement</v>
      </c>
      <c r="J444" s="81">
        <f t="shared" ref="J444:T444" si="48">J402+J416+J430</f>
        <v>0</v>
      </c>
      <c r="K444" s="81">
        <f t="shared" si="48"/>
        <v>0</v>
      </c>
      <c r="L444" s="81">
        <f t="shared" si="48"/>
        <v>0</v>
      </c>
      <c r="M444" s="81">
        <f t="shared" si="48"/>
        <v>0</v>
      </c>
      <c r="N444" s="81">
        <f t="shared" si="48"/>
        <v>0</v>
      </c>
      <c r="O444" s="81">
        <f t="shared" si="48"/>
        <v>0</v>
      </c>
      <c r="P444" s="81">
        <f t="shared" si="48"/>
        <v>40012.276208968688</v>
      </c>
      <c r="Q444" s="81">
        <f t="shared" si="48"/>
        <v>40021.728744813132</v>
      </c>
      <c r="R444" s="81">
        <f t="shared" si="48"/>
        <v>40035.17808238689</v>
      </c>
      <c r="S444" s="81">
        <f t="shared" si="48"/>
        <v>40048.775476296338</v>
      </c>
      <c r="T444" s="81">
        <f t="shared" si="48"/>
        <v>40062.522556411983</v>
      </c>
    </row>
    <row r="445" spans="3:20" outlineLevel="1">
      <c r="D445" s="174" t="str">
        <f>Work_Codes!D302</f>
        <v>Slamshut Switch Replacement</v>
      </c>
      <c r="J445" s="81">
        <f t="shared" ref="J445:T445" si="49">J403+J417+J431</f>
        <v>0</v>
      </c>
      <c r="K445" s="81">
        <f t="shared" si="49"/>
        <v>0</v>
      </c>
      <c r="L445" s="81">
        <f t="shared" si="49"/>
        <v>0</v>
      </c>
      <c r="M445" s="81">
        <f t="shared" si="49"/>
        <v>0</v>
      </c>
      <c r="N445" s="81">
        <f t="shared" si="49"/>
        <v>0</v>
      </c>
      <c r="O445" s="81">
        <f t="shared" si="49"/>
        <v>0</v>
      </c>
      <c r="P445" s="81">
        <f t="shared" si="49"/>
        <v>24507.519177993323</v>
      </c>
      <c r="Q445" s="81">
        <f t="shared" si="49"/>
        <v>24513.308856198044</v>
      </c>
      <c r="R445" s="81">
        <f t="shared" si="49"/>
        <v>24521.546575461969</v>
      </c>
      <c r="S445" s="81">
        <f t="shared" si="49"/>
        <v>24529.874979231507</v>
      </c>
      <c r="T445" s="81">
        <f t="shared" si="49"/>
        <v>24538.29506580234</v>
      </c>
    </row>
    <row r="446" spans="3:20" outlineLevel="1">
      <c r="D446" s="174" t="str">
        <f>Work_Codes!D303</f>
        <v>Cabinet Replacement</v>
      </c>
      <c r="J446" s="81">
        <f t="shared" ref="J446:T446" si="50">J404+J418+J432</f>
        <v>0</v>
      </c>
      <c r="K446" s="81">
        <f t="shared" si="50"/>
        <v>0</v>
      </c>
      <c r="L446" s="81">
        <f t="shared" si="50"/>
        <v>0</v>
      </c>
      <c r="M446" s="81">
        <f t="shared" si="50"/>
        <v>0</v>
      </c>
      <c r="N446" s="81">
        <f t="shared" si="50"/>
        <v>0</v>
      </c>
      <c r="O446" s="81">
        <f t="shared" si="50"/>
        <v>0</v>
      </c>
      <c r="P446" s="81">
        <f t="shared" si="50"/>
        <v>28008.593346278081</v>
      </c>
      <c r="Q446" s="81">
        <f t="shared" si="50"/>
        <v>28015.210121369193</v>
      </c>
      <c r="R446" s="81">
        <f t="shared" si="50"/>
        <v>28024.624657670822</v>
      </c>
      <c r="S446" s="81">
        <f t="shared" si="50"/>
        <v>28034.142833407437</v>
      </c>
      <c r="T446" s="81">
        <f t="shared" si="50"/>
        <v>28043.765789488389</v>
      </c>
    </row>
    <row r="447" spans="3:20" outlineLevel="1">
      <c r="D447" s="174" t="str">
        <f>Work_Codes!D304</f>
        <v>Remote Pressure Monitoring Unit</v>
      </c>
      <c r="J447" s="81">
        <f t="shared" ref="J447:T447" si="51">J405+J419+J433</f>
        <v>0</v>
      </c>
      <c r="K447" s="81">
        <f t="shared" si="51"/>
        <v>0</v>
      </c>
      <c r="L447" s="81">
        <f t="shared" si="51"/>
        <v>0</v>
      </c>
      <c r="M447" s="81">
        <f t="shared" si="51"/>
        <v>0</v>
      </c>
      <c r="N447" s="81">
        <f t="shared" si="51"/>
        <v>0</v>
      </c>
      <c r="O447" s="81">
        <f t="shared" si="51"/>
        <v>0</v>
      </c>
      <c r="P447" s="81">
        <f t="shared" si="51"/>
        <v>30009.207156726519</v>
      </c>
      <c r="Q447" s="81">
        <f t="shared" si="51"/>
        <v>30016.296558609854</v>
      </c>
      <c r="R447" s="81">
        <f t="shared" si="51"/>
        <v>30026.383561790168</v>
      </c>
      <c r="S447" s="81">
        <f t="shared" si="51"/>
        <v>30036.581607222255</v>
      </c>
      <c r="T447" s="81">
        <f t="shared" si="51"/>
        <v>30046.891917308989</v>
      </c>
    </row>
    <row r="448" spans="3:20" outlineLevel="1">
      <c r="D448" s="102" t="str">
        <f>Work_Codes!D305</f>
        <v>SCADA Category 2</v>
      </c>
      <c r="J448" s="81">
        <f t="shared" ref="J448:T448" si="52">J406+J420+J434</f>
        <v>0</v>
      </c>
      <c r="K448" s="81">
        <f t="shared" si="52"/>
        <v>0</v>
      </c>
      <c r="L448" s="81">
        <f t="shared" si="52"/>
        <v>0</v>
      </c>
      <c r="M448" s="81">
        <f t="shared" si="52"/>
        <v>0</v>
      </c>
      <c r="N448" s="81">
        <f t="shared" si="52"/>
        <v>1261735.9153766781</v>
      </c>
      <c r="O448" s="81">
        <f t="shared" si="52"/>
        <v>140021.82287900295</v>
      </c>
      <c r="P448" s="81">
        <f t="shared" si="52"/>
        <v>900276.21470179548</v>
      </c>
      <c r="Q448" s="81">
        <f t="shared" si="52"/>
        <v>875475.31629278732</v>
      </c>
      <c r="R448" s="81">
        <f t="shared" si="52"/>
        <v>0</v>
      </c>
      <c r="S448" s="81">
        <f t="shared" si="52"/>
        <v>0</v>
      </c>
      <c r="T448" s="81">
        <f t="shared" si="52"/>
        <v>0</v>
      </c>
    </row>
    <row r="449" spans="2:20" ht="5.9" customHeight="1" outlineLevel="1"/>
    <row r="450" spans="2:20" outlineLevel="1">
      <c r="D450" s="249" t="str">
        <f>C438</f>
        <v>Total Direct Capex including Escalation (Non CPI)</v>
      </c>
      <c r="E450" s="249"/>
      <c r="F450" s="249"/>
      <c r="G450" s="249"/>
      <c r="H450" s="249"/>
      <c r="I450" s="249"/>
      <c r="J450" s="82">
        <f t="shared" ref="J450:T450" si="53">SUM(J440:J449)</f>
        <v>0</v>
      </c>
      <c r="K450" s="82">
        <f t="shared" si="53"/>
        <v>0</v>
      </c>
      <c r="L450" s="82">
        <f t="shared" si="53"/>
        <v>0</v>
      </c>
      <c r="M450" s="82">
        <f t="shared" si="53"/>
        <v>0</v>
      </c>
      <c r="N450" s="82">
        <f t="shared" si="53"/>
        <v>1261735.9153766781</v>
      </c>
      <c r="O450" s="82">
        <f t="shared" si="53"/>
        <v>140021.82287900295</v>
      </c>
      <c r="P450" s="82">
        <f t="shared" si="53"/>
        <v>1155354.4755339709</v>
      </c>
      <c r="Q450" s="82">
        <f t="shared" si="53"/>
        <v>1105600.2565754629</v>
      </c>
      <c r="R450" s="82">
        <f t="shared" si="53"/>
        <v>255224.26027521645</v>
      </c>
      <c r="S450" s="82">
        <f t="shared" si="53"/>
        <v>232783.50745597249</v>
      </c>
      <c r="T450" s="82">
        <f t="shared" si="53"/>
        <v>255398.58129712642</v>
      </c>
    </row>
    <row r="451" spans="2:20" outlineLevel="1">
      <c r="B451" s="12"/>
      <c r="C451" s="12"/>
      <c r="D451" s="12"/>
      <c r="E451" s="12"/>
      <c r="F451" s="12"/>
      <c r="G451" s="12"/>
      <c r="H451" s="12"/>
      <c r="I451" s="12"/>
      <c r="J451" s="12"/>
      <c r="K451" s="12"/>
      <c r="L451" s="12"/>
      <c r="M451" s="12"/>
      <c r="N451" s="12"/>
      <c r="O451" s="12"/>
      <c r="P451" s="12"/>
      <c r="Q451" s="12"/>
      <c r="R451" s="12"/>
      <c r="S451" s="12"/>
      <c r="T451" s="12"/>
    </row>
    <row r="452" spans="2:20" outlineLevel="1"/>
    <row r="453" spans="2:20" outlineLevel="1">
      <c r="C453" s="37" t="s">
        <v>195</v>
      </c>
    </row>
    <row r="454" spans="2:20" ht="5.9" customHeight="1" outlineLevel="2"/>
    <row r="455" spans="2:20" outlineLevel="2">
      <c r="D455" s="37" t="s">
        <v>215</v>
      </c>
    </row>
    <row r="456" spans="2:20" ht="5.9" customHeight="1" outlineLevel="2"/>
    <row r="457" spans="2:20" ht="11.5" customHeight="1" outlineLevel="2">
      <c r="E457" s="247" t="str">
        <f>GC!C40</f>
        <v>Transmission pipelines</v>
      </c>
      <c r="F457" s="247"/>
      <c r="G457" s="247"/>
      <c r="H457" s="247"/>
      <c r="I457" s="247"/>
      <c r="J457" s="81">
        <f ca="1">SUMPRODUCT((Work_Codes!$N$294:$Y$294=$E457)*(Work_Codes!$N$297:$Y$305)*(J$440:J$448))</f>
        <v>0</v>
      </c>
      <c r="K457" s="81">
        <f ca="1">SUMPRODUCT((Work_Codes!$N$294:$Y$294=$E457)*(Work_Codes!$N$297:$Y$305)*(K$440:K$448))</f>
        <v>0</v>
      </c>
      <c r="L457" s="81">
        <f ca="1">SUMPRODUCT((Work_Codes!$N$294:$Y$294=$E457)*(Work_Codes!$N$297:$Y$305)*(L$440:L$448))</f>
        <v>0</v>
      </c>
      <c r="M457" s="81">
        <f ca="1">SUMPRODUCT((Work_Codes!$N$294:$Y$294=$E457)*(Work_Codes!$N$297:$Y$305)*(M$440:M$448))</f>
        <v>0</v>
      </c>
      <c r="N457" s="81">
        <f ca="1">SUMPRODUCT((Work_Codes!$N$294:$Y$294=$E457)*(Work_Codes!$N$297:$Y$305)*(N$440:N$448))</f>
        <v>0</v>
      </c>
      <c r="O457" s="81">
        <f ca="1">SUMPRODUCT((Work_Codes!$N$294:$Y$294=$E457)*(Work_Codes!$N$297:$Y$305)*(O$440:O$448))</f>
        <v>0</v>
      </c>
      <c r="P457" s="81">
        <f ca="1">SUMPRODUCT((Work_Codes!$N$294:$Y$294=$E457)*(Work_Codes!$N$297:$Y$305)*(P$440:P$448))</f>
        <v>0</v>
      </c>
      <c r="Q457" s="81">
        <f ca="1">SUMPRODUCT((Work_Codes!$N$294:$Y$294=$E457)*(Work_Codes!$N$297:$Y$305)*(Q$440:Q$448))</f>
        <v>0</v>
      </c>
      <c r="R457" s="81">
        <f ca="1">SUMPRODUCT((Work_Codes!$N$294:$Y$294=$E457)*(Work_Codes!$N$297:$Y$305)*(R$440:R$448))</f>
        <v>0</v>
      </c>
      <c r="S457" s="81">
        <f ca="1">SUMPRODUCT((Work_Codes!$N$294:$Y$294=$E457)*(Work_Codes!$N$297:$Y$305)*(S$440:S$448))</f>
        <v>0</v>
      </c>
      <c r="T457" s="81">
        <f ca="1">SUMPRODUCT((Work_Codes!$N$294:$Y$294=$E457)*(Work_Codes!$N$297:$Y$305)*(T$440:T$448))</f>
        <v>0</v>
      </c>
    </row>
    <row r="458" spans="2:20" ht="11.5" customHeight="1" outlineLevel="2">
      <c r="E458" s="247" t="str">
        <f>GC!C41</f>
        <v>Distribution pipelines</v>
      </c>
      <c r="F458" s="247"/>
      <c r="G458" s="247"/>
      <c r="H458" s="247"/>
      <c r="I458" s="247"/>
      <c r="J458" s="81">
        <f ca="1">SUMPRODUCT((Work_Codes!$N$294:$Y$294=$E458)*(Work_Codes!$N$297:$Y$305)*(J$440:J$448))</f>
        <v>0</v>
      </c>
      <c r="K458" s="81">
        <f ca="1">SUMPRODUCT((Work_Codes!$N$294:$Y$294=$E458)*(Work_Codes!$N$297:$Y$305)*(K$440:K$448))</f>
        <v>0</v>
      </c>
      <c r="L458" s="81">
        <f ca="1">SUMPRODUCT((Work_Codes!$N$294:$Y$294=$E458)*(Work_Codes!$N$297:$Y$305)*(L$440:L$448))</f>
        <v>0</v>
      </c>
      <c r="M458" s="81">
        <f ca="1">SUMPRODUCT((Work_Codes!$N$294:$Y$294=$E458)*(Work_Codes!$N$297:$Y$305)*(M$440:M$448))</f>
        <v>0</v>
      </c>
      <c r="N458" s="81">
        <f ca="1">SUMPRODUCT((Work_Codes!$N$294:$Y$294=$E458)*(Work_Codes!$N$297:$Y$305)*(N$440:N$448))</f>
        <v>0</v>
      </c>
      <c r="O458" s="81">
        <f ca="1">SUMPRODUCT((Work_Codes!$N$294:$Y$294=$E458)*(Work_Codes!$N$297:$Y$305)*(O$440:O$448))</f>
        <v>0</v>
      </c>
      <c r="P458" s="81">
        <f ca="1">SUMPRODUCT((Work_Codes!$N$294:$Y$294=$E458)*(Work_Codes!$N$297:$Y$305)*(P$440:P$448))</f>
        <v>0</v>
      </c>
      <c r="Q458" s="81">
        <f ca="1">SUMPRODUCT((Work_Codes!$N$294:$Y$294=$E458)*(Work_Codes!$N$297:$Y$305)*(Q$440:Q$448))</f>
        <v>0</v>
      </c>
      <c r="R458" s="81">
        <f ca="1">SUMPRODUCT((Work_Codes!$N$294:$Y$294=$E458)*(Work_Codes!$N$297:$Y$305)*(R$440:R$448))</f>
        <v>0</v>
      </c>
      <c r="S458" s="81">
        <f ca="1">SUMPRODUCT((Work_Codes!$N$294:$Y$294=$E458)*(Work_Codes!$N$297:$Y$305)*(S$440:S$448))</f>
        <v>0</v>
      </c>
      <c r="T458" s="81">
        <f ca="1">SUMPRODUCT((Work_Codes!$N$294:$Y$294=$E458)*(Work_Codes!$N$297:$Y$305)*(T$440:T$448))</f>
        <v>0</v>
      </c>
    </row>
    <row r="459" spans="2:20" ht="11.5" customHeight="1" outlineLevel="2">
      <c r="E459" s="247" t="str">
        <f>GC!C42</f>
        <v>Service pipes</v>
      </c>
      <c r="F459" s="247"/>
      <c r="G459" s="247"/>
      <c r="H459" s="247"/>
      <c r="I459" s="247"/>
      <c r="J459" s="81">
        <f ca="1">SUMPRODUCT((Work_Codes!$N$294:$Y$294=$E459)*(Work_Codes!$N$297:$Y$305)*(J$440:J$448))</f>
        <v>0</v>
      </c>
      <c r="K459" s="81">
        <f ca="1">SUMPRODUCT((Work_Codes!$N$294:$Y$294=$E459)*(Work_Codes!$N$297:$Y$305)*(K$440:K$448))</f>
        <v>0</v>
      </c>
      <c r="L459" s="81">
        <f ca="1">SUMPRODUCT((Work_Codes!$N$294:$Y$294=$E459)*(Work_Codes!$N$297:$Y$305)*(L$440:L$448))</f>
        <v>0</v>
      </c>
      <c r="M459" s="81">
        <f ca="1">SUMPRODUCT((Work_Codes!$N$294:$Y$294=$E459)*(Work_Codes!$N$297:$Y$305)*(M$440:M$448))</f>
        <v>0</v>
      </c>
      <c r="N459" s="81">
        <f ca="1">SUMPRODUCT((Work_Codes!$N$294:$Y$294=$E459)*(Work_Codes!$N$297:$Y$305)*(N$440:N$448))</f>
        <v>0</v>
      </c>
      <c r="O459" s="81">
        <f ca="1">SUMPRODUCT((Work_Codes!$N$294:$Y$294=$E459)*(Work_Codes!$N$297:$Y$305)*(O$440:O$448))</f>
        <v>0</v>
      </c>
      <c r="P459" s="81">
        <f ca="1">SUMPRODUCT((Work_Codes!$N$294:$Y$294=$E459)*(Work_Codes!$N$297:$Y$305)*(P$440:P$448))</f>
        <v>0</v>
      </c>
      <c r="Q459" s="81">
        <f ca="1">SUMPRODUCT((Work_Codes!$N$294:$Y$294=$E459)*(Work_Codes!$N$297:$Y$305)*(Q$440:Q$448))</f>
        <v>0</v>
      </c>
      <c r="R459" s="81">
        <f ca="1">SUMPRODUCT((Work_Codes!$N$294:$Y$294=$E459)*(Work_Codes!$N$297:$Y$305)*(R$440:R$448))</f>
        <v>0</v>
      </c>
      <c r="S459" s="81">
        <f ca="1">SUMPRODUCT((Work_Codes!$N$294:$Y$294=$E459)*(Work_Codes!$N$297:$Y$305)*(S$440:S$448))</f>
        <v>0</v>
      </c>
      <c r="T459" s="81">
        <f ca="1">SUMPRODUCT((Work_Codes!$N$294:$Y$294=$E459)*(Work_Codes!$N$297:$Y$305)*(T$440:T$448))</f>
        <v>0</v>
      </c>
    </row>
    <row r="460" spans="2:20" ht="11.5" customHeight="1" outlineLevel="2">
      <c r="E460" s="247" t="str">
        <f>GC!C43</f>
        <v>Cathodic protection</v>
      </c>
      <c r="F460" s="247"/>
      <c r="G460" s="247"/>
      <c r="H460" s="247"/>
      <c r="I460" s="247"/>
      <c r="J460" s="81">
        <f ca="1">SUMPRODUCT((Work_Codes!$N$294:$Y$294=$E460)*(Work_Codes!$N$297:$Y$305)*(J$440:J$448))</f>
        <v>0</v>
      </c>
      <c r="K460" s="81">
        <f ca="1">SUMPRODUCT((Work_Codes!$N$294:$Y$294=$E460)*(Work_Codes!$N$297:$Y$305)*(K$440:K$448))</f>
        <v>0</v>
      </c>
      <c r="L460" s="81">
        <f ca="1">SUMPRODUCT((Work_Codes!$N$294:$Y$294=$E460)*(Work_Codes!$N$297:$Y$305)*(L$440:L$448))</f>
        <v>0</v>
      </c>
      <c r="M460" s="81">
        <f ca="1">SUMPRODUCT((Work_Codes!$N$294:$Y$294=$E460)*(Work_Codes!$N$297:$Y$305)*(M$440:M$448))</f>
        <v>0</v>
      </c>
      <c r="N460" s="81">
        <f ca="1">SUMPRODUCT((Work_Codes!$N$294:$Y$294=$E460)*(Work_Codes!$N$297:$Y$305)*(N$440:N$448))</f>
        <v>0</v>
      </c>
      <c r="O460" s="81">
        <f ca="1">SUMPRODUCT((Work_Codes!$N$294:$Y$294=$E460)*(Work_Codes!$N$297:$Y$305)*(O$440:O$448))</f>
        <v>0</v>
      </c>
      <c r="P460" s="81">
        <f ca="1">SUMPRODUCT((Work_Codes!$N$294:$Y$294=$E460)*(Work_Codes!$N$297:$Y$305)*(P$440:P$448))</f>
        <v>0</v>
      </c>
      <c r="Q460" s="81">
        <f ca="1">SUMPRODUCT((Work_Codes!$N$294:$Y$294=$E460)*(Work_Codes!$N$297:$Y$305)*(Q$440:Q$448))</f>
        <v>0</v>
      </c>
      <c r="R460" s="81">
        <f ca="1">SUMPRODUCT((Work_Codes!$N$294:$Y$294=$E460)*(Work_Codes!$N$297:$Y$305)*(R$440:R$448))</f>
        <v>0</v>
      </c>
      <c r="S460" s="81">
        <f ca="1">SUMPRODUCT((Work_Codes!$N$294:$Y$294=$E460)*(Work_Codes!$N$297:$Y$305)*(S$440:S$448))</f>
        <v>0</v>
      </c>
      <c r="T460" s="81">
        <f ca="1">SUMPRODUCT((Work_Codes!$N$294:$Y$294=$E460)*(Work_Codes!$N$297:$Y$305)*(T$440:T$448))</f>
        <v>0</v>
      </c>
    </row>
    <row r="461" spans="2:20" ht="11.5" customHeight="1" outlineLevel="2">
      <c r="E461" s="247" t="str">
        <f>GC!C44</f>
        <v>Supply Regulators / Valve Stations</v>
      </c>
      <c r="F461" s="247"/>
      <c r="G461" s="247"/>
      <c r="H461" s="247"/>
      <c r="I461" s="247"/>
      <c r="J461" s="81">
        <f ca="1">SUMPRODUCT((Work_Codes!$N$294:$Y$294=$E461)*(Work_Codes!$N$297:$Y$305)*(J$440:J$448))</f>
        <v>0</v>
      </c>
      <c r="K461" s="81">
        <f ca="1">SUMPRODUCT((Work_Codes!$N$294:$Y$294=$E461)*(Work_Codes!$N$297:$Y$305)*(K$440:K$448))</f>
        <v>0</v>
      </c>
      <c r="L461" s="81">
        <f ca="1">SUMPRODUCT((Work_Codes!$N$294:$Y$294=$E461)*(Work_Codes!$N$297:$Y$305)*(L$440:L$448))</f>
        <v>0</v>
      </c>
      <c r="M461" s="81">
        <f ca="1">SUMPRODUCT((Work_Codes!$N$294:$Y$294=$E461)*(Work_Codes!$N$297:$Y$305)*(M$440:M$448))</f>
        <v>0</v>
      </c>
      <c r="N461" s="81">
        <f ca="1">SUMPRODUCT((Work_Codes!$N$294:$Y$294=$E461)*(Work_Codes!$N$297:$Y$305)*(N$440:N$448))</f>
        <v>0</v>
      </c>
      <c r="O461" s="81">
        <f ca="1">SUMPRODUCT((Work_Codes!$N$294:$Y$294=$E461)*(Work_Codes!$N$297:$Y$305)*(O$440:O$448))</f>
        <v>0</v>
      </c>
      <c r="P461" s="81">
        <f ca="1">SUMPRODUCT((Work_Codes!$N$294:$Y$294=$E461)*(Work_Codes!$N$297:$Y$305)*(P$440:P$448))</f>
        <v>0</v>
      </c>
      <c r="Q461" s="81">
        <f ca="1">SUMPRODUCT((Work_Codes!$N$294:$Y$294=$E461)*(Work_Codes!$N$297:$Y$305)*(Q$440:Q$448))</f>
        <v>0</v>
      </c>
      <c r="R461" s="81">
        <f ca="1">SUMPRODUCT((Work_Codes!$N$294:$Y$294=$E461)*(Work_Codes!$N$297:$Y$305)*(R$440:R$448))</f>
        <v>0</v>
      </c>
      <c r="S461" s="81">
        <f ca="1">SUMPRODUCT((Work_Codes!$N$294:$Y$294=$E461)*(Work_Codes!$N$297:$Y$305)*(S$440:S$448))</f>
        <v>0</v>
      </c>
      <c r="T461" s="81">
        <f ca="1">SUMPRODUCT((Work_Codes!$N$294:$Y$294=$E461)*(Work_Codes!$N$297:$Y$305)*(T$440:T$448))</f>
        <v>0</v>
      </c>
    </row>
    <row r="462" spans="2:20" ht="11.5" customHeight="1" outlineLevel="2">
      <c r="E462" s="247" t="str">
        <f>GC!C45</f>
        <v>Meters</v>
      </c>
      <c r="F462" s="247"/>
      <c r="G462" s="247"/>
      <c r="H462" s="247"/>
      <c r="I462" s="247"/>
      <c r="J462" s="81">
        <f ca="1">SUMPRODUCT((Work_Codes!$N$294:$Y$294=$E462)*(Work_Codes!$N$297:$Y$305)*(J$440:J$448))</f>
        <v>0</v>
      </c>
      <c r="K462" s="81">
        <f ca="1">SUMPRODUCT((Work_Codes!$N$294:$Y$294=$E462)*(Work_Codes!$N$297:$Y$305)*(K$440:K$448))</f>
        <v>0</v>
      </c>
      <c r="L462" s="81">
        <f ca="1">SUMPRODUCT((Work_Codes!$N$294:$Y$294=$E462)*(Work_Codes!$N$297:$Y$305)*(L$440:L$448))</f>
        <v>0</v>
      </c>
      <c r="M462" s="81">
        <f ca="1">SUMPRODUCT((Work_Codes!$N$294:$Y$294=$E462)*(Work_Codes!$N$297:$Y$305)*(M$440:M$448))</f>
        <v>0</v>
      </c>
      <c r="N462" s="81">
        <f ca="1">SUMPRODUCT((Work_Codes!$N$294:$Y$294=$E462)*(Work_Codes!$N$297:$Y$305)*(N$440:N$448))</f>
        <v>0</v>
      </c>
      <c r="O462" s="81">
        <f ca="1">SUMPRODUCT((Work_Codes!$N$294:$Y$294=$E462)*(Work_Codes!$N$297:$Y$305)*(O$440:O$448))</f>
        <v>0</v>
      </c>
      <c r="P462" s="81">
        <f ca="1">SUMPRODUCT((Work_Codes!$N$294:$Y$294=$E462)*(Work_Codes!$N$297:$Y$305)*(P$440:P$448))</f>
        <v>0</v>
      </c>
      <c r="Q462" s="81">
        <f ca="1">SUMPRODUCT((Work_Codes!$N$294:$Y$294=$E462)*(Work_Codes!$N$297:$Y$305)*(Q$440:Q$448))</f>
        <v>0</v>
      </c>
      <c r="R462" s="81">
        <f ca="1">SUMPRODUCT((Work_Codes!$N$294:$Y$294=$E462)*(Work_Codes!$N$297:$Y$305)*(R$440:R$448))</f>
        <v>0</v>
      </c>
      <c r="S462" s="81">
        <f ca="1">SUMPRODUCT((Work_Codes!$N$294:$Y$294=$E462)*(Work_Codes!$N$297:$Y$305)*(S$440:S$448))</f>
        <v>0</v>
      </c>
      <c r="T462" s="81">
        <f ca="1">SUMPRODUCT((Work_Codes!$N$294:$Y$294=$E462)*(Work_Codes!$N$297:$Y$305)*(T$440:T$448))</f>
        <v>0</v>
      </c>
    </row>
    <row r="463" spans="2:20" ht="11.5" customHeight="1" outlineLevel="2">
      <c r="E463" s="247" t="str">
        <f>GC!C46</f>
        <v>SCADA and remote control</v>
      </c>
      <c r="F463" s="247"/>
      <c r="G463" s="247"/>
      <c r="H463" s="247"/>
      <c r="I463" s="247"/>
      <c r="J463" s="81">
        <f ca="1">SUMPRODUCT((Work_Codes!$N$294:$Y$294=$E463)*(Work_Codes!$N$297:$Y$305)*(J$440:J$448))</f>
        <v>0</v>
      </c>
      <c r="K463" s="81">
        <f ca="1">SUMPRODUCT((Work_Codes!$N$294:$Y$294=$E463)*(Work_Codes!$N$297:$Y$305)*(K$440:K$448))</f>
        <v>0</v>
      </c>
      <c r="L463" s="81">
        <f ca="1">SUMPRODUCT((Work_Codes!$N$294:$Y$294=$E463)*(Work_Codes!$N$297:$Y$305)*(L$440:L$448))</f>
        <v>0</v>
      </c>
      <c r="M463" s="81">
        <f ca="1">SUMPRODUCT((Work_Codes!$N$294:$Y$294=$E463)*(Work_Codes!$N$297:$Y$305)*(M$440:M$448))</f>
        <v>0</v>
      </c>
      <c r="N463" s="81">
        <f ca="1">SUMPRODUCT((Work_Codes!$N$294:$Y$294=$E463)*(Work_Codes!$N$297:$Y$305)*(N$440:N$448))</f>
        <v>1261735.9153766781</v>
      </c>
      <c r="O463" s="81">
        <f ca="1">SUMPRODUCT((Work_Codes!$N$294:$Y$294=$E463)*(Work_Codes!$N$297:$Y$305)*(O$440:O$448))</f>
        <v>140021.82287900295</v>
      </c>
      <c r="P463" s="81">
        <f ca="1">SUMPRODUCT((Work_Codes!$N$294:$Y$294=$E463)*(Work_Codes!$N$297:$Y$305)*(P$440:P$448))</f>
        <v>1155354.4755339709</v>
      </c>
      <c r="Q463" s="81">
        <f ca="1">SUMPRODUCT((Work_Codes!$N$294:$Y$294=$E463)*(Work_Codes!$N$297:$Y$305)*(Q$440:Q$448))</f>
        <v>1105600.2565754629</v>
      </c>
      <c r="R463" s="81">
        <f ca="1">SUMPRODUCT((Work_Codes!$N$294:$Y$294=$E463)*(Work_Codes!$N$297:$Y$305)*(R$440:R$448))</f>
        <v>255224.26027521645</v>
      </c>
      <c r="S463" s="81">
        <f ca="1">SUMPRODUCT((Work_Codes!$N$294:$Y$294=$E463)*(Work_Codes!$N$297:$Y$305)*(S$440:S$448))</f>
        <v>232783.50745597249</v>
      </c>
      <c r="T463" s="81">
        <f ca="1">SUMPRODUCT((Work_Codes!$N$294:$Y$294=$E463)*(Work_Codes!$N$297:$Y$305)*(T$440:T$448))</f>
        <v>255398.58129712642</v>
      </c>
    </row>
    <row r="464" spans="2:20" ht="11.5" customHeight="1" outlineLevel="2">
      <c r="E464" s="247" t="str">
        <f>GC!C47</f>
        <v>Buildings</v>
      </c>
      <c r="F464" s="247"/>
      <c r="G464" s="247"/>
      <c r="H464" s="247"/>
      <c r="I464" s="247"/>
      <c r="J464" s="81">
        <f ca="1">SUMPRODUCT((Work_Codes!$N$294:$Y$294=$E464)*(Work_Codes!$N$297:$Y$305)*(J$440:J$448))</f>
        <v>0</v>
      </c>
      <c r="K464" s="81">
        <f ca="1">SUMPRODUCT((Work_Codes!$N$294:$Y$294=$E464)*(Work_Codes!$N$297:$Y$305)*(K$440:K$448))</f>
        <v>0</v>
      </c>
      <c r="L464" s="81">
        <f ca="1">SUMPRODUCT((Work_Codes!$N$294:$Y$294=$E464)*(Work_Codes!$N$297:$Y$305)*(L$440:L$448))</f>
        <v>0</v>
      </c>
      <c r="M464" s="81">
        <f ca="1">SUMPRODUCT((Work_Codes!$N$294:$Y$294=$E464)*(Work_Codes!$N$297:$Y$305)*(M$440:M$448))</f>
        <v>0</v>
      </c>
      <c r="N464" s="81">
        <f ca="1">SUMPRODUCT((Work_Codes!$N$294:$Y$294=$E464)*(Work_Codes!$N$297:$Y$305)*(N$440:N$448))</f>
        <v>0</v>
      </c>
      <c r="O464" s="81">
        <f ca="1">SUMPRODUCT((Work_Codes!$N$294:$Y$294=$E464)*(Work_Codes!$N$297:$Y$305)*(O$440:O$448))</f>
        <v>0</v>
      </c>
      <c r="P464" s="81">
        <f ca="1">SUMPRODUCT((Work_Codes!$N$294:$Y$294=$E464)*(Work_Codes!$N$297:$Y$305)*(P$440:P$448))</f>
        <v>0</v>
      </c>
      <c r="Q464" s="81">
        <f ca="1">SUMPRODUCT((Work_Codes!$N$294:$Y$294=$E464)*(Work_Codes!$N$297:$Y$305)*(Q$440:Q$448))</f>
        <v>0</v>
      </c>
      <c r="R464" s="81">
        <f ca="1">SUMPRODUCT((Work_Codes!$N$294:$Y$294=$E464)*(Work_Codes!$N$297:$Y$305)*(R$440:R$448))</f>
        <v>0</v>
      </c>
      <c r="S464" s="81">
        <f ca="1">SUMPRODUCT((Work_Codes!$N$294:$Y$294=$E464)*(Work_Codes!$N$297:$Y$305)*(S$440:S$448))</f>
        <v>0</v>
      </c>
      <c r="T464" s="81">
        <f ca="1">SUMPRODUCT((Work_Codes!$N$294:$Y$294=$E464)*(Work_Codes!$N$297:$Y$305)*(T$440:T$448))</f>
        <v>0</v>
      </c>
    </row>
    <row r="465" spans="4:20" ht="11.5" customHeight="1" outlineLevel="2">
      <c r="E465" s="247" t="str">
        <f>GC!C48</f>
        <v>Other - IT</v>
      </c>
      <c r="F465" s="247"/>
      <c r="G465" s="247"/>
      <c r="H465" s="247"/>
      <c r="I465" s="247"/>
      <c r="J465" s="81">
        <f ca="1">SUMPRODUCT((Work_Codes!$N$294:$Y$294=$E465)*(Work_Codes!$N$297:$Y$305)*(J$440:J$448))</f>
        <v>0</v>
      </c>
      <c r="K465" s="81">
        <f ca="1">SUMPRODUCT((Work_Codes!$N$294:$Y$294=$E465)*(Work_Codes!$N$297:$Y$305)*(K$440:K$448))</f>
        <v>0</v>
      </c>
      <c r="L465" s="81">
        <f ca="1">SUMPRODUCT((Work_Codes!$N$294:$Y$294=$E465)*(Work_Codes!$N$297:$Y$305)*(L$440:L$448))</f>
        <v>0</v>
      </c>
      <c r="M465" s="81">
        <f ca="1">SUMPRODUCT((Work_Codes!$N$294:$Y$294=$E465)*(Work_Codes!$N$297:$Y$305)*(M$440:M$448))</f>
        <v>0</v>
      </c>
      <c r="N465" s="81">
        <f ca="1">SUMPRODUCT((Work_Codes!$N$294:$Y$294=$E465)*(Work_Codes!$N$297:$Y$305)*(N$440:N$448))</f>
        <v>0</v>
      </c>
      <c r="O465" s="81">
        <f ca="1">SUMPRODUCT((Work_Codes!$N$294:$Y$294=$E465)*(Work_Codes!$N$297:$Y$305)*(O$440:O$448))</f>
        <v>0</v>
      </c>
      <c r="P465" s="81">
        <f ca="1">SUMPRODUCT((Work_Codes!$N$294:$Y$294=$E465)*(Work_Codes!$N$297:$Y$305)*(P$440:P$448))</f>
        <v>0</v>
      </c>
      <c r="Q465" s="81">
        <f ca="1">SUMPRODUCT((Work_Codes!$N$294:$Y$294=$E465)*(Work_Codes!$N$297:$Y$305)*(Q$440:Q$448))</f>
        <v>0</v>
      </c>
      <c r="R465" s="81">
        <f ca="1">SUMPRODUCT((Work_Codes!$N$294:$Y$294=$E465)*(Work_Codes!$N$297:$Y$305)*(R$440:R$448))</f>
        <v>0</v>
      </c>
      <c r="S465" s="81">
        <f ca="1">SUMPRODUCT((Work_Codes!$N$294:$Y$294=$E465)*(Work_Codes!$N$297:$Y$305)*(S$440:S$448))</f>
        <v>0</v>
      </c>
      <c r="T465" s="81">
        <f ca="1">SUMPRODUCT((Work_Codes!$N$294:$Y$294=$E465)*(Work_Codes!$N$297:$Y$305)*(T$440:T$448))</f>
        <v>0</v>
      </c>
    </row>
    <row r="466" spans="4:20" ht="11.5" customHeight="1" outlineLevel="2">
      <c r="E466" s="247" t="str">
        <f>GC!C49</f>
        <v>Other - non IT</v>
      </c>
      <c r="F466" s="247"/>
      <c r="G466" s="247"/>
      <c r="H466" s="247"/>
      <c r="I466" s="247"/>
      <c r="J466" s="81">
        <f ca="1">SUMPRODUCT((Work_Codes!$N$294:$Y$294=$E466)*(Work_Codes!$N$297:$Y$305)*(J$440:J$448))</f>
        <v>0</v>
      </c>
      <c r="K466" s="81">
        <f ca="1">SUMPRODUCT((Work_Codes!$N$294:$Y$294=$E466)*(Work_Codes!$N$297:$Y$305)*(K$440:K$448))</f>
        <v>0</v>
      </c>
      <c r="L466" s="81">
        <f ca="1">SUMPRODUCT((Work_Codes!$N$294:$Y$294=$E466)*(Work_Codes!$N$297:$Y$305)*(L$440:L$448))</f>
        <v>0</v>
      </c>
      <c r="M466" s="81">
        <f ca="1">SUMPRODUCT((Work_Codes!$N$294:$Y$294=$E466)*(Work_Codes!$N$297:$Y$305)*(M$440:M$448))</f>
        <v>0</v>
      </c>
      <c r="N466" s="81">
        <f ca="1">SUMPRODUCT((Work_Codes!$N$294:$Y$294=$E466)*(Work_Codes!$N$297:$Y$305)*(N$440:N$448))</f>
        <v>0</v>
      </c>
      <c r="O466" s="81">
        <f ca="1">SUMPRODUCT((Work_Codes!$N$294:$Y$294=$E466)*(Work_Codes!$N$297:$Y$305)*(O$440:O$448))</f>
        <v>0</v>
      </c>
      <c r="P466" s="81">
        <f ca="1">SUMPRODUCT((Work_Codes!$N$294:$Y$294=$E466)*(Work_Codes!$N$297:$Y$305)*(P$440:P$448))</f>
        <v>0</v>
      </c>
      <c r="Q466" s="81">
        <f ca="1">SUMPRODUCT((Work_Codes!$N$294:$Y$294=$E466)*(Work_Codes!$N$297:$Y$305)*(Q$440:Q$448))</f>
        <v>0</v>
      </c>
      <c r="R466" s="81">
        <f ca="1">SUMPRODUCT((Work_Codes!$N$294:$Y$294=$E466)*(Work_Codes!$N$297:$Y$305)*(R$440:R$448))</f>
        <v>0</v>
      </c>
      <c r="S466" s="81">
        <f ca="1">SUMPRODUCT((Work_Codes!$N$294:$Y$294=$E466)*(Work_Codes!$N$297:$Y$305)*(S$440:S$448))</f>
        <v>0</v>
      </c>
      <c r="T466" s="81">
        <f ca="1">SUMPRODUCT((Work_Codes!$N$294:$Y$294=$E466)*(Work_Codes!$N$297:$Y$305)*(T$440:T$448))</f>
        <v>0</v>
      </c>
    </row>
    <row r="467" spans="4:20" ht="11.5" customHeight="1" outlineLevel="2">
      <c r="E467" s="247" t="str">
        <f>GC!C50</f>
        <v>Land</v>
      </c>
      <c r="F467" s="247"/>
      <c r="G467" s="247"/>
      <c r="H467" s="247"/>
      <c r="I467" s="247"/>
      <c r="J467" s="81">
        <f ca="1">SUMPRODUCT((Work_Codes!$N$294:$Y$294=$E467)*(Work_Codes!$N$297:$Y$305)*(J$440:J$448))</f>
        <v>0</v>
      </c>
      <c r="K467" s="81">
        <f ca="1">SUMPRODUCT((Work_Codes!$N$294:$Y$294=$E467)*(Work_Codes!$N$297:$Y$305)*(K$440:K$448))</f>
        <v>0</v>
      </c>
      <c r="L467" s="81">
        <f ca="1">SUMPRODUCT((Work_Codes!$N$294:$Y$294=$E467)*(Work_Codes!$N$297:$Y$305)*(L$440:L$448))</f>
        <v>0</v>
      </c>
      <c r="M467" s="81">
        <f ca="1">SUMPRODUCT((Work_Codes!$N$294:$Y$294=$E467)*(Work_Codes!$N$297:$Y$305)*(M$440:M$448))</f>
        <v>0</v>
      </c>
      <c r="N467" s="81">
        <f ca="1">SUMPRODUCT((Work_Codes!$N$294:$Y$294=$E467)*(Work_Codes!$N$297:$Y$305)*(N$440:N$448))</f>
        <v>0</v>
      </c>
      <c r="O467" s="81">
        <f ca="1">SUMPRODUCT((Work_Codes!$N$294:$Y$294=$E467)*(Work_Codes!$N$297:$Y$305)*(O$440:O$448))</f>
        <v>0</v>
      </c>
      <c r="P467" s="81">
        <f ca="1">SUMPRODUCT((Work_Codes!$N$294:$Y$294=$E467)*(Work_Codes!$N$297:$Y$305)*(P$440:P$448))</f>
        <v>0</v>
      </c>
      <c r="Q467" s="81">
        <f ca="1">SUMPRODUCT((Work_Codes!$N$294:$Y$294=$E467)*(Work_Codes!$N$297:$Y$305)*(Q$440:Q$448))</f>
        <v>0</v>
      </c>
      <c r="R467" s="81">
        <f ca="1">SUMPRODUCT((Work_Codes!$N$294:$Y$294=$E467)*(Work_Codes!$N$297:$Y$305)*(R$440:R$448))</f>
        <v>0</v>
      </c>
      <c r="S467" s="81">
        <f ca="1">SUMPRODUCT((Work_Codes!$N$294:$Y$294=$E467)*(Work_Codes!$N$297:$Y$305)*(S$440:S$448))</f>
        <v>0</v>
      </c>
      <c r="T467" s="81">
        <f ca="1">SUMPRODUCT((Work_Codes!$N$294:$Y$294=$E467)*(Work_Codes!$N$297:$Y$305)*(T$440:T$448))</f>
        <v>0</v>
      </c>
    </row>
    <row r="468" spans="4:20" outlineLevel="2">
      <c r="E468" s="247" t="str">
        <f>GC!C51</f>
        <v>Capitalised Leases</v>
      </c>
      <c r="F468" s="247"/>
      <c r="G468" s="247"/>
      <c r="H468" s="247"/>
      <c r="I468" s="247"/>
      <c r="J468" s="81">
        <f ca="1">SUMPRODUCT((Work_Codes!$N$294:$Y$294=$E468)*(Work_Codes!$N$297:$Y$305)*(J$440:J$448))</f>
        <v>0</v>
      </c>
      <c r="K468" s="81">
        <f ca="1">SUMPRODUCT((Work_Codes!$N$294:$Y$294=$E468)*(Work_Codes!$N$297:$Y$305)*(K$440:K$448))</f>
        <v>0</v>
      </c>
      <c r="L468" s="81">
        <f ca="1">SUMPRODUCT((Work_Codes!$N$294:$Y$294=$E468)*(Work_Codes!$N$297:$Y$305)*(L$440:L$448))</f>
        <v>0</v>
      </c>
      <c r="M468" s="81">
        <f ca="1">SUMPRODUCT((Work_Codes!$N$294:$Y$294=$E468)*(Work_Codes!$N$297:$Y$305)*(M$440:M$448))</f>
        <v>0</v>
      </c>
      <c r="N468" s="81">
        <f ca="1">SUMPRODUCT((Work_Codes!$N$294:$Y$294=$E468)*(Work_Codes!$N$297:$Y$305)*(N$440:N$448))</f>
        <v>0</v>
      </c>
      <c r="O468" s="81">
        <f ca="1">SUMPRODUCT((Work_Codes!$N$294:$Y$294=$E468)*(Work_Codes!$N$297:$Y$305)*(O$440:O$448))</f>
        <v>0</v>
      </c>
      <c r="P468" s="81">
        <f ca="1">SUMPRODUCT((Work_Codes!$N$294:$Y$294=$E468)*(Work_Codes!$N$297:$Y$305)*(P$440:P$448))</f>
        <v>0</v>
      </c>
      <c r="Q468" s="81">
        <f ca="1">SUMPRODUCT((Work_Codes!$N$294:$Y$294=$E468)*(Work_Codes!$N$297:$Y$305)*(Q$440:Q$448))</f>
        <v>0</v>
      </c>
      <c r="R468" s="81">
        <f ca="1">SUMPRODUCT((Work_Codes!$N$294:$Y$294=$E468)*(Work_Codes!$N$297:$Y$305)*(R$440:R$448))</f>
        <v>0</v>
      </c>
      <c r="S468" s="81">
        <f ca="1">SUMPRODUCT((Work_Codes!$N$294:$Y$294=$E468)*(Work_Codes!$N$297:$Y$305)*(S$440:S$448))</f>
        <v>0</v>
      </c>
      <c r="T468" s="81">
        <f ca="1">SUMPRODUCT((Work_Codes!$N$294:$Y$294=$E468)*(Work_Codes!$N$297:$Y$305)*(T$440:T$448))</f>
        <v>0</v>
      </c>
    </row>
    <row r="469" spans="4:20" outlineLevel="2">
      <c r="E469" s="247" t="str">
        <f>GC!C52</f>
        <v>Transmission pipelines - post 1998</v>
      </c>
      <c r="F469" s="247"/>
      <c r="G469" s="247"/>
      <c r="H469" s="247"/>
      <c r="I469" s="247"/>
      <c r="J469" s="81">
        <f ca="1">SUMPRODUCT((Work_Codes!$N$294:$Y$294=$E469)*(Work_Codes!$N$297:$Y$305)*(J$440:J$448))</f>
        <v>0</v>
      </c>
      <c r="K469" s="81">
        <f ca="1">SUMPRODUCT((Work_Codes!$N$294:$Y$294=$E469)*(Work_Codes!$N$297:$Y$305)*(K$440:K$448))</f>
        <v>0</v>
      </c>
      <c r="L469" s="81">
        <f ca="1">SUMPRODUCT((Work_Codes!$N$294:$Y$294=$E469)*(Work_Codes!$N$297:$Y$305)*(L$440:L$448))</f>
        <v>0</v>
      </c>
      <c r="M469" s="81">
        <f ca="1">SUMPRODUCT((Work_Codes!$N$294:$Y$294=$E469)*(Work_Codes!$N$297:$Y$305)*(M$440:M$448))</f>
        <v>0</v>
      </c>
      <c r="N469" s="81">
        <f ca="1">SUMPRODUCT((Work_Codes!$N$294:$Y$294=$E469)*(Work_Codes!$N$297:$Y$305)*(N$440:N$448))</f>
        <v>0</v>
      </c>
      <c r="O469" s="81">
        <f ca="1">SUMPRODUCT((Work_Codes!$N$294:$Y$294=$E469)*(Work_Codes!$N$297:$Y$305)*(O$440:O$448))</f>
        <v>0</v>
      </c>
      <c r="P469" s="81">
        <f ca="1">SUMPRODUCT((Work_Codes!$N$294:$Y$294=$E469)*(Work_Codes!$N$297:$Y$305)*(P$440:P$448))</f>
        <v>0</v>
      </c>
      <c r="Q469" s="81">
        <f ca="1">SUMPRODUCT((Work_Codes!$N$294:$Y$294=$E469)*(Work_Codes!$N$297:$Y$305)*(Q$440:Q$448))</f>
        <v>0</v>
      </c>
      <c r="R469" s="81">
        <f ca="1">SUMPRODUCT((Work_Codes!$N$294:$Y$294=$E469)*(Work_Codes!$N$297:$Y$305)*(R$440:R$448))</f>
        <v>0</v>
      </c>
      <c r="S469" s="81">
        <f ca="1">SUMPRODUCT((Work_Codes!$N$294:$Y$294=$E469)*(Work_Codes!$N$297:$Y$305)*(S$440:S$448))</f>
        <v>0</v>
      </c>
      <c r="T469" s="81">
        <f ca="1">SUMPRODUCT((Work_Codes!$N$294:$Y$294=$E469)*(Work_Codes!$N$297:$Y$305)*(T$440:T$448))</f>
        <v>0</v>
      </c>
    </row>
    <row r="470" spans="4:20" outlineLevel="2">
      <c r="E470" s="247" t="str">
        <f>GC!C53</f>
        <v>Distribution pipelines - post 1998</v>
      </c>
      <c r="F470" s="247"/>
      <c r="G470" s="247"/>
      <c r="H470" s="247"/>
      <c r="I470" s="247"/>
      <c r="J470" s="81">
        <f ca="1">SUMPRODUCT((Work_Codes!$N$294:$Y$294=$E470)*(Work_Codes!$N$297:$Y$305)*(J$440:J$448))</f>
        <v>0</v>
      </c>
      <c r="K470" s="81">
        <f ca="1">SUMPRODUCT((Work_Codes!$N$294:$Y$294=$E470)*(Work_Codes!$N$297:$Y$305)*(K$440:K$448))</f>
        <v>0</v>
      </c>
      <c r="L470" s="81">
        <f ca="1">SUMPRODUCT((Work_Codes!$N$294:$Y$294=$E470)*(Work_Codes!$N$297:$Y$305)*(L$440:L$448))</f>
        <v>0</v>
      </c>
      <c r="M470" s="81">
        <f ca="1">SUMPRODUCT((Work_Codes!$N$294:$Y$294=$E470)*(Work_Codes!$N$297:$Y$305)*(M$440:M$448))</f>
        <v>0</v>
      </c>
      <c r="N470" s="81">
        <f ca="1">SUMPRODUCT((Work_Codes!$N$294:$Y$294=$E470)*(Work_Codes!$N$297:$Y$305)*(N$440:N$448))</f>
        <v>0</v>
      </c>
      <c r="O470" s="81">
        <f ca="1">SUMPRODUCT((Work_Codes!$N$294:$Y$294=$E470)*(Work_Codes!$N$297:$Y$305)*(O$440:O$448))</f>
        <v>0</v>
      </c>
      <c r="P470" s="81">
        <f ca="1">SUMPRODUCT((Work_Codes!$N$294:$Y$294=$E470)*(Work_Codes!$N$297:$Y$305)*(P$440:P$448))</f>
        <v>0</v>
      </c>
      <c r="Q470" s="81">
        <f ca="1">SUMPRODUCT((Work_Codes!$N$294:$Y$294=$E470)*(Work_Codes!$N$297:$Y$305)*(Q$440:Q$448))</f>
        <v>0</v>
      </c>
      <c r="R470" s="81">
        <f ca="1">SUMPRODUCT((Work_Codes!$N$294:$Y$294=$E470)*(Work_Codes!$N$297:$Y$305)*(R$440:R$448))</f>
        <v>0</v>
      </c>
      <c r="S470" s="81">
        <f ca="1">SUMPRODUCT((Work_Codes!$N$294:$Y$294=$E470)*(Work_Codes!$N$297:$Y$305)*(S$440:S$448))</f>
        <v>0</v>
      </c>
      <c r="T470" s="81">
        <f ca="1">SUMPRODUCT((Work_Codes!$N$294:$Y$294=$E470)*(Work_Codes!$N$297:$Y$305)*(T$440:T$448))</f>
        <v>0</v>
      </c>
    </row>
    <row r="471" spans="4:20" outlineLevel="2">
      <c r="E471" s="247" t="str">
        <f>GC!C54</f>
        <v>Service pipes - post 1998</v>
      </c>
      <c r="F471" s="247"/>
      <c r="G471" s="247"/>
      <c r="H471" s="247"/>
      <c r="I471" s="247"/>
      <c r="J471" s="81">
        <f ca="1">SUMPRODUCT((Work_Codes!$N$294:$Y$294=$E471)*(Work_Codes!$N$297:$Y$305)*(J$440:J$448))</f>
        <v>0</v>
      </c>
      <c r="K471" s="81">
        <f ca="1">SUMPRODUCT((Work_Codes!$N$294:$Y$294=$E471)*(Work_Codes!$N$297:$Y$305)*(K$440:K$448))</f>
        <v>0</v>
      </c>
      <c r="L471" s="81">
        <f ca="1">SUMPRODUCT((Work_Codes!$N$294:$Y$294=$E471)*(Work_Codes!$N$297:$Y$305)*(L$440:L$448))</f>
        <v>0</v>
      </c>
      <c r="M471" s="81">
        <f ca="1">SUMPRODUCT((Work_Codes!$N$294:$Y$294=$E471)*(Work_Codes!$N$297:$Y$305)*(M$440:M$448))</f>
        <v>0</v>
      </c>
      <c r="N471" s="81">
        <f ca="1">SUMPRODUCT((Work_Codes!$N$294:$Y$294=$E471)*(Work_Codes!$N$297:$Y$305)*(N$440:N$448))</f>
        <v>0</v>
      </c>
      <c r="O471" s="81">
        <f ca="1">SUMPRODUCT((Work_Codes!$N$294:$Y$294=$E471)*(Work_Codes!$N$297:$Y$305)*(O$440:O$448))</f>
        <v>0</v>
      </c>
      <c r="P471" s="81">
        <f ca="1">SUMPRODUCT((Work_Codes!$N$294:$Y$294=$E471)*(Work_Codes!$N$297:$Y$305)*(P$440:P$448))</f>
        <v>0</v>
      </c>
      <c r="Q471" s="81">
        <f ca="1">SUMPRODUCT((Work_Codes!$N$294:$Y$294=$E471)*(Work_Codes!$N$297:$Y$305)*(Q$440:Q$448))</f>
        <v>0</v>
      </c>
      <c r="R471" s="81">
        <f ca="1">SUMPRODUCT((Work_Codes!$N$294:$Y$294=$E471)*(Work_Codes!$N$297:$Y$305)*(R$440:R$448))</f>
        <v>0</v>
      </c>
      <c r="S471" s="81">
        <f ca="1">SUMPRODUCT((Work_Codes!$N$294:$Y$294=$E471)*(Work_Codes!$N$297:$Y$305)*(S$440:S$448))</f>
        <v>0</v>
      </c>
      <c r="T471" s="81">
        <f ca="1">SUMPRODUCT((Work_Codes!$N$294:$Y$294=$E471)*(Work_Codes!$N$297:$Y$305)*(T$440:T$448))</f>
        <v>0</v>
      </c>
    </row>
    <row r="472" spans="4:20" outlineLevel="2">
      <c r="E472" s="247" t="str">
        <f>GC!C55</f>
        <v>Cathodic protection - post 1998</v>
      </c>
      <c r="F472" s="247"/>
      <c r="G472" s="247"/>
      <c r="H472" s="247"/>
      <c r="I472" s="247"/>
      <c r="J472" s="81">
        <f ca="1">SUMPRODUCT((Work_Codes!$N$294:$Y$294=$E472)*(Work_Codes!$N$297:$Y$305)*(J$440:J$448))</f>
        <v>0</v>
      </c>
      <c r="K472" s="81">
        <f ca="1">SUMPRODUCT((Work_Codes!$N$294:$Y$294=$E472)*(Work_Codes!$N$297:$Y$305)*(K$440:K$448))</f>
        <v>0</v>
      </c>
      <c r="L472" s="81">
        <f ca="1">SUMPRODUCT((Work_Codes!$N$294:$Y$294=$E472)*(Work_Codes!$N$297:$Y$305)*(L$440:L$448))</f>
        <v>0</v>
      </c>
      <c r="M472" s="81">
        <f ca="1">SUMPRODUCT((Work_Codes!$N$294:$Y$294=$E472)*(Work_Codes!$N$297:$Y$305)*(M$440:M$448))</f>
        <v>0</v>
      </c>
      <c r="N472" s="81">
        <f ca="1">SUMPRODUCT((Work_Codes!$N$294:$Y$294=$E472)*(Work_Codes!$N$297:$Y$305)*(N$440:N$448))</f>
        <v>0</v>
      </c>
      <c r="O472" s="81">
        <f ca="1">SUMPRODUCT((Work_Codes!$N$294:$Y$294=$E472)*(Work_Codes!$N$297:$Y$305)*(O$440:O$448))</f>
        <v>0</v>
      </c>
      <c r="P472" s="81">
        <f ca="1">SUMPRODUCT((Work_Codes!$N$294:$Y$294=$E472)*(Work_Codes!$N$297:$Y$305)*(P$440:P$448))</f>
        <v>0</v>
      </c>
      <c r="Q472" s="81">
        <f ca="1">SUMPRODUCT((Work_Codes!$N$294:$Y$294=$E472)*(Work_Codes!$N$297:$Y$305)*(Q$440:Q$448))</f>
        <v>0</v>
      </c>
      <c r="R472" s="81">
        <f ca="1">SUMPRODUCT((Work_Codes!$N$294:$Y$294=$E472)*(Work_Codes!$N$297:$Y$305)*(R$440:R$448))</f>
        <v>0</v>
      </c>
      <c r="S472" s="81">
        <f ca="1">SUMPRODUCT((Work_Codes!$N$294:$Y$294=$E472)*(Work_Codes!$N$297:$Y$305)*(S$440:S$448))</f>
        <v>0</v>
      </c>
      <c r="T472" s="81">
        <f ca="1">SUMPRODUCT((Work_Codes!$N$294:$Y$294=$E472)*(Work_Codes!$N$297:$Y$305)*(T$440:T$448))</f>
        <v>0</v>
      </c>
    </row>
    <row r="473" spans="4:20" ht="12" customHeight="1" outlineLevel="2">
      <c r="E473" s="249" t="str">
        <f>"Total "&amp;D455</f>
        <v>Total Direct Costs</v>
      </c>
      <c r="F473" s="249"/>
      <c r="G473" s="249"/>
      <c r="H473" s="249"/>
      <c r="I473" s="249"/>
      <c r="J473" s="82">
        <f t="shared" ref="J473:T473" ca="1" si="54">SUM(J457:J472)</f>
        <v>0</v>
      </c>
      <c r="K473" s="82">
        <f t="shared" ca="1" si="54"/>
        <v>0</v>
      </c>
      <c r="L473" s="82">
        <f t="shared" ca="1" si="54"/>
        <v>0</v>
      </c>
      <c r="M473" s="82">
        <f t="shared" ca="1" si="54"/>
        <v>0</v>
      </c>
      <c r="N473" s="82">
        <f t="shared" ca="1" si="54"/>
        <v>1261735.9153766781</v>
      </c>
      <c r="O473" s="82">
        <f t="shared" ca="1" si="54"/>
        <v>140021.82287900295</v>
      </c>
      <c r="P473" s="82">
        <f t="shared" ca="1" si="54"/>
        <v>1155354.4755339709</v>
      </c>
      <c r="Q473" s="82">
        <f t="shared" ca="1" si="54"/>
        <v>1105600.2565754629</v>
      </c>
      <c r="R473" s="82">
        <f t="shared" ca="1" si="54"/>
        <v>255224.26027521645</v>
      </c>
      <c r="S473" s="82">
        <f t="shared" ca="1" si="54"/>
        <v>232783.50745597249</v>
      </c>
      <c r="T473" s="82">
        <f t="shared" ca="1" si="54"/>
        <v>255398.58129712642</v>
      </c>
    </row>
    <row r="474" spans="4:20" outlineLevel="2"/>
    <row r="475" spans="4:20" outlineLevel="2">
      <c r="D475" s="37" t="s">
        <v>364</v>
      </c>
    </row>
    <row r="476" spans="4:20" ht="5.9" customHeight="1" outlineLevel="2"/>
    <row r="477" spans="4:20" outlineLevel="2">
      <c r="E477" s="247" t="str">
        <f>GC!C40</f>
        <v>Transmission pipelines</v>
      </c>
      <c r="F477" s="247"/>
      <c r="G477" s="247"/>
      <c r="H477" s="247"/>
      <c r="I477" s="247"/>
      <c r="J477" s="81">
        <f ca="1">J457*(INDEX(J$338:J$340,MATCH(Work_Codes!$I$291,$D$338:$D$340,0)))</f>
        <v>0</v>
      </c>
      <c r="K477" s="81">
        <f ca="1">K457*(INDEX(K$338:K$340,MATCH(Work_Codes!$I$291,$D$338:$D$340,0)))</f>
        <v>0</v>
      </c>
      <c r="L477" s="81">
        <f ca="1">L457*(INDEX(L$338:L$340,MATCH(Work_Codes!$I$291,$D$338:$D$340,0)))</f>
        <v>0</v>
      </c>
      <c r="M477" s="81">
        <f ca="1">M457*(INDEX(M$338:M$340,MATCH(Work_Codes!$I$291,$D$338:$D$340,0)))</f>
        <v>0</v>
      </c>
      <c r="N477" s="81">
        <f ca="1">N457*(INDEX(N$338:N$340,MATCH(Work_Codes!$I$291,$D$338:$D$340,0)))</f>
        <v>0</v>
      </c>
      <c r="O477" s="81">
        <f ca="1">O457*(INDEX(O$338:O$340,MATCH(Work_Codes!$I$291,$D$338:$D$340,0)))</f>
        <v>0</v>
      </c>
      <c r="P477" s="81">
        <f ca="1">P457*(INDEX(P$338:P$340,MATCH(Work_Codes!$I$291,$D$338:$D$340,0)))</f>
        <v>0</v>
      </c>
      <c r="Q477" s="81">
        <f ca="1">Q457*(INDEX(Q$338:Q$340,MATCH(Work_Codes!$I$291,$D$338:$D$340,0)))</f>
        <v>0</v>
      </c>
      <c r="R477" s="81">
        <f ca="1">R457*(INDEX(R$338:R$340,MATCH(Work_Codes!$I$291,$D$338:$D$340,0)))</f>
        <v>0</v>
      </c>
      <c r="S477" s="81">
        <f ca="1">S457*(INDEX(S$338:S$340,MATCH(Work_Codes!$I$291,$D$338:$D$340,0)))</f>
        <v>0</v>
      </c>
      <c r="T477" s="81">
        <f ca="1">T457*(INDEX(T$338:T$340,MATCH(Work_Codes!$I$291,$D$338:$D$340,0)))</f>
        <v>0</v>
      </c>
    </row>
    <row r="478" spans="4:20" outlineLevel="2">
      <c r="E478" s="247" t="str">
        <f>GC!C41</f>
        <v>Distribution pipelines</v>
      </c>
      <c r="F478" s="247"/>
      <c r="G478" s="247"/>
      <c r="H478" s="247"/>
      <c r="I478" s="247"/>
      <c r="J478" s="81">
        <f ca="1">J458*(INDEX(J$338:J$340,MATCH(Work_Codes!$I$291,$D$338:$D$340,0)))</f>
        <v>0</v>
      </c>
      <c r="K478" s="81">
        <f ca="1">K458*(INDEX(K$338:K$340,MATCH(Work_Codes!$I$291,$D$338:$D$340,0)))</f>
        <v>0</v>
      </c>
      <c r="L478" s="81">
        <f ca="1">L458*(INDEX(L$338:L$340,MATCH(Work_Codes!$I$291,$D$338:$D$340,0)))</f>
        <v>0</v>
      </c>
      <c r="M478" s="81">
        <f ca="1">M458*(INDEX(M$338:M$340,MATCH(Work_Codes!$I$291,$D$338:$D$340,0)))</f>
        <v>0</v>
      </c>
      <c r="N478" s="81">
        <f ca="1">N458*(INDEX(N$338:N$340,MATCH(Work_Codes!$I$291,$D$338:$D$340,0)))</f>
        <v>0</v>
      </c>
      <c r="O478" s="81">
        <f ca="1">O458*(INDEX(O$338:O$340,MATCH(Work_Codes!$I$291,$D$338:$D$340,0)))</f>
        <v>0</v>
      </c>
      <c r="P478" s="81">
        <f ca="1">P458*(INDEX(P$338:P$340,MATCH(Work_Codes!$I$291,$D$338:$D$340,0)))</f>
        <v>0</v>
      </c>
      <c r="Q478" s="81">
        <f ca="1">Q458*(INDEX(Q$338:Q$340,MATCH(Work_Codes!$I$291,$D$338:$D$340,0)))</f>
        <v>0</v>
      </c>
      <c r="R478" s="81">
        <f ca="1">R458*(INDEX(R$338:R$340,MATCH(Work_Codes!$I$291,$D$338:$D$340,0)))</f>
        <v>0</v>
      </c>
      <c r="S478" s="81">
        <f ca="1">S458*(INDEX(S$338:S$340,MATCH(Work_Codes!$I$291,$D$338:$D$340,0)))</f>
        <v>0</v>
      </c>
      <c r="T478" s="81">
        <f ca="1">T458*(INDEX(T$338:T$340,MATCH(Work_Codes!$I$291,$D$338:$D$340,0)))</f>
        <v>0</v>
      </c>
    </row>
    <row r="479" spans="4:20" outlineLevel="2">
      <c r="E479" s="247" t="str">
        <f>GC!C42</f>
        <v>Service pipes</v>
      </c>
      <c r="F479" s="247"/>
      <c r="G479" s="247"/>
      <c r="H479" s="247"/>
      <c r="I479" s="247"/>
      <c r="J479" s="81">
        <f ca="1">J459*(INDEX(J$338:J$340,MATCH(Work_Codes!$I$291,$D$338:$D$340,0)))</f>
        <v>0</v>
      </c>
      <c r="K479" s="81">
        <f ca="1">K459*(INDEX(K$338:K$340,MATCH(Work_Codes!$I$291,$D$338:$D$340,0)))</f>
        <v>0</v>
      </c>
      <c r="L479" s="81">
        <f ca="1">L459*(INDEX(L$338:L$340,MATCH(Work_Codes!$I$291,$D$338:$D$340,0)))</f>
        <v>0</v>
      </c>
      <c r="M479" s="81">
        <f ca="1">M459*(INDEX(M$338:M$340,MATCH(Work_Codes!$I$291,$D$338:$D$340,0)))</f>
        <v>0</v>
      </c>
      <c r="N479" s="81">
        <f ca="1">N459*(INDEX(N$338:N$340,MATCH(Work_Codes!$I$291,$D$338:$D$340,0)))</f>
        <v>0</v>
      </c>
      <c r="O479" s="81">
        <f ca="1">O459*(INDEX(O$338:O$340,MATCH(Work_Codes!$I$291,$D$338:$D$340,0)))</f>
        <v>0</v>
      </c>
      <c r="P479" s="81">
        <f ca="1">P459*(INDEX(P$338:P$340,MATCH(Work_Codes!$I$291,$D$338:$D$340,0)))</f>
        <v>0</v>
      </c>
      <c r="Q479" s="81">
        <f ca="1">Q459*(INDEX(Q$338:Q$340,MATCH(Work_Codes!$I$291,$D$338:$D$340,0)))</f>
        <v>0</v>
      </c>
      <c r="R479" s="81">
        <f ca="1">R459*(INDEX(R$338:R$340,MATCH(Work_Codes!$I$291,$D$338:$D$340,0)))</f>
        <v>0</v>
      </c>
      <c r="S479" s="81">
        <f ca="1">S459*(INDEX(S$338:S$340,MATCH(Work_Codes!$I$291,$D$338:$D$340,0)))</f>
        <v>0</v>
      </c>
      <c r="T479" s="81">
        <f ca="1">T459*(INDEX(T$338:T$340,MATCH(Work_Codes!$I$291,$D$338:$D$340,0)))</f>
        <v>0</v>
      </c>
    </row>
    <row r="480" spans="4:20" outlineLevel="2">
      <c r="E480" s="247" t="str">
        <f>GC!C43</f>
        <v>Cathodic protection</v>
      </c>
      <c r="F480" s="247"/>
      <c r="G480" s="247"/>
      <c r="H480" s="247"/>
      <c r="I480" s="247"/>
      <c r="J480" s="81">
        <f ca="1">J460*(INDEX(J$338:J$340,MATCH(Work_Codes!$I$291,$D$338:$D$340,0)))</f>
        <v>0</v>
      </c>
      <c r="K480" s="81">
        <f ca="1">K460*(INDEX(K$338:K$340,MATCH(Work_Codes!$I$291,$D$338:$D$340,0)))</f>
        <v>0</v>
      </c>
      <c r="L480" s="81">
        <f ca="1">L460*(INDEX(L$338:L$340,MATCH(Work_Codes!$I$291,$D$338:$D$340,0)))</f>
        <v>0</v>
      </c>
      <c r="M480" s="81">
        <f ca="1">M460*(INDEX(M$338:M$340,MATCH(Work_Codes!$I$291,$D$338:$D$340,0)))</f>
        <v>0</v>
      </c>
      <c r="N480" s="81">
        <f ca="1">N460*(INDEX(N$338:N$340,MATCH(Work_Codes!$I$291,$D$338:$D$340,0)))</f>
        <v>0</v>
      </c>
      <c r="O480" s="81">
        <f ca="1">O460*(INDEX(O$338:O$340,MATCH(Work_Codes!$I$291,$D$338:$D$340,0)))</f>
        <v>0</v>
      </c>
      <c r="P480" s="81">
        <f ca="1">P460*(INDEX(P$338:P$340,MATCH(Work_Codes!$I$291,$D$338:$D$340,0)))</f>
        <v>0</v>
      </c>
      <c r="Q480" s="81">
        <f ca="1">Q460*(INDEX(Q$338:Q$340,MATCH(Work_Codes!$I$291,$D$338:$D$340,0)))</f>
        <v>0</v>
      </c>
      <c r="R480" s="81">
        <f ca="1">R460*(INDEX(R$338:R$340,MATCH(Work_Codes!$I$291,$D$338:$D$340,0)))</f>
        <v>0</v>
      </c>
      <c r="S480" s="81">
        <f ca="1">S460*(INDEX(S$338:S$340,MATCH(Work_Codes!$I$291,$D$338:$D$340,0)))</f>
        <v>0</v>
      </c>
      <c r="T480" s="81">
        <f ca="1">T460*(INDEX(T$338:T$340,MATCH(Work_Codes!$I$291,$D$338:$D$340,0)))</f>
        <v>0</v>
      </c>
    </row>
    <row r="481" spans="4:20" outlineLevel="2">
      <c r="E481" s="247" t="str">
        <f>GC!C44</f>
        <v>Supply Regulators / Valve Stations</v>
      </c>
      <c r="F481" s="247"/>
      <c r="G481" s="247"/>
      <c r="H481" s="247"/>
      <c r="I481" s="247"/>
      <c r="J481" s="81">
        <f ca="1">J461*(INDEX(J$338:J$340,MATCH(Work_Codes!$I$291,$D$338:$D$340,0)))</f>
        <v>0</v>
      </c>
      <c r="K481" s="81">
        <f ca="1">K461*(INDEX(K$338:K$340,MATCH(Work_Codes!$I$291,$D$338:$D$340,0)))</f>
        <v>0</v>
      </c>
      <c r="L481" s="81">
        <f ca="1">L461*(INDEX(L$338:L$340,MATCH(Work_Codes!$I$291,$D$338:$D$340,0)))</f>
        <v>0</v>
      </c>
      <c r="M481" s="81">
        <f ca="1">M461*(INDEX(M$338:M$340,MATCH(Work_Codes!$I$291,$D$338:$D$340,0)))</f>
        <v>0</v>
      </c>
      <c r="N481" s="81">
        <f ca="1">N461*(INDEX(N$338:N$340,MATCH(Work_Codes!$I$291,$D$338:$D$340,0)))</f>
        <v>0</v>
      </c>
      <c r="O481" s="81">
        <f ca="1">O461*(INDEX(O$338:O$340,MATCH(Work_Codes!$I$291,$D$338:$D$340,0)))</f>
        <v>0</v>
      </c>
      <c r="P481" s="81">
        <f ca="1">P461*(INDEX(P$338:P$340,MATCH(Work_Codes!$I$291,$D$338:$D$340,0)))</f>
        <v>0</v>
      </c>
      <c r="Q481" s="81">
        <f ca="1">Q461*(INDEX(Q$338:Q$340,MATCH(Work_Codes!$I$291,$D$338:$D$340,0)))</f>
        <v>0</v>
      </c>
      <c r="R481" s="81">
        <f ca="1">R461*(INDEX(R$338:R$340,MATCH(Work_Codes!$I$291,$D$338:$D$340,0)))</f>
        <v>0</v>
      </c>
      <c r="S481" s="81">
        <f ca="1">S461*(INDEX(S$338:S$340,MATCH(Work_Codes!$I$291,$D$338:$D$340,0)))</f>
        <v>0</v>
      </c>
      <c r="T481" s="81">
        <f ca="1">T461*(INDEX(T$338:T$340,MATCH(Work_Codes!$I$291,$D$338:$D$340,0)))</f>
        <v>0</v>
      </c>
    </row>
    <row r="482" spans="4:20" outlineLevel="2">
      <c r="E482" s="247" t="str">
        <f>GC!C45</f>
        <v>Meters</v>
      </c>
      <c r="F482" s="247"/>
      <c r="G482" s="247"/>
      <c r="H482" s="247"/>
      <c r="I482" s="247"/>
      <c r="J482" s="81">
        <f ca="1">J462*(INDEX(J$338:J$340,MATCH(Work_Codes!$I$291,$D$338:$D$340,0)))</f>
        <v>0</v>
      </c>
      <c r="K482" s="81">
        <f ca="1">K462*(INDEX(K$338:K$340,MATCH(Work_Codes!$I$291,$D$338:$D$340,0)))</f>
        <v>0</v>
      </c>
      <c r="L482" s="81">
        <f ca="1">L462*(INDEX(L$338:L$340,MATCH(Work_Codes!$I$291,$D$338:$D$340,0)))</f>
        <v>0</v>
      </c>
      <c r="M482" s="81">
        <f ca="1">M462*(INDEX(M$338:M$340,MATCH(Work_Codes!$I$291,$D$338:$D$340,0)))</f>
        <v>0</v>
      </c>
      <c r="N482" s="81">
        <f ca="1">N462*(INDEX(N$338:N$340,MATCH(Work_Codes!$I$291,$D$338:$D$340,0)))</f>
        <v>0</v>
      </c>
      <c r="O482" s="81">
        <f ca="1">O462*(INDEX(O$338:O$340,MATCH(Work_Codes!$I$291,$D$338:$D$340,0)))</f>
        <v>0</v>
      </c>
      <c r="P482" s="81">
        <f ca="1">P462*(INDEX(P$338:P$340,MATCH(Work_Codes!$I$291,$D$338:$D$340,0)))</f>
        <v>0</v>
      </c>
      <c r="Q482" s="81">
        <f ca="1">Q462*(INDEX(Q$338:Q$340,MATCH(Work_Codes!$I$291,$D$338:$D$340,0)))</f>
        <v>0</v>
      </c>
      <c r="R482" s="81">
        <f ca="1">R462*(INDEX(R$338:R$340,MATCH(Work_Codes!$I$291,$D$338:$D$340,0)))</f>
        <v>0</v>
      </c>
      <c r="S482" s="81">
        <f ca="1">S462*(INDEX(S$338:S$340,MATCH(Work_Codes!$I$291,$D$338:$D$340,0)))</f>
        <v>0</v>
      </c>
      <c r="T482" s="81">
        <f ca="1">T462*(INDEX(T$338:T$340,MATCH(Work_Codes!$I$291,$D$338:$D$340,0)))</f>
        <v>0</v>
      </c>
    </row>
    <row r="483" spans="4:20" outlineLevel="2">
      <c r="E483" s="247" t="str">
        <f>GC!C46</f>
        <v>SCADA and remote control</v>
      </c>
      <c r="F483" s="247"/>
      <c r="G483" s="247"/>
      <c r="H483" s="247"/>
      <c r="I483" s="247"/>
      <c r="J483" s="81">
        <f ca="1">J463*(INDEX(J$338:J$340,MATCH(Work_Codes!$I$291,$D$338:$D$340,0)))</f>
        <v>0</v>
      </c>
      <c r="K483" s="81">
        <f ca="1">K463*(INDEX(K$338:K$340,MATCH(Work_Codes!$I$291,$D$338:$D$340,0)))</f>
        <v>0</v>
      </c>
      <c r="L483" s="81">
        <f ca="1">L463*(INDEX(L$338:L$340,MATCH(Work_Codes!$I$291,$D$338:$D$340,0)))</f>
        <v>0</v>
      </c>
      <c r="M483" s="81">
        <f ca="1">M463*(INDEX(M$338:M$340,MATCH(Work_Codes!$I$291,$D$338:$D$340,0)))</f>
        <v>0</v>
      </c>
      <c r="N483" s="81">
        <f ca="1">N463*(INDEX(N$338:N$340,MATCH(Work_Codes!$I$291,$D$338:$D$340,0)))</f>
        <v>47581.33242008675</v>
      </c>
      <c r="O483" s="81">
        <f ca="1">O463*(INDEX(O$338:O$340,MATCH(Work_Codes!$I$291,$D$338:$D$340,0)))</f>
        <v>4660.4820196883675</v>
      </c>
      <c r="P483" s="81">
        <f ca="1">P463*(INDEX(P$338:P$340,MATCH(Work_Codes!$I$291,$D$338:$D$340,0)))</f>
        <v>30908.806056650155</v>
      </c>
      <c r="Q483" s="81">
        <f ca="1">Q463*(INDEX(Q$338:Q$340,MATCH(Work_Codes!$I$291,$D$338:$D$340,0)))</f>
        <v>28812.59205955478</v>
      </c>
      <c r="R483" s="81">
        <f ca="1">R463*(INDEX(R$338:R$340,MATCH(Work_Codes!$I$291,$D$338:$D$340,0)))</f>
        <v>6858.6430745533899</v>
      </c>
      <c r="S483" s="81">
        <f ca="1">S463*(INDEX(S$338:S$340,MATCH(Work_Codes!$I$291,$D$338:$D$340,0)))</f>
        <v>6645.0796553498249</v>
      </c>
      <c r="T483" s="81">
        <f ca="1">T463*(INDEX(T$338:T$340,MATCH(Work_Codes!$I$291,$D$338:$D$340,0)))</f>
        <v>7641.6221450950043</v>
      </c>
    </row>
    <row r="484" spans="4:20" outlineLevel="2">
      <c r="E484" s="247" t="str">
        <f>GC!C47</f>
        <v>Buildings</v>
      </c>
      <c r="F484" s="247"/>
      <c r="G484" s="247"/>
      <c r="H484" s="247"/>
      <c r="I484" s="247"/>
      <c r="J484" s="81">
        <f ca="1">J464*(INDEX(J$338:J$340,MATCH(Work_Codes!$I$291,$D$338:$D$340,0)))</f>
        <v>0</v>
      </c>
      <c r="K484" s="81">
        <f ca="1">K464*(INDEX(K$338:K$340,MATCH(Work_Codes!$I$291,$D$338:$D$340,0)))</f>
        <v>0</v>
      </c>
      <c r="L484" s="81">
        <f ca="1">L464*(INDEX(L$338:L$340,MATCH(Work_Codes!$I$291,$D$338:$D$340,0)))</f>
        <v>0</v>
      </c>
      <c r="M484" s="81">
        <f ca="1">M464*(INDEX(M$338:M$340,MATCH(Work_Codes!$I$291,$D$338:$D$340,0)))</f>
        <v>0</v>
      </c>
      <c r="N484" s="81">
        <f ca="1">N464*(INDEX(N$338:N$340,MATCH(Work_Codes!$I$291,$D$338:$D$340,0)))</f>
        <v>0</v>
      </c>
      <c r="O484" s="81">
        <f ca="1">O464*(INDEX(O$338:O$340,MATCH(Work_Codes!$I$291,$D$338:$D$340,0)))</f>
        <v>0</v>
      </c>
      <c r="P484" s="81">
        <f ca="1">P464*(INDEX(P$338:P$340,MATCH(Work_Codes!$I$291,$D$338:$D$340,0)))</f>
        <v>0</v>
      </c>
      <c r="Q484" s="81">
        <f ca="1">Q464*(INDEX(Q$338:Q$340,MATCH(Work_Codes!$I$291,$D$338:$D$340,0)))</f>
        <v>0</v>
      </c>
      <c r="R484" s="81">
        <f ca="1">R464*(INDEX(R$338:R$340,MATCH(Work_Codes!$I$291,$D$338:$D$340,0)))</f>
        <v>0</v>
      </c>
      <c r="S484" s="81">
        <f ca="1">S464*(INDEX(S$338:S$340,MATCH(Work_Codes!$I$291,$D$338:$D$340,0)))</f>
        <v>0</v>
      </c>
      <c r="T484" s="81">
        <f ca="1">T464*(INDEX(T$338:T$340,MATCH(Work_Codes!$I$291,$D$338:$D$340,0)))</f>
        <v>0</v>
      </c>
    </row>
    <row r="485" spans="4:20" outlineLevel="2">
      <c r="E485" s="247" t="str">
        <f>GC!C48</f>
        <v>Other - IT</v>
      </c>
      <c r="F485" s="247"/>
      <c r="G485" s="247"/>
      <c r="H485" s="247"/>
      <c r="I485" s="247"/>
      <c r="J485" s="81">
        <f ca="1">J465*(INDEX(J$338:J$340,MATCH(Work_Codes!$I$291,$D$338:$D$340,0)))</f>
        <v>0</v>
      </c>
      <c r="K485" s="81">
        <f ca="1">K465*(INDEX(K$338:K$340,MATCH(Work_Codes!$I$291,$D$338:$D$340,0)))</f>
        <v>0</v>
      </c>
      <c r="L485" s="81">
        <f ca="1">L465*(INDEX(L$338:L$340,MATCH(Work_Codes!$I$291,$D$338:$D$340,0)))</f>
        <v>0</v>
      </c>
      <c r="M485" s="81">
        <f ca="1">M465*(INDEX(M$338:M$340,MATCH(Work_Codes!$I$291,$D$338:$D$340,0)))</f>
        <v>0</v>
      </c>
      <c r="N485" s="81">
        <f ca="1">N465*(INDEX(N$338:N$340,MATCH(Work_Codes!$I$291,$D$338:$D$340,0)))</f>
        <v>0</v>
      </c>
      <c r="O485" s="81">
        <f ca="1">O465*(INDEX(O$338:O$340,MATCH(Work_Codes!$I$291,$D$338:$D$340,0)))</f>
        <v>0</v>
      </c>
      <c r="P485" s="81">
        <f ca="1">P465*(INDEX(P$338:P$340,MATCH(Work_Codes!$I$291,$D$338:$D$340,0)))</f>
        <v>0</v>
      </c>
      <c r="Q485" s="81">
        <f ca="1">Q465*(INDEX(Q$338:Q$340,MATCH(Work_Codes!$I$291,$D$338:$D$340,0)))</f>
        <v>0</v>
      </c>
      <c r="R485" s="81">
        <f ca="1">R465*(INDEX(R$338:R$340,MATCH(Work_Codes!$I$291,$D$338:$D$340,0)))</f>
        <v>0</v>
      </c>
      <c r="S485" s="81">
        <f ca="1">S465*(INDEX(S$338:S$340,MATCH(Work_Codes!$I$291,$D$338:$D$340,0)))</f>
        <v>0</v>
      </c>
      <c r="T485" s="81">
        <f ca="1">T465*(INDEX(T$338:T$340,MATCH(Work_Codes!$I$291,$D$338:$D$340,0)))</f>
        <v>0</v>
      </c>
    </row>
    <row r="486" spans="4:20" outlineLevel="2">
      <c r="E486" s="247" t="str">
        <f>GC!C49</f>
        <v>Other - non IT</v>
      </c>
      <c r="F486" s="247"/>
      <c r="G486" s="247"/>
      <c r="H486" s="247"/>
      <c r="I486" s="247"/>
      <c r="J486" s="81">
        <f ca="1">J466*(INDEX(J$338:J$340,MATCH(Work_Codes!$I$291,$D$338:$D$340,0)))</f>
        <v>0</v>
      </c>
      <c r="K486" s="81">
        <f ca="1">K466*(INDEX(K$338:K$340,MATCH(Work_Codes!$I$291,$D$338:$D$340,0)))</f>
        <v>0</v>
      </c>
      <c r="L486" s="81">
        <f ca="1">L466*(INDEX(L$338:L$340,MATCH(Work_Codes!$I$291,$D$338:$D$340,0)))</f>
        <v>0</v>
      </c>
      <c r="M486" s="81">
        <f ca="1">M466*(INDEX(M$338:M$340,MATCH(Work_Codes!$I$291,$D$338:$D$340,0)))</f>
        <v>0</v>
      </c>
      <c r="N486" s="81">
        <f ca="1">N466*(INDEX(N$338:N$340,MATCH(Work_Codes!$I$291,$D$338:$D$340,0)))</f>
        <v>0</v>
      </c>
      <c r="O486" s="81">
        <f ca="1">O466*(INDEX(O$338:O$340,MATCH(Work_Codes!$I$291,$D$338:$D$340,0)))</f>
        <v>0</v>
      </c>
      <c r="P486" s="81">
        <f ca="1">P466*(INDEX(P$338:P$340,MATCH(Work_Codes!$I$291,$D$338:$D$340,0)))</f>
        <v>0</v>
      </c>
      <c r="Q486" s="81">
        <f ca="1">Q466*(INDEX(Q$338:Q$340,MATCH(Work_Codes!$I$291,$D$338:$D$340,0)))</f>
        <v>0</v>
      </c>
      <c r="R486" s="81">
        <f ca="1">R466*(INDEX(R$338:R$340,MATCH(Work_Codes!$I$291,$D$338:$D$340,0)))</f>
        <v>0</v>
      </c>
      <c r="S486" s="81">
        <f ca="1">S466*(INDEX(S$338:S$340,MATCH(Work_Codes!$I$291,$D$338:$D$340,0)))</f>
        <v>0</v>
      </c>
      <c r="T486" s="81">
        <f ca="1">T466*(INDEX(T$338:T$340,MATCH(Work_Codes!$I$291,$D$338:$D$340,0)))</f>
        <v>0</v>
      </c>
    </row>
    <row r="487" spans="4:20" outlineLevel="2">
      <c r="E487" s="247" t="str">
        <f>GC!C50</f>
        <v>Land</v>
      </c>
      <c r="F487" s="247"/>
      <c r="G487" s="247"/>
      <c r="H487" s="247"/>
      <c r="I487" s="247"/>
      <c r="J487" s="81">
        <f ca="1">J467*(INDEX(J$338:J$340,MATCH(Work_Codes!$I$291,$D$338:$D$340,0)))</f>
        <v>0</v>
      </c>
      <c r="K487" s="81">
        <f ca="1">K467*(INDEX(K$338:K$340,MATCH(Work_Codes!$I$291,$D$338:$D$340,0)))</f>
        <v>0</v>
      </c>
      <c r="L487" s="81">
        <f ca="1">L467*(INDEX(L$338:L$340,MATCH(Work_Codes!$I$291,$D$338:$D$340,0)))</f>
        <v>0</v>
      </c>
      <c r="M487" s="81">
        <f ca="1">M467*(INDEX(M$338:M$340,MATCH(Work_Codes!$I$291,$D$338:$D$340,0)))</f>
        <v>0</v>
      </c>
      <c r="N487" s="81">
        <f ca="1">N467*(INDEX(N$338:N$340,MATCH(Work_Codes!$I$291,$D$338:$D$340,0)))</f>
        <v>0</v>
      </c>
      <c r="O487" s="81">
        <f ca="1">O467*(INDEX(O$338:O$340,MATCH(Work_Codes!$I$291,$D$338:$D$340,0)))</f>
        <v>0</v>
      </c>
      <c r="P487" s="81">
        <f ca="1">P467*(INDEX(P$338:P$340,MATCH(Work_Codes!$I$291,$D$338:$D$340,0)))</f>
        <v>0</v>
      </c>
      <c r="Q487" s="81">
        <f ca="1">Q467*(INDEX(Q$338:Q$340,MATCH(Work_Codes!$I$291,$D$338:$D$340,0)))</f>
        <v>0</v>
      </c>
      <c r="R487" s="81">
        <f ca="1">R467*(INDEX(R$338:R$340,MATCH(Work_Codes!$I$291,$D$338:$D$340,0)))</f>
        <v>0</v>
      </c>
      <c r="S487" s="81">
        <f ca="1">S467*(INDEX(S$338:S$340,MATCH(Work_Codes!$I$291,$D$338:$D$340,0)))</f>
        <v>0</v>
      </c>
      <c r="T487" s="81">
        <f ca="1">T467*(INDEX(T$338:T$340,MATCH(Work_Codes!$I$291,$D$338:$D$340,0)))</f>
        <v>0</v>
      </c>
    </row>
    <row r="488" spans="4:20" outlineLevel="2">
      <c r="E488" s="247" t="str">
        <f>GC!C51</f>
        <v>Capitalised Leases</v>
      </c>
      <c r="F488" s="247"/>
      <c r="G488" s="247"/>
      <c r="H488" s="247"/>
      <c r="I488" s="247"/>
      <c r="J488" s="81">
        <f ca="1">J468*(INDEX(J$338:J$340,MATCH(Work_Codes!$I$291,$D$338:$D$340,0)))</f>
        <v>0</v>
      </c>
      <c r="K488" s="81">
        <f ca="1">K468*(INDEX(K$338:K$340,MATCH(Work_Codes!$I$291,$D$338:$D$340,0)))</f>
        <v>0</v>
      </c>
      <c r="L488" s="81">
        <f ca="1">L468*(INDEX(L$338:L$340,MATCH(Work_Codes!$I$291,$D$338:$D$340,0)))</f>
        <v>0</v>
      </c>
      <c r="M488" s="81">
        <f ca="1">M468*(INDEX(M$338:M$340,MATCH(Work_Codes!$I$291,$D$338:$D$340,0)))</f>
        <v>0</v>
      </c>
      <c r="N488" s="81">
        <f ca="1">N468*(INDEX(N$338:N$340,MATCH(Work_Codes!$I$291,$D$338:$D$340,0)))</f>
        <v>0</v>
      </c>
      <c r="O488" s="81">
        <f ca="1">O468*(INDEX(O$338:O$340,MATCH(Work_Codes!$I$291,$D$338:$D$340,0)))</f>
        <v>0</v>
      </c>
      <c r="P488" s="81">
        <f ca="1">P468*(INDEX(P$338:P$340,MATCH(Work_Codes!$I$291,$D$338:$D$340,0)))</f>
        <v>0</v>
      </c>
      <c r="Q488" s="81">
        <f ca="1">Q468*(INDEX(Q$338:Q$340,MATCH(Work_Codes!$I$291,$D$338:$D$340,0)))</f>
        <v>0</v>
      </c>
      <c r="R488" s="81">
        <f ca="1">R468*(INDEX(R$338:R$340,MATCH(Work_Codes!$I$291,$D$338:$D$340,0)))</f>
        <v>0</v>
      </c>
      <c r="S488" s="81">
        <f ca="1">S468*(INDEX(S$338:S$340,MATCH(Work_Codes!$I$291,$D$338:$D$340,0)))</f>
        <v>0</v>
      </c>
      <c r="T488" s="81">
        <f ca="1">T468*(INDEX(T$338:T$340,MATCH(Work_Codes!$I$291,$D$338:$D$340,0)))</f>
        <v>0</v>
      </c>
    </row>
    <row r="489" spans="4:20" outlineLevel="2">
      <c r="E489" s="247" t="str">
        <f>GC!C52</f>
        <v>Transmission pipelines - post 1998</v>
      </c>
      <c r="F489" s="247"/>
      <c r="G489" s="247"/>
      <c r="H489" s="247"/>
      <c r="I489" s="247"/>
      <c r="J489" s="81">
        <f ca="1">J469*(INDEX(J$338:J$340,MATCH(Work_Codes!$I$291,$D$338:$D$340,0)))</f>
        <v>0</v>
      </c>
      <c r="K489" s="81">
        <f ca="1">K469*(INDEX(K$338:K$340,MATCH(Work_Codes!$I$291,$D$338:$D$340,0)))</f>
        <v>0</v>
      </c>
      <c r="L489" s="81">
        <f ca="1">L469*(INDEX(L$338:L$340,MATCH(Work_Codes!$I$291,$D$338:$D$340,0)))</f>
        <v>0</v>
      </c>
      <c r="M489" s="81">
        <f ca="1">M469*(INDEX(M$338:M$340,MATCH(Work_Codes!$I$291,$D$338:$D$340,0)))</f>
        <v>0</v>
      </c>
      <c r="N489" s="81">
        <f ca="1">N469*(INDEX(N$338:N$340,MATCH(Work_Codes!$I$291,$D$338:$D$340,0)))</f>
        <v>0</v>
      </c>
      <c r="O489" s="81">
        <f ca="1">O469*(INDEX(O$338:O$340,MATCH(Work_Codes!$I$291,$D$338:$D$340,0)))</f>
        <v>0</v>
      </c>
      <c r="P489" s="81">
        <f ca="1">P469*(INDEX(P$338:P$340,MATCH(Work_Codes!$I$291,$D$338:$D$340,0)))</f>
        <v>0</v>
      </c>
      <c r="Q489" s="81">
        <f ca="1">Q469*(INDEX(Q$338:Q$340,MATCH(Work_Codes!$I$291,$D$338:$D$340,0)))</f>
        <v>0</v>
      </c>
      <c r="R489" s="81">
        <f ca="1">R469*(INDEX(R$338:R$340,MATCH(Work_Codes!$I$291,$D$338:$D$340,0)))</f>
        <v>0</v>
      </c>
      <c r="S489" s="81">
        <f ca="1">S469*(INDEX(S$338:S$340,MATCH(Work_Codes!$I$291,$D$338:$D$340,0)))</f>
        <v>0</v>
      </c>
      <c r="T489" s="81">
        <f ca="1">T469*(INDEX(T$338:T$340,MATCH(Work_Codes!$I$291,$D$338:$D$340,0)))</f>
        <v>0</v>
      </c>
    </row>
    <row r="490" spans="4:20" outlineLevel="2">
      <c r="E490" s="247" t="str">
        <f>GC!C53</f>
        <v>Distribution pipelines - post 1998</v>
      </c>
      <c r="F490" s="247"/>
      <c r="G490" s="247"/>
      <c r="H490" s="247"/>
      <c r="I490" s="247"/>
      <c r="J490" s="81">
        <f ca="1">J470*(INDEX(J$338:J$340,MATCH(Work_Codes!$I$291,$D$338:$D$340,0)))</f>
        <v>0</v>
      </c>
      <c r="K490" s="81">
        <f ca="1">K470*(INDEX(K$338:K$340,MATCH(Work_Codes!$I$291,$D$338:$D$340,0)))</f>
        <v>0</v>
      </c>
      <c r="L490" s="81">
        <f ca="1">L470*(INDEX(L$338:L$340,MATCH(Work_Codes!$I$291,$D$338:$D$340,0)))</f>
        <v>0</v>
      </c>
      <c r="M490" s="81">
        <f ca="1">M470*(INDEX(M$338:M$340,MATCH(Work_Codes!$I$291,$D$338:$D$340,0)))</f>
        <v>0</v>
      </c>
      <c r="N490" s="81">
        <f ca="1">N470*(INDEX(N$338:N$340,MATCH(Work_Codes!$I$291,$D$338:$D$340,0)))</f>
        <v>0</v>
      </c>
      <c r="O490" s="81">
        <f ca="1">O470*(INDEX(O$338:O$340,MATCH(Work_Codes!$I$291,$D$338:$D$340,0)))</f>
        <v>0</v>
      </c>
      <c r="P490" s="81">
        <f ca="1">P470*(INDEX(P$338:P$340,MATCH(Work_Codes!$I$291,$D$338:$D$340,0)))</f>
        <v>0</v>
      </c>
      <c r="Q490" s="81">
        <f ca="1">Q470*(INDEX(Q$338:Q$340,MATCH(Work_Codes!$I$291,$D$338:$D$340,0)))</f>
        <v>0</v>
      </c>
      <c r="R490" s="81">
        <f ca="1">R470*(INDEX(R$338:R$340,MATCH(Work_Codes!$I$291,$D$338:$D$340,0)))</f>
        <v>0</v>
      </c>
      <c r="S490" s="81">
        <f ca="1">S470*(INDEX(S$338:S$340,MATCH(Work_Codes!$I$291,$D$338:$D$340,0)))</f>
        <v>0</v>
      </c>
      <c r="T490" s="81">
        <f ca="1">T470*(INDEX(T$338:T$340,MATCH(Work_Codes!$I$291,$D$338:$D$340,0)))</f>
        <v>0</v>
      </c>
    </row>
    <row r="491" spans="4:20" outlineLevel="2">
      <c r="E491" s="247" t="str">
        <f>GC!C54</f>
        <v>Service pipes - post 1998</v>
      </c>
      <c r="F491" s="247"/>
      <c r="G491" s="247"/>
      <c r="H491" s="247"/>
      <c r="I491" s="247"/>
      <c r="J491" s="81">
        <f ca="1">J471*(INDEX(J$338:J$340,MATCH(Work_Codes!$I$291,$D$338:$D$340,0)))</f>
        <v>0</v>
      </c>
      <c r="K491" s="81">
        <f ca="1">K471*(INDEX(K$338:K$340,MATCH(Work_Codes!$I$291,$D$338:$D$340,0)))</f>
        <v>0</v>
      </c>
      <c r="L491" s="81">
        <f ca="1">L471*(INDEX(L$338:L$340,MATCH(Work_Codes!$I$291,$D$338:$D$340,0)))</f>
        <v>0</v>
      </c>
      <c r="M491" s="81">
        <f ca="1">M471*(INDEX(M$338:M$340,MATCH(Work_Codes!$I$291,$D$338:$D$340,0)))</f>
        <v>0</v>
      </c>
      <c r="N491" s="81">
        <f ca="1">N471*(INDEX(N$338:N$340,MATCH(Work_Codes!$I$291,$D$338:$D$340,0)))</f>
        <v>0</v>
      </c>
      <c r="O491" s="81">
        <f ca="1">O471*(INDEX(O$338:O$340,MATCH(Work_Codes!$I$291,$D$338:$D$340,0)))</f>
        <v>0</v>
      </c>
      <c r="P491" s="81">
        <f ca="1">P471*(INDEX(P$338:P$340,MATCH(Work_Codes!$I$291,$D$338:$D$340,0)))</f>
        <v>0</v>
      </c>
      <c r="Q491" s="81">
        <f ca="1">Q471*(INDEX(Q$338:Q$340,MATCH(Work_Codes!$I$291,$D$338:$D$340,0)))</f>
        <v>0</v>
      </c>
      <c r="R491" s="81">
        <f ca="1">R471*(INDEX(R$338:R$340,MATCH(Work_Codes!$I$291,$D$338:$D$340,0)))</f>
        <v>0</v>
      </c>
      <c r="S491" s="81">
        <f ca="1">S471*(INDEX(S$338:S$340,MATCH(Work_Codes!$I$291,$D$338:$D$340,0)))</f>
        <v>0</v>
      </c>
      <c r="T491" s="81">
        <f ca="1">T471*(INDEX(T$338:T$340,MATCH(Work_Codes!$I$291,$D$338:$D$340,0)))</f>
        <v>0</v>
      </c>
    </row>
    <row r="492" spans="4:20" outlineLevel="2">
      <c r="E492" s="247" t="str">
        <f>GC!C55</f>
        <v>Cathodic protection - post 1998</v>
      </c>
      <c r="F492" s="247"/>
      <c r="G492" s="247"/>
      <c r="H492" s="247"/>
      <c r="I492" s="247"/>
      <c r="J492" s="81">
        <f ca="1">J472*(INDEX(J$338:J$340,MATCH(Work_Codes!$I$291,$D$338:$D$340,0)))</f>
        <v>0</v>
      </c>
      <c r="K492" s="81">
        <f ca="1">K472*(INDEX(K$338:K$340,MATCH(Work_Codes!$I$291,$D$338:$D$340,0)))</f>
        <v>0</v>
      </c>
      <c r="L492" s="81">
        <f ca="1">L472*(INDEX(L$338:L$340,MATCH(Work_Codes!$I$291,$D$338:$D$340,0)))</f>
        <v>0</v>
      </c>
      <c r="M492" s="81">
        <f ca="1">M472*(INDEX(M$338:M$340,MATCH(Work_Codes!$I$291,$D$338:$D$340,0)))</f>
        <v>0</v>
      </c>
      <c r="N492" s="81">
        <f ca="1">N472*(INDEX(N$338:N$340,MATCH(Work_Codes!$I$291,$D$338:$D$340,0)))</f>
        <v>0</v>
      </c>
      <c r="O492" s="81">
        <f ca="1">O472*(INDEX(O$338:O$340,MATCH(Work_Codes!$I$291,$D$338:$D$340,0)))</f>
        <v>0</v>
      </c>
      <c r="P492" s="81">
        <f ca="1">P472*(INDEX(P$338:P$340,MATCH(Work_Codes!$I$291,$D$338:$D$340,0)))</f>
        <v>0</v>
      </c>
      <c r="Q492" s="81">
        <f ca="1">Q472*(INDEX(Q$338:Q$340,MATCH(Work_Codes!$I$291,$D$338:$D$340,0)))</f>
        <v>0</v>
      </c>
      <c r="R492" s="81">
        <f ca="1">R472*(INDEX(R$338:R$340,MATCH(Work_Codes!$I$291,$D$338:$D$340,0)))</f>
        <v>0</v>
      </c>
      <c r="S492" s="81">
        <f ca="1">S472*(INDEX(S$338:S$340,MATCH(Work_Codes!$I$291,$D$338:$D$340,0)))</f>
        <v>0</v>
      </c>
      <c r="T492" s="81">
        <f ca="1">T472*(INDEX(T$338:T$340,MATCH(Work_Codes!$I$291,$D$338:$D$340,0)))</f>
        <v>0</v>
      </c>
    </row>
    <row r="493" spans="4:20" outlineLevel="2">
      <c r="E493" s="249" t="str">
        <f>"Total "&amp;D475</f>
        <v>Total Overheads</v>
      </c>
      <c r="F493" s="249"/>
      <c r="G493" s="249"/>
      <c r="H493" s="249"/>
      <c r="I493" s="249"/>
      <c r="J493" s="82">
        <f t="shared" ref="J493:T493" ca="1" si="55">SUM(J477:J492)</f>
        <v>0</v>
      </c>
      <c r="K493" s="82">
        <f t="shared" ca="1" si="55"/>
        <v>0</v>
      </c>
      <c r="L493" s="82">
        <f t="shared" ca="1" si="55"/>
        <v>0</v>
      </c>
      <c r="M493" s="82">
        <f t="shared" ca="1" si="55"/>
        <v>0</v>
      </c>
      <c r="N493" s="82">
        <f t="shared" ca="1" si="55"/>
        <v>47581.33242008675</v>
      </c>
      <c r="O493" s="82">
        <f t="shared" ca="1" si="55"/>
        <v>4660.4820196883675</v>
      </c>
      <c r="P493" s="82">
        <f t="shared" ca="1" si="55"/>
        <v>30908.806056650155</v>
      </c>
      <c r="Q493" s="82">
        <f t="shared" ca="1" si="55"/>
        <v>28812.59205955478</v>
      </c>
      <c r="R493" s="82">
        <f t="shared" ca="1" si="55"/>
        <v>6858.6430745533899</v>
      </c>
      <c r="S493" s="82">
        <f t="shared" ca="1" si="55"/>
        <v>6645.0796553498249</v>
      </c>
      <c r="T493" s="82">
        <f t="shared" ca="1" si="55"/>
        <v>7641.6221450950043</v>
      </c>
    </row>
    <row r="494" spans="4:20" outlineLevel="2"/>
    <row r="495" spans="4:20" outlineLevel="2">
      <c r="D495" s="37" t="s">
        <v>216</v>
      </c>
    </row>
    <row r="496" spans="4:20" ht="5.9" customHeight="1" outlineLevel="2"/>
    <row r="497" spans="5:20" ht="11.5" customHeight="1" outlineLevel="2">
      <c r="E497" s="247" t="str">
        <f>GC!C40</f>
        <v>Transmission pipelines</v>
      </c>
      <c r="F497" s="247"/>
      <c r="G497" s="247"/>
      <c r="H497" s="247"/>
      <c r="I497" s="247"/>
      <c r="J497" s="81">
        <f ca="1">J457*(1+INDEX(J$338:J$340,MATCH(Work_Codes!$I$291,$D$338:$D$340,0)))</f>
        <v>0</v>
      </c>
      <c r="K497" s="81">
        <f ca="1">K457*(1+INDEX(K$338:K$340,MATCH(Work_Codes!$I$291,$D$338:$D$340,0)))</f>
        <v>0</v>
      </c>
      <c r="L497" s="81">
        <f ca="1">L457*(1+INDEX(L$338:L$340,MATCH(Work_Codes!$I$291,$D$338:$D$340,0)))</f>
        <v>0</v>
      </c>
      <c r="M497" s="81">
        <f ca="1">M457*(1+INDEX(M$338:M$340,MATCH(Work_Codes!$I$291,$D$338:$D$340,0)))</f>
        <v>0</v>
      </c>
      <c r="N497" s="81">
        <f ca="1">N457*(1+INDEX(N$338:N$340,MATCH(Work_Codes!$I$291,$D$338:$D$340,0)))</f>
        <v>0</v>
      </c>
      <c r="O497" s="81">
        <f ca="1">O457*(1+INDEX(O$338:O$340,MATCH(Work_Codes!$I$291,$D$338:$D$340,0)))</f>
        <v>0</v>
      </c>
      <c r="P497" s="81">
        <f ca="1">P457*(1+INDEX(P$338:P$340,MATCH(Work_Codes!$I$291,$D$338:$D$340,0)))</f>
        <v>0</v>
      </c>
      <c r="Q497" s="81">
        <f ca="1">Q457*(1+INDEX(Q$338:Q$340,MATCH(Work_Codes!$I$291,$D$338:$D$340,0)))</f>
        <v>0</v>
      </c>
      <c r="R497" s="81">
        <f ca="1">R457*(1+INDEX(R$338:R$340,MATCH(Work_Codes!$I$291,$D$338:$D$340,0)))</f>
        <v>0</v>
      </c>
      <c r="S497" s="81">
        <f ca="1">S457*(1+INDEX(S$338:S$340,MATCH(Work_Codes!$I$291,$D$338:$D$340,0)))</f>
        <v>0</v>
      </c>
      <c r="T497" s="81">
        <f ca="1">T457*(1+INDEX(T$338:T$340,MATCH(Work_Codes!$I$291,$D$338:$D$340,0)))</f>
        <v>0</v>
      </c>
    </row>
    <row r="498" spans="5:20" ht="11.5" customHeight="1" outlineLevel="2">
      <c r="E498" s="247" t="str">
        <f>GC!C41</f>
        <v>Distribution pipelines</v>
      </c>
      <c r="F498" s="247"/>
      <c r="G498" s="247"/>
      <c r="H498" s="247"/>
      <c r="I498" s="247"/>
      <c r="J498" s="81">
        <f ca="1">J458*(1+INDEX(J$338:J$340,MATCH(Work_Codes!$I$291,$D$338:$D$340,0)))</f>
        <v>0</v>
      </c>
      <c r="K498" s="81">
        <f ca="1">K458*(1+INDEX(K$338:K$340,MATCH(Work_Codes!$I$291,$D$338:$D$340,0)))</f>
        <v>0</v>
      </c>
      <c r="L498" s="81">
        <f ca="1">L458*(1+INDEX(L$338:L$340,MATCH(Work_Codes!$I$291,$D$338:$D$340,0)))</f>
        <v>0</v>
      </c>
      <c r="M498" s="81">
        <f ca="1">M458*(1+INDEX(M$338:M$340,MATCH(Work_Codes!$I$291,$D$338:$D$340,0)))</f>
        <v>0</v>
      </c>
      <c r="N498" s="81">
        <f ca="1">N458*(1+INDEX(N$338:N$340,MATCH(Work_Codes!$I$291,$D$338:$D$340,0)))</f>
        <v>0</v>
      </c>
      <c r="O498" s="81">
        <f ca="1">O458*(1+INDEX(O$338:O$340,MATCH(Work_Codes!$I$291,$D$338:$D$340,0)))</f>
        <v>0</v>
      </c>
      <c r="P498" s="81">
        <f ca="1">P458*(1+INDEX(P$338:P$340,MATCH(Work_Codes!$I$291,$D$338:$D$340,0)))</f>
        <v>0</v>
      </c>
      <c r="Q498" s="81">
        <f ca="1">Q458*(1+INDEX(Q$338:Q$340,MATCH(Work_Codes!$I$291,$D$338:$D$340,0)))</f>
        <v>0</v>
      </c>
      <c r="R498" s="81">
        <f ca="1">R458*(1+INDEX(R$338:R$340,MATCH(Work_Codes!$I$291,$D$338:$D$340,0)))</f>
        <v>0</v>
      </c>
      <c r="S498" s="81">
        <f ca="1">S458*(1+INDEX(S$338:S$340,MATCH(Work_Codes!$I$291,$D$338:$D$340,0)))</f>
        <v>0</v>
      </c>
      <c r="T498" s="81">
        <f ca="1">T458*(1+INDEX(T$338:T$340,MATCH(Work_Codes!$I$291,$D$338:$D$340,0)))</f>
        <v>0</v>
      </c>
    </row>
    <row r="499" spans="5:20" ht="11.5" customHeight="1" outlineLevel="2">
      <c r="E499" s="247" t="str">
        <f>GC!C42</f>
        <v>Service pipes</v>
      </c>
      <c r="F499" s="247"/>
      <c r="G499" s="247"/>
      <c r="H499" s="247"/>
      <c r="I499" s="247"/>
      <c r="J499" s="81">
        <f ca="1">J459*(1+INDEX(J$338:J$340,MATCH(Work_Codes!$I$291,$D$338:$D$340,0)))</f>
        <v>0</v>
      </c>
      <c r="K499" s="81">
        <f ca="1">K459*(1+INDEX(K$338:K$340,MATCH(Work_Codes!$I$291,$D$338:$D$340,0)))</f>
        <v>0</v>
      </c>
      <c r="L499" s="81">
        <f ca="1">L459*(1+INDEX(L$338:L$340,MATCH(Work_Codes!$I$291,$D$338:$D$340,0)))</f>
        <v>0</v>
      </c>
      <c r="M499" s="81">
        <f ca="1">M459*(1+INDEX(M$338:M$340,MATCH(Work_Codes!$I$291,$D$338:$D$340,0)))</f>
        <v>0</v>
      </c>
      <c r="N499" s="81">
        <f ca="1">N459*(1+INDEX(N$338:N$340,MATCH(Work_Codes!$I$291,$D$338:$D$340,0)))</f>
        <v>0</v>
      </c>
      <c r="O499" s="81">
        <f ca="1">O459*(1+INDEX(O$338:O$340,MATCH(Work_Codes!$I$291,$D$338:$D$340,0)))</f>
        <v>0</v>
      </c>
      <c r="P499" s="81">
        <f ca="1">P459*(1+INDEX(P$338:P$340,MATCH(Work_Codes!$I$291,$D$338:$D$340,0)))</f>
        <v>0</v>
      </c>
      <c r="Q499" s="81">
        <f ca="1">Q459*(1+INDEX(Q$338:Q$340,MATCH(Work_Codes!$I$291,$D$338:$D$340,0)))</f>
        <v>0</v>
      </c>
      <c r="R499" s="81">
        <f ca="1">R459*(1+INDEX(R$338:R$340,MATCH(Work_Codes!$I$291,$D$338:$D$340,0)))</f>
        <v>0</v>
      </c>
      <c r="S499" s="81">
        <f ca="1">S459*(1+INDEX(S$338:S$340,MATCH(Work_Codes!$I$291,$D$338:$D$340,0)))</f>
        <v>0</v>
      </c>
      <c r="T499" s="81">
        <f ca="1">T459*(1+INDEX(T$338:T$340,MATCH(Work_Codes!$I$291,$D$338:$D$340,0)))</f>
        <v>0</v>
      </c>
    </row>
    <row r="500" spans="5:20" ht="11.5" customHeight="1" outlineLevel="2">
      <c r="E500" s="247" t="str">
        <f>GC!C43</f>
        <v>Cathodic protection</v>
      </c>
      <c r="F500" s="247"/>
      <c r="G500" s="247"/>
      <c r="H500" s="247"/>
      <c r="I500" s="247"/>
      <c r="J500" s="81">
        <f ca="1">J460*(1+INDEX(J$338:J$340,MATCH(Work_Codes!$I$291,$D$338:$D$340,0)))</f>
        <v>0</v>
      </c>
      <c r="K500" s="81">
        <f ca="1">K460*(1+INDEX(K$338:K$340,MATCH(Work_Codes!$I$291,$D$338:$D$340,0)))</f>
        <v>0</v>
      </c>
      <c r="L500" s="81">
        <f ca="1">L460*(1+INDEX(L$338:L$340,MATCH(Work_Codes!$I$291,$D$338:$D$340,0)))</f>
        <v>0</v>
      </c>
      <c r="M500" s="81">
        <f ca="1">M460*(1+INDEX(M$338:M$340,MATCH(Work_Codes!$I$291,$D$338:$D$340,0)))</f>
        <v>0</v>
      </c>
      <c r="N500" s="81">
        <f ca="1">N460*(1+INDEX(N$338:N$340,MATCH(Work_Codes!$I$291,$D$338:$D$340,0)))</f>
        <v>0</v>
      </c>
      <c r="O500" s="81">
        <f ca="1">O460*(1+INDEX(O$338:O$340,MATCH(Work_Codes!$I$291,$D$338:$D$340,0)))</f>
        <v>0</v>
      </c>
      <c r="P500" s="81">
        <f ca="1">P460*(1+INDEX(P$338:P$340,MATCH(Work_Codes!$I$291,$D$338:$D$340,0)))</f>
        <v>0</v>
      </c>
      <c r="Q500" s="81">
        <f ca="1">Q460*(1+INDEX(Q$338:Q$340,MATCH(Work_Codes!$I$291,$D$338:$D$340,0)))</f>
        <v>0</v>
      </c>
      <c r="R500" s="81">
        <f ca="1">R460*(1+INDEX(R$338:R$340,MATCH(Work_Codes!$I$291,$D$338:$D$340,0)))</f>
        <v>0</v>
      </c>
      <c r="S500" s="81">
        <f ca="1">S460*(1+INDEX(S$338:S$340,MATCH(Work_Codes!$I$291,$D$338:$D$340,0)))</f>
        <v>0</v>
      </c>
      <c r="T500" s="81">
        <f ca="1">T460*(1+INDEX(T$338:T$340,MATCH(Work_Codes!$I$291,$D$338:$D$340,0)))</f>
        <v>0</v>
      </c>
    </row>
    <row r="501" spans="5:20" ht="11.5" customHeight="1" outlineLevel="2">
      <c r="E501" s="247" t="str">
        <f>GC!C44</f>
        <v>Supply Regulators / Valve Stations</v>
      </c>
      <c r="F501" s="247"/>
      <c r="G501" s="247"/>
      <c r="H501" s="247"/>
      <c r="I501" s="247"/>
      <c r="J501" s="81">
        <f ca="1">J461*(1+INDEX(J$338:J$340,MATCH(Work_Codes!$I$291,$D$338:$D$340,0)))</f>
        <v>0</v>
      </c>
      <c r="K501" s="81">
        <f ca="1">K461*(1+INDEX(K$338:K$340,MATCH(Work_Codes!$I$291,$D$338:$D$340,0)))</f>
        <v>0</v>
      </c>
      <c r="L501" s="81">
        <f ca="1">L461*(1+INDEX(L$338:L$340,MATCH(Work_Codes!$I$291,$D$338:$D$340,0)))</f>
        <v>0</v>
      </c>
      <c r="M501" s="81">
        <f ca="1">M461*(1+INDEX(M$338:M$340,MATCH(Work_Codes!$I$291,$D$338:$D$340,0)))</f>
        <v>0</v>
      </c>
      <c r="N501" s="81">
        <f ca="1">N461*(1+INDEX(N$338:N$340,MATCH(Work_Codes!$I$291,$D$338:$D$340,0)))</f>
        <v>0</v>
      </c>
      <c r="O501" s="81">
        <f ca="1">O461*(1+INDEX(O$338:O$340,MATCH(Work_Codes!$I$291,$D$338:$D$340,0)))</f>
        <v>0</v>
      </c>
      <c r="P501" s="81">
        <f ca="1">P461*(1+INDEX(P$338:P$340,MATCH(Work_Codes!$I$291,$D$338:$D$340,0)))</f>
        <v>0</v>
      </c>
      <c r="Q501" s="81">
        <f ca="1">Q461*(1+INDEX(Q$338:Q$340,MATCH(Work_Codes!$I$291,$D$338:$D$340,0)))</f>
        <v>0</v>
      </c>
      <c r="R501" s="81">
        <f ca="1">R461*(1+INDEX(R$338:R$340,MATCH(Work_Codes!$I$291,$D$338:$D$340,0)))</f>
        <v>0</v>
      </c>
      <c r="S501" s="81">
        <f ca="1">S461*(1+INDEX(S$338:S$340,MATCH(Work_Codes!$I$291,$D$338:$D$340,0)))</f>
        <v>0</v>
      </c>
      <c r="T501" s="81">
        <f ca="1">T461*(1+INDEX(T$338:T$340,MATCH(Work_Codes!$I$291,$D$338:$D$340,0)))</f>
        <v>0</v>
      </c>
    </row>
    <row r="502" spans="5:20" ht="11.5" customHeight="1" outlineLevel="2">
      <c r="E502" s="247" t="str">
        <f>GC!C45</f>
        <v>Meters</v>
      </c>
      <c r="F502" s="247"/>
      <c r="G502" s="247"/>
      <c r="H502" s="247"/>
      <c r="I502" s="247"/>
      <c r="J502" s="81">
        <f ca="1">J462*(1+INDEX(J$338:J$340,MATCH(Work_Codes!$I$291,$D$338:$D$340,0)))</f>
        <v>0</v>
      </c>
      <c r="K502" s="81">
        <f ca="1">K462*(1+INDEX(K$338:K$340,MATCH(Work_Codes!$I$291,$D$338:$D$340,0)))</f>
        <v>0</v>
      </c>
      <c r="L502" s="81">
        <f ca="1">L462*(1+INDEX(L$338:L$340,MATCH(Work_Codes!$I$291,$D$338:$D$340,0)))</f>
        <v>0</v>
      </c>
      <c r="M502" s="81">
        <f ca="1">M462*(1+INDEX(M$338:M$340,MATCH(Work_Codes!$I$291,$D$338:$D$340,0)))</f>
        <v>0</v>
      </c>
      <c r="N502" s="81">
        <f ca="1">N462*(1+INDEX(N$338:N$340,MATCH(Work_Codes!$I$291,$D$338:$D$340,0)))</f>
        <v>0</v>
      </c>
      <c r="O502" s="81">
        <f ca="1">O462*(1+INDEX(O$338:O$340,MATCH(Work_Codes!$I$291,$D$338:$D$340,0)))</f>
        <v>0</v>
      </c>
      <c r="P502" s="81">
        <f ca="1">P462*(1+INDEX(P$338:P$340,MATCH(Work_Codes!$I$291,$D$338:$D$340,0)))</f>
        <v>0</v>
      </c>
      <c r="Q502" s="81">
        <f ca="1">Q462*(1+INDEX(Q$338:Q$340,MATCH(Work_Codes!$I$291,$D$338:$D$340,0)))</f>
        <v>0</v>
      </c>
      <c r="R502" s="81">
        <f ca="1">R462*(1+INDEX(R$338:R$340,MATCH(Work_Codes!$I$291,$D$338:$D$340,0)))</f>
        <v>0</v>
      </c>
      <c r="S502" s="81">
        <f ca="1">S462*(1+INDEX(S$338:S$340,MATCH(Work_Codes!$I$291,$D$338:$D$340,0)))</f>
        <v>0</v>
      </c>
      <c r="T502" s="81">
        <f ca="1">T462*(1+INDEX(T$338:T$340,MATCH(Work_Codes!$I$291,$D$338:$D$340,0)))</f>
        <v>0</v>
      </c>
    </row>
    <row r="503" spans="5:20" ht="11.5" customHeight="1" outlineLevel="2">
      <c r="E503" s="247" t="str">
        <f>GC!C46</f>
        <v>SCADA and remote control</v>
      </c>
      <c r="F503" s="247"/>
      <c r="G503" s="247"/>
      <c r="H503" s="247"/>
      <c r="I503" s="247"/>
      <c r="J503" s="81">
        <f ca="1">J463*(1+INDEX(J$338:J$340,MATCH(Work_Codes!$I$291,$D$338:$D$340,0)))</f>
        <v>0</v>
      </c>
      <c r="K503" s="81">
        <f ca="1">K463*(1+INDEX(K$338:K$340,MATCH(Work_Codes!$I$291,$D$338:$D$340,0)))</f>
        <v>0</v>
      </c>
      <c r="L503" s="81">
        <f ca="1">L463*(1+INDEX(L$338:L$340,MATCH(Work_Codes!$I$291,$D$338:$D$340,0)))</f>
        <v>0</v>
      </c>
      <c r="M503" s="81">
        <f ca="1">M463*(1+INDEX(M$338:M$340,MATCH(Work_Codes!$I$291,$D$338:$D$340,0)))</f>
        <v>0</v>
      </c>
      <c r="N503" s="81">
        <f ca="1">N463*(1+INDEX(N$338:N$340,MATCH(Work_Codes!$I$291,$D$338:$D$340,0)))</f>
        <v>1309317.2477967648</v>
      </c>
      <c r="O503" s="81">
        <f ca="1">O463*(1+INDEX(O$338:O$340,MATCH(Work_Codes!$I$291,$D$338:$D$340,0)))</f>
        <v>144682.30489869133</v>
      </c>
      <c r="P503" s="81">
        <f ca="1">P463*(1+INDEX(P$338:P$340,MATCH(Work_Codes!$I$291,$D$338:$D$340,0)))</f>
        <v>1186263.281590621</v>
      </c>
      <c r="Q503" s="81">
        <f ca="1">Q463*(1+INDEX(Q$338:Q$340,MATCH(Work_Codes!$I$291,$D$338:$D$340,0)))</f>
        <v>1134412.8486350176</v>
      </c>
      <c r="R503" s="81">
        <f ca="1">R463*(1+INDEX(R$338:R$340,MATCH(Work_Codes!$I$291,$D$338:$D$340,0)))</f>
        <v>262082.90334976985</v>
      </c>
      <c r="S503" s="81">
        <f ca="1">S463*(1+INDEX(S$338:S$340,MATCH(Work_Codes!$I$291,$D$338:$D$340,0)))</f>
        <v>239428.58711132233</v>
      </c>
      <c r="T503" s="81">
        <f ca="1">T463*(1+INDEX(T$338:T$340,MATCH(Work_Codes!$I$291,$D$338:$D$340,0)))</f>
        <v>263040.20344222145</v>
      </c>
    </row>
    <row r="504" spans="5:20" ht="11.5" customHeight="1" outlineLevel="2">
      <c r="E504" s="247" t="str">
        <f>GC!C47</f>
        <v>Buildings</v>
      </c>
      <c r="F504" s="247"/>
      <c r="G504" s="247"/>
      <c r="H504" s="247"/>
      <c r="I504" s="247"/>
      <c r="J504" s="81">
        <f ca="1">J464*(1+INDEX(J$338:J$340,MATCH(Work_Codes!$I$291,$D$338:$D$340,0)))</f>
        <v>0</v>
      </c>
      <c r="K504" s="81">
        <f ca="1">K464*(1+INDEX(K$338:K$340,MATCH(Work_Codes!$I$291,$D$338:$D$340,0)))</f>
        <v>0</v>
      </c>
      <c r="L504" s="81">
        <f ca="1">L464*(1+INDEX(L$338:L$340,MATCH(Work_Codes!$I$291,$D$338:$D$340,0)))</f>
        <v>0</v>
      </c>
      <c r="M504" s="81">
        <f ca="1">M464*(1+INDEX(M$338:M$340,MATCH(Work_Codes!$I$291,$D$338:$D$340,0)))</f>
        <v>0</v>
      </c>
      <c r="N504" s="81">
        <f ca="1">N464*(1+INDEX(N$338:N$340,MATCH(Work_Codes!$I$291,$D$338:$D$340,0)))</f>
        <v>0</v>
      </c>
      <c r="O504" s="81">
        <f ca="1">O464*(1+INDEX(O$338:O$340,MATCH(Work_Codes!$I$291,$D$338:$D$340,0)))</f>
        <v>0</v>
      </c>
      <c r="P504" s="81">
        <f ca="1">P464*(1+INDEX(P$338:P$340,MATCH(Work_Codes!$I$291,$D$338:$D$340,0)))</f>
        <v>0</v>
      </c>
      <c r="Q504" s="81">
        <f ca="1">Q464*(1+INDEX(Q$338:Q$340,MATCH(Work_Codes!$I$291,$D$338:$D$340,0)))</f>
        <v>0</v>
      </c>
      <c r="R504" s="81">
        <f ca="1">R464*(1+INDEX(R$338:R$340,MATCH(Work_Codes!$I$291,$D$338:$D$340,0)))</f>
        <v>0</v>
      </c>
      <c r="S504" s="81">
        <f ca="1">S464*(1+INDEX(S$338:S$340,MATCH(Work_Codes!$I$291,$D$338:$D$340,0)))</f>
        <v>0</v>
      </c>
      <c r="T504" s="81">
        <f ca="1">T464*(1+INDEX(T$338:T$340,MATCH(Work_Codes!$I$291,$D$338:$D$340,0)))</f>
        <v>0</v>
      </c>
    </row>
    <row r="505" spans="5:20" ht="11.5" customHeight="1" outlineLevel="2">
      <c r="E505" s="247" t="str">
        <f>GC!C48</f>
        <v>Other - IT</v>
      </c>
      <c r="F505" s="247"/>
      <c r="G505" s="247"/>
      <c r="H505" s="247"/>
      <c r="I505" s="247"/>
      <c r="J505" s="81">
        <f ca="1">J465*(1+INDEX(J$338:J$340,MATCH(Work_Codes!$I$291,$D$338:$D$340,0)))</f>
        <v>0</v>
      </c>
      <c r="K505" s="81">
        <f ca="1">K465*(1+INDEX(K$338:K$340,MATCH(Work_Codes!$I$291,$D$338:$D$340,0)))</f>
        <v>0</v>
      </c>
      <c r="L505" s="81">
        <f ca="1">L465*(1+INDEX(L$338:L$340,MATCH(Work_Codes!$I$291,$D$338:$D$340,0)))</f>
        <v>0</v>
      </c>
      <c r="M505" s="81">
        <f ca="1">M465*(1+INDEX(M$338:M$340,MATCH(Work_Codes!$I$291,$D$338:$D$340,0)))</f>
        <v>0</v>
      </c>
      <c r="N505" s="81">
        <f ca="1">N465*(1+INDEX(N$338:N$340,MATCH(Work_Codes!$I$291,$D$338:$D$340,0)))</f>
        <v>0</v>
      </c>
      <c r="O505" s="81">
        <f ca="1">O465*(1+INDEX(O$338:O$340,MATCH(Work_Codes!$I$291,$D$338:$D$340,0)))</f>
        <v>0</v>
      </c>
      <c r="P505" s="81">
        <f ca="1">P465*(1+INDEX(P$338:P$340,MATCH(Work_Codes!$I$291,$D$338:$D$340,0)))</f>
        <v>0</v>
      </c>
      <c r="Q505" s="81">
        <f ca="1">Q465*(1+INDEX(Q$338:Q$340,MATCH(Work_Codes!$I$291,$D$338:$D$340,0)))</f>
        <v>0</v>
      </c>
      <c r="R505" s="81">
        <f ca="1">R465*(1+INDEX(R$338:R$340,MATCH(Work_Codes!$I$291,$D$338:$D$340,0)))</f>
        <v>0</v>
      </c>
      <c r="S505" s="81">
        <f ca="1">S465*(1+INDEX(S$338:S$340,MATCH(Work_Codes!$I$291,$D$338:$D$340,0)))</f>
        <v>0</v>
      </c>
      <c r="T505" s="81">
        <f ca="1">T465*(1+INDEX(T$338:T$340,MATCH(Work_Codes!$I$291,$D$338:$D$340,0)))</f>
        <v>0</v>
      </c>
    </row>
    <row r="506" spans="5:20" ht="11.5" customHeight="1" outlineLevel="2">
      <c r="E506" s="247" t="str">
        <f>GC!C49</f>
        <v>Other - non IT</v>
      </c>
      <c r="F506" s="247"/>
      <c r="G506" s="247"/>
      <c r="H506" s="247"/>
      <c r="I506" s="247"/>
      <c r="J506" s="81">
        <f ca="1">J466*(1+INDEX(J$338:J$340,MATCH(Work_Codes!$I$291,$D$338:$D$340,0)))</f>
        <v>0</v>
      </c>
      <c r="K506" s="81">
        <f ca="1">K466*(1+INDEX(K$338:K$340,MATCH(Work_Codes!$I$291,$D$338:$D$340,0)))</f>
        <v>0</v>
      </c>
      <c r="L506" s="81">
        <f ca="1">L466*(1+INDEX(L$338:L$340,MATCH(Work_Codes!$I$291,$D$338:$D$340,0)))</f>
        <v>0</v>
      </c>
      <c r="M506" s="81">
        <f ca="1">M466*(1+INDEX(M$338:M$340,MATCH(Work_Codes!$I$291,$D$338:$D$340,0)))</f>
        <v>0</v>
      </c>
      <c r="N506" s="81">
        <f ca="1">N466*(1+INDEX(N$338:N$340,MATCH(Work_Codes!$I$291,$D$338:$D$340,0)))</f>
        <v>0</v>
      </c>
      <c r="O506" s="81">
        <f ca="1">O466*(1+INDEX(O$338:O$340,MATCH(Work_Codes!$I$291,$D$338:$D$340,0)))</f>
        <v>0</v>
      </c>
      <c r="P506" s="81">
        <f ca="1">P466*(1+INDEX(P$338:P$340,MATCH(Work_Codes!$I$291,$D$338:$D$340,0)))</f>
        <v>0</v>
      </c>
      <c r="Q506" s="81">
        <f ca="1">Q466*(1+INDEX(Q$338:Q$340,MATCH(Work_Codes!$I$291,$D$338:$D$340,0)))</f>
        <v>0</v>
      </c>
      <c r="R506" s="81">
        <f ca="1">R466*(1+INDEX(R$338:R$340,MATCH(Work_Codes!$I$291,$D$338:$D$340,0)))</f>
        <v>0</v>
      </c>
      <c r="S506" s="81">
        <f ca="1">S466*(1+INDEX(S$338:S$340,MATCH(Work_Codes!$I$291,$D$338:$D$340,0)))</f>
        <v>0</v>
      </c>
      <c r="T506" s="81">
        <f ca="1">T466*(1+INDEX(T$338:T$340,MATCH(Work_Codes!$I$291,$D$338:$D$340,0)))</f>
        <v>0</v>
      </c>
    </row>
    <row r="507" spans="5:20" ht="11.5" customHeight="1" outlineLevel="2">
      <c r="E507" s="247" t="str">
        <f>GC!C50</f>
        <v>Land</v>
      </c>
      <c r="F507" s="247"/>
      <c r="G507" s="247"/>
      <c r="H507" s="247"/>
      <c r="I507" s="247"/>
      <c r="J507" s="81">
        <f ca="1">J467*(1+INDEX(J$338:J$340,MATCH(Work_Codes!$I$291,$D$338:$D$340,0)))</f>
        <v>0</v>
      </c>
      <c r="K507" s="81">
        <f ca="1">K467*(1+INDEX(K$338:K$340,MATCH(Work_Codes!$I$291,$D$338:$D$340,0)))</f>
        <v>0</v>
      </c>
      <c r="L507" s="81">
        <f ca="1">L467*(1+INDEX(L$338:L$340,MATCH(Work_Codes!$I$291,$D$338:$D$340,0)))</f>
        <v>0</v>
      </c>
      <c r="M507" s="81">
        <f ca="1">M467*(1+INDEX(M$338:M$340,MATCH(Work_Codes!$I$291,$D$338:$D$340,0)))</f>
        <v>0</v>
      </c>
      <c r="N507" s="81">
        <f ca="1">N467*(1+INDEX(N$338:N$340,MATCH(Work_Codes!$I$291,$D$338:$D$340,0)))</f>
        <v>0</v>
      </c>
      <c r="O507" s="81">
        <f ca="1">O467*(1+INDEX(O$338:O$340,MATCH(Work_Codes!$I$291,$D$338:$D$340,0)))</f>
        <v>0</v>
      </c>
      <c r="P507" s="81">
        <f ca="1">P467*(1+INDEX(P$338:P$340,MATCH(Work_Codes!$I$291,$D$338:$D$340,0)))</f>
        <v>0</v>
      </c>
      <c r="Q507" s="81">
        <f ca="1">Q467*(1+INDEX(Q$338:Q$340,MATCH(Work_Codes!$I$291,$D$338:$D$340,0)))</f>
        <v>0</v>
      </c>
      <c r="R507" s="81">
        <f ca="1">R467*(1+INDEX(R$338:R$340,MATCH(Work_Codes!$I$291,$D$338:$D$340,0)))</f>
        <v>0</v>
      </c>
      <c r="S507" s="81">
        <f ca="1">S467*(1+INDEX(S$338:S$340,MATCH(Work_Codes!$I$291,$D$338:$D$340,0)))</f>
        <v>0</v>
      </c>
      <c r="T507" s="81">
        <f ca="1">T467*(1+INDEX(T$338:T$340,MATCH(Work_Codes!$I$291,$D$338:$D$340,0)))</f>
        <v>0</v>
      </c>
    </row>
    <row r="508" spans="5:20" outlineLevel="2">
      <c r="E508" s="247" t="str">
        <f>GC!C51</f>
        <v>Capitalised Leases</v>
      </c>
      <c r="F508" s="247"/>
      <c r="G508" s="247"/>
      <c r="H508" s="247"/>
      <c r="I508" s="247"/>
      <c r="J508" s="81">
        <f ca="1">J468*(1+INDEX(J$338:J$340,MATCH(Work_Codes!$I$291,$D$338:$D$340,0)))</f>
        <v>0</v>
      </c>
      <c r="K508" s="81">
        <f ca="1">K468*(1+INDEX(K$338:K$340,MATCH(Work_Codes!$I$291,$D$338:$D$340,0)))</f>
        <v>0</v>
      </c>
      <c r="L508" s="81">
        <f ca="1">L468*(1+INDEX(L$338:L$340,MATCH(Work_Codes!$I$291,$D$338:$D$340,0)))</f>
        <v>0</v>
      </c>
      <c r="M508" s="81">
        <f ca="1">M468*(1+INDEX(M$338:M$340,MATCH(Work_Codes!$I$291,$D$338:$D$340,0)))</f>
        <v>0</v>
      </c>
      <c r="N508" s="81">
        <f ca="1">N468*(1+INDEX(N$338:N$340,MATCH(Work_Codes!$I$291,$D$338:$D$340,0)))</f>
        <v>0</v>
      </c>
      <c r="O508" s="81">
        <f ca="1">O468*(1+INDEX(O$338:O$340,MATCH(Work_Codes!$I$291,$D$338:$D$340,0)))</f>
        <v>0</v>
      </c>
      <c r="P508" s="81">
        <f ca="1">P468*(1+INDEX(P$338:P$340,MATCH(Work_Codes!$I$291,$D$338:$D$340,0)))</f>
        <v>0</v>
      </c>
      <c r="Q508" s="81">
        <f ca="1">Q468*(1+INDEX(Q$338:Q$340,MATCH(Work_Codes!$I$291,$D$338:$D$340,0)))</f>
        <v>0</v>
      </c>
      <c r="R508" s="81">
        <f ca="1">R468*(1+INDEX(R$338:R$340,MATCH(Work_Codes!$I$291,$D$338:$D$340,0)))</f>
        <v>0</v>
      </c>
      <c r="S508" s="81">
        <f ca="1">S468*(1+INDEX(S$338:S$340,MATCH(Work_Codes!$I$291,$D$338:$D$340,0)))</f>
        <v>0</v>
      </c>
      <c r="T508" s="81">
        <f ca="1">T468*(1+INDEX(T$338:T$340,MATCH(Work_Codes!$I$291,$D$338:$D$340,0)))</f>
        <v>0</v>
      </c>
    </row>
    <row r="509" spans="5:20" outlineLevel="2">
      <c r="E509" s="247" t="str">
        <f>GC!C52</f>
        <v>Transmission pipelines - post 1998</v>
      </c>
      <c r="F509" s="247"/>
      <c r="G509" s="247"/>
      <c r="H509" s="247"/>
      <c r="I509" s="247"/>
      <c r="J509" s="81">
        <f ca="1">J469*(1+INDEX(J$338:J$340,MATCH(Work_Codes!$I$291,$D$338:$D$340,0)))</f>
        <v>0</v>
      </c>
      <c r="K509" s="81">
        <f ca="1">K469*(1+INDEX(K$338:K$340,MATCH(Work_Codes!$I$291,$D$338:$D$340,0)))</f>
        <v>0</v>
      </c>
      <c r="L509" s="81">
        <f ca="1">L469*(1+INDEX(L$338:L$340,MATCH(Work_Codes!$I$291,$D$338:$D$340,0)))</f>
        <v>0</v>
      </c>
      <c r="M509" s="81">
        <f ca="1">M469*(1+INDEX(M$338:M$340,MATCH(Work_Codes!$I$291,$D$338:$D$340,0)))</f>
        <v>0</v>
      </c>
      <c r="N509" s="81">
        <f ca="1">N469*(1+INDEX(N$338:N$340,MATCH(Work_Codes!$I$291,$D$338:$D$340,0)))</f>
        <v>0</v>
      </c>
      <c r="O509" s="81">
        <f ca="1">O469*(1+INDEX(O$338:O$340,MATCH(Work_Codes!$I$291,$D$338:$D$340,0)))</f>
        <v>0</v>
      </c>
      <c r="P509" s="81">
        <f ca="1">P469*(1+INDEX(P$338:P$340,MATCH(Work_Codes!$I$291,$D$338:$D$340,0)))</f>
        <v>0</v>
      </c>
      <c r="Q509" s="81">
        <f ca="1">Q469*(1+INDEX(Q$338:Q$340,MATCH(Work_Codes!$I$291,$D$338:$D$340,0)))</f>
        <v>0</v>
      </c>
      <c r="R509" s="81">
        <f ca="1">R469*(1+INDEX(R$338:R$340,MATCH(Work_Codes!$I$291,$D$338:$D$340,0)))</f>
        <v>0</v>
      </c>
      <c r="S509" s="81">
        <f ca="1">S469*(1+INDEX(S$338:S$340,MATCH(Work_Codes!$I$291,$D$338:$D$340,0)))</f>
        <v>0</v>
      </c>
      <c r="T509" s="81">
        <f ca="1">T469*(1+INDEX(T$338:T$340,MATCH(Work_Codes!$I$291,$D$338:$D$340,0)))</f>
        <v>0</v>
      </c>
    </row>
    <row r="510" spans="5:20" outlineLevel="2">
      <c r="E510" s="247" t="str">
        <f>GC!C53</f>
        <v>Distribution pipelines - post 1998</v>
      </c>
      <c r="F510" s="247"/>
      <c r="G510" s="247"/>
      <c r="H510" s="247"/>
      <c r="I510" s="247"/>
      <c r="J510" s="81">
        <f ca="1">J470*(1+INDEX(J$338:J$340,MATCH(Work_Codes!$I$291,$D$338:$D$340,0)))</f>
        <v>0</v>
      </c>
      <c r="K510" s="81">
        <f ca="1">K470*(1+INDEX(K$338:K$340,MATCH(Work_Codes!$I$291,$D$338:$D$340,0)))</f>
        <v>0</v>
      </c>
      <c r="L510" s="81">
        <f ca="1">L470*(1+INDEX(L$338:L$340,MATCH(Work_Codes!$I$291,$D$338:$D$340,0)))</f>
        <v>0</v>
      </c>
      <c r="M510" s="81">
        <f ca="1">M470*(1+INDEX(M$338:M$340,MATCH(Work_Codes!$I$291,$D$338:$D$340,0)))</f>
        <v>0</v>
      </c>
      <c r="N510" s="81">
        <f ca="1">N470*(1+INDEX(N$338:N$340,MATCH(Work_Codes!$I$291,$D$338:$D$340,0)))</f>
        <v>0</v>
      </c>
      <c r="O510" s="81">
        <f ca="1">O470*(1+INDEX(O$338:O$340,MATCH(Work_Codes!$I$291,$D$338:$D$340,0)))</f>
        <v>0</v>
      </c>
      <c r="P510" s="81">
        <f ca="1">P470*(1+INDEX(P$338:P$340,MATCH(Work_Codes!$I$291,$D$338:$D$340,0)))</f>
        <v>0</v>
      </c>
      <c r="Q510" s="81">
        <f ca="1">Q470*(1+INDEX(Q$338:Q$340,MATCH(Work_Codes!$I$291,$D$338:$D$340,0)))</f>
        <v>0</v>
      </c>
      <c r="R510" s="81">
        <f ca="1">R470*(1+INDEX(R$338:R$340,MATCH(Work_Codes!$I$291,$D$338:$D$340,0)))</f>
        <v>0</v>
      </c>
      <c r="S510" s="81">
        <f ca="1">S470*(1+INDEX(S$338:S$340,MATCH(Work_Codes!$I$291,$D$338:$D$340,0)))</f>
        <v>0</v>
      </c>
      <c r="T510" s="81">
        <f ca="1">T470*(1+INDEX(T$338:T$340,MATCH(Work_Codes!$I$291,$D$338:$D$340,0)))</f>
        <v>0</v>
      </c>
    </row>
    <row r="511" spans="5:20" outlineLevel="2">
      <c r="E511" s="247" t="str">
        <f>GC!C54</f>
        <v>Service pipes - post 1998</v>
      </c>
      <c r="F511" s="247"/>
      <c r="G511" s="247"/>
      <c r="H511" s="247"/>
      <c r="I511" s="247"/>
      <c r="J511" s="81">
        <f ca="1">J471*(1+INDEX(J$338:J$340,MATCH(Work_Codes!$I$291,$D$338:$D$340,0)))</f>
        <v>0</v>
      </c>
      <c r="K511" s="81">
        <f ca="1">K471*(1+INDEX(K$338:K$340,MATCH(Work_Codes!$I$291,$D$338:$D$340,0)))</f>
        <v>0</v>
      </c>
      <c r="L511" s="81">
        <f ca="1">L471*(1+INDEX(L$338:L$340,MATCH(Work_Codes!$I$291,$D$338:$D$340,0)))</f>
        <v>0</v>
      </c>
      <c r="M511" s="81">
        <f ca="1">M471*(1+INDEX(M$338:M$340,MATCH(Work_Codes!$I$291,$D$338:$D$340,0)))</f>
        <v>0</v>
      </c>
      <c r="N511" s="81">
        <f ca="1">N471*(1+INDEX(N$338:N$340,MATCH(Work_Codes!$I$291,$D$338:$D$340,0)))</f>
        <v>0</v>
      </c>
      <c r="O511" s="81">
        <f ca="1">O471*(1+INDEX(O$338:O$340,MATCH(Work_Codes!$I$291,$D$338:$D$340,0)))</f>
        <v>0</v>
      </c>
      <c r="P511" s="81">
        <f ca="1">P471*(1+INDEX(P$338:P$340,MATCH(Work_Codes!$I$291,$D$338:$D$340,0)))</f>
        <v>0</v>
      </c>
      <c r="Q511" s="81">
        <f ca="1">Q471*(1+INDEX(Q$338:Q$340,MATCH(Work_Codes!$I$291,$D$338:$D$340,0)))</f>
        <v>0</v>
      </c>
      <c r="R511" s="81">
        <f ca="1">R471*(1+INDEX(R$338:R$340,MATCH(Work_Codes!$I$291,$D$338:$D$340,0)))</f>
        <v>0</v>
      </c>
      <c r="S511" s="81">
        <f ca="1">S471*(1+INDEX(S$338:S$340,MATCH(Work_Codes!$I$291,$D$338:$D$340,0)))</f>
        <v>0</v>
      </c>
      <c r="T511" s="81">
        <f ca="1">T471*(1+INDEX(T$338:T$340,MATCH(Work_Codes!$I$291,$D$338:$D$340,0)))</f>
        <v>0</v>
      </c>
    </row>
    <row r="512" spans="5:20" outlineLevel="2">
      <c r="E512" s="247" t="str">
        <f>GC!C55</f>
        <v>Cathodic protection - post 1998</v>
      </c>
      <c r="F512" s="247"/>
      <c r="G512" s="247"/>
      <c r="H512" s="247"/>
      <c r="I512" s="247"/>
      <c r="J512" s="81">
        <f ca="1">J472*(1+INDEX(J$338:J$340,MATCH(Work_Codes!$I$291,$D$338:$D$340,0)))</f>
        <v>0</v>
      </c>
      <c r="K512" s="81">
        <f ca="1">K472*(1+INDEX(K$338:K$340,MATCH(Work_Codes!$I$291,$D$338:$D$340,0)))</f>
        <v>0</v>
      </c>
      <c r="L512" s="81">
        <f ca="1">L472*(1+INDEX(L$338:L$340,MATCH(Work_Codes!$I$291,$D$338:$D$340,0)))</f>
        <v>0</v>
      </c>
      <c r="M512" s="81">
        <f ca="1">M472*(1+INDEX(M$338:M$340,MATCH(Work_Codes!$I$291,$D$338:$D$340,0)))</f>
        <v>0</v>
      </c>
      <c r="N512" s="81">
        <f ca="1">N472*(1+INDEX(N$338:N$340,MATCH(Work_Codes!$I$291,$D$338:$D$340,0)))</f>
        <v>0</v>
      </c>
      <c r="O512" s="81">
        <f ca="1">O472*(1+INDEX(O$338:O$340,MATCH(Work_Codes!$I$291,$D$338:$D$340,0)))</f>
        <v>0</v>
      </c>
      <c r="P512" s="81">
        <f ca="1">P472*(1+INDEX(P$338:P$340,MATCH(Work_Codes!$I$291,$D$338:$D$340,0)))</f>
        <v>0</v>
      </c>
      <c r="Q512" s="81">
        <f ca="1">Q472*(1+INDEX(Q$338:Q$340,MATCH(Work_Codes!$I$291,$D$338:$D$340,0)))</f>
        <v>0</v>
      </c>
      <c r="R512" s="81">
        <f ca="1">R472*(1+INDEX(R$338:R$340,MATCH(Work_Codes!$I$291,$D$338:$D$340,0)))</f>
        <v>0</v>
      </c>
      <c r="S512" s="81">
        <f ca="1">S472*(1+INDEX(S$338:S$340,MATCH(Work_Codes!$I$291,$D$338:$D$340,0)))</f>
        <v>0</v>
      </c>
      <c r="T512" s="81">
        <f ca="1">T472*(1+INDEX(T$338:T$340,MATCH(Work_Codes!$I$291,$D$338:$D$340,0)))</f>
        <v>0</v>
      </c>
    </row>
    <row r="513" spans="4:20" ht="12" customHeight="1" outlineLevel="2">
      <c r="E513" s="249" t="str">
        <f>"Total "&amp;D495</f>
        <v>Total Direct Costs + Overheads</v>
      </c>
      <c r="F513" s="249"/>
      <c r="G513" s="249"/>
      <c r="H513" s="249"/>
      <c r="I513" s="249"/>
      <c r="J513" s="82">
        <f t="shared" ref="J513:T513" ca="1" si="56">SUM(J497:J512)</f>
        <v>0</v>
      </c>
      <c r="K513" s="82">
        <f t="shared" ca="1" si="56"/>
        <v>0</v>
      </c>
      <c r="L513" s="82">
        <f t="shared" ca="1" si="56"/>
        <v>0</v>
      </c>
      <c r="M513" s="82">
        <f t="shared" ca="1" si="56"/>
        <v>0</v>
      </c>
      <c r="N513" s="82">
        <f t="shared" ca="1" si="56"/>
        <v>1309317.2477967648</v>
      </c>
      <c r="O513" s="82">
        <f t="shared" ca="1" si="56"/>
        <v>144682.30489869133</v>
      </c>
      <c r="P513" s="82">
        <f t="shared" ca="1" si="56"/>
        <v>1186263.281590621</v>
      </c>
      <c r="Q513" s="82">
        <f t="shared" ca="1" si="56"/>
        <v>1134412.8486350176</v>
      </c>
      <c r="R513" s="82">
        <f t="shared" ca="1" si="56"/>
        <v>262082.90334976985</v>
      </c>
      <c r="S513" s="82">
        <f t="shared" ca="1" si="56"/>
        <v>239428.58711132233</v>
      </c>
      <c r="T513" s="82">
        <f t="shared" ca="1" si="56"/>
        <v>263040.20344222145</v>
      </c>
    </row>
    <row r="514" spans="4:20" outlineLevel="2"/>
    <row r="515" spans="4:20" outlineLevel="2">
      <c r="D515" s="37" t="s">
        <v>367</v>
      </c>
    </row>
    <row r="516" spans="4:20" ht="5.9" customHeight="1" outlineLevel="2"/>
    <row r="517" spans="4:20" outlineLevel="2">
      <c r="E517" s="247" t="str">
        <f>GC!C40</f>
        <v>Transmission pipelines</v>
      </c>
      <c r="F517" s="247"/>
      <c r="G517" s="247"/>
      <c r="H517" s="247"/>
      <c r="I517" s="247"/>
      <c r="J517" s="81">
        <f ca="1">SUMPRODUCT((Work_Codes!$N$294:$Y$294=$E517)*(Work_Codes!$N$309:$Y$309)*(J$389:J$389))</f>
        <v>0</v>
      </c>
      <c r="K517" s="81">
        <f ca="1">SUMPRODUCT((Work_Codes!$N$294:$Y$294=$E517)*(Work_Codes!$N$309:$Y$309)*(K$389:K$389))</f>
        <v>0</v>
      </c>
      <c r="L517" s="81">
        <f ca="1">SUMPRODUCT((Work_Codes!$N$294:$Y$294=$E517)*(Work_Codes!$N$309:$Y$309)*(L$389:L$389))</f>
        <v>0</v>
      </c>
      <c r="M517" s="81">
        <f ca="1">SUMPRODUCT((Work_Codes!$N$294:$Y$294=$E517)*(Work_Codes!$N$309:$Y$309)*(M$389:M$389))</f>
        <v>0</v>
      </c>
      <c r="N517" s="81">
        <f ca="1">SUMPRODUCT((Work_Codes!$N$294:$Y$294=$E517)*(Work_Codes!$N$309:$Y$309)*(N$389:N$389))</f>
        <v>0</v>
      </c>
      <c r="O517" s="81">
        <f ca="1">SUMPRODUCT((Work_Codes!$N$294:$Y$294=$E517)*(Work_Codes!$N$309:$Y$309)*(O$389:O$389))</f>
        <v>0</v>
      </c>
      <c r="P517" s="81">
        <f ca="1">SUMPRODUCT((Work_Codes!$N$294:$Y$294=$E517)*(Work_Codes!$N$309:$Y$309)*(P$389:P$389))</f>
        <v>0</v>
      </c>
      <c r="Q517" s="81">
        <f ca="1">SUMPRODUCT((Work_Codes!$N$294:$Y$294=$E517)*(Work_Codes!$N$309:$Y$309)*(Q$389:Q$389))</f>
        <v>0</v>
      </c>
      <c r="R517" s="81">
        <f ca="1">SUMPRODUCT((Work_Codes!$N$294:$Y$294=$E517)*(Work_Codes!$N$309:$Y$309)*(R$389:R$389))</f>
        <v>0</v>
      </c>
      <c r="S517" s="81">
        <f ca="1">SUMPRODUCT((Work_Codes!$N$294:$Y$294=$E517)*(Work_Codes!$N$309:$Y$309)*(S$389:S$389))</f>
        <v>0</v>
      </c>
      <c r="T517" s="81">
        <f ca="1">SUMPRODUCT((Work_Codes!$N$294:$Y$294=$E517)*(Work_Codes!$N$309:$Y$309)*(T$389:T$389))</f>
        <v>0</v>
      </c>
    </row>
    <row r="518" spans="4:20" outlineLevel="2">
      <c r="E518" s="247" t="str">
        <f>GC!C41</f>
        <v>Distribution pipelines</v>
      </c>
      <c r="F518" s="247"/>
      <c r="G518" s="247"/>
      <c r="H518" s="247"/>
      <c r="I518" s="247"/>
      <c r="J518" s="81">
        <f ca="1">SUMPRODUCT((Work_Codes!$N$294:$Y$294=$E518)*(Work_Codes!$N$309:$Y$309)*(J$389:J$389))</f>
        <v>0</v>
      </c>
      <c r="K518" s="81">
        <f ca="1">SUMPRODUCT((Work_Codes!$N$294:$Y$294=$E518)*(Work_Codes!$N$309:$Y$309)*(K$389:K$389))</f>
        <v>0</v>
      </c>
      <c r="L518" s="81">
        <f ca="1">SUMPRODUCT((Work_Codes!$N$294:$Y$294=$E518)*(Work_Codes!$N$309:$Y$309)*(L$389:L$389))</f>
        <v>0</v>
      </c>
      <c r="M518" s="81">
        <f ca="1">SUMPRODUCT((Work_Codes!$N$294:$Y$294=$E518)*(Work_Codes!$N$309:$Y$309)*(M$389:M$389))</f>
        <v>0</v>
      </c>
      <c r="N518" s="81">
        <f ca="1">SUMPRODUCT((Work_Codes!$N$294:$Y$294=$E518)*(Work_Codes!$N$309:$Y$309)*(N$389:N$389))</f>
        <v>0</v>
      </c>
      <c r="O518" s="81">
        <f ca="1">SUMPRODUCT((Work_Codes!$N$294:$Y$294=$E518)*(Work_Codes!$N$309:$Y$309)*(O$389:O$389))</f>
        <v>0</v>
      </c>
      <c r="P518" s="81">
        <f ca="1">SUMPRODUCT((Work_Codes!$N$294:$Y$294=$E518)*(Work_Codes!$N$309:$Y$309)*(P$389:P$389))</f>
        <v>0</v>
      </c>
      <c r="Q518" s="81">
        <f ca="1">SUMPRODUCT((Work_Codes!$N$294:$Y$294=$E518)*(Work_Codes!$N$309:$Y$309)*(Q$389:Q$389))</f>
        <v>0</v>
      </c>
      <c r="R518" s="81">
        <f ca="1">SUMPRODUCT((Work_Codes!$N$294:$Y$294=$E518)*(Work_Codes!$N$309:$Y$309)*(R$389:R$389))</f>
        <v>0</v>
      </c>
      <c r="S518" s="81">
        <f ca="1">SUMPRODUCT((Work_Codes!$N$294:$Y$294=$E518)*(Work_Codes!$N$309:$Y$309)*(S$389:S$389))</f>
        <v>0</v>
      </c>
      <c r="T518" s="81">
        <f ca="1">SUMPRODUCT((Work_Codes!$N$294:$Y$294=$E518)*(Work_Codes!$N$309:$Y$309)*(T$389:T$389))</f>
        <v>0</v>
      </c>
    </row>
    <row r="519" spans="4:20" outlineLevel="2">
      <c r="E519" s="247" t="str">
        <f>GC!C42</f>
        <v>Service pipes</v>
      </c>
      <c r="F519" s="247"/>
      <c r="G519" s="247"/>
      <c r="H519" s="247"/>
      <c r="I519" s="247"/>
      <c r="J519" s="81">
        <f ca="1">SUMPRODUCT((Work_Codes!$N$294:$Y$294=$E519)*(Work_Codes!$N$309:$Y$309)*(J$389:J$389))</f>
        <v>0</v>
      </c>
      <c r="K519" s="81">
        <f ca="1">SUMPRODUCT((Work_Codes!$N$294:$Y$294=$E519)*(Work_Codes!$N$309:$Y$309)*(K$389:K$389))</f>
        <v>0</v>
      </c>
      <c r="L519" s="81">
        <f ca="1">SUMPRODUCT((Work_Codes!$N$294:$Y$294=$E519)*(Work_Codes!$N$309:$Y$309)*(L$389:L$389))</f>
        <v>0</v>
      </c>
      <c r="M519" s="81">
        <f ca="1">SUMPRODUCT((Work_Codes!$N$294:$Y$294=$E519)*(Work_Codes!$N$309:$Y$309)*(M$389:M$389))</f>
        <v>0</v>
      </c>
      <c r="N519" s="81">
        <f ca="1">SUMPRODUCT((Work_Codes!$N$294:$Y$294=$E519)*(Work_Codes!$N$309:$Y$309)*(N$389:N$389))</f>
        <v>0</v>
      </c>
      <c r="O519" s="81">
        <f ca="1">SUMPRODUCT((Work_Codes!$N$294:$Y$294=$E519)*(Work_Codes!$N$309:$Y$309)*(O$389:O$389))</f>
        <v>0</v>
      </c>
      <c r="P519" s="81">
        <f ca="1">SUMPRODUCT((Work_Codes!$N$294:$Y$294=$E519)*(Work_Codes!$N$309:$Y$309)*(P$389:P$389))</f>
        <v>0</v>
      </c>
      <c r="Q519" s="81">
        <f ca="1">SUMPRODUCT((Work_Codes!$N$294:$Y$294=$E519)*(Work_Codes!$N$309:$Y$309)*(Q$389:Q$389))</f>
        <v>0</v>
      </c>
      <c r="R519" s="81">
        <f ca="1">SUMPRODUCT((Work_Codes!$N$294:$Y$294=$E519)*(Work_Codes!$N$309:$Y$309)*(R$389:R$389))</f>
        <v>0</v>
      </c>
      <c r="S519" s="81">
        <f ca="1">SUMPRODUCT((Work_Codes!$N$294:$Y$294=$E519)*(Work_Codes!$N$309:$Y$309)*(S$389:S$389))</f>
        <v>0</v>
      </c>
      <c r="T519" s="81">
        <f ca="1">SUMPRODUCT((Work_Codes!$N$294:$Y$294=$E519)*(Work_Codes!$N$309:$Y$309)*(T$389:T$389))</f>
        <v>0</v>
      </c>
    </row>
    <row r="520" spans="4:20" outlineLevel="2">
      <c r="E520" s="247" t="str">
        <f>GC!C43</f>
        <v>Cathodic protection</v>
      </c>
      <c r="F520" s="247"/>
      <c r="G520" s="247"/>
      <c r="H520" s="247"/>
      <c r="I520" s="247"/>
      <c r="J520" s="81">
        <f ca="1">SUMPRODUCT((Work_Codes!$N$294:$Y$294=$E520)*(Work_Codes!$N$309:$Y$309)*(J$389:J$389))</f>
        <v>0</v>
      </c>
      <c r="K520" s="81">
        <f ca="1">SUMPRODUCT((Work_Codes!$N$294:$Y$294=$E520)*(Work_Codes!$N$309:$Y$309)*(K$389:K$389))</f>
        <v>0</v>
      </c>
      <c r="L520" s="81">
        <f ca="1">SUMPRODUCT((Work_Codes!$N$294:$Y$294=$E520)*(Work_Codes!$N$309:$Y$309)*(L$389:L$389))</f>
        <v>0</v>
      </c>
      <c r="M520" s="81">
        <f ca="1">SUMPRODUCT((Work_Codes!$N$294:$Y$294=$E520)*(Work_Codes!$N$309:$Y$309)*(M$389:M$389))</f>
        <v>0</v>
      </c>
      <c r="N520" s="81">
        <f ca="1">SUMPRODUCT((Work_Codes!$N$294:$Y$294=$E520)*(Work_Codes!$N$309:$Y$309)*(N$389:N$389))</f>
        <v>0</v>
      </c>
      <c r="O520" s="81">
        <f ca="1">SUMPRODUCT((Work_Codes!$N$294:$Y$294=$E520)*(Work_Codes!$N$309:$Y$309)*(O$389:O$389))</f>
        <v>0</v>
      </c>
      <c r="P520" s="81">
        <f ca="1">SUMPRODUCT((Work_Codes!$N$294:$Y$294=$E520)*(Work_Codes!$N$309:$Y$309)*(P$389:P$389))</f>
        <v>0</v>
      </c>
      <c r="Q520" s="81">
        <f ca="1">SUMPRODUCT((Work_Codes!$N$294:$Y$294=$E520)*(Work_Codes!$N$309:$Y$309)*(Q$389:Q$389))</f>
        <v>0</v>
      </c>
      <c r="R520" s="81">
        <f ca="1">SUMPRODUCT((Work_Codes!$N$294:$Y$294=$E520)*(Work_Codes!$N$309:$Y$309)*(R$389:R$389))</f>
        <v>0</v>
      </c>
      <c r="S520" s="81">
        <f ca="1">SUMPRODUCT((Work_Codes!$N$294:$Y$294=$E520)*(Work_Codes!$N$309:$Y$309)*(S$389:S$389))</f>
        <v>0</v>
      </c>
      <c r="T520" s="81">
        <f ca="1">SUMPRODUCT((Work_Codes!$N$294:$Y$294=$E520)*(Work_Codes!$N$309:$Y$309)*(T$389:T$389))</f>
        <v>0</v>
      </c>
    </row>
    <row r="521" spans="4:20" outlineLevel="2">
      <c r="E521" s="247" t="str">
        <f>GC!C44</f>
        <v>Supply Regulators / Valve Stations</v>
      </c>
      <c r="F521" s="247"/>
      <c r="G521" s="247"/>
      <c r="H521" s="247"/>
      <c r="I521" s="247"/>
      <c r="J521" s="81">
        <f ca="1">SUMPRODUCT((Work_Codes!$N$294:$Y$294=$E521)*(Work_Codes!$N$309:$Y$309)*(J$389:J$389))</f>
        <v>0</v>
      </c>
      <c r="K521" s="81">
        <f ca="1">SUMPRODUCT((Work_Codes!$N$294:$Y$294=$E521)*(Work_Codes!$N$309:$Y$309)*(K$389:K$389))</f>
        <v>0</v>
      </c>
      <c r="L521" s="81">
        <f ca="1">SUMPRODUCT((Work_Codes!$N$294:$Y$294=$E521)*(Work_Codes!$N$309:$Y$309)*(L$389:L$389))</f>
        <v>0</v>
      </c>
      <c r="M521" s="81">
        <f ca="1">SUMPRODUCT((Work_Codes!$N$294:$Y$294=$E521)*(Work_Codes!$N$309:$Y$309)*(M$389:M$389))</f>
        <v>0</v>
      </c>
      <c r="N521" s="81">
        <f ca="1">SUMPRODUCT((Work_Codes!$N$294:$Y$294=$E521)*(Work_Codes!$N$309:$Y$309)*(N$389:N$389))</f>
        <v>0</v>
      </c>
      <c r="O521" s="81">
        <f ca="1">SUMPRODUCT((Work_Codes!$N$294:$Y$294=$E521)*(Work_Codes!$N$309:$Y$309)*(O$389:O$389))</f>
        <v>0</v>
      </c>
      <c r="P521" s="81">
        <f ca="1">SUMPRODUCT((Work_Codes!$N$294:$Y$294=$E521)*(Work_Codes!$N$309:$Y$309)*(P$389:P$389))</f>
        <v>0</v>
      </c>
      <c r="Q521" s="81">
        <f ca="1">SUMPRODUCT((Work_Codes!$N$294:$Y$294=$E521)*(Work_Codes!$N$309:$Y$309)*(Q$389:Q$389))</f>
        <v>0</v>
      </c>
      <c r="R521" s="81">
        <f ca="1">SUMPRODUCT((Work_Codes!$N$294:$Y$294=$E521)*(Work_Codes!$N$309:$Y$309)*(R$389:R$389))</f>
        <v>0</v>
      </c>
      <c r="S521" s="81">
        <f ca="1">SUMPRODUCT((Work_Codes!$N$294:$Y$294=$E521)*(Work_Codes!$N$309:$Y$309)*(S$389:S$389))</f>
        <v>0</v>
      </c>
      <c r="T521" s="81">
        <f ca="1">SUMPRODUCT((Work_Codes!$N$294:$Y$294=$E521)*(Work_Codes!$N$309:$Y$309)*(T$389:T$389))</f>
        <v>0</v>
      </c>
    </row>
    <row r="522" spans="4:20" outlineLevel="2">
      <c r="E522" s="247" t="str">
        <f>GC!C45</f>
        <v>Meters</v>
      </c>
      <c r="F522" s="247"/>
      <c r="G522" s="247"/>
      <c r="H522" s="247"/>
      <c r="I522" s="247"/>
      <c r="J522" s="81">
        <f ca="1">SUMPRODUCT((Work_Codes!$N$294:$Y$294=$E522)*(Work_Codes!$N$309:$Y$309)*(J$389:J$389))</f>
        <v>0</v>
      </c>
      <c r="K522" s="81">
        <f ca="1">SUMPRODUCT((Work_Codes!$N$294:$Y$294=$E522)*(Work_Codes!$N$309:$Y$309)*(K$389:K$389))</f>
        <v>0</v>
      </c>
      <c r="L522" s="81">
        <f ca="1">SUMPRODUCT((Work_Codes!$N$294:$Y$294=$E522)*(Work_Codes!$N$309:$Y$309)*(L$389:L$389))</f>
        <v>0</v>
      </c>
      <c r="M522" s="81">
        <f ca="1">SUMPRODUCT((Work_Codes!$N$294:$Y$294=$E522)*(Work_Codes!$N$309:$Y$309)*(M$389:M$389))</f>
        <v>0</v>
      </c>
      <c r="N522" s="81">
        <f ca="1">SUMPRODUCT((Work_Codes!$N$294:$Y$294=$E522)*(Work_Codes!$N$309:$Y$309)*(N$389:N$389))</f>
        <v>0</v>
      </c>
      <c r="O522" s="81">
        <f ca="1">SUMPRODUCT((Work_Codes!$N$294:$Y$294=$E522)*(Work_Codes!$N$309:$Y$309)*(O$389:O$389))</f>
        <v>0</v>
      </c>
      <c r="P522" s="81">
        <f ca="1">SUMPRODUCT((Work_Codes!$N$294:$Y$294=$E522)*(Work_Codes!$N$309:$Y$309)*(P$389:P$389))</f>
        <v>0</v>
      </c>
      <c r="Q522" s="81">
        <f ca="1">SUMPRODUCT((Work_Codes!$N$294:$Y$294=$E522)*(Work_Codes!$N$309:$Y$309)*(Q$389:Q$389))</f>
        <v>0</v>
      </c>
      <c r="R522" s="81">
        <f ca="1">SUMPRODUCT((Work_Codes!$N$294:$Y$294=$E522)*(Work_Codes!$N$309:$Y$309)*(R$389:R$389))</f>
        <v>0</v>
      </c>
      <c r="S522" s="81">
        <f ca="1">SUMPRODUCT((Work_Codes!$N$294:$Y$294=$E522)*(Work_Codes!$N$309:$Y$309)*(S$389:S$389))</f>
        <v>0</v>
      </c>
      <c r="T522" s="81">
        <f ca="1">SUMPRODUCT((Work_Codes!$N$294:$Y$294=$E522)*(Work_Codes!$N$309:$Y$309)*(T$389:T$389))</f>
        <v>0</v>
      </c>
    </row>
    <row r="523" spans="4:20" outlineLevel="2">
      <c r="E523" s="247" t="str">
        <f>GC!C46</f>
        <v>SCADA and remote control</v>
      </c>
      <c r="F523" s="247"/>
      <c r="G523" s="247"/>
      <c r="H523" s="247"/>
      <c r="I523" s="247"/>
      <c r="J523" s="81">
        <f ca="1">SUMPRODUCT((Work_Codes!$N$294:$Y$294=$E523)*(Work_Codes!$N$309:$Y$309)*(J$389:J$389))</f>
        <v>0</v>
      </c>
      <c r="K523" s="81">
        <f ca="1">SUMPRODUCT((Work_Codes!$N$294:$Y$294=$E523)*(Work_Codes!$N$309:$Y$309)*(K$389:K$389))</f>
        <v>0</v>
      </c>
      <c r="L523" s="81">
        <f ca="1">SUMPRODUCT((Work_Codes!$N$294:$Y$294=$E523)*(Work_Codes!$N$309:$Y$309)*(L$389:L$389))</f>
        <v>0</v>
      </c>
      <c r="M523" s="81">
        <f ca="1">SUMPRODUCT((Work_Codes!$N$294:$Y$294=$E523)*(Work_Codes!$N$309:$Y$309)*(M$389:M$389))</f>
        <v>0</v>
      </c>
      <c r="N523" s="81">
        <f ca="1">SUMPRODUCT((Work_Codes!$N$294:$Y$294=$E523)*(Work_Codes!$N$309:$Y$309)*(N$389:N$389))</f>
        <v>0</v>
      </c>
      <c r="O523" s="81">
        <f ca="1">SUMPRODUCT((Work_Codes!$N$294:$Y$294=$E523)*(Work_Codes!$N$309:$Y$309)*(O$389:O$389))</f>
        <v>0</v>
      </c>
      <c r="P523" s="81">
        <f ca="1">SUMPRODUCT((Work_Codes!$N$294:$Y$294=$E523)*(Work_Codes!$N$309:$Y$309)*(P$389:P$389))</f>
        <v>0</v>
      </c>
      <c r="Q523" s="81">
        <f ca="1">SUMPRODUCT((Work_Codes!$N$294:$Y$294=$E523)*(Work_Codes!$N$309:$Y$309)*(Q$389:Q$389))</f>
        <v>0</v>
      </c>
      <c r="R523" s="81">
        <f ca="1">SUMPRODUCT((Work_Codes!$N$294:$Y$294=$E523)*(Work_Codes!$N$309:$Y$309)*(R$389:R$389))</f>
        <v>0</v>
      </c>
      <c r="S523" s="81">
        <f ca="1">SUMPRODUCT((Work_Codes!$N$294:$Y$294=$E523)*(Work_Codes!$N$309:$Y$309)*(S$389:S$389))</f>
        <v>0</v>
      </c>
      <c r="T523" s="81">
        <f ca="1">SUMPRODUCT((Work_Codes!$N$294:$Y$294=$E523)*(Work_Codes!$N$309:$Y$309)*(T$389:T$389))</f>
        <v>0</v>
      </c>
    </row>
    <row r="524" spans="4:20" outlineLevel="2">
      <c r="E524" s="247" t="str">
        <f>GC!C47</f>
        <v>Buildings</v>
      </c>
      <c r="F524" s="247"/>
      <c r="G524" s="247"/>
      <c r="H524" s="247"/>
      <c r="I524" s="247"/>
      <c r="J524" s="81">
        <f ca="1">SUMPRODUCT((Work_Codes!$N$294:$Y$294=$E524)*(Work_Codes!$N$309:$Y$309)*(J$389:J$389))</f>
        <v>0</v>
      </c>
      <c r="K524" s="81">
        <f ca="1">SUMPRODUCT((Work_Codes!$N$294:$Y$294=$E524)*(Work_Codes!$N$309:$Y$309)*(K$389:K$389))</f>
        <v>0</v>
      </c>
      <c r="L524" s="81">
        <f ca="1">SUMPRODUCT((Work_Codes!$N$294:$Y$294=$E524)*(Work_Codes!$N$309:$Y$309)*(L$389:L$389))</f>
        <v>0</v>
      </c>
      <c r="M524" s="81">
        <f ca="1">SUMPRODUCT((Work_Codes!$N$294:$Y$294=$E524)*(Work_Codes!$N$309:$Y$309)*(M$389:M$389))</f>
        <v>0</v>
      </c>
      <c r="N524" s="81">
        <f ca="1">SUMPRODUCT((Work_Codes!$N$294:$Y$294=$E524)*(Work_Codes!$N$309:$Y$309)*(N$389:N$389))</f>
        <v>0</v>
      </c>
      <c r="O524" s="81">
        <f ca="1">SUMPRODUCT((Work_Codes!$N$294:$Y$294=$E524)*(Work_Codes!$N$309:$Y$309)*(O$389:O$389))</f>
        <v>0</v>
      </c>
      <c r="P524" s="81">
        <f ca="1">SUMPRODUCT((Work_Codes!$N$294:$Y$294=$E524)*(Work_Codes!$N$309:$Y$309)*(P$389:P$389))</f>
        <v>0</v>
      </c>
      <c r="Q524" s="81">
        <f ca="1">SUMPRODUCT((Work_Codes!$N$294:$Y$294=$E524)*(Work_Codes!$N$309:$Y$309)*(Q$389:Q$389))</f>
        <v>0</v>
      </c>
      <c r="R524" s="81">
        <f ca="1">SUMPRODUCT((Work_Codes!$N$294:$Y$294=$E524)*(Work_Codes!$N$309:$Y$309)*(R$389:R$389))</f>
        <v>0</v>
      </c>
      <c r="S524" s="81">
        <f ca="1">SUMPRODUCT((Work_Codes!$N$294:$Y$294=$E524)*(Work_Codes!$N$309:$Y$309)*(S$389:S$389))</f>
        <v>0</v>
      </c>
      <c r="T524" s="81">
        <f ca="1">SUMPRODUCT((Work_Codes!$N$294:$Y$294=$E524)*(Work_Codes!$N$309:$Y$309)*(T$389:T$389))</f>
        <v>0</v>
      </c>
    </row>
    <row r="525" spans="4:20" outlineLevel="2">
      <c r="E525" s="247" t="str">
        <f>GC!C48</f>
        <v>Other - IT</v>
      </c>
      <c r="F525" s="247"/>
      <c r="G525" s="247"/>
      <c r="H525" s="247"/>
      <c r="I525" s="247"/>
      <c r="J525" s="81">
        <f ca="1">SUMPRODUCT((Work_Codes!$N$294:$Y$294=$E525)*(Work_Codes!$N$309:$Y$309)*(J$389:J$389))</f>
        <v>0</v>
      </c>
      <c r="K525" s="81">
        <f ca="1">SUMPRODUCT((Work_Codes!$N$294:$Y$294=$E525)*(Work_Codes!$N$309:$Y$309)*(K$389:K$389))</f>
        <v>0</v>
      </c>
      <c r="L525" s="81">
        <f ca="1">SUMPRODUCT((Work_Codes!$N$294:$Y$294=$E525)*(Work_Codes!$N$309:$Y$309)*(L$389:L$389))</f>
        <v>0</v>
      </c>
      <c r="M525" s="81">
        <f ca="1">SUMPRODUCT((Work_Codes!$N$294:$Y$294=$E525)*(Work_Codes!$N$309:$Y$309)*(M$389:M$389))</f>
        <v>0</v>
      </c>
      <c r="N525" s="81">
        <f ca="1">SUMPRODUCT((Work_Codes!$N$294:$Y$294=$E525)*(Work_Codes!$N$309:$Y$309)*(N$389:N$389))</f>
        <v>0</v>
      </c>
      <c r="O525" s="81">
        <f ca="1">SUMPRODUCT((Work_Codes!$N$294:$Y$294=$E525)*(Work_Codes!$N$309:$Y$309)*(O$389:O$389))</f>
        <v>0</v>
      </c>
      <c r="P525" s="81">
        <f ca="1">SUMPRODUCT((Work_Codes!$N$294:$Y$294=$E525)*(Work_Codes!$N$309:$Y$309)*(P$389:P$389))</f>
        <v>0</v>
      </c>
      <c r="Q525" s="81">
        <f ca="1">SUMPRODUCT((Work_Codes!$N$294:$Y$294=$E525)*(Work_Codes!$N$309:$Y$309)*(Q$389:Q$389))</f>
        <v>0</v>
      </c>
      <c r="R525" s="81">
        <f ca="1">SUMPRODUCT((Work_Codes!$N$294:$Y$294=$E525)*(Work_Codes!$N$309:$Y$309)*(R$389:R$389))</f>
        <v>0</v>
      </c>
      <c r="S525" s="81">
        <f ca="1">SUMPRODUCT((Work_Codes!$N$294:$Y$294=$E525)*(Work_Codes!$N$309:$Y$309)*(S$389:S$389))</f>
        <v>0</v>
      </c>
      <c r="T525" s="81">
        <f ca="1">SUMPRODUCT((Work_Codes!$N$294:$Y$294=$E525)*(Work_Codes!$N$309:$Y$309)*(T$389:T$389))</f>
        <v>0</v>
      </c>
    </row>
    <row r="526" spans="4:20" outlineLevel="2">
      <c r="E526" s="247" t="str">
        <f>GC!C49</f>
        <v>Other - non IT</v>
      </c>
      <c r="F526" s="247"/>
      <c r="G526" s="247"/>
      <c r="H526" s="247"/>
      <c r="I526" s="247"/>
      <c r="J526" s="81">
        <f ca="1">SUMPRODUCT((Work_Codes!$N$294:$Y$294=$E526)*(Work_Codes!$N$309:$Y$309)*(J$389:J$389))</f>
        <v>0</v>
      </c>
      <c r="K526" s="81">
        <f ca="1">SUMPRODUCT((Work_Codes!$N$294:$Y$294=$E526)*(Work_Codes!$N$309:$Y$309)*(K$389:K$389))</f>
        <v>0</v>
      </c>
      <c r="L526" s="81">
        <f ca="1">SUMPRODUCT((Work_Codes!$N$294:$Y$294=$E526)*(Work_Codes!$N$309:$Y$309)*(L$389:L$389))</f>
        <v>0</v>
      </c>
      <c r="M526" s="81">
        <f ca="1">SUMPRODUCT((Work_Codes!$N$294:$Y$294=$E526)*(Work_Codes!$N$309:$Y$309)*(M$389:M$389))</f>
        <v>0</v>
      </c>
      <c r="N526" s="81">
        <f ca="1">SUMPRODUCT((Work_Codes!$N$294:$Y$294=$E526)*(Work_Codes!$N$309:$Y$309)*(N$389:N$389))</f>
        <v>0</v>
      </c>
      <c r="O526" s="81">
        <f ca="1">SUMPRODUCT((Work_Codes!$N$294:$Y$294=$E526)*(Work_Codes!$N$309:$Y$309)*(O$389:O$389))</f>
        <v>0</v>
      </c>
      <c r="P526" s="81">
        <f ca="1">SUMPRODUCT((Work_Codes!$N$294:$Y$294=$E526)*(Work_Codes!$N$309:$Y$309)*(P$389:P$389))</f>
        <v>0</v>
      </c>
      <c r="Q526" s="81">
        <f ca="1">SUMPRODUCT((Work_Codes!$N$294:$Y$294=$E526)*(Work_Codes!$N$309:$Y$309)*(Q$389:Q$389))</f>
        <v>0</v>
      </c>
      <c r="R526" s="81">
        <f ca="1">SUMPRODUCT((Work_Codes!$N$294:$Y$294=$E526)*(Work_Codes!$N$309:$Y$309)*(R$389:R$389))</f>
        <v>0</v>
      </c>
      <c r="S526" s="81">
        <f ca="1">SUMPRODUCT((Work_Codes!$N$294:$Y$294=$E526)*(Work_Codes!$N$309:$Y$309)*(S$389:S$389))</f>
        <v>0</v>
      </c>
      <c r="T526" s="81">
        <f ca="1">SUMPRODUCT((Work_Codes!$N$294:$Y$294=$E526)*(Work_Codes!$N$309:$Y$309)*(T$389:T$389))</f>
        <v>0</v>
      </c>
    </row>
    <row r="527" spans="4:20" outlineLevel="2">
      <c r="E527" s="247" t="str">
        <f>GC!C50</f>
        <v>Land</v>
      </c>
      <c r="F527" s="247"/>
      <c r="G527" s="247"/>
      <c r="H527" s="247"/>
      <c r="I527" s="247"/>
      <c r="J527" s="81">
        <f ca="1">SUMPRODUCT((Work_Codes!$N$294:$Y$294=$E527)*(Work_Codes!$N$309:$Y$309)*(J$389:J$389))</f>
        <v>0</v>
      </c>
      <c r="K527" s="81">
        <f ca="1">SUMPRODUCT((Work_Codes!$N$294:$Y$294=$E527)*(Work_Codes!$N$309:$Y$309)*(K$389:K$389))</f>
        <v>0</v>
      </c>
      <c r="L527" s="81">
        <f ca="1">SUMPRODUCT((Work_Codes!$N$294:$Y$294=$E527)*(Work_Codes!$N$309:$Y$309)*(L$389:L$389))</f>
        <v>0</v>
      </c>
      <c r="M527" s="81">
        <f ca="1">SUMPRODUCT((Work_Codes!$N$294:$Y$294=$E527)*(Work_Codes!$N$309:$Y$309)*(M$389:M$389))</f>
        <v>0</v>
      </c>
      <c r="N527" s="81">
        <f ca="1">SUMPRODUCT((Work_Codes!$N$294:$Y$294=$E527)*(Work_Codes!$N$309:$Y$309)*(N$389:N$389))</f>
        <v>0</v>
      </c>
      <c r="O527" s="81">
        <f ca="1">SUMPRODUCT((Work_Codes!$N$294:$Y$294=$E527)*(Work_Codes!$N$309:$Y$309)*(O$389:O$389))</f>
        <v>0</v>
      </c>
      <c r="P527" s="81">
        <f ca="1">SUMPRODUCT((Work_Codes!$N$294:$Y$294=$E527)*(Work_Codes!$N$309:$Y$309)*(P$389:P$389))</f>
        <v>0</v>
      </c>
      <c r="Q527" s="81">
        <f ca="1">SUMPRODUCT((Work_Codes!$N$294:$Y$294=$E527)*(Work_Codes!$N$309:$Y$309)*(Q$389:Q$389))</f>
        <v>0</v>
      </c>
      <c r="R527" s="81">
        <f ca="1">SUMPRODUCT((Work_Codes!$N$294:$Y$294=$E527)*(Work_Codes!$N$309:$Y$309)*(R$389:R$389))</f>
        <v>0</v>
      </c>
      <c r="S527" s="81">
        <f ca="1">SUMPRODUCT((Work_Codes!$N$294:$Y$294=$E527)*(Work_Codes!$N$309:$Y$309)*(S$389:S$389))</f>
        <v>0</v>
      </c>
      <c r="T527" s="81">
        <f ca="1">SUMPRODUCT((Work_Codes!$N$294:$Y$294=$E527)*(Work_Codes!$N$309:$Y$309)*(T$389:T$389))</f>
        <v>0</v>
      </c>
    </row>
    <row r="528" spans="4:20" outlineLevel="2">
      <c r="E528" s="247" t="str">
        <f>GC!C51</f>
        <v>Capitalised Leases</v>
      </c>
      <c r="F528" s="247"/>
      <c r="G528" s="247"/>
      <c r="H528" s="247"/>
      <c r="I528" s="247"/>
      <c r="J528" s="81">
        <f ca="1">SUMPRODUCT((Work_Codes!$N$294:$Y$294=$E528)*(Work_Codes!$N$309:$Y$309)*(J$389:J$389))</f>
        <v>0</v>
      </c>
      <c r="K528" s="81">
        <f ca="1">SUMPRODUCT((Work_Codes!$N$294:$Y$294=$E528)*(Work_Codes!$N$309:$Y$309)*(K$389:K$389))</f>
        <v>0</v>
      </c>
      <c r="L528" s="81">
        <f ca="1">SUMPRODUCT((Work_Codes!$N$294:$Y$294=$E528)*(Work_Codes!$N$309:$Y$309)*(L$389:L$389))</f>
        <v>0</v>
      </c>
      <c r="M528" s="81">
        <f ca="1">SUMPRODUCT((Work_Codes!$N$294:$Y$294=$E528)*(Work_Codes!$N$309:$Y$309)*(M$389:M$389))</f>
        <v>0</v>
      </c>
      <c r="N528" s="81">
        <f ca="1">SUMPRODUCT((Work_Codes!$N$294:$Y$294=$E528)*(Work_Codes!$N$309:$Y$309)*(N$389:N$389))</f>
        <v>0</v>
      </c>
      <c r="O528" s="81">
        <f ca="1">SUMPRODUCT((Work_Codes!$N$294:$Y$294=$E528)*(Work_Codes!$N$309:$Y$309)*(O$389:O$389))</f>
        <v>0</v>
      </c>
      <c r="P528" s="81">
        <f ca="1">SUMPRODUCT((Work_Codes!$N$294:$Y$294=$E528)*(Work_Codes!$N$309:$Y$309)*(P$389:P$389))</f>
        <v>0</v>
      </c>
      <c r="Q528" s="81">
        <f ca="1">SUMPRODUCT((Work_Codes!$N$294:$Y$294=$E528)*(Work_Codes!$N$309:$Y$309)*(Q$389:Q$389))</f>
        <v>0</v>
      </c>
      <c r="R528" s="81">
        <f ca="1">SUMPRODUCT((Work_Codes!$N$294:$Y$294=$E528)*(Work_Codes!$N$309:$Y$309)*(R$389:R$389))</f>
        <v>0</v>
      </c>
      <c r="S528" s="81">
        <f ca="1">SUMPRODUCT((Work_Codes!$N$294:$Y$294=$E528)*(Work_Codes!$N$309:$Y$309)*(S$389:S$389))</f>
        <v>0</v>
      </c>
      <c r="T528" s="81">
        <f ca="1">SUMPRODUCT((Work_Codes!$N$294:$Y$294=$E528)*(Work_Codes!$N$309:$Y$309)*(T$389:T$389))</f>
        <v>0</v>
      </c>
    </row>
    <row r="529" spans="2:20" outlineLevel="2">
      <c r="E529" s="247" t="str">
        <f>GC!C52</f>
        <v>Transmission pipelines - post 1998</v>
      </c>
      <c r="F529" s="247"/>
      <c r="G529" s="247"/>
      <c r="H529" s="247"/>
      <c r="I529" s="247"/>
      <c r="J529" s="81">
        <f ca="1">SUMPRODUCT((Work_Codes!$N$294:$Y$294=$E529)*(Work_Codes!$N$309:$Y$309)*(J$389:J$389))</f>
        <v>0</v>
      </c>
      <c r="K529" s="81">
        <f ca="1">SUMPRODUCT((Work_Codes!$N$294:$Y$294=$E529)*(Work_Codes!$N$309:$Y$309)*(K$389:K$389))</f>
        <v>0</v>
      </c>
      <c r="L529" s="81">
        <f ca="1">SUMPRODUCT((Work_Codes!$N$294:$Y$294=$E529)*(Work_Codes!$N$309:$Y$309)*(L$389:L$389))</f>
        <v>0</v>
      </c>
      <c r="M529" s="81">
        <f ca="1">SUMPRODUCT((Work_Codes!$N$294:$Y$294=$E529)*(Work_Codes!$N$309:$Y$309)*(M$389:M$389))</f>
        <v>0</v>
      </c>
      <c r="N529" s="81">
        <f ca="1">SUMPRODUCT((Work_Codes!$N$294:$Y$294=$E529)*(Work_Codes!$N$309:$Y$309)*(N$389:N$389))</f>
        <v>0</v>
      </c>
      <c r="O529" s="81">
        <f ca="1">SUMPRODUCT((Work_Codes!$N$294:$Y$294=$E529)*(Work_Codes!$N$309:$Y$309)*(O$389:O$389))</f>
        <v>0</v>
      </c>
      <c r="P529" s="81">
        <f ca="1">SUMPRODUCT((Work_Codes!$N$294:$Y$294=$E529)*(Work_Codes!$N$309:$Y$309)*(P$389:P$389))</f>
        <v>0</v>
      </c>
      <c r="Q529" s="81">
        <f ca="1">SUMPRODUCT((Work_Codes!$N$294:$Y$294=$E529)*(Work_Codes!$N$309:$Y$309)*(Q$389:Q$389))</f>
        <v>0</v>
      </c>
      <c r="R529" s="81">
        <f ca="1">SUMPRODUCT((Work_Codes!$N$294:$Y$294=$E529)*(Work_Codes!$N$309:$Y$309)*(R$389:R$389))</f>
        <v>0</v>
      </c>
      <c r="S529" s="81">
        <f ca="1">SUMPRODUCT((Work_Codes!$N$294:$Y$294=$E529)*(Work_Codes!$N$309:$Y$309)*(S$389:S$389))</f>
        <v>0</v>
      </c>
      <c r="T529" s="81">
        <f ca="1">SUMPRODUCT((Work_Codes!$N$294:$Y$294=$E529)*(Work_Codes!$N$309:$Y$309)*(T$389:T$389))</f>
        <v>0</v>
      </c>
    </row>
    <row r="530" spans="2:20" outlineLevel="2">
      <c r="E530" s="247" t="str">
        <f>GC!C53</f>
        <v>Distribution pipelines - post 1998</v>
      </c>
      <c r="F530" s="247"/>
      <c r="G530" s="247"/>
      <c r="H530" s="247"/>
      <c r="I530" s="247"/>
      <c r="J530" s="81">
        <f ca="1">SUMPRODUCT((Work_Codes!$N$294:$Y$294=$E530)*(Work_Codes!$N$309:$Y$309)*(J$389:J$389))</f>
        <v>0</v>
      </c>
      <c r="K530" s="81">
        <f ca="1">SUMPRODUCT((Work_Codes!$N$294:$Y$294=$E530)*(Work_Codes!$N$309:$Y$309)*(K$389:K$389))</f>
        <v>0</v>
      </c>
      <c r="L530" s="81">
        <f ca="1">SUMPRODUCT((Work_Codes!$N$294:$Y$294=$E530)*(Work_Codes!$N$309:$Y$309)*(L$389:L$389))</f>
        <v>0</v>
      </c>
      <c r="M530" s="81">
        <f ca="1">SUMPRODUCT((Work_Codes!$N$294:$Y$294=$E530)*(Work_Codes!$N$309:$Y$309)*(M$389:M$389))</f>
        <v>0</v>
      </c>
      <c r="N530" s="81">
        <f ca="1">SUMPRODUCT((Work_Codes!$N$294:$Y$294=$E530)*(Work_Codes!$N$309:$Y$309)*(N$389:N$389))</f>
        <v>0</v>
      </c>
      <c r="O530" s="81">
        <f ca="1">SUMPRODUCT((Work_Codes!$N$294:$Y$294=$E530)*(Work_Codes!$N$309:$Y$309)*(O$389:O$389))</f>
        <v>0</v>
      </c>
      <c r="P530" s="81">
        <f ca="1">SUMPRODUCT((Work_Codes!$N$294:$Y$294=$E530)*(Work_Codes!$N$309:$Y$309)*(P$389:P$389))</f>
        <v>0</v>
      </c>
      <c r="Q530" s="81">
        <f ca="1">SUMPRODUCT((Work_Codes!$N$294:$Y$294=$E530)*(Work_Codes!$N$309:$Y$309)*(Q$389:Q$389))</f>
        <v>0</v>
      </c>
      <c r="R530" s="81">
        <f ca="1">SUMPRODUCT((Work_Codes!$N$294:$Y$294=$E530)*(Work_Codes!$N$309:$Y$309)*(R$389:R$389))</f>
        <v>0</v>
      </c>
      <c r="S530" s="81">
        <f ca="1">SUMPRODUCT((Work_Codes!$N$294:$Y$294=$E530)*(Work_Codes!$N$309:$Y$309)*(S$389:S$389))</f>
        <v>0</v>
      </c>
      <c r="T530" s="81">
        <f ca="1">SUMPRODUCT((Work_Codes!$N$294:$Y$294=$E530)*(Work_Codes!$N$309:$Y$309)*(T$389:T$389))</f>
        <v>0</v>
      </c>
    </row>
    <row r="531" spans="2:20" outlineLevel="2">
      <c r="E531" s="247" t="str">
        <f>GC!C54</f>
        <v>Service pipes - post 1998</v>
      </c>
      <c r="F531" s="247"/>
      <c r="G531" s="247"/>
      <c r="H531" s="247"/>
      <c r="I531" s="247"/>
      <c r="J531" s="81">
        <f ca="1">SUMPRODUCT((Work_Codes!$N$294:$Y$294=$E531)*(Work_Codes!$N$309:$Y$309)*(J$389:J$389))</f>
        <v>0</v>
      </c>
      <c r="K531" s="81">
        <f ca="1">SUMPRODUCT((Work_Codes!$N$294:$Y$294=$E531)*(Work_Codes!$N$309:$Y$309)*(K$389:K$389))</f>
        <v>0</v>
      </c>
      <c r="L531" s="81">
        <f ca="1">SUMPRODUCT((Work_Codes!$N$294:$Y$294=$E531)*(Work_Codes!$N$309:$Y$309)*(L$389:L$389))</f>
        <v>0</v>
      </c>
      <c r="M531" s="81">
        <f ca="1">SUMPRODUCT((Work_Codes!$N$294:$Y$294=$E531)*(Work_Codes!$N$309:$Y$309)*(M$389:M$389))</f>
        <v>0</v>
      </c>
      <c r="N531" s="81">
        <f ca="1">SUMPRODUCT((Work_Codes!$N$294:$Y$294=$E531)*(Work_Codes!$N$309:$Y$309)*(N$389:N$389))</f>
        <v>0</v>
      </c>
      <c r="O531" s="81">
        <f ca="1">SUMPRODUCT((Work_Codes!$N$294:$Y$294=$E531)*(Work_Codes!$N$309:$Y$309)*(O$389:O$389))</f>
        <v>0</v>
      </c>
      <c r="P531" s="81">
        <f ca="1">SUMPRODUCT((Work_Codes!$N$294:$Y$294=$E531)*(Work_Codes!$N$309:$Y$309)*(P$389:P$389))</f>
        <v>0</v>
      </c>
      <c r="Q531" s="81">
        <f ca="1">SUMPRODUCT((Work_Codes!$N$294:$Y$294=$E531)*(Work_Codes!$N$309:$Y$309)*(Q$389:Q$389))</f>
        <v>0</v>
      </c>
      <c r="R531" s="81">
        <f ca="1">SUMPRODUCT((Work_Codes!$N$294:$Y$294=$E531)*(Work_Codes!$N$309:$Y$309)*(R$389:R$389))</f>
        <v>0</v>
      </c>
      <c r="S531" s="81">
        <f ca="1">SUMPRODUCT((Work_Codes!$N$294:$Y$294=$E531)*(Work_Codes!$N$309:$Y$309)*(S$389:S$389))</f>
        <v>0</v>
      </c>
      <c r="T531" s="81">
        <f ca="1">SUMPRODUCT((Work_Codes!$N$294:$Y$294=$E531)*(Work_Codes!$N$309:$Y$309)*(T$389:T$389))</f>
        <v>0</v>
      </c>
    </row>
    <row r="532" spans="2:20" outlineLevel="2">
      <c r="E532" s="247" t="str">
        <f>GC!C55</f>
        <v>Cathodic protection - post 1998</v>
      </c>
      <c r="F532" s="247"/>
      <c r="G532" s="247"/>
      <c r="H532" s="247"/>
      <c r="I532" s="247"/>
      <c r="J532" s="81">
        <f ca="1">SUMPRODUCT((Work_Codes!$N$294:$Y$294=$E532)*(Work_Codes!$N$309:$Y$309)*(J$389:J$389))</f>
        <v>0</v>
      </c>
      <c r="K532" s="81">
        <f ca="1">SUMPRODUCT((Work_Codes!$N$294:$Y$294=$E532)*(Work_Codes!$N$309:$Y$309)*(K$389:K$389))</f>
        <v>0</v>
      </c>
      <c r="L532" s="81">
        <f ca="1">SUMPRODUCT((Work_Codes!$N$294:$Y$294=$E532)*(Work_Codes!$N$309:$Y$309)*(L$389:L$389))</f>
        <v>0</v>
      </c>
      <c r="M532" s="81">
        <f ca="1">SUMPRODUCT((Work_Codes!$N$294:$Y$294=$E532)*(Work_Codes!$N$309:$Y$309)*(M$389:M$389))</f>
        <v>0</v>
      </c>
      <c r="N532" s="81">
        <f ca="1">SUMPRODUCT((Work_Codes!$N$294:$Y$294=$E532)*(Work_Codes!$N$309:$Y$309)*(N$389:N$389))</f>
        <v>0</v>
      </c>
      <c r="O532" s="81">
        <f ca="1">SUMPRODUCT((Work_Codes!$N$294:$Y$294=$E532)*(Work_Codes!$N$309:$Y$309)*(O$389:O$389))</f>
        <v>0</v>
      </c>
      <c r="P532" s="81">
        <f ca="1">SUMPRODUCT((Work_Codes!$N$294:$Y$294=$E532)*(Work_Codes!$N$309:$Y$309)*(P$389:P$389))</f>
        <v>0</v>
      </c>
      <c r="Q532" s="81">
        <f ca="1">SUMPRODUCT((Work_Codes!$N$294:$Y$294=$E532)*(Work_Codes!$N$309:$Y$309)*(Q$389:Q$389))</f>
        <v>0</v>
      </c>
      <c r="R532" s="81">
        <f ca="1">SUMPRODUCT((Work_Codes!$N$294:$Y$294=$E532)*(Work_Codes!$N$309:$Y$309)*(R$389:R$389))</f>
        <v>0</v>
      </c>
      <c r="S532" s="81">
        <f ca="1">SUMPRODUCT((Work_Codes!$N$294:$Y$294=$E532)*(Work_Codes!$N$309:$Y$309)*(S$389:S$389))</f>
        <v>0</v>
      </c>
      <c r="T532" s="81">
        <f ca="1">SUMPRODUCT((Work_Codes!$N$294:$Y$294=$E532)*(Work_Codes!$N$309:$Y$309)*(T$389:T$389))</f>
        <v>0</v>
      </c>
    </row>
    <row r="533" spans="2:20" outlineLevel="2">
      <c r="E533" s="249" t="str">
        <f>"Total "&amp;D515</f>
        <v>Total Customer Contributions</v>
      </c>
      <c r="F533" s="249"/>
      <c r="G533" s="249"/>
      <c r="H533" s="249"/>
      <c r="I533" s="249"/>
      <c r="J533" s="82">
        <f t="shared" ref="J533:T533" ca="1" si="57">SUM(J517:J532)</f>
        <v>0</v>
      </c>
      <c r="K533" s="82">
        <f t="shared" ca="1" si="57"/>
        <v>0</v>
      </c>
      <c r="L533" s="82">
        <f t="shared" ca="1" si="57"/>
        <v>0</v>
      </c>
      <c r="M533" s="82">
        <f t="shared" ca="1" si="57"/>
        <v>0</v>
      </c>
      <c r="N533" s="82">
        <f t="shared" ca="1" si="57"/>
        <v>0</v>
      </c>
      <c r="O533" s="82">
        <f t="shared" ca="1" si="57"/>
        <v>0</v>
      </c>
      <c r="P533" s="82">
        <f t="shared" ca="1" si="57"/>
        <v>0</v>
      </c>
      <c r="Q533" s="82">
        <f t="shared" ca="1" si="57"/>
        <v>0</v>
      </c>
      <c r="R533" s="82">
        <f t="shared" ca="1" si="57"/>
        <v>0</v>
      </c>
      <c r="S533" s="82">
        <f t="shared" ca="1" si="57"/>
        <v>0</v>
      </c>
      <c r="T533" s="82">
        <f t="shared" ca="1" si="57"/>
        <v>0</v>
      </c>
    </row>
    <row r="534" spans="2:20" outlineLevel="1">
      <c r="B534" s="12"/>
      <c r="C534" s="12"/>
      <c r="D534" s="12"/>
      <c r="E534" s="12"/>
      <c r="F534" s="12"/>
      <c r="G534" s="12"/>
      <c r="H534" s="12"/>
      <c r="I534" s="12"/>
      <c r="J534" s="12"/>
      <c r="K534" s="12"/>
      <c r="L534" s="12"/>
      <c r="M534" s="12"/>
      <c r="N534" s="12"/>
      <c r="O534" s="12"/>
      <c r="P534" s="12"/>
      <c r="Q534" s="12"/>
      <c r="R534" s="12"/>
      <c r="S534" s="12"/>
      <c r="T534" s="12"/>
    </row>
    <row r="535" spans="2:20" outlineLevel="1"/>
    <row r="536" spans="2:20" outlineLevel="1">
      <c r="C536" s="37" t="s">
        <v>196</v>
      </c>
    </row>
    <row r="537" spans="2:20" ht="5.9" customHeight="1" outlineLevel="2"/>
    <row r="538" spans="2:20" outlineLevel="2">
      <c r="D538" s="37" t="s">
        <v>215</v>
      </c>
    </row>
    <row r="539" spans="2:20" ht="5.9" customHeight="1" outlineLevel="2"/>
    <row r="540" spans="2:20" ht="12" customHeight="1" outlineLevel="2">
      <c r="E540" s="247" t="str">
        <f>GC!C60</f>
        <v>Mains replacement</v>
      </c>
      <c r="F540" s="247"/>
      <c r="G540" s="247"/>
      <c r="H540" s="247"/>
      <c r="I540" s="247"/>
      <c r="J540" s="81">
        <f ca="1">SUMPRODUCT((Work_Codes!$AC$294:$AO$294=$E540)*(Work_Codes!$AC$297:$AO$305)*(J$440:J$448))</f>
        <v>0</v>
      </c>
      <c r="K540" s="81">
        <f ca="1">SUMPRODUCT((Work_Codes!$AC$294:$AO$294=$E540)*(Work_Codes!$AC$297:$AO$305)*(K$440:K$448))</f>
        <v>0</v>
      </c>
      <c r="L540" s="81">
        <f ca="1">SUMPRODUCT((Work_Codes!$AC$294:$AO$294=$E540)*(Work_Codes!$AC$297:$AO$305)*(L$440:L$448))</f>
        <v>0</v>
      </c>
      <c r="M540" s="81">
        <f ca="1">SUMPRODUCT((Work_Codes!$AC$294:$AO$294=$E540)*(Work_Codes!$AC$297:$AO$305)*(M$440:M$448))</f>
        <v>0</v>
      </c>
      <c r="N540" s="81">
        <f ca="1">SUMPRODUCT((Work_Codes!$AC$294:$AO$294=$E540)*(Work_Codes!$AC$297:$AO$305)*(N$440:N$448))</f>
        <v>0</v>
      </c>
      <c r="O540" s="81">
        <f ca="1">SUMPRODUCT((Work_Codes!$AC$294:$AO$294=$E540)*(Work_Codes!$AC$297:$AO$305)*(O$440:O$448))</f>
        <v>0</v>
      </c>
      <c r="P540" s="81">
        <f ca="1">SUMPRODUCT((Work_Codes!$AC$294:$AO$294=$E540)*(Work_Codes!$AC$297:$AO$305)*(P$440:P$448))</f>
        <v>0</v>
      </c>
      <c r="Q540" s="81">
        <f ca="1">SUMPRODUCT((Work_Codes!$AC$294:$AO$294=$E540)*(Work_Codes!$AC$297:$AO$305)*(Q$440:Q$448))</f>
        <v>0</v>
      </c>
      <c r="R540" s="81">
        <f ca="1">SUMPRODUCT((Work_Codes!$AC$294:$AO$294=$E540)*(Work_Codes!$AC$297:$AO$305)*(R$440:R$448))</f>
        <v>0</v>
      </c>
      <c r="S540" s="81">
        <f ca="1">SUMPRODUCT((Work_Codes!$AC$294:$AO$294=$E540)*(Work_Codes!$AC$297:$AO$305)*(S$440:S$448))</f>
        <v>0</v>
      </c>
      <c r="T540" s="81">
        <f ca="1">SUMPRODUCT((Work_Codes!$AC$294:$AO$294=$E540)*(Work_Codes!$AC$297:$AO$305)*(T$440:T$448))</f>
        <v>0</v>
      </c>
    </row>
    <row r="541" spans="2:20" ht="12" customHeight="1" outlineLevel="2">
      <c r="E541" s="247" t="str">
        <f>GC!C61</f>
        <v>Residential new customer connections</v>
      </c>
      <c r="F541" s="247"/>
      <c r="G541" s="247"/>
      <c r="H541" s="247"/>
      <c r="I541" s="247"/>
      <c r="J541" s="81">
        <f ca="1">SUMPRODUCT((Work_Codes!$AC$294:$AO$294=$E541)*(Work_Codes!$AC$297:$AO$305)*(J$440:J$448))</f>
        <v>0</v>
      </c>
      <c r="K541" s="81">
        <f ca="1">SUMPRODUCT((Work_Codes!$AC$294:$AO$294=$E541)*(Work_Codes!$AC$297:$AO$305)*(K$440:K$448))</f>
        <v>0</v>
      </c>
      <c r="L541" s="81">
        <f ca="1">SUMPRODUCT((Work_Codes!$AC$294:$AO$294=$E541)*(Work_Codes!$AC$297:$AO$305)*(L$440:L$448))</f>
        <v>0</v>
      </c>
      <c r="M541" s="81">
        <f ca="1">SUMPRODUCT((Work_Codes!$AC$294:$AO$294=$E541)*(Work_Codes!$AC$297:$AO$305)*(M$440:M$448))</f>
        <v>0</v>
      </c>
      <c r="N541" s="81">
        <f ca="1">SUMPRODUCT((Work_Codes!$AC$294:$AO$294=$E541)*(Work_Codes!$AC$297:$AO$305)*(N$440:N$448))</f>
        <v>0</v>
      </c>
      <c r="O541" s="81">
        <f ca="1">SUMPRODUCT((Work_Codes!$AC$294:$AO$294=$E541)*(Work_Codes!$AC$297:$AO$305)*(O$440:O$448))</f>
        <v>0</v>
      </c>
      <c r="P541" s="81">
        <f ca="1">SUMPRODUCT((Work_Codes!$AC$294:$AO$294=$E541)*(Work_Codes!$AC$297:$AO$305)*(P$440:P$448))</f>
        <v>0</v>
      </c>
      <c r="Q541" s="81">
        <f ca="1">SUMPRODUCT((Work_Codes!$AC$294:$AO$294=$E541)*(Work_Codes!$AC$297:$AO$305)*(Q$440:Q$448))</f>
        <v>0</v>
      </c>
      <c r="R541" s="81">
        <f ca="1">SUMPRODUCT((Work_Codes!$AC$294:$AO$294=$E541)*(Work_Codes!$AC$297:$AO$305)*(R$440:R$448))</f>
        <v>0</v>
      </c>
      <c r="S541" s="81">
        <f ca="1">SUMPRODUCT((Work_Codes!$AC$294:$AO$294=$E541)*(Work_Codes!$AC$297:$AO$305)*(S$440:S$448))</f>
        <v>0</v>
      </c>
      <c r="T541" s="81">
        <f ca="1">SUMPRODUCT((Work_Codes!$AC$294:$AO$294=$E541)*(Work_Codes!$AC$297:$AO$305)*(T$440:T$448))</f>
        <v>0</v>
      </c>
    </row>
    <row r="542" spans="2:20" ht="12" customHeight="1" outlineLevel="2">
      <c r="E542" s="247" t="str">
        <f>GC!C62</f>
        <v>Commercial and industrial new customer connections</v>
      </c>
      <c r="F542" s="247"/>
      <c r="G542" s="247"/>
      <c r="H542" s="247"/>
      <c r="I542" s="247"/>
      <c r="J542" s="81">
        <f ca="1">SUMPRODUCT((Work_Codes!$AC$294:$AO$294=$E542)*(Work_Codes!$AC$297:$AO$305)*(J$440:J$448))</f>
        <v>0</v>
      </c>
      <c r="K542" s="81">
        <f ca="1">SUMPRODUCT((Work_Codes!$AC$294:$AO$294=$E542)*(Work_Codes!$AC$297:$AO$305)*(K$440:K$448))</f>
        <v>0</v>
      </c>
      <c r="L542" s="81">
        <f ca="1">SUMPRODUCT((Work_Codes!$AC$294:$AO$294=$E542)*(Work_Codes!$AC$297:$AO$305)*(L$440:L$448))</f>
        <v>0</v>
      </c>
      <c r="M542" s="81">
        <f ca="1">SUMPRODUCT((Work_Codes!$AC$294:$AO$294=$E542)*(Work_Codes!$AC$297:$AO$305)*(M$440:M$448))</f>
        <v>0</v>
      </c>
      <c r="N542" s="81">
        <f ca="1">SUMPRODUCT((Work_Codes!$AC$294:$AO$294=$E542)*(Work_Codes!$AC$297:$AO$305)*(N$440:N$448))</f>
        <v>0</v>
      </c>
      <c r="O542" s="81">
        <f ca="1">SUMPRODUCT((Work_Codes!$AC$294:$AO$294=$E542)*(Work_Codes!$AC$297:$AO$305)*(O$440:O$448))</f>
        <v>0</v>
      </c>
      <c r="P542" s="81">
        <f ca="1">SUMPRODUCT((Work_Codes!$AC$294:$AO$294=$E542)*(Work_Codes!$AC$297:$AO$305)*(P$440:P$448))</f>
        <v>0</v>
      </c>
      <c r="Q542" s="81">
        <f ca="1">SUMPRODUCT((Work_Codes!$AC$294:$AO$294=$E542)*(Work_Codes!$AC$297:$AO$305)*(Q$440:Q$448))</f>
        <v>0</v>
      </c>
      <c r="R542" s="81">
        <f ca="1">SUMPRODUCT((Work_Codes!$AC$294:$AO$294=$E542)*(Work_Codes!$AC$297:$AO$305)*(R$440:R$448))</f>
        <v>0</v>
      </c>
      <c r="S542" s="81">
        <f ca="1">SUMPRODUCT((Work_Codes!$AC$294:$AO$294=$E542)*(Work_Codes!$AC$297:$AO$305)*(S$440:S$448))</f>
        <v>0</v>
      </c>
      <c r="T542" s="81">
        <f ca="1">SUMPRODUCT((Work_Codes!$AC$294:$AO$294=$E542)*(Work_Codes!$AC$297:$AO$305)*(T$440:T$448))</f>
        <v>0</v>
      </c>
    </row>
    <row r="543" spans="2:20" ht="12" customHeight="1" outlineLevel="2">
      <c r="E543" s="247" t="str">
        <f>GC!C63</f>
        <v>Residential meter replacement</v>
      </c>
      <c r="F543" s="247"/>
      <c r="G543" s="247"/>
      <c r="H543" s="247"/>
      <c r="I543" s="247"/>
      <c r="J543" s="81">
        <f ca="1">SUMPRODUCT((Work_Codes!$AC$294:$AO$294=$E543)*(Work_Codes!$AC$297:$AO$305)*(J$440:J$448))</f>
        <v>0</v>
      </c>
      <c r="K543" s="81">
        <f ca="1">SUMPRODUCT((Work_Codes!$AC$294:$AO$294=$E543)*(Work_Codes!$AC$297:$AO$305)*(K$440:K$448))</f>
        <v>0</v>
      </c>
      <c r="L543" s="81">
        <f ca="1">SUMPRODUCT((Work_Codes!$AC$294:$AO$294=$E543)*(Work_Codes!$AC$297:$AO$305)*(L$440:L$448))</f>
        <v>0</v>
      </c>
      <c r="M543" s="81">
        <f ca="1">SUMPRODUCT((Work_Codes!$AC$294:$AO$294=$E543)*(Work_Codes!$AC$297:$AO$305)*(M$440:M$448))</f>
        <v>0</v>
      </c>
      <c r="N543" s="81">
        <f ca="1">SUMPRODUCT((Work_Codes!$AC$294:$AO$294=$E543)*(Work_Codes!$AC$297:$AO$305)*(N$440:N$448))</f>
        <v>0</v>
      </c>
      <c r="O543" s="81">
        <f ca="1">SUMPRODUCT((Work_Codes!$AC$294:$AO$294=$E543)*(Work_Codes!$AC$297:$AO$305)*(O$440:O$448))</f>
        <v>0</v>
      </c>
      <c r="P543" s="81">
        <f ca="1">SUMPRODUCT((Work_Codes!$AC$294:$AO$294=$E543)*(Work_Codes!$AC$297:$AO$305)*(P$440:P$448))</f>
        <v>0</v>
      </c>
      <c r="Q543" s="81">
        <f ca="1">SUMPRODUCT((Work_Codes!$AC$294:$AO$294=$E543)*(Work_Codes!$AC$297:$AO$305)*(Q$440:Q$448))</f>
        <v>0</v>
      </c>
      <c r="R543" s="81">
        <f ca="1">SUMPRODUCT((Work_Codes!$AC$294:$AO$294=$E543)*(Work_Codes!$AC$297:$AO$305)*(R$440:R$448))</f>
        <v>0</v>
      </c>
      <c r="S543" s="81">
        <f ca="1">SUMPRODUCT((Work_Codes!$AC$294:$AO$294=$E543)*(Work_Codes!$AC$297:$AO$305)*(S$440:S$448))</f>
        <v>0</v>
      </c>
      <c r="T543" s="81">
        <f ca="1">SUMPRODUCT((Work_Codes!$AC$294:$AO$294=$E543)*(Work_Codes!$AC$297:$AO$305)*(T$440:T$448))</f>
        <v>0</v>
      </c>
    </row>
    <row r="544" spans="2:20" ht="12" customHeight="1" outlineLevel="2">
      <c r="E544" s="247" t="str">
        <f>GC!C64</f>
        <v>Commercial and industrial meter replacement</v>
      </c>
      <c r="F544" s="247"/>
      <c r="G544" s="247"/>
      <c r="H544" s="247"/>
      <c r="I544" s="247"/>
      <c r="J544" s="81">
        <f ca="1">SUMPRODUCT((Work_Codes!$AC$294:$AO$294=$E544)*(Work_Codes!$AC$297:$AO$305)*(J$440:J$448))</f>
        <v>0</v>
      </c>
      <c r="K544" s="81">
        <f ca="1">SUMPRODUCT((Work_Codes!$AC$294:$AO$294=$E544)*(Work_Codes!$AC$297:$AO$305)*(K$440:K$448))</f>
        <v>0</v>
      </c>
      <c r="L544" s="81">
        <f ca="1">SUMPRODUCT((Work_Codes!$AC$294:$AO$294=$E544)*(Work_Codes!$AC$297:$AO$305)*(L$440:L$448))</f>
        <v>0</v>
      </c>
      <c r="M544" s="81">
        <f ca="1">SUMPRODUCT((Work_Codes!$AC$294:$AO$294=$E544)*(Work_Codes!$AC$297:$AO$305)*(M$440:M$448))</f>
        <v>0</v>
      </c>
      <c r="N544" s="81">
        <f ca="1">SUMPRODUCT((Work_Codes!$AC$294:$AO$294=$E544)*(Work_Codes!$AC$297:$AO$305)*(N$440:N$448))</f>
        <v>0</v>
      </c>
      <c r="O544" s="81">
        <f ca="1">SUMPRODUCT((Work_Codes!$AC$294:$AO$294=$E544)*(Work_Codes!$AC$297:$AO$305)*(O$440:O$448))</f>
        <v>0</v>
      </c>
      <c r="P544" s="81">
        <f ca="1">SUMPRODUCT((Work_Codes!$AC$294:$AO$294=$E544)*(Work_Codes!$AC$297:$AO$305)*(P$440:P$448))</f>
        <v>0</v>
      </c>
      <c r="Q544" s="81">
        <f ca="1">SUMPRODUCT((Work_Codes!$AC$294:$AO$294=$E544)*(Work_Codes!$AC$297:$AO$305)*(Q$440:Q$448))</f>
        <v>0</v>
      </c>
      <c r="R544" s="81">
        <f ca="1">SUMPRODUCT((Work_Codes!$AC$294:$AO$294=$E544)*(Work_Codes!$AC$297:$AO$305)*(R$440:R$448))</f>
        <v>0</v>
      </c>
      <c r="S544" s="81">
        <f ca="1">SUMPRODUCT((Work_Codes!$AC$294:$AO$294=$E544)*(Work_Codes!$AC$297:$AO$305)*(S$440:S$448))</f>
        <v>0</v>
      </c>
      <c r="T544" s="81">
        <f ca="1">SUMPRODUCT((Work_Codes!$AC$294:$AO$294=$E544)*(Work_Codes!$AC$297:$AO$305)*(T$440:T$448))</f>
        <v>0</v>
      </c>
    </row>
    <row r="545" spans="4:20" ht="12" customHeight="1" outlineLevel="2">
      <c r="E545" s="247" t="str">
        <f>GC!C65</f>
        <v>Augmentation</v>
      </c>
      <c r="F545" s="247"/>
      <c r="G545" s="247"/>
      <c r="H545" s="247"/>
      <c r="I545" s="247"/>
      <c r="J545" s="81">
        <f ca="1">SUMPRODUCT((Work_Codes!$AC$294:$AO$294=$E545)*(Work_Codes!$AC$297:$AO$305)*(J$440:J$448))</f>
        <v>0</v>
      </c>
      <c r="K545" s="81">
        <f ca="1">SUMPRODUCT((Work_Codes!$AC$294:$AO$294=$E545)*(Work_Codes!$AC$297:$AO$305)*(K$440:K$448))</f>
        <v>0</v>
      </c>
      <c r="L545" s="81">
        <f ca="1">SUMPRODUCT((Work_Codes!$AC$294:$AO$294=$E545)*(Work_Codes!$AC$297:$AO$305)*(L$440:L$448))</f>
        <v>0</v>
      </c>
      <c r="M545" s="81">
        <f ca="1">SUMPRODUCT((Work_Codes!$AC$294:$AO$294=$E545)*(Work_Codes!$AC$297:$AO$305)*(M$440:M$448))</f>
        <v>0</v>
      </c>
      <c r="N545" s="81">
        <f ca="1">SUMPRODUCT((Work_Codes!$AC$294:$AO$294=$E545)*(Work_Codes!$AC$297:$AO$305)*(N$440:N$448))</f>
        <v>0</v>
      </c>
      <c r="O545" s="81">
        <f ca="1">SUMPRODUCT((Work_Codes!$AC$294:$AO$294=$E545)*(Work_Codes!$AC$297:$AO$305)*(O$440:O$448))</f>
        <v>0</v>
      </c>
      <c r="P545" s="81">
        <f ca="1">SUMPRODUCT((Work_Codes!$AC$294:$AO$294=$E545)*(Work_Codes!$AC$297:$AO$305)*(P$440:P$448))</f>
        <v>0</v>
      </c>
      <c r="Q545" s="81">
        <f ca="1">SUMPRODUCT((Work_Codes!$AC$294:$AO$294=$E545)*(Work_Codes!$AC$297:$AO$305)*(Q$440:Q$448))</f>
        <v>0</v>
      </c>
      <c r="R545" s="81">
        <f ca="1">SUMPRODUCT((Work_Codes!$AC$294:$AO$294=$E545)*(Work_Codes!$AC$297:$AO$305)*(R$440:R$448))</f>
        <v>0</v>
      </c>
      <c r="S545" s="81">
        <f ca="1">SUMPRODUCT((Work_Codes!$AC$294:$AO$294=$E545)*(Work_Codes!$AC$297:$AO$305)*(S$440:S$448))</f>
        <v>0</v>
      </c>
      <c r="T545" s="81">
        <f ca="1">SUMPRODUCT((Work_Codes!$AC$294:$AO$294=$E545)*(Work_Codes!$AC$297:$AO$305)*(T$440:T$448))</f>
        <v>0</v>
      </c>
    </row>
    <row r="546" spans="4:20" ht="12" customHeight="1" outlineLevel="2">
      <c r="E546" s="247" t="str">
        <f>GC!C66</f>
        <v>IT capex</v>
      </c>
      <c r="F546" s="247"/>
      <c r="G546" s="247"/>
      <c r="H546" s="247"/>
      <c r="I546" s="247"/>
      <c r="J546" s="81">
        <f ca="1">SUMPRODUCT((Work_Codes!$AC$294:$AO$294=$E546)*(Work_Codes!$AC$297:$AO$305)*(J$440:J$448))</f>
        <v>0</v>
      </c>
      <c r="K546" s="81">
        <f ca="1">SUMPRODUCT((Work_Codes!$AC$294:$AO$294=$E546)*(Work_Codes!$AC$297:$AO$305)*(K$440:K$448))</f>
        <v>0</v>
      </c>
      <c r="L546" s="81">
        <f ca="1">SUMPRODUCT((Work_Codes!$AC$294:$AO$294=$E546)*(Work_Codes!$AC$297:$AO$305)*(L$440:L$448))</f>
        <v>0</v>
      </c>
      <c r="M546" s="81">
        <f ca="1">SUMPRODUCT((Work_Codes!$AC$294:$AO$294=$E546)*(Work_Codes!$AC$297:$AO$305)*(M$440:M$448))</f>
        <v>0</v>
      </c>
      <c r="N546" s="81">
        <f ca="1">SUMPRODUCT((Work_Codes!$AC$294:$AO$294=$E546)*(Work_Codes!$AC$297:$AO$305)*(N$440:N$448))</f>
        <v>0</v>
      </c>
      <c r="O546" s="81">
        <f ca="1">SUMPRODUCT((Work_Codes!$AC$294:$AO$294=$E546)*(Work_Codes!$AC$297:$AO$305)*(O$440:O$448))</f>
        <v>0</v>
      </c>
      <c r="P546" s="81">
        <f ca="1">SUMPRODUCT((Work_Codes!$AC$294:$AO$294=$E546)*(Work_Codes!$AC$297:$AO$305)*(P$440:P$448))</f>
        <v>0</v>
      </c>
      <c r="Q546" s="81">
        <f ca="1">SUMPRODUCT((Work_Codes!$AC$294:$AO$294=$E546)*(Work_Codes!$AC$297:$AO$305)*(Q$440:Q$448))</f>
        <v>0</v>
      </c>
      <c r="R546" s="81">
        <f ca="1">SUMPRODUCT((Work_Codes!$AC$294:$AO$294=$E546)*(Work_Codes!$AC$297:$AO$305)*(R$440:R$448))</f>
        <v>0</v>
      </c>
      <c r="S546" s="81">
        <f ca="1">SUMPRODUCT((Work_Codes!$AC$294:$AO$294=$E546)*(Work_Codes!$AC$297:$AO$305)*(S$440:S$448))</f>
        <v>0</v>
      </c>
      <c r="T546" s="81">
        <f ca="1">SUMPRODUCT((Work_Codes!$AC$294:$AO$294=$E546)*(Work_Codes!$AC$297:$AO$305)*(T$440:T$448))</f>
        <v>0</v>
      </c>
    </row>
    <row r="547" spans="4:20" ht="12" customHeight="1" outlineLevel="2">
      <c r="E547" s="247" t="str">
        <f>GC!C67</f>
        <v>SCADA</v>
      </c>
      <c r="F547" s="247"/>
      <c r="G547" s="247"/>
      <c r="H547" s="247"/>
      <c r="I547" s="247"/>
      <c r="J547" s="81">
        <f ca="1">SUMPRODUCT((Work_Codes!$AC$294:$AO$294=$E547)*(Work_Codes!$AC$297:$AO$305)*(J$440:J$448))</f>
        <v>0</v>
      </c>
      <c r="K547" s="81">
        <f ca="1">SUMPRODUCT((Work_Codes!$AC$294:$AO$294=$E547)*(Work_Codes!$AC$297:$AO$305)*(K$440:K$448))</f>
        <v>0</v>
      </c>
      <c r="L547" s="81">
        <f ca="1">SUMPRODUCT((Work_Codes!$AC$294:$AO$294=$E547)*(Work_Codes!$AC$297:$AO$305)*(L$440:L$448))</f>
        <v>0</v>
      </c>
      <c r="M547" s="81">
        <f ca="1">SUMPRODUCT((Work_Codes!$AC$294:$AO$294=$E547)*(Work_Codes!$AC$297:$AO$305)*(M$440:M$448))</f>
        <v>0</v>
      </c>
      <c r="N547" s="81">
        <f ca="1">SUMPRODUCT((Work_Codes!$AC$294:$AO$294=$E547)*(Work_Codes!$AC$297:$AO$305)*(N$440:N$448))</f>
        <v>1261735.9153766781</v>
      </c>
      <c r="O547" s="81">
        <f ca="1">SUMPRODUCT((Work_Codes!$AC$294:$AO$294=$E547)*(Work_Codes!$AC$297:$AO$305)*(O$440:O$448))</f>
        <v>140021.82287900295</v>
      </c>
      <c r="P547" s="81">
        <f ca="1">SUMPRODUCT((Work_Codes!$AC$294:$AO$294=$E547)*(Work_Codes!$AC$297:$AO$305)*(P$440:P$448))</f>
        <v>1155354.4755339709</v>
      </c>
      <c r="Q547" s="81">
        <f ca="1">SUMPRODUCT((Work_Codes!$AC$294:$AO$294=$E547)*(Work_Codes!$AC$297:$AO$305)*(Q$440:Q$448))</f>
        <v>1105600.2565754629</v>
      </c>
      <c r="R547" s="81">
        <f ca="1">SUMPRODUCT((Work_Codes!$AC$294:$AO$294=$E547)*(Work_Codes!$AC$297:$AO$305)*(R$440:R$448))</f>
        <v>255224.26027521645</v>
      </c>
      <c r="S547" s="81">
        <f ca="1">SUMPRODUCT((Work_Codes!$AC$294:$AO$294=$E547)*(Work_Codes!$AC$297:$AO$305)*(S$440:S$448))</f>
        <v>232783.50745597249</v>
      </c>
      <c r="T547" s="81">
        <f ca="1">SUMPRODUCT((Work_Codes!$AC$294:$AO$294=$E547)*(Work_Codes!$AC$297:$AO$305)*(T$440:T$448))</f>
        <v>255398.58129712642</v>
      </c>
    </row>
    <row r="548" spans="4:20" ht="12" customHeight="1" outlineLevel="2">
      <c r="E548" s="247" t="str">
        <f>GC!C68</f>
        <v>Other</v>
      </c>
      <c r="F548" s="247"/>
      <c r="G548" s="247"/>
      <c r="H548" s="247"/>
      <c r="I548" s="247"/>
      <c r="J548" s="81">
        <f ca="1">SUMPRODUCT((Work_Codes!$AC$294:$AO$294=$E548)*(Work_Codes!$AC$297:$AO$305)*(J$440:J$448))</f>
        <v>0</v>
      </c>
      <c r="K548" s="81">
        <f ca="1">SUMPRODUCT((Work_Codes!$AC$294:$AO$294=$E548)*(Work_Codes!$AC$297:$AO$305)*(K$440:K$448))</f>
        <v>0</v>
      </c>
      <c r="L548" s="81">
        <f ca="1">SUMPRODUCT((Work_Codes!$AC$294:$AO$294=$E548)*(Work_Codes!$AC$297:$AO$305)*(L$440:L$448))</f>
        <v>0</v>
      </c>
      <c r="M548" s="81">
        <f ca="1">SUMPRODUCT((Work_Codes!$AC$294:$AO$294=$E548)*(Work_Codes!$AC$297:$AO$305)*(M$440:M$448))</f>
        <v>0</v>
      </c>
      <c r="N548" s="81">
        <f ca="1">SUMPRODUCT((Work_Codes!$AC$294:$AO$294=$E548)*(Work_Codes!$AC$297:$AO$305)*(N$440:N$448))</f>
        <v>0</v>
      </c>
      <c r="O548" s="81">
        <f ca="1">SUMPRODUCT((Work_Codes!$AC$294:$AO$294=$E548)*(Work_Codes!$AC$297:$AO$305)*(O$440:O$448))</f>
        <v>0</v>
      </c>
      <c r="P548" s="81">
        <f ca="1">SUMPRODUCT((Work_Codes!$AC$294:$AO$294=$E548)*(Work_Codes!$AC$297:$AO$305)*(P$440:P$448))</f>
        <v>0</v>
      </c>
      <c r="Q548" s="81">
        <f ca="1">SUMPRODUCT((Work_Codes!$AC$294:$AO$294=$E548)*(Work_Codes!$AC$297:$AO$305)*(Q$440:Q$448))</f>
        <v>0</v>
      </c>
      <c r="R548" s="81">
        <f ca="1">SUMPRODUCT((Work_Codes!$AC$294:$AO$294=$E548)*(Work_Codes!$AC$297:$AO$305)*(R$440:R$448))</f>
        <v>0</v>
      </c>
      <c r="S548" s="81">
        <f ca="1">SUMPRODUCT((Work_Codes!$AC$294:$AO$294=$E548)*(Work_Codes!$AC$297:$AO$305)*(S$440:S$448))</f>
        <v>0</v>
      </c>
      <c r="T548" s="81">
        <f ca="1">SUMPRODUCT((Work_Codes!$AC$294:$AO$294=$E548)*(Work_Codes!$AC$297:$AO$305)*(T$440:T$448))</f>
        <v>0</v>
      </c>
    </row>
    <row r="549" spans="4:20" outlineLevel="2">
      <c r="E549" s="247" t="str">
        <f>GC!C69</f>
        <v>Capitalised Leases</v>
      </c>
      <c r="F549" s="247"/>
      <c r="G549" s="247"/>
      <c r="H549" s="247"/>
      <c r="I549" s="247"/>
      <c r="J549" s="81">
        <f ca="1">SUMPRODUCT((Work_Codes!$AC$294:$AO$294=$E549)*(Work_Codes!$AC$297:$AO$305)*(J$440:J$448))</f>
        <v>0</v>
      </c>
      <c r="K549" s="81">
        <f ca="1">SUMPRODUCT((Work_Codes!$AC$294:$AO$294=$E549)*(Work_Codes!$AC$297:$AO$305)*(K$440:K$448))</f>
        <v>0</v>
      </c>
      <c r="L549" s="81">
        <f ca="1">SUMPRODUCT((Work_Codes!$AC$294:$AO$294=$E549)*(Work_Codes!$AC$297:$AO$305)*(L$440:L$448))</f>
        <v>0</v>
      </c>
      <c r="M549" s="81">
        <f ca="1">SUMPRODUCT((Work_Codes!$AC$294:$AO$294=$E549)*(Work_Codes!$AC$297:$AO$305)*(M$440:M$448))</f>
        <v>0</v>
      </c>
      <c r="N549" s="81">
        <f ca="1">SUMPRODUCT((Work_Codes!$AC$294:$AO$294=$E549)*(Work_Codes!$AC$297:$AO$305)*(N$440:N$448))</f>
        <v>0</v>
      </c>
      <c r="O549" s="81">
        <f ca="1">SUMPRODUCT((Work_Codes!$AC$294:$AO$294=$E549)*(Work_Codes!$AC$297:$AO$305)*(O$440:O$448))</f>
        <v>0</v>
      </c>
      <c r="P549" s="81">
        <f ca="1">SUMPRODUCT((Work_Codes!$AC$294:$AO$294=$E549)*(Work_Codes!$AC$297:$AO$305)*(P$440:P$448))</f>
        <v>0</v>
      </c>
      <c r="Q549" s="81">
        <f ca="1">SUMPRODUCT((Work_Codes!$AC$294:$AO$294=$E549)*(Work_Codes!$AC$297:$AO$305)*(Q$440:Q$448))</f>
        <v>0</v>
      </c>
      <c r="R549" s="81">
        <f ca="1">SUMPRODUCT((Work_Codes!$AC$294:$AO$294=$E549)*(Work_Codes!$AC$297:$AO$305)*(R$440:R$448))</f>
        <v>0</v>
      </c>
      <c r="S549" s="81">
        <f ca="1">SUMPRODUCT((Work_Codes!$AC$294:$AO$294=$E549)*(Work_Codes!$AC$297:$AO$305)*(S$440:S$448))</f>
        <v>0</v>
      </c>
      <c r="T549" s="81">
        <f ca="1">SUMPRODUCT((Work_Codes!$AC$294:$AO$294=$E549)*(Work_Codes!$AC$297:$AO$305)*(T$440:T$448))</f>
        <v>0</v>
      </c>
    </row>
    <row r="550" spans="4:20" ht="12" customHeight="1" outlineLevel="2">
      <c r="E550" s="247" t="str">
        <f>GC!C70</f>
        <v>Gas Extensions - Energy for the Regions</v>
      </c>
      <c r="F550" s="247"/>
      <c r="G550" s="247"/>
      <c r="H550" s="247"/>
      <c r="I550" s="247"/>
      <c r="J550" s="81">
        <f ca="1">SUMPRODUCT((Work_Codes!$AC$294:$AO$294=$E550)*(Work_Codes!$AC$297:$AO$305)*(J$440:J$448))</f>
        <v>0</v>
      </c>
      <c r="K550" s="81">
        <f ca="1">SUMPRODUCT((Work_Codes!$AC$294:$AO$294=$E550)*(Work_Codes!$AC$297:$AO$305)*(K$440:K$448))</f>
        <v>0</v>
      </c>
      <c r="L550" s="81">
        <f ca="1">SUMPRODUCT((Work_Codes!$AC$294:$AO$294=$E550)*(Work_Codes!$AC$297:$AO$305)*(L$440:L$448))</f>
        <v>0</v>
      </c>
      <c r="M550" s="81">
        <f ca="1">SUMPRODUCT((Work_Codes!$AC$294:$AO$294=$E550)*(Work_Codes!$AC$297:$AO$305)*(M$440:M$448))</f>
        <v>0</v>
      </c>
      <c r="N550" s="81">
        <f ca="1">SUMPRODUCT((Work_Codes!$AC$294:$AO$294=$E550)*(Work_Codes!$AC$297:$AO$305)*(N$440:N$448))</f>
        <v>0</v>
      </c>
      <c r="O550" s="81">
        <f ca="1">SUMPRODUCT((Work_Codes!$AC$294:$AO$294=$E550)*(Work_Codes!$AC$297:$AO$305)*(O$440:O$448))</f>
        <v>0</v>
      </c>
      <c r="P550" s="81">
        <f ca="1">SUMPRODUCT((Work_Codes!$AC$294:$AO$294=$E550)*(Work_Codes!$AC$297:$AO$305)*(P$440:P$448))</f>
        <v>0</v>
      </c>
      <c r="Q550" s="81">
        <f ca="1">SUMPRODUCT((Work_Codes!$AC$294:$AO$294=$E550)*(Work_Codes!$AC$297:$AO$305)*(Q$440:Q$448))</f>
        <v>0</v>
      </c>
      <c r="R550" s="81">
        <f ca="1">SUMPRODUCT((Work_Codes!$AC$294:$AO$294=$E550)*(Work_Codes!$AC$297:$AO$305)*(R$440:R$448))</f>
        <v>0</v>
      </c>
      <c r="S550" s="81">
        <f ca="1">SUMPRODUCT((Work_Codes!$AC$294:$AO$294=$E550)*(Work_Codes!$AC$297:$AO$305)*(S$440:S$448))</f>
        <v>0</v>
      </c>
      <c r="T550" s="81">
        <f ca="1">SUMPRODUCT((Work_Codes!$AC$294:$AO$294=$E550)*(Work_Codes!$AC$297:$AO$305)*(T$440:T$448))</f>
        <v>0</v>
      </c>
    </row>
    <row r="551" spans="4:20" ht="12" customHeight="1" outlineLevel="2">
      <c r="E551" s="247" t="str">
        <f>GC!C71</f>
        <v>Gas Extensions - Other</v>
      </c>
      <c r="F551" s="247"/>
      <c r="G551" s="247"/>
      <c r="H551" s="247"/>
      <c r="I551" s="247"/>
      <c r="J551" s="81">
        <f ca="1">SUMPRODUCT((Work_Codes!$AC$294:$AO$294=$E551)*(Work_Codes!$AC$297:$AO$305)*(J$440:J$448))</f>
        <v>0</v>
      </c>
      <c r="K551" s="81">
        <f ca="1">SUMPRODUCT((Work_Codes!$AC$294:$AO$294=$E551)*(Work_Codes!$AC$297:$AO$305)*(K$440:K$448))</f>
        <v>0</v>
      </c>
      <c r="L551" s="81">
        <f ca="1">SUMPRODUCT((Work_Codes!$AC$294:$AO$294=$E551)*(Work_Codes!$AC$297:$AO$305)*(L$440:L$448))</f>
        <v>0</v>
      </c>
      <c r="M551" s="81">
        <f ca="1">SUMPRODUCT((Work_Codes!$AC$294:$AO$294=$E551)*(Work_Codes!$AC$297:$AO$305)*(M$440:M$448))</f>
        <v>0</v>
      </c>
      <c r="N551" s="81">
        <f ca="1">SUMPRODUCT((Work_Codes!$AC$294:$AO$294=$E551)*(Work_Codes!$AC$297:$AO$305)*(N$440:N$448))</f>
        <v>0</v>
      </c>
      <c r="O551" s="81">
        <f ca="1">SUMPRODUCT((Work_Codes!$AC$294:$AO$294=$E551)*(Work_Codes!$AC$297:$AO$305)*(O$440:O$448))</f>
        <v>0</v>
      </c>
      <c r="P551" s="81">
        <f ca="1">SUMPRODUCT((Work_Codes!$AC$294:$AO$294=$E551)*(Work_Codes!$AC$297:$AO$305)*(P$440:P$448))</f>
        <v>0</v>
      </c>
      <c r="Q551" s="81">
        <f ca="1">SUMPRODUCT((Work_Codes!$AC$294:$AO$294=$E551)*(Work_Codes!$AC$297:$AO$305)*(Q$440:Q$448))</f>
        <v>0</v>
      </c>
      <c r="R551" s="81">
        <f ca="1">SUMPRODUCT((Work_Codes!$AC$294:$AO$294=$E551)*(Work_Codes!$AC$297:$AO$305)*(R$440:R$448))</f>
        <v>0</v>
      </c>
      <c r="S551" s="81">
        <f ca="1">SUMPRODUCT((Work_Codes!$AC$294:$AO$294=$E551)*(Work_Codes!$AC$297:$AO$305)*(S$440:S$448))</f>
        <v>0</v>
      </c>
      <c r="T551" s="81">
        <f ca="1">SUMPRODUCT((Work_Codes!$AC$294:$AO$294=$E551)*(Work_Codes!$AC$297:$AO$305)*(T$440:T$448))</f>
        <v>0</v>
      </c>
    </row>
    <row r="552" spans="4:20" ht="12" customHeight="1" outlineLevel="2">
      <c r="E552" s="247" t="str">
        <f>GC!C72</f>
        <v>Customer contributions</v>
      </c>
      <c r="F552" s="247"/>
      <c r="G552" s="247"/>
      <c r="H552" s="247"/>
      <c r="I552" s="247"/>
      <c r="J552" s="81">
        <f ca="1">SUMPRODUCT((Work_Codes!$AC$294:$AO$294=$E552)*(Work_Codes!$AC$297:$AO$305)*(J$440:J$448))</f>
        <v>0</v>
      </c>
      <c r="K552" s="81">
        <f ca="1">SUMPRODUCT((Work_Codes!$AC$294:$AO$294=$E552)*(Work_Codes!$AC$297:$AO$305)*(K$440:K$448))</f>
        <v>0</v>
      </c>
      <c r="L552" s="81">
        <f ca="1">SUMPRODUCT((Work_Codes!$AC$294:$AO$294=$E552)*(Work_Codes!$AC$297:$AO$305)*(L$440:L$448))</f>
        <v>0</v>
      </c>
      <c r="M552" s="81">
        <f ca="1">SUMPRODUCT((Work_Codes!$AC$294:$AO$294=$E552)*(Work_Codes!$AC$297:$AO$305)*(M$440:M$448))</f>
        <v>0</v>
      </c>
      <c r="N552" s="81">
        <f ca="1">SUMPRODUCT((Work_Codes!$AC$294:$AO$294=$E552)*(Work_Codes!$AC$297:$AO$305)*(N$440:N$448))</f>
        <v>0</v>
      </c>
      <c r="O552" s="81">
        <f ca="1">SUMPRODUCT((Work_Codes!$AC$294:$AO$294=$E552)*(Work_Codes!$AC$297:$AO$305)*(O$440:O$448))</f>
        <v>0</v>
      </c>
      <c r="P552" s="81">
        <f ca="1">SUMPRODUCT((Work_Codes!$AC$294:$AO$294=$E552)*(Work_Codes!$AC$297:$AO$305)*(P$440:P$448))</f>
        <v>0</v>
      </c>
      <c r="Q552" s="81">
        <f ca="1">SUMPRODUCT((Work_Codes!$AC$294:$AO$294=$E552)*(Work_Codes!$AC$297:$AO$305)*(Q$440:Q$448))</f>
        <v>0</v>
      </c>
      <c r="R552" s="81">
        <f ca="1">SUMPRODUCT((Work_Codes!$AC$294:$AO$294=$E552)*(Work_Codes!$AC$297:$AO$305)*(R$440:R$448))</f>
        <v>0</v>
      </c>
      <c r="S552" s="81">
        <f ca="1">SUMPRODUCT((Work_Codes!$AC$294:$AO$294=$E552)*(Work_Codes!$AC$297:$AO$305)*(S$440:S$448))</f>
        <v>0</v>
      </c>
      <c r="T552" s="81">
        <f ca="1">SUMPRODUCT((Work_Codes!$AC$294:$AO$294=$E552)*(Work_Codes!$AC$297:$AO$305)*(T$440:T$448))</f>
        <v>0</v>
      </c>
    </row>
    <row r="553" spans="4:20" ht="12" customHeight="1" outlineLevel="2">
      <c r="E553" s="247" t="str">
        <f>GC!C73</f>
        <v>Government contributions</v>
      </c>
      <c r="F553" s="247"/>
      <c r="G553" s="247"/>
      <c r="H553" s="247"/>
      <c r="I553" s="247"/>
      <c r="J553" s="81">
        <f ca="1">SUMPRODUCT((Work_Codes!$AC$294:$AO$294=$E553)*(Work_Codes!$AC$297:$AO$305)*(J$440:J$448))</f>
        <v>0</v>
      </c>
      <c r="K553" s="81">
        <f ca="1">SUMPRODUCT((Work_Codes!$AC$294:$AO$294=$E553)*(Work_Codes!$AC$297:$AO$305)*(K$440:K$448))</f>
        <v>0</v>
      </c>
      <c r="L553" s="81">
        <f ca="1">SUMPRODUCT((Work_Codes!$AC$294:$AO$294=$E553)*(Work_Codes!$AC$297:$AO$305)*(L$440:L$448))</f>
        <v>0</v>
      </c>
      <c r="M553" s="81">
        <f ca="1">SUMPRODUCT((Work_Codes!$AC$294:$AO$294=$E553)*(Work_Codes!$AC$297:$AO$305)*(M$440:M$448))</f>
        <v>0</v>
      </c>
      <c r="N553" s="81">
        <f ca="1">SUMPRODUCT((Work_Codes!$AC$294:$AO$294=$E553)*(Work_Codes!$AC$297:$AO$305)*(N$440:N$448))</f>
        <v>0</v>
      </c>
      <c r="O553" s="81">
        <f ca="1">SUMPRODUCT((Work_Codes!$AC$294:$AO$294=$E553)*(Work_Codes!$AC$297:$AO$305)*(O$440:O$448))</f>
        <v>0</v>
      </c>
      <c r="P553" s="81">
        <f ca="1">SUMPRODUCT((Work_Codes!$AC$294:$AO$294=$E553)*(Work_Codes!$AC$297:$AO$305)*(P$440:P$448))</f>
        <v>0</v>
      </c>
      <c r="Q553" s="81">
        <f ca="1">SUMPRODUCT((Work_Codes!$AC$294:$AO$294=$E553)*(Work_Codes!$AC$297:$AO$305)*(Q$440:Q$448))</f>
        <v>0</v>
      </c>
      <c r="R553" s="81">
        <f ca="1">SUMPRODUCT((Work_Codes!$AC$294:$AO$294=$E553)*(Work_Codes!$AC$297:$AO$305)*(R$440:R$448))</f>
        <v>0</v>
      </c>
      <c r="S553" s="81">
        <f ca="1">SUMPRODUCT((Work_Codes!$AC$294:$AO$294=$E553)*(Work_Codes!$AC$297:$AO$305)*(S$440:S$448))</f>
        <v>0</v>
      </c>
      <c r="T553" s="81">
        <f ca="1">SUMPRODUCT((Work_Codes!$AC$294:$AO$294=$E553)*(Work_Codes!$AC$297:$AO$305)*(T$440:T$448))</f>
        <v>0</v>
      </c>
    </row>
    <row r="554" spans="4:20" ht="12" customHeight="1" outlineLevel="2">
      <c r="E554" s="249" t="str">
        <f>"Total "&amp;D538</f>
        <v>Total Direct Costs</v>
      </c>
      <c r="F554" s="249"/>
      <c r="G554" s="249"/>
      <c r="H554" s="249"/>
      <c r="I554" s="249"/>
      <c r="J554" s="82">
        <f t="shared" ref="J554:T554" ca="1" si="58">SUM(J540:J553)</f>
        <v>0</v>
      </c>
      <c r="K554" s="82">
        <f t="shared" ca="1" si="58"/>
        <v>0</v>
      </c>
      <c r="L554" s="82">
        <f t="shared" ca="1" si="58"/>
        <v>0</v>
      </c>
      <c r="M554" s="82">
        <f t="shared" ca="1" si="58"/>
        <v>0</v>
      </c>
      <c r="N554" s="82">
        <f t="shared" ca="1" si="58"/>
        <v>1261735.9153766781</v>
      </c>
      <c r="O554" s="82">
        <f t="shared" ca="1" si="58"/>
        <v>140021.82287900295</v>
      </c>
      <c r="P554" s="82">
        <f t="shared" ca="1" si="58"/>
        <v>1155354.4755339709</v>
      </c>
      <c r="Q554" s="82">
        <f t="shared" ca="1" si="58"/>
        <v>1105600.2565754629</v>
      </c>
      <c r="R554" s="82">
        <f t="shared" ca="1" si="58"/>
        <v>255224.26027521645</v>
      </c>
      <c r="S554" s="82">
        <f t="shared" ca="1" si="58"/>
        <v>232783.50745597249</v>
      </c>
      <c r="T554" s="82">
        <f t="shared" ca="1" si="58"/>
        <v>255398.58129712642</v>
      </c>
    </row>
    <row r="555" spans="4:20" outlineLevel="2"/>
    <row r="556" spans="4:20" outlineLevel="2">
      <c r="D556" s="37" t="s">
        <v>216</v>
      </c>
    </row>
    <row r="557" spans="4:20" ht="5.9" customHeight="1" outlineLevel="2"/>
    <row r="558" spans="4:20" ht="12" customHeight="1" outlineLevel="2">
      <c r="E558" s="247" t="str">
        <f>GC!C60</f>
        <v>Mains replacement</v>
      </c>
      <c r="F558" s="247"/>
      <c r="G558" s="247"/>
      <c r="H558" s="247"/>
      <c r="I558" s="247"/>
      <c r="J558" s="81">
        <f ca="1">J540*(1+INDEX(J$338:J$340,MATCH(Work_Codes!$I$291,$D$338:$D$340,0)))</f>
        <v>0</v>
      </c>
      <c r="K558" s="81">
        <f ca="1">K540*(1+INDEX(K$338:K$340,MATCH(Work_Codes!$I$291,$D$338:$D$340,0)))</f>
        <v>0</v>
      </c>
      <c r="L558" s="81">
        <f ca="1">L540*(1+INDEX(L$338:L$340,MATCH(Work_Codes!$I$291,$D$338:$D$340,0)))</f>
        <v>0</v>
      </c>
      <c r="M558" s="81">
        <f ca="1">M540*(1+INDEX(M$338:M$340,MATCH(Work_Codes!$I$291,$D$338:$D$340,0)))</f>
        <v>0</v>
      </c>
      <c r="N558" s="81">
        <f ca="1">N540*(1+INDEX(N$338:N$340,MATCH(Work_Codes!$I$291,$D$338:$D$340,0)))</f>
        <v>0</v>
      </c>
      <c r="O558" s="81">
        <f ca="1">O540*(1+INDEX(O$338:O$340,MATCH(Work_Codes!$I$291,$D$338:$D$340,0)))</f>
        <v>0</v>
      </c>
      <c r="P558" s="81">
        <f ca="1">P540*(1+INDEX(P$338:P$340,MATCH(Work_Codes!$I$291,$D$338:$D$340,0)))</f>
        <v>0</v>
      </c>
      <c r="Q558" s="81">
        <f ca="1">Q540*(1+INDEX(Q$338:Q$340,MATCH(Work_Codes!$I$291,$D$338:$D$340,0)))</f>
        <v>0</v>
      </c>
      <c r="R558" s="81">
        <f ca="1">R540*(1+INDEX(R$338:R$340,MATCH(Work_Codes!$I$291,$D$338:$D$340,0)))</f>
        <v>0</v>
      </c>
      <c r="S558" s="81">
        <f ca="1">S540*(1+INDEX(S$338:S$340,MATCH(Work_Codes!$I$291,$D$338:$D$340,0)))</f>
        <v>0</v>
      </c>
      <c r="T558" s="81">
        <f ca="1">T540*(1+INDEX(T$338:T$340,MATCH(Work_Codes!$I$291,$D$338:$D$340,0)))</f>
        <v>0</v>
      </c>
    </row>
    <row r="559" spans="4:20" ht="12" customHeight="1" outlineLevel="2">
      <c r="E559" s="247" t="str">
        <f>GC!C61</f>
        <v>Residential new customer connections</v>
      </c>
      <c r="F559" s="247"/>
      <c r="G559" s="247"/>
      <c r="H559" s="247"/>
      <c r="I559" s="247"/>
      <c r="J559" s="81">
        <f ca="1">J541*(1+INDEX(J$338:J$340,MATCH(Work_Codes!$I$291,$D$338:$D$340,0)))</f>
        <v>0</v>
      </c>
      <c r="K559" s="81">
        <f ca="1">K541*(1+INDEX(K$338:K$340,MATCH(Work_Codes!$I$291,$D$338:$D$340,0)))</f>
        <v>0</v>
      </c>
      <c r="L559" s="81">
        <f ca="1">L541*(1+INDEX(L$338:L$340,MATCH(Work_Codes!$I$291,$D$338:$D$340,0)))</f>
        <v>0</v>
      </c>
      <c r="M559" s="81">
        <f ca="1">M541*(1+INDEX(M$338:M$340,MATCH(Work_Codes!$I$291,$D$338:$D$340,0)))</f>
        <v>0</v>
      </c>
      <c r="N559" s="81">
        <f ca="1">N541*(1+INDEX(N$338:N$340,MATCH(Work_Codes!$I$291,$D$338:$D$340,0)))</f>
        <v>0</v>
      </c>
      <c r="O559" s="81">
        <f ca="1">O541*(1+INDEX(O$338:O$340,MATCH(Work_Codes!$I$291,$D$338:$D$340,0)))</f>
        <v>0</v>
      </c>
      <c r="P559" s="81">
        <f ca="1">P541*(1+INDEX(P$338:P$340,MATCH(Work_Codes!$I$291,$D$338:$D$340,0)))</f>
        <v>0</v>
      </c>
      <c r="Q559" s="81">
        <f ca="1">Q541*(1+INDEX(Q$338:Q$340,MATCH(Work_Codes!$I$291,$D$338:$D$340,0)))</f>
        <v>0</v>
      </c>
      <c r="R559" s="81">
        <f ca="1">R541*(1+INDEX(R$338:R$340,MATCH(Work_Codes!$I$291,$D$338:$D$340,0)))</f>
        <v>0</v>
      </c>
      <c r="S559" s="81">
        <f ca="1">S541*(1+INDEX(S$338:S$340,MATCH(Work_Codes!$I$291,$D$338:$D$340,0)))</f>
        <v>0</v>
      </c>
      <c r="T559" s="81">
        <f ca="1">T541*(1+INDEX(T$338:T$340,MATCH(Work_Codes!$I$291,$D$338:$D$340,0)))</f>
        <v>0</v>
      </c>
    </row>
    <row r="560" spans="4:20" ht="12" customHeight="1" outlineLevel="2">
      <c r="E560" s="247" t="str">
        <f>GC!C62</f>
        <v>Commercial and industrial new customer connections</v>
      </c>
      <c r="F560" s="247"/>
      <c r="G560" s="247"/>
      <c r="H560" s="247"/>
      <c r="I560" s="247"/>
      <c r="J560" s="81">
        <f ca="1">J542*(1+INDEX(J$338:J$340,MATCH(Work_Codes!$I$291,$D$338:$D$340,0)))</f>
        <v>0</v>
      </c>
      <c r="K560" s="81">
        <f ca="1">K542*(1+INDEX(K$338:K$340,MATCH(Work_Codes!$I$291,$D$338:$D$340,0)))</f>
        <v>0</v>
      </c>
      <c r="L560" s="81">
        <f ca="1">L542*(1+INDEX(L$338:L$340,MATCH(Work_Codes!$I$291,$D$338:$D$340,0)))</f>
        <v>0</v>
      </c>
      <c r="M560" s="81">
        <f ca="1">M542*(1+INDEX(M$338:M$340,MATCH(Work_Codes!$I$291,$D$338:$D$340,0)))</f>
        <v>0</v>
      </c>
      <c r="N560" s="81">
        <f ca="1">N542*(1+INDEX(N$338:N$340,MATCH(Work_Codes!$I$291,$D$338:$D$340,0)))</f>
        <v>0</v>
      </c>
      <c r="O560" s="81">
        <f ca="1">O542*(1+INDEX(O$338:O$340,MATCH(Work_Codes!$I$291,$D$338:$D$340,0)))</f>
        <v>0</v>
      </c>
      <c r="P560" s="81">
        <f ca="1">P542*(1+INDEX(P$338:P$340,MATCH(Work_Codes!$I$291,$D$338:$D$340,0)))</f>
        <v>0</v>
      </c>
      <c r="Q560" s="81">
        <f ca="1">Q542*(1+INDEX(Q$338:Q$340,MATCH(Work_Codes!$I$291,$D$338:$D$340,0)))</f>
        <v>0</v>
      </c>
      <c r="R560" s="81">
        <f ca="1">R542*(1+INDEX(R$338:R$340,MATCH(Work_Codes!$I$291,$D$338:$D$340,0)))</f>
        <v>0</v>
      </c>
      <c r="S560" s="81">
        <f ca="1">S542*(1+INDEX(S$338:S$340,MATCH(Work_Codes!$I$291,$D$338:$D$340,0)))</f>
        <v>0</v>
      </c>
      <c r="T560" s="81">
        <f ca="1">T542*(1+INDEX(T$338:T$340,MATCH(Work_Codes!$I$291,$D$338:$D$340,0)))</f>
        <v>0</v>
      </c>
    </row>
    <row r="561" spans="4:20" ht="12" customHeight="1" outlineLevel="2">
      <c r="E561" s="247" t="str">
        <f>GC!C63</f>
        <v>Residential meter replacement</v>
      </c>
      <c r="F561" s="247"/>
      <c r="G561" s="247"/>
      <c r="H561" s="247"/>
      <c r="I561" s="247"/>
      <c r="J561" s="81">
        <f ca="1">J543*(1+INDEX(J$338:J$340,MATCH(Work_Codes!$I$291,$D$338:$D$340,0)))</f>
        <v>0</v>
      </c>
      <c r="K561" s="81">
        <f ca="1">K543*(1+INDEX(K$338:K$340,MATCH(Work_Codes!$I$291,$D$338:$D$340,0)))</f>
        <v>0</v>
      </c>
      <c r="L561" s="81">
        <f ca="1">L543*(1+INDEX(L$338:L$340,MATCH(Work_Codes!$I$291,$D$338:$D$340,0)))</f>
        <v>0</v>
      </c>
      <c r="M561" s="81">
        <f ca="1">M543*(1+INDEX(M$338:M$340,MATCH(Work_Codes!$I$291,$D$338:$D$340,0)))</f>
        <v>0</v>
      </c>
      <c r="N561" s="81">
        <f ca="1">N543*(1+INDEX(N$338:N$340,MATCH(Work_Codes!$I$291,$D$338:$D$340,0)))</f>
        <v>0</v>
      </c>
      <c r="O561" s="81">
        <f ca="1">O543*(1+INDEX(O$338:O$340,MATCH(Work_Codes!$I$291,$D$338:$D$340,0)))</f>
        <v>0</v>
      </c>
      <c r="P561" s="81">
        <f ca="1">P543*(1+INDEX(P$338:P$340,MATCH(Work_Codes!$I$291,$D$338:$D$340,0)))</f>
        <v>0</v>
      </c>
      <c r="Q561" s="81">
        <f ca="1">Q543*(1+INDEX(Q$338:Q$340,MATCH(Work_Codes!$I$291,$D$338:$D$340,0)))</f>
        <v>0</v>
      </c>
      <c r="R561" s="81">
        <f ca="1">R543*(1+INDEX(R$338:R$340,MATCH(Work_Codes!$I$291,$D$338:$D$340,0)))</f>
        <v>0</v>
      </c>
      <c r="S561" s="81">
        <f ca="1">S543*(1+INDEX(S$338:S$340,MATCH(Work_Codes!$I$291,$D$338:$D$340,0)))</f>
        <v>0</v>
      </c>
      <c r="T561" s="81">
        <f ca="1">T543*(1+INDEX(T$338:T$340,MATCH(Work_Codes!$I$291,$D$338:$D$340,0)))</f>
        <v>0</v>
      </c>
    </row>
    <row r="562" spans="4:20" ht="12" customHeight="1" outlineLevel="2">
      <c r="E562" s="247" t="str">
        <f>GC!C64</f>
        <v>Commercial and industrial meter replacement</v>
      </c>
      <c r="F562" s="247"/>
      <c r="G562" s="247"/>
      <c r="H562" s="247"/>
      <c r="I562" s="247"/>
      <c r="J562" s="81">
        <f ca="1">J544*(1+INDEX(J$338:J$340,MATCH(Work_Codes!$I$291,$D$338:$D$340,0)))</f>
        <v>0</v>
      </c>
      <c r="K562" s="81">
        <f ca="1">K544*(1+INDEX(K$338:K$340,MATCH(Work_Codes!$I$291,$D$338:$D$340,0)))</f>
        <v>0</v>
      </c>
      <c r="L562" s="81">
        <f ca="1">L544*(1+INDEX(L$338:L$340,MATCH(Work_Codes!$I$291,$D$338:$D$340,0)))</f>
        <v>0</v>
      </c>
      <c r="M562" s="81">
        <f ca="1">M544*(1+INDEX(M$338:M$340,MATCH(Work_Codes!$I$291,$D$338:$D$340,0)))</f>
        <v>0</v>
      </c>
      <c r="N562" s="81">
        <f ca="1">N544*(1+INDEX(N$338:N$340,MATCH(Work_Codes!$I$291,$D$338:$D$340,0)))</f>
        <v>0</v>
      </c>
      <c r="O562" s="81">
        <f ca="1">O544*(1+INDEX(O$338:O$340,MATCH(Work_Codes!$I$291,$D$338:$D$340,0)))</f>
        <v>0</v>
      </c>
      <c r="P562" s="81">
        <f ca="1">P544*(1+INDEX(P$338:P$340,MATCH(Work_Codes!$I$291,$D$338:$D$340,0)))</f>
        <v>0</v>
      </c>
      <c r="Q562" s="81">
        <f ca="1">Q544*(1+INDEX(Q$338:Q$340,MATCH(Work_Codes!$I$291,$D$338:$D$340,0)))</f>
        <v>0</v>
      </c>
      <c r="R562" s="81">
        <f ca="1">R544*(1+INDEX(R$338:R$340,MATCH(Work_Codes!$I$291,$D$338:$D$340,0)))</f>
        <v>0</v>
      </c>
      <c r="S562" s="81">
        <f ca="1">S544*(1+INDEX(S$338:S$340,MATCH(Work_Codes!$I$291,$D$338:$D$340,0)))</f>
        <v>0</v>
      </c>
      <c r="T562" s="81">
        <f ca="1">T544*(1+INDEX(T$338:T$340,MATCH(Work_Codes!$I$291,$D$338:$D$340,0)))</f>
        <v>0</v>
      </c>
    </row>
    <row r="563" spans="4:20" ht="12" customHeight="1" outlineLevel="2">
      <c r="E563" s="247" t="str">
        <f>GC!C65</f>
        <v>Augmentation</v>
      </c>
      <c r="F563" s="247"/>
      <c r="G563" s="247"/>
      <c r="H563" s="247"/>
      <c r="I563" s="247"/>
      <c r="J563" s="81">
        <f ca="1">J545*(1+INDEX(J$338:J$340,MATCH(Work_Codes!$I$291,$D$338:$D$340,0)))</f>
        <v>0</v>
      </c>
      <c r="K563" s="81">
        <f ca="1">K545*(1+INDEX(K$338:K$340,MATCH(Work_Codes!$I$291,$D$338:$D$340,0)))</f>
        <v>0</v>
      </c>
      <c r="L563" s="81">
        <f ca="1">L545*(1+INDEX(L$338:L$340,MATCH(Work_Codes!$I$291,$D$338:$D$340,0)))</f>
        <v>0</v>
      </c>
      <c r="M563" s="81">
        <f ca="1">M545*(1+INDEX(M$338:M$340,MATCH(Work_Codes!$I$291,$D$338:$D$340,0)))</f>
        <v>0</v>
      </c>
      <c r="N563" s="81">
        <f ca="1">N545*(1+INDEX(N$338:N$340,MATCH(Work_Codes!$I$291,$D$338:$D$340,0)))</f>
        <v>0</v>
      </c>
      <c r="O563" s="81">
        <f ca="1">O545*(1+INDEX(O$338:O$340,MATCH(Work_Codes!$I$291,$D$338:$D$340,0)))</f>
        <v>0</v>
      </c>
      <c r="P563" s="81">
        <f ca="1">P545*(1+INDEX(P$338:P$340,MATCH(Work_Codes!$I$291,$D$338:$D$340,0)))</f>
        <v>0</v>
      </c>
      <c r="Q563" s="81">
        <f ca="1">Q545*(1+INDEX(Q$338:Q$340,MATCH(Work_Codes!$I$291,$D$338:$D$340,0)))</f>
        <v>0</v>
      </c>
      <c r="R563" s="81">
        <f ca="1">R545*(1+INDEX(R$338:R$340,MATCH(Work_Codes!$I$291,$D$338:$D$340,0)))</f>
        <v>0</v>
      </c>
      <c r="S563" s="81">
        <f ca="1">S545*(1+INDEX(S$338:S$340,MATCH(Work_Codes!$I$291,$D$338:$D$340,0)))</f>
        <v>0</v>
      </c>
      <c r="T563" s="81">
        <f ca="1">T545*(1+INDEX(T$338:T$340,MATCH(Work_Codes!$I$291,$D$338:$D$340,0)))</f>
        <v>0</v>
      </c>
    </row>
    <row r="564" spans="4:20" ht="12" customHeight="1" outlineLevel="2">
      <c r="E564" s="247" t="str">
        <f>GC!C66</f>
        <v>IT capex</v>
      </c>
      <c r="F564" s="247"/>
      <c r="G564" s="247"/>
      <c r="H564" s="247"/>
      <c r="I564" s="247"/>
      <c r="J564" s="81">
        <f ca="1">J546*(1+INDEX(J$338:J$340,MATCH(Work_Codes!$I$291,$D$338:$D$340,0)))</f>
        <v>0</v>
      </c>
      <c r="K564" s="81">
        <f ca="1">K546*(1+INDEX(K$338:K$340,MATCH(Work_Codes!$I$291,$D$338:$D$340,0)))</f>
        <v>0</v>
      </c>
      <c r="L564" s="81">
        <f ca="1">L546*(1+INDEX(L$338:L$340,MATCH(Work_Codes!$I$291,$D$338:$D$340,0)))</f>
        <v>0</v>
      </c>
      <c r="M564" s="81">
        <f ca="1">M546*(1+INDEX(M$338:M$340,MATCH(Work_Codes!$I$291,$D$338:$D$340,0)))</f>
        <v>0</v>
      </c>
      <c r="N564" s="81">
        <f ca="1">N546*(1+INDEX(N$338:N$340,MATCH(Work_Codes!$I$291,$D$338:$D$340,0)))</f>
        <v>0</v>
      </c>
      <c r="O564" s="81">
        <f ca="1">O546*(1+INDEX(O$338:O$340,MATCH(Work_Codes!$I$291,$D$338:$D$340,0)))</f>
        <v>0</v>
      </c>
      <c r="P564" s="81">
        <f ca="1">P546*(1+INDEX(P$338:P$340,MATCH(Work_Codes!$I$291,$D$338:$D$340,0)))</f>
        <v>0</v>
      </c>
      <c r="Q564" s="81">
        <f ca="1">Q546*(1+INDEX(Q$338:Q$340,MATCH(Work_Codes!$I$291,$D$338:$D$340,0)))</f>
        <v>0</v>
      </c>
      <c r="R564" s="81">
        <f ca="1">R546*(1+INDEX(R$338:R$340,MATCH(Work_Codes!$I$291,$D$338:$D$340,0)))</f>
        <v>0</v>
      </c>
      <c r="S564" s="81">
        <f ca="1">S546*(1+INDEX(S$338:S$340,MATCH(Work_Codes!$I$291,$D$338:$D$340,0)))</f>
        <v>0</v>
      </c>
      <c r="T564" s="81">
        <f ca="1">T546*(1+INDEX(T$338:T$340,MATCH(Work_Codes!$I$291,$D$338:$D$340,0)))</f>
        <v>0</v>
      </c>
    </row>
    <row r="565" spans="4:20" ht="12" customHeight="1" outlineLevel="2">
      <c r="E565" s="247" t="str">
        <f>GC!C67</f>
        <v>SCADA</v>
      </c>
      <c r="F565" s="247"/>
      <c r="G565" s="247"/>
      <c r="H565" s="247"/>
      <c r="I565" s="247"/>
      <c r="J565" s="81">
        <f ca="1">J547*(1+INDEX(J$338:J$340,MATCH(Work_Codes!$I$291,$D$338:$D$340,0)))</f>
        <v>0</v>
      </c>
      <c r="K565" s="81">
        <f ca="1">K547*(1+INDEX(K$338:K$340,MATCH(Work_Codes!$I$291,$D$338:$D$340,0)))</f>
        <v>0</v>
      </c>
      <c r="L565" s="81">
        <f ca="1">L547*(1+INDEX(L$338:L$340,MATCH(Work_Codes!$I$291,$D$338:$D$340,0)))</f>
        <v>0</v>
      </c>
      <c r="M565" s="81">
        <f ca="1">M547*(1+INDEX(M$338:M$340,MATCH(Work_Codes!$I$291,$D$338:$D$340,0)))</f>
        <v>0</v>
      </c>
      <c r="N565" s="81">
        <f ca="1">N547*(1+INDEX(N$338:N$340,MATCH(Work_Codes!$I$291,$D$338:$D$340,0)))</f>
        <v>1309317.2477967648</v>
      </c>
      <c r="O565" s="81">
        <f ca="1">O547*(1+INDEX(O$338:O$340,MATCH(Work_Codes!$I$291,$D$338:$D$340,0)))</f>
        <v>144682.30489869133</v>
      </c>
      <c r="P565" s="81">
        <f ca="1">P547*(1+INDEX(P$338:P$340,MATCH(Work_Codes!$I$291,$D$338:$D$340,0)))</f>
        <v>1186263.281590621</v>
      </c>
      <c r="Q565" s="81">
        <f ca="1">Q547*(1+INDEX(Q$338:Q$340,MATCH(Work_Codes!$I$291,$D$338:$D$340,0)))</f>
        <v>1134412.8486350176</v>
      </c>
      <c r="R565" s="81">
        <f ca="1">R547*(1+INDEX(R$338:R$340,MATCH(Work_Codes!$I$291,$D$338:$D$340,0)))</f>
        <v>262082.90334976985</v>
      </c>
      <c r="S565" s="81">
        <f ca="1">S547*(1+INDEX(S$338:S$340,MATCH(Work_Codes!$I$291,$D$338:$D$340,0)))</f>
        <v>239428.58711132233</v>
      </c>
      <c r="T565" s="81">
        <f ca="1">T547*(1+INDEX(T$338:T$340,MATCH(Work_Codes!$I$291,$D$338:$D$340,0)))</f>
        <v>263040.20344222145</v>
      </c>
    </row>
    <row r="566" spans="4:20" ht="12" customHeight="1" outlineLevel="2">
      <c r="E566" s="247" t="str">
        <f>GC!C68</f>
        <v>Other</v>
      </c>
      <c r="F566" s="247"/>
      <c r="G566" s="247"/>
      <c r="H566" s="247"/>
      <c r="I566" s="247"/>
      <c r="J566" s="81">
        <f ca="1">J548*(1+INDEX(J$338:J$340,MATCH(Work_Codes!$I$291,$D$338:$D$340,0)))</f>
        <v>0</v>
      </c>
      <c r="K566" s="81">
        <f ca="1">K548*(1+INDEX(K$338:K$340,MATCH(Work_Codes!$I$291,$D$338:$D$340,0)))</f>
        <v>0</v>
      </c>
      <c r="L566" s="81">
        <f ca="1">L548*(1+INDEX(L$338:L$340,MATCH(Work_Codes!$I$291,$D$338:$D$340,0)))</f>
        <v>0</v>
      </c>
      <c r="M566" s="81">
        <f ca="1">M548*(1+INDEX(M$338:M$340,MATCH(Work_Codes!$I$291,$D$338:$D$340,0)))</f>
        <v>0</v>
      </c>
      <c r="N566" s="81">
        <f ca="1">N548*(1+INDEX(N$338:N$340,MATCH(Work_Codes!$I$291,$D$338:$D$340,0)))</f>
        <v>0</v>
      </c>
      <c r="O566" s="81">
        <f ca="1">O548*(1+INDEX(O$338:O$340,MATCH(Work_Codes!$I$291,$D$338:$D$340,0)))</f>
        <v>0</v>
      </c>
      <c r="P566" s="81">
        <f ca="1">P548*(1+INDEX(P$338:P$340,MATCH(Work_Codes!$I$291,$D$338:$D$340,0)))</f>
        <v>0</v>
      </c>
      <c r="Q566" s="81">
        <f ca="1">Q548*(1+INDEX(Q$338:Q$340,MATCH(Work_Codes!$I$291,$D$338:$D$340,0)))</f>
        <v>0</v>
      </c>
      <c r="R566" s="81">
        <f ca="1">R548*(1+INDEX(R$338:R$340,MATCH(Work_Codes!$I$291,$D$338:$D$340,0)))</f>
        <v>0</v>
      </c>
      <c r="S566" s="81">
        <f ca="1">S548*(1+INDEX(S$338:S$340,MATCH(Work_Codes!$I$291,$D$338:$D$340,0)))</f>
        <v>0</v>
      </c>
      <c r="T566" s="81">
        <f ca="1">T548*(1+INDEX(T$338:T$340,MATCH(Work_Codes!$I$291,$D$338:$D$340,0)))</f>
        <v>0</v>
      </c>
    </row>
    <row r="567" spans="4:20" outlineLevel="2">
      <c r="E567" s="247" t="str">
        <f>GC!C69</f>
        <v>Capitalised Leases</v>
      </c>
      <c r="F567" s="247"/>
      <c r="G567" s="247"/>
      <c r="H567" s="247"/>
      <c r="I567" s="247"/>
      <c r="J567" s="81">
        <f ca="1">J549*(1+INDEX(J$338:J$340,MATCH(Work_Codes!$I$291,$D$338:$D$340,0)))</f>
        <v>0</v>
      </c>
      <c r="K567" s="81">
        <f ca="1">K549*(1+INDEX(K$338:K$340,MATCH(Work_Codes!$I$291,$D$338:$D$340,0)))</f>
        <v>0</v>
      </c>
      <c r="L567" s="81">
        <f ca="1">L549*(1+INDEX(L$338:L$340,MATCH(Work_Codes!$I$291,$D$338:$D$340,0)))</f>
        <v>0</v>
      </c>
      <c r="M567" s="81">
        <f ca="1">M549*(1+INDEX(M$338:M$340,MATCH(Work_Codes!$I$291,$D$338:$D$340,0)))</f>
        <v>0</v>
      </c>
      <c r="N567" s="81">
        <f ca="1">N549*(1+INDEX(N$338:N$340,MATCH(Work_Codes!$I$291,$D$338:$D$340,0)))</f>
        <v>0</v>
      </c>
      <c r="O567" s="81">
        <f ca="1">O549*(1+INDEX(O$338:O$340,MATCH(Work_Codes!$I$291,$D$338:$D$340,0)))</f>
        <v>0</v>
      </c>
      <c r="P567" s="81">
        <f ca="1">P549*(1+INDEX(P$338:P$340,MATCH(Work_Codes!$I$291,$D$338:$D$340,0)))</f>
        <v>0</v>
      </c>
      <c r="Q567" s="81">
        <f ca="1">Q549*(1+INDEX(Q$338:Q$340,MATCH(Work_Codes!$I$291,$D$338:$D$340,0)))</f>
        <v>0</v>
      </c>
      <c r="R567" s="81">
        <f ca="1">R549*(1+INDEX(R$338:R$340,MATCH(Work_Codes!$I$291,$D$338:$D$340,0)))</f>
        <v>0</v>
      </c>
      <c r="S567" s="81">
        <f ca="1">S549*(1+INDEX(S$338:S$340,MATCH(Work_Codes!$I$291,$D$338:$D$340,0)))</f>
        <v>0</v>
      </c>
      <c r="T567" s="81">
        <f ca="1">T549*(1+INDEX(T$338:T$340,MATCH(Work_Codes!$I$291,$D$338:$D$340,0)))</f>
        <v>0</v>
      </c>
    </row>
    <row r="568" spans="4:20" ht="12" customHeight="1" outlineLevel="2">
      <c r="E568" s="247" t="str">
        <f>GC!C70</f>
        <v>Gas Extensions - Energy for the Regions</v>
      </c>
      <c r="F568" s="247"/>
      <c r="G568" s="247"/>
      <c r="H568" s="247"/>
      <c r="I568" s="247"/>
      <c r="J568" s="81">
        <f ca="1">J550*(1+INDEX(J$338:J$340,MATCH(Work_Codes!$I$291,$D$338:$D$340,0)))</f>
        <v>0</v>
      </c>
      <c r="K568" s="81">
        <f ca="1">K550*(1+INDEX(K$338:K$340,MATCH(Work_Codes!$I$291,$D$338:$D$340,0)))</f>
        <v>0</v>
      </c>
      <c r="L568" s="81">
        <f ca="1">L550*(1+INDEX(L$338:L$340,MATCH(Work_Codes!$I$291,$D$338:$D$340,0)))</f>
        <v>0</v>
      </c>
      <c r="M568" s="81">
        <f ca="1">M550*(1+INDEX(M$338:M$340,MATCH(Work_Codes!$I$291,$D$338:$D$340,0)))</f>
        <v>0</v>
      </c>
      <c r="N568" s="81">
        <f ca="1">N550*(1+INDEX(N$338:N$340,MATCH(Work_Codes!$I$291,$D$338:$D$340,0)))</f>
        <v>0</v>
      </c>
      <c r="O568" s="81">
        <f ca="1">O550*(1+INDEX(O$338:O$340,MATCH(Work_Codes!$I$291,$D$338:$D$340,0)))</f>
        <v>0</v>
      </c>
      <c r="P568" s="81">
        <f ca="1">P550*(1+INDEX(P$338:P$340,MATCH(Work_Codes!$I$291,$D$338:$D$340,0)))</f>
        <v>0</v>
      </c>
      <c r="Q568" s="81">
        <f ca="1">Q550*(1+INDEX(Q$338:Q$340,MATCH(Work_Codes!$I$291,$D$338:$D$340,0)))</f>
        <v>0</v>
      </c>
      <c r="R568" s="81">
        <f ca="1">R550*(1+INDEX(R$338:R$340,MATCH(Work_Codes!$I$291,$D$338:$D$340,0)))</f>
        <v>0</v>
      </c>
      <c r="S568" s="81">
        <f ca="1">S550*(1+INDEX(S$338:S$340,MATCH(Work_Codes!$I$291,$D$338:$D$340,0)))</f>
        <v>0</v>
      </c>
      <c r="T568" s="81">
        <f ca="1">T550*(1+INDEX(T$338:T$340,MATCH(Work_Codes!$I$291,$D$338:$D$340,0)))</f>
        <v>0</v>
      </c>
    </row>
    <row r="569" spans="4:20" ht="12" customHeight="1" outlineLevel="2">
      <c r="E569" s="247" t="str">
        <f>GC!C71</f>
        <v>Gas Extensions - Other</v>
      </c>
      <c r="F569" s="247"/>
      <c r="G569" s="247"/>
      <c r="H569" s="247"/>
      <c r="I569" s="247"/>
      <c r="J569" s="81">
        <f ca="1">J551*(1+INDEX(J$338:J$340,MATCH(Work_Codes!$I$291,$D$338:$D$340,0)))</f>
        <v>0</v>
      </c>
      <c r="K569" s="81">
        <f ca="1">K551*(1+INDEX(K$338:K$340,MATCH(Work_Codes!$I$291,$D$338:$D$340,0)))</f>
        <v>0</v>
      </c>
      <c r="L569" s="81">
        <f ca="1">L551*(1+INDEX(L$338:L$340,MATCH(Work_Codes!$I$291,$D$338:$D$340,0)))</f>
        <v>0</v>
      </c>
      <c r="M569" s="81">
        <f ca="1">M551*(1+INDEX(M$338:M$340,MATCH(Work_Codes!$I$291,$D$338:$D$340,0)))</f>
        <v>0</v>
      </c>
      <c r="N569" s="81">
        <f ca="1">N551*(1+INDEX(N$338:N$340,MATCH(Work_Codes!$I$291,$D$338:$D$340,0)))</f>
        <v>0</v>
      </c>
      <c r="O569" s="81">
        <f ca="1">O551*(1+INDEX(O$338:O$340,MATCH(Work_Codes!$I$291,$D$338:$D$340,0)))</f>
        <v>0</v>
      </c>
      <c r="P569" s="81">
        <f ca="1">P551*(1+INDEX(P$338:P$340,MATCH(Work_Codes!$I$291,$D$338:$D$340,0)))</f>
        <v>0</v>
      </c>
      <c r="Q569" s="81">
        <f ca="1">Q551*(1+INDEX(Q$338:Q$340,MATCH(Work_Codes!$I$291,$D$338:$D$340,0)))</f>
        <v>0</v>
      </c>
      <c r="R569" s="81">
        <f ca="1">R551*(1+INDEX(R$338:R$340,MATCH(Work_Codes!$I$291,$D$338:$D$340,0)))</f>
        <v>0</v>
      </c>
      <c r="S569" s="81">
        <f ca="1">S551*(1+INDEX(S$338:S$340,MATCH(Work_Codes!$I$291,$D$338:$D$340,0)))</f>
        <v>0</v>
      </c>
      <c r="T569" s="81">
        <f ca="1">T551*(1+INDEX(T$338:T$340,MATCH(Work_Codes!$I$291,$D$338:$D$340,0)))</f>
        <v>0</v>
      </c>
    </row>
    <row r="570" spans="4:20" ht="12" customHeight="1" outlineLevel="2">
      <c r="E570" s="247" t="str">
        <f>GC!C72</f>
        <v>Customer contributions</v>
      </c>
      <c r="F570" s="247"/>
      <c r="G570" s="247"/>
      <c r="H570" s="247"/>
      <c r="I570" s="247"/>
      <c r="J570" s="81">
        <f ca="1">J552*(1+INDEX(J$338:J$340,MATCH(Work_Codes!$I$291,$D$338:$D$340,0)))</f>
        <v>0</v>
      </c>
      <c r="K570" s="81">
        <f ca="1">K552*(1+INDEX(K$338:K$340,MATCH(Work_Codes!$I$291,$D$338:$D$340,0)))</f>
        <v>0</v>
      </c>
      <c r="L570" s="81">
        <f ca="1">L552*(1+INDEX(L$338:L$340,MATCH(Work_Codes!$I$291,$D$338:$D$340,0)))</f>
        <v>0</v>
      </c>
      <c r="M570" s="81">
        <f ca="1">M552*(1+INDEX(M$338:M$340,MATCH(Work_Codes!$I$291,$D$338:$D$340,0)))</f>
        <v>0</v>
      </c>
      <c r="N570" s="81">
        <f ca="1">N552*(1+INDEX(N$338:N$340,MATCH(Work_Codes!$I$291,$D$338:$D$340,0)))</f>
        <v>0</v>
      </c>
      <c r="O570" s="81">
        <f ca="1">O552*(1+INDEX(O$338:O$340,MATCH(Work_Codes!$I$291,$D$338:$D$340,0)))</f>
        <v>0</v>
      </c>
      <c r="P570" s="81">
        <f ca="1">P552*(1+INDEX(P$338:P$340,MATCH(Work_Codes!$I$291,$D$338:$D$340,0)))</f>
        <v>0</v>
      </c>
      <c r="Q570" s="81">
        <f ca="1">Q552*(1+INDEX(Q$338:Q$340,MATCH(Work_Codes!$I$291,$D$338:$D$340,0)))</f>
        <v>0</v>
      </c>
      <c r="R570" s="81">
        <f ca="1">R552*(1+INDEX(R$338:R$340,MATCH(Work_Codes!$I$291,$D$338:$D$340,0)))</f>
        <v>0</v>
      </c>
      <c r="S570" s="81">
        <f ca="1">S552*(1+INDEX(S$338:S$340,MATCH(Work_Codes!$I$291,$D$338:$D$340,0)))</f>
        <v>0</v>
      </c>
      <c r="T570" s="81">
        <f ca="1">T552*(1+INDEX(T$338:T$340,MATCH(Work_Codes!$I$291,$D$338:$D$340,0)))</f>
        <v>0</v>
      </c>
    </row>
    <row r="571" spans="4:20" ht="12" customHeight="1" outlineLevel="2">
      <c r="E571" s="247" t="str">
        <f>GC!C73</f>
        <v>Government contributions</v>
      </c>
      <c r="F571" s="247"/>
      <c r="G571" s="247"/>
      <c r="H571" s="247"/>
      <c r="I571" s="247"/>
      <c r="J571" s="81">
        <f ca="1">J553*(1+INDEX(J$338:J$340,MATCH(Work_Codes!$I$291,$D$338:$D$340,0)))</f>
        <v>0</v>
      </c>
      <c r="K571" s="81">
        <f ca="1">K553*(1+INDEX(K$338:K$340,MATCH(Work_Codes!$I$291,$D$338:$D$340,0)))</f>
        <v>0</v>
      </c>
      <c r="L571" s="81">
        <f ca="1">L553*(1+INDEX(L$338:L$340,MATCH(Work_Codes!$I$291,$D$338:$D$340,0)))</f>
        <v>0</v>
      </c>
      <c r="M571" s="81">
        <f ca="1">M553*(1+INDEX(M$338:M$340,MATCH(Work_Codes!$I$291,$D$338:$D$340,0)))</f>
        <v>0</v>
      </c>
      <c r="N571" s="81">
        <f ca="1">N553*(1+INDEX(N$338:N$340,MATCH(Work_Codes!$I$291,$D$338:$D$340,0)))</f>
        <v>0</v>
      </c>
      <c r="O571" s="81">
        <f ca="1">O553*(1+INDEX(O$338:O$340,MATCH(Work_Codes!$I$291,$D$338:$D$340,0)))</f>
        <v>0</v>
      </c>
      <c r="P571" s="81">
        <f ca="1">P553*(1+INDEX(P$338:P$340,MATCH(Work_Codes!$I$291,$D$338:$D$340,0)))</f>
        <v>0</v>
      </c>
      <c r="Q571" s="81">
        <f ca="1">Q553*(1+INDEX(Q$338:Q$340,MATCH(Work_Codes!$I$291,$D$338:$D$340,0)))</f>
        <v>0</v>
      </c>
      <c r="R571" s="81">
        <f ca="1">R553*(1+INDEX(R$338:R$340,MATCH(Work_Codes!$I$291,$D$338:$D$340,0)))</f>
        <v>0</v>
      </c>
      <c r="S571" s="81">
        <f ca="1">S553*(1+INDEX(S$338:S$340,MATCH(Work_Codes!$I$291,$D$338:$D$340,0)))</f>
        <v>0</v>
      </c>
      <c r="T571" s="81">
        <f ca="1">T553*(1+INDEX(T$338:T$340,MATCH(Work_Codes!$I$291,$D$338:$D$340,0)))</f>
        <v>0</v>
      </c>
    </row>
    <row r="572" spans="4:20" ht="12" customHeight="1" outlineLevel="2">
      <c r="E572" s="249" t="str">
        <f>"Total "&amp;D556</f>
        <v>Total Direct Costs + Overheads</v>
      </c>
      <c r="F572" s="249"/>
      <c r="G572" s="249"/>
      <c r="H572" s="249"/>
      <c r="I572" s="249"/>
      <c r="J572" s="82">
        <f t="shared" ref="J572:T572" ca="1" si="59">SUM(J558:J571)</f>
        <v>0</v>
      </c>
      <c r="K572" s="82">
        <f t="shared" ca="1" si="59"/>
        <v>0</v>
      </c>
      <c r="L572" s="82">
        <f t="shared" ca="1" si="59"/>
        <v>0</v>
      </c>
      <c r="M572" s="82">
        <f t="shared" ca="1" si="59"/>
        <v>0</v>
      </c>
      <c r="N572" s="82">
        <f t="shared" ca="1" si="59"/>
        <v>1309317.2477967648</v>
      </c>
      <c r="O572" s="82">
        <f t="shared" ca="1" si="59"/>
        <v>144682.30489869133</v>
      </c>
      <c r="P572" s="82">
        <f t="shared" ca="1" si="59"/>
        <v>1186263.281590621</v>
      </c>
      <c r="Q572" s="82">
        <f t="shared" ca="1" si="59"/>
        <v>1134412.8486350176</v>
      </c>
      <c r="R572" s="82">
        <f t="shared" ca="1" si="59"/>
        <v>262082.90334976985</v>
      </c>
      <c r="S572" s="82">
        <f t="shared" ca="1" si="59"/>
        <v>239428.58711132233</v>
      </c>
      <c r="T572" s="82">
        <f t="shared" ca="1" si="59"/>
        <v>263040.20344222145</v>
      </c>
    </row>
    <row r="573" spans="4:20" outlineLevel="2"/>
    <row r="574" spans="4:20" outlineLevel="2">
      <c r="D574" s="37" t="s">
        <v>367</v>
      </c>
    </row>
    <row r="575" spans="4:20" ht="5.75" customHeight="1" outlineLevel="2"/>
    <row r="576" spans="4:20" outlineLevel="2">
      <c r="E576" s="247" t="str">
        <f>GC!C60</f>
        <v>Mains replacement</v>
      </c>
      <c r="F576" s="247"/>
      <c r="G576" s="247"/>
      <c r="H576" s="247"/>
      <c r="I576" s="247"/>
      <c r="J576" s="81">
        <f ca="1">SUMPRODUCT((Work_Codes!$AC$294:$AO$294=$E576)*(Work_Codes!$AC$309:$AO$309)*(J$389:J$389))</f>
        <v>0</v>
      </c>
      <c r="K576" s="81">
        <f ca="1">SUMPRODUCT((Work_Codes!$AC$294:$AO$294=$E576)*(Work_Codes!$AC$309:$AO$309)*(K$389:K$389))</f>
        <v>0</v>
      </c>
      <c r="L576" s="81">
        <f ca="1">SUMPRODUCT((Work_Codes!$AC$294:$AO$294=$E576)*(Work_Codes!$AC$309:$AO$309)*(L$389:L$389))</f>
        <v>0</v>
      </c>
      <c r="M576" s="81">
        <f ca="1">SUMPRODUCT((Work_Codes!$AC$294:$AO$294=$E576)*(Work_Codes!$AC$309:$AO$309)*(M$389:M$389))</f>
        <v>0</v>
      </c>
      <c r="N576" s="81">
        <f ca="1">SUMPRODUCT((Work_Codes!$AC$294:$AO$294=$E576)*(Work_Codes!$AC$309:$AO$309)*(N$389:N$389))</f>
        <v>0</v>
      </c>
      <c r="O576" s="81">
        <f ca="1">SUMPRODUCT((Work_Codes!$AC$294:$AO$294=$E576)*(Work_Codes!$AC$309:$AO$309)*(O$389:O$389))</f>
        <v>0</v>
      </c>
      <c r="P576" s="81">
        <f ca="1">SUMPRODUCT((Work_Codes!$AC$294:$AO$294=$E576)*(Work_Codes!$AC$309:$AO$309)*(P$389:P$389))</f>
        <v>0</v>
      </c>
      <c r="Q576" s="81">
        <f ca="1">SUMPRODUCT((Work_Codes!$AC$294:$AO$294=$E576)*(Work_Codes!$AC$309:$AO$309)*(Q$389:Q$389))</f>
        <v>0</v>
      </c>
      <c r="R576" s="81">
        <f ca="1">SUMPRODUCT((Work_Codes!$AC$294:$AO$294=$E576)*(Work_Codes!$AC$309:$AO$309)*(R$389:R$389))</f>
        <v>0</v>
      </c>
      <c r="S576" s="81">
        <f ca="1">SUMPRODUCT((Work_Codes!$AC$294:$AO$294=$E576)*(Work_Codes!$AC$309:$AO$309)*(S$389:S$389))</f>
        <v>0</v>
      </c>
      <c r="T576" s="81">
        <f ca="1">SUMPRODUCT((Work_Codes!$AC$294:$AO$294=$E576)*(Work_Codes!$AC$309:$AO$309)*(T$389:T$389))</f>
        <v>0</v>
      </c>
    </row>
    <row r="577" spans="2:20" outlineLevel="2">
      <c r="E577" s="247" t="str">
        <f>GC!C61</f>
        <v>Residential new customer connections</v>
      </c>
      <c r="F577" s="247"/>
      <c r="G577" s="247"/>
      <c r="H577" s="247"/>
      <c r="I577" s="247"/>
      <c r="J577" s="81">
        <f ca="1">SUMPRODUCT((Work_Codes!$AC$294:$AO$294=$E577)*(Work_Codes!$AC$309:$AO$309)*(J$389:J$389))</f>
        <v>0</v>
      </c>
      <c r="K577" s="81">
        <f ca="1">SUMPRODUCT((Work_Codes!$AC$294:$AO$294=$E577)*(Work_Codes!$AC$309:$AO$309)*(K$389:K$389))</f>
        <v>0</v>
      </c>
      <c r="L577" s="81">
        <f ca="1">SUMPRODUCT((Work_Codes!$AC$294:$AO$294=$E577)*(Work_Codes!$AC$309:$AO$309)*(L$389:L$389))</f>
        <v>0</v>
      </c>
      <c r="M577" s="81">
        <f ca="1">SUMPRODUCT((Work_Codes!$AC$294:$AO$294=$E577)*(Work_Codes!$AC$309:$AO$309)*(M$389:M$389))</f>
        <v>0</v>
      </c>
      <c r="N577" s="81">
        <f ca="1">SUMPRODUCT((Work_Codes!$AC$294:$AO$294=$E577)*(Work_Codes!$AC$309:$AO$309)*(N$389:N$389))</f>
        <v>0</v>
      </c>
      <c r="O577" s="81">
        <f ca="1">SUMPRODUCT((Work_Codes!$AC$294:$AO$294=$E577)*(Work_Codes!$AC$309:$AO$309)*(O$389:O$389))</f>
        <v>0</v>
      </c>
      <c r="P577" s="81">
        <f ca="1">SUMPRODUCT((Work_Codes!$AC$294:$AO$294=$E577)*(Work_Codes!$AC$309:$AO$309)*(P$389:P$389))</f>
        <v>0</v>
      </c>
      <c r="Q577" s="81">
        <f ca="1">SUMPRODUCT((Work_Codes!$AC$294:$AO$294=$E577)*(Work_Codes!$AC$309:$AO$309)*(Q$389:Q$389))</f>
        <v>0</v>
      </c>
      <c r="R577" s="81">
        <f ca="1">SUMPRODUCT((Work_Codes!$AC$294:$AO$294=$E577)*(Work_Codes!$AC$309:$AO$309)*(R$389:R$389))</f>
        <v>0</v>
      </c>
      <c r="S577" s="81">
        <f ca="1">SUMPRODUCT((Work_Codes!$AC$294:$AO$294=$E577)*(Work_Codes!$AC$309:$AO$309)*(S$389:S$389))</f>
        <v>0</v>
      </c>
      <c r="T577" s="81">
        <f ca="1">SUMPRODUCT((Work_Codes!$AC$294:$AO$294=$E577)*(Work_Codes!$AC$309:$AO$309)*(T$389:T$389))</f>
        <v>0</v>
      </c>
    </row>
    <row r="578" spans="2:20" outlineLevel="2">
      <c r="E578" s="247" t="str">
        <f>GC!C62</f>
        <v>Commercial and industrial new customer connections</v>
      </c>
      <c r="F578" s="247"/>
      <c r="G578" s="247"/>
      <c r="H578" s="247"/>
      <c r="I578" s="247"/>
      <c r="J578" s="81">
        <f ca="1">SUMPRODUCT((Work_Codes!$AC$294:$AO$294=$E578)*(Work_Codes!$AC$309:$AO$309)*(J$389:J$389))</f>
        <v>0</v>
      </c>
      <c r="K578" s="81">
        <f ca="1">SUMPRODUCT((Work_Codes!$AC$294:$AO$294=$E578)*(Work_Codes!$AC$309:$AO$309)*(K$389:K$389))</f>
        <v>0</v>
      </c>
      <c r="L578" s="81">
        <f ca="1">SUMPRODUCT((Work_Codes!$AC$294:$AO$294=$E578)*(Work_Codes!$AC$309:$AO$309)*(L$389:L$389))</f>
        <v>0</v>
      </c>
      <c r="M578" s="81">
        <f ca="1">SUMPRODUCT((Work_Codes!$AC$294:$AO$294=$E578)*(Work_Codes!$AC$309:$AO$309)*(M$389:M$389))</f>
        <v>0</v>
      </c>
      <c r="N578" s="81">
        <f ca="1">SUMPRODUCT((Work_Codes!$AC$294:$AO$294=$E578)*(Work_Codes!$AC$309:$AO$309)*(N$389:N$389))</f>
        <v>0</v>
      </c>
      <c r="O578" s="81">
        <f ca="1">SUMPRODUCT((Work_Codes!$AC$294:$AO$294=$E578)*(Work_Codes!$AC$309:$AO$309)*(O$389:O$389))</f>
        <v>0</v>
      </c>
      <c r="P578" s="81">
        <f ca="1">SUMPRODUCT((Work_Codes!$AC$294:$AO$294=$E578)*(Work_Codes!$AC$309:$AO$309)*(P$389:P$389))</f>
        <v>0</v>
      </c>
      <c r="Q578" s="81">
        <f ca="1">SUMPRODUCT((Work_Codes!$AC$294:$AO$294=$E578)*(Work_Codes!$AC$309:$AO$309)*(Q$389:Q$389))</f>
        <v>0</v>
      </c>
      <c r="R578" s="81">
        <f ca="1">SUMPRODUCT((Work_Codes!$AC$294:$AO$294=$E578)*(Work_Codes!$AC$309:$AO$309)*(R$389:R$389))</f>
        <v>0</v>
      </c>
      <c r="S578" s="81">
        <f ca="1">SUMPRODUCT((Work_Codes!$AC$294:$AO$294=$E578)*(Work_Codes!$AC$309:$AO$309)*(S$389:S$389))</f>
        <v>0</v>
      </c>
      <c r="T578" s="81">
        <f ca="1">SUMPRODUCT((Work_Codes!$AC$294:$AO$294=$E578)*(Work_Codes!$AC$309:$AO$309)*(T$389:T$389))</f>
        <v>0</v>
      </c>
    </row>
    <row r="579" spans="2:20" outlineLevel="2">
      <c r="E579" s="247" t="str">
        <f>GC!C63</f>
        <v>Residential meter replacement</v>
      </c>
      <c r="F579" s="247"/>
      <c r="G579" s="247"/>
      <c r="H579" s="247"/>
      <c r="I579" s="247"/>
      <c r="J579" s="81">
        <f ca="1">SUMPRODUCT((Work_Codes!$AC$294:$AO$294=$E579)*(Work_Codes!$AC$309:$AO$309)*(J$389:J$389))</f>
        <v>0</v>
      </c>
      <c r="K579" s="81">
        <f ca="1">SUMPRODUCT((Work_Codes!$AC$294:$AO$294=$E579)*(Work_Codes!$AC$309:$AO$309)*(K$389:K$389))</f>
        <v>0</v>
      </c>
      <c r="L579" s="81">
        <f ca="1">SUMPRODUCT((Work_Codes!$AC$294:$AO$294=$E579)*(Work_Codes!$AC$309:$AO$309)*(L$389:L$389))</f>
        <v>0</v>
      </c>
      <c r="M579" s="81">
        <f ca="1">SUMPRODUCT((Work_Codes!$AC$294:$AO$294=$E579)*(Work_Codes!$AC$309:$AO$309)*(M$389:M$389))</f>
        <v>0</v>
      </c>
      <c r="N579" s="81">
        <f ca="1">SUMPRODUCT((Work_Codes!$AC$294:$AO$294=$E579)*(Work_Codes!$AC$309:$AO$309)*(N$389:N$389))</f>
        <v>0</v>
      </c>
      <c r="O579" s="81">
        <f ca="1">SUMPRODUCT((Work_Codes!$AC$294:$AO$294=$E579)*(Work_Codes!$AC$309:$AO$309)*(O$389:O$389))</f>
        <v>0</v>
      </c>
      <c r="P579" s="81">
        <f ca="1">SUMPRODUCT((Work_Codes!$AC$294:$AO$294=$E579)*(Work_Codes!$AC$309:$AO$309)*(P$389:P$389))</f>
        <v>0</v>
      </c>
      <c r="Q579" s="81">
        <f ca="1">SUMPRODUCT((Work_Codes!$AC$294:$AO$294=$E579)*(Work_Codes!$AC$309:$AO$309)*(Q$389:Q$389))</f>
        <v>0</v>
      </c>
      <c r="R579" s="81">
        <f ca="1">SUMPRODUCT((Work_Codes!$AC$294:$AO$294=$E579)*(Work_Codes!$AC$309:$AO$309)*(R$389:R$389))</f>
        <v>0</v>
      </c>
      <c r="S579" s="81">
        <f ca="1">SUMPRODUCT((Work_Codes!$AC$294:$AO$294=$E579)*(Work_Codes!$AC$309:$AO$309)*(S$389:S$389))</f>
        <v>0</v>
      </c>
      <c r="T579" s="81">
        <f ca="1">SUMPRODUCT((Work_Codes!$AC$294:$AO$294=$E579)*(Work_Codes!$AC$309:$AO$309)*(T$389:T$389))</f>
        <v>0</v>
      </c>
    </row>
    <row r="580" spans="2:20" outlineLevel="2">
      <c r="E580" s="247" t="str">
        <f>GC!C64</f>
        <v>Commercial and industrial meter replacement</v>
      </c>
      <c r="F580" s="247"/>
      <c r="G580" s="247"/>
      <c r="H580" s="247"/>
      <c r="I580" s="247"/>
      <c r="J580" s="81">
        <f ca="1">SUMPRODUCT((Work_Codes!$AC$294:$AO$294=$E580)*(Work_Codes!$AC$309:$AO$309)*(J$389:J$389))</f>
        <v>0</v>
      </c>
      <c r="K580" s="81">
        <f ca="1">SUMPRODUCT((Work_Codes!$AC$294:$AO$294=$E580)*(Work_Codes!$AC$309:$AO$309)*(K$389:K$389))</f>
        <v>0</v>
      </c>
      <c r="L580" s="81">
        <f ca="1">SUMPRODUCT((Work_Codes!$AC$294:$AO$294=$E580)*(Work_Codes!$AC$309:$AO$309)*(L$389:L$389))</f>
        <v>0</v>
      </c>
      <c r="M580" s="81">
        <f ca="1">SUMPRODUCT((Work_Codes!$AC$294:$AO$294=$E580)*(Work_Codes!$AC$309:$AO$309)*(M$389:M$389))</f>
        <v>0</v>
      </c>
      <c r="N580" s="81">
        <f ca="1">SUMPRODUCT((Work_Codes!$AC$294:$AO$294=$E580)*(Work_Codes!$AC$309:$AO$309)*(N$389:N$389))</f>
        <v>0</v>
      </c>
      <c r="O580" s="81">
        <f ca="1">SUMPRODUCT((Work_Codes!$AC$294:$AO$294=$E580)*(Work_Codes!$AC$309:$AO$309)*(O$389:O$389))</f>
        <v>0</v>
      </c>
      <c r="P580" s="81">
        <f ca="1">SUMPRODUCT((Work_Codes!$AC$294:$AO$294=$E580)*(Work_Codes!$AC$309:$AO$309)*(P$389:P$389))</f>
        <v>0</v>
      </c>
      <c r="Q580" s="81">
        <f ca="1">SUMPRODUCT((Work_Codes!$AC$294:$AO$294=$E580)*(Work_Codes!$AC$309:$AO$309)*(Q$389:Q$389))</f>
        <v>0</v>
      </c>
      <c r="R580" s="81">
        <f ca="1">SUMPRODUCT((Work_Codes!$AC$294:$AO$294=$E580)*(Work_Codes!$AC$309:$AO$309)*(R$389:R$389))</f>
        <v>0</v>
      </c>
      <c r="S580" s="81">
        <f ca="1">SUMPRODUCT((Work_Codes!$AC$294:$AO$294=$E580)*(Work_Codes!$AC$309:$AO$309)*(S$389:S$389))</f>
        <v>0</v>
      </c>
      <c r="T580" s="81">
        <f ca="1">SUMPRODUCT((Work_Codes!$AC$294:$AO$294=$E580)*(Work_Codes!$AC$309:$AO$309)*(T$389:T$389))</f>
        <v>0</v>
      </c>
    </row>
    <row r="581" spans="2:20" outlineLevel="2">
      <c r="E581" s="247" t="str">
        <f>GC!C65</f>
        <v>Augmentation</v>
      </c>
      <c r="F581" s="247"/>
      <c r="G581" s="247"/>
      <c r="H581" s="247"/>
      <c r="I581" s="247"/>
      <c r="J581" s="81">
        <f ca="1">SUMPRODUCT((Work_Codes!$AC$294:$AO$294=$E581)*(Work_Codes!$AC$309:$AO$309)*(J$389:J$389))</f>
        <v>0</v>
      </c>
      <c r="K581" s="81">
        <f ca="1">SUMPRODUCT((Work_Codes!$AC$294:$AO$294=$E581)*(Work_Codes!$AC$309:$AO$309)*(K$389:K$389))</f>
        <v>0</v>
      </c>
      <c r="L581" s="81">
        <f ca="1">SUMPRODUCT((Work_Codes!$AC$294:$AO$294=$E581)*(Work_Codes!$AC$309:$AO$309)*(L$389:L$389))</f>
        <v>0</v>
      </c>
      <c r="M581" s="81">
        <f ca="1">SUMPRODUCT((Work_Codes!$AC$294:$AO$294=$E581)*(Work_Codes!$AC$309:$AO$309)*(M$389:M$389))</f>
        <v>0</v>
      </c>
      <c r="N581" s="81">
        <f ca="1">SUMPRODUCT((Work_Codes!$AC$294:$AO$294=$E581)*(Work_Codes!$AC$309:$AO$309)*(N$389:N$389))</f>
        <v>0</v>
      </c>
      <c r="O581" s="81">
        <f ca="1">SUMPRODUCT((Work_Codes!$AC$294:$AO$294=$E581)*(Work_Codes!$AC$309:$AO$309)*(O$389:O$389))</f>
        <v>0</v>
      </c>
      <c r="P581" s="81">
        <f ca="1">SUMPRODUCT((Work_Codes!$AC$294:$AO$294=$E581)*(Work_Codes!$AC$309:$AO$309)*(P$389:P$389))</f>
        <v>0</v>
      </c>
      <c r="Q581" s="81">
        <f ca="1">SUMPRODUCT((Work_Codes!$AC$294:$AO$294=$E581)*(Work_Codes!$AC$309:$AO$309)*(Q$389:Q$389))</f>
        <v>0</v>
      </c>
      <c r="R581" s="81">
        <f ca="1">SUMPRODUCT((Work_Codes!$AC$294:$AO$294=$E581)*(Work_Codes!$AC$309:$AO$309)*(R$389:R$389))</f>
        <v>0</v>
      </c>
      <c r="S581" s="81">
        <f ca="1">SUMPRODUCT((Work_Codes!$AC$294:$AO$294=$E581)*(Work_Codes!$AC$309:$AO$309)*(S$389:S$389))</f>
        <v>0</v>
      </c>
      <c r="T581" s="81">
        <f ca="1">SUMPRODUCT((Work_Codes!$AC$294:$AO$294=$E581)*(Work_Codes!$AC$309:$AO$309)*(T$389:T$389))</f>
        <v>0</v>
      </c>
    </row>
    <row r="582" spans="2:20" outlineLevel="2">
      <c r="E582" s="247" t="str">
        <f>GC!C66</f>
        <v>IT capex</v>
      </c>
      <c r="F582" s="247"/>
      <c r="G582" s="247"/>
      <c r="H582" s="247"/>
      <c r="I582" s="247"/>
      <c r="J582" s="81">
        <f ca="1">SUMPRODUCT((Work_Codes!$AC$294:$AO$294=$E582)*(Work_Codes!$AC$309:$AO$309)*(J$389:J$389))</f>
        <v>0</v>
      </c>
      <c r="K582" s="81">
        <f ca="1">SUMPRODUCT((Work_Codes!$AC$294:$AO$294=$E582)*(Work_Codes!$AC$309:$AO$309)*(K$389:K$389))</f>
        <v>0</v>
      </c>
      <c r="L582" s="81">
        <f ca="1">SUMPRODUCT((Work_Codes!$AC$294:$AO$294=$E582)*(Work_Codes!$AC$309:$AO$309)*(L$389:L$389))</f>
        <v>0</v>
      </c>
      <c r="M582" s="81">
        <f ca="1">SUMPRODUCT((Work_Codes!$AC$294:$AO$294=$E582)*(Work_Codes!$AC$309:$AO$309)*(M$389:M$389))</f>
        <v>0</v>
      </c>
      <c r="N582" s="81">
        <f ca="1">SUMPRODUCT((Work_Codes!$AC$294:$AO$294=$E582)*(Work_Codes!$AC$309:$AO$309)*(N$389:N$389))</f>
        <v>0</v>
      </c>
      <c r="O582" s="81">
        <f ca="1">SUMPRODUCT((Work_Codes!$AC$294:$AO$294=$E582)*(Work_Codes!$AC$309:$AO$309)*(O$389:O$389))</f>
        <v>0</v>
      </c>
      <c r="P582" s="81">
        <f ca="1">SUMPRODUCT((Work_Codes!$AC$294:$AO$294=$E582)*(Work_Codes!$AC$309:$AO$309)*(P$389:P$389))</f>
        <v>0</v>
      </c>
      <c r="Q582" s="81">
        <f ca="1">SUMPRODUCT((Work_Codes!$AC$294:$AO$294=$E582)*(Work_Codes!$AC$309:$AO$309)*(Q$389:Q$389))</f>
        <v>0</v>
      </c>
      <c r="R582" s="81">
        <f ca="1">SUMPRODUCT((Work_Codes!$AC$294:$AO$294=$E582)*(Work_Codes!$AC$309:$AO$309)*(R$389:R$389))</f>
        <v>0</v>
      </c>
      <c r="S582" s="81">
        <f ca="1">SUMPRODUCT((Work_Codes!$AC$294:$AO$294=$E582)*(Work_Codes!$AC$309:$AO$309)*(S$389:S$389))</f>
        <v>0</v>
      </c>
      <c r="T582" s="81">
        <f ca="1">SUMPRODUCT((Work_Codes!$AC$294:$AO$294=$E582)*(Work_Codes!$AC$309:$AO$309)*(T$389:T$389))</f>
        <v>0</v>
      </c>
    </row>
    <row r="583" spans="2:20" outlineLevel="2">
      <c r="E583" s="247" t="str">
        <f>GC!C67</f>
        <v>SCADA</v>
      </c>
      <c r="F583" s="247"/>
      <c r="G583" s="247"/>
      <c r="H583" s="247"/>
      <c r="I583" s="247"/>
      <c r="J583" s="81">
        <f ca="1">SUMPRODUCT((Work_Codes!$AC$294:$AO$294=$E583)*(Work_Codes!$AC$309:$AO$309)*(J$389:J$389))</f>
        <v>0</v>
      </c>
      <c r="K583" s="81">
        <f ca="1">SUMPRODUCT((Work_Codes!$AC$294:$AO$294=$E583)*(Work_Codes!$AC$309:$AO$309)*(K$389:K$389))</f>
        <v>0</v>
      </c>
      <c r="L583" s="81">
        <f ca="1">SUMPRODUCT((Work_Codes!$AC$294:$AO$294=$E583)*(Work_Codes!$AC$309:$AO$309)*(L$389:L$389))</f>
        <v>0</v>
      </c>
      <c r="M583" s="81">
        <f ca="1">SUMPRODUCT((Work_Codes!$AC$294:$AO$294=$E583)*(Work_Codes!$AC$309:$AO$309)*(M$389:M$389))</f>
        <v>0</v>
      </c>
      <c r="N583" s="81">
        <f ca="1">SUMPRODUCT((Work_Codes!$AC$294:$AO$294=$E583)*(Work_Codes!$AC$309:$AO$309)*(N$389:N$389))</f>
        <v>0</v>
      </c>
      <c r="O583" s="81">
        <f ca="1">SUMPRODUCT((Work_Codes!$AC$294:$AO$294=$E583)*(Work_Codes!$AC$309:$AO$309)*(O$389:O$389))</f>
        <v>0</v>
      </c>
      <c r="P583" s="81">
        <f ca="1">SUMPRODUCT((Work_Codes!$AC$294:$AO$294=$E583)*(Work_Codes!$AC$309:$AO$309)*(P$389:P$389))</f>
        <v>0</v>
      </c>
      <c r="Q583" s="81">
        <f ca="1">SUMPRODUCT((Work_Codes!$AC$294:$AO$294=$E583)*(Work_Codes!$AC$309:$AO$309)*(Q$389:Q$389))</f>
        <v>0</v>
      </c>
      <c r="R583" s="81">
        <f ca="1">SUMPRODUCT((Work_Codes!$AC$294:$AO$294=$E583)*(Work_Codes!$AC$309:$AO$309)*(R$389:R$389))</f>
        <v>0</v>
      </c>
      <c r="S583" s="81">
        <f ca="1">SUMPRODUCT((Work_Codes!$AC$294:$AO$294=$E583)*(Work_Codes!$AC$309:$AO$309)*(S$389:S$389))</f>
        <v>0</v>
      </c>
      <c r="T583" s="81">
        <f ca="1">SUMPRODUCT((Work_Codes!$AC$294:$AO$294=$E583)*(Work_Codes!$AC$309:$AO$309)*(T$389:T$389))</f>
        <v>0</v>
      </c>
    </row>
    <row r="584" spans="2:20" outlineLevel="2">
      <c r="E584" s="247" t="str">
        <f>GC!C68</f>
        <v>Other</v>
      </c>
      <c r="F584" s="247"/>
      <c r="G584" s="247"/>
      <c r="H584" s="247"/>
      <c r="I584" s="247"/>
      <c r="J584" s="81">
        <f ca="1">SUMPRODUCT((Work_Codes!$AC$294:$AO$294=$E584)*(Work_Codes!$AC$309:$AO$309)*(J$389:J$389))</f>
        <v>0</v>
      </c>
      <c r="K584" s="81">
        <f ca="1">SUMPRODUCT((Work_Codes!$AC$294:$AO$294=$E584)*(Work_Codes!$AC$309:$AO$309)*(K$389:K$389))</f>
        <v>0</v>
      </c>
      <c r="L584" s="81">
        <f ca="1">SUMPRODUCT((Work_Codes!$AC$294:$AO$294=$E584)*(Work_Codes!$AC$309:$AO$309)*(L$389:L$389))</f>
        <v>0</v>
      </c>
      <c r="M584" s="81">
        <f ca="1">SUMPRODUCT((Work_Codes!$AC$294:$AO$294=$E584)*(Work_Codes!$AC$309:$AO$309)*(M$389:M$389))</f>
        <v>0</v>
      </c>
      <c r="N584" s="81">
        <f ca="1">SUMPRODUCT((Work_Codes!$AC$294:$AO$294=$E584)*(Work_Codes!$AC$309:$AO$309)*(N$389:N$389))</f>
        <v>0</v>
      </c>
      <c r="O584" s="81">
        <f ca="1">SUMPRODUCT((Work_Codes!$AC$294:$AO$294=$E584)*(Work_Codes!$AC$309:$AO$309)*(O$389:O$389))</f>
        <v>0</v>
      </c>
      <c r="P584" s="81">
        <f ca="1">SUMPRODUCT((Work_Codes!$AC$294:$AO$294=$E584)*(Work_Codes!$AC$309:$AO$309)*(P$389:P$389))</f>
        <v>0</v>
      </c>
      <c r="Q584" s="81">
        <f ca="1">SUMPRODUCT((Work_Codes!$AC$294:$AO$294=$E584)*(Work_Codes!$AC$309:$AO$309)*(Q$389:Q$389))</f>
        <v>0</v>
      </c>
      <c r="R584" s="81">
        <f ca="1">SUMPRODUCT((Work_Codes!$AC$294:$AO$294=$E584)*(Work_Codes!$AC$309:$AO$309)*(R$389:R$389))</f>
        <v>0</v>
      </c>
      <c r="S584" s="81">
        <f ca="1">SUMPRODUCT((Work_Codes!$AC$294:$AO$294=$E584)*(Work_Codes!$AC$309:$AO$309)*(S$389:S$389))</f>
        <v>0</v>
      </c>
      <c r="T584" s="81">
        <f ca="1">SUMPRODUCT((Work_Codes!$AC$294:$AO$294=$E584)*(Work_Codes!$AC$309:$AO$309)*(T$389:T$389))</f>
        <v>0</v>
      </c>
    </row>
    <row r="585" spans="2:20" outlineLevel="2">
      <c r="E585" s="247" t="str">
        <f>GC!C69</f>
        <v>Capitalised Leases</v>
      </c>
      <c r="F585" s="247"/>
      <c r="G585" s="247"/>
      <c r="H585" s="247"/>
      <c r="I585" s="247"/>
      <c r="J585" s="81">
        <f ca="1">SUMPRODUCT((Work_Codes!$AC$294:$AO$294=$E585)*(Work_Codes!$AC$309:$AO$309)*(J$389:J$389))</f>
        <v>0</v>
      </c>
      <c r="K585" s="81">
        <f ca="1">SUMPRODUCT((Work_Codes!$AC$294:$AO$294=$E585)*(Work_Codes!$AC$309:$AO$309)*(K$389:K$389))</f>
        <v>0</v>
      </c>
      <c r="L585" s="81">
        <f ca="1">SUMPRODUCT((Work_Codes!$AC$294:$AO$294=$E585)*(Work_Codes!$AC$309:$AO$309)*(L$389:L$389))</f>
        <v>0</v>
      </c>
      <c r="M585" s="81">
        <f ca="1">SUMPRODUCT((Work_Codes!$AC$294:$AO$294=$E585)*(Work_Codes!$AC$309:$AO$309)*(M$389:M$389))</f>
        <v>0</v>
      </c>
      <c r="N585" s="81">
        <f ca="1">SUMPRODUCT((Work_Codes!$AC$294:$AO$294=$E585)*(Work_Codes!$AC$309:$AO$309)*(N$389:N$389))</f>
        <v>0</v>
      </c>
      <c r="O585" s="81">
        <f ca="1">SUMPRODUCT((Work_Codes!$AC$294:$AO$294=$E585)*(Work_Codes!$AC$309:$AO$309)*(O$389:O$389))</f>
        <v>0</v>
      </c>
      <c r="P585" s="81">
        <f ca="1">SUMPRODUCT((Work_Codes!$AC$294:$AO$294=$E585)*(Work_Codes!$AC$309:$AO$309)*(P$389:P$389))</f>
        <v>0</v>
      </c>
      <c r="Q585" s="81">
        <f ca="1">SUMPRODUCT((Work_Codes!$AC$294:$AO$294=$E585)*(Work_Codes!$AC$309:$AO$309)*(Q$389:Q$389))</f>
        <v>0</v>
      </c>
      <c r="R585" s="81">
        <f ca="1">SUMPRODUCT((Work_Codes!$AC$294:$AO$294=$E585)*(Work_Codes!$AC$309:$AO$309)*(R$389:R$389))</f>
        <v>0</v>
      </c>
      <c r="S585" s="81">
        <f ca="1">SUMPRODUCT((Work_Codes!$AC$294:$AO$294=$E585)*(Work_Codes!$AC$309:$AO$309)*(S$389:S$389))</f>
        <v>0</v>
      </c>
      <c r="T585" s="81">
        <f ca="1">SUMPRODUCT((Work_Codes!$AC$294:$AO$294=$E585)*(Work_Codes!$AC$309:$AO$309)*(T$389:T$389))</f>
        <v>0</v>
      </c>
    </row>
    <row r="586" spans="2:20" outlineLevel="2">
      <c r="E586" s="247" t="str">
        <f>GC!C70</f>
        <v>Gas Extensions - Energy for the Regions</v>
      </c>
      <c r="F586" s="247"/>
      <c r="G586" s="247"/>
      <c r="H586" s="247"/>
      <c r="I586" s="247"/>
      <c r="J586" s="81">
        <f ca="1">SUMPRODUCT((Work_Codes!$AC$294:$AO$294=$E586)*(Work_Codes!$AC$309:$AO$309)*(J$389:J$389))</f>
        <v>0</v>
      </c>
      <c r="K586" s="81">
        <f ca="1">SUMPRODUCT((Work_Codes!$AC$294:$AO$294=$E586)*(Work_Codes!$AC$309:$AO$309)*(K$389:K$389))</f>
        <v>0</v>
      </c>
      <c r="L586" s="81">
        <f ca="1">SUMPRODUCT((Work_Codes!$AC$294:$AO$294=$E586)*(Work_Codes!$AC$309:$AO$309)*(L$389:L$389))</f>
        <v>0</v>
      </c>
      <c r="M586" s="81">
        <f ca="1">SUMPRODUCT((Work_Codes!$AC$294:$AO$294=$E586)*(Work_Codes!$AC$309:$AO$309)*(M$389:M$389))</f>
        <v>0</v>
      </c>
      <c r="N586" s="81">
        <f ca="1">SUMPRODUCT((Work_Codes!$AC$294:$AO$294=$E586)*(Work_Codes!$AC$309:$AO$309)*(N$389:N$389))</f>
        <v>0</v>
      </c>
      <c r="O586" s="81">
        <f ca="1">SUMPRODUCT((Work_Codes!$AC$294:$AO$294=$E586)*(Work_Codes!$AC$309:$AO$309)*(O$389:O$389))</f>
        <v>0</v>
      </c>
      <c r="P586" s="81">
        <f ca="1">SUMPRODUCT((Work_Codes!$AC$294:$AO$294=$E586)*(Work_Codes!$AC$309:$AO$309)*(P$389:P$389))</f>
        <v>0</v>
      </c>
      <c r="Q586" s="81">
        <f ca="1">SUMPRODUCT((Work_Codes!$AC$294:$AO$294=$E586)*(Work_Codes!$AC$309:$AO$309)*(Q$389:Q$389))</f>
        <v>0</v>
      </c>
      <c r="R586" s="81">
        <f ca="1">SUMPRODUCT((Work_Codes!$AC$294:$AO$294=$E586)*(Work_Codes!$AC$309:$AO$309)*(R$389:R$389))</f>
        <v>0</v>
      </c>
      <c r="S586" s="81">
        <f ca="1">SUMPRODUCT((Work_Codes!$AC$294:$AO$294=$E586)*(Work_Codes!$AC$309:$AO$309)*(S$389:S$389))</f>
        <v>0</v>
      </c>
      <c r="T586" s="81">
        <f ca="1">SUMPRODUCT((Work_Codes!$AC$294:$AO$294=$E586)*(Work_Codes!$AC$309:$AO$309)*(T$389:T$389))</f>
        <v>0</v>
      </c>
    </row>
    <row r="587" spans="2:20" outlineLevel="2">
      <c r="E587" s="247" t="str">
        <f>GC!C71</f>
        <v>Gas Extensions - Other</v>
      </c>
      <c r="F587" s="247"/>
      <c r="G587" s="247"/>
      <c r="H587" s="247"/>
      <c r="I587" s="247"/>
      <c r="J587" s="81">
        <f ca="1">SUMPRODUCT((Work_Codes!$AC$294:$AO$294=$E587)*(Work_Codes!$AC$309:$AO$309)*(J$389:J$389))</f>
        <v>0</v>
      </c>
      <c r="K587" s="81">
        <f ca="1">SUMPRODUCT((Work_Codes!$AC$294:$AO$294=$E587)*(Work_Codes!$AC$309:$AO$309)*(K$389:K$389))</f>
        <v>0</v>
      </c>
      <c r="L587" s="81">
        <f ca="1">SUMPRODUCT((Work_Codes!$AC$294:$AO$294=$E587)*(Work_Codes!$AC$309:$AO$309)*(L$389:L$389))</f>
        <v>0</v>
      </c>
      <c r="M587" s="81">
        <f ca="1">SUMPRODUCT((Work_Codes!$AC$294:$AO$294=$E587)*(Work_Codes!$AC$309:$AO$309)*(M$389:M$389))</f>
        <v>0</v>
      </c>
      <c r="N587" s="81">
        <f ca="1">SUMPRODUCT((Work_Codes!$AC$294:$AO$294=$E587)*(Work_Codes!$AC$309:$AO$309)*(N$389:N$389))</f>
        <v>0</v>
      </c>
      <c r="O587" s="81">
        <f ca="1">SUMPRODUCT((Work_Codes!$AC$294:$AO$294=$E587)*(Work_Codes!$AC$309:$AO$309)*(O$389:O$389))</f>
        <v>0</v>
      </c>
      <c r="P587" s="81">
        <f ca="1">SUMPRODUCT((Work_Codes!$AC$294:$AO$294=$E587)*(Work_Codes!$AC$309:$AO$309)*(P$389:P$389))</f>
        <v>0</v>
      </c>
      <c r="Q587" s="81">
        <f ca="1">SUMPRODUCT((Work_Codes!$AC$294:$AO$294=$E587)*(Work_Codes!$AC$309:$AO$309)*(Q$389:Q$389))</f>
        <v>0</v>
      </c>
      <c r="R587" s="81">
        <f ca="1">SUMPRODUCT((Work_Codes!$AC$294:$AO$294=$E587)*(Work_Codes!$AC$309:$AO$309)*(R$389:R$389))</f>
        <v>0</v>
      </c>
      <c r="S587" s="81">
        <f ca="1">SUMPRODUCT((Work_Codes!$AC$294:$AO$294=$E587)*(Work_Codes!$AC$309:$AO$309)*(S$389:S$389))</f>
        <v>0</v>
      </c>
      <c r="T587" s="81">
        <f ca="1">SUMPRODUCT((Work_Codes!$AC$294:$AO$294=$E587)*(Work_Codes!$AC$309:$AO$309)*(T$389:T$389))</f>
        <v>0</v>
      </c>
    </row>
    <row r="588" spans="2:20" outlineLevel="2">
      <c r="E588" s="247" t="str">
        <f>GC!C72</f>
        <v>Customer contributions</v>
      </c>
      <c r="F588" s="247"/>
      <c r="G588" s="247"/>
      <c r="H588" s="247"/>
      <c r="I588" s="247"/>
      <c r="J588" s="81">
        <f ca="1">SUMPRODUCT((Work_Codes!$AC$294:$AO$294=$E588)*(Work_Codes!$AC$309:$AO$309)*(J$389:J$389))</f>
        <v>0</v>
      </c>
      <c r="K588" s="81">
        <f ca="1">SUMPRODUCT((Work_Codes!$AC$294:$AO$294=$E588)*(Work_Codes!$AC$309:$AO$309)*(K$389:K$389))</f>
        <v>0</v>
      </c>
      <c r="L588" s="81">
        <f ca="1">SUMPRODUCT((Work_Codes!$AC$294:$AO$294=$E588)*(Work_Codes!$AC$309:$AO$309)*(L$389:L$389))</f>
        <v>0</v>
      </c>
      <c r="M588" s="81">
        <f ca="1">SUMPRODUCT((Work_Codes!$AC$294:$AO$294=$E588)*(Work_Codes!$AC$309:$AO$309)*(M$389:M$389))</f>
        <v>0</v>
      </c>
      <c r="N588" s="81">
        <f ca="1">SUMPRODUCT((Work_Codes!$AC$294:$AO$294=$E588)*(Work_Codes!$AC$309:$AO$309)*(N$389:N$389))</f>
        <v>0</v>
      </c>
      <c r="O588" s="81">
        <f ca="1">SUMPRODUCT((Work_Codes!$AC$294:$AO$294=$E588)*(Work_Codes!$AC$309:$AO$309)*(O$389:O$389))</f>
        <v>0</v>
      </c>
      <c r="P588" s="81">
        <f ca="1">SUMPRODUCT((Work_Codes!$AC$294:$AO$294=$E588)*(Work_Codes!$AC$309:$AO$309)*(P$389:P$389))</f>
        <v>0</v>
      </c>
      <c r="Q588" s="81">
        <f ca="1">SUMPRODUCT((Work_Codes!$AC$294:$AO$294=$E588)*(Work_Codes!$AC$309:$AO$309)*(Q$389:Q$389))</f>
        <v>0</v>
      </c>
      <c r="R588" s="81">
        <f ca="1">SUMPRODUCT((Work_Codes!$AC$294:$AO$294=$E588)*(Work_Codes!$AC$309:$AO$309)*(R$389:R$389))</f>
        <v>0</v>
      </c>
      <c r="S588" s="81">
        <f ca="1">SUMPRODUCT((Work_Codes!$AC$294:$AO$294=$E588)*(Work_Codes!$AC$309:$AO$309)*(S$389:S$389))</f>
        <v>0</v>
      </c>
      <c r="T588" s="81">
        <f ca="1">SUMPRODUCT((Work_Codes!$AC$294:$AO$294=$E588)*(Work_Codes!$AC$309:$AO$309)*(T$389:T$389))</f>
        <v>0</v>
      </c>
    </row>
    <row r="589" spans="2:20" outlineLevel="2">
      <c r="E589" s="247" t="str">
        <f>GC!C73</f>
        <v>Government contributions</v>
      </c>
      <c r="F589" s="247"/>
      <c r="G589" s="247"/>
      <c r="H589" s="247"/>
      <c r="I589" s="247"/>
      <c r="J589" s="81">
        <f ca="1">SUMPRODUCT((Work_Codes!$AC$294:$AO$294=$E589)*(Work_Codes!$AC$309:$AO$309)*(J$389:J$389))</f>
        <v>0</v>
      </c>
      <c r="K589" s="81">
        <f ca="1">SUMPRODUCT((Work_Codes!$AC$294:$AO$294=$E589)*(Work_Codes!$AC$309:$AO$309)*(K$389:K$389))</f>
        <v>0</v>
      </c>
      <c r="L589" s="81">
        <f ca="1">SUMPRODUCT((Work_Codes!$AC$294:$AO$294=$E589)*(Work_Codes!$AC$309:$AO$309)*(L$389:L$389))</f>
        <v>0</v>
      </c>
      <c r="M589" s="81">
        <f ca="1">SUMPRODUCT((Work_Codes!$AC$294:$AO$294=$E589)*(Work_Codes!$AC$309:$AO$309)*(M$389:M$389))</f>
        <v>0</v>
      </c>
      <c r="N589" s="81">
        <f ca="1">SUMPRODUCT((Work_Codes!$AC$294:$AO$294=$E589)*(Work_Codes!$AC$309:$AO$309)*(N$389:N$389))</f>
        <v>0</v>
      </c>
      <c r="O589" s="81">
        <f ca="1">SUMPRODUCT((Work_Codes!$AC$294:$AO$294=$E589)*(Work_Codes!$AC$309:$AO$309)*(O$389:O$389))</f>
        <v>0</v>
      </c>
      <c r="P589" s="81">
        <f ca="1">SUMPRODUCT((Work_Codes!$AC$294:$AO$294=$E589)*(Work_Codes!$AC$309:$AO$309)*(P$389:P$389))</f>
        <v>0</v>
      </c>
      <c r="Q589" s="81">
        <f ca="1">SUMPRODUCT((Work_Codes!$AC$294:$AO$294=$E589)*(Work_Codes!$AC$309:$AO$309)*(Q$389:Q$389))</f>
        <v>0</v>
      </c>
      <c r="R589" s="81">
        <f ca="1">SUMPRODUCT((Work_Codes!$AC$294:$AO$294=$E589)*(Work_Codes!$AC$309:$AO$309)*(R$389:R$389))</f>
        <v>0</v>
      </c>
      <c r="S589" s="81">
        <f ca="1">SUMPRODUCT((Work_Codes!$AC$294:$AO$294=$E589)*(Work_Codes!$AC$309:$AO$309)*(S$389:S$389))</f>
        <v>0</v>
      </c>
      <c r="T589" s="81">
        <f ca="1">SUMPRODUCT((Work_Codes!$AC$294:$AO$294=$E589)*(Work_Codes!$AC$309:$AO$309)*(T$389:T$389))</f>
        <v>0</v>
      </c>
    </row>
    <row r="590" spans="2:20" outlineLevel="2">
      <c r="E590" s="249" t="str">
        <f t="shared" ref="E590" si="60">"Total "&amp;D574</f>
        <v>Total Customer Contributions</v>
      </c>
      <c r="F590" s="249"/>
      <c r="G590" s="249"/>
      <c r="H590" s="249"/>
      <c r="I590" s="249"/>
      <c r="J590" s="82">
        <f t="shared" ref="J590:T590" ca="1" si="61">SUM(J576:J589)</f>
        <v>0</v>
      </c>
      <c r="K590" s="82">
        <f t="shared" ca="1" si="61"/>
        <v>0</v>
      </c>
      <c r="L590" s="82">
        <f t="shared" ca="1" si="61"/>
        <v>0</v>
      </c>
      <c r="M590" s="82">
        <f t="shared" ca="1" si="61"/>
        <v>0</v>
      </c>
      <c r="N590" s="82">
        <f t="shared" ca="1" si="61"/>
        <v>0</v>
      </c>
      <c r="O590" s="82">
        <f t="shared" ca="1" si="61"/>
        <v>0</v>
      </c>
      <c r="P590" s="82">
        <f t="shared" ca="1" si="61"/>
        <v>0</v>
      </c>
      <c r="Q590" s="82">
        <f t="shared" ca="1" si="61"/>
        <v>0</v>
      </c>
      <c r="R590" s="82">
        <f t="shared" ca="1" si="61"/>
        <v>0</v>
      </c>
      <c r="S590" s="82">
        <f t="shared" ca="1" si="61"/>
        <v>0</v>
      </c>
      <c r="T590" s="82">
        <f t="shared" ca="1" si="61"/>
        <v>0</v>
      </c>
    </row>
    <row r="591" spans="2:20" outlineLevel="2">
      <c r="B591" s="12"/>
      <c r="C591" s="12"/>
      <c r="D591" s="12"/>
      <c r="E591" s="12"/>
      <c r="F591" s="12"/>
      <c r="G591" s="12"/>
      <c r="H591" s="12"/>
      <c r="I591" s="12"/>
      <c r="J591" s="12"/>
      <c r="K591" s="12"/>
      <c r="L591" s="12"/>
      <c r="M591" s="12"/>
      <c r="N591" s="12"/>
      <c r="O591" s="12"/>
      <c r="P591" s="12"/>
      <c r="Q591" s="12"/>
      <c r="R591" s="12"/>
      <c r="S591" s="12"/>
      <c r="T591" s="12"/>
    </row>
    <row r="592" spans="2:20" outlineLevel="2"/>
    <row r="593" spans="3:20" outlineLevel="2">
      <c r="C593" s="37" t="s">
        <v>311</v>
      </c>
    </row>
    <row r="594" spans="3:20" ht="5.9" customHeight="1" outlineLevel="2"/>
    <row r="595" spans="3:20" outlineLevel="2">
      <c r="D595" s="37" t="s">
        <v>215</v>
      </c>
    </row>
    <row r="596" spans="3:20" ht="5.9" customHeight="1" outlineLevel="2"/>
    <row r="597" spans="3:20" outlineLevel="2">
      <c r="E597" s="247" t="str">
        <f>GC!C78</f>
        <v>Mains &amp; Services</v>
      </c>
      <c r="F597" s="247"/>
      <c r="G597" s="247"/>
      <c r="H597" s="247"/>
      <c r="I597" s="247"/>
      <c r="J597" s="81">
        <f ca="1">SUMPRODUCT((Work_Codes!$AR$294:$AX$294=$E597)*(Work_Codes!$AR$297:$AX$305)*(J$440:J$448))</f>
        <v>0</v>
      </c>
      <c r="K597" s="81">
        <f ca="1">SUMPRODUCT((Work_Codes!$AR$294:$AX$294=$E597)*(Work_Codes!$AR$297:$AX$305)*(K$440:K$448))</f>
        <v>0</v>
      </c>
      <c r="L597" s="81">
        <f ca="1">SUMPRODUCT((Work_Codes!$AR$294:$AX$294=$E597)*(Work_Codes!$AR$297:$AX$305)*(L$440:L$448))</f>
        <v>0</v>
      </c>
      <c r="M597" s="81">
        <f ca="1">SUMPRODUCT((Work_Codes!$AR$294:$AX$294=$E597)*(Work_Codes!$AR$297:$AX$305)*(M$440:M$448))</f>
        <v>0</v>
      </c>
      <c r="N597" s="81">
        <f ca="1">SUMPRODUCT((Work_Codes!$AR$294:$AX$294=$E597)*(Work_Codes!$AR$297:$AX$305)*(N$440:N$448))</f>
        <v>0</v>
      </c>
      <c r="O597" s="81">
        <f ca="1">SUMPRODUCT((Work_Codes!$AR$294:$AX$294=$E597)*(Work_Codes!$AR$297:$AX$305)*(O$440:O$448))</f>
        <v>0</v>
      </c>
      <c r="P597" s="81">
        <f ca="1">SUMPRODUCT((Work_Codes!$AR$294:$AX$294=$E597)*(Work_Codes!$AR$297:$AX$305)*(P$440:P$448))</f>
        <v>0</v>
      </c>
      <c r="Q597" s="81">
        <f ca="1">SUMPRODUCT((Work_Codes!$AR$294:$AX$294=$E597)*(Work_Codes!$AR$297:$AX$305)*(Q$440:Q$448))</f>
        <v>0</v>
      </c>
      <c r="R597" s="81">
        <f ca="1">SUMPRODUCT((Work_Codes!$AR$294:$AX$294=$E597)*(Work_Codes!$AR$297:$AX$305)*(R$440:R$448))</f>
        <v>0</v>
      </c>
      <c r="S597" s="81">
        <f ca="1">SUMPRODUCT((Work_Codes!$AR$294:$AX$294=$E597)*(Work_Codes!$AR$297:$AX$305)*(S$440:S$448))</f>
        <v>0</v>
      </c>
      <c r="T597" s="81">
        <f ca="1">SUMPRODUCT((Work_Codes!$AR$294:$AX$294=$E597)*(Work_Codes!$AR$297:$AX$305)*(T$440:T$448))</f>
        <v>0</v>
      </c>
    </row>
    <row r="598" spans="3:20" outlineLevel="2">
      <c r="E598" s="247" t="str">
        <f>GC!C79</f>
        <v>Meters Domestic</v>
      </c>
      <c r="F598" s="247"/>
      <c r="G598" s="247"/>
      <c r="H598" s="247"/>
      <c r="I598" s="247"/>
      <c r="J598" s="81">
        <f ca="1">SUMPRODUCT((Work_Codes!$AR$294:$AX$294=$E598)*(Work_Codes!$AR$297:$AX$305)*(J$440:J$448))</f>
        <v>0</v>
      </c>
      <c r="K598" s="81">
        <f ca="1">SUMPRODUCT((Work_Codes!$AR$294:$AX$294=$E598)*(Work_Codes!$AR$297:$AX$305)*(K$440:K$448))</f>
        <v>0</v>
      </c>
      <c r="L598" s="81">
        <f ca="1">SUMPRODUCT((Work_Codes!$AR$294:$AX$294=$E598)*(Work_Codes!$AR$297:$AX$305)*(L$440:L$448))</f>
        <v>0</v>
      </c>
      <c r="M598" s="81">
        <f ca="1">SUMPRODUCT((Work_Codes!$AR$294:$AX$294=$E598)*(Work_Codes!$AR$297:$AX$305)*(M$440:M$448))</f>
        <v>0</v>
      </c>
      <c r="N598" s="81">
        <f ca="1">SUMPRODUCT((Work_Codes!$AR$294:$AX$294=$E598)*(Work_Codes!$AR$297:$AX$305)*(N$440:N$448))</f>
        <v>0</v>
      </c>
      <c r="O598" s="81">
        <f ca="1">SUMPRODUCT((Work_Codes!$AR$294:$AX$294=$E598)*(Work_Codes!$AR$297:$AX$305)*(O$440:O$448))</f>
        <v>0</v>
      </c>
      <c r="P598" s="81">
        <f ca="1">SUMPRODUCT((Work_Codes!$AR$294:$AX$294=$E598)*(Work_Codes!$AR$297:$AX$305)*(P$440:P$448))</f>
        <v>0</v>
      </c>
      <c r="Q598" s="81">
        <f ca="1">SUMPRODUCT((Work_Codes!$AR$294:$AX$294=$E598)*(Work_Codes!$AR$297:$AX$305)*(Q$440:Q$448))</f>
        <v>0</v>
      </c>
      <c r="R598" s="81">
        <f ca="1">SUMPRODUCT((Work_Codes!$AR$294:$AX$294=$E598)*(Work_Codes!$AR$297:$AX$305)*(R$440:R$448))</f>
        <v>0</v>
      </c>
      <c r="S598" s="81">
        <f ca="1">SUMPRODUCT((Work_Codes!$AR$294:$AX$294=$E598)*(Work_Codes!$AR$297:$AX$305)*(S$440:S$448))</f>
        <v>0</v>
      </c>
      <c r="T598" s="81">
        <f ca="1">SUMPRODUCT((Work_Codes!$AR$294:$AX$294=$E598)*(Work_Codes!$AR$297:$AX$305)*(T$440:T$448))</f>
        <v>0</v>
      </c>
    </row>
    <row r="599" spans="3:20" outlineLevel="2">
      <c r="E599" s="247" t="str">
        <f>GC!C80</f>
        <v>Meters Industrial &amp; Commercial</v>
      </c>
      <c r="F599" s="247"/>
      <c r="G599" s="247"/>
      <c r="H599" s="247"/>
      <c r="I599" s="247"/>
      <c r="J599" s="81">
        <f ca="1">SUMPRODUCT((Work_Codes!$AR$294:$AX$294=$E599)*(Work_Codes!$AR$297:$AX$305)*(J$440:J$448))</f>
        <v>0</v>
      </c>
      <c r="K599" s="81">
        <f ca="1">SUMPRODUCT((Work_Codes!$AR$294:$AX$294=$E599)*(Work_Codes!$AR$297:$AX$305)*(K$440:K$448))</f>
        <v>0</v>
      </c>
      <c r="L599" s="81">
        <f ca="1">SUMPRODUCT((Work_Codes!$AR$294:$AX$294=$E599)*(Work_Codes!$AR$297:$AX$305)*(L$440:L$448))</f>
        <v>0</v>
      </c>
      <c r="M599" s="81">
        <f ca="1">SUMPRODUCT((Work_Codes!$AR$294:$AX$294=$E599)*(Work_Codes!$AR$297:$AX$305)*(M$440:M$448))</f>
        <v>0</v>
      </c>
      <c r="N599" s="81">
        <f ca="1">SUMPRODUCT((Work_Codes!$AR$294:$AX$294=$E599)*(Work_Codes!$AR$297:$AX$305)*(N$440:N$448))</f>
        <v>0</v>
      </c>
      <c r="O599" s="81">
        <f ca="1">SUMPRODUCT((Work_Codes!$AR$294:$AX$294=$E599)*(Work_Codes!$AR$297:$AX$305)*(O$440:O$448))</f>
        <v>0</v>
      </c>
      <c r="P599" s="81">
        <f ca="1">SUMPRODUCT((Work_Codes!$AR$294:$AX$294=$E599)*(Work_Codes!$AR$297:$AX$305)*(P$440:P$448))</f>
        <v>0</v>
      </c>
      <c r="Q599" s="81">
        <f ca="1">SUMPRODUCT((Work_Codes!$AR$294:$AX$294=$E599)*(Work_Codes!$AR$297:$AX$305)*(Q$440:Q$448))</f>
        <v>0</v>
      </c>
      <c r="R599" s="81">
        <f ca="1">SUMPRODUCT((Work_Codes!$AR$294:$AX$294=$E599)*(Work_Codes!$AR$297:$AX$305)*(R$440:R$448))</f>
        <v>0</v>
      </c>
      <c r="S599" s="81">
        <f ca="1">SUMPRODUCT((Work_Codes!$AR$294:$AX$294=$E599)*(Work_Codes!$AR$297:$AX$305)*(S$440:S$448))</f>
        <v>0</v>
      </c>
      <c r="T599" s="81">
        <f ca="1">SUMPRODUCT((Work_Codes!$AR$294:$AX$294=$E599)*(Work_Codes!$AR$297:$AX$305)*(T$440:T$448))</f>
        <v>0</v>
      </c>
    </row>
    <row r="600" spans="3:20" outlineLevel="2">
      <c r="E600" s="247" t="str">
        <f>GC!C81</f>
        <v>Buildings</v>
      </c>
      <c r="F600" s="247"/>
      <c r="G600" s="247"/>
      <c r="H600" s="247"/>
      <c r="I600" s="247"/>
      <c r="J600" s="81">
        <f ca="1">SUMPRODUCT((Work_Codes!$AR$294:$AX$294=$E600)*(Work_Codes!$AR$297:$AX$305)*(J$440:J$448))</f>
        <v>0</v>
      </c>
      <c r="K600" s="81">
        <f ca="1">SUMPRODUCT((Work_Codes!$AR$294:$AX$294=$E600)*(Work_Codes!$AR$297:$AX$305)*(K$440:K$448))</f>
        <v>0</v>
      </c>
      <c r="L600" s="81">
        <f ca="1">SUMPRODUCT((Work_Codes!$AR$294:$AX$294=$E600)*(Work_Codes!$AR$297:$AX$305)*(L$440:L$448))</f>
        <v>0</v>
      </c>
      <c r="M600" s="81">
        <f ca="1">SUMPRODUCT((Work_Codes!$AR$294:$AX$294=$E600)*(Work_Codes!$AR$297:$AX$305)*(M$440:M$448))</f>
        <v>0</v>
      </c>
      <c r="N600" s="81">
        <f ca="1">SUMPRODUCT((Work_Codes!$AR$294:$AX$294=$E600)*(Work_Codes!$AR$297:$AX$305)*(N$440:N$448))</f>
        <v>0</v>
      </c>
      <c r="O600" s="81">
        <f ca="1">SUMPRODUCT((Work_Codes!$AR$294:$AX$294=$E600)*(Work_Codes!$AR$297:$AX$305)*(O$440:O$448))</f>
        <v>0</v>
      </c>
      <c r="P600" s="81">
        <f ca="1">SUMPRODUCT((Work_Codes!$AR$294:$AX$294=$E600)*(Work_Codes!$AR$297:$AX$305)*(P$440:P$448))</f>
        <v>0</v>
      </c>
      <c r="Q600" s="81">
        <f ca="1">SUMPRODUCT((Work_Codes!$AR$294:$AX$294=$E600)*(Work_Codes!$AR$297:$AX$305)*(Q$440:Q$448))</f>
        <v>0</v>
      </c>
      <c r="R600" s="81">
        <f ca="1">SUMPRODUCT((Work_Codes!$AR$294:$AX$294=$E600)*(Work_Codes!$AR$297:$AX$305)*(R$440:R$448))</f>
        <v>0</v>
      </c>
      <c r="S600" s="81">
        <f ca="1">SUMPRODUCT((Work_Codes!$AR$294:$AX$294=$E600)*(Work_Codes!$AR$297:$AX$305)*(S$440:S$448))</f>
        <v>0</v>
      </c>
      <c r="T600" s="81">
        <f ca="1">SUMPRODUCT((Work_Codes!$AR$294:$AX$294=$E600)*(Work_Codes!$AR$297:$AX$305)*(T$440:T$448))</f>
        <v>0</v>
      </c>
    </row>
    <row r="601" spans="3:20" outlineLevel="2">
      <c r="E601" s="247" t="str">
        <f>GC!C82</f>
        <v>Other Assets</v>
      </c>
      <c r="F601" s="247"/>
      <c r="G601" s="247"/>
      <c r="H601" s="247"/>
      <c r="I601" s="247"/>
      <c r="J601" s="81">
        <f ca="1">SUMPRODUCT((Work_Codes!$AR$294:$AX$294=$E601)*(Work_Codes!$AR$297:$AX$305)*(J$440:J$448))</f>
        <v>0</v>
      </c>
      <c r="K601" s="81">
        <f ca="1">SUMPRODUCT((Work_Codes!$AR$294:$AX$294=$E601)*(Work_Codes!$AR$297:$AX$305)*(K$440:K$448))</f>
        <v>0</v>
      </c>
      <c r="L601" s="81">
        <f ca="1">SUMPRODUCT((Work_Codes!$AR$294:$AX$294=$E601)*(Work_Codes!$AR$297:$AX$305)*(L$440:L$448))</f>
        <v>0</v>
      </c>
      <c r="M601" s="81">
        <f ca="1">SUMPRODUCT((Work_Codes!$AR$294:$AX$294=$E601)*(Work_Codes!$AR$297:$AX$305)*(M$440:M$448))</f>
        <v>0</v>
      </c>
      <c r="N601" s="81">
        <f ca="1">SUMPRODUCT((Work_Codes!$AR$294:$AX$294=$E601)*(Work_Codes!$AR$297:$AX$305)*(N$440:N$448))</f>
        <v>1261735.9153766781</v>
      </c>
      <c r="O601" s="81">
        <f ca="1">SUMPRODUCT((Work_Codes!$AR$294:$AX$294=$E601)*(Work_Codes!$AR$297:$AX$305)*(O$440:O$448))</f>
        <v>140021.82287900295</v>
      </c>
      <c r="P601" s="81">
        <f ca="1">SUMPRODUCT((Work_Codes!$AR$294:$AX$294=$E601)*(Work_Codes!$AR$297:$AX$305)*(P$440:P$448))</f>
        <v>1155354.4755339709</v>
      </c>
      <c r="Q601" s="81">
        <f ca="1">SUMPRODUCT((Work_Codes!$AR$294:$AX$294=$E601)*(Work_Codes!$AR$297:$AX$305)*(Q$440:Q$448))</f>
        <v>1105600.2565754629</v>
      </c>
      <c r="R601" s="81">
        <f ca="1">SUMPRODUCT((Work_Codes!$AR$294:$AX$294=$E601)*(Work_Codes!$AR$297:$AX$305)*(R$440:R$448))</f>
        <v>255224.26027521645</v>
      </c>
      <c r="S601" s="81">
        <f ca="1">SUMPRODUCT((Work_Codes!$AR$294:$AX$294=$E601)*(Work_Codes!$AR$297:$AX$305)*(S$440:S$448))</f>
        <v>232783.50745597249</v>
      </c>
      <c r="T601" s="81">
        <f ca="1">SUMPRODUCT((Work_Codes!$AR$294:$AX$294=$E601)*(Work_Codes!$AR$297:$AX$305)*(T$440:T$448))</f>
        <v>255398.58129712642</v>
      </c>
    </row>
    <row r="602" spans="3:20" outlineLevel="2">
      <c r="E602" s="247" t="str">
        <f>GC!C83</f>
        <v>Repairs</v>
      </c>
      <c r="F602" s="247"/>
      <c r="G602" s="247"/>
      <c r="H602" s="247"/>
      <c r="I602" s="247"/>
      <c r="J602" s="81">
        <f ca="1">SUMPRODUCT((Work_Codes!$AR$294:$AX$294=$E602)*(Work_Codes!$AR$297:$AX$305)*(J$440:J$448))</f>
        <v>0</v>
      </c>
      <c r="K602" s="81">
        <f ca="1">SUMPRODUCT((Work_Codes!$AR$294:$AX$294=$E602)*(Work_Codes!$AR$297:$AX$305)*(K$440:K$448))</f>
        <v>0</v>
      </c>
      <c r="L602" s="81">
        <f ca="1">SUMPRODUCT((Work_Codes!$AR$294:$AX$294=$E602)*(Work_Codes!$AR$297:$AX$305)*(L$440:L$448))</f>
        <v>0</v>
      </c>
      <c r="M602" s="81">
        <f ca="1">SUMPRODUCT((Work_Codes!$AR$294:$AX$294=$E602)*(Work_Codes!$AR$297:$AX$305)*(M$440:M$448))</f>
        <v>0</v>
      </c>
      <c r="N602" s="81">
        <f ca="1">SUMPRODUCT((Work_Codes!$AR$294:$AX$294=$E602)*(Work_Codes!$AR$297:$AX$305)*(N$440:N$448))</f>
        <v>0</v>
      </c>
      <c r="O602" s="81">
        <f ca="1">SUMPRODUCT((Work_Codes!$AR$294:$AX$294=$E602)*(Work_Codes!$AR$297:$AX$305)*(O$440:O$448))</f>
        <v>0</v>
      </c>
      <c r="P602" s="81">
        <f ca="1">SUMPRODUCT((Work_Codes!$AR$294:$AX$294=$E602)*(Work_Codes!$AR$297:$AX$305)*(P$440:P$448))</f>
        <v>0</v>
      </c>
      <c r="Q602" s="81">
        <f ca="1">SUMPRODUCT((Work_Codes!$AR$294:$AX$294=$E602)*(Work_Codes!$AR$297:$AX$305)*(Q$440:Q$448))</f>
        <v>0</v>
      </c>
      <c r="R602" s="81">
        <f ca="1">SUMPRODUCT((Work_Codes!$AR$294:$AX$294=$E602)*(Work_Codes!$AR$297:$AX$305)*(R$440:R$448))</f>
        <v>0</v>
      </c>
      <c r="S602" s="81">
        <f ca="1">SUMPRODUCT((Work_Codes!$AR$294:$AX$294=$E602)*(Work_Codes!$AR$297:$AX$305)*(S$440:S$448))</f>
        <v>0</v>
      </c>
      <c r="T602" s="81">
        <f ca="1">SUMPRODUCT((Work_Codes!$AR$294:$AX$294=$E602)*(Work_Codes!$AR$297:$AX$305)*(T$440:T$448))</f>
        <v>0</v>
      </c>
    </row>
    <row r="603" spans="3:20" outlineLevel="2">
      <c r="E603" s="247" t="str">
        <f>GC!C84</f>
        <v>Land</v>
      </c>
      <c r="F603" s="247"/>
      <c r="G603" s="247"/>
      <c r="H603" s="247"/>
      <c r="I603" s="247"/>
      <c r="J603" s="81">
        <f ca="1">SUMPRODUCT((Work_Codes!$AR$294:$AX$294=$E603)*(Work_Codes!$AR$297:$AX$305)*(J$440:J$448))</f>
        <v>0</v>
      </c>
      <c r="K603" s="81">
        <f ca="1">SUMPRODUCT((Work_Codes!$AR$294:$AX$294=$E603)*(Work_Codes!$AR$297:$AX$305)*(K$440:K$448))</f>
        <v>0</v>
      </c>
      <c r="L603" s="81">
        <f ca="1">SUMPRODUCT((Work_Codes!$AR$294:$AX$294=$E603)*(Work_Codes!$AR$297:$AX$305)*(L$440:L$448))</f>
        <v>0</v>
      </c>
      <c r="M603" s="81">
        <f ca="1">SUMPRODUCT((Work_Codes!$AR$294:$AX$294=$E603)*(Work_Codes!$AR$297:$AX$305)*(M$440:M$448))</f>
        <v>0</v>
      </c>
      <c r="N603" s="81">
        <f ca="1">SUMPRODUCT((Work_Codes!$AR$294:$AX$294=$E603)*(Work_Codes!$AR$297:$AX$305)*(N$440:N$448))</f>
        <v>0</v>
      </c>
      <c r="O603" s="81">
        <f ca="1">SUMPRODUCT((Work_Codes!$AR$294:$AX$294=$E603)*(Work_Codes!$AR$297:$AX$305)*(O$440:O$448))</f>
        <v>0</v>
      </c>
      <c r="P603" s="81">
        <f ca="1">SUMPRODUCT((Work_Codes!$AR$294:$AX$294=$E603)*(Work_Codes!$AR$297:$AX$305)*(P$440:P$448))</f>
        <v>0</v>
      </c>
      <c r="Q603" s="81">
        <f ca="1">SUMPRODUCT((Work_Codes!$AR$294:$AX$294=$E603)*(Work_Codes!$AR$297:$AX$305)*(Q$440:Q$448))</f>
        <v>0</v>
      </c>
      <c r="R603" s="81">
        <f ca="1">SUMPRODUCT((Work_Codes!$AR$294:$AX$294=$E603)*(Work_Codes!$AR$297:$AX$305)*(R$440:R$448))</f>
        <v>0</v>
      </c>
      <c r="S603" s="81">
        <f ca="1">SUMPRODUCT((Work_Codes!$AR$294:$AX$294=$E603)*(Work_Codes!$AR$297:$AX$305)*(S$440:S$448))</f>
        <v>0</v>
      </c>
      <c r="T603" s="81">
        <f ca="1">SUMPRODUCT((Work_Codes!$AR$294:$AX$294=$E603)*(Work_Codes!$AR$297:$AX$305)*(T$440:T$448))</f>
        <v>0</v>
      </c>
    </row>
    <row r="604" spans="3:20" outlineLevel="2">
      <c r="E604" s="249" t="str">
        <f>"Total "&amp;D595</f>
        <v>Total Direct Costs</v>
      </c>
      <c r="F604" s="249"/>
      <c r="G604" s="249"/>
      <c r="H604" s="249"/>
      <c r="I604" s="249"/>
      <c r="J604" s="82">
        <f t="shared" ref="J604:T604" ca="1" si="62">SUM(J597:J603)</f>
        <v>0</v>
      </c>
      <c r="K604" s="82">
        <f t="shared" ca="1" si="62"/>
        <v>0</v>
      </c>
      <c r="L604" s="82">
        <f t="shared" ca="1" si="62"/>
        <v>0</v>
      </c>
      <c r="M604" s="82">
        <f t="shared" ca="1" si="62"/>
        <v>0</v>
      </c>
      <c r="N604" s="82">
        <f t="shared" ca="1" si="62"/>
        <v>1261735.9153766781</v>
      </c>
      <c r="O604" s="82">
        <f t="shared" ca="1" si="62"/>
        <v>140021.82287900295</v>
      </c>
      <c r="P604" s="82">
        <f t="shared" ca="1" si="62"/>
        <v>1155354.4755339709</v>
      </c>
      <c r="Q604" s="82">
        <f t="shared" ca="1" si="62"/>
        <v>1105600.2565754629</v>
      </c>
      <c r="R604" s="82">
        <f t="shared" ca="1" si="62"/>
        <v>255224.26027521645</v>
      </c>
      <c r="S604" s="82">
        <f t="shared" ca="1" si="62"/>
        <v>232783.50745597249</v>
      </c>
      <c r="T604" s="82">
        <f t="shared" ca="1" si="62"/>
        <v>255398.58129712642</v>
      </c>
    </row>
    <row r="605" spans="3:20" outlineLevel="2"/>
    <row r="606" spans="3:20" outlineLevel="2">
      <c r="D606" s="37" t="s">
        <v>313</v>
      </c>
    </row>
    <row r="607" spans="3:20" ht="5.9" customHeight="1" outlineLevel="2"/>
    <row r="608" spans="3:20" outlineLevel="2">
      <c r="E608" s="247" t="str">
        <f>GC!C78</f>
        <v>Mains &amp; Services</v>
      </c>
      <c r="F608" s="247"/>
      <c r="G608" s="247"/>
      <c r="H608" s="247"/>
      <c r="I608" s="247"/>
      <c r="J608" s="81">
        <f ca="1">J597*(1+INDEX(J$338:J$340,MATCH(Work_Codes!$I$291,$D$338:$D$340,0)))</f>
        <v>0</v>
      </c>
      <c r="K608" s="81">
        <f ca="1">K597*(1+INDEX(K$338:K$340,MATCH(Work_Codes!$I$291,$D$338:$D$340,0)))</f>
        <v>0</v>
      </c>
      <c r="L608" s="81">
        <f ca="1">L597*(1+INDEX(L$338:L$340,MATCH(Work_Codes!$I$291,$D$338:$D$340,0)))</f>
        <v>0</v>
      </c>
      <c r="M608" s="81">
        <f ca="1">M597*(1+INDEX(M$338:M$340,MATCH(Work_Codes!$I$291,$D$338:$D$340,0)))</f>
        <v>0</v>
      </c>
      <c r="N608" s="81">
        <f ca="1">N597*(1+INDEX(N$338:N$340,MATCH(Work_Codes!$I$291,$D$338:$D$340,0)))</f>
        <v>0</v>
      </c>
      <c r="O608" s="81">
        <f ca="1">O597*(1+INDEX(O$338:O$340,MATCH(Work_Codes!$I$291,$D$338:$D$340,0)))</f>
        <v>0</v>
      </c>
      <c r="P608" s="81">
        <f ca="1">P597*(1+INDEX(P$338:P$340,MATCH(Work_Codes!$I$291,$D$338:$D$340,0)))</f>
        <v>0</v>
      </c>
      <c r="Q608" s="81">
        <f ca="1">Q597*(1+INDEX(Q$338:Q$340,MATCH(Work_Codes!$I$291,$D$338:$D$340,0)))</f>
        <v>0</v>
      </c>
      <c r="R608" s="81">
        <f ca="1">R597*(1+INDEX(R$338:R$340,MATCH(Work_Codes!$I$291,$D$338:$D$340,0)))</f>
        <v>0</v>
      </c>
      <c r="S608" s="81">
        <f ca="1">S597*(1+INDEX(S$338:S$340,MATCH(Work_Codes!$I$291,$D$338:$D$340,0)))</f>
        <v>0</v>
      </c>
      <c r="T608" s="81">
        <f ca="1">T597*(1+INDEX(T$338:T$340,MATCH(Work_Codes!$I$291,$D$338:$D$340,0)))</f>
        <v>0</v>
      </c>
    </row>
    <row r="609" spans="2:20" outlineLevel="2">
      <c r="E609" s="247" t="str">
        <f>GC!C79</f>
        <v>Meters Domestic</v>
      </c>
      <c r="F609" s="247"/>
      <c r="G609" s="247"/>
      <c r="H609" s="247"/>
      <c r="I609" s="247"/>
      <c r="J609" s="81">
        <f ca="1">J598*(1+INDEX(J$338:J$340,MATCH(Work_Codes!$I$291,$D$338:$D$340,0)))</f>
        <v>0</v>
      </c>
      <c r="K609" s="81">
        <f ca="1">K598*(1+INDEX(K$338:K$340,MATCH(Work_Codes!$I$291,$D$338:$D$340,0)))</f>
        <v>0</v>
      </c>
      <c r="L609" s="81">
        <f ca="1">L598*(1+INDEX(L$338:L$340,MATCH(Work_Codes!$I$291,$D$338:$D$340,0)))</f>
        <v>0</v>
      </c>
      <c r="M609" s="81">
        <f ca="1">M598*(1+INDEX(M$338:M$340,MATCH(Work_Codes!$I$291,$D$338:$D$340,0)))</f>
        <v>0</v>
      </c>
      <c r="N609" s="81">
        <f ca="1">N598*(1+INDEX(N$338:N$340,MATCH(Work_Codes!$I$291,$D$338:$D$340,0)))</f>
        <v>0</v>
      </c>
      <c r="O609" s="81">
        <f ca="1">O598*(1+INDEX(O$338:O$340,MATCH(Work_Codes!$I$291,$D$338:$D$340,0)))</f>
        <v>0</v>
      </c>
      <c r="P609" s="81">
        <f ca="1">P598*(1+INDEX(P$338:P$340,MATCH(Work_Codes!$I$291,$D$338:$D$340,0)))</f>
        <v>0</v>
      </c>
      <c r="Q609" s="81">
        <f ca="1">Q598*(1+INDEX(Q$338:Q$340,MATCH(Work_Codes!$I$291,$D$338:$D$340,0)))</f>
        <v>0</v>
      </c>
      <c r="R609" s="81">
        <f ca="1">R598*(1+INDEX(R$338:R$340,MATCH(Work_Codes!$I$291,$D$338:$D$340,0)))</f>
        <v>0</v>
      </c>
      <c r="S609" s="81">
        <f ca="1">S598*(1+INDEX(S$338:S$340,MATCH(Work_Codes!$I$291,$D$338:$D$340,0)))</f>
        <v>0</v>
      </c>
      <c r="T609" s="81">
        <f ca="1">T598*(1+INDEX(T$338:T$340,MATCH(Work_Codes!$I$291,$D$338:$D$340,0)))</f>
        <v>0</v>
      </c>
    </row>
    <row r="610" spans="2:20" outlineLevel="2">
      <c r="E610" s="247" t="str">
        <f>GC!C80</f>
        <v>Meters Industrial &amp; Commercial</v>
      </c>
      <c r="F610" s="247"/>
      <c r="G610" s="247"/>
      <c r="H610" s="247"/>
      <c r="I610" s="247"/>
      <c r="J610" s="81">
        <f ca="1">J599*(1+INDEX(J$338:J$340,MATCH(Work_Codes!$I$291,$D$338:$D$340,0)))</f>
        <v>0</v>
      </c>
      <c r="K610" s="81">
        <f ca="1">K599*(1+INDEX(K$338:K$340,MATCH(Work_Codes!$I$291,$D$338:$D$340,0)))</f>
        <v>0</v>
      </c>
      <c r="L610" s="81">
        <f ca="1">L599*(1+INDEX(L$338:L$340,MATCH(Work_Codes!$I$291,$D$338:$D$340,0)))</f>
        <v>0</v>
      </c>
      <c r="M610" s="81">
        <f ca="1">M599*(1+INDEX(M$338:M$340,MATCH(Work_Codes!$I$291,$D$338:$D$340,0)))</f>
        <v>0</v>
      </c>
      <c r="N610" s="81">
        <f ca="1">N599*(1+INDEX(N$338:N$340,MATCH(Work_Codes!$I$291,$D$338:$D$340,0)))</f>
        <v>0</v>
      </c>
      <c r="O610" s="81">
        <f ca="1">O599*(1+INDEX(O$338:O$340,MATCH(Work_Codes!$I$291,$D$338:$D$340,0)))</f>
        <v>0</v>
      </c>
      <c r="P610" s="81">
        <f ca="1">P599*(1+INDEX(P$338:P$340,MATCH(Work_Codes!$I$291,$D$338:$D$340,0)))</f>
        <v>0</v>
      </c>
      <c r="Q610" s="81">
        <f ca="1">Q599*(1+INDEX(Q$338:Q$340,MATCH(Work_Codes!$I$291,$D$338:$D$340,0)))</f>
        <v>0</v>
      </c>
      <c r="R610" s="81">
        <f ca="1">R599*(1+INDEX(R$338:R$340,MATCH(Work_Codes!$I$291,$D$338:$D$340,0)))</f>
        <v>0</v>
      </c>
      <c r="S610" s="81">
        <f ca="1">S599*(1+INDEX(S$338:S$340,MATCH(Work_Codes!$I$291,$D$338:$D$340,0)))</f>
        <v>0</v>
      </c>
      <c r="T610" s="81">
        <f ca="1">T599*(1+INDEX(T$338:T$340,MATCH(Work_Codes!$I$291,$D$338:$D$340,0)))</f>
        <v>0</v>
      </c>
    </row>
    <row r="611" spans="2:20" outlineLevel="2">
      <c r="E611" s="247" t="str">
        <f>GC!C81</f>
        <v>Buildings</v>
      </c>
      <c r="F611" s="247"/>
      <c r="G611" s="247"/>
      <c r="H611" s="247"/>
      <c r="I611" s="247"/>
      <c r="J611" s="81">
        <f ca="1">J600*(1+INDEX(J$338:J$340,MATCH(Work_Codes!$I$291,$D$338:$D$340,0)))</f>
        <v>0</v>
      </c>
      <c r="K611" s="81">
        <f ca="1">K600*(1+INDEX(K$338:K$340,MATCH(Work_Codes!$I$291,$D$338:$D$340,0)))</f>
        <v>0</v>
      </c>
      <c r="L611" s="81">
        <f ca="1">L600*(1+INDEX(L$338:L$340,MATCH(Work_Codes!$I$291,$D$338:$D$340,0)))</f>
        <v>0</v>
      </c>
      <c r="M611" s="81">
        <f ca="1">M600*(1+INDEX(M$338:M$340,MATCH(Work_Codes!$I$291,$D$338:$D$340,0)))</f>
        <v>0</v>
      </c>
      <c r="N611" s="81">
        <f ca="1">N600*(1+INDEX(N$338:N$340,MATCH(Work_Codes!$I$291,$D$338:$D$340,0)))</f>
        <v>0</v>
      </c>
      <c r="O611" s="81">
        <f ca="1">O600*(1+INDEX(O$338:O$340,MATCH(Work_Codes!$I$291,$D$338:$D$340,0)))</f>
        <v>0</v>
      </c>
      <c r="P611" s="81">
        <f ca="1">P600*(1+INDEX(P$338:P$340,MATCH(Work_Codes!$I$291,$D$338:$D$340,0)))</f>
        <v>0</v>
      </c>
      <c r="Q611" s="81">
        <f ca="1">Q600*(1+INDEX(Q$338:Q$340,MATCH(Work_Codes!$I$291,$D$338:$D$340,0)))</f>
        <v>0</v>
      </c>
      <c r="R611" s="81">
        <f ca="1">R600*(1+INDEX(R$338:R$340,MATCH(Work_Codes!$I$291,$D$338:$D$340,0)))</f>
        <v>0</v>
      </c>
      <c r="S611" s="81">
        <f ca="1">S600*(1+INDEX(S$338:S$340,MATCH(Work_Codes!$I$291,$D$338:$D$340,0)))</f>
        <v>0</v>
      </c>
      <c r="T611" s="81">
        <f ca="1">T600*(1+INDEX(T$338:T$340,MATCH(Work_Codes!$I$291,$D$338:$D$340,0)))</f>
        <v>0</v>
      </c>
    </row>
    <row r="612" spans="2:20" outlineLevel="2">
      <c r="E612" s="247" t="str">
        <f>GC!C82</f>
        <v>Other Assets</v>
      </c>
      <c r="F612" s="247"/>
      <c r="G612" s="247"/>
      <c r="H612" s="247"/>
      <c r="I612" s="247"/>
      <c r="J612" s="81">
        <f ca="1">J601*(1+INDEX(J$338:J$340,MATCH(Work_Codes!$I$291,$D$338:$D$340,0)))</f>
        <v>0</v>
      </c>
      <c r="K612" s="81">
        <f ca="1">K601*(1+INDEX(K$338:K$340,MATCH(Work_Codes!$I$291,$D$338:$D$340,0)))</f>
        <v>0</v>
      </c>
      <c r="L612" s="81">
        <f ca="1">L601*(1+INDEX(L$338:L$340,MATCH(Work_Codes!$I$291,$D$338:$D$340,0)))</f>
        <v>0</v>
      </c>
      <c r="M612" s="81">
        <f ca="1">M601*(1+INDEX(M$338:M$340,MATCH(Work_Codes!$I$291,$D$338:$D$340,0)))</f>
        <v>0</v>
      </c>
      <c r="N612" s="81">
        <f ca="1">N601*(1+INDEX(N$338:N$340,MATCH(Work_Codes!$I$291,$D$338:$D$340,0)))</f>
        <v>1309317.2477967648</v>
      </c>
      <c r="O612" s="81">
        <f ca="1">O601*(1+INDEX(O$338:O$340,MATCH(Work_Codes!$I$291,$D$338:$D$340,0)))</f>
        <v>144682.30489869133</v>
      </c>
      <c r="P612" s="81">
        <f ca="1">P601*(1+INDEX(P$338:P$340,MATCH(Work_Codes!$I$291,$D$338:$D$340,0)))</f>
        <v>1186263.281590621</v>
      </c>
      <c r="Q612" s="81">
        <f ca="1">Q601*(1+INDEX(Q$338:Q$340,MATCH(Work_Codes!$I$291,$D$338:$D$340,0)))</f>
        <v>1134412.8486350176</v>
      </c>
      <c r="R612" s="81">
        <f ca="1">R601*(1+INDEX(R$338:R$340,MATCH(Work_Codes!$I$291,$D$338:$D$340,0)))</f>
        <v>262082.90334976985</v>
      </c>
      <c r="S612" s="81">
        <f ca="1">S601*(1+INDEX(S$338:S$340,MATCH(Work_Codes!$I$291,$D$338:$D$340,0)))</f>
        <v>239428.58711132233</v>
      </c>
      <c r="T612" s="81">
        <f ca="1">T601*(1+INDEX(T$338:T$340,MATCH(Work_Codes!$I$291,$D$338:$D$340,0)))</f>
        <v>263040.20344222145</v>
      </c>
    </row>
    <row r="613" spans="2:20" outlineLevel="2">
      <c r="E613" s="247" t="str">
        <f>GC!C83</f>
        <v>Repairs</v>
      </c>
      <c r="F613" s="247"/>
      <c r="G613" s="247"/>
      <c r="H613" s="247"/>
      <c r="I613" s="247"/>
      <c r="J613" s="81">
        <f ca="1">J602*(1+INDEX(J$338:J$340,MATCH(Work_Codes!$I$291,$D$338:$D$340,0)))</f>
        <v>0</v>
      </c>
      <c r="K613" s="81">
        <f ca="1">K602*(1+INDEX(K$338:K$340,MATCH(Work_Codes!$I$291,$D$338:$D$340,0)))</f>
        <v>0</v>
      </c>
      <c r="L613" s="81">
        <f ca="1">L602*(1+INDEX(L$338:L$340,MATCH(Work_Codes!$I$291,$D$338:$D$340,0)))</f>
        <v>0</v>
      </c>
      <c r="M613" s="81">
        <f ca="1">M602*(1+INDEX(M$338:M$340,MATCH(Work_Codes!$I$291,$D$338:$D$340,0)))</f>
        <v>0</v>
      </c>
      <c r="N613" s="81">
        <f ca="1">N602*(1+INDEX(N$338:N$340,MATCH(Work_Codes!$I$291,$D$338:$D$340,0)))</f>
        <v>0</v>
      </c>
      <c r="O613" s="81">
        <f ca="1">O602*(1+INDEX(O$338:O$340,MATCH(Work_Codes!$I$291,$D$338:$D$340,0)))</f>
        <v>0</v>
      </c>
      <c r="P613" s="81">
        <f ca="1">P602*(1+INDEX(P$338:P$340,MATCH(Work_Codes!$I$291,$D$338:$D$340,0)))</f>
        <v>0</v>
      </c>
      <c r="Q613" s="81">
        <f ca="1">Q602*(1+INDEX(Q$338:Q$340,MATCH(Work_Codes!$I$291,$D$338:$D$340,0)))</f>
        <v>0</v>
      </c>
      <c r="R613" s="81">
        <f ca="1">R602*(1+INDEX(R$338:R$340,MATCH(Work_Codes!$I$291,$D$338:$D$340,0)))</f>
        <v>0</v>
      </c>
      <c r="S613" s="81">
        <f ca="1">S602*(1+INDEX(S$338:S$340,MATCH(Work_Codes!$I$291,$D$338:$D$340,0)))</f>
        <v>0</v>
      </c>
      <c r="T613" s="81">
        <f ca="1">T602*(1+INDEX(T$338:T$340,MATCH(Work_Codes!$I$291,$D$338:$D$340,0)))</f>
        <v>0</v>
      </c>
    </row>
    <row r="614" spans="2:20" outlineLevel="2">
      <c r="E614" s="247" t="str">
        <f>GC!C84</f>
        <v>Land</v>
      </c>
      <c r="F614" s="247"/>
      <c r="G614" s="247"/>
      <c r="H614" s="247"/>
      <c r="I614" s="247"/>
      <c r="J614" s="81">
        <f ca="1">J603*(1+INDEX(J$338:J$340,MATCH(Work_Codes!$I$291,$D$338:$D$340,0)))</f>
        <v>0</v>
      </c>
      <c r="K614" s="81">
        <f ca="1">K603*(1+INDEX(K$338:K$340,MATCH(Work_Codes!$I$291,$D$338:$D$340,0)))</f>
        <v>0</v>
      </c>
      <c r="L614" s="81">
        <f ca="1">L603*(1+INDEX(L$338:L$340,MATCH(Work_Codes!$I$291,$D$338:$D$340,0)))</f>
        <v>0</v>
      </c>
      <c r="M614" s="81">
        <f ca="1">M603*(1+INDEX(M$338:M$340,MATCH(Work_Codes!$I$291,$D$338:$D$340,0)))</f>
        <v>0</v>
      </c>
      <c r="N614" s="81">
        <f ca="1">N603*(1+INDEX(N$338:N$340,MATCH(Work_Codes!$I$291,$D$338:$D$340,0)))</f>
        <v>0</v>
      </c>
      <c r="O614" s="81">
        <f ca="1">O603*(1+INDEX(O$338:O$340,MATCH(Work_Codes!$I$291,$D$338:$D$340,0)))</f>
        <v>0</v>
      </c>
      <c r="P614" s="81">
        <f ca="1">P603*(1+INDEX(P$338:P$340,MATCH(Work_Codes!$I$291,$D$338:$D$340,0)))</f>
        <v>0</v>
      </c>
      <c r="Q614" s="81">
        <f ca="1">Q603*(1+INDEX(Q$338:Q$340,MATCH(Work_Codes!$I$291,$D$338:$D$340,0)))</f>
        <v>0</v>
      </c>
      <c r="R614" s="81">
        <f ca="1">R603*(1+INDEX(R$338:R$340,MATCH(Work_Codes!$I$291,$D$338:$D$340,0)))</f>
        <v>0</v>
      </c>
      <c r="S614" s="81">
        <f ca="1">S603*(1+INDEX(S$338:S$340,MATCH(Work_Codes!$I$291,$D$338:$D$340,0)))</f>
        <v>0</v>
      </c>
      <c r="T614" s="81">
        <f ca="1">T603*(1+INDEX(T$338:T$340,MATCH(Work_Codes!$I$291,$D$338:$D$340,0)))</f>
        <v>0</v>
      </c>
    </row>
    <row r="615" spans="2:20" outlineLevel="2">
      <c r="E615" s="249" t="str">
        <f>"Total "&amp;D606</f>
        <v>Total Direct Costs +  Overheads</v>
      </c>
      <c r="F615" s="249"/>
      <c r="G615" s="249"/>
      <c r="H615" s="249"/>
      <c r="I615" s="249"/>
      <c r="J615" s="82">
        <f t="shared" ref="J615:T615" ca="1" si="63">SUM(J608:J614)</f>
        <v>0</v>
      </c>
      <c r="K615" s="82">
        <f t="shared" ca="1" si="63"/>
        <v>0</v>
      </c>
      <c r="L615" s="82">
        <f t="shared" ca="1" si="63"/>
        <v>0</v>
      </c>
      <c r="M615" s="82">
        <f t="shared" ca="1" si="63"/>
        <v>0</v>
      </c>
      <c r="N615" s="82">
        <f t="shared" ca="1" si="63"/>
        <v>1309317.2477967648</v>
      </c>
      <c r="O615" s="82">
        <f t="shared" ca="1" si="63"/>
        <v>144682.30489869133</v>
      </c>
      <c r="P615" s="82">
        <f t="shared" ca="1" si="63"/>
        <v>1186263.281590621</v>
      </c>
      <c r="Q615" s="82">
        <f t="shared" ca="1" si="63"/>
        <v>1134412.8486350176</v>
      </c>
      <c r="R615" s="82">
        <f t="shared" ca="1" si="63"/>
        <v>262082.90334976985</v>
      </c>
      <c r="S615" s="82">
        <f t="shared" ca="1" si="63"/>
        <v>239428.58711132233</v>
      </c>
      <c r="T615" s="82">
        <f t="shared" ca="1" si="63"/>
        <v>263040.20344222145</v>
      </c>
    </row>
    <row r="616" spans="2:20" outlineLevel="1">
      <c r="B616" s="12"/>
      <c r="C616" s="12"/>
      <c r="D616" s="12"/>
      <c r="E616" s="12"/>
      <c r="F616" s="12"/>
      <c r="G616" s="12"/>
      <c r="H616" s="12"/>
      <c r="I616" s="12"/>
      <c r="J616" s="12"/>
      <c r="K616" s="12"/>
      <c r="L616" s="12"/>
      <c r="M616" s="12"/>
      <c r="N616" s="12"/>
      <c r="O616" s="12"/>
      <c r="P616" s="12"/>
      <c r="Q616" s="12"/>
      <c r="R616" s="12"/>
      <c r="S616" s="12"/>
      <c r="T616" s="12"/>
    </row>
    <row r="617" spans="2:20" outlineLevel="1"/>
    <row r="618" spans="2:20" outlineLevel="1">
      <c r="C618" s="37" t="s">
        <v>19</v>
      </c>
    </row>
    <row r="619" spans="2:20" ht="5.9" customHeight="1" outlineLevel="1"/>
    <row r="620" spans="2:20" outlineLevel="1">
      <c r="F620" s="51" t="str">
        <f>$B$326&amp;" Work Code v RAB Category Direct Check"</f>
        <v>3016 - Inputs Work Code v RAB Category Direct Check</v>
      </c>
      <c r="I620" s="130">
        <f ca="1">IF(ISERROR(SUM(J620:T620)),1,MIN(SUM(J620:T620),1))</f>
        <v>0</v>
      </c>
      <c r="J620" s="81">
        <f t="shared" ref="J620:T620" ca="1" si="64">J450-J473</f>
        <v>0</v>
      </c>
      <c r="K620" s="81">
        <f t="shared" ca="1" si="64"/>
        <v>0</v>
      </c>
      <c r="L620" s="81">
        <f t="shared" ca="1" si="64"/>
        <v>0</v>
      </c>
      <c r="M620" s="81">
        <f t="shared" ca="1" si="64"/>
        <v>0</v>
      </c>
      <c r="N620" s="81">
        <f t="shared" ca="1" si="64"/>
        <v>0</v>
      </c>
      <c r="O620" s="81">
        <f t="shared" ca="1" si="64"/>
        <v>0</v>
      </c>
      <c r="P620" s="81">
        <f t="shared" ca="1" si="64"/>
        <v>0</v>
      </c>
      <c r="Q620" s="81">
        <f t="shared" ca="1" si="64"/>
        <v>0</v>
      </c>
      <c r="R620" s="81">
        <f t="shared" ca="1" si="64"/>
        <v>0</v>
      </c>
      <c r="S620" s="81">
        <f t="shared" ca="1" si="64"/>
        <v>0</v>
      </c>
      <c r="T620" s="81">
        <f t="shared" ca="1" si="64"/>
        <v>0</v>
      </c>
    </row>
    <row r="621" spans="2:20" outlineLevel="1">
      <c r="F621" s="51" t="str">
        <f>$B$326&amp;" Work Code v RIN Category Direct Check"</f>
        <v>3016 - Inputs Work Code v RIN Category Direct Check</v>
      </c>
      <c r="I621" s="130">
        <f ca="1">IF(ISERROR(SUM(J621:T621)),1,MIN(SUM(J621:T621),1))</f>
        <v>0</v>
      </c>
      <c r="J621" s="81">
        <f t="shared" ref="J621:T621" ca="1" si="65">J450-J554</f>
        <v>0</v>
      </c>
      <c r="K621" s="81">
        <f t="shared" ca="1" si="65"/>
        <v>0</v>
      </c>
      <c r="L621" s="81">
        <f t="shared" ca="1" si="65"/>
        <v>0</v>
      </c>
      <c r="M621" s="81">
        <f t="shared" ca="1" si="65"/>
        <v>0</v>
      </c>
      <c r="N621" s="81">
        <f t="shared" ca="1" si="65"/>
        <v>0</v>
      </c>
      <c r="O621" s="81">
        <f t="shared" ca="1" si="65"/>
        <v>0</v>
      </c>
      <c r="P621" s="81">
        <f t="shared" ca="1" si="65"/>
        <v>0</v>
      </c>
      <c r="Q621" s="81">
        <f t="shared" ca="1" si="65"/>
        <v>0</v>
      </c>
      <c r="R621" s="81">
        <f t="shared" ca="1" si="65"/>
        <v>0</v>
      </c>
      <c r="S621" s="81">
        <f t="shared" ca="1" si="65"/>
        <v>0</v>
      </c>
      <c r="T621" s="81">
        <f t="shared" ca="1" si="65"/>
        <v>0</v>
      </c>
    </row>
    <row r="622" spans="2:20" outlineLevel="1">
      <c r="F622" s="51" t="str">
        <f>$B$326&amp;" Work Code v Tax Category Direct Check"</f>
        <v>3016 - Inputs Work Code v Tax Category Direct Check</v>
      </c>
      <c r="I622" s="130">
        <f ca="1">IF(ISERROR(SUM(J622:T622)),1,MIN(SUM(J622:T622),1))</f>
        <v>0</v>
      </c>
      <c r="J622" s="81">
        <f t="shared" ref="J622:T622" ca="1" si="66">J450-J604</f>
        <v>0</v>
      </c>
      <c r="K622" s="81">
        <f t="shared" ca="1" si="66"/>
        <v>0</v>
      </c>
      <c r="L622" s="81">
        <f t="shared" ca="1" si="66"/>
        <v>0</v>
      </c>
      <c r="M622" s="81">
        <f t="shared" ca="1" si="66"/>
        <v>0</v>
      </c>
      <c r="N622" s="81">
        <f t="shared" ca="1" si="66"/>
        <v>0</v>
      </c>
      <c r="O622" s="81">
        <f t="shared" ca="1" si="66"/>
        <v>0</v>
      </c>
      <c r="P622" s="81">
        <f t="shared" ca="1" si="66"/>
        <v>0</v>
      </c>
      <c r="Q622" s="81">
        <f t="shared" ca="1" si="66"/>
        <v>0</v>
      </c>
      <c r="R622" s="81">
        <f t="shared" ca="1" si="66"/>
        <v>0</v>
      </c>
      <c r="S622" s="81">
        <f t="shared" ca="1" si="66"/>
        <v>0</v>
      </c>
      <c r="T622" s="81">
        <f t="shared" ca="1" si="66"/>
        <v>0</v>
      </c>
    </row>
    <row r="623" spans="2:20" outlineLevel="1">
      <c r="F623" s="51" t="str">
        <f>$B$326&amp;" Customer Contributions v RAB Category Direct Check"</f>
        <v>3016 - Inputs Customer Contributions v RAB Category Direct Check</v>
      </c>
      <c r="I623" s="130">
        <f ca="1">IF(ISERROR(SUM(J623:T623)),1,MIN(SUM(J623:T623),1))</f>
        <v>0</v>
      </c>
      <c r="J623" s="81">
        <f t="shared" ref="J623:T623" ca="1" si="67">J391-J533</f>
        <v>0</v>
      </c>
      <c r="K623" s="81">
        <f t="shared" ca="1" si="67"/>
        <v>0</v>
      </c>
      <c r="L623" s="81">
        <f t="shared" ca="1" si="67"/>
        <v>0</v>
      </c>
      <c r="M623" s="81">
        <f t="shared" ca="1" si="67"/>
        <v>0</v>
      </c>
      <c r="N623" s="81">
        <f t="shared" ca="1" si="67"/>
        <v>0</v>
      </c>
      <c r="O623" s="81">
        <f t="shared" ca="1" si="67"/>
        <v>0</v>
      </c>
      <c r="P623" s="81">
        <f t="shared" ca="1" si="67"/>
        <v>0</v>
      </c>
      <c r="Q623" s="81">
        <f t="shared" ca="1" si="67"/>
        <v>0</v>
      </c>
      <c r="R623" s="81">
        <f t="shared" ca="1" si="67"/>
        <v>0</v>
      </c>
      <c r="S623" s="81">
        <f t="shared" ca="1" si="67"/>
        <v>0</v>
      </c>
      <c r="T623" s="81">
        <f t="shared" ca="1" si="67"/>
        <v>0</v>
      </c>
    </row>
    <row r="624" spans="2:20" ht="5.9" customHeight="1" outlineLevel="1"/>
    <row r="625" spans="2:20" outlineLevel="1">
      <c r="F625" s="51" t="str">
        <f>$B$326&amp;" RAB v RIN Direct + Overhead Check"</f>
        <v>3016 - Inputs RAB v RIN Direct + Overhead Check</v>
      </c>
      <c r="I625" s="130">
        <f ca="1">IF(ISERROR(SUM(J625:T625)),1,MIN(SUM(J625:T625),1))</f>
        <v>0</v>
      </c>
      <c r="J625" s="81">
        <f t="shared" ref="J625:T625" ca="1" si="68">J513-J572</f>
        <v>0</v>
      </c>
      <c r="K625" s="81">
        <f t="shared" ca="1" si="68"/>
        <v>0</v>
      </c>
      <c r="L625" s="81">
        <f t="shared" ca="1" si="68"/>
        <v>0</v>
      </c>
      <c r="M625" s="81">
        <f t="shared" ca="1" si="68"/>
        <v>0</v>
      </c>
      <c r="N625" s="81">
        <f t="shared" ca="1" si="68"/>
        <v>0</v>
      </c>
      <c r="O625" s="81">
        <f t="shared" ca="1" si="68"/>
        <v>0</v>
      </c>
      <c r="P625" s="81">
        <f t="shared" ca="1" si="68"/>
        <v>0</v>
      </c>
      <c r="Q625" s="81">
        <f t="shared" ca="1" si="68"/>
        <v>0</v>
      </c>
      <c r="R625" s="81">
        <f t="shared" ca="1" si="68"/>
        <v>0</v>
      </c>
      <c r="S625" s="81">
        <f t="shared" ca="1" si="68"/>
        <v>0</v>
      </c>
      <c r="T625" s="81">
        <f t="shared" ca="1" si="68"/>
        <v>0</v>
      </c>
    </row>
    <row r="626" spans="2:20" outlineLevel="1">
      <c r="F626" s="51" t="str">
        <f>$B$326&amp;" RAB v Tax Direct + Overhead Check"</f>
        <v>3016 - Inputs RAB v Tax Direct + Overhead Check</v>
      </c>
      <c r="I626" s="130">
        <f ca="1">IF(ISERROR(SUM(J626:T626)),1,MIN(SUM(J626:T626),1))</f>
        <v>0</v>
      </c>
      <c r="J626" s="81">
        <f t="shared" ref="J626:T626" ca="1" si="69">J513-J615</f>
        <v>0</v>
      </c>
      <c r="K626" s="81">
        <f t="shared" ca="1" si="69"/>
        <v>0</v>
      </c>
      <c r="L626" s="81">
        <f t="shared" ca="1" si="69"/>
        <v>0</v>
      </c>
      <c r="M626" s="81">
        <f t="shared" ca="1" si="69"/>
        <v>0</v>
      </c>
      <c r="N626" s="81">
        <f t="shared" ca="1" si="69"/>
        <v>0</v>
      </c>
      <c r="O626" s="81">
        <f t="shared" ca="1" si="69"/>
        <v>0</v>
      </c>
      <c r="P626" s="81">
        <f t="shared" ca="1" si="69"/>
        <v>0</v>
      </c>
      <c r="Q626" s="81">
        <f t="shared" ca="1" si="69"/>
        <v>0</v>
      </c>
      <c r="R626" s="81">
        <f t="shared" ca="1" si="69"/>
        <v>0</v>
      </c>
      <c r="S626" s="81">
        <f t="shared" ca="1" si="69"/>
        <v>0</v>
      </c>
      <c r="T626" s="81">
        <f t="shared" ca="1" si="69"/>
        <v>0</v>
      </c>
    </row>
    <row r="627" spans="2:20" ht="12" outlineLevel="1" thickBot="1">
      <c r="B627" s="94"/>
      <c r="C627" s="94"/>
      <c r="D627" s="94"/>
      <c r="E627" s="94"/>
      <c r="F627" s="94"/>
      <c r="G627" s="94"/>
      <c r="H627" s="94"/>
      <c r="I627" s="94"/>
      <c r="J627" s="94"/>
      <c r="K627" s="94"/>
      <c r="L627" s="94"/>
      <c r="M627" s="94"/>
      <c r="N627" s="94"/>
      <c r="O627" s="94"/>
      <c r="P627" s="94"/>
      <c r="Q627" s="94"/>
      <c r="R627" s="94"/>
      <c r="S627" s="94"/>
      <c r="T627" s="94"/>
    </row>
  </sheetData>
  <sheetProtection formatColumns="0" formatRows="0"/>
  <mergeCells count="271">
    <mergeCell ref="E286:I286"/>
    <mergeCell ref="E590:I590"/>
    <mergeCell ref="E576:I576"/>
    <mergeCell ref="E577:I577"/>
    <mergeCell ref="E578:I578"/>
    <mergeCell ref="E579:I579"/>
    <mergeCell ref="E580:I580"/>
    <mergeCell ref="E581:I581"/>
    <mergeCell ref="E582:I582"/>
    <mergeCell ref="E583:I583"/>
    <mergeCell ref="E584:I584"/>
    <mergeCell ref="E585:I585"/>
    <mergeCell ref="E586:I586"/>
    <mergeCell ref="E587:I587"/>
    <mergeCell ref="E588:I588"/>
    <mergeCell ref="E589:I589"/>
    <mergeCell ref="E533:I533"/>
    <mergeCell ref="E517:I517"/>
    <mergeCell ref="E518:I518"/>
    <mergeCell ref="E519:I519"/>
    <mergeCell ref="E520:I520"/>
    <mergeCell ref="E521:I521"/>
    <mergeCell ref="E522:I522"/>
    <mergeCell ref="E523:I523"/>
    <mergeCell ref="E277:I277"/>
    <mergeCell ref="E278:I278"/>
    <mergeCell ref="E279:I279"/>
    <mergeCell ref="E280:I280"/>
    <mergeCell ref="E281:I281"/>
    <mergeCell ref="E282:I282"/>
    <mergeCell ref="E283:I283"/>
    <mergeCell ref="E284:I284"/>
    <mergeCell ref="E285:I285"/>
    <mergeCell ref="E457:I457"/>
    <mergeCell ref="E524:I524"/>
    <mergeCell ref="E525:I525"/>
    <mergeCell ref="E526:I526"/>
    <mergeCell ref="E527:I527"/>
    <mergeCell ref="E528:I528"/>
    <mergeCell ref="E530:I530"/>
    <mergeCell ref="E531:I531"/>
    <mergeCell ref="E532:I532"/>
    <mergeCell ref="E461:I461"/>
    <mergeCell ref="E511:I511"/>
    <mergeCell ref="E512:I512"/>
    <mergeCell ref="E529:I529"/>
    <mergeCell ref="E505:I505"/>
    <mergeCell ref="E508:I508"/>
    <mergeCell ref="E507:I507"/>
    <mergeCell ref="E504:I504"/>
    <mergeCell ref="E489:I489"/>
    <mergeCell ref="E490:I490"/>
    <mergeCell ref="E491:I491"/>
    <mergeCell ref="E492:I492"/>
    <mergeCell ref="D88:I88"/>
    <mergeCell ref="E200:I200"/>
    <mergeCell ref="E498:I498"/>
    <mergeCell ref="E241:I241"/>
    <mergeCell ref="E242:I242"/>
    <mergeCell ref="E487:I487"/>
    <mergeCell ref="E478:I478"/>
    <mergeCell ref="E503:I503"/>
    <mergeCell ref="E217:I217"/>
    <mergeCell ref="E218:I218"/>
    <mergeCell ref="E219:I219"/>
    <mergeCell ref="E220:I220"/>
    <mergeCell ref="E221:I221"/>
    <mergeCell ref="E248:I248"/>
    <mergeCell ref="E482:I482"/>
    <mergeCell ref="E483:I483"/>
    <mergeCell ref="E488:I488"/>
    <mergeCell ref="E486:I486"/>
    <mergeCell ref="E499:I499"/>
    <mergeCell ref="E500:I500"/>
    <mergeCell ref="E501:I501"/>
    <mergeCell ref="E502:I502"/>
    <mergeCell ref="E210:I210"/>
    <mergeCell ref="E247:I247"/>
    <mergeCell ref="E249:I249"/>
    <mergeCell ref="D82:I82"/>
    <mergeCell ref="D105:I105"/>
    <mergeCell ref="D119:I119"/>
    <mergeCell ref="D133:I133"/>
    <mergeCell ref="D147:I147"/>
    <mergeCell ref="E251:I251"/>
    <mergeCell ref="E237:I237"/>
    <mergeCell ref="E238:I238"/>
    <mergeCell ref="E239:I239"/>
    <mergeCell ref="E240:I240"/>
    <mergeCell ref="E154:I154"/>
    <mergeCell ref="E155:I155"/>
    <mergeCell ref="E156:I156"/>
    <mergeCell ref="E157:I157"/>
    <mergeCell ref="E158:I158"/>
    <mergeCell ref="E159:I159"/>
    <mergeCell ref="E190:I190"/>
    <mergeCell ref="E174:I174"/>
    <mergeCell ref="E175:I175"/>
    <mergeCell ref="E176:I176"/>
    <mergeCell ref="E177:I177"/>
    <mergeCell ref="E245:I245"/>
    <mergeCell ref="E243:I243"/>
    <mergeCell ref="E207:I207"/>
    <mergeCell ref="E208:I208"/>
    <mergeCell ref="E209:I209"/>
    <mergeCell ref="E226:I226"/>
    <mergeCell ref="E227:I227"/>
    <mergeCell ref="E228:I228"/>
    <mergeCell ref="E229:I229"/>
    <mergeCell ref="E230:I230"/>
    <mergeCell ref="E214:I214"/>
    <mergeCell ref="E215:I215"/>
    <mergeCell ref="E216:I216"/>
    <mergeCell ref="E276:I276"/>
    <mergeCell ref="E510:I510"/>
    <mergeCell ref="E206:I206"/>
    <mergeCell ref="E201:I201"/>
    <mergeCell ref="E202:I202"/>
    <mergeCell ref="E509:I509"/>
    <mergeCell ref="E493:I493"/>
    <mergeCell ref="E469:I469"/>
    <mergeCell ref="E470:I470"/>
    <mergeCell ref="E300:I300"/>
    <mergeCell ref="D450:I450"/>
    <mergeCell ref="E312:I312"/>
    <mergeCell ref="E305:I305"/>
    <mergeCell ref="E306:I306"/>
    <mergeCell ref="E307:I307"/>
    <mergeCell ref="E308:I308"/>
    <mergeCell ref="E309:I309"/>
    <mergeCell ref="E255:I255"/>
    <mergeCell ref="E205:I205"/>
    <mergeCell ref="E222:I222"/>
    <mergeCell ref="E223:I223"/>
    <mergeCell ref="E224:I224"/>
    <mergeCell ref="E225:I225"/>
    <mergeCell ref="E244:I244"/>
    <mergeCell ref="E160:I160"/>
    <mergeCell ref="E161:I161"/>
    <mergeCell ref="E162:I162"/>
    <mergeCell ref="E163:I163"/>
    <mergeCell ref="E164:I164"/>
    <mergeCell ref="E203:I203"/>
    <mergeCell ref="E204:I204"/>
    <mergeCell ref="E165:I165"/>
    <mergeCell ref="E485:I485"/>
    <mergeCell ref="E479:I479"/>
    <mergeCell ref="E480:I480"/>
    <mergeCell ref="E256:I256"/>
    <mergeCell ref="E257:I257"/>
    <mergeCell ref="E258:I258"/>
    <mergeCell ref="E259:I259"/>
    <mergeCell ref="E260:I260"/>
    <mergeCell ref="E261:I261"/>
    <mergeCell ref="E262:I262"/>
    <mergeCell ref="E263:I263"/>
    <mergeCell ref="E471:I471"/>
    <mergeCell ref="E166:I166"/>
    <mergeCell ref="E167:I167"/>
    <mergeCell ref="E168:I168"/>
    <mergeCell ref="E169:I169"/>
    <mergeCell ref="E564:I564"/>
    <mergeCell ref="E565:I565"/>
    <mergeCell ref="E566:I566"/>
    <mergeCell ref="E542:I542"/>
    <mergeCell ref="E543:I543"/>
    <mergeCell ref="E544:I544"/>
    <mergeCell ref="E545:I545"/>
    <mergeCell ref="E546:I546"/>
    <mergeCell ref="E547:I547"/>
    <mergeCell ref="E548:I548"/>
    <mergeCell ref="E550:I550"/>
    <mergeCell ref="E551:I551"/>
    <mergeCell ref="E552:I552"/>
    <mergeCell ref="E553:I553"/>
    <mergeCell ref="E568:I568"/>
    <mergeCell ref="E569:I569"/>
    <mergeCell ref="E265:I265"/>
    <mergeCell ref="E266:I266"/>
    <mergeCell ref="E267:I267"/>
    <mergeCell ref="E268:I268"/>
    <mergeCell ref="E558:I558"/>
    <mergeCell ref="E559:I559"/>
    <mergeCell ref="E560:I560"/>
    <mergeCell ref="E561:I561"/>
    <mergeCell ref="E562:I562"/>
    <mergeCell ref="E269:I269"/>
    <mergeCell ref="E301:I301"/>
    <mergeCell ref="E294:I294"/>
    <mergeCell ref="E295:I295"/>
    <mergeCell ref="E296:I296"/>
    <mergeCell ref="E297:I297"/>
    <mergeCell ref="E298:I298"/>
    <mergeCell ref="E299:I299"/>
    <mergeCell ref="E497:I497"/>
    <mergeCell ref="E563:I563"/>
    <mergeCell ref="E554:I554"/>
    <mergeCell ref="E540:I540"/>
    <mergeCell ref="E541:I541"/>
    <mergeCell ref="E572:I572"/>
    <mergeCell ref="E246:I246"/>
    <mergeCell ref="E264:I264"/>
    <mergeCell ref="E549:I549"/>
    <mergeCell ref="E567:I567"/>
    <mergeCell ref="E513:I513"/>
    <mergeCell ref="E615:I615"/>
    <mergeCell ref="E608:I608"/>
    <mergeCell ref="E609:I609"/>
    <mergeCell ref="E610:I610"/>
    <mergeCell ref="E611:I611"/>
    <mergeCell ref="E612:I612"/>
    <mergeCell ref="E613:I613"/>
    <mergeCell ref="E614:I614"/>
    <mergeCell ref="E570:I570"/>
    <mergeCell ref="E571:I571"/>
    <mergeCell ref="E604:I604"/>
    <mergeCell ref="E597:I597"/>
    <mergeCell ref="E598:I598"/>
    <mergeCell ref="E599:I599"/>
    <mergeCell ref="E600:I600"/>
    <mergeCell ref="E601:I601"/>
    <mergeCell ref="E602:I602"/>
    <mergeCell ref="E603:I603"/>
    <mergeCell ref="D436:I436"/>
    <mergeCell ref="E170:I170"/>
    <mergeCell ref="E194:I194"/>
    <mergeCell ref="E195:I195"/>
    <mergeCell ref="E196:I196"/>
    <mergeCell ref="E197:I197"/>
    <mergeCell ref="E181:I181"/>
    <mergeCell ref="E178:I178"/>
    <mergeCell ref="E179:I179"/>
    <mergeCell ref="E180:I180"/>
    <mergeCell ref="E182:I182"/>
    <mergeCell ref="E183:I183"/>
    <mergeCell ref="E184:I184"/>
    <mergeCell ref="E185:I185"/>
    <mergeCell ref="E186:I186"/>
    <mergeCell ref="E187:I187"/>
    <mergeCell ref="E188:I188"/>
    <mergeCell ref="E189:I189"/>
    <mergeCell ref="E198:I198"/>
    <mergeCell ref="E199:I199"/>
    <mergeCell ref="E287:I287"/>
    <mergeCell ref="E273:I273"/>
    <mergeCell ref="E274:I274"/>
    <mergeCell ref="E275:I275"/>
    <mergeCell ref="N2:O2"/>
    <mergeCell ref="E250:I250"/>
    <mergeCell ref="E506:I506"/>
    <mergeCell ref="E473:I473"/>
    <mergeCell ref="E464:I464"/>
    <mergeCell ref="E465:I465"/>
    <mergeCell ref="E466:I466"/>
    <mergeCell ref="E467:I467"/>
    <mergeCell ref="E459:I459"/>
    <mergeCell ref="E460:I460"/>
    <mergeCell ref="E310:I310"/>
    <mergeCell ref="E311:I311"/>
    <mergeCell ref="D391:I391"/>
    <mergeCell ref="E484:I484"/>
    <mergeCell ref="E458:I458"/>
    <mergeCell ref="E462:I462"/>
    <mergeCell ref="E468:I468"/>
    <mergeCell ref="E477:I477"/>
    <mergeCell ref="E472:I472"/>
    <mergeCell ref="E481:I481"/>
    <mergeCell ref="E463:I463"/>
    <mergeCell ref="D385:I385"/>
    <mergeCell ref="D408:I408"/>
    <mergeCell ref="D422:I422"/>
  </mergeCells>
  <conditionalFormatting sqref="I317">
    <cfRule type="cellIs" dxfId="815" priority="1" operator="notEqual">
      <formula>0</formula>
    </cfRule>
  </conditionalFormatting>
  <conditionalFormatting sqref="I620">
    <cfRule type="cellIs" dxfId="814" priority="2" operator="notEqual">
      <formula>0</formula>
    </cfRule>
  </conditionalFormatting>
  <conditionalFormatting sqref="J317:T317">
    <cfRule type="cellIs" dxfId="813" priority="3" operator="notEqual">
      <formula>0</formula>
    </cfRule>
  </conditionalFormatting>
  <conditionalFormatting sqref="J620:T620">
    <cfRule type="cellIs" dxfId="812" priority="4" operator="notEqual">
      <formula>0</formula>
    </cfRule>
  </conditionalFormatting>
  <conditionalFormatting sqref="I318">
    <cfRule type="cellIs" dxfId="811" priority="5" operator="notEqual">
      <formula>0</formula>
    </cfRule>
  </conditionalFormatting>
  <conditionalFormatting sqref="I621">
    <cfRule type="cellIs" dxfId="810" priority="6" operator="notEqual">
      <formula>0</formula>
    </cfRule>
  </conditionalFormatting>
  <conditionalFormatting sqref="J318:T318">
    <cfRule type="cellIs" dxfId="809" priority="7" operator="notEqual">
      <formula>0</formula>
    </cfRule>
  </conditionalFormatting>
  <conditionalFormatting sqref="J621:T621">
    <cfRule type="cellIs" dxfId="808" priority="8" operator="notEqual">
      <formula>0</formula>
    </cfRule>
  </conditionalFormatting>
  <conditionalFormatting sqref="I319">
    <cfRule type="cellIs" dxfId="807" priority="9" operator="notEqual">
      <formula>0</formula>
    </cfRule>
  </conditionalFormatting>
  <conditionalFormatting sqref="I622">
    <cfRule type="cellIs" dxfId="806" priority="10" operator="notEqual">
      <formula>0</formula>
    </cfRule>
  </conditionalFormatting>
  <conditionalFormatting sqref="J319:T319">
    <cfRule type="cellIs" dxfId="805" priority="11" operator="notEqual">
      <formula>0</formula>
    </cfRule>
  </conditionalFormatting>
  <conditionalFormatting sqref="J622:T622">
    <cfRule type="cellIs" dxfId="804" priority="12" operator="notEqual">
      <formula>0</formula>
    </cfRule>
  </conditionalFormatting>
  <conditionalFormatting sqref="I322">
    <cfRule type="cellIs" dxfId="803" priority="13" operator="notEqual">
      <formula>0</formula>
    </cfRule>
  </conditionalFormatting>
  <conditionalFormatting sqref="I625">
    <cfRule type="cellIs" dxfId="802" priority="14" operator="notEqual">
      <formula>0</formula>
    </cfRule>
  </conditionalFormatting>
  <conditionalFormatting sqref="J322:T322">
    <cfRule type="cellIs" dxfId="801" priority="15" operator="notEqual">
      <formula>0</formula>
    </cfRule>
  </conditionalFormatting>
  <conditionalFormatting sqref="J625:T625">
    <cfRule type="cellIs" dxfId="800" priority="16" operator="notEqual">
      <formula>0</formula>
    </cfRule>
  </conditionalFormatting>
  <conditionalFormatting sqref="I323">
    <cfRule type="cellIs" dxfId="799" priority="17" operator="notEqual">
      <formula>0</formula>
    </cfRule>
  </conditionalFormatting>
  <conditionalFormatting sqref="I626">
    <cfRule type="cellIs" dxfId="798" priority="18" operator="notEqual">
      <formula>0</formula>
    </cfRule>
  </conditionalFormatting>
  <conditionalFormatting sqref="J323:T323">
    <cfRule type="cellIs" dxfId="797" priority="19" operator="notEqual">
      <formula>0</formula>
    </cfRule>
  </conditionalFormatting>
  <conditionalFormatting sqref="J626:T626">
    <cfRule type="cellIs" dxfId="796" priority="20" operator="notEqual">
      <formula>0</formula>
    </cfRule>
  </conditionalFormatting>
  <conditionalFormatting sqref="I320">
    <cfRule type="cellIs" dxfId="795" priority="21" operator="notEqual">
      <formula>0</formula>
    </cfRule>
  </conditionalFormatting>
  <conditionalFormatting sqref="I623">
    <cfRule type="cellIs" dxfId="794" priority="22" operator="notEqual">
      <formula>0</formula>
    </cfRule>
  </conditionalFormatting>
  <conditionalFormatting sqref="J320:T320">
    <cfRule type="cellIs" dxfId="793" priority="23" operator="notEqual">
      <formula>0</formula>
    </cfRule>
  </conditionalFormatting>
  <conditionalFormatting sqref="J623:T623">
    <cfRule type="cellIs" dxfId="792" priority="24" operator="notEqual">
      <formula>0</formula>
    </cfRule>
  </conditionalFormatting>
  <dataValidations count="1">
    <dataValidation type="custom" showErrorMessage="1" errorTitle="Invalid Assumption" error="Assumption must be a number." sqref="J86:T86 J389:T389 J361:T369 J347:T355 J58:T66 J44:T52" xr:uid="{F0C921C2-6BF8-4401-BD5D-16B0DF0733D7}">
      <formula1>NOT(ISERROR(J44/1))</formula1>
    </dataValidation>
  </dataValidations>
  <hyperlinks>
    <hyperlink ref="A1" location="HL_Home" tooltip="Go to Table of Contents" display="HL_Home" xr:uid="{3D3B555F-2A6D-43E5-8DE5-81F02C43A9DD}"/>
    <hyperlink ref="A2" location="HL_Err_Chk" tooltip="Go to Error Checks" display="HL_Err_Chk" xr:uid="{439E5FA8-642C-4D30-A76C-81766B7BCD58}"/>
  </hyperlinks>
  <pageMargins left="0.39370078740157499" right="0.39370078740157499" top="0.59055118110236204" bottom="0.98425196850393704" header="0" footer="0.31496062992126"/>
  <pageSetup paperSize="9" orientation="landscape" r:id="rId1"/>
  <headerFooter>
    <oddFooter>&amp;L&amp;F
&amp;A
Printed: &amp;T on &amp;D&amp;CPage &amp;P of &amp;N</oddFooter>
  </headerFooter>
  <customProperties>
    <customPr name="EpmWorksheetKeyString_GUID" r:id="rId2"/>
  </customProperties>
  <legacyDrawing r:id="rId3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E9E5BB-4FF3-425A-91F0-703C64363615}">
  <sheetPr>
    <pageSetUpPr autoPageBreaks="0"/>
  </sheetPr>
  <dimension ref="A1:T592"/>
  <sheetViews>
    <sheetView showGridLines="0" zoomScaleNormal="100" workbookViewId="0">
      <pane xSplit="9" ySplit="21" topLeftCell="J22" activePane="bottomRight" state="frozen"/>
      <selection activeCell="N2" sqref="N2:O2"/>
      <selection pane="topRight" activeCell="N2" sqref="N2:O2"/>
      <selection pane="bottomLeft" activeCell="N2" sqref="N2:O2"/>
      <selection pane="bottomRight" activeCell="N2" sqref="N2:O2"/>
    </sheetView>
  </sheetViews>
  <sheetFormatPr defaultColWidth="11.59765625" defaultRowHeight="11.5" outlineLevelRow="3"/>
  <cols>
    <col min="1" max="5" width="3.59765625" customWidth="1"/>
    <col min="6" max="7" width="15.59765625" customWidth="1"/>
    <col min="13" max="13" width="12" bestFit="1" customWidth="1"/>
    <col min="14" max="14" width="14.59765625" bestFit="1" customWidth="1"/>
  </cols>
  <sheetData>
    <row r="1" spans="1:20" ht="14">
      <c r="A1" s="10" t="s">
        <v>11</v>
      </c>
      <c r="B1" s="6" t="s">
        <v>144</v>
      </c>
    </row>
    <row r="2" spans="1:20" ht="13">
      <c r="A2" s="23" t="s">
        <v>26</v>
      </c>
      <c r="B2" s="7" t="str">
        <f ca="1">Model_Name</f>
        <v>GAAR Capex Forecast</v>
      </c>
      <c r="N2" s="253" t="s">
        <v>493</v>
      </c>
      <c r="O2" s="253"/>
    </row>
    <row r="3" spans="1:20">
      <c r="B3" s="30"/>
      <c r="C3" s="30"/>
      <c r="D3" s="30"/>
      <c r="E3" s="30"/>
      <c r="F3" s="30"/>
      <c r="G3" s="30"/>
      <c r="H3" s="30"/>
      <c r="I3" s="30"/>
      <c r="J3" s="30"/>
      <c r="K3" s="30"/>
      <c r="L3" s="30"/>
      <c r="M3" s="30"/>
      <c r="N3" s="30"/>
      <c r="O3" s="30"/>
      <c r="P3" s="30"/>
      <c r="Q3" s="30"/>
      <c r="R3" s="30"/>
      <c r="S3" s="30"/>
      <c r="T3" s="30"/>
    </row>
    <row r="4" spans="1:20">
      <c r="B4" s="116" t="s">
        <v>74</v>
      </c>
      <c r="C4" s="118"/>
      <c r="D4" s="118"/>
      <c r="E4" s="118"/>
      <c r="F4" s="118"/>
      <c r="G4" s="118"/>
      <c r="H4" s="118"/>
      <c r="I4" s="118"/>
      <c r="J4" s="119">
        <f t="shared" ref="J4:T4" si="0">J8</f>
        <v>43465</v>
      </c>
      <c r="K4" s="119">
        <f t="shared" si="0"/>
        <v>43830</v>
      </c>
      <c r="L4" s="119">
        <f t="shared" si="0"/>
        <v>44196</v>
      </c>
      <c r="M4" s="119">
        <f t="shared" si="0"/>
        <v>44561</v>
      </c>
      <c r="N4" s="119">
        <f t="shared" si="0"/>
        <v>44926</v>
      </c>
      <c r="O4" s="121">
        <f t="shared" si="0"/>
        <v>45107</v>
      </c>
      <c r="P4" s="121">
        <f t="shared" si="0"/>
        <v>45473</v>
      </c>
      <c r="Q4" s="121">
        <f t="shared" si="0"/>
        <v>45838</v>
      </c>
      <c r="R4" s="121">
        <f t="shared" si="0"/>
        <v>46203</v>
      </c>
      <c r="S4" s="121">
        <f t="shared" si="0"/>
        <v>46568</v>
      </c>
      <c r="T4" s="121">
        <f t="shared" si="0"/>
        <v>46934</v>
      </c>
    </row>
    <row r="5" spans="1:20">
      <c r="B5" s="117" t="s">
        <v>100</v>
      </c>
      <c r="C5" s="117"/>
      <c r="D5" s="117"/>
      <c r="E5" s="117"/>
      <c r="F5" s="117"/>
      <c r="G5" s="117"/>
      <c r="H5" s="117"/>
      <c r="I5" s="117"/>
      <c r="J5" s="120">
        <f t="shared" ref="J5:T5" si="1">YEAR(J8)</f>
        <v>2018</v>
      </c>
      <c r="K5" s="120">
        <f t="shared" si="1"/>
        <v>2019</v>
      </c>
      <c r="L5" s="120">
        <f t="shared" si="1"/>
        <v>2020</v>
      </c>
      <c r="M5" s="120">
        <f t="shared" si="1"/>
        <v>2021</v>
      </c>
      <c r="N5" s="120">
        <f t="shared" si="1"/>
        <v>2022</v>
      </c>
      <c r="O5" s="120">
        <f t="shared" si="1"/>
        <v>2023</v>
      </c>
      <c r="P5" s="120">
        <f t="shared" si="1"/>
        <v>2024</v>
      </c>
      <c r="Q5" s="120">
        <f t="shared" si="1"/>
        <v>2025</v>
      </c>
      <c r="R5" s="120">
        <f t="shared" si="1"/>
        <v>2026</v>
      </c>
      <c r="S5" s="120">
        <f t="shared" si="1"/>
        <v>2027</v>
      </c>
      <c r="T5" s="120">
        <f t="shared" si="1"/>
        <v>2028</v>
      </c>
    </row>
    <row r="6" spans="1:20">
      <c r="B6" s="113" t="s">
        <v>91</v>
      </c>
      <c r="C6" s="113"/>
      <c r="D6" s="113"/>
      <c r="E6" s="113"/>
      <c r="F6" s="113"/>
      <c r="G6" s="113"/>
      <c r="H6" s="113"/>
      <c r="I6" s="113"/>
      <c r="J6" s="115" t="str">
        <f t="shared" ref="J6:T6" si="2">IF(J$17,"Actual","Forecast")</f>
        <v>Actual</v>
      </c>
      <c r="K6" s="115" t="str">
        <f t="shared" si="2"/>
        <v>Actual</v>
      </c>
      <c r="L6" s="115" t="str">
        <f t="shared" si="2"/>
        <v>Actual</v>
      </c>
      <c r="M6" s="115" t="str">
        <f t="shared" si="2"/>
        <v>Actual</v>
      </c>
      <c r="N6" s="115" t="str">
        <f t="shared" si="2"/>
        <v>Forecast</v>
      </c>
      <c r="O6" s="114" t="str">
        <f t="shared" si="2"/>
        <v>Forecast</v>
      </c>
      <c r="P6" s="114" t="str">
        <f t="shared" si="2"/>
        <v>Forecast</v>
      </c>
      <c r="Q6" s="114" t="str">
        <f t="shared" si="2"/>
        <v>Forecast</v>
      </c>
      <c r="R6" s="114" t="str">
        <f t="shared" si="2"/>
        <v>Forecast</v>
      </c>
      <c r="S6" s="114" t="str">
        <f t="shared" si="2"/>
        <v>Forecast</v>
      </c>
      <c r="T6" s="114" t="str">
        <f t="shared" si="2"/>
        <v>Forecast</v>
      </c>
    </row>
    <row r="7" spans="1:20" hidden="1" outlineLevel="3">
      <c r="B7" s="30" t="s">
        <v>101</v>
      </c>
      <c r="C7" s="30"/>
      <c r="D7" s="30"/>
      <c r="E7" s="30"/>
      <c r="F7" s="30"/>
      <c r="G7" s="30"/>
      <c r="H7" s="30"/>
      <c r="I7" s="30"/>
      <c r="J7" s="36">
        <f>EDATE(Ts_Start_Date,(J10-1)*Ts_Mths_In_Yr)</f>
        <v>43101</v>
      </c>
      <c r="K7" s="36">
        <f>EDATE(Ts_Start_Date,(K10-1)*Ts_Mths_In_Yr)</f>
        <v>43466</v>
      </c>
      <c r="L7" s="36">
        <f>EDATE(Ts_Start_Date,(L10-1)*Ts_Mths_In_Yr)</f>
        <v>43831</v>
      </c>
      <c r="M7" s="36">
        <f>EDATE(Ts_Start_Date,(M10-1)*Ts_Mths_In_Yr)</f>
        <v>44197</v>
      </c>
      <c r="N7" s="36">
        <f>EDATE(Ts_Start_Date,(N10-1)*Ts_Mths_In_Yr)</f>
        <v>44562</v>
      </c>
      <c r="O7" s="36">
        <f>Ts_Stub_Start_Date</f>
        <v>44927</v>
      </c>
      <c r="P7" s="36">
        <f>EDATE(Ts_Forecast_Reg_Start_Date,(P16-1)*Ts_Mths_In_Yr)</f>
        <v>45108</v>
      </c>
      <c r="Q7" s="36">
        <f>EDATE(Ts_Forecast_Reg_Start_Date,(Q16-1)*Ts_Mths_In_Yr)</f>
        <v>45474</v>
      </c>
      <c r="R7" s="36">
        <f>EDATE(Ts_Forecast_Reg_Start_Date,(R16-1)*Ts_Mths_In_Yr)</f>
        <v>45839</v>
      </c>
      <c r="S7" s="36">
        <f>EDATE(Ts_Forecast_Reg_Start_Date,(S16-1)*Ts_Mths_In_Yr)</f>
        <v>46204</v>
      </c>
      <c r="T7" s="36">
        <f>EDATE(Ts_Forecast_Reg_Start_Date,(T16-1)*Ts_Mths_In_Yr)</f>
        <v>46569</v>
      </c>
    </row>
    <row r="8" spans="1:20" hidden="1" outlineLevel="3">
      <c r="B8" s="30" t="s">
        <v>102</v>
      </c>
      <c r="C8" s="30"/>
      <c r="D8" s="30"/>
      <c r="E8" s="30"/>
      <c r="F8" s="30"/>
      <c r="G8" s="30"/>
      <c r="H8" s="30"/>
      <c r="I8" s="30"/>
      <c r="J8" s="36">
        <f>EOMONTH(J7,Ts_Mths_In_Yr-1)</f>
        <v>43465</v>
      </c>
      <c r="K8" s="36">
        <f>EOMONTH(K7,Ts_Mths_In_Yr-1)</f>
        <v>43830</v>
      </c>
      <c r="L8" s="36">
        <f>EOMONTH(L7,Ts_Mths_In_Yr-1)</f>
        <v>44196</v>
      </c>
      <c r="M8" s="36">
        <f>EOMONTH(M7,Ts_Mths_In_Yr-1)</f>
        <v>44561</v>
      </c>
      <c r="N8" s="36">
        <f>EOMONTH(N7,Ts_Mths_In_Yr-1)</f>
        <v>44926</v>
      </c>
      <c r="O8" s="36">
        <f>EOMONTH(O7,Ts_Stub_Length-1)</f>
        <v>45107</v>
      </c>
      <c r="P8" s="36">
        <f>EOMONTH(P7,Ts_Mths_In_Yr-1)</f>
        <v>45473</v>
      </c>
      <c r="Q8" s="36">
        <f>EOMONTH(Q7,Ts_Mths_In_Yr-1)</f>
        <v>45838</v>
      </c>
      <c r="R8" s="36">
        <f>EOMONTH(R7,Ts_Mths_In_Yr-1)</f>
        <v>46203</v>
      </c>
      <c r="S8" s="36">
        <f>EOMONTH(S7,Ts_Mths_In_Yr-1)</f>
        <v>46568</v>
      </c>
      <c r="T8" s="36">
        <f>EOMONTH(T7,Ts_Mths_In_Yr-1)</f>
        <v>46934</v>
      </c>
    </row>
    <row r="9" spans="1:20" hidden="1" outlineLevel="3">
      <c r="B9" s="30" t="s">
        <v>87</v>
      </c>
      <c r="C9" s="30"/>
      <c r="D9" s="30"/>
      <c r="E9" s="30"/>
      <c r="F9" s="30"/>
      <c r="G9" s="30"/>
      <c r="H9" s="30"/>
      <c r="I9" s="30"/>
      <c r="J9" s="14">
        <f t="shared" ref="J9:T9" si="3">DATEDIF(J7,J8,"m")+1</f>
        <v>12</v>
      </c>
      <c r="K9" s="14">
        <f t="shared" si="3"/>
        <v>12</v>
      </c>
      <c r="L9" s="14">
        <f t="shared" si="3"/>
        <v>12</v>
      </c>
      <c r="M9" s="14">
        <f t="shared" si="3"/>
        <v>12</v>
      </c>
      <c r="N9" s="14">
        <f t="shared" si="3"/>
        <v>12</v>
      </c>
      <c r="O9" s="14">
        <f t="shared" si="3"/>
        <v>6</v>
      </c>
      <c r="P9" s="38">
        <f t="shared" si="3"/>
        <v>12</v>
      </c>
      <c r="Q9" s="38">
        <f t="shared" si="3"/>
        <v>12</v>
      </c>
      <c r="R9" s="38">
        <f t="shared" si="3"/>
        <v>12</v>
      </c>
      <c r="S9" s="38">
        <f t="shared" si="3"/>
        <v>12</v>
      </c>
      <c r="T9" s="38">
        <f t="shared" si="3"/>
        <v>12</v>
      </c>
    </row>
    <row r="10" spans="1:20" hidden="1" outlineLevel="3">
      <c r="B10" s="30" t="s">
        <v>72</v>
      </c>
      <c r="C10" s="30"/>
      <c r="D10" s="30"/>
      <c r="E10" s="30"/>
      <c r="F10" s="30"/>
      <c r="G10" s="30"/>
      <c r="H10" s="30"/>
      <c r="I10" s="30"/>
      <c r="J10" s="40">
        <f>COLUMNS($J$10:J10)</f>
        <v>1</v>
      </c>
      <c r="K10" s="40">
        <f>COLUMNS($J$10:K10)</f>
        <v>2</v>
      </c>
      <c r="L10" s="40">
        <f>COLUMNS($J$10:L10)</f>
        <v>3</v>
      </c>
      <c r="M10" s="40">
        <f>COLUMNS($J$10:M10)</f>
        <v>4</v>
      </c>
      <c r="N10" s="40">
        <f>COLUMNS($J$10:N10)</f>
        <v>5</v>
      </c>
      <c r="O10" s="40">
        <f>COLUMNS($J$10:O10)</f>
        <v>6</v>
      </c>
      <c r="P10" s="40">
        <f>COLUMNS($J$10:P10)</f>
        <v>7</v>
      </c>
      <c r="Q10" s="40">
        <f>COLUMNS($J$10:Q10)</f>
        <v>8</v>
      </c>
      <c r="R10" s="40">
        <f>COLUMNS($J$10:R10)</f>
        <v>9</v>
      </c>
      <c r="S10" s="40">
        <f>COLUMNS($J$10:S10)</f>
        <v>10</v>
      </c>
      <c r="T10" s="40">
        <f>COLUMNS($J$10:T10)</f>
        <v>11</v>
      </c>
    </row>
    <row r="11" spans="1:20" hidden="1" outlineLevel="3">
      <c r="B11" s="30" t="s">
        <v>76</v>
      </c>
      <c r="C11" s="30"/>
      <c r="D11" s="30"/>
      <c r="E11" s="30"/>
      <c r="F11" s="30"/>
      <c r="G11" s="30"/>
      <c r="H11" s="30"/>
      <c r="I11" s="30"/>
      <c r="J11" s="40">
        <f>(J12&lt;&gt;0)*1</f>
        <v>1</v>
      </c>
      <c r="K11" s="40">
        <f>(K12&lt;&gt;0)*1</f>
        <v>1</v>
      </c>
      <c r="L11" s="40">
        <f>(L12&lt;&gt;0)*1</f>
        <v>1</v>
      </c>
      <c r="M11" s="40">
        <f>(M12&lt;&gt;0)*1</f>
        <v>1</v>
      </c>
      <c r="N11" s="40">
        <f>(N12&lt;&gt;0)*1</f>
        <v>1</v>
      </c>
      <c r="O11" s="45">
        <v>0</v>
      </c>
      <c r="P11" s="45">
        <v>0</v>
      </c>
      <c r="Q11" s="45">
        <v>0</v>
      </c>
      <c r="R11" s="45">
        <v>0</v>
      </c>
      <c r="S11" s="45">
        <v>0</v>
      </c>
      <c r="T11" s="45">
        <v>0</v>
      </c>
    </row>
    <row r="12" spans="1:20" hidden="1" outlineLevel="3">
      <c r="B12" s="30" t="s">
        <v>96</v>
      </c>
      <c r="C12" s="30"/>
      <c r="D12" s="30"/>
      <c r="E12" s="30"/>
      <c r="F12" s="30"/>
      <c r="G12" s="30"/>
      <c r="H12" s="30"/>
      <c r="I12" s="30"/>
      <c r="J12" s="40">
        <f>COLUMNS($J$10:J10)</f>
        <v>1</v>
      </c>
      <c r="K12" s="40">
        <f>COLUMNS($J$10:K10)</f>
        <v>2</v>
      </c>
      <c r="L12" s="40">
        <f>COLUMNS($J$10:L10)</f>
        <v>3</v>
      </c>
      <c r="M12" s="40">
        <f>COLUMNS($J$10:M10)</f>
        <v>4</v>
      </c>
      <c r="N12" s="40">
        <f>COLUMNS($J$10:N10)</f>
        <v>5</v>
      </c>
      <c r="O12" s="45">
        <v>0</v>
      </c>
      <c r="P12" s="45">
        <v>0</v>
      </c>
      <c r="Q12" s="45">
        <v>0</v>
      </c>
      <c r="R12" s="45">
        <v>0</v>
      </c>
      <c r="S12" s="45">
        <v>0</v>
      </c>
      <c r="T12" s="45">
        <v>0</v>
      </c>
    </row>
    <row r="13" spans="1:20" hidden="1" outlineLevel="3">
      <c r="B13" s="30" t="s">
        <v>79</v>
      </c>
      <c r="C13" s="30"/>
      <c r="D13" s="30"/>
      <c r="E13" s="30"/>
      <c r="F13" s="30"/>
      <c r="G13" s="30"/>
      <c r="H13" s="30"/>
      <c r="I13" s="30"/>
      <c r="J13" s="45">
        <v>0</v>
      </c>
      <c r="K13" s="45">
        <v>0</v>
      </c>
      <c r="L13" s="45">
        <v>0</v>
      </c>
      <c r="M13" s="45">
        <v>0</v>
      </c>
      <c r="N13" s="45">
        <v>0</v>
      </c>
      <c r="O13" s="40">
        <f>(O14&lt;&gt;0)*1</f>
        <v>1</v>
      </c>
      <c r="P13" s="45">
        <v>0</v>
      </c>
      <c r="Q13" s="45">
        <v>0</v>
      </c>
      <c r="R13" s="45">
        <v>0</v>
      </c>
      <c r="S13" s="45">
        <v>0</v>
      </c>
      <c r="T13" s="45">
        <v>0</v>
      </c>
    </row>
    <row r="14" spans="1:20" hidden="1" outlineLevel="3">
      <c r="B14" s="30" t="s">
        <v>97</v>
      </c>
      <c r="C14" s="30"/>
      <c r="D14" s="30"/>
      <c r="E14" s="30"/>
      <c r="F14" s="30"/>
      <c r="G14" s="30"/>
      <c r="H14" s="30"/>
      <c r="I14" s="30"/>
      <c r="J14" s="45">
        <v>0</v>
      </c>
      <c r="K14" s="45">
        <v>0</v>
      </c>
      <c r="L14" s="45">
        <v>0</v>
      </c>
      <c r="M14" s="45">
        <v>0</v>
      </c>
      <c r="N14" s="45">
        <v>0</v>
      </c>
      <c r="O14" s="40">
        <f>COLUMNS($O$14:O14)</f>
        <v>1</v>
      </c>
      <c r="P14" s="45">
        <v>0</v>
      </c>
      <c r="Q14" s="45">
        <v>0</v>
      </c>
      <c r="R14" s="45">
        <v>0</v>
      </c>
      <c r="S14" s="45">
        <v>0</v>
      </c>
      <c r="T14" s="45">
        <v>0</v>
      </c>
    </row>
    <row r="15" spans="1:20" hidden="1" outlineLevel="3">
      <c r="B15" s="30" t="s">
        <v>82</v>
      </c>
      <c r="C15" s="30"/>
      <c r="D15" s="30"/>
      <c r="E15" s="30"/>
      <c r="F15" s="30"/>
      <c r="G15" s="30"/>
      <c r="H15" s="30"/>
      <c r="I15" s="30"/>
      <c r="J15" s="45">
        <v>0</v>
      </c>
      <c r="K15" s="45">
        <v>0</v>
      </c>
      <c r="L15" s="45">
        <v>0</v>
      </c>
      <c r="M15" s="45">
        <v>0</v>
      </c>
      <c r="N15" s="45">
        <v>0</v>
      </c>
      <c r="O15" s="45">
        <v>0</v>
      </c>
      <c r="P15" s="39">
        <f>(P16&lt;&gt;0)*1</f>
        <v>1</v>
      </c>
      <c r="Q15" s="39">
        <f>(Q16&lt;&gt;0)*1</f>
        <v>1</v>
      </c>
      <c r="R15" s="39">
        <f>(R16&lt;&gt;0)*1</f>
        <v>1</v>
      </c>
      <c r="S15" s="39">
        <f>(S16&lt;&gt;0)*1</f>
        <v>1</v>
      </c>
      <c r="T15" s="39">
        <f>(T16&lt;&gt;0)*1</f>
        <v>1</v>
      </c>
    </row>
    <row r="16" spans="1:20" hidden="1" outlineLevel="3">
      <c r="B16" s="30" t="s">
        <v>98</v>
      </c>
      <c r="C16" s="30"/>
      <c r="D16" s="30"/>
      <c r="E16" s="30"/>
      <c r="F16" s="30"/>
      <c r="G16" s="30"/>
      <c r="H16" s="30"/>
      <c r="I16" s="30"/>
      <c r="J16" s="45">
        <v>0</v>
      </c>
      <c r="K16" s="45">
        <v>0</v>
      </c>
      <c r="L16" s="45">
        <v>0</v>
      </c>
      <c r="M16" s="45">
        <v>0</v>
      </c>
      <c r="N16" s="45">
        <v>0</v>
      </c>
      <c r="O16" s="45">
        <v>0</v>
      </c>
      <c r="P16" s="39">
        <f>COLUMNS($P$16:P16)</f>
        <v>1</v>
      </c>
      <c r="Q16" s="39">
        <f>COLUMNS($P$16:Q16)</f>
        <v>2</v>
      </c>
      <c r="R16" s="39">
        <f>COLUMNS($P$16:R16)</f>
        <v>3</v>
      </c>
      <c r="S16" s="39">
        <f>COLUMNS($P$16:S16)</f>
        <v>4</v>
      </c>
      <c r="T16" s="39">
        <f>COLUMNS($P$16:T16)</f>
        <v>5</v>
      </c>
    </row>
    <row r="17" spans="2:20" hidden="1" outlineLevel="3">
      <c r="B17" s="30" t="s">
        <v>206</v>
      </c>
      <c r="C17" s="30"/>
      <c r="D17" s="30"/>
      <c r="E17" s="30"/>
      <c r="F17" s="30"/>
      <c r="G17" s="30"/>
      <c r="H17" s="30"/>
      <c r="I17" s="30"/>
      <c r="J17" s="39">
        <f t="shared" ref="J17:T17" si="4">IF(J$5&lt;=Ts_Last_Actual_Year,1,0)</f>
        <v>1</v>
      </c>
      <c r="K17" s="39">
        <f t="shared" si="4"/>
        <v>1</v>
      </c>
      <c r="L17" s="39">
        <f t="shared" si="4"/>
        <v>1</v>
      </c>
      <c r="M17" s="39">
        <f t="shared" si="4"/>
        <v>1</v>
      </c>
      <c r="N17" s="39">
        <f t="shared" si="4"/>
        <v>0</v>
      </c>
      <c r="O17" s="39">
        <f t="shared" si="4"/>
        <v>0</v>
      </c>
      <c r="P17" s="39">
        <f t="shared" si="4"/>
        <v>0</v>
      </c>
      <c r="Q17" s="39">
        <f t="shared" si="4"/>
        <v>0</v>
      </c>
      <c r="R17" s="39">
        <f t="shared" si="4"/>
        <v>0</v>
      </c>
      <c r="S17" s="39">
        <f t="shared" si="4"/>
        <v>0</v>
      </c>
      <c r="T17" s="39">
        <f t="shared" si="4"/>
        <v>0</v>
      </c>
    </row>
    <row r="18" spans="2:20" hidden="1" outlineLevel="3">
      <c r="B18" s="30" t="s">
        <v>207</v>
      </c>
      <c r="C18" s="30"/>
      <c r="D18" s="30"/>
      <c r="E18" s="30"/>
      <c r="F18" s="30"/>
      <c r="G18" s="30"/>
      <c r="H18" s="30"/>
      <c r="I18" s="30"/>
      <c r="J18" s="39">
        <f t="shared" ref="J18:T18" si="5">IF(J$5&gt;Ts_Last_Actual_Year,1,0)</f>
        <v>0</v>
      </c>
      <c r="K18" s="39">
        <f t="shared" si="5"/>
        <v>0</v>
      </c>
      <c r="L18" s="39">
        <f t="shared" si="5"/>
        <v>0</v>
      </c>
      <c r="M18" s="39">
        <f t="shared" si="5"/>
        <v>0</v>
      </c>
      <c r="N18" s="39">
        <f t="shared" si="5"/>
        <v>1</v>
      </c>
      <c r="O18" s="40">
        <f t="shared" si="5"/>
        <v>1</v>
      </c>
      <c r="P18" s="40">
        <f t="shared" si="5"/>
        <v>1</v>
      </c>
      <c r="Q18" s="40">
        <f t="shared" si="5"/>
        <v>1</v>
      </c>
      <c r="R18" s="40">
        <f t="shared" si="5"/>
        <v>1</v>
      </c>
      <c r="S18" s="40">
        <f t="shared" si="5"/>
        <v>1</v>
      </c>
      <c r="T18" s="40">
        <f t="shared" si="5"/>
        <v>1</v>
      </c>
    </row>
    <row r="19" spans="2:20" hidden="1" outlineLevel="3">
      <c r="B19" s="30" t="s">
        <v>208</v>
      </c>
      <c r="C19" s="30"/>
      <c r="D19" s="30"/>
      <c r="E19" s="30"/>
      <c r="F19" s="30"/>
      <c r="G19" s="30"/>
      <c r="H19" s="30"/>
      <c r="I19" s="30"/>
      <c r="J19" s="39">
        <f>SUM($J18:J18)</f>
        <v>0</v>
      </c>
      <c r="K19" s="39">
        <f>SUM($J18:K18)</f>
        <v>0</v>
      </c>
      <c r="L19" s="39">
        <f>SUM($J18:L18)</f>
        <v>0</v>
      </c>
      <c r="M19" s="39">
        <f>SUM($J18:M18)</f>
        <v>0</v>
      </c>
      <c r="N19" s="39">
        <f>SUM($J18:N18)</f>
        <v>1</v>
      </c>
      <c r="O19" s="40">
        <f>SUM($J18:O18)</f>
        <v>2</v>
      </c>
      <c r="P19" s="40">
        <f>SUM($J18:P18)</f>
        <v>3</v>
      </c>
      <c r="Q19" s="40">
        <f>SUM($J18:Q18)</f>
        <v>4</v>
      </c>
      <c r="R19" s="40">
        <f>SUM($J18:R18)</f>
        <v>5</v>
      </c>
      <c r="S19" s="40">
        <f>SUM($J18:S18)</f>
        <v>6</v>
      </c>
      <c r="T19" s="40">
        <f>SUM($J18:T18)</f>
        <v>7</v>
      </c>
    </row>
    <row r="20" spans="2:20" hidden="1" outlineLevel="3">
      <c r="B20" s="30" t="s">
        <v>481</v>
      </c>
      <c r="C20" s="30"/>
      <c r="D20" s="30"/>
      <c r="E20" s="30"/>
      <c r="F20" s="30"/>
      <c r="G20" s="30"/>
      <c r="H20" s="30"/>
      <c r="I20" s="30"/>
      <c r="J20" s="38">
        <f t="shared" ref="J20:N20" si="6">J9/12</f>
        <v>1</v>
      </c>
      <c r="K20" s="38">
        <f t="shared" si="6"/>
        <v>1</v>
      </c>
      <c r="L20" s="38">
        <f t="shared" si="6"/>
        <v>1</v>
      </c>
      <c r="M20" s="38">
        <f t="shared" si="6"/>
        <v>1</v>
      </c>
      <c r="N20" s="38">
        <f t="shared" si="6"/>
        <v>1</v>
      </c>
      <c r="O20" s="38">
        <f>O9/12</f>
        <v>0.5</v>
      </c>
      <c r="P20" s="38">
        <f t="shared" ref="P20:T20" si="7">P9/12</f>
        <v>1</v>
      </c>
      <c r="Q20" s="38">
        <f t="shared" si="7"/>
        <v>1</v>
      </c>
      <c r="R20" s="38">
        <f t="shared" si="7"/>
        <v>1</v>
      </c>
      <c r="S20" s="38">
        <f t="shared" si="7"/>
        <v>1</v>
      </c>
      <c r="T20" s="38">
        <f t="shared" si="7"/>
        <v>1</v>
      </c>
    </row>
    <row r="21" spans="2:20" hidden="1" outlineLevel="3">
      <c r="B21" s="30"/>
      <c r="C21" s="30"/>
      <c r="D21" s="30"/>
      <c r="E21" s="30"/>
      <c r="F21" s="30"/>
      <c r="G21" s="30"/>
      <c r="H21" s="30"/>
      <c r="I21" s="30"/>
      <c r="J21" s="30"/>
      <c r="K21" s="30"/>
      <c r="L21" s="30"/>
      <c r="M21" s="30"/>
      <c r="N21" s="30"/>
      <c r="O21" s="30"/>
      <c r="P21" s="30"/>
      <c r="Q21" s="30"/>
      <c r="R21" s="30"/>
      <c r="S21" s="30"/>
      <c r="T21" s="30"/>
    </row>
    <row r="22" spans="2:20" s="41" customFormat="1" collapsed="1"/>
    <row r="23" spans="2:20" s="41" customFormat="1" ht="14">
      <c r="B23" s="111" t="s">
        <v>258</v>
      </c>
      <c r="C23" s="47"/>
      <c r="D23" s="47"/>
      <c r="E23" s="47"/>
      <c r="F23" s="47"/>
      <c r="G23" s="47"/>
      <c r="H23" s="47"/>
      <c r="I23" s="47"/>
      <c r="J23" s="47"/>
      <c r="K23" s="47"/>
      <c r="L23" s="47"/>
      <c r="M23" s="47"/>
      <c r="N23" s="47"/>
      <c r="O23" s="47"/>
      <c r="P23" s="47"/>
      <c r="Q23" s="47"/>
      <c r="R23" s="47"/>
      <c r="S23" s="47"/>
      <c r="T23" s="47"/>
    </row>
    <row r="24" spans="2:20" s="41" customFormat="1" ht="5.9" customHeight="1"/>
    <row r="25" spans="2:20" s="41" customFormat="1" ht="14">
      <c r="B25" s="60" t="str">
        <f>GC!F24</f>
        <v>Augmentation</v>
      </c>
    </row>
    <row r="26" spans="2:20" s="41" customFormat="1" ht="5.9" customHeight="1" outlineLevel="1"/>
    <row r="27" spans="2:20" s="41" customFormat="1" hidden="1" outlineLevel="2">
      <c r="C27" s="50" t="s">
        <v>204</v>
      </c>
    </row>
    <row r="28" spans="2:20" s="41" customFormat="1" ht="5.9" hidden="1" customHeight="1" outlineLevel="2"/>
    <row r="29" spans="2:20" s="41" customFormat="1" hidden="1" outlineLevel="2">
      <c r="D29" s="52" t="s">
        <v>103</v>
      </c>
      <c r="J29" s="91">
        <f>Rates!J42</f>
        <v>1</v>
      </c>
      <c r="K29" s="91">
        <f>Rates!K42</f>
        <v>1</v>
      </c>
      <c r="L29" s="91">
        <f>Rates!L42</f>
        <v>1</v>
      </c>
      <c r="M29" s="91">
        <f>Rates!M42</f>
        <v>1</v>
      </c>
      <c r="N29" s="91">
        <f>Rates!N42</f>
        <v>1</v>
      </c>
      <c r="O29" s="91">
        <f>Rates!O42</f>
        <v>1.0051959235721353</v>
      </c>
      <c r="P29" s="91">
        <f>Rates!P42</f>
        <v>1.0102301741405761</v>
      </c>
      <c r="Q29" s="91">
        <f>Rates!Q42</f>
        <v>1.0181072873442809</v>
      </c>
      <c r="R29" s="91">
        <f>Rates!R42</f>
        <v>1.0293150686557422</v>
      </c>
      <c r="S29" s="91">
        <f>Rates!S42</f>
        <v>1.040646230246951</v>
      </c>
      <c r="T29" s="91">
        <f>Rates!T42</f>
        <v>1.0521021303433229</v>
      </c>
    </row>
    <row r="30" spans="2:20" s="41" customFormat="1" hidden="1" outlineLevel="2">
      <c r="D30" s="52" t="s">
        <v>104</v>
      </c>
      <c r="J30" s="91">
        <f>Rates!J43</f>
        <v>1</v>
      </c>
      <c r="K30" s="91">
        <f>Rates!K43</f>
        <v>1</v>
      </c>
      <c r="L30" s="91">
        <f>Rates!L43</f>
        <v>1</v>
      </c>
      <c r="M30" s="91">
        <f>Rates!M43</f>
        <v>1</v>
      </c>
      <c r="N30" s="91">
        <f>Rates!N43</f>
        <v>1</v>
      </c>
      <c r="O30" s="91">
        <f>Rates!O43</f>
        <v>1</v>
      </c>
      <c r="P30" s="91">
        <f>Rates!P43</f>
        <v>1</v>
      </c>
      <c r="Q30" s="91">
        <f>Rates!Q43</f>
        <v>1</v>
      </c>
      <c r="R30" s="91">
        <f>Rates!R43</f>
        <v>1</v>
      </c>
      <c r="S30" s="91">
        <f>Rates!S43</f>
        <v>1</v>
      </c>
      <c r="T30" s="91">
        <f>Rates!T43</f>
        <v>1</v>
      </c>
    </row>
    <row r="31" spans="2:20" s="41" customFormat="1" hidden="1" outlineLevel="2">
      <c r="D31" s="52" t="s">
        <v>130</v>
      </c>
      <c r="J31" s="91">
        <f>Rates!J45</f>
        <v>1</v>
      </c>
      <c r="K31" s="91">
        <f>Rates!K45</f>
        <v>1</v>
      </c>
      <c r="L31" s="91">
        <f>Rates!L45</f>
        <v>1</v>
      </c>
      <c r="M31" s="91">
        <f>Rates!M45</f>
        <v>1</v>
      </c>
      <c r="N31" s="91">
        <f>Rates!N45</f>
        <v>1</v>
      </c>
      <c r="O31" s="91">
        <f>Rates!O45</f>
        <v>1</v>
      </c>
      <c r="P31" s="91">
        <f>Rates!P45</f>
        <v>1</v>
      </c>
      <c r="Q31" s="91">
        <f>Rates!Q45</f>
        <v>1</v>
      </c>
      <c r="R31" s="91">
        <f>Rates!R45</f>
        <v>1</v>
      </c>
      <c r="S31" s="91">
        <f>Rates!S45</f>
        <v>1</v>
      </c>
      <c r="T31" s="91">
        <f>Rates!T45</f>
        <v>1</v>
      </c>
    </row>
    <row r="32" spans="2:20" s="41" customFormat="1" ht="5.9" hidden="1" customHeight="1" outlineLevel="2"/>
    <row r="33" spans="3:20" s="41" customFormat="1" hidden="1" outlineLevel="2">
      <c r="C33" s="50" t="s">
        <v>105</v>
      </c>
    </row>
    <row r="34" spans="3:20" s="41" customFormat="1" ht="5.9" hidden="1" customHeight="1" outlineLevel="2"/>
    <row r="35" spans="3:20" s="41" customFormat="1" hidden="1" outlineLevel="2">
      <c r="D35" s="52" t="s">
        <v>106</v>
      </c>
      <c r="J35" s="122">
        <f>Rates!J50</f>
        <v>6.9591273870889495E-2</v>
      </c>
      <c r="K35" s="122">
        <f>Rates!K50</f>
        <v>7.3934468928182201E-2</v>
      </c>
      <c r="L35" s="122">
        <f>Rates!L50</f>
        <v>7.5085976469407303E-2</v>
      </c>
      <c r="M35" s="122">
        <f>Rates!M50</f>
        <v>8.0103391005934096E-2</v>
      </c>
      <c r="N35" s="122">
        <f>Rates!N50</f>
        <v>3.7711007382937055E-2</v>
      </c>
      <c r="O35" s="122">
        <f>Rates!O50</f>
        <v>3.3283969054706777E-2</v>
      </c>
      <c r="P35" s="122">
        <f>Rates!P50</f>
        <v>2.6752660513445464E-2</v>
      </c>
      <c r="Q35" s="122">
        <f>Rates!Q50</f>
        <v>2.6060587348993774E-2</v>
      </c>
      <c r="R35" s="122">
        <f>Rates!R50</f>
        <v>2.6873005987587139E-2</v>
      </c>
      <c r="S35" s="122">
        <f>Rates!S50</f>
        <v>2.8546178928104012E-2</v>
      </c>
      <c r="T35" s="122">
        <f>Rates!T50</f>
        <v>2.9920378203686534E-2</v>
      </c>
    </row>
    <row r="36" spans="3:20" s="41" customFormat="1" hidden="1" outlineLevel="2">
      <c r="D36" s="52" t="s">
        <v>107</v>
      </c>
      <c r="J36" s="122">
        <f>Rates!J51</f>
        <v>5.5842732834613398E-2</v>
      </c>
      <c r="K36" s="122">
        <f>Rates!K51</f>
        <v>5.16564294790849E-2</v>
      </c>
      <c r="L36" s="122">
        <f>Rates!L51</f>
        <v>6.0535031919173997E-2</v>
      </c>
      <c r="M36" s="122">
        <f>Rates!M51</f>
        <v>7.1630695797579302E-2</v>
      </c>
      <c r="N36" s="122">
        <f>Rates!N51</f>
        <v>7.4343858126268231E-2</v>
      </c>
      <c r="O36" s="122">
        <f>Rates!O51</f>
        <v>7.4059082290758096E-2</v>
      </c>
      <c r="P36" s="122">
        <f>Rates!P51</f>
        <v>2.4388539961794877E-2</v>
      </c>
      <c r="Q36" s="122">
        <f>Rates!Q51</f>
        <v>2.1171310758207256E-2</v>
      </c>
      <c r="R36" s="122">
        <f>Rates!R51</f>
        <v>2.0024144075344485E-2</v>
      </c>
      <c r="S36" s="122">
        <f>Rates!S51</f>
        <v>3.9620009613577346E-2</v>
      </c>
      <c r="T36" s="122">
        <f>Rates!T51</f>
        <v>5.404914337922874E-2</v>
      </c>
    </row>
    <row r="37" spans="3:20" s="41" customFormat="1" hidden="1" outlineLevel="2">
      <c r="D37" s="52" t="s">
        <v>108</v>
      </c>
      <c r="J37" s="122">
        <f>Rates!J52</f>
        <v>0</v>
      </c>
      <c r="K37" s="122">
        <f>Rates!K52</f>
        <v>0</v>
      </c>
      <c r="L37" s="122">
        <f>Rates!L52</f>
        <v>0</v>
      </c>
      <c r="M37" s="122">
        <f>Rates!M52</f>
        <v>0</v>
      </c>
      <c r="N37" s="122">
        <f>Rates!N52</f>
        <v>0</v>
      </c>
      <c r="O37" s="122">
        <f>Rates!O52</f>
        <v>0</v>
      </c>
      <c r="P37" s="122">
        <f>Rates!P52</f>
        <v>0</v>
      </c>
      <c r="Q37" s="122">
        <f>Rates!Q52</f>
        <v>0</v>
      </c>
      <c r="R37" s="122">
        <f>Rates!R52</f>
        <v>0</v>
      </c>
      <c r="S37" s="122">
        <f>Rates!S52</f>
        <v>0</v>
      </c>
      <c r="T37" s="122">
        <f>Rates!T52</f>
        <v>0</v>
      </c>
    </row>
    <row r="38" spans="3:20" s="41" customFormat="1" outlineLevel="1" collapsed="1"/>
    <row r="39" spans="3:20" s="41" customFormat="1" ht="5.9" customHeight="1" outlineLevel="1"/>
    <row r="40" spans="3:20" s="41" customFormat="1" outlineLevel="1">
      <c r="C40" s="50" t="s">
        <v>118</v>
      </c>
    </row>
    <row r="41" spans="3:20" s="41" customFormat="1" ht="5.9" customHeight="1" outlineLevel="1"/>
    <row r="42" spans="3:20" s="41" customFormat="1" outlineLevel="1">
      <c r="D42" s="50" t="s">
        <v>160</v>
      </c>
      <c r="H42" s="123" t="s">
        <v>192</v>
      </c>
    </row>
    <row r="43" spans="3:20" s="41" customFormat="1" ht="5.9" customHeight="1" outlineLevel="1"/>
    <row r="44" spans="3:20" s="41" customFormat="1" outlineLevel="1">
      <c r="D44" s="202" t="str">
        <f>Work_Codes!D319</f>
        <v>City Gate - New</v>
      </c>
      <c r="H44" s="200"/>
      <c r="J44" s="126"/>
      <c r="K44" s="126"/>
      <c r="L44" s="126"/>
      <c r="M44" s="179"/>
      <c r="N44" s="212"/>
      <c r="O44" s="212"/>
      <c r="P44" s="212"/>
      <c r="Q44" s="211"/>
      <c r="R44" s="212"/>
      <c r="S44" s="212"/>
      <c r="T44" s="211"/>
    </row>
    <row r="45" spans="3:20" s="41" customFormat="1" outlineLevel="1">
      <c r="D45" s="202" t="str">
        <f>Work_Codes!D320</f>
        <v>City Gate - Capacity Upgrade</v>
      </c>
      <c r="H45" s="200"/>
      <c r="J45" s="126"/>
      <c r="K45" s="126"/>
      <c r="L45" s="126"/>
      <c r="M45" s="126"/>
      <c r="N45" s="212"/>
      <c r="O45" s="212"/>
      <c r="P45" s="212"/>
      <c r="Q45" s="212"/>
      <c r="R45" s="212"/>
      <c r="S45" s="212"/>
      <c r="T45" s="212"/>
    </row>
    <row r="46" spans="3:20" s="41" customFormat="1" outlineLevel="1">
      <c r="D46" s="202" t="str">
        <f>Work_Codes!D321</f>
        <v>Field Regulator - New</v>
      </c>
      <c r="H46" s="200"/>
      <c r="J46" s="126"/>
      <c r="K46" s="126"/>
      <c r="L46" s="126"/>
      <c r="M46" s="179"/>
      <c r="N46" s="211"/>
      <c r="O46" s="212"/>
      <c r="P46" s="212"/>
      <c r="Q46" s="212"/>
      <c r="R46" s="212"/>
      <c r="S46" s="212"/>
      <c r="T46" s="212"/>
    </row>
    <row r="47" spans="3:20" s="41" customFormat="1" outlineLevel="1">
      <c r="D47" s="202" t="str">
        <f>Work_Codes!D322</f>
        <v>Field Regulator - Capacity Upgrade</v>
      </c>
      <c r="H47" s="200"/>
      <c r="J47" s="126"/>
      <c r="K47" s="126"/>
      <c r="L47" s="126"/>
      <c r="M47" s="126"/>
      <c r="N47" s="211"/>
      <c r="O47" s="212"/>
      <c r="P47" s="212"/>
      <c r="Q47" s="212"/>
      <c r="R47" s="212"/>
      <c r="S47" s="212"/>
      <c r="T47" s="212"/>
    </row>
    <row r="48" spans="3:20" s="41" customFormat="1" outlineLevel="1">
      <c r="D48" s="202" t="str">
        <f>Work_Codes!D323</f>
        <v>Network Reinforcement - Distribution</v>
      </c>
      <c r="H48" s="200"/>
      <c r="J48" s="126"/>
      <c r="K48" s="126"/>
      <c r="L48" s="126"/>
      <c r="M48" s="126"/>
      <c r="N48" s="211"/>
      <c r="O48" s="212"/>
      <c r="P48" s="212"/>
      <c r="Q48" s="212"/>
      <c r="R48" s="212"/>
      <c r="S48" s="212"/>
      <c r="T48" s="212"/>
    </row>
    <row r="49" spans="3:20" s="41" customFormat="1" outlineLevel="1">
      <c r="D49" s="202" t="str">
        <f>Work_Codes!D324</f>
        <v>Network Reinforcement - Transmission</v>
      </c>
      <c r="H49" s="200"/>
      <c r="J49" s="126"/>
      <c r="K49" s="126"/>
      <c r="L49" s="126"/>
      <c r="M49" s="126"/>
      <c r="N49" s="211"/>
      <c r="O49" s="212"/>
      <c r="P49" s="212"/>
      <c r="Q49" s="212"/>
      <c r="R49" s="212"/>
      <c r="S49" s="212"/>
      <c r="T49" s="212"/>
    </row>
    <row r="50" spans="3:20" s="41" customFormat="1" outlineLevel="1">
      <c r="D50" s="202" t="str">
        <f>Work_Codes!D325</f>
        <v>Renewable Gas Augmentation</v>
      </c>
      <c r="H50" s="200"/>
      <c r="J50" s="126"/>
      <c r="K50" s="126"/>
      <c r="L50" s="126"/>
      <c r="M50" s="126"/>
      <c r="N50" s="212"/>
      <c r="O50" s="212"/>
      <c r="P50" s="211"/>
      <c r="Q50" s="218"/>
      <c r="R50" s="219"/>
      <c r="S50" s="219"/>
      <c r="T50" s="219"/>
    </row>
    <row r="51" spans="3:20" s="41" customFormat="1" outlineLevel="1">
      <c r="D51" s="43"/>
      <c r="H51" s="201"/>
      <c r="J51" s="124"/>
      <c r="K51" s="124"/>
      <c r="L51" s="124"/>
      <c r="M51" s="124"/>
      <c r="N51" s="124"/>
      <c r="O51" s="124"/>
      <c r="P51" s="124"/>
      <c r="Q51" s="124"/>
      <c r="R51" s="124"/>
      <c r="S51" s="124"/>
      <c r="T51" s="124"/>
    </row>
    <row r="52" spans="3:20" s="41" customFormat="1" outlineLevel="1">
      <c r="C52" s="50" t="s">
        <v>119</v>
      </c>
    </row>
    <row r="53" spans="3:20" s="41" customFormat="1" ht="5.9" customHeight="1" outlineLevel="1"/>
    <row r="54" spans="3:20" s="41" customFormat="1" outlineLevel="1">
      <c r="D54" s="50" t="str">
        <f>D42</f>
        <v>Capex Category</v>
      </c>
    </row>
    <row r="55" spans="3:20" s="41" customFormat="1" ht="5.9" customHeight="1" outlineLevel="1"/>
    <row r="56" spans="3:20" s="41" customFormat="1" outlineLevel="1">
      <c r="D56" s="202" t="str">
        <f>Work_Codes!D319</f>
        <v>City Gate - New</v>
      </c>
      <c r="J56" s="163"/>
      <c r="K56" s="163"/>
      <c r="L56" s="163"/>
      <c r="M56" s="163"/>
      <c r="N56" s="213"/>
      <c r="O56" s="213"/>
      <c r="P56" s="213"/>
      <c r="Q56" s="213"/>
      <c r="R56" s="213"/>
      <c r="S56" s="213"/>
      <c r="T56" s="213"/>
    </row>
    <row r="57" spans="3:20" s="41" customFormat="1" outlineLevel="1">
      <c r="D57" s="202" t="str">
        <f>Work_Codes!D320</f>
        <v>City Gate - Capacity Upgrade</v>
      </c>
      <c r="J57" s="163"/>
      <c r="K57" s="163"/>
      <c r="L57" s="163"/>
      <c r="M57" s="163"/>
      <c r="N57" s="213"/>
      <c r="O57" s="213"/>
      <c r="P57" s="213"/>
      <c r="Q57" s="213"/>
      <c r="R57" s="213"/>
      <c r="S57" s="213"/>
      <c r="T57" s="213"/>
    </row>
    <row r="58" spans="3:20" s="41" customFormat="1" outlineLevel="1">
      <c r="D58" s="202" t="str">
        <f>Work_Codes!D321</f>
        <v>Field Regulator - New</v>
      </c>
      <c r="J58" s="163"/>
      <c r="K58" s="163"/>
      <c r="L58" s="163"/>
      <c r="M58" s="163"/>
      <c r="N58" s="213"/>
      <c r="O58" s="213"/>
      <c r="P58" s="213"/>
      <c r="Q58" s="213"/>
      <c r="R58" s="213"/>
      <c r="S58" s="213"/>
      <c r="T58" s="213"/>
    </row>
    <row r="59" spans="3:20" s="41" customFormat="1" outlineLevel="1">
      <c r="D59" s="202" t="str">
        <f>Work_Codes!D322</f>
        <v>Field Regulator - Capacity Upgrade</v>
      </c>
      <c r="J59" s="163"/>
      <c r="K59" s="163"/>
      <c r="L59" s="163"/>
      <c r="M59" s="163"/>
      <c r="N59" s="213"/>
      <c r="O59" s="213"/>
      <c r="P59" s="213"/>
      <c r="Q59" s="213"/>
      <c r="R59" s="213"/>
      <c r="S59" s="213"/>
      <c r="T59" s="213"/>
    </row>
    <row r="60" spans="3:20" s="41" customFormat="1" outlineLevel="1">
      <c r="D60" s="202" t="str">
        <f>Work_Codes!D323</f>
        <v>Network Reinforcement - Distribution</v>
      </c>
      <c r="J60" s="163"/>
      <c r="K60" s="163"/>
      <c r="L60" s="163"/>
      <c r="M60" s="163"/>
      <c r="N60" s="213"/>
      <c r="O60" s="213"/>
      <c r="P60" s="213"/>
      <c r="Q60" s="213"/>
      <c r="R60" s="213"/>
      <c r="S60" s="213"/>
      <c r="T60" s="213"/>
    </row>
    <row r="61" spans="3:20" s="41" customFormat="1" outlineLevel="1">
      <c r="D61" s="202" t="str">
        <f>Work_Codes!D324</f>
        <v>Network Reinforcement - Transmission</v>
      </c>
      <c r="J61" s="163"/>
      <c r="K61" s="163"/>
      <c r="L61" s="163"/>
      <c r="M61" s="163"/>
      <c r="N61" s="213"/>
      <c r="O61" s="213"/>
      <c r="P61" s="213"/>
      <c r="Q61" s="213"/>
      <c r="R61" s="213"/>
      <c r="S61" s="213"/>
      <c r="T61" s="213"/>
    </row>
    <row r="62" spans="3:20" s="41" customFormat="1" outlineLevel="1">
      <c r="D62" s="202" t="str">
        <f>Work_Codes!D325</f>
        <v>Renewable Gas Augmentation</v>
      </c>
      <c r="J62" s="163"/>
      <c r="K62" s="163"/>
      <c r="L62" s="163"/>
      <c r="M62" s="163"/>
      <c r="N62" s="213"/>
      <c r="O62" s="213"/>
      <c r="P62" s="213"/>
      <c r="Q62" s="213"/>
      <c r="R62" s="213"/>
      <c r="S62" s="213"/>
      <c r="T62" s="213"/>
    </row>
    <row r="63" spans="3:20" s="41" customFormat="1" outlineLevel="1"/>
    <row r="64" spans="3:20" s="41" customFormat="1" outlineLevel="1">
      <c r="C64" s="50" t="s">
        <v>193</v>
      </c>
    </row>
    <row r="65" spans="3:20" s="41" customFormat="1" ht="5.9" customHeight="1" outlineLevel="1"/>
    <row r="66" spans="3:20" s="41" customFormat="1" outlineLevel="1">
      <c r="D66" s="50" t="str">
        <f>D42</f>
        <v>Capex Category</v>
      </c>
    </row>
    <row r="67" spans="3:20" s="41" customFormat="1" ht="5.9" customHeight="1" outlineLevel="1"/>
    <row r="68" spans="3:20" s="41" customFormat="1" outlineLevel="1">
      <c r="D68" s="202" t="str">
        <f>Work_Codes!D319</f>
        <v>City Gate - New</v>
      </c>
      <c r="J68" s="80">
        <v>0</v>
      </c>
      <c r="K68" s="80">
        <v>0</v>
      </c>
      <c r="L68" s="80">
        <v>0</v>
      </c>
      <c r="M68" s="80">
        <v>0</v>
      </c>
      <c r="N68" s="80">
        <v>201877.70647874509</v>
      </c>
      <c r="O68" s="80">
        <v>0</v>
      </c>
      <c r="P68" s="80">
        <v>0</v>
      </c>
      <c r="Q68" s="80">
        <v>2985000</v>
      </c>
      <c r="R68" s="80">
        <v>0</v>
      </c>
      <c r="S68" s="80">
        <v>0</v>
      </c>
      <c r="T68" s="80">
        <v>2985000</v>
      </c>
    </row>
    <row r="69" spans="3:20" s="41" customFormat="1" outlineLevel="1">
      <c r="D69" s="202" t="str">
        <f>Work_Codes!D320</f>
        <v>City Gate - Capacity Upgrade</v>
      </c>
      <c r="J69" s="80">
        <v>0</v>
      </c>
      <c r="K69" s="80">
        <v>0</v>
      </c>
      <c r="L69" s="80">
        <v>0</v>
      </c>
      <c r="M69" s="80">
        <v>0</v>
      </c>
      <c r="N69" s="80">
        <v>0</v>
      </c>
      <c r="O69" s="80">
        <v>0</v>
      </c>
      <c r="P69" s="80">
        <v>990000</v>
      </c>
      <c r="Q69" s="80">
        <v>0</v>
      </c>
      <c r="R69" s="80">
        <v>0</v>
      </c>
      <c r="S69" s="80">
        <v>0</v>
      </c>
      <c r="T69" s="80">
        <v>0</v>
      </c>
    </row>
    <row r="70" spans="3:20" s="41" customFormat="1" outlineLevel="1">
      <c r="D70" s="202" t="str">
        <f>Work_Codes!D321</f>
        <v>Field Regulator - New</v>
      </c>
      <c r="J70" s="80">
        <v>0</v>
      </c>
      <c r="K70" s="80">
        <v>0</v>
      </c>
      <c r="L70" s="80">
        <v>0</v>
      </c>
      <c r="M70" s="80">
        <v>0</v>
      </c>
      <c r="N70" s="80">
        <v>201877.70647874509</v>
      </c>
      <c r="O70" s="80">
        <v>0</v>
      </c>
      <c r="P70" s="80">
        <v>0</v>
      </c>
      <c r="Q70" s="80">
        <v>0</v>
      </c>
      <c r="R70" s="80">
        <v>0</v>
      </c>
      <c r="S70" s="80">
        <v>0</v>
      </c>
      <c r="T70" s="80">
        <v>0</v>
      </c>
    </row>
    <row r="71" spans="3:20" s="41" customFormat="1" outlineLevel="1">
      <c r="D71" s="202" t="str">
        <f>Work_Codes!D322</f>
        <v>Field Regulator - Capacity Upgrade</v>
      </c>
      <c r="J71" s="80">
        <v>0</v>
      </c>
      <c r="K71" s="80">
        <v>0</v>
      </c>
      <c r="L71" s="80">
        <v>0</v>
      </c>
      <c r="M71" s="80">
        <v>0</v>
      </c>
      <c r="N71" s="80">
        <v>249823.54931941259</v>
      </c>
      <c r="O71" s="80">
        <v>247500</v>
      </c>
      <c r="P71" s="80">
        <v>250000</v>
      </c>
      <c r="Q71" s="80">
        <v>0</v>
      </c>
      <c r="R71" s="80">
        <v>0</v>
      </c>
      <c r="S71" s="80">
        <v>0</v>
      </c>
      <c r="T71" s="80">
        <v>0</v>
      </c>
    </row>
    <row r="72" spans="3:20" s="41" customFormat="1" outlineLevel="1">
      <c r="D72" s="202" t="str">
        <f>Work_Codes!D323</f>
        <v>Network Reinforcement - Distribution</v>
      </c>
      <c r="J72" s="80">
        <v>0</v>
      </c>
      <c r="K72" s="80">
        <v>0</v>
      </c>
      <c r="L72" s="80">
        <v>0</v>
      </c>
      <c r="M72" s="80">
        <v>0</v>
      </c>
      <c r="N72" s="80">
        <v>2278161.2611408299</v>
      </c>
      <c r="O72" s="80">
        <v>2000000</v>
      </c>
      <c r="P72" s="80">
        <v>3387000</v>
      </c>
      <c r="Q72" s="80">
        <v>3120000</v>
      </c>
      <c r="R72" s="80">
        <v>1036000</v>
      </c>
      <c r="S72" s="80">
        <v>1980000</v>
      </c>
      <c r="T72" s="80">
        <v>2400000</v>
      </c>
    </row>
    <row r="73" spans="3:20" s="41" customFormat="1" outlineLevel="1">
      <c r="D73" s="202" t="str">
        <f>Work_Codes!D324</f>
        <v>Network Reinforcement - Transmission</v>
      </c>
      <c r="J73" s="80">
        <v>0</v>
      </c>
      <c r="K73" s="80">
        <v>0</v>
      </c>
      <c r="L73" s="80">
        <v>0</v>
      </c>
      <c r="M73" s="80">
        <v>0</v>
      </c>
      <c r="N73" s="80">
        <v>658135.47544068424</v>
      </c>
      <c r="O73" s="80">
        <v>250000</v>
      </c>
      <c r="P73" s="80">
        <v>0</v>
      </c>
      <c r="Q73" s="80">
        <v>0</v>
      </c>
      <c r="R73" s="80">
        <v>2350000</v>
      </c>
      <c r="S73" s="80">
        <v>0</v>
      </c>
      <c r="T73" s="80">
        <v>0</v>
      </c>
    </row>
    <row r="74" spans="3:20" s="41" customFormat="1" outlineLevel="1">
      <c r="D74" s="202" t="str">
        <f>Work_Codes!D325</f>
        <v>Renewable Gas Augmentation</v>
      </c>
      <c r="J74" s="80">
        <v>0</v>
      </c>
      <c r="K74" s="80">
        <v>0</v>
      </c>
      <c r="L74" s="80">
        <v>0</v>
      </c>
      <c r="M74" s="80">
        <v>0</v>
      </c>
      <c r="N74" s="80">
        <v>0</v>
      </c>
      <c r="O74" s="80">
        <v>0</v>
      </c>
      <c r="P74" s="80">
        <v>0</v>
      </c>
      <c r="Q74" s="80">
        <v>0</v>
      </c>
      <c r="R74" s="80">
        <v>0</v>
      </c>
      <c r="S74" s="80">
        <v>0</v>
      </c>
      <c r="T74" s="80">
        <v>0</v>
      </c>
    </row>
    <row r="75" spans="3:20" s="41" customFormat="1" ht="5.9" customHeight="1" outlineLevel="1">
      <c r="D75" s="50"/>
      <c r="J75" s="79"/>
      <c r="K75" s="79"/>
      <c r="L75" s="79"/>
      <c r="M75" s="79"/>
      <c r="N75" s="79"/>
      <c r="O75" s="79"/>
      <c r="P75" s="79"/>
      <c r="Q75" s="79"/>
      <c r="R75" s="79"/>
      <c r="S75" s="79"/>
      <c r="T75" s="79"/>
    </row>
    <row r="76" spans="3:20" s="41" customFormat="1" outlineLevel="1">
      <c r="D76" s="250" t="str">
        <f>"Total "&amp;B25</f>
        <v>Total Augmentation</v>
      </c>
      <c r="E76" s="250"/>
      <c r="F76" s="250"/>
      <c r="G76" s="250"/>
      <c r="H76" s="250"/>
      <c r="I76" s="250"/>
      <c r="J76" s="101">
        <f t="shared" ref="J76:T76" si="8">SUM(J68:J75)</f>
        <v>0</v>
      </c>
      <c r="K76" s="101">
        <f t="shared" si="8"/>
        <v>0</v>
      </c>
      <c r="L76" s="101">
        <f t="shared" si="8"/>
        <v>0</v>
      </c>
      <c r="M76" s="101">
        <f t="shared" si="8"/>
        <v>0</v>
      </c>
      <c r="N76" s="101">
        <f t="shared" si="8"/>
        <v>3589875.6988584171</v>
      </c>
      <c r="O76" s="101">
        <f t="shared" si="8"/>
        <v>2497500</v>
      </c>
      <c r="P76" s="101">
        <f t="shared" si="8"/>
        <v>4627000</v>
      </c>
      <c r="Q76" s="101">
        <f t="shared" si="8"/>
        <v>6105000</v>
      </c>
      <c r="R76" s="101">
        <f t="shared" si="8"/>
        <v>3386000</v>
      </c>
      <c r="S76" s="101">
        <f t="shared" si="8"/>
        <v>1980000</v>
      </c>
      <c r="T76" s="101">
        <f t="shared" si="8"/>
        <v>5385000</v>
      </c>
    </row>
    <row r="77" spans="3:20" s="41" customFormat="1" outlineLevel="1"/>
    <row r="78" spans="3:20" s="41" customFormat="1" outlineLevel="1">
      <c r="C78" s="50" t="s">
        <v>286</v>
      </c>
    </row>
    <row r="79" spans="3:20" s="41" customFormat="1" ht="5.9" customHeight="1" outlineLevel="1"/>
    <row r="80" spans="3:20" s="41" customFormat="1" outlineLevel="1">
      <c r="D80" s="202" t="str">
        <f>Work_Codes!D329</f>
        <v>Customer Contributions Category 1</v>
      </c>
      <c r="J80" s="154">
        <v>0</v>
      </c>
      <c r="K80" s="154">
        <v>0</v>
      </c>
      <c r="L80" s="154">
        <v>0</v>
      </c>
      <c r="M80" s="154">
        <v>0</v>
      </c>
      <c r="N80" s="154">
        <v>0</v>
      </c>
      <c r="O80" s="154">
        <v>0</v>
      </c>
      <c r="P80" s="154">
        <v>0</v>
      </c>
      <c r="Q80" s="154">
        <v>0</v>
      </c>
      <c r="R80" s="154">
        <v>0</v>
      </c>
      <c r="S80" s="154">
        <v>0</v>
      </c>
      <c r="T80" s="154">
        <v>0</v>
      </c>
    </row>
    <row r="81" spans="3:20" s="41" customFormat="1" ht="5.9" customHeight="1" outlineLevel="1"/>
    <row r="82" spans="3:20" s="41" customFormat="1" outlineLevel="1">
      <c r="D82" s="250" t="str">
        <f>"Total "&amp;C78</f>
        <v>Total Customer Connections</v>
      </c>
      <c r="E82" s="250"/>
      <c r="F82" s="250"/>
      <c r="G82" s="250"/>
      <c r="H82" s="250"/>
      <c r="I82" s="250"/>
      <c r="J82" s="101">
        <f t="shared" ref="J82:T82" si="9">SUM(J80:J81)</f>
        <v>0</v>
      </c>
      <c r="K82" s="101">
        <f t="shared" si="9"/>
        <v>0</v>
      </c>
      <c r="L82" s="101">
        <f t="shared" si="9"/>
        <v>0</v>
      </c>
      <c r="M82" s="101">
        <f t="shared" si="9"/>
        <v>0</v>
      </c>
      <c r="N82" s="101">
        <f t="shared" si="9"/>
        <v>0</v>
      </c>
      <c r="O82" s="101">
        <f t="shared" si="9"/>
        <v>0</v>
      </c>
      <c r="P82" s="101">
        <f t="shared" si="9"/>
        <v>0</v>
      </c>
      <c r="Q82" s="101">
        <f t="shared" si="9"/>
        <v>0</v>
      </c>
      <c r="R82" s="101">
        <f t="shared" si="9"/>
        <v>0</v>
      </c>
      <c r="S82" s="101">
        <f t="shared" si="9"/>
        <v>0</v>
      </c>
      <c r="T82" s="101">
        <f t="shared" si="9"/>
        <v>0</v>
      </c>
    </row>
    <row r="83" spans="3:20" s="41" customFormat="1" outlineLevel="1">
      <c r="C83" s="109"/>
      <c r="D83" s="109"/>
      <c r="E83" s="109"/>
      <c r="F83" s="109"/>
      <c r="G83" s="109"/>
      <c r="H83" s="109"/>
      <c r="I83" s="109"/>
      <c r="J83" s="109"/>
      <c r="K83" s="109"/>
      <c r="L83" s="109"/>
      <c r="M83" s="109"/>
      <c r="N83" s="109"/>
      <c r="O83" s="109"/>
      <c r="P83" s="109"/>
      <c r="Q83" s="109"/>
      <c r="R83" s="109"/>
      <c r="S83" s="109"/>
      <c r="T83" s="109"/>
    </row>
    <row r="84" spans="3:20" s="41" customFormat="1" outlineLevel="1"/>
    <row r="85" spans="3:20" s="41" customFormat="1" outlineLevel="1">
      <c r="C85" s="50" t="s">
        <v>213</v>
      </c>
    </row>
    <row r="86" spans="3:20" s="41" customFormat="1" ht="5.9" hidden="1" customHeight="1" outlineLevel="2"/>
    <row r="87" spans="3:20" s="41" customFormat="1" hidden="1" outlineLevel="2">
      <c r="C87" s="50" t="s">
        <v>128</v>
      </c>
    </row>
    <row r="88" spans="3:20" s="41" customFormat="1" ht="5.9" hidden="1" customHeight="1" outlineLevel="2"/>
    <row r="89" spans="3:20" s="41" customFormat="1" hidden="1" outlineLevel="2">
      <c r="D89" s="202" t="str">
        <f>Work_Codes!D319</f>
        <v>City Gate - New</v>
      </c>
      <c r="J89" s="80">
        <f>Work_Codes!$I319*J68*J$29</f>
        <v>0</v>
      </c>
      <c r="K89" s="80">
        <f>Work_Codes!$I319*K68*K$29</f>
        <v>0</v>
      </c>
      <c r="L89" s="80">
        <f>Work_Codes!$I319*L68*L$29</f>
        <v>0</v>
      </c>
      <c r="M89" s="80">
        <f>Work_Codes!$I319*M68*M$29</f>
        <v>0</v>
      </c>
      <c r="N89" s="80">
        <f>Work_Codes!$I319*N68*N$29</f>
        <v>6056.331194362353</v>
      </c>
      <c r="O89" s="80">
        <f>Work_Codes!$I319*O68*O$29</f>
        <v>0</v>
      </c>
      <c r="P89" s="80">
        <f>Work_Codes!$I319*P68*P$29</f>
        <v>0</v>
      </c>
      <c r="Q89" s="80">
        <f>Work_Codes!$I319*Q68*Q$29</f>
        <v>91171.507581680358</v>
      </c>
      <c r="R89" s="80">
        <f>Work_Codes!$I319*R68*R$29</f>
        <v>0</v>
      </c>
      <c r="S89" s="80">
        <f>Work_Codes!$I319*S68*S$29</f>
        <v>0</v>
      </c>
      <c r="T89" s="80">
        <f>Work_Codes!$I319*T68*T$29</f>
        <v>94215.745772244569</v>
      </c>
    </row>
    <row r="90" spans="3:20" s="41" customFormat="1" hidden="1" outlineLevel="2">
      <c r="D90" s="202" t="str">
        <f>Work_Codes!D320</f>
        <v>City Gate - Capacity Upgrade</v>
      </c>
      <c r="J90" s="80">
        <f>Work_Codes!$I320*J69*J$29</f>
        <v>0</v>
      </c>
      <c r="K90" s="80">
        <f>Work_Codes!$I320*K69*K$29</f>
        <v>0</v>
      </c>
      <c r="L90" s="80">
        <f>Work_Codes!$I320*L69*L$29</f>
        <v>0</v>
      </c>
      <c r="M90" s="80">
        <f>Work_Codes!$I320*M69*M$29</f>
        <v>0</v>
      </c>
      <c r="N90" s="80">
        <f>Work_Codes!$I320*N69*N$29</f>
        <v>0</v>
      </c>
      <c r="O90" s="80">
        <f>Work_Codes!$I320*O69*O$29</f>
        <v>0</v>
      </c>
      <c r="P90" s="80">
        <f>Work_Codes!$I320*P69*P$29</f>
        <v>30003.836171975112</v>
      </c>
      <c r="Q90" s="80">
        <f>Work_Codes!$I320*Q69*Q$29</f>
        <v>0</v>
      </c>
      <c r="R90" s="80">
        <f>Work_Codes!$I320*R69*R$29</f>
        <v>0</v>
      </c>
      <c r="S90" s="80">
        <f>Work_Codes!$I320*S69*S$29</f>
        <v>0</v>
      </c>
      <c r="T90" s="80">
        <f>Work_Codes!$I320*T69*T$29</f>
        <v>0</v>
      </c>
    </row>
    <row r="91" spans="3:20" s="41" customFormat="1" hidden="1" outlineLevel="2">
      <c r="D91" s="202" t="str">
        <f>Work_Codes!D321</f>
        <v>Field Regulator - New</v>
      </c>
      <c r="J91" s="80">
        <f>Work_Codes!$I321*J70*J$29</f>
        <v>0</v>
      </c>
      <c r="K91" s="80">
        <f>Work_Codes!$I321*K70*K$29</f>
        <v>0</v>
      </c>
      <c r="L91" s="80">
        <f>Work_Codes!$I321*L70*L$29</f>
        <v>0</v>
      </c>
      <c r="M91" s="80">
        <f>Work_Codes!$I321*M70*M$29</f>
        <v>0</v>
      </c>
      <c r="N91" s="80">
        <f>Work_Codes!$I321*N70*N$29</f>
        <v>6056.331194362353</v>
      </c>
      <c r="O91" s="80">
        <f>Work_Codes!$I321*O70*O$29</f>
        <v>0</v>
      </c>
      <c r="P91" s="80">
        <f>Work_Codes!$I321*P70*P$29</f>
        <v>0</v>
      </c>
      <c r="Q91" s="80">
        <f>Work_Codes!$I321*Q70*Q$29</f>
        <v>0</v>
      </c>
      <c r="R91" s="80">
        <f>Work_Codes!$I321*R70*R$29</f>
        <v>0</v>
      </c>
      <c r="S91" s="80">
        <f>Work_Codes!$I321*S70*S$29</f>
        <v>0</v>
      </c>
      <c r="T91" s="80">
        <f>Work_Codes!$I321*T70*T$29</f>
        <v>0</v>
      </c>
    </row>
    <row r="92" spans="3:20" s="41" customFormat="1" hidden="1" outlineLevel="2">
      <c r="D92" s="202" t="str">
        <f>Work_Codes!D322</f>
        <v>Field Regulator - Capacity Upgrade</v>
      </c>
      <c r="J92" s="80">
        <f>Work_Codes!$I322*J71*J$29</f>
        <v>0</v>
      </c>
      <c r="K92" s="80">
        <f>Work_Codes!$I322*K71*K$29</f>
        <v>0</v>
      </c>
      <c r="L92" s="80">
        <f>Work_Codes!$I322*L71*L$29</f>
        <v>0</v>
      </c>
      <c r="M92" s="80">
        <f>Work_Codes!$I322*M71*M$29</f>
        <v>0</v>
      </c>
      <c r="N92" s="80">
        <f>Work_Codes!$I322*N71*N$29</f>
        <v>7494.7064795823771</v>
      </c>
      <c r="O92" s="80">
        <f>Work_Codes!$I322*O71*O$29</f>
        <v>7463.5797325231042</v>
      </c>
      <c r="P92" s="80">
        <f>Work_Codes!$I322*P71*P$29</f>
        <v>7576.726306054321</v>
      </c>
      <c r="Q92" s="80">
        <f>Work_Codes!$I322*Q71*Q$29</f>
        <v>0</v>
      </c>
      <c r="R92" s="80">
        <f>Work_Codes!$I322*R71*R$29</f>
        <v>0</v>
      </c>
      <c r="S92" s="80">
        <f>Work_Codes!$I322*S71*S$29</f>
        <v>0</v>
      </c>
      <c r="T92" s="80">
        <f>Work_Codes!$I322*T71*T$29</f>
        <v>0</v>
      </c>
    </row>
    <row r="93" spans="3:20" s="41" customFormat="1" hidden="1" outlineLevel="2">
      <c r="D93" s="202" t="str">
        <f>Work_Codes!D323</f>
        <v>Network Reinforcement - Distribution</v>
      </c>
      <c r="J93" s="80">
        <f>Work_Codes!$I323*J72*J$29</f>
        <v>0</v>
      </c>
      <c r="K93" s="80">
        <f>Work_Codes!$I323*K72*K$29</f>
        <v>0</v>
      </c>
      <c r="L93" s="80">
        <f>Work_Codes!$I323*L72*L$29</f>
        <v>0</v>
      </c>
      <c r="M93" s="80">
        <f>Work_Codes!$I323*M72*M$29</f>
        <v>0</v>
      </c>
      <c r="N93" s="80">
        <f>Work_Codes!$I323*N72*N$29</f>
        <v>91126.450445633192</v>
      </c>
      <c r="O93" s="80">
        <f>Work_Codes!$I323*O72*O$29</f>
        <v>80415.673885770826</v>
      </c>
      <c r="P93" s="80">
        <f>Work_Codes!$I323*P72*P$29</f>
        <v>136865.98399256525</v>
      </c>
      <c r="Q93" s="80">
        <f>Work_Codes!$I323*Q72*Q$29</f>
        <v>127059.78946056626</v>
      </c>
      <c r="R93" s="80">
        <f>Work_Codes!$I323*R72*R$29</f>
        <v>42654.816445093958</v>
      </c>
      <c r="S93" s="80">
        <f>Work_Codes!$I323*S72*S$29</f>
        <v>82419.181435558523</v>
      </c>
      <c r="T93" s="80">
        <f>Work_Codes!$I323*T72*T$29</f>
        <v>101001.804512959</v>
      </c>
    </row>
    <row r="94" spans="3:20" s="41" customFormat="1" hidden="1" outlineLevel="2">
      <c r="D94" s="202" t="str">
        <f>Work_Codes!D324</f>
        <v>Network Reinforcement - Transmission</v>
      </c>
      <c r="J94" s="80">
        <f>Work_Codes!$I324*J73*J$29</f>
        <v>0</v>
      </c>
      <c r="K94" s="80">
        <f>Work_Codes!$I324*K73*K$29</f>
        <v>0</v>
      </c>
      <c r="L94" s="80">
        <f>Work_Codes!$I324*L73*L$29</f>
        <v>0</v>
      </c>
      <c r="M94" s="80">
        <f>Work_Codes!$I324*M73*M$29</f>
        <v>0</v>
      </c>
      <c r="N94" s="80">
        <f>Work_Codes!$I324*N73*N$29</f>
        <v>26325.41901762737</v>
      </c>
      <c r="O94" s="80">
        <f>Work_Codes!$I324*O73*O$29</f>
        <v>10051.959235721353</v>
      </c>
      <c r="P94" s="80">
        <f>Work_Codes!$I324*P73*P$29</f>
        <v>0</v>
      </c>
      <c r="Q94" s="80">
        <f>Work_Codes!$I324*Q73*Q$29</f>
        <v>0</v>
      </c>
      <c r="R94" s="80">
        <f>Work_Codes!$I324*R73*R$29</f>
        <v>96755.61645363977</v>
      </c>
      <c r="S94" s="80">
        <f>Work_Codes!$I324*S73*S$29</f>
        <v>0</v>
      </c>
      <c r="T94" s="80">
        <f>Work_Codes!$I324*T73*T$29</f>
        <v>0</v>
      </c>
    </row>
    <row r="95" spans="3:20" s="41" customFormat="1" hidden="1" outlineLevel="2">
      <c r="D95" s="202" t="str">
        <f>Work_Codes!D325</f>
        <v>Renewable Gas Augmentation</v>
      </c>
      <c r="J95" s="80">
        <f>Work_Codes!$I325*J74*J$29</f>
        <v>0</v>
      </c>
      <c r="K95" s="80">
        <f>Work_Codes!$I325*K74*K$29</f>
        <v>0</v>
      </c>
      <c r="L95" s="80">
        <f>Work_Codes!$I325*L74*L$29</f>
        <v>0</v>
      </c>
      <c r="M95" s="80">
        <f>Work_Codes!$I325*M74*M$29</f>
        <v>0</v>
      </c>
      <c r="N95" s="80">
        <f>Work_Codes!$I325*N74*N$29</f>
        <v>0</v>
      </c>
      <c r="O95" s="80">
        <f>Work_Codes!$I325*O74*O$29</f>
        <v>0</v>
      </c>
      <c r="P95" s="80">
        <f>Work_Codes!$I325*P74*P$29</f>
        <v>0</v>
      </c>
      <c r="Q95" s="80">
        <f>Work_Codes!$I325*Q74*Q$29</f>
        <v>0</v>
      </c>
      <c r="R95" s="80">
        <f>Work_Codes!$I325*R74*R$29</f>
        <v>0</v>
      </c>
      <c r="S95" s="80">
        <f>Work_Codes!$I325*S74*S$29</f>
        <v>0</v>
      </c>
      <c r="T95" s="80">
        <f>Work_Codes!$I325*T74*T$29</f>
        <v>0</v>
      </c>
    </row>
    <row r="96" spans="3:20" ht="5.9" hidden="1" customHeight="1" outlineLevel="2"/>
    <row r="97" spans="3:20" hidden="1" outlineLevel="2">
      <c r="D97" s="249" t="str">
        <f>"Total "&amp;C87</f>
        <v>Total Internal Labour</v>
      </c>
      <c r="E97" s="249"/>
      <c r="F97" s="249"/>
      <c r="G97" s="249"/>
      <c r="H97" s="249"/>
      <c r="I97" s="249"/>
      <c r="J97" s="82">
        <f t="shared" ref="J97:T97" si="10">SUM(J89:J96)</f>
        <v>0</v>
      </c>
      <c r="K97" s="82">
        <f t="shared" si="10"/>
        <v>0</v>
      </c>
      <c r="L97" s="82">
        <f t="shared" si="10"/>
        <v>0</v>
      </c>
      <c r="M97" s="82">
        <f t="shared" si="10"/>
        <v>0</v>
      </c>
      <c r="N97" s="82">
        <f t="shared" si="10"/>
        <v>137059.23833156764</v>
      </c>
      <c r="O97" s="82">
        <f t="shared" si="10"/>
        <v>97931.212854015292</v>
      </c>
      <c r="P97" s="82">
        <f t="shared" si="10"/>
        <v>174446.54647059468</v>
      </c>
      <c r="Q97" s="82">
        <f t="shared" si="10"/>
        <v>218231.29704224662</v>
      </c>
      <c r="R97" s="82">
        <f t="shared" si="10"/>
        <v>139410.43289873374</v>
      </c>
      <c r="S97" s="82">
        <f t="shared" si="10"/>
        <v>82419.181435558523</v>
      </c>
      <c r="T97" s="82">
        <f t="shared" si="10"/>
        <v>195217.55028520356</v>
      </c>
    </row>
    <row r="98" spans="3:20" hidden="1" outlineLevel="2"/>
    <row r="99" spans="3:20" hidden="1" outlineLevel="2">
      <c r="C99" s="37" t="s">
        <v>129</v>
      </c>
    </row>
    <row r="100" spans="3:20" ht="5.9" hidden="1" customHeight="1" outlineLevel="2"/>
    <row r="101" spans="3:20" hidden="1" outlineLevel="2">
      <c r="D101" s="102" t="str">
        <f>Work_Codes!D319</f>
        <v>City Gate - New</v>
      </c>
      <c r="J101" s="81">
        <f>Work_Codes!$J319*J68*J$30</f>
        <v>0</v>
      </c>
      <c r="K101" s="81">
        <f>Work_Codes!$J319*K68*K$30</f>
        <v>0</v>
      </c>
      <c r="L101" s="81">
        <f>Work_Codes!$J319*L68*L$30</f>
        <v>0</v>
      </c>
      <c r="M101" s="81">
        <f>Work_Codes!$J319*M68*M$30</f>
        <v>0</v>
      </c>
      <c r="N101" s="81">
        <f>Work_Codes!$J319*N68*N$30</f>
        <v>115070.2926928847</v>
      </c>
      <c r="O101" s="81">
        <f>Work_Codes!$J319*O68*O$30</f>
        <v>0</v>
      </c>
      <c r="P101" s="81">
        <f>Work_Codes!$J319*P68*P$30</f>
        <v>0</v>
      </c>
      <c r="Q101" s="81">
        <f>Work_Codes!$J319*Q68*Q$30</f>
        <v>1701449.9999999998</v>
      </c>
      <c r="R101" s="81">
        <f>Work_Codes!$J319*R68*R$30</f>
        <v>0</v>
      </c>
      <c r="S101" s="81">
        <f>Work_Codes!$J319*S68*S$30</f>
        <v>0</v>
      </c>
      <c r="T101" s="81">
        <f>Work_Codes!$J319*T68*T$30</f>
        <v>1701449.9999999998</v>
      </c>
    </row>
    <row r="102" spans="3:20" hidden="1" outlineLevel="2">
      <c r="D102" s="102" t="str">
        <f>Work_Codes!D320</f>
        <v>City Gate - Capacity Upgrade</v>
      </c>
      <c r="J102" s="81">
        <f>Work_Codes!$J320*J69*J$30</f>
        <v>0</v>
      </c>
      <c r="K102" s="81">
        <f>Work_Codes!$J320*K69*K$30</f>
        <v>0</v>
      </c>
      <c r="L102" s="81">
        <f>Work_Codes!$J320*L69*L$30</f>
        <v>0</v>
      </c>
      <c r="M102" s="81">
        <f>Work_Codes!$J320*M69*M$30</f>
        <v>0</v>
      </c>
      <c r="N102" s="81">
        <f>Work_Codes!$J320*N69*N$30</f>
        <v>0</v>
      </c>
      <c r="O102" s="81">
        <f>Work_Codes!$J320*O69*O$30</f>
        <v>0</v>
      </c>
      <c r="P102" s="81">
        <f>Work_Codes!$J320*P69*P$30</f>
        <v>564300</v>
      </c>
      <c r="Q102" s="81">
        <f>Work_Codes!$J320*Q69*Q$30</f>
        <v>0</v>
      </c>
      <c r="R102" s="81">
        <f>Work_Codes!$J320*R69*R$30</f>
        <v>0</v>
      </c>
      <c r="S102" s="81">
        <f>Work_Codes!$J320*S69*S$30</f>
        <v>0</v>
      </c>
      <c r="T102" s="81">
        <f>Work_Codes!$J320*T69*T$30</f>
        <v>0</v>
      </c>
    </row>
    <row r="103" spans="3:20" hidden="1" outlineLevel="2">
      <c r="D103" s="102" t="str">
        <f>Work_Codes!D321</f>
        <v>Field Regulator - New</v>
      </c>
      <c r="J103" s="81">
        <f>Work_Codes!$J321*J70*J$30</f>
        <v>0</v>
      </c>
      <c r="K103" s="81">
        <f>Work_Codes!$J321*K70*K$30</f>
        <v>0</v>
      </c>
      <c r="L103" s="81">
        <f>Work_Codes!$J321*L70*L$30</f>
        <v>0</v>
      </c>
      <c r="M103" s="81">
        <f>Work_Codes!$J321*M70*M$30</f>
        <v>0</v>
      </c>
      <c r="N103" s="81">
        <f>Work_Codes!$J321*N70*N$30</f>
        <v>115070.2926928847</v>
      </c>
      <c r="O103" s="81">
        <f>Work_Codes!$J321*O70*O$30</f>
        <v>0</v>
      </c>
      <c r="P103" s="81">
        <f>Work_Codes!$J321*P70*P$30</f>
        <v>0</v>
      </c>
      <c r="Q103" s="81">
        <f>Work_Codes!$J321*Q70*Q$30</f>
        <v>0</v>
      </c>
      <c r="R103" s="81">
        <f>Work_Codes!$J321*R70*R$30</f>
        <v>0</v>
      </c>
      <c r="S103" s="81">
        <f>Work_Codes!$J321*S70*S$30</f>
        <v>0</v>
      </c>
      <c r="T103" s="81">
        <f>Work_Codes!$J321*T70*T$30</f>
        <v>0</v>
      </c>
    </row>
    <row r="104" spans="3:20" hidden="1" outlineLevel="2">
      <c r="D104" s="102" t="str">
        <f>Work_Codes!D322</f>
        <v>Field Regulator - Capacity Upgrade</v>
      </c>
      <c r="J104" s="81">
        <f>Work_Codes!$J322*J71*J$30</f>
        <v>0</v>
      </c>
      <c r="K104" s="81">
        <f>Work_Codes!$J322*K71*K$30</f>
        <v>0</v>
      </c>
      <c r="L104" s="81">
        <f>Work_Codes!$J322*L71*L$30</f>
        <v>0</v>
      </c>
      <c r="M104" s="81">
        <f>Work_Codes!$J322*M71*M$30</f>
        <v>0</v>
      </c>
      <c r="N104" s="81">
        <f>Work_Codes!$J322*N71*N$30</f>
        <v>142399.42311206515</v>
      </c>
      <c r="O104" s="81">
        <f>Work_Codes!$J322*O71*O$30</f>
        <v>141075</v>
      </c>
      <c r="P104" s="81">
        <f>Work_Codes!$J322*P71*P$30</f>
        <v>142500</v>
      </c>
      <c r="Q104" s="81">
        <f>Work_Codes!$J322*Q71*Q$30</f>
        <v>0</v>
      </c>
      <c r="R104" s="81">
        <f>Work_Codes!$J322*R71*R$30</f>
        <v>0</v>
      </c>
      <c r="S104" s="81">
        <f>Work_Codes!$J322*S71*S$30</f>
        <v>0</v>
      </c>
      <c r="T104" s="81">
        <f>Work_Codes!$J322*T71*T$30</f>
        <v>0</v>
      </c>
    </row>
    <row r="105" spans="3:20" hidden="1" outlineLevel="2">
      <c r="D105" s="102" t="str">
        <f>Work_Codes!D323</f>
        <v>Network Reinforcement - Distribution</v>
      </c>
      <c r="J105" s="81">
        <f>Work_Codes!$J323*J72*J$30</f>
        <v>0</v>
      </c>
      <c r="K105" s="81">
        <f>Work_Codes!$J323*K72*K$30</f>
        <v>0</v>
      </c>
      <c r="L105" s="81">
        <f>Work_Codes!$J323*L72*L$30</f>
        <v>0</v>
      </c>
      <c r="M105" s="81">
        <f>Work_Codes!$J323*M72*M$30</f>
        <v>0</v>
      </c>
      <c r="N105" s="81">
        <f>Work_Codes!$J323*N72*N$30</f>
        <v>1731402.5584670308</v>
      </c>
      <c r="O105" s="81">
        <f>Work_Codes!$J323*O72*O$30</f>
        <v>1520000</v>
      </c>
      <c r="P105" s="81">
        <f>Work_Codes!$J323*P72*P$30</f>
        <v>2574120</v>
      </c>
      <c r="Q105" s="81">
        <f>Work_Codes!$J323*Q72*Q$30</f>
        <v>2371200</v>
      </c>
      <c r="R105" s="81">
        <f>Work_Codes!$J323*R72*R$30</f>
        <v>787360</v>
      </c>
      <c r="S105" s="81">
        <f>Work_Codes!$J323*S72*S$30</f>
        <v>1504800</v>
      </c>
      <c r="T105" s="81">
        <f>Work_Codes!$J323*T72*T$30</f>
        <v>1824000</v>
      </c>
    </row>
    <row r="106" spans="3:20" hidden="1" outlineLevel="2">
      <c r="D106" s="102" t="str">
        <f>Work_Codes!D324</f>
        <v>Network Reinforcement - Transmission</v>
      </c>
      <c r="J106" s="81">
        <f>Work_Codes!$J324*J73*J$30</f>
        <v>0</v>
      </c>
      <c r="K106" s="81">
        <f>Work_Codes!$J324*K73*K$30</f>
        <v>0</v>
      </c>
      <c r="L106" s="81">
        <f>Work_Codes!$J324*L73*L$30</f>
        <v>0</v>
      </c>
      <c r="M106" s="81">
        <f>Work_Codes!$J324*M73*M$30</f>
        <v>0</v>
      </c>
      <c r="N106" s="81">
        <f>Work_Codes!$J324*N73*N$30</f>
        <v>500182.96133492002</v>
      </c>
      <c r="O106" s="81">
        <f>Work_Codes!$J324*O73*O$30</f>
        <v>190000</v>
      </c>
      <c r="P106" s="81">
        <f>Work_Codes!$J324*P73*P$30</f>
        <v>0</v>
      </c>
      <c r="Q106" s="81">
        <f>Work_Codes!$J324*Q73*Q$30</f>
        <v>0</v>
      </c>
      <c r="R106" s="81">
        <f>Work_Codes!$J324*R73*R$30</f>
        <v>1786000</v>
      </c>
      <c r="S106" s="81">
        <f>Work_Codes!$J324*S73*S$30</f>
        <v>0</v>
      </c>
      <c r="T106" s="81">
        <f>Work_Codes!$J324*T73*T$30</f>
        <v>0</v>
      </c>
    </row>
    <row r="107" spans="3:20" hidden="1" outlineLevel="2">
      <c r="D107" s="102" t="str">
        <f>Work_Codes!D325</f>
        <v>Renewable Gas Augmentation</v>
      </c>
      <c r="J107" s="81">
        <f>Work_Codes!$J325*J74*J$30</f>
        <v>0</v>
      </c>
      <c r="K107" s="81">
        <f>Work_Codes!$J325*K74*K$30</f>
        <v>0</v>
      </c>
      <c r="L107" s="81">
        <f>Work_Codes!$J325*L74*L$30</f>
        <v>0</v>
      </c>
      <c r="M107" s="81">
        <f>Work_Codes!$J325*M74*M$30</f>
        <v>0</v>
      </c>
      <c r="N107" s="81">
        <f>Work_Codes!$J325*N74*N$30</f>
        <v>0</v>
      </c>
      <c r="O107" s="81">
        <f>Work_Codes!$J325*O74*O$30</f>
        <v>0</v>
      </c>
      <c r="P107" s="81">
        <f>Work_Codes!$J325*P74*P$30</f>
        <v>0</v>
      </c>
      <c r="Q107" s="81">
        <f>Work_Codes!$J325*Q74*Q$30</f>
        <v>0</v>
      </c>
      <c r="R107" s="81">
        <f>Work_Codes!$J325*R74*R$30</f>
        <v>0</v>
      </c>
      <c r="S107" s="81">
        <f>Work_Codes!$J325*S74*S$30</f>
        <v>0</v>
      </c>
      <c r="T107" s="81">
        <f>Work_Codes!$J325*T74*T$30</f>
        <v>0</v>
      </c>
    </row>
    <row r="108" spans="3:20" ht="5.9" hidden="1" customHeight="1" outlineLevel="2"/>
    <row r="109" spans="3:20" hidden="1" outlineLevel="2">
      <c r="D109" s="249" t="str">
        <f>"Total "&amp;C99</f>
        <v>Total External Labour</v>
      </c>
      <c r="E109" s="249"/>
      <c r="F109" s="249"/>
      <c r="G109" s="249"/>
      <c r="H109" s="249"/>
      <c r="I109" s="249"/>
      <c r="J109" s="82">
        <f t="shared" ref="J109:T109" si="11">SUM(J101:J108)</f>
        <v>0</v>
      </c>
      <c r="K109" s="82">
        <f t="shared" si="11"/>
        <v>0</v>
      </c>
      <c r="L109" s="82">
        <f t="shared" si="11"/>
        <v>0</v>
      </c>
      <c r="M109" s="82">
        <f t="shared" si="11"/>
        <v>0</v>
      </c>
      <c r="N109" s="82">
        <f t="shared" si="11"/>
        <v>2604125.5282997852</v>
      </c>
      <c r="O109" s="82">
        <f t="shared" si="11"/>
        <v>1851075</v>
      </c>
      <c r="P109" s="82">
        <f t="shared" si="11"/>
        <v>3280920</v>
      </c>
      <c r="Q109" s="82">
        <f t="shared" si="11"/>
        <v>4072650</v>
      </c>
      <c r="R109" s="82">
        <f t="shared" si="11"/>
        <v>2573360</v>
      </c>
      <c r="S109" s="82">
        <f t="shared" si="11"/>
        <v>1504800</v>
      </c>
      <c r="T109" s="82">
        <f t="shared" si="11"/>
        <v>3525450</v>
      </c>
    </row>
    <row r="110" spans="3:20" hidden="1" outlineLevel="2"/>
    <row r="111" spans="3:20" hidden="1" outlineLevel="2">
      <c r="C111" s="37" t="s">
        <v>130</v>
      </c>
    </row>
    <row r="112" spans="3:20" ht="5.9" hidden="1" customHeight="1" outlineLevel="2"/>
    <row r="113" spans="3:20" hidden="1" outlineLevel="2">
      <c r="D113" s="102" t="str">
        <f>Work_Codes!D319</f>
        <v>City Gate - New</v>
      </c>
      <c r="J113" s="81">
        <f>Work_Codes!$K319*J68*J$31</f>
        <v>0</v>
      </c>
      <c r="K113" s="81">
        <f>Work_Codes!$K319*K68*K$31</f>
        <v>0</v>
      </c>
      <c r="L113" s="81">
        <f>Work_Codes!$K319*L68*L$31</f>
        <v>0</v>
      </c>
      <c r="M113" s="81">
        <f>Work_Codes!$K319*M68*M$31</f>
        <v>0</v>
      </c>
      <c r="N113" s="81">
        <f>Work_Codes!$K319*N68*N$31</f>
        <v>80751.082591498038</v>
      </c>
      <c r="O113" s="81">
        <f>Work_Codes!$K319*O68*O$31</f>
        <v>0</v>
      </c>
      <c r="P113" s="81">
        <f>Work_Codes!$K319*P68*P$31</f>
        <v>0</v>
      </c>
      <c r="Q113" s="81">
        <f>Work_Codes!$K319*Q68*Q$31</f>
        <v>1194000</v>
      </c>
      <c r="R113" s="81">
        <f>Work_Codes!$K319*R68*R$31</f>
        <v>0</v>
      </c>
      <c r="S113" s="81">
        <f>Work_Codes!$K319*S68*S$31</f>
        <v>0</v>
      </c>
      <c r="T113" s="81">
        <f>Work_Codes!$K319*T68*T$31</f>
        <v>1194000</v>
      </c>
    </row>
    <row r="114" spans="3:20" hidden="1" outlineLevel="2">
      <c r="D114" s="102" t="str">
        <f>Work_Codes!D320</f>
        <v>City Gate - Capacity Upgrade</v>
      </c>
      <c r="J114" s="81">
        <f>Work_Codes!$K320*J69*J$31</f>
        <v>0</v>
      </c>
      <c r="K114" s="81">
        <f>Work_Codes!$K320*K69*K$31</f>
        <v>0</v>
      </c>
      <c r="L114" s="81">
        <f>Work_Codes!$K320*L69*L$31</f>
        <v>0</v>
      </c>
      <c r="M114" s="81">
        <f>Work_Codes!$K320*M69*M$31</f>
        <v>0</v>
      </c>
      <c r="N114" s="81">
        <f>Work_Codes!$K320*N69*N$31</f>
        <v>0</v>
      </c>
      <c r="O114" s="81">
        <f>Work_Codes!$K320*O69*O$31</f>
        <v>0</v>
      </c>
      <c r="P114" s="81">
        <f>Work_Codes!$K320*P69*P$31</f>
        <v>396000</v>
      </c>
      <c r="Q114" s="81">
        <f>Work_Codes!$K320*Q69*Q$31</f>
        <v>0</v>
      </c>
      <c r="R114" s="81">
        <f>Work_Codes!$K320*R69*R$31</f>
        <v>0</v>
      </c>
      <c r="S114" s="81">
        <f>Work_Codes!$K320*S69*S$31</f>
        <v>0</v>
      </c>
      <c r="T114" s="81">
        <f>Work_Codes!$K320*T69*T$31</f>
        <v>0</v>
      </c>
    </row>
    <row r="115" spans="3:20" hidden="1" outlineLevel="2">
      <c r="D115" s="102" t="str">
        <f>Work_Codes!D321</f>
        <v>Field Regulator - New</v>
      </c>
      <c r="J115" s="81">
        <f>Work_Codes!$K321*J70*J$31</f>
        <v>0</v>
      </c>
      <c r="K115" s="81">
        <f>Work_Codes!$K321*K70*K$31</f>
        <v>0</v>
      </c>
      <c r="L115" s="81">
        <f>Work_Codes!$K321*L70*L$31</f>
        <v>0</v>
      </c>
      <c r="M115" s="81">
        <f>Work_Codes!$K321*M70*M$31</f>
        <v>0</v>
      </c>
      <c r="N115" s="81">
        <f>Work_Codes!$K321*N70*N$31</f>
        <v>80751.082591498038</v>
      </c>
      <c r="O115" s="81">
        <f>Work_Codes!$K321*O70*O$31</f>
        <v>0</v>
      </c>
      <c r="P115" s="81">
        <f>Work_Codes!$K321*P70*P$31</f>
        <v>0</v>
      </c>
      <c r="Q115" s="81">
        <f>Work_Codes!$K321*Q70*Q$31</f>
        <v>0</v>
      </c>
      <c r="R115" s="81">
        <f>Work_Codes!$K321*R70*R$31</f>
        <v>0</v>
      </c>
      <c r="S115" s="81">
        <f>Work_Codes!$K321*S70*S$31</f>
        <v>0</v>
      </c>
      <c r="T115" s="81">
        <f>Work_Codes!$K321*T70*T$31</f>
        <v>0</v>
      </c>
    </row>
    <row r="116" spans="3:20" hidden="1" outlineLevel="2">
      <c r="D116" s="102" t="str">
        <f>Work_Codes!D322</f>
        <v>Field Regulator - Capacity Upgrade</v>
      </c>
      <c r="J116" s="81">
        <f>Work_Codes!$K322*J71*J$31</f>
        <v>0</v>
      </c>
      <c r="K116" s="81">
        <f>Work_Codes!$K322*K71*K$31</f>
        <v>0</v>
      </c>
      <c r="L116" s="81">
        <f>Work_Codes!$K322*L71*L$31</f>
        <v>0</v>
      </c>
      <c r="M116" s="81">
        <f>Work_Codes!$K322*M71*M$31</f>
        <v>0</v>
      </c>
      <c r="N116" s="81">
        <f>Work_Codes!$K322*N71*N$31</f>
        <v>99929.419727765038</v>
      </c>
      <c r="O116" s="81">
        <f>Work_Codes!$K322*O71*O$31</f>
        <v>99000</v>
      </c>
      <c r="P116" s="81">
        <f>Work_Codes!$K322*P71*P$31</f>
        <v>100000</v>
      </c>
      <c r="Q116" s="81">
        <f>Work_Codes!$K322*Q71*Q$31</f>
        <v>0</v>
      </c>
      <c r="R116" s="81">
        <f>Work_Codes!$K322*R71*R$31</f>
        <v>0</v>
      </c>
      <c r="S116" s="81">
        <f>Work_Codes!$K322*S71*S$31</f>
        <v>0</v>
      </c>
      <c r="T116" s="81">
        <f>Work_Codes!$K322*T71*T$31</f>
        <v>0</v>
      </c>
    </row>
    <row r="117" spans="3:20" hidden="1" outlineLevel="2">
      <c r="D117" s="102" t="str">
        <f>Work_Codes!D323</f>
        <v>Network Reinforcement - Distribution</v>
      </c>
      <c r="J117" s="81">
        <f>Work_Codes!$K323*J72*J$31</f>
        <v>0</v>
      </c>
      <c r="K117" s="81">
        <f>Work_Codes!$K323*K72*K$31</f>
        <v>0</v>
      </c>
      <c r="L117" s="81">
        <f>Work_Codes!$K323*L72*L$31</f>
        <v>0</v>
      </c>
      <c r="M117" s="81">
        <f>Work_Codes!$K323*M72*M$31</f>
        <v>0</v>
      </c>
      <c r="N117" s="81">
        <f>Work_Codes!$K323*N72*N$31</f>
        <v>455632.25222816586</v>
      </c>
      <c r="O117" s="81">
        <f>Work_Codes!$K323*O72*O$31</f>
        <v>399999.99999999988</v>
      </c>
      <c r="P117" s="81">
        <f>Work_Codes!$K323*P72*P$31</f>
        <v>677399.99999999988</v>
      </c>
      <c r="Q117" s="81">
        <f>Work_Codes!$K323*Q72*Q$31</f>
        <v>623999.99999999988</v>
      </c>
      <c r="R117" s="81">
        <f>Work_Codes!$K323*R72*R$31</f>
        <v>207199.99999999994</v>
      </c>
      <c r="S117" s="81">
        <f>Work_Codes!$K323*S72*S$31</f>
        <v>395999.99999999988</v>
      </c>
      <c r="T117" s="81">
        <f>Work_Codes!$K323*T72*T$31</f>
        <v>479999.99999999988</v>
      </c>
    </row>
    <row r="118" spans="3:20" hidden="1" outlineLevel="2">
      <c r="D118" s="102" t="str">
        <f>Work_Codes!D324</f>
        <v>Network Reinforcement - Transmission</v>
      </c>
      <c r="J118" s="81">
        <f>Work_Codes!$K324*J73*J$31</f>
        <v>0</v>
      </c>
      <c r="K118" s="81">
        <f>Work_Codes!$K324*K73*K$31</f>
        <v>0</v>
      </c>
      <c r="L118" s="81">
        <f>Work_Codes!$K324*L73*L$31</f>
        <v>0</v>
      </c>
      <c r="M118" s="81">
        <f>Work_Codes!$K324*M73*M$31</f>
        <v>0</v>
      </c>
      <c r="N118" s="81">
        <f>Work_Codes!$K324*N73*N$31</f>
        <v>131627.09508813682</v>
      </c>
      <c r="O118" s="81">
        <f>Work_Codes!$K324*O73*O$31</f>
        <v>49999.999999999985</v>
      </c>
      <c r="P118" s="81">
        <f>Work_Codes!$K324*P73*P$31</f>
        <v>0</v>
      </c>
      <c r="Q118" s="81">
        <f>Work_Codes!$K324*Q73*Q$31</f>
        <v>0</v>
      </c>
      <c r="R118" s="81">
        <f>Work_Codes!$K324*R73*R$31</f>
        <v>469999.99999999988</v>
      </c>
      <c r="S118" s="81">
        <f>Work_Codes!$K324*S73*S$31</f>
        <v>0</v>
      </c>
      <c r="T118" s="81">
        <f>Work_Codes!$K324*T73*T$31</f>
        <v>0</v>
      </c>
    </row>
    <row r="119" spans="3:20" hidden="1" outlineLevel="2">
      <c r="D119" s="102" t="str">
        <f>Work_Codes!D325</f>
        <v>Renewable Gas Augmentation</v>
      </c>
      <c r="J119" s="81">
        <f>Work_Codes!$K325*J74*J$31</f>
        <v>0</v>
      </c>
      <c r="K119" s="81">
        <f>Work_Codes!$K325*K74*K$31</f>
        <v>0</v>
      </c>
      <c r="L119" s="81">
        <f>Work_Codes!$K325*L74*L$31</f>
        <v>0</v>
      </c>
      <c r="M119" s="81">
        <f>Work_Codes!$K325*M74*M$31</f>
        <v>0</v>
      </c>
      <c r="N119" s="81">
        <f>Work_Codes!$K325*N74*N$31</f>
        <v>0</v>
      </c>
      <c r="O119" s="81">
        <f>Work_Codes!$K325*O74*O$31</f>
        <v>0</v>
      </c>
      <c r="P119" s="81">
        <f>Work_Codes!$K325*P74*P$31</f>
        <v>0</v>
      </c>
      <c r="Q119" s="81">
        <f>Work_Codes!$K325*Q74*Q$31</f>
        <v>0</v>
      </c>
      <c r="R119" s="81">
        <f>Work_Codes!$K325*R74*R$31</f>
        <v>0</v>
      </c>
      <c r="S119" s="81">
        <f>Work_Codes!$K325*S74*S$31</f>
        <v>0</v>
      </c>
      <c r="T119" s="81">
        <f>Work_Codes!$K325*T74*T$31</f>
        <v>0</v>
      </c>
    </row>
    <row r="120" spans="3:20" ht="5.9" hidden="1" customHeight="1" outlineLevel="2"/>
    <row r="121" spans="3:20" hidden="1" outlineLevel="2">
      <c r="D121" s="249" t="str">
        <f>"Total "&amp;C111</f>
        <v>Total Materials</v>
      </c>
      <c r="E121" s="249"/>
      <c r="F121" s="249"/>
      <c r="G121" s="249"/>
      <c r="H121" s="249"/>
      <c r="I121" s="249"/>
      <c r="J121" s="82">
        <f t="shared" ref="J121:T121" si="12">SUM(J113:J120)</f>
        <v>0</v>
      </c>
      <c r="K121" s="82">
        <f t="shared" si="12"/>
        <v>0</v>
      </c>
      <c r="L121" s="82">
        <f t="shared" si="12"/>
        <v>0</v>
      </c>
      <c r="M121" s="82">
        <f t="shared" si="12"/>
        <v>0</v>
      </c>
      <c r="N121" s="82">
        <f t="shared" si="12"/>
        <v>848690.93222706381</v>
      </c>
      <c r="O121" s="82">
        <f t="shared" si="12"/>
        <v>548999.99999999988</v>
      </c>
      <c r="P121" s="82">
        <f t="shared" si="12"/>
        <v>1173400</v>
      </c>
      <c r="Q121" s="82">
        <f t="shared" si="12"/>
        <v>1818000</v>
      </c>
      <c r="R121" s="82">
        <f t="shared" si="12"/>
        <v>677199.99999999977</v>
      </c>
      <c r="S121" s="82">
        <f t="shared" si="12"/>
        <v>395999.99999999988</v>
      </c>
      <c r="T121" s="82">
        <f t="shared" si="12"/>
        <v>1674000</v>
      </c>
    </row>
    <row r="122" spans="3:20" outlineLevel="1" collapsed="1"/>
    <row r="123" spans="3:20" outlineLevel="1">
      <c r="C123" s="37" t="s">
        <v>217</v>
      </c>
    </row>
    <row r="124" spans="3:20" ht="5.9" customHeight="1" outlineLevel="1"/>
    <row r="125" spans="3:20" outlineLevel="1">
      <c r="D125" s="102" t="str">
        <f>Work_Codes!D319</f>
        <v>City Gate - New</v>
      </c>
      <c r="J125" s="81">
        <f t="shared" ref="J125:T125" si="13">J89+J101+J113</f>
        <v>0</v>
      </c>
      <c r="K125" s="81">
        <f t="shared" si="13"/>
        <v>0</v>
      </c>
      <c r="L125" s="81">
        <f t="shared" si="13"/>
        <v>0</v>
      </c>
      <c r="M125" s="81">
        <f t="shared" si="13"/>
        <v>0</v>
      </c>
      <c r="N125" s="81">
        <f t="shared" si="13"/>
        <v>201877.70647874509</v>
      </c>
      <c r="O125" s="81">
        <f t="shared" si="13"/>
        <v>0</v>
      </c>
      <c r="P125" s="81">
        <f t="shared" si="13"/>
        <v>0</v>
      </c>
      <c r="Q125" s="81">
        <f t="shared" si="13"/>
        <v>2986621.5075816801</v>
      </c>
      <c r="R125" s="81">
        <f t="shared" si="13"/>
        <v>0</v>
      </c>
      <c r="S125" s="81">
        <f t="shared" si="13"/>
        <v>0</v>
      </c>
      <c r="T125" s="81">
        <f t="shared" si="13"/>
        <v>2989665.7457722444</v>
      </c>
    </row>
    <row r="126" spans="3:20" outlineLevel="1">
      <c r="D126" s="102" t="str">
        <f>Work_Codes!D320</f>
        <v>City Gate - Capacity Upgrade</v>
      </c>
      <c r="J126" s="81">
        <f t="shared" ref="J126:T126" si="14">J90+J102+J114</f>
        <v>0</v>
      </c>
      <c r="K126" s="81">
        <f t="shared" si="14"/>
        <v>0</v>
      </c>
      <c r="L126" s="81">
        <f t="shared" si="14"/>
        <v>0</v>
      </c>
      <c r="M126" s="81">
        <f t="shared" si="14"/>
        <v>0</v>
      </c>
      <c r="N126" s="81">
        <f t="shared" si="14"/>
        <v>0</v>
      </c>
      <c r="O126" s="81">
        <f t="shared" si="14"/>
        <v>0</v>
      </c>
      <c r="P126" s="81">
        <f t="shared" si="14"/>
        <v>990303.83617197513</v>
      </c>
      <c r="Q126" s="81">
        <f t="shared" si="14"/>
        <v>0</v>
      </c>
      <c r="R126" s="81">
        <f t="shared" si="14"/>
        <v>0</v>
      </c>
      <c r="S126" s="81">
        <f t="shared" si="14"/>
        <v>0</v>
      </c>
      <c r="T126" s="81">
        <f t="shared" si="14"/>
        <v>0</v>
      </c>
    </row>
    <row r="127" spans="3:20" outlineLevel="1">
      <c r="D127" s="102" t="str">
        <f>Work_Codes!D321</f>
        <v>Field Regulator - New</v>
      </c>
      <c r="J127" s="81">
        <f t="shared" ref="J127:T127" si="15">J91+J103+J115</f>
        <v>0</v>
      </c>
      <c r="K127" s="81">
        <f t="shared" si="15"/>
        <v>0</v>
      </c>
      <c r="L127" s="81">
        <f t="shared" si="15"/>
        <v>0</v>
      </c>
      <c r="M127" s="81">
        <f t="shared" si="15"/>
        <v>0</v>
      </c>
      <c r="N127" s="81">
        <f t="shared" si="15"/>
        <v>201877.70647874509</v>
      </c>
      <c r="O127" s="81">
        <f t="shared" si="15"/>
        <v>0</v>
      </c>
      <c r="P127" s="81">
        <f t="shared" si="15"/>
        <v>0</v>
      </c>
      <c r="Q127" s="81">
        <f t="shared" si="15"/>
        <v>0</v>
      </c>
      <c r="R127" s="81">
        <f t="shared" si="15"/>
        <v>0</v>
      </c>
      <c r="S127" s="81">
        <f t="shared" si="15"/>
        <v>0</v>
      </c>
      <c r="T127" s="81">
        <f t="shared" si="15"/>
        <v>0</v>
      </c>
    </row>
    <row r="128" spans="3:20" outlineLevel="1">
      <c r="D128" s="102" t="str">
        <f>Work_Codes!D322</f>
        <v>Field Regulator - Capacity Upgrade</v>
      </c>
      <c r="J128" s="81">
        <f t="shared" ref="J128:T128" si="16">J92+J104+J116</f>
        <v>0</v>
      </c>
      <c r="K128" s="81">
        <f t="shared" si="16"/>
        <v>0</v>
      </c>
      <c r="L128" s="81">
        <f t="shared" si="16"/>
        <v>0</v>
      </c>
      <c r="M128" s="81">
        <f t="shared" si="16"/>
        <v>0</v>
      </c>
      <c r="N128" s="81">
        <f t="shared" si="16"/>
        <v>249823.54931941256</v>
      </c>
      <c r="O128" s="81">
        <f t="shared" si="16"/>
        <v>247538.5797325231</v>
      </c>
      <c r="P128" s="81">
        <f t="shared" si="16"/>
        <v>250076.72630605433</v>
      </c>
      <c r="Q128" s="81">
        <f t="shared" si="16"/>
        <v>0</v>
      </c>
      <c r="R128" s="81">
        <f t="shared" si="16"/>
        <v>0</v>
      </c>
      <c r="S128" s="81">
        <f t="shared" si="16"/>
        <v>0</v>
      </c>
      <c r="T128" s="81">
        <f t="shared" si="16"/>
        <v>0</v>
      </c>
    </row>
    <row r="129" spans="2:20" outlineLevel="1">
      <c r="D129" s="102" t="str">
        <f>Work_Codes!D323</f>
        <v>Network Reinforcement - Distribution</v>
      </c>
      <c r="J129" s="81">
        <f t="shared" ref="J129:T129" si="17">J93+J105+J117</f>
        <v>0</v>
      </c>
      <c r="K129" s="81">
        <f t="shared" si="17"/>
        <v>0</v>
      </c>
      <c r="L129" s="81">
        <f t="shared" si="17"/>
        <v>0</v>
      </c>
      <c r="M129" s="81">
        <f t="shared" si="17"/>
        <v>0</v>
      </c>
      <c r="N129" s="81">
        <f t="shared" si="17"/>
        <v>2278161.2611408299</v>
      </c>
      <c r="O129" s="81">
        <f t="shared" si="17"/>
        <v>2000415.6738857706</v>
      </c>
      <c r="P129" s="81">
        <f t="shared" si="17"/>
        <v>3388385.9839925654</v>
      </c>
      <c r="Q129" s="81">
        <f t="shared" si="17"/>
        <v>3122259.7894605664</v>
      </c>
      <c r="R129" s="81">
        <f t="shared" si="17"/>
        <v>1037214.8164450938</v>
      </c>
      <c r="S129" s="81">
        <f t="shared" si="17"/>
        <v>1983219.1814355585</v>
      </c>
      <c r="T129" s="81">
        <f t="shared" si="17"/>
        <v>2405001.804512959</v>
      </c>
    </row>
    <row r="130" spans="2:20" outlineLevel="1">
      <c r="D130" s="102" t="str">
        <f>Work_Codes!D324</f>
        <v>Network Reinforcement - Transmission</v>
      </c>
      <c r="J130" s="81">
        <f t="shared" ref="J130:T130" si="18">J94+J106+J118</f>
        <v>0</v>
      </c>
      <c r="K130" s="81">
        <f t="shared" si="18"/>
        <v>0</v>
      </c>
      <c r="L130" s="81">
        <f t="shared" si="18"/>
        <v>0</v>
      </c>
      <c r="M130" s="81">
        <f t="shared" si="18"/>
        <v>0</v>
      </c>
      <c r="N130" s="81">
        <f t="shared" si="18"/>
        <v>658135.47544068424</v>
      </c>
      <c r="O130" s="81">
        <f t="shared" si="18"/>
        <v>250051.95923572133</v>
      </c>
      <c r="P130" s="81">
        <f t="shared" si="18"/>
        <v>0</v>
      </c>
      <c r="Q130" s="81">
        <f t="shared" si="18"/>
        <v>0</v>
      </c>
      <c r="R130" s="81">
        <f t="shared" si="18"/>
        <v>2352755.6164536397</v>
      </c>
      <c r="S130" s="81">
        <f t="shared" si="18"/>
        <v>0</v>
      </c>
      <c r="T130" s="81">
        <f t="shared" si="18"/>
        <v>0</v>
      </c>
    </row>
    <row r="131" spans="2:20" outlineLevel="1">
      <c r="D131" s="102" t="str">
        <f>Work_Codes!D325</f>
        <v>Renewable Gas Augmentation</v>
      </c>
      <c r="J131" s="81">
        <f t="shared" ref="J131:T131" si="19">J95+J107+J119</f>
        <v>0</v>
      </c>
      <c r="K131" s="81">
        <f t="shared" si="19"/>
        <v>0</v>
      </c>
      <c r="L131" s="81">
        <f t="shared" si="19"/>
        <v>0</v>
      </c>
      <c r="M131" s="81">
        <f t="shared" si="19"/>
        <v>0</v>
      </c>
      <c r="N131" s="81">
        <f t="shared" si="19"/>
        <v>0</v>
      </c>
      <c r="O131" s="81">
        <f t="shared" si="19"/>
        <v>0</v>
      </c>
      <c r="P131" s="81">
        <f t="shared" si="19"/>
        <v>0</v>
      </c>
      <c r="Q131" s="81">
        <f t="shared" si="19"/>
        <v>0</v>
      </c>
      <c r="R131" s="81">
        <f t="shared" si="19"/>
        <v>0</v>
      </c>
      <c r="S131" s="81">
        <f t="shared" si="19"/>
        <v>0</v>
      </c>
      <c r="T131" s="81">
        <f t="shared" si="19"/>
        <v>0</v>
      </c>
    </row>
    <row r="132" spans="2:20" ht="5.9" customHeight="1" outlineLevel="1"/>
    <row r="133" spans="2:20" outlineLevel="1">
      <c r="D133" s="249" t="str">
        <f>C123</f>
        <v>Total Direct Capex including Escalation (Non CPI)</v>
      </c>
      <c r="E133" s="249"/>
      <c r="F133" s="249"/>
      <c r="G133" s="249"/>
      <c r="H133" s="249"/>
      <c r="I133" s="249"/>
      <c r="J133" s="82">
        <f t="shared" ref="J133:T133" si="20">SUM(J125:J132)</f>
        <v>0</v>
      </c>
      <c r="K133" s="82">
        <f t="shared" si="20"/>
        <v>0</v>
      </c>
      <c r="L133" s="82">
        <f t="shared" si="20"/>
        <v>0</v>
      </c>
      <c r="M133" s="82">
        <f t="shared" si="20"/>
        <v>0</v>
      </c>
      <c r="N133" s="82">
        <f t="shared" si="20"/>
        <v>3589875.6988584171</v>
      </c>
      <c r="O133" s="82">
        <f t="shared" si="20"/>
        <v>2498006.2128540152</v>
      </c>
      <c r="P133" s="82">
        <f t="shared" si="20"/>
        <v>4628766.5464705946</v>
      </c>
      <c r="Q133" s="82">
        <f t="shared" si="20"/>
        <v>6108881.2970422469</v>
      </c>
      <c r="R133" s="82">
        <f t="shared" si="20"/>
        <v>3389970.4328987338</v>
      </c>
      <c r="S133" s="82">
        <f t="shared" si="20"/>
        <v>1983219.1814355585</v>
      </c>
      <c r="T133" s="82">
        <f t="shared" si="20"/>
        <v>5394667.5502852034</v>
      </c>
    </row>
    <row r="134" spans="2:20" outlineLevel="1">
      <c r="B134" s="12"/>
      <c r="C134" s="12"/>
      <c r="D134" s="12"/>
      <c r="E134" s="12"/>
      <c r="F134" s="12"/>
      <c r="G134" s="12"/>
      <c r="H134" s="12"/>
      <c r="I134" s="12"/>
      <c r="J134" s="12"/>
      <c r="K134" s="12"/>
      <c r="L134" s="12"/>
      <c r="M134" s="12"/>
      <c r="N134" s="12"/>
      <c r="O134" s="12"/>
      <c r="P134" s="12"/>
      <c r="Q134" s="12"/>
      <c r="R134" s="12"/>
      <c r="S134" s="12"/>
      <c r="T134" s="12"/>
    </row>
    <row r="135" spans="2:20" outlineLevel="1"/>
    <row r="136" spans="2:20" outlineLevel="1">
      <c r="C136" s="37" t="s">
        <v>195</v>
      </c>
    </row>
    <row r="137" spans="2:20" ht="5.9" customHeight="1" outlineLevel="2"/>
    <row r="138" spans="2:20" outlineLevel="2">
      <c r="D138" s="37" t="s">
        <v>215</v>
      </c>
    </row>
    <row r="139" spans="2:20" ht="5.9" customHeight="1" outlineLevel="2"/>
    <row r="140" spans="2:20" ht="11.5" customHeight="1" outlineLevel="2">
      <c r="E140" s="247" t="str">
        <f>GC!C40</f>
        <v>Transmission pipelines</v>
      </c>
      <c r="F140" s="247"/>
      <c r="G140" s="247"/>
      <c r="H140" s="247"/>
      <c r="I140" s="247"/>
      <c r="J140" s="81">
        <f ca="1">SUMPRODUCT((Work_Codes!$N$316:$Y$316=$E140)*(Work_Codes!$N$319:$Y$325)*(J$125:J$131))</f>
        <v>0</v>
      </c>
      <c r="K140" s="81">
        <f ca="1">SUMPRODUCT((Work_Codes!$N$316:$Y$316=$E140)*(Work_Codes!$N$319:$Y$325)*(K$125:K$131))</f>
        <v>0</v>
      </c>
      <c r="L140" s="81">
        <f ca="1">SUMPRODUCT((Work_Codes!$N$316:$Y$316=$E140)*(Work_Codes!$N$319:$Y$325)*(L$125:L$131))</f>
        <v>0</v>
      </c>
      <c r="M140" s="81">
        <f ca="1">SUMPRODUCT((Work_Codes!$N$316:$Y$316=$E140)*(Work_Codes!$N$319:$Y$325)*(M$125:M$131))</f>
        <v>0</v>
      </c>
      <c r="N140" s="81">
        <f ca="1">SUMPRODUCT((Work_Codes!$N$316:$Y$316=$E140)*(Work_Codes!$N$319:$Y$325)*(N$125:N$131))</f>
        <v>0</v>
      </c>
      <c r="O140" s="81">
        <f ca="1">SUMPRODUCT((Work_Codes!$N$316:$Y$316=$E140)*(Work_Codes!$N$319:$Y$325)*(O$125:O$131))</f>
        <v>0</v>
      </c>
      <c r="P140" s="81">
        <f ca="1">SUMPRODUCT((Work_Codes!$N$316:$Y$316=$E140)*(Work_Codes!$N$319:$Y$325)*(P$125:P$131))</f>
        <v>0</v>
      </c>
      <c r="Q140" s="81">
        <f ca="1">SUMPRODUCT((Work_Codes!$N$316:$Y$316=$E140)*(Work_Codes!$N$319:$Y$325)*(Q$125:Q$131))</f>
        <v>0</v>
      </c>
      <c r="R140" s="81">
        <f ca="1">SUMPRODUCT((Work_Codes!$N$316:$Y$316=$E140)*(Work_Codes!$N$319:$Y$325)*(R$125:R$131))</f>
        <v>0</v>
      </c>
      <c r="S140" s="81">
        <f ca="1">SUMPRODUCT((Work_Codes!$N$316:$Y$316=$E140)*(Work_Codes!$N$319:$Y$325)*(S$125:S$131))</f>
        <v>0</v>
      </c>
      <c r="T140" s="81">
        <f ca="1">SUMPRODUCT((Work_Codes!$N$316:$Y$316=$E140)*(Work_Codes!$N$319:$Y$325)*(T$125:T$131))</f>
        <v>0</v>
      </c>
    </row>
    <row r="141" spans="2:20" ht="11.5" customHeight="1" outlineLevel="2">
      <c r="E141" s="247" t="str">
        <f>GC!C41</f>
        <v>Distribution pipelines</v>
      </c>
      <c r="F141" s="247"/>
      <c r="G141" s="247"/>
      <c r="H141" s="247"/>
      <c r="I141" s="247"/>
      <c r="J141" s="81">
        <f ca="1">SUMPRODUCT((Work_Codes!$N$316:$Y$316=$E141)*(Work_Codes!$N$319:$Y$325)*(J$125:J$131))</f>
        <v>0</v>
      </c>
      <c r="K141" s="81">
        <f ca="1">SUMPRODUCT((Work_Codes!$N$316:$Y$316=$E141)*(Work_Codes!$N$319:$Y$325)*(K$125:K$131))</f>
        <v>0</v>
      </c>
      <c r="L141" s="81">
        <f ca="1">SUMPRODUCT((Work_Codes!$N$316:$Y$316=$E141)*(Work_Codes!$N$319:$Y$325)*(L$125:L$131))</f>
        <v>0</v>
      </c>
      <c r="M141" s="81">
        <f ca="1">SUMPRODUCT((Work_Codes!$N$316:$Y$316=$E141)*(Work_Codes!$N$319:$Y$325)*(M$125:M$131))</f>
        <v>0</v>
      </c>
      <c r="N141" s="81">
        <f ca="1">SUMPRODUCT((Work_Codes!$N$316:$Y$316=$E141)*(Work_Codes!$N$319:$Y$325)*(N$125:N$131))</f>
        <v>0</v>
      </c>
      <c r="O141" s="81">
        <f ca="1">SUMPRODUCT((Work_Codes!$N$316:$Y$316=$E141)*(Work_Codes!$N$319:$Y$325)*(O$125:O$131))</f>
        <v>0</v>
      </c>
      <c r="P141" s="81">
        <f ca="1">SUMPRODUCT((Work_Codes!$N$316:$Y$316=$E141)*(Work_Codes!$N$319:$Y$325)*(P$125:P$131))</f>
        <v>0</v>
      </c>
      <c r="Q141" s="81">
        <f ca="1">SUMPRODUCT((Work_Codes!$N$316:$Y$316=$E141)*(Work_Codes!$N$319:$Y$325)*(Q$125:Q$131))</f>
        <v>0</v>
      </c>
      <c r="R141" s="81">
        <f ca="1">SUMPRODUCT((Work_Codes!$N$316:$Y$316=$E141)*(Work_Codes!$N$319:$Y$325)*(R$125:R$131))</f>
        <v>0</v>
      </c>
      <c r="S141" s="81">
        <f ca="1">SUMPRODUCT((Work_Codes!$N$316:$Y$316=$E141)*(Work_Codes!$N$319:$Y$325)*(S$125:S$131))</f>
        <v>0</v>
      </c>
      <c r="T141" s="81">
        <f ca="1">SUMPRODUCT((Work_Codes!$N$316:$Y$316=$E141)*(Work_Codes!$N$319:$Y$325)*(T$125:T$131))</f>
        <v>0</v>
      </c>
    </row>
    <row r="142" spans="2:20" ht="11.5" customHeight="1" outlineLevel="2">
      <c r="E142" s="247" t="str">
        <f>GC!C42</f>
        <v>Service pipes</v>
      </c>
      <c r="F142" s="247"/>
      <c r="G142" s="247"/>
      <c r="H142" s="247"/>
      <c r="I142" s="247"/>
      <c r="J142" s="81">
        <f ca="1">SUMPRODUCT((Work_Codes!$N$316:$Y$316=$E142)*(Work_Codes!$N$319:$Y$325)*(J$125:J$131))</f>
        <v>0</v>
      </c>
      <c r="K142" s="81">
        <f ca="1">SUMPRODUCT((Work_Codes!$N$316:$Y$316=$E142)*(Work_Codes!$N$319:$Y$325)*(K$125:K$131))</f>
        <v>0</v>
      </c>
      <c r="L142" s="81">
        <f ca="1">SUMPRODUCT((Work_Codes!$N$316:$Y$316=$E142)*(Work_Codes!$N$319:$Y$325)*(L$125:L$131))</f>
        <v>0</v>
      </c>
      <c r="M142" s="81">
        <f ca="1">SUMPRODUCT((Work_Codes!$N$316:$Y$316=$E142)*(Work_Codes!$N$319:$Y$325)*(M$125:M$131))</f>
        <v>0</v>
      </c>
      <c r="N142" s="81">
        <f ca="1">SUMPRODUCT((Work_Codes!$N$316:$Y$316=$E142)*(Work_Codes!$N$319:$Y$325)*(N$125:N$131))</f>
        <v>0</v>
      </c>
      <c r="O142" s="81">
        <f ca="1">SUMPRODUCT((Work_Codes!$N$316:$Y$316=$E142)*(Work_Codes!$N$319:$Y$325)*(O$125:O$131))</f>
        <v>0</v>
      </c>
      <c r="P142" s="81">
        <f ca="1">SUMPRODUCT((Work_Codes!$N$316:$Y$316=$E142)*(Work_Codes!$N$319:$Y$325)*(P$125:P$131))</f>
        <v>0</v>
      </c>
      <c r="Q142" s="81">
        <f ca="1">SUMPRODUCT((Work_Codes!$N$316:$Y$316=$E142)*(Work_Codes!$N$319:$Y$325)*(Q$125:Q$131))</f>
        <v>0</v>
      </c>
      <c r="R142" s="81">
        <f ca="1">SUMPRODUCT((Work_Codes!$N$316:$Y$316=$E142)*(Work_Codes!$N$319:$Y$325)*(R$125:R$131))</f>
        <v>0</v>
      </c>
      <c r="S142" s="81">
        <f ca="1">SUMPRODUCT((Work_Codes!$N$316:$Y$316=$E142)*(Work_Codes!$N$319:$Y$325)*(S$125:S$131))</f>
        <v>0</v>
      </c>
      <c r="T142" s="81">
        <f ca="1">SUMPRODUCT((Work_Codes!$N$316:$Y$316=$E142)*(Work_Codes!$N$319:$Y$325)*(T$125:T$131))</f>
        <v>0</v>
      </c>
    </row>
    <row r="143" spans="2:20" ht="11.5" customHeight="1" outlineLevel="2">
      <c r="E143" s="247" t="str">
        <f>GC!C43</f>
        <v>Cathodic protection</v>
      </c>
      <c r="F143" s="247"/>
      <c r="G143" s="247"/>
      <c r="H143" s="247"/>
      <c r="I143" s="247"/>
      <c r="J143" s="81">
        <f ca="1">SUMPRODUCT((Work_Codes!$N$316:$Y$316=$E143)*(Work_Codes!$N$319:$Y$325)*(J$125:J$131))</f>
        <v>0</v>
      </c>
      <c r="K143" s="81">
        <f ca="1">SUMPRODUCT((Work_Codes!$N$316:$Y$316=$E143)*(Work_Codes!$N$319:$Y$325)*(K$125:K$131))</f>
        <v>0</v>
      </c>
      <c r="L143" s="81">
        <f ca="1">SUMPRODUCT((Work_Codes!$N$316:$Y$316=$E143)*(Work_Codes!$N$319:$Y$325)*(L$125:L$131))</f>
        <v>0</v>
      </c>
      <c r="M143" s="81">
        <f ca="1">SUMPRODUCT((Work_Codes!$N$316:$Y$316=$E143)*(Work_Codes!$N$319:$Y$325)*(M$125:M$131))</f>
        <v>0</v>
      </c>
      <c r="N143" s="81">
        <f ca="1">SUMPRODUCT((Work_Codes!$N$316:$Y$316=$E143)*(Work_Codes!$N$319:$Y$325)*(N$125:N$131))</f>
        <v>0</v>
      </c>
      <c r="O143" s="81">
        <f ca="1">SUMPRODUCT((Work_Codes!$N$316:$Y$316=$E143)*(Work_Codes!$N$319:$Y$325)*(O$125:O$131))</f>
        <v>0</v>
      </c>
      <c r="P143" s="81">
        <f ca="1">SUMPRODUCT((Work_Codes!$N$316:$Y$316=$E143)*(Work_Codes!$N$319:$Y$325)*(P$125:P$131))</f>
        <v>0</v>
      </c>
      <c r="Q143" s="81">
        <f ca="1">SUMPRODUCT((Work_Codes!$N$316:$Y$316=$E143)*(Work_Codes!$N$319:$Y$325)*(Q$125:Q$131))</f>
        <v>0</v>
      </c>
      <c r="R143" s="81">
        <f ca="1">SUMPRODUCT((Work_Codes!$N$316:$Y$316=$E143)*(Work_Codes!$N$319:$Y$325)*(R$125:R$131))</f>
        <v>0</v>
      </c>
      <c r="S143" s="81">
        <f ca="1">SUMPRODUCT((Work_Codes!$N$316:$Y$316=$E143)*(Work_Codes!$N$319:$Y$325)*(S$125:S$131))</f>
        <v>0</v>
      </c>
      <c r="T143" s="81">
        <f ca="1">SUMPRODUCT((Work_Codes!$N$316:$Y$316=$E143)*(Work_Codes!$N$319:$Y$325)*(T$125:T$131))</f>
        <v>0</v>
      </c>
    </row>
    <row r="144" spans="2:20" ht="11.5" customHeight="1" outlineLevel="2">
      <c r="E144" s="247" t="str">
        <f>GC!C44</f>
        <v>Supply Regulators / Valve Stations</v>
      </c>
      <c r="F144" s="247"/>
      <c r="G144" s="247"/>
      <c r="H144" s="247"/>
      <c r="I144" s="247"/>
      <c r="J144" s="81">
        <f ca="1">SUMPRODUCT((Work_Codes!$N$316:$Y$316=$E144)*(Work_Codes!$N$319:$Y$325)*(J$125:J$131))</f>
        <v>0</v>
      </c>
      <c r="K144" s="81">
        <f ca="1">SUMPRODUCT((Work_Codes!$N$316:$Y$316=$E144)*(Work_Codes!$N$319:$Y$325)*(K$125:K$131))</f>
        <v>0</v>
      </c>
      <c r="L144" s="81">
        <f ca="1">SUMPRODUCT((Work_Codes!$N$316:$Y$316=$E144)*(Work_Codes!$N$319:$Y$325)*(L$125:L$131))</f>
        <v>0</v>
      </c>
      <c r="M144" s="81">
        <f ca="1">SUMPRODUCT((Work_Codes!$N$316:$Y$316=$E144)*(Work_Codes!$N$319:$Y$325)*(M$125:M$131))</f>
        <v>0</v>
      </c>
      <c r="N144" s="81">
        <f ca="1">SUMPRODUCT((Work_Codes!$N$316:$Y$316=$E144)*(Work_Codes!$N$319:$Y$325)*(N$125:N$131))</f>
        <v>653578.96227690275</v>
      </c>
      <c r="O144" s="81">
        <f ca="1">SUMPRODUCT((Work_Codes!$N$316:$Y$316=$E144)*(Work_Codes!$N$319:$Y$325)*(O$125:O$131))</f>
        <v>247538.5797325231</v>
      </c>
      <c r="P144" s="81">
        <f ca="1">SUMPRODUCT((Work_Codes!$N$316:$Y$316=$E144)*(Work_Codes!$N$319:$Y$325)*(P$125:P$131))</f>
        <v>1240380.5624780294</v>
      </c>
      <c r="Q144" s="81">
        <f ca="1">SUMPRODUCT((Work_Codes!$N$316:$Y$316=$E144)*(Work_Codes!$N$319:$Y$325)*(Q$125:Q$131))</f>
        <v>2986621.5075816801</v>
      </c>
      <c r="R144" s="81">
        <f ca="1">SUMPRODUCT((Work_Codes!$N$316:$Y$316=$E144)*(Work_Codes!$N$319:$Y$325)*(R$125:R$131))</f>
        <v>0</v>
      </c>
      <c r="S144" s="81">
        <f ca="1">SUMPRODUCT((Work_Codes!$N$316:$Y$316=$E144)*(Work_Codes!$N$319:$Y$325)*(S$125:S$131))</f>
        <v>0</v>
      </c>
      <c r="T144" s="81">
        <f ca="1">SUMPRODUCT((Work_Codes!$N$316:$Y$316=$E144)*(Work_Codes!$N$319:$Y$325)*(T$125:T$131))</f>
        <v>2989665.7457722444</v>
      </c>
    </row>
    <row r="145" spans="4:20" ht="11.5" customHeight="1" outlineLevel="2">
      <c r="E145" s="247" t="str">
        <f>GC!C45</f>
        <v>Meters</v>
      </c>
      <c r="F145" s="247"/>
      <c r="G145" s="247"/>
      <c r="H145" s="247"/>
      <c r="I145" s="247"/>
      <c r="J145" s="81">
        <f ca="1">SUMPRODUCT((Work_Codes!$N$316:$Y$316=$E145)*(Work_Codes!$N$319:$Y$325)*(J$125:J$131))</f>
        <v>0</v>
      </c>
      <c r="K145" s="81">
        <f ca="1">SUMPRODUCT((Work_Codes!$N$316:$Y$316=$E145)*(Work_Codes!$N$319:$Y$325)*(K$125:K$131))</f>
        <v>0</v>
      </c>
      <c r="L145" s="81">
        <f ca="1">SUMPRODUCT((Work_Codes!$N$316:$Y$316=$E145)*(Work_Codes!$N$319:$Y$325)*(L$125:L$131))</f>
        <v>0</v>
      </c>
      <c r="M145" s="81">
        <f ca="1">SUMPRODUCT((Work_Codes!$N$316:$Y$316=$E145)*(Work_Codes!$N$319:$Y$325)*(M$125:M$131))</f>
        <v>0</v>
      </c>
      <c r="N145" s="81">
        <f ca="1">SUMPRODUCT((Work_Codes!$N$316:$Y$316=$E145)*(Work_Codes!$N$319:$Y$325)*(N$125:N$131))</f>
        <v>0</v>
      </c>
      <c r="O145" s="81">
        <f ca="1">SUMPRODUCT((Work_Codes!$N$316:$Y$316=$E145)*(Work_Codes!$N$319:$Y$325)*(O$125:O$131))</f>
        <v>0</v>
      </c>
      <c r="P145" s="81">
        <f ca="1">SUMPRODUCT((Work_Codes!$N$316:$Y$316=$E145)*(Work_Codes!$N$319:$Y$325)*(P$125:P$131))</f>
        <v>0</v>
      </c>
      <c r="Q145" s="81">
        <f ca="1">SUMPRODUCT((Work_Codes!$N$316:$Y$316=$E145)*(Work_Codes!$N$319:$Y$325)*(Q$125:Q$131))</f>
        <v>0</v>
      </c>
      <c r="R145" s="81">
        <f ca="1">SUMPRODUCT((Work_Codes!$N$316:$Y$316=$E145)*(Work_Codes!$N$319:$Y$325)*(R$125:R$131))</f>
        <v>0</v>
      </c>
      <c r="S145" s="81">
        <f ca="1">SUMPRODUCT((Work_Codes!$N$316:$Y$316=$E145)*(Work_Codes!$N$319:$Y$325)*(S$125:S$131))</f>
        <v>0</v>
      </c>
      <c r="T145" s="81">
        <f ca="1">SUMPRODUCT((Work_Codes!$N$316:$Y$316=$E145)*(Work_Codes!$N$319:$Y$325)*(T$125:T$131))</f>
        <v>0</v>
      </c>
    </row>
    <row r="146" spans="4:20" ht="11.5" customHeight="1" outlineLevel="2">
      <c r="E146" s="247" t="str">
        <f>GC!C46</f>
        <v>SCADA and remote control</v>
      </c>
      <c r="F146" s="247"/>
      <c r="G146" s="247"/>
      <c r="H146" s="247"/>
      <c r="I146" s="247"/>
      <c r="J146" s="81">
        <f ca="1">SUMPRODUCT((Work_Codes!$N$316:$Y$316=$E146)*(Work_Codes!$N$319:$Y$325)*(J$125:J$131))</f>
        <v>0</v>
      </c>
      <c r="K146" s="81">
        <f ca="1">SUMPRODUCT((Work_Codes!$N$316:$Y$316=$E146)*(Work_Codes!$N$319:$Y$325)*(K$125:K$131))</f>
        <v>0</v>
      </c>
      <c r="L146" s="81">
        <f ca="1">SUMPRODUCT((Work_Codes!$N$316:$Y$316=$E146)*(Work_Codes!$N$319:$Y$325)*(L$125:L$131))</f>
        <v>0</v>
      </c>
      <c r="M146" s="81">
        <f ca="1">SUMPRODUCT((Work_Codes!$N$316:$Y$316=$E146)*(Work_Codes!$N$319:$Y$325)*(M$125:M$131))</f>
        <v>0</v>
      </c>
      <c r="N146" s="81">
        <f ca="1">SUMPRODUCT((Work_Codes!$N$316:$Y$316=$E146)*(Work_Codes!$N$319:$Y$325)*(N$125:N$131))</f>
        <v>0</v>
      </c>
      <c r="O146" s="81">
        <f ca="1">SUMPRODUCT((Work_Codes!$N$316:$Y$316=$E146)*(Work_Codes!$N$319:$Y$325)*(O$125:O$131))</f>
        <v>0</v>
      </c>
      <c r="P146" s="81">
        <f ca="1">SUMPRODUCT((Work_Codes!$N$316:$Y$316=$E146)*(Work_Codes!$N$319:$Y$325)*(P$125:P$131))</f>
        <v>0</v>
      </c>
      <c r="Q146" s="81">
        <f ca="1">SUMPRODUCT((Work_Codes!$N$316:$Y$316=$E146)*(Work_Codes!$N$319:$Y$325)*(Q$125:Q$131))</f>
        <v>0</v>
      </c>
      <c r="R146" s="81">
        <f ca="1">SUMPRODUCT((Work_Codes!$N$316:$Y$316=$E146)*(Work_Codes!$N$319:$Y$325)*(R$125:R$131))</f>
        <v>0</v>
      </c>
      <c r="S146" s="81">
        <f ca="1">SUMPRODUCT((Work_Codes!$N$316:$Y$316=$E146)*(Work_Codes!$N$319:$Y$325)*(S$125:S$131))</f>
        <v>0</v>
      </c>
      <c r="T146" s="81">
        <f ca="1">SUMPRODUCT((Work_Codes!$N$316:$Y$316=$E146)*(Work_Codes!$N$319:$Y$325)*(T$125:T$131))</f>
        <v>0</v>
      </c>
    </row>
    <row r="147" spans="4:20" ht="11.5" customHeight="1" outlineLevel="2">
      <c r="E147" s="247" t="str">
        <f>GC!C47</f>
        <v>Buildings</v>
      </c>
      <c r="F147" s="247"/>
      <c r="G147" s="247"/>
      <c r="H147" s="247"/>
      <c r="I147" s="247"/>
      <c r="J147" s="81">
        <f ca="1">SUMPRODUCT((Work_Codes!$N$316:$Y$316=$E147)*(Work_Codes!$N$319:$Y$325)*(J$125:J$131))</f>
        <v>0</v>
      </c>
      <c r="K147" s="81">
        <f ca="1">SUMPRODUCT((Work_Codes!$N$316:$Y$316=$E147)*(Work_Codes!$N$319:$Y$325)*(K$125:K$131))</f>
        <v>0</v>
      </c>
      <c r="L147" s="81">
        <f ca="1">SUMPRODUCT((Work_Codes!$N$316:$Y$316=$E147)*(Work_Codes!$N$319:$Y$325)*(L$125:L$131))</f>
        <v>0</v>
      </c>
      <c r="M147" s="81">
        <f ca="1">SUMPRODUCT((Work_Codes!$N$316:$Y$316=$E147)*(Work_Codes!$N$319:$Y$325)*(M$125:M$131))</f>
        <v>0</v>
      </c>
      <c r="N147" s="81">
        <f ca="1">SUMPRODUCT((Work_Codes!$N$316:$Y$316=$E147)*(Work_Codes!$N$319:$Y$325)*(N$125:N$131))</f>
        <v>0</v>
      </c>
      <c r="O147" s="81">
        <f ca="1">SUMPRODUCT((Work_Codes!$N$316:$Y$316=$E147)*(Work_Codes!$N$319:$Y$325)*(O$125:O$131))</f>
        <v>0</v>
      </c>
      <c r="P147" s="81">
        <f ca="1">SUMPRODUCT((Work_Codes!$N$316:$Y$316=$E147)*(Work_Codes!$N$319:$Y$325)*(P$125:P$131))</f>
        <v>0</v>
      </c>
      <c r="Q147" s="81">
        <f ca="1">SUMPRODUCT((Work_Codes!$N$316:$Y$316=$E147)*(Work_Codes!$N$319:$Y$325)*(Q$125:Q$131))</f>
        <v>0</v>
      </c>
      <c r="R147" s="81">
        <f ca="1">SUMPRODUCT((Work_Codes!$N$316:$Y$316=$E147)*(Work_Codes!$N$319:$Y$325)*(R$125:R$131))</f>
        <v>0</v>
      </c>
      <c r="S147" s="81">
        <f ca="1">SUMPRODUCT((Work_Codes!$N$316:$Y$316=$E147)*(Work_Codes!$N$319:$Y$325)*(S$125:S$131))</f>
        <v>0</v>
      </c>
      <c r="T147" s="81">
        <f ca="1">SUMPRODUCT((Work_Codes!$N$316:$Y$316=$E147)*(Work_Codes!$N$319:$Y$325)*(T$125:T$131))</f>
        <v>0</v>
      </c>
    </row>
    <row r="148" spans="4:20" ht="11.5" customHeight="1" outlineLevel="2">
      <c r="E148" s="247" t="str">
        <f>GC!C48</f>
        <v>Other - IT</v>
      </c>
      <c r="F148" s="247"/>
      <c r="G148" s="247"/>
      <c r="H148" s="247"/>
      <c r="I148" s="247"/>
      <c r="J148" s="81">
        <f ca="1">SUMPRODUCT((Work_Codes!$N$316:$Y$316=$E148)*(Work_Codes!$N$319:$Y$325)*(J$125:J$131))</f>
        <v>0</v>
      </c>
      <c r="K148" s="81">
        <f ca="1">SUMPRODUCT((Work_Codes!$N$316:$Y$316=$E148)*(Work_Codes!$N$319:$Y$325)*(K$125:K$131))</f>
        <v>0</v>
      </c>
      <c r="L148" s="81">
        <f ca="1">SUMPRODUCT((Work_Codes!$N$316:$Y$316=$E148)*(Work_Codes!$N$319:$Y$325)*(L$125:L$131))</f>
        <v>0</v>
      </c>
      <c r="M148" s="81">
        <f ca="1">SUMPRODUCT((Work_Codes!$N$316:$Y$316=$E148)*(Work_Codes!$N$319:$Y$325)*(M$125:M$131))</f>
        <v>0</v>
      </c>
      <c r="N148" s="81">
        <f ca="1">SUMPRODUCT((Work_Codes!$N$316:$Y$316=$E148)*(Work_Codes!$N$319:$Y$325)*(N$125:N$131))</f>
        <v>0</v>
      </c>
      <c r="O148" s="81">
        <f ca="1">SUMPRODUCT((Work_Codes!$N$316:$Y$316=$E148)*(Work_Codes!$N$319:$Y$325)*(O$125:O$131))</f>
        <v>0</v>
      </c>
      <c r="P148" s="81">
        <f ca="1">SUMPRODUCT((Work_Codes!$N$316:$Y$316=$E148)*(Work_Codes!$N$319:$Y$325)*(P$125:P$131))</f>
        <v>0</v>
      </c>
      <c r="Q148" s="81">
        <f ca="1">SUMPRODUCT((Work_Codes!$N$316:$Y$316=$E148)*(Work_Codes!$N$319:$Y$325)*(Q$125:Q$131))</f>
        <v>0</v>
      </c>
      <c r="R148" s="81">
        <f ca="1">SUMPRODUCT((Work_Codes!$N$316:$Y$316=$E148)*(Work_Codes!$N$319:$Y$325)*(R$125:R$131))</f>
        <v>0</v>
      </c>
      <c r="S148" s="81">
        <f ca="1">SUMPRODUCT((Work_Codes!$N$316:$Y$316=$E148)*(Work_Codes!$N$319:$Y$325)*(S$125:S$131))</f>
        <v>0</v>
      </c>
      <c r="T148" s="81">
        <f ca="1">SUMPRODUCT((Work_Codes!$N$316:$Y$316=$E148)*(Work_Codes!$N$319:$Y$325)*(T$125:T$131))</f>
        <v>0</v>
      </c>
    </row>
    <row r="149" spans="4:20" ht="11.5" customHeight="1" outlineLevel="2">
      <c r="E149" s="247" t="str">
        <f>GC!C49</f>
        <v>Other - non IT</v>
      </c>
      <c r="F149" s="247"/>
      <c r="G149" s="247"/>
      <c r="H149" s="247"/>
      <c r="I149" s="247"/>
      <c r="J149" s="81">
        <f ca="1">SUMPRODUCT((Work_Codes!$N$316:$Y$316=$E149)*(Work_Codes!$N$319:$Y$325)*(J$125:J$131))</f>
        <v>0</v>
      </c>
      <c r="K149" s="81">
        <f ca="1">SUMPRODUCT((Work_Codes!$N$316:$Y$316=$E149)*(Work_Codes!$N$319:$Y$325)*(K$125:K$131))</f>
        <v>0</v>
      </c>
      <c r="L149" s="81">
        <f ca="1">SUMPRODUCT((Work_Codes!$N$316:$Y$316=$E149)*(Work_Codes!$N$319:$Y$325)*(L$125:L$131))</f>
        <v>0</v>
      </c>
      <c r="M149" s="81">
        <f ca="1">SUMPRODUCT((Work_Codes!$N$316:$Y$316=$E149)*(Work_Codes!$N$319:$Y$325)*(M$125:M$131))</f>
        <v>0</v>
      </c>
      <c r="N149" s="81">
        <f ca="1">SUMPRODUCT((Work_Codes!$N$316:$Y$316=$E149)*(Work_Codes!$N$319:$Y$325)*(N$125:N$131))</f>
        <v>0</v>
      </c>
      <c r="O149" s="81">
        <f ca="1">SUMPRODUCT((Work_Codes!$N$316:$Y$316=$E149)*(Work_Codes!$N$319:$Y$325)*(O$125:O$131))</f>
        <v>0</v>
      </c>
      <c r="P149" s="81">
        <f ca="1">SUMPRODUCT((Work_Codes!$N$316:$Y$316=$E149)*(Work_Codes!$N$319:$Y$325)*(P$125:P$131))</f>
        <v>0</v>
      </c>
      <c r="Q149" s="81">
        <f ca="1">SUMPRODUCT((Work_Codes!$N$316:$Y$316=$E149)*(Work_Codes!$N$319:$Y$325)*(Q$125:Q$131))</f>
        <v>0</v>
      </c>
      <c r="R149" s="81">
        <f ca="1">SUMPRODUCT((Work_Codes!$N$316:$Y$316=$E149)*(Work_Codes!$N$319:$Y$325)*(R$125:R$131))</f>
        <v>0</v>
      </c>
      <c r="S149" s="81">
        <f ca="1">SUMPRODUCT((Work_Codes!$N$316:$Y$316=$E149)*(Work_Codes!$N$319:$Y$325)*(S$125:S$131))</f>
        <v>0</v>
      </c>
      <c r="T149" s="81">
        <f ca="1">SUMPRODUCT((Work_Codes!$N$316:$Y$316=$E149)*(Work_Codes!$N$319:$Y$325)*(T$125:T$131))</f>
        <v>0</v>
      </c>
    </row>
    <row r="150" spans="4:20" ht="11.5" customHeight="1" outlineLevel="2">
      <c r="E150" s="247" t="str">
        <f>GC!C50</f>
        <v>Land</v>
      </c>
      <c r="F150" s="247"/>
      <c r="G150" s="247"/>
      <c r="H150" s="247"/>
      <c r="I150" s="247"/>
      <c r="J150" s="81">
        <f ca="1">SUMPRODUCT((Work_Codes!$N$316:$Y$316=$E150)*(Work_Codes!$N$319:$Y$325)*(J$125:J$131))</f>
        <v>0</v>
      </c>
      <c r="K150" s="81">
        <f ca="1">SUMPRODUCT((Work_Codes!$N$316:$Y$316=$E150)*(Work_Codes!$N$319:$Y$325)*(K$125:K$131))</f>
        <v>0</v>
      </c>
      <c r="L150" s="81">
        <f ca="1">SUMPRODUCT((Work_Codes!$N$316:$Y$316=$E150)*(Work_Codes!$N$319:$Y$325)*(L$125:L$131))</f>
        <v>0</v>
      </c>
      <c r="M150" s="81">
        <f ca="1">SUMPRODUCT((Work_Codes!$N$316:$Y$316=$E150)*(Work_Codes!$N$319:$Y$325)*(M$125:M$131))</f>
        <v>0</v>
      </c>
      <c r="N150" s="81">
        <f ca="1">SUMPRODUCT((Work_Codes!$N$316:$Y$316=$E150)*(Work_Codes!$N$319:$Y$325)*(N$125:N$131))</f>
        <v>0</v>
      </c>
      <c r="O150" s="81">
        <f ca="1">SUMPRODUCT((Work_Codes!$N$316:$Y$316=$E150)*(Work_Codes!$N$319:$Y$325)*(O$125:O$131))</f>
        <v>0</v>
      </c>
      <c r="P150" s="81">
        <f ca="1">SUMPRODUCT((Work_Codes!$N$316:$Y$316=$E150)*(Work_Codes!$N$319:$Y$325)*(P$125:P$131))</f>
        <v>0</v>
      </c>
      <c r="Q150" s="81">
        <f ca="1">SUMPRODUCT((Work_Codes!$N$316:$Y$316=$E150)*(Work_Codes!$N$319:$Y$325)*(Q$125:Q$131))</f>
        <v>0</v>
      </c>
      <c r="R150" s="81">
        <f ca="1">SUMPRODUCT((Work_Codes!$N$316:$Y$316=$E150)*(Work_Codes!$N$319:$Y$325)*(R$125:R$131))</f>
        <v>0</v>
      </c>
      <c r="S150" s="81">
        <f ca="1">SUMPRODUCT((Work_Codes!$N$316:$Y$316=$E150)*(Work_Codes!$N$319:$Y$325)*(S$125:S$131))</f>
        <v>0</v>
      </c>
      <c r="T150" s="81">
        <f ca="1">SUMPRODUCT((Work_Codes!$N$316:$Y$316=$E150)*(Work_Codes!$N$319:$Y$325)*(T$125:T$131))</f>
        <v>0</v>
      </c>
    </row>
    <row r="151" spans="4:20" outlineLevel="2">
      <c r="E151" s="247" t="str">
        <f>GC!C51</f>
        <v>Capitalised Leases</v>
      </c>
      <c r="F151" s="247"/>
      <c r="G151" s="247"/>
      <c r="H151" s="247"/>
      <c r="I151" s="247"/>
      <c r="J151" s="81">
        <f ca="1">SUMPRODUCT((Work_Codes!$N$316:$Y$316=$E151)*(Work_Codes!$N$319:$Y$325)*(J$125:J$131))</f>
        <v>0</v>
      </c>
      <c r="K151" s="81">
        <f ca="1">SUMPRODUCT((Work_Codes!$N$316:$Y$316=$E151)*(Work_Codes!$N$319:$Y$325)*(K$125:K$131))</f>
        <v>0</v>
      </c>
      <c r="L151" s="81">
        <f ca="1">SUMPRODUCT((Work_Codes!$N$316:$Y$316=$E151)*(Work_Codes!$N$319:$Y$325)*(L$125:L$131))</f>
        <v>0</v>
      </c>
      <c r="M151" s="81">
        <f ca="1">SUMPRODUCT((Work_Codes!$N$316:$Y$316=$E151)*(Work_Codes!$N$319:$Y$325)*(M$125:M$131))</f>
        <v>0</v>
      </c>
      <c r="N151" s="81">
        <f ca="1">SUMPRODUCT((Work_Codes!$N$316:$Y$316=$E151)*(Work_Codes!$N$319:$Y$325)*(N$125:N$131))</f>
        <v>0</v>
      </c>
      <c r="O151" s="81">
        <f ca="1">SUMPRODUCT((Work_Codes!$N$316:$Y$316=$E151)*(Work_Codes!$N$319:$Y$325)*(O$125:O$131))</f>
        <v>0</v>
      </c>
      <c r="P151" s="81">
        <f ca="1">SUMPRODUCT((Work_Codes!$N$316:$Y$316=$E151)*(Work_Codes!$N$319:$Y$325)*(P$125:P$131))</f>
        <v>0</v>
      </c>
      <c r="Q151" s="81">
        <f ca="1">SUMPRODUCT((Work_Codes!$N$316:$Y$316=$E151)*(Work_Codes!$N$319:$Y$325)*(Q$125:Q$131))</f>
        <v>0</v>
      </c>
      <c r="R151" s="81">
        <f ca="1">SUMPRODUCT((Work_Codes!$N$316:$Y$316=$E151)*(Work_Codes!$N$319:$Y$325)*(R$125:R$131))</f>
        <v>0</v>
      </c>
      <c r="S151" s="81">
        <f ca="1">SUMPRODUCT((Work_Codes!$N$316:$Y$316=$E151)*(Work_Codes!$N$319:$Y$325)*(S$125:S$131))</f>
        <v>0</v>
      </c>
      <c r="T151" s="81">
        <f ca="1">SUMPRODUCT((Work_Codes!$N$316:$Y$316=$E151)*(Work_Codes!$N$319:$Y$325)*(T$125:T$131))</f>
        <v>0</v>
      </c>
    </row>
    <row r="152" spans="4:20" outlineLevel="2">
      <c r="E152" s="247" t="str">
        <f>GC!C52</f>
        <v>Transmission pipelines - post 1998</v>
      </c>
      <c r="F152" s="247"/>
      <c r="G152" s="247"/>
      <c r="H152" s="247"/>
      <c r="I152" s="247"/>
      <c r="J152" s="81">
        <f ca="1">SUMPRODUCT((Work_Codes!$N$316:$Y$316=$E152)*(Work_Codes!$N$319:$Y$325)*(J$125:J$131))</f>
        <v>0</v>
      </c>
      <c r="K152" s="81">
        <f ca="1">SUMPRODUCT((Work_Codes!$N$316:$Y$316=$E152)*(Work_Codes!$N$319:$Y$325)*(K$125:K$131))</f>
        <v>0</v>
      </c>
      <c r="L152" s="81">
        <f ca="1">SUMPRODUCT((Work_Codes!$N$316:$Y$316=$E152)*(Work_Codes!$N$319:$Y$325)*(L$125:L$131))</f>
        <v>0</v>
      </c>
      <c r="M152" s="81">
        <f ca="1">SUMPRODUCT((Work_Codes!$N$316:$Y$316=$E152)*(Work_Codes!$N$319:$Y$325)*(M$125:M$131))</f>
        <v>0</v>
      </c>
      <c r="N152" s="81">
        <f ca="1">SUMPRODUCT((Work_Codes!$N$316:$Y$316=$E152)*(Work_Codes!$N$319:$Y$325)*(N$125:N$131))</f>
        <v>658135.47544068424</v>
      </c>
      <c r="O152" s="81">
        <f ca="1">SUMPRODUCT((Work_Codes!$N$316:$Y$316=$E152)*(Work_Codes!$N$319:$Y$325)*(O$125:O$131))</f>
        <v>250051.95923572133</v>
      </c>
      <c r="P152" s="81">
        <f ca="1">SUMPRODUCT((Work_Codes!$N$316:$Y$316=$E152)*(Work_Codes!$N$319:$Y$325)*(P$125:P$131))</f>
        <v>0</v>
      </c>
      <c r="Q152" s="81">
        <f ca="1">SUMPRODUCT((Work_Codes!$N$316:$Y$316=$E152)*(Work_Codes!$N$319:$Y$325)*(Q$125:Q$131))</f>
        <v>0</v>
      </c>
      <c r="R152" s="81">
        <f ca="1">SUMPRODUCT((Work_Codes!$N$316:$Y$316=$E152)*(Work_Codes!$N$319:$Y$325)*(R$125:R$131))</f>
        <v>2352755.6164536397</v>
      </c>
      <c r="S152" s="81">
        <f ca="1">SUMPRODUCT((Work_Codes!$N$316:$Y$316=$E152)*(Work_Codes!$N$319:$Y$325)*(S$125:S$131))</f>
        <v>0</v>
      </c>
      <c r="T152" s="81">
        <f ca="1">SUMPRODUCT((Work_Codes!$N$316:$Y$316=$E152)*(Work_Codes!$N$319:$Y$325)*(T$125:T$131))</f>
        <v>0</v>
      </c>
    </row>
    <row r="153" spans="4:20" outlineLevel="2">
      <c r="E153" s="247" t="str">
        <f>GC!C53</f>
        <v>Distribution pipelines - post 1998</v>
      </c>
      <c r="F153" s="247"/>
      <c r="G153" s="247"/>
      <c r="H153" s="247"/>
      <c r="I153" s="247"/>
      <c r="J153" s="81">
        <f ca="1">SUMPRODUCT((Work_Codes!$N$316:$Y$316=$E153)*(Work_Codes!$N$319:$Y$325)*(J$125:J$131))</f>
        <v>0</v>
      </c>
      <c r="K153" s="81">
        <f ca="1">SUMPRODUCT((Work_Codes!$N$316:$Y$316=$E153)*(Work_Codes!$N$319:$Y$325)*(K$125:K$131))</f>
        <v>0</v>
      </c>
      <c r="L153" s="81">
        <f ca="1">SUMPRODUCT((Work_Codes!$N$316:$Y$316=$E153)*(Work_Codes!$N$319:$Y$325)*(L$125:L$131))</f>
        <v>0</v>
      </c>
      <c r="M153" s="81">
        <f ca="1">SUMPRODUCT((Work_Codes!$N$316:$Y$316=$E153)*(Work_Codes!$N$319:$Y$325)*(M$125:M$131))</f>
        <v>0</v>
      </c>
      <c r="N153" s="81">
        <f ca="1">SUMPRODUCT((Work_Codes!$N$316:$Y$316=$E153)*(Work_Codes!$N$319:$Y$325)*(N$125:N$131))</f>
        <v>2278161.2611408299</v>
      </c>
      <c r="O153" s="81">
        <f ca="1">SUMPRODUCT((Work_Codes!$N$316:$Y$316=$E153)*(Work_Codes!$N$319:$Y$325)*(O$125:O$131))</f>
        <v>2000415.6738857706</v>
      </c>
      <c r="P153" s="81">
        <f ca="1">SUMPRODUCT((Work_Codes!$N$316:$Y$316=$E153)*(Work_Codes!$N$319:$Y$325)*(P$125:P$131))</f>
        <v>3388385.9839925654</v>
      </c>
      <c r="Q153" s="81">
        <f ca="1">SUMPRODUCT((Work_Codes!$N$316:$Y$316=$E153)*(Work_Codes!$N$319:$Y$325)*(Q$125:Q$131))</f>
        <v>3122259.7894605664</v>
      </c>
      <c r="R153" s="81">
        <f ca="1">SUMPRODUCT((Work_Codes!$N$316:$Y$316=$E153)*(Work_Codes!$N$319:$Y$325)*(R$125:R$131))</f>
        <v>1037214.8164450938</v>
      </c>
      <c r="S153" s="81">
        <f ca="1">SUMPRODUCT((Work_Codes!$N$316:$Y$316=$E153)*(Work_Codes!$N$319:$Y$325)*(S$125:S$131))</f>
        <v>1983219.1814355585</v>
      </c>
      <c r="T153" s="81">
        <f ca="1">SUMPRODUCT((Work_Codes!$N$316:$Y$316=$E153)*(Work_Codes!$N$319:$Y$325)*(T$125:T$131))</f>
        <v>2405001.804512959</v>
      </c>
    </row>
    <row r="154" spans="4:20" outlineLevel="2">
      <c r="E154" s="247" t="str">
        <f>GC!C54</f>
        <v>Service pipes - post 1998</v>
      </c>
      <c r="F154" s="247"/>
      <c r="G154" s="247"/>
      <c r="H154" s="247"/>
      <c r="I154" s="247"/>
      <c r="J154" s="81">
        <f ca="1">SUMPRODUCT((Work_Codes!$N$316:$Y$316=$E154)*(Work_Codes!$N$319:$Y$325)*(J$125:J$131))</f>
        <v>0</v>
      </c>
      <c r="K154" s="81">
        <f ca="1">SUMPRODUCT((Work_Codes!$N$316:$Y$316=$E154)*(Work_Codes!$N$319:$Y$325)*(K$125:K$131))</f>
        <v>0</v>
      </c>
      <c r="L154" s="81">
        <f ca="1">SUMPRODUCT((Work_Codes!$N$316:$Y$316=$E154)*(Work_Codes!$N$319:$Y$325)*(L$125:L$131))</f>
        <v>0</v>
      </c>
      <c r="M154" s="81">
        <f ca="1">SUMPRODUCT((Work_Codes!$N$316:$Y$316=$E154)*(Work_Codes!$N$319:$Y$325)*(M$125:M$131))</f>
        <v>0</v>
      </c>
      <c r="N154" s="81">
        <f ca="1">SUMPRODUCT((Work_Codes!$N$316:$Y$316=$E154)*(Work_Codes!$N$319:$Y$325)*(N$125:N$131))</f>
        <v>0</v>
      </c>
      <c r="O154" s="81">
        <f ca="1">SUMPRODUCT((Work_Codes!$N$316:$Y$316=$E154)*(Work_Codes!$N$319:$Y$325)*(O$125:O$131))</f>
        <v>0</v>
      </c>
      <c r="P154" s="81">
        <f ca="1">SUMPRODUCT((Work_Codes!$N$316:$Y$316=$E154)*(Work_Codes!$N$319:$Y$325)*(P$125:P$131))</f>
        <v>0</v>
      </c>
      <c r="Q154" s="81">
        <f ca="1">SUMPRODUCT((Work_Codes!$N$316:$Y$316=$E154)*(Work_Codes!$N$319:$Y$325)*(Q$125:Q$131))</f>
        <v>0</v>
      </c>
      <c r="R154" s="81">
        <f ca="1">SUMPRODUCT((Work_Codes!$N$316:$Y$316=$E154)*(Work_Codes!$N$319:$Y$325)*(R$125:R$131))</f>
        <v>0</v>
      </c>
      <c r="S154" s="81">
        <f ca="1">SUMPRODUCT((Work_Codes!$N$316:$Y$316=$E154)*(Work_Codes!$N$319:$Y$325)*(S$125:S$131))</f>
        <v>0</v>
      </c>
      <c r="T154" s="81">
        <f ca="1">SUMPRODUCT((Work_Codes!$N$316:$Y$316=$E154)*(Work_Codes!$N$319:$Y$325)*(T$125:T$131))</f>
        <v>0</v>
      </c>
    </row>
    <row r="155" spans="4:20" outlineLevel="2">
      <c r="E155" s="247" t="str">
        <f>GC!C55</f>
        <v>Cathodic protection - post 1998</v>
      </c>
      <c r="F155" s="247"/>
      <c r="G155" s="247"/>
      <c r="H155" s="247"/>
      <c r="I155" s="247"/>
      <c r="J155" s="81">
        <f ca="1">SUMPRODUCT((Work_Codes!$N$316:$Y$316=$E155)*(Work_Codes!$N$319:$Y$325)*(J$125:J$131))</f>
        <v>0</v>
      </c>
      <c r="K155" s="81">
        <f ca="1">SUMPRODUCT((Work_Codes!$N$316:$Y$316=$E155)*(Work_Codes!$N$319:$Y$325)*(K$125:K$131))</f>
        <v>0</v>
      </c>
      <c r="L155" s="81">
        <f ca="1">SUMPRODUCT((Work_Codes!$N$316:$Y$316=$E155)*(Work_Codes!$N$319:$Y$325)*(L$125:L$131))</f>
        <v>0</v>
      </c>
      <c r="M155" s="81">
        <f ca="1">SUMPRODUCT((Work_Codes!$N$316:$Y$316=$E155)*(Work_Codes!$N$319:$Y$325)*(M$125:M$131))</f>
        <v>0</v>
      </c>
      <c r="N155" s="81">
        <f ca="1">SUMPRODUCT((Work_Codes!$N$316:$Y$316=$E155)*(Work_Codes!$N$319:$Y$325)*(N$125:N$131))</f>
        <v>0</v>
      </c>
      <c r="O155" s="81">
        <f ca="1">SUMPRODUCT((Work_Codes!$N$316:$Y$316=$E155)*(Work_Codes!$N$319:$Y$325)*(O$125:O$131))</f>
        <v>0</v>
      </c>
      <c r="P155" s="81">
        <f ca="1">SUMPRODUCT((Work_Codes!$N$316:$Y$316=$E155)*(Work_Codes!$N$319:$Y$325)*(P$125:P$131))</f>
        <v>0</v>
      </c>
      <c r="Q155" s="81">
        <f ca="1">SUMPRODUCT((Work_Codes!$N$316:$Y$316=$E155)*(Work_Codes!$N$319:$Y$325)*(Q$125:Q$131))</f>
        <v>0</v>
      </c>
      <c r="R155" s="81">
        <f ca="1">SUMPRODUCT((Work_Codes!$N$316:$Y$316=$E155)*(Work_Codes!$N$319:$Y$325)*(R$125:R$131))</f>
        <v>0</v>
      </c>
      <c r="S155" s="81">
        <f ca="1">SUMPRODUCT((Work_Codes!$N$316:$Y$316=$E155)*(Work_Codes!$N$319:$Y$325)*(S$125:S$131))</f>
        <v>0</v>
      </c>
      <c r="T155" s="81">
        <f ca="1">SUMPRODUCT((Work_Codes!$N$316:$Y$316=$E155)*(Work_Codes!$N$319:$Y$325)*(T$125:T$131))</f>
        <v>0</v>
      </c>
    </row>
    <row r="156" spans="4:20" ht="12" customHeight="1" outlineLevel="2">
      <c r="E156" s="249" t="str">
        <f>"Total "&amp;D138</f>
        <v>Total Direct Costs</v>
      </c>
      <c r="F156" s="249"/>
      <c r="G156" s="249"/>
      <c r="H156" s="249"/>
      <c r="I156" s="249"/>
      <c r="J156" s="82">
        <f t="shared" ref="J156:T156" ca="1" si="21">SUM(J140:J155)</f>
        <v>0</v>
      </c>
      <c r="K156" s="82">
        <f t="shared" ca="1" si="21"/>
        <v>0</v>
      </c>
      <c r="L156" s="82">
        <f t="shared" ca="1" si="21"/>
        <v>0</v>
      </c>
      <c r="M156" s="82">
        <f t="shared" ca="1" si="21"/>
        <v>0</v>
      </c>
      <c r="N156" s="82">
        <f t="shared" ca="1" si="21"/>
        <v>3589875.6988584166</v>
      </c>
      <c r="O156" s="82">
        <f t="shared" ca="1" si="21"/>
        <v>2498006.2128540152</v>
      </c>
      <c r="P156" s="82">
        <f t="shared" ca="1" si="21"/>
        <v>4628766.5464705946</v>
      </c>
      <c r="Q156" s="82">
        <f t="shared" ca="1" si="21"/>
        <v>6108881.2970422469</v>
      </c>
      <c r="R156" s="82">
        <f t="shared" ca="1" si="21"/>
        <v>3389970.4328987338</v>
      </c>
      <c r="S156" s="82">
        <f t="shared" ca="1" si="21"/>
        <v>1983219.1814355585</v>
      </c>
      <c r="T156" s="82">
        <f t="shared" ca="1" si="21"/>
        <v>5394667.5502852034</v>
      </c>
    </row>
    <row r="157" spans="4:20" outlineLevel="2"/>
    <row r="158" spans="4:20" outlineLevel="2">
      <c r="D158" s="37" t="s">
        <v>364</v>
      </c>
    </row>
    <row r="159" spans="4:20" ht="5.9" customHeight="1" outlineLevel="2"/>
    <row r="160" spans="4:20" outlineLevel="2">
      <c r="E160" s="247" t="str">
        <f>GC!C40</f>
        <v>Transmission pipelines</v>
      </c>
      <c r="F160" s="247"/>
      <c r="G160" s="247"/>
      <c r="H160" s="247"/>
      <c r="I160" s="247"/>
      <c r="J160" s="81">
        <f ca="1">J140*(INDEX(J$35:J$37,MATCH(Work_Codes!$I$313,$D$35:$D$37,0)))</f>
        <v>0</v>
      </c>
      <c r="K160" s="81">
        <f ca="1">K140*(INDEX(K$35:K$37,MATCH(Work_Codes!$I$313,$D$35:$D$37,0)))</f>
        <v>0</v>
      </c>
      <c r="L160" s="81">
        <f ca="1">L140*(INDEX(L$35:L$37,MATCH(Work_Codes!$I$313,$D$35:$D$37,0)))</f>
        <v>0</v>
      </c>
      <c r="M160" s="81">
        <f ca="1">M140*(INDEX(M$35:M$37,MATCH(Work_Codes!$I$313,$D$35:$D$37,0)))</f>
        <v>0</v>
      </c>
      <c r="N160" s="81">
        <f ca="1">N140*(INDEX(N$35:N$37,MATCH(Work_Codes!$I$313,$D$35:$D$37,0)))</f>
        <v>0</v>
      </c>
      <c r="O160" s="81">
        <f ca="1">O140*(INDEX(O$35:O$37,MATCH(Work_Codes!$I$313,$D$35:$D$37,0)))</f>
        <v>0</v>
      </c>
      <c r="P160" s="81">
        <f ca="1">P140*(INDEX(P$35:P$37,MATCH(Work_Codes!$I$313,$D$35:$D$37,0)))</f>
        <v>0</v>
      </c>
      <c r="Q160" s="81">
        <f ca="1">Q140*(INDEX(Q$35:Q$37,MATCH(Work_Codes!$I$313,$D$35:$D$37,0)))</f>
        <v>0</v>
      </c>
      <c r="R160" s="81">
        <f ca="1">R140*(INDEX(R$35:R$37,MATCH(Work_Codes!$I$313,$D$35:$D$37,0)))</f>
        <v>0</v>
      </c>
      <c r="S160" s="81">
        <f ca="1">S140*(INDEX(S$35:S$37,MATCH(Work_Codes!$I$313,$D$35:$D$37,0)))</f>
        <v>0</v>
      </c>
      <c r="T160" s="81">
        <f ca="1">T140*(INDEX(T$35:T$37,MATCH(Work_Codes!$I$313,$D$35:$D$37,0)))</f>
        <v>0</v>
      </c>
    </row>
    <row r="161" spans="5:20" outlineLevel="2">
      <c r="E161" s="247" t="str">
        <f>GC!C41</f>
        <v>Distribution pipelines</v>
      </c>
      <c r="F161" s="247"/>
      <c r="G161" s="247"/>
      <c r="H161" s="247"/>
      <c r="I161" s="247"/>
      <c r="J161" s="81">
        <f ca="1">J141*(INDEX(J$35:J$37,MATCH(Work_Codes!$I$313,$D$35:$D$37,0)))</f>
        <v>0</v>
      </c>
      <c r="K161" s="81">
        <f ca="1">K141*(INDEX(K$35:K$37,MATCH(Work_Codes!$I$313,$D$35:$D$37,0)))</f>
        <v>0</v>
      </c>
      <c r="L161" s="81">
        <f ca="1">L141*(INDEX(L$35:L$37,MATCH(Work_Codes!$I$313,$D$35:$D$37,0)))</f>
        <v>0</v>
      </c>
      <c r="M161" s="81">
        <f ca="1">M141*(INDEX(M$35:M$37,MATCH(Work_Codes!$I$313,$D$35:$D$37,0)))</f>
        <v>0</v>
      </c>
      <c r="N161" s="81">
        <f ca="1">N141*(INDEX(N$35:N$37,MATCH(Work_Codes!$I$313,$D$35:$D$37,0)))</f>
        <v>0</v>
      </c>
      <c r="O161" s="81">
        <f ca="1">O141*(INDEX(O$35:O$37,MATCH(Work_Codes!$I$313,$D$35:$D$37,0)))</f>
        <v>0</v>
      </c>
      <c r="P161" s="81">
        <f ca="1">P141*(INDEX(P$35:P$37,MATCH(Work_Codes!$I$313,$D$35:$D$37,0)))</f>
        <v>0</v>
      </c>
      <c r="Q161" s="81">
        <f ca="1">Q141*(INDEX(Q$35:Q$37,MATCH(Work_Codes!$I$313,$D$35:$D$37,0)))</f>
        <v>0</v>
      </c>
      <c r="R161" s="81">
        <f ca="1">R141*(INDEX(R$35:R$37,MATCH(Work_Codes!$I$313,$D$35:$D$37,0)))</f>
        <v>0</v>
      </c>
      <c r="S161" s="81">
        <f ca="1">S141*(INDEX(S$35:S$37,MATCH(Work_Codes!$I$313,$D$35:$D$37,0)))</f>
        <v>0</v>
      </c>
      <c r="T161" s="81">
        <f ca="1">T141*(INDEX(T$35:T$37,MATCH(Work_Codes!$I$313,$D$35:$D$37,0)))</f>
        <v>0</v>
      </c>
    </row>
    <row r="162" spans="5:20" outlineLevel="2">
      <c r="E162" s="247" t="str">
        <f>GC!C42</f>
        <v>Service pipes</v>
      </c>
      <c r="F162" s="247"/>
      <c r="G162" s="247"/>
      <c r="H162" s="247"/>
      <c r="I162" s="247"/>
      <c r="J162" s="81">
        <f ca="1">J142*(INDEX(J$35:J$37,MATCH(Work_Codes!$I$313,$D$35:$D$37,0)))</f>
        <v>0</v>
      </c>
      <c r="K162" s="81">
        <f ca="1">K142*(INDEX(K$35:K$37,MATCH(Work_Codes!$I$313,$D$35:$D$37,0)))</f>
        <v>0</v>
      </c>
      <c r="L162" s="81">
        <f ca="1">L142*(INDEX(L$35:L$37,MATCH(Work_Codes!$I$313,$D$35:$D$37,0)))</f>
        <v>0</v>
      </c>
      <c r="M162" s="81">
        <f ca="1">M142*(INDEX(M$35:M$37,MATCH(Work_Codes!$I$313,$D$35:$D$37,0)))</f>
        <v>0</v>
      </c>
      <c r="N162" s="81">
        <f ca="1">N142*(INDEX(N$35:N$37,MATCH(Work_Codes!$I$313,$D$35:$D$37,0)))</f>
        <v>0</v>
      </c>
      <c r="O162" s="81">
        <f ca="1">O142*(INDEX(O$35:O$37,MATCH(Work_Codes!$I$313,$D$35:$D$37,0)))</f>
        <v>0</v>
      </c>
      <c r="P162" s="81">
        <f ca="1">P142*(INDEX(P$35:P$37,MATCH(Work_Codes!$I$313,$D$35:$D$37,0)))</f>
        <v>0</v>
      </c>
      <c r="Q162" s="81">
        <f ca="1">Q142*(INDEX(Q$35:Q$37,MATCH(Work_Codes!$I$313,$D$35:$D$37,0)))</f>
        <v>0</v>
      </c>
      <c r="R162" s="81">
        <f ca="1">R142*(INDEX(R$35:R$37,MATCH(Work_Codes!$I$313,$D$35:$D$37,0)))</f>
        <v>0</v>
      </c>
      <c r="S162" s="81">
        <f ca="1">S142*(INDEX(S$35:S$37,MATCH(Work_Codes!$I$313,$D$35:$D$37,0)))</f>
        <v>0</v>
      </c>
      <c r="T162" s="81">
        <f ca="1">T142*(INDEX(T$35:T$37,MATCH(Work_Codes!$I$313,$D$35:$D$37,0)))</f>
        <v>0</v>
      </c>
    </row>
    <row r="163" spans="5:20" outlineLevel="2">
      <c r="E163" s="247" t="str">
        <f>GC!C43</f>
        <v>Cathodic protection</v>
      </c>
      <c r="F163" s="247"/>
      <c r="G163" s="247"/>
      <c r="H163" s="247"/>
      <c r="I163" s="247"/>
      <c r="J163" s="81">
        <f ca="1">J143*(INDEX(J$35:J$37,MATCH(Work_Codes!$I$313,$D$35:$D$37,0)))</f>
        <v>0</v>
      </c>
      <c r="K163" s="81">
        <f ca="1">K143*(INDEX(K$35:K$37,MATCH(Work_Codes!$I$313,$D$35:$D$37,0)))</f>
        <v>0</v>
      </c>
      <c r="L163" s="81">
        <f ca="1">L143*(INDEX(L$35:L$37,MATCH(Work_Codes!$I$313,$D$35:$D$37,0)))</f>
        <v>0</v>
      </c>
      <c r="M163" s="81">
        <f ca="1">M143*(INDEX(M$35:M$37,MATCH(Work_Codes!$I$313,$D$35:$D$37,0)))</f>
        <v>0</v>
      </c>
      <c r="N163" s="81">
        <f ca="1">N143*(INDEX(N$35:N$37,MATCH(Work_Codes!$I$313,$D$35:$D$37,0)))</f>
        <v>0</v>
      </c>
      <c r="O163" s="81">
        <f ca="1">O143*(INDEX(O$35:O$37,MATCH(Work_Codes!$I$313,$D$35:$D$37,0)))</f>
        <v>0</v>
      </c>
      <c r="P163" s="81">
        <f ca="1">P143*(INDEX(P$35:P$37,MATCH(Work_Codes!$I$313,$D$35:$D$37,0)))</f>
        <v>0</v>
      </c>
      <c r="Q163" s="81">
        <f ca="1">Q143*(INDEX(Q$35:Q$37,MATCH(Work_Codes!$I$313,$D$35:$D$37,0)))</f>
        <v>0</v>
      </c>
      <c r="R163" s="81">
        <f ca="1">R143*(INDEX(R$35:R$37,MATCH(Work_Codes!$I$313,$D$35:$D$37,0)))</f>
        <v>0</v>
      </c>
      <c r="S163" s="81">
        <f ca="1">S143*(INDEX(S$35:S$37,MATCH(Work_Codes!$I$313,$D$35:$D$37,0)))</f>
        <v>0</v>
      </c>
      <c r="T163" s="81">
        <f ca="1">T143*(INDEX(T$35:T$37,MATCH(Work_Codes!$I$313,$D$35:$D$37,0)))</f>
        <v>0</v>
      </c>
    </row>
    <row r="164" spans="5:20" outlineLevel="2">
      <c r="E164" s="247" t="str">
        <f>GC!C44</f>
        <v>Supply Regulators / Valve Stations</v>
      </c>
      <c r="F164" s="247"/>
      <c r="G164" s="247"/>
      <c r="H164" s="247"/>
      <c r="I164" s="247"/>
      <c r="J164" s="81">
        <f ca="1">J144*(INDEX(J$35:J$37,MATCH(Work_Codes!$I$313,$D$35:$D$37,0)))</f>
        <v>0</v>
      </c>
      <c r="K164" s="81">
        <f ca="1">K144*(INDEX(K$35:K$37,MATCH(Work_Codes!$I$313,$D$35:$D$37,0)))</f>
        <v>0</v>
      </c>
      <c r="L164" s="81">
        <f ca="1">L144*(INDEX(L$35:L$37,MATCH(Work_Codes!$I$313,$D$35:$D$37,0)))</f>
        <v>0</v>
      </c>
      <c r="M164" s="81">
        <f ca="1">M144*(INDEX(M$35:M$37,MATCH(Work_Codes!$I$313,$D$35:$D$37,0)))</f>
        <v>0</v>
      </c>
      <c r="N164" s="81">
        <f ca="1">N144*(INDEX(N$35:N$37,MATCH(Work_Codes!$I$313,$D$35:$D$37,0)))</f>
        <v>24647.121071756617</v>
      </c>
      <c r="O164" s="81">
        <f ca="1">O144*(INDEX(O$35:O$37,MATCH(Work_Codes!$I$313,$D$35:$D$37,0)))</f>
        <v>8239.0664276633652</v>
      </c>
      <c r="P164" s="81">
        <f ca="1">P144*(INDEX(P$35:P$37,MATCH(Work_Codes!$I$313,$D$35:$D$37,0)))</f>
        <v>33183.480095451254</v>
      </c>
      <c r="Q164" s="81">
        <f ca="1">Q144*(INDEX(Q$35:Q$37,MATCH(Work_Codes!$I$313,$D$35:$D$37,0)))</f>
        <v>77833.110676715849</v>
      </c>
      <c r="R164" s="81">
        <f ca="1">R144*(INDEX(R$35:R$37,MATCH(Work_Codes!$I$313,$D$35:$D$37,0)))</f>
        <v>0</v>
      </c>
      <c r="S164" s="81">
        <f ca="1">S144*(INDEX(S$35:S$37,MATCH(Work_Codes!$I$313,$D$35:$D$37,0)))</f>
        <v>0</v>
      </c>
      <c r="T164" s="81">
        <f ca="1">T144*(INDEX(T$35:T$37,MATCH(Work_Codes!$I$313,$D$35:$D$37,0)))</f>
        <v>89451.929816112111</v>
      </c>
    </row>
    <row r="165" spans="5:20" outlineLevel="2">
      <c r="E165" s="247" t="str">
        <f>GC!C45</f>
        <v>Meters</v>
      </c>
      <c r="F165" s="247"/>
      <c r="G165" s="247"/>
      <c r="H165" s="247"/>
      <c r="I165" s="247"/>
      <c r="J165" s="81">
        <f ca="1">J145*(INDEX(J$35:J$37,MATCH(Work_Codes!$I$313,$D$35:$D$37,0)))</f>
        <v>0</v>
      </c>
      <c r="K165" s="81">
        <f ca="1">K145*(INDEX(K$35:K$37,MATCH(Work_Codes!$I$313,$D$35:$D$37,0)))</f>
        <v>0</v>
      </c>
      <c r="L165" s="81">
        <f ca="1">L145*(INDEX(L$35:L$37,MATCH(Work_Codes!$I$313,$D$35:$D$37,0)))</f>
        <v>0</v>
      </c>
      <c r="M165" s="81">
        <f ca="1">M145*(INDEX(M$35:M$37,MATCH(Work_Codes!$I$313,$D$35:$D$37,0)))</f>
        <v>0</v>
      </c>
      <c r="N165" s="81">
        <f ca="1">N145*(INDEX(N$35:N$37,MATCH(Work_Codes!$I$313,$D$35:$D$37,0)))</f>
        <v>0</v>
      </c>
      <c r="O165" s="81">
        <f ca="1">O145*(INDEX(O$35:O$37,MATCH(Work_Codes!$I$313,$D$35:$D$37,0)))</f>
        <v>0</v>
      </c>
      <c r="P165" s="81">
        <f ca="1">P145*(INDEX(P$35:P$37,MATCH(Work_Codes!$I$313,$D$35:$D$37,0)))</f>
        <v>0</v>
      </c>
      <c r="Q165" s="81">
        <f ca="1">Q145*(INDEX(Q$35:Q$37,MATCH(Work_Codes!$I$313,$D$35:$D$37,0)))</f>
        <v>0</v>
      </c>
      <c r="R165" s="81">
        <f ca="1">R145*(INDEX(R$35:R$37,MATCH(Work_Codes!$I$313,$D$35:$D$37,0)))</f>
        <v>0</v>
      </c>
      <c r="S165" s="81">
        <f ca="1">S145*(INDEX(S$35:S$37,MATCH(Work_Codes!$I$313,$D$35:$D$37,0)))</f>
        <v>0</v>
      </c>
      <c r="T165" s="81">
        <f ca="1">T145*(INDEX(T$35:T$37,MATCH(Work_Codes!$I$313,$D$35:$D$37,0)))</f>
        <v>0</v>
      </c>
    </row>
    <row r="166" spans="5:20" outlineLevel="2">
      <c r="E166" s="247" t="str">
        <f>GC!C46</f>
        <v>SCADA and remote control</v>
      </c>
      <c r="F166" s="247"/>
      <c r="G166" s="247"/>
      <c r="H166" s="247"/>
      <c r="I166" s="247"/>
      <c r="J166" s="81">
        <f ca="1">J146*(INDEX(J$35:J$37,MATCH(Work_Codes!$I$313,$D$35:$D$37,0)))</f>
        <v>0</v>
      </c>
      <c r="K166" s="81">
        <f ca="1">K146*(INDEX(K$35:K$37,MATCH(Work_Codes!$I$313,$D$35:$D$37,0)))</f>
        <v>0</v>
      </c>
      <c r="L166" s="81">
        <f ca="1">L146*(INDEX(L$35:L$37,MATCH(Work_Codes!$I$313,$D$35:$D$37,0)))</f>
        <v>0</v>
      </c>
      <c r="M166" s="81">
        <f ca="1">M146*(INDEX(M$35:M$37,MATCH(Work_Codes!$I$313,$D$35:$D$37,0)))</f>
        <v>0</v>
      </c>
      <c r="N166" s="81">
        <f ca="1">N146*(INDEX(N$35:N$37,MATCH(Work_Codes!$I$313,$D$35:$D$37,0)))</f>
        <v>0</v>
      </c>
      <c r="O166" s="81">
        <f ca="1">O146*(INDEX(O$35:O$37,MATCH(Work_Codes!$I$313,$D$35:$D$37,0)))</f>
        <v>0</v>
      </c>
      <c r="P166" s="81">
        <f ca="1">P146*(INDEX(P$35:P$37,MATCH(Work_Codes!$I$313,$D$35:$D$37,0)))</f>
        <v>0</v>
      </c>
      <c r="Q166" s="81">
        <f ca="1">Q146*(INDEX(Q$35:Q$37,MATCH(Work_Codes!$I$313,$D$35:$D$37,0)))</f>
        <v>0</v>
      </c>
      <c r="R166" s="81">
        <f ca="1">R146*(INDEX(R$35:R$37,MATCH(Work_Codes!$I$313,$D$35:$D$37,0)))</f>
        <v>0</v>
      </c>
      <c r="S166" s="81">
        <f ca="1">S146*(INDEX(S$35:S$37,MATCH(Work_Codes!$I$313,$D$35:$D$37,0)))</f>
        <v>0</v>
      </c>
      <c r="T166" s="81">
        <f ca="1">T146*(INDEX(T$35:T$37,MATCH(Work_Codes!$I$313,$D$35:$D$37,0)))</f>
        <v>0</v>
      </c>
    </row>
    <row r="167" spans="5:20" outlineLevel="2">
      <c r="E167" s="247" t="str">
        <f>GC!C47</f>
        <v>Buildings</v>
      </c>
      <c r="F167" s="247"/>
      <c r="G167" s="247"/>
      <c r="H167" s="247"/>
      <c r="I167" s="247"/>
      <c r="J167" s="81">
        <f ca="1">J147*(INDEX(J$35:J$37,MATCH(Work_Codes!$I$313,$D$35:$D$37,0)))</f>
        <v>0</v>
      </c>
      <c r="K167" s="81">
        <f ca="1">K147*(INDEX(K$35:K$37,MATCH(Work_Codes!$I$313,$D$35:$D$37,0)))</f>
        <v>0</v>
      </c>
      <c r="L167" s="81">
        <f ca="1">L147*(INDEX(L$35:L$37,MATCH(Work_Codes!$I$313,$D$35:$D$37,0)))</f>
        <v>0</v>
      </c>
      <c r="M167" s="81">
        <f ca="1">M147*(INDEX(M$35:M$37,MATCH(Work_Codes!$I$313,$D$35:$D$37,0)))</f>
        <v>0</v>
      </c>
      <c r="N167" s="81">
        <f ca="1">N147*(INDEX(N$35:N$37,MATCH(Work_Codes!$I$313,$D$35:$D$37,0)))</f>
        <v>0</v>
      </c>
      <c r="O167" s="81">
        <f ca="1">O147*(INDEX(O$35:O$37,MATCH(Work_Codes!$I$313,$D$35:$D$37,0)))</f>
        <v>0</v>
      </c>
      <c r="P167" s="81">
        <f ca="1">P147*(INDEX(P$35:P$37,MATCH(Work_Codes!$I$313,$D$35:$D$37,0)))</f>
        <v>0</v>
      </c>
      <c r="Q167" s="81">
        <f ca="1">Q147*(INDEX(Q$35:Q$37,MATCH(Work_Codes!$I$313,$D$35:$D$37,0)))</f>
        <v>0</v>
      </c>
      <c r="R167" s="81">
        <f ca="1">R147*(INDEX(R$35:R$37,MATCH(Work_Codes!$I$313,$D$35:$D$37,0)))</f>
        <v>0</v>
      </c>
      <c r="S167" s="81">
        <f ca="1">S147*(INDEX(S$35:S$37,MATCH(Work_Codes!$I$313,$D$35:$D$37,0)))</f>
        <v>0</v>
      </c>
      <c r="T167" s="81">
        <f ca="1">T147*(INDEX(T$35:T$37,MATCH(Work_Codes!$I$313,$D$35:$D$37,0)))</f>
        <v>0</v>
      </c>
    </row>
    <row r="168" spans="5:20" outlineLevel="2">
      <c r="E168" s="247" t="str">
        <f>GC!C48</f>
        <v>Other - IT</v>
      </c>
      <c r="F168" s="247"/>
      <c r="G168" s="247"/>
      <c r="H168" s="247"/>
      <c r="I168" s="247"/>
      <c r="J168" s="81">
        <f ca="1">J148*(INDEX(J$35:J$37,MATCH(Work_Codes!$I$313,$D$35:$D$37,0)))</f>
        <v>0</v>
      </c>
      <c r="K168" s="81">
        <f ca="1">K148*(INDEX(K$35:K$37,MATCH(Work_Codes!$I$313,$D$35:$D$37,0)))</f>
        <v>0</v>
      </c>
      <c r="L168" s="81">
        <f ca="1">L148*(INDEX(L$35:L$37,MATCH(Work_Codes!$I$313,$D$35:$D$37,0)))</f>
        <v>0</v>
      </c>
      <c r="M168" s="81">
        <f ca="1">M148*(INDEX(M$35:M$37,MATCH(Work_Codes!$I$313,$D$35:$D$37,0)))</f>
        <v>0</v>
      </c>
      <c r="N168" s="81">
        <f ca="1">N148*(INDEX(N$35:N$37,MATCH(Work_Codes!$I$313,$D$35:$D$37,0)))</f>
        <v>0</v>
      </c>
      <c r="O168" s="81">
        <f ca="1">O148*(INDEX(O$35:O$37,MATCH(Work_Codes!$I$313,$D$35:$D$37,0)))</f>
        <v>0</v>
      </c>
      <c r="P168" s="81">
        <f ca="1">P148*(INDEX(P$35:P$37,MATCH(Work_Codes!$I$313,$D$35:$D$37,0)))</f>
        <v>0</v>
      </c>
      <c r="Q168" s="81">
        <f ca="1">Q148*(INDEX(Q$35:Q$37,MATCH(Work_Codes!$I$313,$D$35:$D$37,0)))</f>
        <v>0</v>
      </c>
      <c r="R168" s="81">
        <f ca="1">R148*(INDEX(R$35:R$37,MATCH(Work_Codes!$I$313,$D$35:$D$37,0)))</f>
        <v>0</v>
      </c>
      <c r="S168" s="81">
        <f ca="1">S148*(INDEX(S$35:S$37,MATCH(Work_Codes!$I$313,$D$35:$D$37,0)))</f>
        <v>0</v>
      </c>
      <c r="T168" s="81">
        <f ca="1">T148*(INDEX(T$35:T$37,MATCH(Work_Codes!$I$313,$D$35:$D$37,0)))</f>
        <v>0</v>
      </c>
    </row>
    <row r="169" spans="5:20" outlineLevel="2">
      <c r="E169" s="247" t="str">
        <f>GC!C49</f>
        <v>Other - non IT</v>
      </c>
      <c r="F169" s="247"/>
      <c r="G169" s="247"/>
      <c r="H169" s="247"/>
      <c r="I169" s="247"/>
      <c r="J169" s="81">
        <f ca="1">J149*(INDEX(J$35:J$37,MATCH(Work_Codes!$I$313,$D$35:$D$37,0)))</f>
        <v>0</v>
      </c>
      <c r="K169" s="81">
        <f ca="1">K149*(INDEX(K$35:K$37,MATCH(Work_Codes!$I$313,$D$35:$D$37,0)))</f>
        <v>0</v>
      </c>
      <c r="L169" s="81">
        <f ca="1">L149*(INDEX(L$35:L$37,MATCH(Work_Codes!$I$313,$D$35:$D$37,0)))</f>
        <v>0</v>
      </c>
      <c r="M169" s="81">
        <f ca="1">M149*(INDEX(M$35:M$37,MATCH(Work_Codes!$I$313,$D$35:$D$37,0)))</f>
        <v>0</v>
      </c>
      <c r="N169" s="81">
        <f ca="1">N149*(INDEX(N$35:N$37,MATCH(Work_Codes!$I$313,$D$35:$D$37,0)))</f>
        <v>0</v>
      </c>
      <c r="O169" s="81">
        <f ca="1">O149*(INDEX(O$35:O$37,MATCH(Work_Codes!$I$313,$D$35:$D$37,0)))</f>
        <v>0</v>
      </c>
      <c r="P169" s="81">
        <f ca="1">P149*(INDEX(P$35:P$37,MATCH(Work_Codes!$I$313,$D$35:$D$37,0)))</f>
        <v>0</v>
      </c>
      <c r="Q169" s="81">
        <f ca="1">Q149*(INDEX(Q$35:Q$37,MATCH(Work_Codes!$I$313,$D$35:$D$37,0)))</f>
        <v>0</v>
      </c>
      <c r="R169" s="81">
        <f ca="1">R149*(INDEX(R$35:R$37,MATCH(Work_Codes!$I$313,$D$35:$D$37,0)))</f>
        <v>0</v>
      </c>
      <c r="S169" s="81">
        <f ca="1">S149*(INDEX(S$35:S$37,MATCH(Work_Codes!$I$313,$D$35:$D$37,0)))</f>
        <v>0</v>
      </c>
      <c r="T169" s="81">
        <f ca="1">T149*(INDEX(T$35:T$37,MATCH(Work_Codes!$I$313,$D$35:$D$37,0)))</f>
        <v>0</v>
      </c>
    </row>
    <row r="170" spans="5:20" outlineLevel="2">
      <c r="E170" s="247" t="str">
        <f>GC!C50</f>
        <v>Land</v>
      </c>
      <c r="F170" s="247"/>
      <c r="G170" s="247"/>
      <c r="H170" s="247"/>
      <c r="I170" s="247"/>
      <c r="J170" s="81">
        <f ca="1">J150*(INDEX(J$35:J$37,MATCH(Work_Codes!$I$313,$D$35:$D$37,0)))</f>
        <v>0</v>
      </c>
      <c r="K170" s="81">
        <f ca="1">K150*(INDEX(K$35:K$37,MATCH(Work_Codes!$I$313,$D$35:$D$37,0)))</f>
        <v>0</v>
      </c>
      <c r="L170" s="81">
        <f ca="1">L150*(INDEX(L$35:L$37,MATCH(Work_Codes!$I$313,$D$35:$D$37,0)))</f>
        <v>0</v>
      </c>
      <c r="M170" s="81">
        <f ca="1">M150*(INDEX(M$35:M$37,MATCH(Work_Codes!$I$313,$D$35:$D$37,0)))</f>
        <v>0</v>
      </c>
      <c r="N170" s="81">
        <f ca="1">N150*(INDEX(N$35:N$37,MATCH(Work_Codes!$I$313,$D$35:$D$37,0)))</f>
        <v>0</v>
      </c>
      <c r="O170" s="81">
        <f ca="1">O150*(INDEX(O$35:O$37,MATCH(Work_Codes!$I$313,$D$35:$D$37,0)))</f>
        <v>0</v>
      </c>
      <c r="P170" s="81">
        <f ca="1">P150*(INDEX(P$35:P$37,MATCH(Work_Codes!$I$313,$D$35:$D$37,0)))</f>
        <v>0</v>
      </c>
      <c r="Q170" s="81">
        <f ca="1">Q150*(INDEX(Q$35:Q$37,MATCH(Work_Codes!$I$313,$D$35:$D$37,0)))</f>
        <v>0</v>
      </c>
      <c r="R170" s="81">
        <f ca="1">R150*(INDEX(R$35:R$37,MATCH(Work_Codes!$I$313,$D$35:$D$37,0)))</f>
        <v>0</v>
      </c>
      <c r="S170" s="81">
        <f ca="1">S150*(INDEX(S$35:S$37,MATCH(Work_Codes!$I$313,$D$35:$D$37,0)))</f>
        <v>0</v>
      </c>
      <c r="T170" s="81">
        <f ca="1">T150*(INDEX(T$35:T$37,MATCH(Work_Codes!$I$313,$D$35:$D$37,0)))</f>
        <v>0</v>
      </c>
    </row>
    <row r="171" spans="5:20" outlineLevel="2">
      <c r="E171" s="247" t="str">
        <f>GC!C51</f>
        <v>Capitalised Leases</v>
      </c>
      <c r="F171" s="247"/>
      <c r="G171" s="247"/>
      <c r="H171" s="247"/>
      <c r="I171" s="247"/>
      <c r="J171" s="81">
        <f ca="1">J151*(INDEX(J$35:J$37,MATCH(Work_Codes!$I$313,$D$35:$D$37,0)))</f>
        <v>0</v>
      </c>
      <c r="K171" s="81">
        <f ca="1">K151*(INDEX(K$35:K$37,MATCH(Work_Codes!$I$313,$D$35:$D$37,0)))</f>
        <v>0</v>
      </c>
      <c r="L171" s="81">
        <f ca="1">L151*(INDEX(L$35:L$37,MATCH(Work_Codes!$I$313,$D$35:$D$37,0)))</f>
        <v>0</v>
      </c>
      <c r="M171" s="81">
        <f ca="1">M151*(INDEX(M$35:M$37,MATCH(Work_Codes!$I$313,$D$35:$D$37,0)))</f>
        <v>0</v>
      </c>
      <c r="N171" s="81">
        <f ca="1">N151*(INDEX(N$35:N$37,MATCH(Work_Codes!$I$313,$D$35:$D$37,0)))</f>
        <v>0</v>
      </c>
      <c r="O171" s="81">
        <f ca="1">O151*(INDEX(O$35:O$37,MATCH(Work_Codes!$I$313,$D$35:$D$37,0)))</f>
        <v>0</v>
      </c>
      <c r="P171" s="81">
        <f ca="1">P151*(INDEX(P$35:P$37,MATCH(Work_Codes!$I$313,$D$35:$D$37,0)))</f>
        <v>0</v>
      </c>
      <c r="Q171" s="81">
        <f ca="1">Q151*(INDEX(Q$35:Q$37,MATCH(Work_Codes!$I$313,$D$35:$D$37,0)))</f>
        <v>0</v>
      </c>
      <c r="R171" s="81">
        <f ca="1">R151*(INDEX(R$35:R$37,MATCH(Work_Codes!$I$313,$D$35:$D$37,0)))</f>
        <v>0</v>
      </c>
      <c r="S171" s="81">
        <f ca="1">S151*(INDEX(S$35:S$37,MATCH(Work_Codes!$I$313,$D$35:$D$37,0)))</f>
        <v>0</v>
      </c>
      <c r="T171" s="81">
        <f ca="1">T151*(INDEX(T$35:T$37,MATCH(Work_Codes!$I$313,$D$35:$D$37,0)))</f>
        <v>0</v>
      </c>
    </row>
    <row r="172" spans="5:20" outlineLevel="2">
      <c r="E172" s="247" t="str">
        <f>GC!C52</f>
        <v>Transmission pipelines - post 1998</v>
      </c>
      <c r="F172" s="247"/>
      <c r="G172" s="247"/>
      <c r="H172" s="247"/>
      <c r="I172" s="247"/>
      <c r="J172" s="81">
        <f ca="1">J152*(INDEX(J$35:J$37,MATCH(Work_Codes!$I$313,$D$35:$D$37,0)))</f>
        <v>0</v>
      </c>
      <c r="K172" s="81">
        <f ca="1">K152*(INDEX(K$35:K$37,MATCH(Work_Codes!$I$313,$D$35:$D$37,0)))</f>
        <v>0</v>
      </c>
      <c r="L172" s="81">
        <f ca="1">L152*(INDEX(L$35:L$37,MATCH(Work_Codes!$I$313,$D$35:$D$37,0)))</f>
        <v>0</v>
      </c>
      <c r="M172" s="81">
        <f ca="1">M152*(INDEX(M$35:M$37,MATCH(Work_Codes!$I$313,$D$35:$D$37,0)))</f>
        <v>0</v>
      </c>
      <c r="N172" s="81">
        <f ca="1">N152*(INDEX(N$35:N$37,MATCH(Work_Codes!$I$313,$D$35:$D$37,0)))</f>
        <v>24818.951773316432</v>
      </c>
      <c r="O172" s="81">
        <f ca="1">O152*(INDEX(O$35:O$37,MATCH(Work_Codes!$I$313,$D$35:$D$37,0)))</f>
        <v>8322.7216732705492</v>
      </c>
      <c r="P172" s="81">
        <f ca="1">P152*(INDEX(P$35:P$37,MATCH(Work_Codes!$I$313,$D$35:$D$37,0)))</f>
        <v>0</v>
      </c>
      <c r="Q172" s="81">
        <f ca="1">Q152*(INDEX(Q$35:Q$37,MATCH(Work_Codes!$I$313,$D$35:$D$37,0)))</f>
        <v>0</v>
      </c>
      <c r="R172" s="81">
        <f ca="1">R152*(INDEX(R$35:R$37,MATCH(Work_Codes!$I$313,$D$35:$D$37,0)))</f>
        <v>63225.615768287927</v>
      </c>
      <c r="S172" s="81">
        <f ca="1">S152*(INDEX(S$35:S$37,MATCH(Work_Codes!$I$313,$D$35:$D$37,0)))</f>
        <v>0</v>
      </c>
      <c r="T172" s="81">
        <f ca="1">T152*(INDEX(T$35:T$37,MATCH(Work_Codes!$I$313,$D$35:$D$37,0)))</f>
        <v>0</v>
      </c>
    </row>
    <row r="173" spans="5:20" outlineLevel="2">
      <c r="E173" s="247" t="str">
        <f>GC!C53</f>
        <v>Distribution pipelines - post 1998</v>
      </c>
      <c r="F173" s="247"/>
      <c r="G173" s="247"/>
      <c r="H173" s="247"/>
      <c r="I173" s="247"/>
      <c r="J173" s="81">
        <f ca="1">J153*(INDEX(J$35:J$37,MATCH(Work_Codes!$I$313,$D$35:$D$37,0)))</f>
        <v>0</v>
      </c>
      <c r="K173" s="81">
        <f ca="1">K153*(INDEX(K$35:K$37,MATCH(Work_Codes!$I$313,$D$35:$D$37,0)))</f>
        <v>0</v>
      </c>
      <c r="L173" s="81">
        <f ca="1">L153*(INDEX(L$35:L$37,MATCH(Work_Codes!$I$313,$D$35:$D$37,0)))</f>
        <v>0</v>
      </c>
      <c r="M173" s="81">
        <f ca="1">M153*(INDEX(M$35:M$37,MATCH(Work_Codes!$I$313,$D$35:$D$37,0)))</f>
        <v>0</v>
      </c>
      <c r="N173" s="81">
        <f ca="1">N153*(INDEX(N$35:N$37,MATCH(Work_Codes!$I$313,$D$35:$D$37,0)))</f>
        <v>85911.756138403027</v>
      </c>
      <c r="O173" s="81">
        <f ca="1">O153*(INDEX(O$35:O$37,MATCH(Work_Codes!$I$313,$D$35:$D$37,0)))</f>
        <v>66581.773386164394</v>
      </c>
      <c r="P173" s="81">
        <f ca="1">P153*(INDEX(P$35:P$37,MATCH(Work_Codes!$I$313,$D$35:$D$37,0)))</f>
        <v>90648.339918269965</v>
      </c>
      <c r="Q173" s="81">
        <f ca="1">Q153*(INDEX(Q$35:Q$37,MATCH(Work_Codes!$I$313,$D$35:$D$37,0)))</f>
        <v>81367.923969487994</v>
      </c>
      <c r="R173" s="81">
        <f ca="1">R153*(INDEX(R$35:R$37,MATCH(Work_Codes!$I$313,$D$35:$D$37,0)))</f>
        <v>27873.0799727431</v>
      </c>
      <c r="S173" s="81">
        <f ca="1">S153*(INDEX(S$35:S$37,MATCH(Work_Codes!$I$313,$D$35:$D$37,0)))</f>
        <v>56613.329606907428</v>
      </c>
      <c r="T173" s="81">
        <f ca="1">T153*(INDEX(T$35:T$37,MATCH(Work_Codes!$I$313,$D$35:$D$37,0)))</f>
        <v>71958.56357157632</v>
      </c>
    </row>
    <row r="174" spans="5:20" outlineLevel="2">
      <c r="E174" s="247" t="str">
        <f>GC!C54</f>
        <v>Service pipes - post 1998</v>
      </c>
      <c r="F174" s="247"/>
      <c r="G174" s="247"/>
      <c r="H174" s="247"/>
      <c r="I174" s="247"/>
      <c r="J174" s="81">
        <f ca="1">J154*(INDEX(J$35:J$37,MATCH(Work_Codes!$I$313,$D$35:$D$37,0)))</f>
        <v>0</v>
      </c>
      <c r="K174" s="81">
        <f ca="1">K154*(INDEX(K$35:K$37,MATCH(Work_Codes!$I$313,$D$35:$D$37,0)))</f>
        <v>0</v>
      </c>
      <c r="L174" s="81">
        <f ca="1">L154*(INDEX(L$35:L$37,MATCH(Work_Codes!$I$313,$D$35:$D$37,0)))</f>
        <v>0</v>
      </c>
      <c r="M174" s="81">
        <f ca="1">M154*(INDEX(M$35:M$37,MATCH(Work_Codes!$I$313,$D$35:$D$37,0)))</f>
        <v>0</v>
      </c>
      <c r="N174" s="81">
        <f ca="1">N154*(INDEX(N$35:N$37,MATCH(Work_Codes!$I$313,$D$35:$D$37,0)))</f>
        <v>0</v>
      </c>
      <c r="O174" s="81">
        <f ca="1">O154*(INDEX(O$35:O$37,MATCH(Work_Codes!$I$313,$D$35:$D$37,0)))</f>
        <v>0</v>
      </c>
      <c r="P174" s="81">
        <f ca="1">P154*(INDEX(P$35:P$37,MATCH(Work_Codes!$I$313,$D$35:$D$37,0)))</f>
        <v>0</v>
      </c>
      <c r="Q174" s="81">
        <f ca="1">Q154*(INDEX(Q$35:Q$37,MATCH(Work_Codes!$I$313,$D$35:$D$37,0)))</f>
        <v>0</v>
      </c>
      <c r="R174" s="81">
        <f ca="1">R154*(INDEX(R$35:R$37,MATCH(Work_Codes!$I$313,$D$35:$D$37,0)))</f>
        <v>0</v>
      </c>
      <c r="S174" s="81">
        <f ca="1">S154*(INDEX(S$35:S$37,MATCH(Work_Codes!$I$313,$D$35:$D$37,0)))</f>
        <v>0</v>
      </c>
      <c r="T174" s="81">
        <f ca="1">T154*(INDEX(T$35:T$37,MATCH(Work_Codes!$I$313,$D$35:$D$37,0)))</f>
        <v>0</v>
      </c>
    </row>
    <row r="175" spans="5:20" outlineLevel="2">
      <c r="E175" s="247" t="str">
        <f>GC!C55</f>
        <v>Cathodic protection - post 1998</v>
      </c>
      <c r="F175" s="247"/>
      <c r="G175" s="247"/>
      <c r="H175" s="247"/>
      <c r="I175" s="247"/>
      <c r="J175" s="81">
        <f ca="1">J155*(INDEX(J$35:J$37,MATCH(Work_Codes!$I$313,$D$35:$D$37,0)))</f>
        <v>0</v>
      </c>
      <c r="K175" s="81">
        <f ca="1">K155*(INDEX(K$35:K$37,MATCH(Work_Codes!$I$313,$D$35:$D$37,0)))</f>
        <v>0</v>
      </c>
      <c r="L175" s="81">
        <f ca="1">L155*(INDEX(L$35:L$37,MATCH(Work_Codes!$I$313,$D$35:$D$37,0)))</f>
        <v>0</v>
      </c>
      <c r="M175" s="81">
        <f ca="1">M155*(INDEX(M$35:M$37,MATCH(Work_Codes!$I$313,$D$35:$D$37,0)))</f>
        <v>0</v>
      </c>
      <c r="N175" s="81">
        <f ca="1">N155*(INDEX(N$35:N$37,MATCH(Work_Codes!$I$313,$D$35:$D$37,0)))</f>
        <v>0</v>
      </c>
      <c r="O175" s="81">
        <f ca="1">O155*(INDEX(O$35:O$37,MATCH(Work_Codes!$I$313,$D$35:$D$37,0)))</f>
        <v>0</v>
      </c>
      <c r="P175" s="81">
        <f ca="1">P155*(INDEX(P$35:P$37,MATCH(Work_Codes!$I$313,$D$35:$D$37,0)))</f>
        <v>0</v>
      </c>
      <c r="Q175" s="81">
        <f ca="1">Q155*(INDEX(Q$35:Q$37,MATCH(Work_Codes!$I$313,$D$35:$D$37,0)))</f>
        <v>0</v>
      </c>
      <c r="R175" s="81">
        <f ca="1">R155*(INDEX(R$35:R$37,MATCH(Work_Codes!$I$313,$D$35:$D$37,0)))</f>
        <v>0</v>
      </c>
      <c r="S175" s="81">
        <f ca="1">S155*(INDEX(S$35:S$37,MATCH(Work_Codes!$I$313,$D$35:$D$37,0)))</f>
        <v>0</v>
      </c>
      <c r="T175" s="81">
        <f ca="1">T155*(INDEX(T$35:T$37,MATCH(Work_Codes!$I$313,$D$35:$D$37,0)))</f>
        <v>0</v>
      </c>
    </row>
    <row r="176" spans="5:20" outlineLevel="2">
      <c r="E176" s="249" t="str">
        <f>"Total "&amp;D158</f>
        <v>Total Overheads</v>
      </c>
      <c r="F176" s="249"/>
      <c r="G176" s="249"/>
      <c r="H176" s="249"/>
      <c r="I176" s="249"/>
      <c r="J176" s="82">
        <f t="shared" ref="J176:T176" ca="1" si="22">SUM(J160:J175)</f>
        <v>0</v>
      </c>
      <c r="K176" s="82">
        <f t="shared" ca="1" si="22"/>
        <v>0</v>
      </c>
      <c r="L176" s="82">
        <f t="shared" ca="1" si="22"/>
        <v>0</v>
      </c>
      <c r="M176" s="82">
        <f t="shared" ca="1" si="22"/>
        <v>0</v>
      </c>
      <c r="N176" s="82">
        <f t="shared" ca="1" si="22"/>
        <v>135377.82898347609</v>
      </c>
      <c r="O176" s="82">
        <f t="shared" ca="1" si="22"/>
        <v>83143.561487098312</v>
      </c>
      <c r="P176" s="82">
        <f t="shared" ca="1" si="22"/>
        <v>123831.82001372121</v>
      </c>
      <c r="Q176" s="82">
        <f t="shared" ca="1" si="22"/>
        <v>159201.03464620386</v>
      </c>
      <c r="R176" s="82">
        <f t="shared" ca="1" si="22"/>
        <v>91098.695741031028</v>
      </c>
      <c r="S176" s="82">
        <f t="shared" ca="1" si="22"/>
        <v>56613.329606907428</v>
      </c>
      <c r="T176" s="82">
        <f t="shared" ca="1" si="22"/>
        <v>161410.49338768842</v>
      </c>
    </row>
    <row r="177" spans="4:20" outlineLevel="2"/>
    <row r="178" spans="4:20" outlineLevel="2">
      <c r="D178" s="37" t="s">
        <v>216</v>
      </c>
    </row>
    <row r="179" spans="4:20" ht="5.9" customHeight="1" outlineLevel="2"/>
    <row r="180" spans="4:20" ht="11.5" customHeight="1" outlineLevel="2">
      <c r="E180" s="247" t="str">
        <f>GC!C40</f>
        <v>Transmission pipelines</v>
      </c>
      <c r="F180" s="247"/>
      <c r="G180" s="247"/>
      <c r="H180" s="247"/>
      <c r="I180" s="247"/>
      <c r="J180" s="81">
        <f ca="1">J140*(1+INDEX(J$35:J$37,MATCH(Work_Codes!$I$313,$D$35:$D$37,0)))</f>
        <v>0</v>
      </c>
      <c r="K180" s="81">
        <f ca="1">K140*(1+INDEX(K$35:K$37,MATCH(Work_Codes!$I$313,$D$35:$D$37,0)))</f>
        <v>0</v>
      </c>
      <c r="L180" s="81">
        <f ca="1">L140*(1+INDEX(L$35:L$37,MATCH(Work_Codes!$I$313,$D$35:$D$37,0)))</f>
        <v>0</v>
      </c>
      <c r="M180" s="81">
        <f ca="1">M140*(1+INDEX(M$35:M$37,MATCH(Work_Codes!$I$313,$D$35:$D$37,0)))</f>
        <v>0</v>
      </c>
      <c r="N180" s="81">
        <f ca="1">N140*(1+INDEX(N$35:N$37,MATCH(Work_Codes!$I$313,$D$35:$D$37,0)))</f>
        <v>0</v>
      </c>
      <c r="O180" s="81">
        <f ca="1">O140*(1+INDEX(O$35:O$37,MATCH(Work_Codes!$I$313,$D$35:$D$37,0)))</f>
        <v>0</v>
      </c>
      <c r="P180" s="81">
        <f ca="1">P140*(1+INDEX(P$35:P$37,MATCH(Work_Codes!$I$313,$D$35:$D$37,0)))</f>
        <v>0</v>
      </c>
      <c r="Q180" s="81">
        <f ca="1">Q140*(1+INDEX(Q$35:Q$37,MATCH(Work_Codes!$I$313,$D$35:$D$37,0)))</f>
        <v>0</v>
      </c>
      <c r="R180" s="81">
        <f ca="1">R140*(1+INDEX(R$35:R$37,MATCH(Work_Codes!$I$313,$D$35:$D$37,0)))</f>
        <v>0</v>
      </c>
      <c r="S180" s="81">
        <f ca="1">S140*(1+INDEX(S$35:S$37,MATCH(Work_Codes!$I$313,$D$35:$D$37,0)))</f>
        <v>0</v>
      </c>
      <c r="T180" s="81">
        <f ca="1">T140*(1+INDEX(T$35:T$37,MATCH(Work_Codes!$I$313,$D$35:$D$37,0)))</f>
        <v>0</v>
      </c>
    </row>
    <row r="181" spans="4:20" ht="11.5" customHeight="1" outlineLevel="2">
      <c r="E181" s="247" t="str">
        <f>GC!C41</f>
        <v>Distribution pipelines</v>
      </c>
      <c r="F181" s="247"/>
      <c r="G181" s="247"/>
      <c r="H181" s="247"/>
      <c r="I181" s="247"/>
      <c r="J181" s="81">
        <f ca="1">J141*(1+INDEX(J$35:J$37,MATCH(Work_Codes!$I$313,$D$35:$D$37,0)))</f>
        <v>0</v>
      </c>
      <c r="K181" s="81">
        <f ca="1">K141*(1+INDEX(K$35:K$37,MATCH(Work_Codes!$I$313,$D$35:$D$37,0)))</f>
        <v>0</v>
      </c>
      <c r="L181" s="81">
        <f ca="1">L141*(1+INDEX(L$35:L$37,MATCH(Work_Codes!$I$313,$D$35:$D$37,0)))</f>
        <v>0</v>
      </c>
      <c r="M181" s="81">
        <f ca="1">M141*(1+INDEX(M$35:M$37,MATCH(Work_Codes!$I$313,$D$35:$D$37,0)))</f>
        <v>0</v>
      </c>
      <c r="N181" s="81">
        <f ca="1">N141*(1+INDEX(N$35:N$37,MATCH(Work_Codes!$I$313,$D$35:$D$37,0)))</f>
        <v>0</v>
      </c>
      <c r="O181" s="81">
        <f ca="1">O141*(1+INDEX(O$35:O$37,MATCH(Work_Codes!$I$313,$D$35:$D$37,0)))</f>
        <v>0</v>
      </c>
      <c r="P181" s="81">
        <f ca="1">P141*(1+INDEX(P$35:P$37,MATCH(Work_Codes!$I$313,$D$35:$D$37,0)))</f>
        <v>0</v>
      </c>
      <c r="Q181" s="81">
        <f ca="1">Q141*(1+INDEX(Q$35:Q$37,MATCH(Work_Codes!$I$313,$D$35:$D$37,0)))</f>
        <v>0</v>
      </c>
      <c r="R181" s="81">
        <f ca="1">R141*(1+INDEX(R$35:R$37,MATCH(Work_Codes!$I$313,$D$35:$D$37,0)))</f>
        <v>0</v>
      </c>
      <c r="S181" s="81">
        <f ca="1">S141*(1+INDEX(S$35:S$37,MATCH(Work_Codes!$I$313,$D$35:$D$37,0)))</f>
        <v>0</v>
      </c>
      <c r="T181" s="81">
        <f ca="1">T141*(1+INDEX(T$35:T$37,MATCH(Work_Codes!$I$313,$D$35:$D$37,0)))</f>
        <v>0</v>
      </c>
    </row>
    <row r="182" spans="4:20" ht="11.5" customHeight="1" outlineLevel="2">
      <c r="E182" s="247" t="str">
        <f>GC!C42</f>
        <v>Service pipes</v>
      </c>
      <c r="F182" s="247"/>
      <c r="G182" s="247"/>
      <c r="H182" s="247"/>
      <c r="I182" s="247"/>
      <c r="J182" s="81">
        <f ca="1">J142*(1+INDEX(J$35:J$37,MATCH(Work_Codes!$I$313,$D$35:$D$37,0)))</f>
        <v>0</v>
      </c>
      <c r="K182" s="81">
        <f ca="1">K142*(1+INDEX(K$35:K$37,MATCH(Work_Codes!$I$313,$D$35:$D$37,0)))</f>
        <v>0</v>
      </c>
      <c r="L182" s="81">
        <f ca="1">L142*(1+INDEX(L$35:L$37,MATCH(Work_Codes!$I$313,$D$35:$D$37,0)))</f>
        <v>0</v>
      </c>
      <c r="M182" s="81">
        <f ca="1">M142*(1+INDEX(M$35:M$37,MATCH(Work_Codes!$I$313,$D$35:$D$37,0)))</f>
        <v>0</v>
      </c>
      <c r="N182" s="81">
        <f ca="1">N142*(1+INDEX(N$35:N$37,MATCH(Work_Codes!$I$313,$D$35:$D$37,0)))</f>
        <v>0</v>
      </c>
      <c r="O182" s="81">
        <f ca="1">O142*(1+INDEX(O$35:O$37,MATCH(Work_Codes!$I$313,$D$35:$D$37,0)))</f>
        <v>0</v>
      </c>
      <c r="P182" s="81">
        <f ca="1">P142*(1+INDEX(P$35:P$37,MATCH(Work_Codes!$I$313,$D$35:$D$37,0)))</f>
        <v>0</v>
      </c>
      <c r="Q182" s="81">
        <f ca="1">Q142*(1+INDEX(Q$35:Q$37,MATCH(Work_Codes!$I$313,$D$35:$D$37,0)))</f>
        <v>0</v>
      </c>
      <c r="R182" s="81">
        <f ca="1">R142*(1+INDEX(R$35:R$37,MATCH(Work_Codes!$I$313,$D$35:$D$37,0)))</f>
        <v>0</v>
      </c>
      <c r="S182" s="81">
        <f ca="1">S142*(1+INDEX(S$35:S$37,MATCH(Work_Codes!$I$313,$D$35:$D$37,0)))</f>
        <v>0</v>
      </c>
      <c r="T182" s="81">
        <f ca="1">T142*(1+INDEX(T$35:T$37,MATCH(Work_Codes!$I$313,$D$35:$D$37,0)))</f>
        <v>0</v>
      </c>
    </row>
    <row r="183" spans="4:20" ht="11.5" customHeight="1" outlineLevel="2">
      <c r="E183" s="247" t="str">
        <f>GC!C43</f>
        <v>Cathodic protection</v>
      </c>
      <c r="F183" s="247"/>
      <c r="G183" s="247"/>
      <c r="H183" s="247"/>
      <c r="I183" s="247"/>
      <c r="J183" s="81">
        <f ca="1">J143*(1+INDEX(J$35:J$37,MATCH(Work_Codes!$I$313,$D$35:$D$37,0)))</f>
        <v>0</v>
      </c>
      <c r="K183" s="81">
        <f ca="1">K143*(1+INDEX(K$35:K$37,MATCH(Work_Codes!$I$313,$D$35:$D$37,0)))</f>
        <v>0</v>
      </c>
      <c r="L183" s="81">
        <f ca="1">L143*(1+INDEX(L$35:L$37,MATCH(Work_Codes!$I$313,$D$35:$D$37,0)))</f>
        <v>0</v>
      </c>
      <c r="M183" s="81">
        <f ca="1">M143*(1+INDEX(M$35:M$37,MATCH(Work_Codes!$I$313,$D$35:$D$37,0)))</f>
        <v>0</v>
      </c>
      <c r="N183" s="81">
        <f ca="1">N143*(1+INDEX(N$35:N$37,MATCH(Work_Codes!$I$313,$D$35:$D$37,0)))</f>
        <v>0</v>
      </c>
      <c r="O183" s="81">
        <f ca="1">O143*(1+INDEX(O$35:O$37,MATCH(Work_Codes!$I$313,$D$35:$D$37,0)))</f>
        <v>0</v>
      </c>
      <c r="P183" s="81">
        <f ca="1">P143*(1+INDEX(P$35:P$37,MATCH(Work_Codes!$I$313,$D$35:$D$37,0)))</f>
        <v>0</v>
      </c>
      <c r="Q183" s="81">
        <f ca="1">Q143*(1+INDEX(Q$35:Q$37,MATCH(Work_Codes!$I$313,$D$35:$D$37,0)))</f>
        <v>0</v>
      </c>
      <c r="R183" s="81">
        <f ca="1">R143*(1+INDEX(R$35:R$37,MATCH(Work_Codes!$I$313,$D$35:$D$37,0)))</f>
        <v>0</v>
      </c>
      <c r="S183" s="81">
        <f ca="1">S143*(1+INDEX(S$35:S$37,MATCH(Work_Codes!$I$313,$D$35:$D$37,0)))</f>
        <v>0</v>
      </c>
      <c r="T183" s="81">
        <f ca="1">T143*(1+INDEX(T$35:T$37,MATCH(Work_Codes!$I$313,$D$35:$D$37,0)))</f>
        <v>0</v>
      </c>
    </row>
    <row r="184" spans="4:20" ht="11.5" customHeight="1" outlineLevel="2">
      <c r="E184" s="247" t="str">
        <f>GC!C44</f>
        <v>Supply Regulators / Valve Stations</v>
      </c>
      <c r="F184" s="247"/>
      <c r="G184" s="247"/>
      <c r="H184" s="247"/>
      <c r="I184" s="247"/>
      <c r="J184" s="81">
        <f ca="1">J144*(1+INDEX(J$35:J$37,MATCH(Work_Codes!$I$313,$D$35:$D$37,0)))</f>
        <v>0</v>
      </c>
      <c r="K184" s="81">
        <f ca="1">K144*(1+INDEX(K$35:K$37,MATCH(Work_Codes!$I$313,$D$35:$D$37,0)))</f>
        <v>0</v>
      </c>
      <c r="L184" s="81">
        <f ca="1">L144*(1+INDEX(L$35:L$37,MATCH(Work_Codes!$I$313,$D$35:$D$37,0)))</f>
        <v>0</v>
      </c>
      <c r="M184" s="81">
        <f ca="1">M144*(1+INDEX(M$35:M$37,MATCH(Work_Codes!$I$313,$D$35:$D$37,0)))</f>
        <v>0</v>
      </c>
      <c r="N184" s="81">
        <f ca="1">N144*(1+INDEX(N$35:N$37,MATCH(Work_Codes!$I$313,$D$35:$D$37,0)))</f>
        <v>678226.08334865933</v>
      </c>
      <c r="O184" s="81">
        <f ca="1">O144*(1+INDEX(O$35:O$37,MATCH(Work_Codes!$I$313,$D$35:$D$37,0)))</f>
        <v>255777.64616018647</v>
      </c>
      <c r="P184" s="81">
        <f ca="1">P144*(1+INDEX(P$35:P$37,MATCH(Work_Codes!$I$313,$D$35:$D$37,0)))</f>
        <v>1273564.0425734806</v>
      </c>
      <c r="Q184" s="81">
        <f ca="1">Q144*(1+INDEX(Q$35:Q$37,MATCH(Work_Codes!$I$313,$D$35:$D$37,0)))</f>
        <v>3064454.6182583962</v>
      </c>
      <c r="R184" s="81">
        <f ca="1">R144*(1+INDEX(R$35:R$37,MATCH(Work_Codes!$I$313,$D$35:$D$37,0)))</f>
        <v>0</v>
      </c>
      <c r="S184" s="81">
        <f ca="1">S144*(1+INDEX(S$35:S$37,MATCH(Work_Codes!$I$313,$D$35:$D$37,0)))</f>
        <v>0</v>
      </c>
      <c r="T184" s="81">
        <f ca="1">T144*(1+INDEX(T$35:T$37,MATCH(Work_Codes!$I$313,$D$35:$D$37,0)))</f>
        <v>3079117.6755883563</v>
      </c>
    </row>
    <row r="185" spans="4:20" ht="11.5" customHeight="1" outlineLevel="2">
      <c r="E185" s="247" t="str">
        <f>GC!C45</f>
        <v>Meters</v>
      </c>
      <c r="F185" s="247"/>
      <c r="G185" s="247"/>
      <c r="H185" s="247"/>
      <c r="I185" s="247"/>
      <c r="J185" s="81">
        <f ca="1">J145*(1+INDEX(J$35:J$37,MATCH(Work_Codes!$I$313,$D$35:$D$37,0)))</f>
        <v>0</v>
      </c>
      <c r="K185" s="81">
        <f ca="1">K145*(1+INDEX(K$35:K$37,MATCH(Work_Codes!$I$313,$D$35:$D$37,0)))</f>
        <v>0</v>
      </c>
      <c r="L185" s="81">
        <f ca="1">L145*(1+INDEX(L$35:L$37,MATCH(Work_Codes!$I$313,$D$35:$D$37,0)))</f>
        <v>0</v>
      </c>
      <c r="M185" s="81">
        <f ca="1">M145*(1+INDEX(M$35:M$37,MATCH(Work_Codes!$I$313,$D$35:$D$37,0)))</f>
        <v>0</v>
      </c>
      <c r="N185" s="81">
        <f ca="1">N145*(1+INDEX(N$35:N$37,MATCH(Work_Codes!$I$313,$D$35:$D$37,0)))</f>
        <v>0</v>
      </c>
      <c r="O185" s="81">
        <f ca="1">O145*(1+INDEX(O$35:O$37,MATCH(Work_Codes!$I$313,$D$35:$D$37,0)))</f>
        <v>0</v>
      </c>
      <c r="P185" s="81">
        <f ca="1">P145*(1+INDEX(P$35:P$37,MATCH(Work_Codes!$I$313,$D$35:$D$37,0)))</f>
        <v>0</v>
      </c>
      <c r="Q185" s="81">
        <f ca="1">Q145*(1+INDEX(Q$35:Q$37,MATCH(Work_Codes!$I$313,$D$35:$D$37,0)))</f>
        <v>0</v>
      </c>
      <c r="R185" s="81">
        <f ca="1">R145*(1+INDEX(R$35:R$37,MATCH(Work_Codes!$I$313,$D$35:$D$37,0)))</f>
        <v>0</v>
      </c>
      <c r="S185" s="81">
        <f ca="1">S145*(1+INDEX(S$35:S$37,MATCH(Work_Codes!$I$313,$D$35:$D$37,0)))</f>
        <v>0</v>
      </c>
      <c r="T185" s="81">
        <f ca="1">T145*(1+INDEX(T$35:T$37,MATCH(Work_Codes!$I$313,$D$35:$D$37,0)))</f>
        <v>0</v>
      </c>
    </row>
    <row r="186" spans="4:20" ht="11.5" customHeight="1" outlineLevel="2">
      <c r="E186" s="247" t="str">
        <f>GC!C46</f>
        <v>SCADA and remote control</v>
      </c>
      <c r="F186" s="247"/>
      <c r="G186" s="247"/>
      <c r="H186" s="247"/>
      <c r="I186" s="247"/>
      <c r="J186" s="81">
        <f ca="1">J146*(1+INDEX(J$35:J$37,MATCH(Work_Codes!$I$313,$D$35:$D$37,0)))</f>
        <v>0</v>
      </c>
      <c r="K186" s="81">
        <f ca="1">K146*(1+INDEX(K$35:K$37,MATCH(Work_Codes!$I$313,$D$35:$D$37,0)))</f>
        <v>0</v>
      </c>
      <c r="L186" s="81">
        <f ca="1">L146*(1+INDEX(L$35:L$37,MATCH(Work_Codes!$I$313,$D$35:$D$37,0)))</f>
        <v>0</v>
      </c>
      <c r="M186" s="81">
        <f ca="1">M146*(1+INDEX(M$35:M$37,MATCH(Work_Codes!$I$313,$D$35:$D$37,0)))</f>
        <v>0</v>
      </c>
      <c r="N186" s="81">
        <f ca="1">N146*(1+INDEX(N$35:N$37,MATCH(Work_Codes!$I$313,$D$35:$D$37,0)))</f>
        <v>0</v>
      </c>
      <c r="O186" s="81">
        <f ca="1">O146*(1+INDEX(O$35:O$37,MATCH(Work_Codes!$I$313,$D$35:$D$37,0)))</f>
        <v>0</v>
      </c>
      <c r="P186" s="81">
        <f ca="1">P146*(1+INDEX(P$35:P$37,MATCH(Work_Codes!$I$313,$D$35:$D$37,0)))</f>
        <v>0</v>
      </c>
      <c r="Q186" s="81">
        <f ca="1">Q146*(1+INDEX(Q$35:Q$37,MATCH(Work_Codes!$I$313,$D$35:$D$37,0)))</f>
        <v>0</v>
      </c>
      <c r="R186" s="81">
        <f ca="1">R146*(1+INDEX(R$35:R$37,MATCH(Work_Codes!$I$313,$D$35:$D$37,0)))</f>
        <v>0</v>
      </c>
      <c r="S186" s="81">
        <f ca="1">S146*(1+INDEX(S$35:S$37,MATCH(Work_Codes!$I$313,$D$35:$D$37,0)))</f>
        <v>0</v>
      </c>
      <c r="T186" s="81">
        <f ca="1">T146*(1+INDEX(T$35:T$37,MATCH(Work_Codes!$I$313,$D$35:$D$37,0)))</f>
        <v>0</v>
      </c>
    </row>
    <row r="187" spans="4:20" ht="11.5" customHeight="1" outlineLevel="2">
      <c r="E187" s="247" t="str">
        <f>GC!C47</f>
        <v>Buildings</v>
      </c>
      <c r="F187" s="247"/>
      <c r="G187" s="247"/>
      <c r="H187" s="247"/>
      <c r="I187" s="247"/>
      <c r="J187" s="81">
        <f ca="1">J147*(1+INDEX(J$35:J$37,MATCH(Work_Codes!$I$313,$D$35:$D$37,0)))</f>
        <v>0</v>
      </c>
      <c r="K187" s="81">
        <f ca="1">K147*(1+INDEX(K$35:K$37,MATCH(Work_Codes!$I$313,$D$35:$D$37,0)))</f>
        <v>0</v>
      </c>
      <c r="L187" s="81">
        <f ca="1">L147*(1+INDEX(L$35:L$37,MATCH(Work_Codes!$I$313,$D$35:$D$37,0)))</f>
        <v>0</v>
      </c>
      <c r="M187" s="81">
        <f ca="1">M147*(1+INDEX(M$35:M$37,MATCH(Work_Codes!$I$313,$D$35:$D$37,0)))</f>
        <v>0</v>
      </c>
      <c r="N187" s="81">
        <f ca="1">N147*(1+INDEX(N$35:N$37,MATCH(Work_Codes!$I$313,$D$35:$D$37,0)))</f>
        <v>0</v>
      </c>
      <c r="O187" s="81">
        <f ca="1">O147*(1+INDEX(O$35:O$37,MATCH(Work_Codes!$I$313,$D$35:$D$37,0)))</f>
        <v>0</v>
      </c>
      <c r="P187" s="81">
        <f ca="1">P147*(1+INDEX(P$35:P$37,MATCH(Work_Codes!$I$313,$D$35:$D$37,0)))</f>
        <v>0</v>
      </c>
      <c r="Q187" s="81">
        <f ca="1">Q147*(1+INDEX(Q$35:Q$37,MATCH(Work_Codes!$I$313,$D$35:$D$37,0)))</f>
        <v>0</v>
      </c>
      <c r="R187" s="81">
        <f ca="1">R147*(1+INDEX(R$35:R$37,MATCH(Work_Codes!$I$313,$D$35:$D$37,0)))</f>
        <v>0</v>
      </c>
      <c r="S187" s="81">
        <f ca="1">S147*(1+INDEX(S$35:S$37,MATCH(Work_Codes!$I$313,$D$35:$D$37,0)))</f>
        <v>0</v>
      </c>
      <c r="T187" s="81">
        <f ca="1">T147*(1+INDEX(T$35:T$37,MATCH(Work_Codes!$I$313,$D$35:$D$37,0)))</f>
        <v>0</v>
      </c>
    </row>
    <row r="188" spans="4:20" ht="11.5" customHeight="1" outlineLevel="2">
      <c r="E188" s="247" t="str">
        <f>GC!C48</f>
        <v>Other - IT</v>
      </c>
      <c r="F188" s="247"/>
      <c r="G188" s="247"/>
      <c r="H188" s="247"/>
      <c r="I188" s="247"/>
      <c r="J188" s="81">
        <f ca="1">J148*(1+INDEX(J$35:J$37,MATCH(Work_Codes!$I$313,$D$35:$D$37,0)))</f>
        <v>0</v>
      </c>
      <c r="K188" s="81">
        <f ca="1">K148*(1+INDEX(K$35:K$37,MATCH(Work_Codes!$I$313,$D$35:$D$37,0)))</f>
        <v>0</v>
      </c>
      <c r="L188" s="81">
        <f ca="1">L148*(1+INDEX(L$35:L$37,MATCH(Work_Codes!$I$313,$D$35:$D$37,0)))</f>
        <v>0</v>
      </c>
      <c r="M188" s="81">
        <f ca="1">M148*(1+INDEX(M$35:M$37,MATCH(Work_Codes!$I$313,$D$35:$D$37,0)))</f>
        <v>0</v>
      </c>
      <c r="N188" s="81">
        <f ca="1">N148*(1+INDEX(N$35:N$37,MATCH(Work_Codes!$I$313,$D$35:$D$37,0)))</f>
        <v>0</v>
      </c>
      <c r="O188" s="81">
        <f ca="1">O148*(1+INDEX(O$35:O$37,MATCH(Work_Codes!$I$313,$D$35:$D$37,0)))</f>
        <v>0</v>
      </c>
      <c r="P188" s="81">
        <f ca="1">P148*(1+INDEX(P$35:P$37,MATCH(Work_Codes!$I$313,$D$35:$D$37,0)))</f>
        <v>0</v>
      </c>
      <c r="Q188" s="81">
        <f ca="1">Q148*(1+INDEX(Q$35:Q$37,MATCH(Work_Codes!$I$313,$D$35:$D$37,0)))</f>
        <v>0</v>
      </c>
      <c r="R188" s="81">
        <f ca="1">R148*(1+INDEX(R$35:R$37,MATCH(Work_Codes!$I$313,$D$35:$D$37,0)))</f>
        <v>0</v>
      </c>
      <c r="S188" s="81">
        <f ca="1">S148*(1+INDEX(S$35:S$37,MATCH(Work_Codes!$I$313,$D$35:$D$37,0)))</f>
        <v>0</v>
      </c>
      <c r="T188" s="81">
        <f ca="1">T148*(1+INDEX(T$35:T$37,MATCH(Work_Codes!$I$313,$D$35:$D$37,0)))</f>
        <v>0</v>
      </c>
    </row>
    <row r="189" spans="4:20" ht="11.5" customHeight="1" outlineLevel="2">
      <c r="E189" s="247" t="str">
        <f>GC!C49</f>
        <v>Other - non IT</v>
      </c>
      <c r="F189" s="247"/>
      <c r="G189" s="247"/>
      <c r="H189" s="247"/>
      <c r="I189" s="247"/>
      <c r="J189" s="81">
        <f ca="1">J149*(1+INDEX(J$35:J$37,MATCH(Work_Codes!$I$313,$D$35:$D$37,0)))</f>
        <v>0</v>
      </c>
      <c r="K189" s="81">
        <f ca="1">K149*(1+INDEX(K$35:K$37,MATCH(Work_Codes!$I$313,$D$35:$D$37,0)))</f>
        <v>0</v>
      </c>
      <c r="L189" s="81">
        <f ca="1">L149*(1+INDEX(L$35:L$37,MATCH(Work_Codes!$I$313,$D$35:$D$37,0)))</f>
        <v>0</v>
      </c>
      <c r="M189" s="81">
        <f ca="1">M149*(1+INDEX(M$35:M$37,MATCH(Work_Codes!$I$313,$D$35:$D$37,0)))</f>
        <v>0</v>
      </c>
      <c r="N189" s="81">
        <f ca="1">N149*(1+INDEX(N$35:N$37,MATCH(Work_Codes!$I$313,$D$35:$D$37,0)))</f>
        <v>0</v>
      </c>
      <c r="O189" s="81">
        <f ca="1">O149*(1+INDEX(O$35:O$37,MATCH(Work_Codes!$I$313,$D$35:$D$37,0)))</f>
        <v>0</v>
      </c>
      <c r="P189" s="81">
        <f ca="1">P149*(1+INDEX(P$35:P$37,MATCH(Work_Codes!$I$313,$D$35:$D$37,0)))</f>
        <v>0</v>
      </c>
      <c r="Q189" s="81">
        <f ca="1">Q149*(1+INDEX(Q$35:Q$37,MATCH(Work_Codes!$I$313,$D$35:$D$37,0)))</f>
        <v>0</v>
      </c>
      <c r="R189" s="81">
        <f ca="1">R149*(1+INDEX(R$35:R$37,MATCH(Work_Codes!$I$313,$D$35:$D$37,0)))</f>
        <v>0</v>
      </c>
      <c r="S189" s="81">
        <f ca="1">S149*(1+INDEX(S$35:S$37,MATCH(Work_Codes!$I$313,$D$35:$D$37,0)))</f>
        <v>0</v>
      </c>
      <c r="T189" s="81">
        <f ca="1">T149*(1+INDEX(T$35:T$37,MATCH(Work_Codes!$I$313,$D$35:$D$37,0)))</f>
        <v>0</v>
      </c>
    </row>
    <row r="190" spans="4:20" ht="11.5" customHeight="1" outlineLevel="2">
      <c r="E190" s="247" t="str">
        <f>GC!C50</f>
        <v>Land</v>
      </c>
      <c r="F190" s="247"/>
      <c r="G190" s="247"/>
      <c r="H190" s="247"/>
      <c r="I190" s="247"/>
      <c r="J190" s="81">
        <f ca="1">J150*(1+INDEX(J$35:J$37,MATCH(Work_Codes!$I$313,$D$35:$D$37,0)))</f>
        <v>0</v>
      </c>
      <c r="K190" s="81">
        <f ca="1">K150*(1+INDEX(K$35:K$37,MATCH(Work_Codes!$I$313,$D$35:$D$37,0)))</f>
        <v>0</v>
      </c>
      <c r="L190" s="81">
        <f ca="1">L150*(1+INDEX(L$35:L$37,MATCH(Work_Codes!$I$313,$D$35:$D$37,0)))</f>
        <v>0</v>
      </c>
      <c r="M190" s="81">
        <f ca="1">M150*(1+INDEX(M$35:M$37,MATCH(Work_Codes!$I$313,$D$35:$D$37,0)))</f>
        <v>0</v>
      </c>
      <c r="N190" s="81">
        <f ca="1">N150*(1+INDEX(N$35:N$37,MATCH(Work_Codes!$I$313,$D$35:$D$37,0)))</f>
        <v>0</v>
      </c>
      <c r="O190" s="81">
        <f ca="1">O150*(1+INDEX(O$35:O$37,MATCH(Work_Codes!$I$313,$D$35:$D$37,0)))</f>
        <v>0</v>
      </c>
      <c r="P190" s="81">
        <f ca="1">P150*(1+INDEX(P$35:P$37,MATCH(Work_Codes!$I$313,$D$35:$D$37,0)))</f>
        <v>0</v>
      </c>
      <c r="Q190" s="81">
        <f ca="1">Q150*(1+INDEX(Q$35:Q$37,MATCH(Work_Codes!$I$313,$D$35:$D$37,0)))</f>
        <v>0</v>
      </c>
      <c r="R190" s="81">
        <f ca="1">R150*(1+INDEX(R$35:R$37,MATCH(Work_Codes!$I$313,$D$35:$D$37,0)))</f>
        <v>0</v>
      </c>
      <c r="S190" s="81">
        <f ca="1">S150*(1+INDEX(S$35:S$37,MATCH(Work_Codes!$I$313,$D$35:$D$37,0)))</f>
        <v>0</v>
      </c>
      <c r="T190" s="81">
        <f ca="1">T150*(1+INDEX(T$35:T$37,MATCH(Work_Codes!$I$313,$D$35:$D$37,0)))</f>
        <v>0</v>
      </c>
    </row>
    <row r="191" spans="4:20" outlineLevel="2">
      <c r="E191" s="247" t="str">
        <f>GC!C51</f>
        <v>Capitalised Leases</v>
      </c>
      <c r="F191" s="247"/>
      <c r="G191" s="247"/>
      <c r="H191" s="247"/>
      <c r="I191" s="247"/>
      <c r="J191" s="81">
        <f ca="1">J151*(1+INDEX(J$35:J$37,MATCH(Work_Codes!$I$313,$D$35:$D$37,0)))</f>
        <v>0</v>
      </c>
      <c r="K191" s="81">
        <f ca="1">K151*(1+INDEX(K$35:K$37,MATCH(Work_Codes!$I$313,$D$35:$D$37,0)))</f>
        <v>0</v>
      </c>
      <c r="L191" s="81">
        <f ca="1">L151*(1+INDEX(L$35:L$37,MATCH(Work_Codes!$I$313,$D$35:$D$37,0)))</f>
        <v>0</v>
      </c>
      <c r="M191" s="81">
        <f ca="1">M151*(1+INDEX(M$35:M$37,MATCH(Work_Codes!$I$313,$D$35:$D$37,0)))</f>
        <v>0</v>
      </c>
      <c r="N191" s="81">
        <f ca="1">N151*(1+INDEX(N$35:N$37,MATCH(Work_Codes!$I$313,$D$35:$D$37,0)))</f>
        <v>0</v>
      </c>
      <c r="O191" s="81">
        <f ca="1">O151*(1+INDEX(O$35:O$37,MATCH(Work_Codes!$I$313,$D$35:$D$37,0)))</f>
        <v>0</v>
      </c>
      <c r="P191" s="81">
        <f ca="1">P151*(1+INDEX(P$35:P$37,MATCH(Work_Codes!$I$313,$D$35:$D$37,0)))</f>
        <v>0</v>
      </c>
      <c r="Q191" s="81">
        <f ca="1">Q151*(1+INDEX(Q$35:Q$37,MATCH(Work_Codes!$I$313,$D$35:$D$37,0)))</f>
        <v>0</v>
      </c>
      <c r="R191" s="81">
        <f ca="1">R151*(1+INDEX(R$35:R$37,MATCH(Work_Codes!$I$313,$D$35:$D$37,0)))</f>
        <v>0</v>
      </c>
      <c r="S191" s="81">
        <f ca="1">S151*(1+INDEX(S$35:S$37,MATCH(Work_Codes!$I$313,$D$35:$D$37,0)))</f>
        <v>0</v>
      </c>
      <c r="T191" s="81">
        <f ca="1">T151*(1+INDEX(T$35:T$37,MATCH(Work_Codes!$I$313,$D$35:$D$37,0)))</f>
        <v>0</v>
      </c>
    </row>
    <row r="192" spans="4:20" outlineLevel="2">
      <c r="E192" s="247" t="str">
        <f>GC!C52</f>
        <v>Transmission pipelines - post 1998</v>
      </c>
      <c r="F192" s="247"/>
      <c r="G192" s="247"/>
      <c r="H192" s="247"/>
      <c r="I192" s="247"/>
      <c r="J192" s="81">
        <f ca="1">J152*(1+INDEX(J$35:J$37,MATCH(Work_Codes!$I$313,$D$35:$D$37,0)))</f>
        <v>0</v>
      </c>
      <c r="K192" s="81">
        <f ca="1">K152*(1+INDEX(K$35:K$37,MATCH(Work_Codes!$I$313,$D$35:$D$37,0)))</f>
        <v>0</v>
      </c>
      <c r="L192" s="81">
        <f ca="1">L152*(1+INDEX(L$35:L$37,MATCH(Work_Codes!$I$313,$D$35:$D$37,0)))</f>
        <v>0</v>
      </c>
      <c r="M192" s="81">
        <f ca="1">M152*(1+INDEX(M$35:M$37,MATCH(Work_Codes!$I$313,$D$35:$D$37,0)))</f>
        <v>0</v>
      </c>
      <c r="N192" s="81">
        <f ca="1">N152*(1+INDEX(N$35:N$37,MATCH(Work_Codes!$I$313,$D$35:$D$37,0)))</f>
        <v>682954.42721400061</v>
      </c>
      <c r="O192" s="81">
        <f ca="1">O152*(1+INDEX(O$35:O$37,MATCH(Work_Codes!$I$313,$D$35:$D$37,0)))</f>
        <v>258374.6809089919</v>
      </c>
      <c r="P192" s="81">
        <f ca="1">P152*(1+INDEX(P$35:P$37,MATCH(Work_Codes!$I$313,$D$35:$D$37,0)))</f>
        <v>0</v>
      </c>
      <c r="Q192" s="81">
        <f ca="1">Q152*(1+INDEX(Q$35:Q$37,MATCH(Work_Codes!$I$313,$D$35:$D$37,0)))</f>
        <v>0</v>
      </c>
      <c r="R192" s="81">
        <f ca="1">R152*(1+INDEX(R$35:R$37,MATCH(Work_Codes!$I$313,$D$35:$D$37,0)))</f>
        <v>2415981.232221928</v>
      </c>
      <c r="S192" s="81">
        <f ca="1">S152*(1+INDEX(S$35:S$37,MATCH(Work_Codes!$I$313,$D$35:$D$37,0)))</f>
        <v>0</v>
      </c>
      <c r="T192" s="81">
        <f ca="1">T152*(1+INDEX(T$35:T$37,MATCH(Work_Codes!$I$313,$D$35:$D$37,0)))</f>
        <v>0</v>
      </c>
    </row>
    <row r="193" spans="4:20" outlineLevel="2">
      <c r="E193" s="247" t="str">
        <f>GC!C53</f>
        <v>Distribution pipelines - post 1998</v>
      </c>
      <c r="F193" s="247"/>
      <c r="G193" s="247"/>
      <c r="H193" s="247"/>
      <c r="I193" s="247"/>
      <c r="J193" s="81">
        <f ca="1">J153*(1+INDEX(J$35:J$37,MATCH(Work_Codes!$I$313,$D$35:$D$37,0)))</f>
        <v>0</v>
      </c>
      <c r="K193" s="81">
        <f ca="1">K153*(1+INDEX(K$35:K$37,MATCH(Work_Codes!$I$313,$D$35:$D$37,0)))</f>
        <v>0</v>
      </c>
      <c r="L193" s="81">
        <f ca="1">L153*(1+INDEX(L$35:L$37,MATCH(Work_Codes!$I$313,$D$35:$D$37,0)))</f>
        <v>0</v>
      </c>
      <c r="M193" s="81">
        <f ca="1">M153*(1+INDEX(M$35:M$37,MATCH(Work_Codes!$I$313,$D$35:$D$37,0)))</f>
        <v>0</v>
      </c>
      <c r="N193" s="81">
        <f ca="1">N153*(1+INDEX(N$35:N$37,MATCH(Work_Codes!$I$313,$D$35:$D$37,0)))</f>
        <v>2364073.0172792329</v>
      </c>
      <c r="O193" s="81">
        <f ca="1">O153*(1+INDEX(O$35:O$37,MATCH(Work_Codes!$I$313,$D$35:$D$37,0)))</f>
        <v>2066997.4472719352</v>
      </c>
      <c r="P193" s="81">
        <f ca="1">P153*(1+INDEX(P$35:P$37,MATCH(Work_Codes!$I$313,$D$35:$D$37,0)))</f>
        <v>3479034.3239108352</v>
      </c>
      <c r="Q193" s="81">
        <f ca="1">Q153*(1+INDEX(Q$35:Q$37,MATCH(Work_Codes!$I$313,$D$35:$D$37,0)))</f>
        <v>3203627.7134300545</v>
      </c>
      <c r="R193" s="81">
        <f ca="1">R153*(1+INDEX(R$35:R$37,MATCH(Work_Codes!$I$313,$D$35:$D$37,0)))</f>
        <v>1065087.8964178371</v>
      </c>
      <c r="S193" s="81">
        <f ca="1">S153*(1+INDEX(S$35:S$37,MATCH(Work_Codes!$I$313,$D$35:$D$37,0)))</f>
        <v>2039832.5110424659</v>
      </c>
      <c r="T193" s="81">
        <f ca="1">T153*(1+INDEX(T$35:T$37,MATCH(Work_Codes!$I$313,$D$35:$D$37,0)))</f>
        <v>2476960.3680845355</v>
      </c>
    </row>
    <row r="194" spans="4:20" outlineLevel="2">
      <c r="E194" s="247" t="str">
        <f>GC!C54</f>
        <v>Service pipes - post 1998</v>
      </c>
      <c r="F194" s="247"/>
      <c r="G194" s="247"/>
      <c r="H194" s="247"/>
      <c r="I194" s="247"/>
      <c r="J194" s="81">
        <f ca="1">J154*(1+INDEX(J$35:J$37,MATCH(Work_Codes!$I$313,$D$35:$D$37,0)))</f>
        <v>0</v>
      </c>
      <c r="K194" s="81">
        <f ca="1">K154*(1+INDEX(K$35:K$37,MATCH(Work_Codes!$I$313,$D$35:$D$37,0)))</f>
        <v>0</v>
      </c>
      <c r="L194" s="81">
        <f ca="1">L154*(1+INDEX(L$35:L$37,MATCH(Work_Codes!$I$313,$D$35:$D$37,0)))</f>
        <v>0</v>
      </c>
      <c r="M194" s="81">
        <f ca="1">M154*(1+INDEX(M$35:M$37,MATCH(Work_Codes!$I$313,$D$35:$D$37,0)))</f>
        <v>0</v>
      </c>
      <c r="N194" s="81">
        <f ca="1">N154*(1+INDEX(N$35:N$37,MATCH(Work_Codes!$I$313,$D$35:$D$37,0)))</f>
        <v>0</v>
      </c>
      <c r="O194" s="81">
        <f ca="1">O154*(1+INDEX(O$35:O$37,MATCH(Work_Codes!$I$313,$D$35:$D$37,0)))</f>
        <v>0</v>
      </c>
      <c r="P194" s="81">
        <f ca="1">P154*(1+INDEX(P$35:P$37,MATCH(Work_Codes!$I$313,$D$35:$D$37,0)))</f>
        <v>0</v>
      </c>
      <c r="Q194" s="81">
        <f ca="1">Q154*(1+INDEX(Q$35:Q$37,MATCH(Work_Codes!$I$313,$D$35:$D$37,0)))</f>
        <v>0</v>
      </c>
      <c r="R194" s="81">
        <f ca="1">R154*(1+INDEX(R$35:R$37,MATCH(Work_Codes!$I$313,$D$35:$D$37,0)))</f>
        <v>0</v>
      </c>
      <c r="S194" s="81">
        <f ca="1">S154*(1+INDEX(S$35:S$37,MATCH(Work_Codes!$I$313,$D$35:$D$37,0)))</f>
        <v>0</v>
      </c>
      <c r="T194" s="81">
        <f ca="1">T154*(1+INDEX(T$35:T$37,MATCH(Work_Codes!$I$313,$D$35:$D$37,0)))</f>
        <v>0</v>
      </c>
    </row>
    <row r="195" spans="4:20" outlineLevel="2">
      <c r="E195" s="247" t="str">
        <f>GC!C55</f>
        <v>Cathodic protection - post 1998</v>
      </c>
      <c r="F195" s="247"/>
      <c r="G195" s="247"/>
      <c r="H195" s="247"/>
      <c r="I195" s="247"/>
      <c r="J195" s="81">
        <f ca="1">J155*(1+INDEX(J$35:J$37,MATCH(Work_Codes!$I$313,$D$35:$D$37,0)))</f>
        <v>0</v>
      </c>
      <c r="K195" s="81">
        <f ca="1">K155*(1+INDEX(K$35:K$37,MATCH(Work_Codes!$I$313,$D$35:$D$37,0)))</f>
        <v>0</v>
      </c>
      <c r="L195" s="81">
        <f ca="1">L155*(1+INDEX(L$35:L$37,MATCH(Work_Codes!$I$313,$D$35:$D$37,0)))</f>
        <v>0</v>
      </c>
      <c r="M195" s="81">
        <f ca="1">M155*(1+INDEX(M$35:M$37,MATCH(Work_Codes!$I$313,$D$35:$D$37,0)))</f>
        <v>0</v>
      </c>
      <c r="N195" s="81">
        <f ca="1">N155*(1+INDEX(N$35:N$37,MATCH(Work_Codes!$I$313,$D$35:$D$37,0)))</f>
        <v>0</v>
      </c>
      <c r="O195" s="81">
        <f ca="1">O155*(1+INDEX(O$35:O$37,MATCH(Work_Codes!$I$313,$D$35:$D$37,0)))</f>
        <v>0</v>
      </c>
      <c r="P195" s="81">
        <f ca="1">P155*(1+INDEX(P$35:P$37,MATCH(Work_Codes!$I$313,$D$35:$D$37,0)))</f>
        <v>0</v>
      </c>
      <c r="Q195" s="81">
        <f ca="1">Q155*(1+INDEX(Q$35:Q$37,MATCH(Work_Codes!$I$313,$D$35:$D$37,0)))</f>
        <v>0</v>
      </c>
      <c r="R195" s="81">
        <f ca="1">R155*(1+INDEX(R$35:R$37,MATCH(Work_Codes!$I$313,$D$35:$D$37,0)))</f>
        <v>0</v>
      </c>
      <c r="S195" s="81">
        <f ca="1">S155*(1+INDEX(S$35:S$37,MATCH(Work_Codes!$I$313,$D$35:$D$37,0)))</f>
        <v>0</v>
      </c>
      <c r="T195" s="81">
        <f ca="1">T155*(1+INDEX(T$35:T$37,MATCH(Work_Codes!$I$313,$D$35:$D$37,0)))</f>
        <v>0</v>
      </c>
    </row>
    <row r="196" spans="4:20" ht="12" customHeight="1" outlineLevel="2">
      <c r="E196" s="249" t="str">
        <f>"Total "&amp;D178</f>
        <v>Total Direct Costs + Overheads</v>
      </c>
      <c r="F196" s="249"/>
      <c r="G196" s="249"/>
      <c r="H196" s="249"/>
      <c r="I196" s="249"/>
      <c r="J196" s="82">
        <f t="shared" ref="J196:T196" ca="1" si="23">SUM(J180:J195)</f>
        <v>0</v>
      </c>
      <c r="K196" s="82">
        <f t="shared" ca="1" si="23"/>
        <v>0</v>
      </c>
      <c r="L196" s="82">
        <f t="shared" ca="1" si="23"/>
        <v>0</v>
      </c>
      <c r="M196" s="82">
        <f t="shared" ca="1" si="23"/>
        <v>0</v>
      </c>
      <c r="N196" s="82">
        <f t="shared" ca="1" si="23"/>
        <v>3725253.527841893</v>
      </c>
      <c r="O196" s="82">
        <f t="shared" ca="1" si="23"/>
        <v>2581149.7743411134</v>
      </c>
      <c r="P196" s="82">
        <f t="shared" ca="1" si="23"/>
        <v>4752598.3664843161</v>
      </c>
      <c r="Q196" s="82">
        <f t="shared" ca="1" si="23"/>
        <v>6268082.3316884506</v>
      </c>
      <c r="R196" s="82">
        <f t="shared" ca="1" si="23"/>
        <v>3481069.1286397651</v>
      </c>
      <c r="S196" s="82">
        <f t="shared" ca="1" si="23"/>
        <v>2039832.5110424659</v>
      </c>
      <c r="T196" s="82">
        <f t="shared" ca="1" si="23"/>
        <v>5556078.0436728913</v>
      </c>
    </row>
    <row r="197" spans="4:20" outlineLevel="2"/>
    <row r="198" spans="4:20" outlineLevel="2">
      <c r="D198" s="37" t="s">
        <v>367</v>
      </c>
    </row>
    <row r="199" spans="4:20" ht="5.9" customHeight="1" outlineLevel="2"/>
    <row r="200" spans="4:20" outlineLevel="2">
      <c r="E200" s="247" t="str">
        <f>GC!C40</f>
        <v>Transmission pipelines</v>
      </c>
      <c r="F200" s="247"/>
      <c r="G200" s="247"/>
      <c r="H200" s="247"/>
      <c r="I200" s="247"/>
      <c r="J200" s="81">
        <f ca="1">SUMPRODUCT((Work_Codes!$N$316:$Y$316=$E200)*(Work_Codes!$N$329:$Y$329)*(J$80:J$80))</f>
        <v>0</v>
      </c>
      <c r="K200" s="81">
        <f ca="1">SUMPRODUCT((Work_Codes!$N$316:$Y$316=$E200)*(Work_Codes!$N$329:$Y$329)*(K$80:K$80))</f>
        <v>0</v>
      </c>
      <c r="L200" s="81">
        <f ca="1">SUMPRODUCT((Work_Codes!$N$316:$Y$316=$E200)*(Work_Codes!$N$329:$Y$329)*(L$80:L$80))</f>
        <v>0</v>
      </c>
      <c r="M200" s="81">
        <f ca="1">SUMPRODUCT((Work_Codes!$N$316:$Y$316=$E200)*(Work_Codes!$N$329:$Y$329)*(M$80:M$80))</f>
        <v>0</v>
      </c>
      <c r="N200" s="81">
        <f ca="1">SUMPRODUCT((Work_Codes!$N$316:$Y$316=$E200)*(Work_Codes!$N$329:$Y$329)*(N$80:N$80))</f>
        <v>0</v>
      </c>
      <c r="O200" s="81">
        <f ca="1">SUMPRODUCT((Work_Codes!$N$316:$Y$316=$E200)*(Work_Codes!$N$329:$Y$329)*(O$80:O$80))</f>
        <v>0</v>
      </c>
      <c r="P200" s="81">
        <f ca="1">SUMPRODUCT((Work_Codes!$N$316:$Y$316=$E200)*(Work_Codes!$N$329:$Y$329)*(P$80:P$80))</f>
        <v>0</v>
      </c>
      <c r="Q200" s="81">
        <f ca="1">SUMPRODUCT((Work_Codes!$N$316:$Y$316=$E200)*(Work_Codes!$N$329:$Y$329)*(Q$80:Q$80))</f>
        <v>0</v>
      </c>
      <c r="R200" s="81">
        <f ca="1">SUMPRODUCT((Work_Codes!$N$316:$Y$316=$E200)*(Work_Codes!$N$329:$Y$329)*(R$80:R$80))</f>
        <v>0</v>
      </c>
      <c r="S200" s="81">
        <f ca="1">SUMPRODUCT((Work_Codes!$N$316:$Y$316=$E200)*(Work_Codes!$N$329:$Y$329)*(S$80:S$80))</f>
        <v>0</v>
      </c>
      <c r="T200" s="81">
        <f ca="1">SUMPRODUCT((Work_Codes!$N$316:$Y$316=$E200)*(Work_Codes!$N$329:$Y$329)*(T$80:T$80))</f>
        <v>0</v>
      </c>
    </row>
    <row r="201" spans="4:20" outlineLevel="2">
      <c r="E201" s="247" t="str">
        <f>GC!C41</f>
        <v>Distribution pipelines</v>
      </c>
      <c r="F201" s="247"/>
      <c r="G201" s="247"/>
      <c r="H201" s="247"/>
      <c r="I201" s="247"/>
      <c r="J201" s="81">
        <f ca="1">SUMPRODUCT((Work_Codes!$N$316:$Y$316=$E201)*(Work_Codes!$N$329:$Y$329)*(J$80:J$80))</f>
        <v>0</v>
      </c>
      <c r="K201" s="81">
        <f ca="1">SUMPRODUCT((Work_Codes!$N$316:$Y$316=$E201)*(Work_Codes!$N$329:$Y$329)*(K$80:K$80))</f>
        <v>0</v>
      </c>
      <c r="L201" s="81">
        <f ca="1">SUMPRODUCT((Work_Codes!$N$316:$Y$316=$E201)*(Work_Codes!$N$329:$Y$329)*(L$80:L$80))</f>
        <v>0</v>
      </c>
      <c r="M201" s="81">
        <f ca="1">SUMPRODUCT((Work_Codes!$N$316:$Y$316=$E201)*(Work_Codes!$N$329:$Y$329)*(M$80:M$80))</f>
        <v>0</v>
      </c>
      <c r="N201" s="81">
        <f ca="1">SUMPRODUCT((Work_Codes!$N$316:$Y$316=$E201)*(Work_Codes!$N$329:$Y$329)*(N$80:N$80))</f>
        <v>0</v>
      </c>
      <c r="O201" s="81">
        <f ca="1">SUMPRODUCT((Work_Codes!$N$316:$Y$316=$E201)*(Work_Codes!$N$329:$Y$329)*(O$80:O$80))</f>
        <v>0</v>
      </c>
      <c r="P201" s="81">
        <f ca="1">SUMPRODUCT((Work_Codes!$N$316:$Y$316=$E201)*(Work_Codes!$N$329:$Y$329)*(P$80:P$80))</f>
        <v>0</v>
      </c>
      <c r="Q201" s="81">
        <f ca="1">SUMPRODUCT((Work_Codes!$N$316:$Y$316=$E201)*(Work_Codes!$N$329:$Y$329)*(Q$80:Q$80))</f>
        <v>0</v>
      </c>
      <c r="R201" s="81">
        <f ca="1">SUMPRODUCT((Work_Codes!$N$316:$Y$316=$E201)*(Work_Codes!$N$329:$Y$329)*(R$80:R$80))</f>
        <v>0</v>
      </c>
      <c r="S201" s="81">
        <f ca="1">SUMPRODUCT((Work_Codes!$N$316:$Y$316=$E201)*(Work_Codes!$N$329:$Y$329)*(S$80:S$80))</f>
        <v>0</v>
      </c>
      <c r="T201" s="81">
        <f ca="1">SUMPRODUCT((Work_Codes!$N$316:$Y$316=$E201)*(Work_Codes!$N$329:$Y$329)*(T$80:T$80))</f>
        <v>0</v>
      </c>
    </row>
    <row r="202" spans="4:20" outlineLevel="2">
      <c r="E202" s="247" t="str">
        <f>GC!C42</f>
        <v>Service pipes</v>
      </c>
      <c r="F202" s="247"/>
      <c r="G202" s="247"/>
      <c r="H202" s="247"/>
      <c r="I202" s="247"/>
      <c r="J202" s="81">
        <f ca="1">SUMPRODUCT((Work_Codes!$N$316:$Y$316=$E202)*(Work_Codes!$N$329:$Y$329)*(J$80:J$80))</f>
        <v>0</v>
      </c>
      <c r="K202" s="81">
        <f ca="1">SUMPRODUCT((Work_Codes!$N$316:$Y$316=$E202)*(Work_Codes!$N$329:$Y$329)*(K$80:K$80))</f>
        <v>0</v>
      </c>
      <c r="L202" s="81">
        <f ca="1">SUMPRODUCT((Work_Codes!$N$316:$Y$316=$E202)*(Work_Codes!$N$329:$Y$329)*(L$80:L$80))</f>
        <v>0</v>
      </c>
      <c r="M202" s="81">
        <f ca="1">SUMPRODUCT((Work_Codes!$N$316:$Y$316=$E202)*(Work_Codes!$N$329:$Y$329)*(M$80:M$80))</f>
        <v>0</v>
      </c>
      <c r="N202" s="81">
        <f ca="1">SUMPRODUCT((Work_Codes!$N$316:$Y$316=$E202)*(Work_Codes!$N$329:$Y$329)*(N$80:N$80))</f>
        <v>0</v>
      </c>
      <c r="O202" s="81">
        <f ca="1">SUMPRODUCT((Work_Codes!$N$316:$Y$316=$E202)*(Work_Codes!$N$329:$Y$329)*(O$80:O$80))</f>
        <v>0</v>
      </c>
      <c r="P202" s="81">
        <f ca="1">SUMPRODUCT((Work_Codes!$N$316:$Y$316=$E202)*(Work_Codes!$N$329:$Y$329)*(P$80:P$80))</f>
        <v>0</v>
      </c>
      <c r="Q202" s="81">
        <f ca="1">SUMPRODUCT((Work_Codes!$N$316:$Y$316=$E202)*(Work_Codes!$N$329:$Y$329)*(Q$80:Q$80))</f>
        <v>0</v>
      </c>
      <c r="R202" s="81">
        <f ca="1">SUMPRODUCT((Work_Codes!$N$316:$Y$316=$E202)*(Work_Codes!$N$329:$Y$329)*(R$80:R$80))</f>
        <v>0</v>
      </c>
      <c r="S202" s="81">
        <f ca="1">SUMPRODUCT((Work_Codes!$N$316:$Y$316=$E202)*(Work_Codes!$N$329:$Y$329)*(S$80:S$80))</f>
        <v>0</v>
      </c>
      <c r="T202" s="81">
        <f ca="1">SUMPRODUCT((Work_Codes!$N$316:$Y$316=$E202)*(Work_Codes!$N$329:$Y$329)*(T$80:T$80))</f>
        <v>0</v>
      </c>
    </row>
    <row r="203" spans="4:20" outlineLevel="2">
      <c r="E203" s="247" t="str">
        <f>GC!C43</f>
        <v>Cathodic protection</v>
      </c>
      <c r="F203" s="247"/>
      <c r="G203" s="247"/>
      <c r="H203" s="247"/>
      <c r="I203" s="247"/>
      <c r="J203" s="81">
        <f ca="1">SUMPRODUCT((Work_Codes!$N$316:$Y$316=$E203)*(Work_Codes!$N$329:$Y$329)*(J$80:J$80))</f>
        <v>0</v>
      </c>
      <c r="K203" s="81">
        <f ca="1">SUMPRODUCT((Work_Codes!$N$316:$Y$316=$E203)*(Work_Codes!$N$329:$Y$329)*(K$80:K$80))</f>
        <v>0</v>
      </c>
      <c r="L203" s="81">
        <f ca="1">SUMPRODUCT((Work_Codes!$N$316:$Y$316=$E203)*(Work_Codes!$N$329:$Y$329)*(L$80:L$80))</f>
        <v>0</v>
      </c>
      <c r="M203" s="81">
        <f ca="1">SUMPRODUCT((Work_Codes!$N$316:$Y$316=$E203)*(Work_Codes!$N$329:$Y$329)*(M$80:M$80))</f>
        <v>0</v>
      </c>
      <c r="N203" s="81">
        <f ca="1">SUMPRODUCT((Work_Codes!$N$316:$Y$316=$E203)*(Work_Codes!$N$329:$Y$329)*(N$80:N$80))</f>
        <v>0</v>
      </c>
      <c r="O203" s="81">
        <f ca="1">SUMPRODUCT((Work_Codes!$N$316:$Y$316=$E203)*(Work_Codes!$N$329:$Y$329)*(O$80:O$80))</f>
        <v>0</v>
      </c>
      <c r="P203" s="81">
        <f ca="1">SUMPRODUCT((Work_Codes!$N$316:$Y$316=$E203)*(Work_Codes!$N$329:$Y$329)*(P$80:P$80))</f>
        <v>0</v>
      </c>
      <c r="Q203" s="81">
        <f ca="1">SUMPRODUCT((Work_Codes!$N$316:$Y$316=$E203)*(Work_Codes!$N$329:$Y$329)*(Q$80:Q$80))</f>
        <v>0</v>
      </c>
      <c r="R203" s="81">
        <f ca="1">SUMPRODUCT((Work_Codes!$N$316:$Y$316=$E203)*(Work_Codes!$N$329:$Y$329)*(R$80:R$80))</f>
        <v>0</v>
      </c>
      <c r="S203" s="81">
        <f ca="1">SUMPRODUCT((Work_Codes!$N$316:$Y$316=$E203)*(Work_Codes!$N$329:$Y$329)*(S$80:S$80))</f>
        <v>0</v>
      </c>
      <c r="T203" s="81">
        <f ca="1">SUMPRODUCT((Work_Codes!$N$316:$Y$316=$E203)*(Work_Codes!$N$329:$Y$329)*(T$80:T$80))</f>
        <v>0</v>
      </c>
    </row>
    <row r="204" spans="4:20" outlineLevel="2">
      <c r="E204" s="247" t="str">
        <f>GC!C44</f>
        <v>Supply Regulators / Valve Stations</v>
      </c>
      <c r="F204" s="247"/>
      <c r="G204" s="247"/>
      <c r="H204" s="247"/>
      <c r="I204" s="247"/>
      <c r="J204" s="81">
        <f ca="1">SUMPRODUCT((Work_Codes!$N$316:$Y$316=$E204)*(Work_Codes!$N$329:$Y$329)*(J$80:J$80))</f>
        <v>0</v>
      </c>
      <c r="K204" s="81">
        <f ca="1">SUMPRODUCT((Work_Codes!$N$316:$Y$316=$E204)*(Work_Codes!$N$329:$Y$329)*(K$80:K$80))</f>
        <v>0</v>
      </c>
      <c r="L204" s="81">
        <f ca="1">SUMPRODUCT((Work_Codes!$N$316:$Y$316=$E204)*(Work_Codes!$N$329:$Y$329)*(L$80:L$80))</f>
        <v>0</v>
      </c>
      <c r="M204" s="81">
        <f ca="1">SUMPRODUCT((Work_Codes!$N$316:$Y$316=$E204)*(Work_Codes!$N$329:$Y$329)*(M$80:M$80))</f>
        <v>0</v>
      </c>
      <c r="N204" s="81">
        <f ca="1">SUMPRODUCT((Work_Codes!$N$316:$Y$316=$E204)*(Work_Codes!$N$329:$Y$329)*(N$80:N$80))</f>
        <v>0</v>
      </c>
      <c r="O204" s="81">
        <f ca="1">SUMPRODUCT((Work_Codes!$N$316:$Y$316=$E204)*(Work_Codes!$N$329:$Y$329)*(O$80:O$80))</f>
        <v>0</v>
      </c>
      <c r="P204" s="81">
        <f ca="1">SUMPRODUCT((Work_Codes!$N$316:$Y$316=$E204)*(Work_Codes!$N$329:$Y$329)*(P$80:P$80))</f>
        <v>0</v>
      </c>
      <c r="Q204" s="81">
        <f ca="1">SUMPRODUCT((Work_Codes!$N$316:$Y$316=$E204)*(Work_Codes!$N$329:$Y$329)*(Q$80:Q$80))</f>
        <v>0</v>
      </c>
      <c r="R204" s="81">
        <f ca="1">SUMPRODUCT((Work_Codes!$N$316:$Y$316=$E204)*(Work_Codes!$N$329:$Y$329)*(R$80:R$80))</f>
        <v>0</v>
      </c>
      <c r="S204" s="81">
        <f ca="1">SUMPRODUCT((Work_Codes!$N$316:$Y$316=$E204)*(Work_Codes!$N$329:$Y$329)*(S$80:S$80))</f>
        <v>0</v>
      </c>
      <c r="T204" s="81">
        <f ca="1">SUMPRODUCT((Work_Codes!$N$316:$Y$316=$E204)*(Work_Codes!$N$329:$Y$329)*(T$80:T$80))</f>
        <v>0</v>
      </c>
    </row>
    <row r="205" spans="4:20" outlineLevel="2">
      <c r="E205" s="247" t="str">
        <f>GC!C45</f>
        <v>Meters</v>
      </c>
      <c r="F205" s="247"/>
      <c r="G205" s="247"/>
      <c r="H205" s="247"/>
      <c r="I205" s="247"/>
      <c r="J205" s="81">
        <f ca="1">SUMPRODUCT((Work_Codes!$N$316:$Y$316=$E205)*(Work_Codes!$N$329:$Y$329)*(J$80:J$80))</f>
        <v>0</v>
      </c>
      <c r="K205" s="81">
        <f ca="1">SUMPRODUCT((Work_Codes!$N$316:$Y$316=$E205)*(Work_Codes!$N$329:$Y$329)*(K$80:K$80))</f>
        <v>0</v>
      </c>
      <c r="L205" s="81">
        <f ca="1">SUMPRODUCT((Work_Codes!$N$316:$Y$316=$E205)*(Work_Codes!$N$329:$Y$329)*(L$80:L$80))</f>
        <v>0</v>
      </c>
      <c r="M205" s="81">
        <f ca="1">SUMPRODUCT((Work_Codes!$N$316:$Y$316=$E205)*(Work_Codes!$N$329:$Y$329)*(M$80:M$80))</f>
        <v>0</v>
      </c>
      <c r="N205" s="81">
        <f ca="1">SUMPRODUCT((Work_Codes!$N$316:$Y$316=$E205)*(Work_Codes!$N$329:$Y$329)*(N$80:N$80))</f>
        <v>0</v>
      </c>
      <c r="O205" s="81">
        <f ca="1">SUMPRODUCT((Work_Codes!$N$316:$Y$316=$E205)*(Work_Codes!$N$329:$Y$329)*(O$80:O$80))</f>
        <v>0</v>
      </c>
      <c r="P205" s="81">
        <f ca="1">SUMPRODUCT((Work_Codes!$N$316:$Y$316=$E205)*(Work_Codes!$N$329:$Y$329)*(P$80:P$80))</f>
        <v>0</v>
      </c>
      <c r="Q205" s="81">
        <f ca="1">SUMPRODUCT((Work_Codes!$N$316:$Y$316=$E205)*(Work_Codes!$N$329:$Y$329)*(Q$80:Q$80))</f>
        <v>0</v>
      </c>
      <c r="R205" s="81">
        <f ca="1">SUMPRODUCT((Work_Codes!$N$316:$Y$316=$E205)*(Work_Codes!$N$329:$Y$329)*(R$80:R$80))</f>
        <v>0</v>
      </c>
      <c r="S205" s="81">
        <f ca="1">SUMPRODUCT((Work_Codes!$N$316:$Y$316=$E205)*(Work_Codes!$N$329:$Y$329)*(S$80:S$80))</f>
        <v>0</v>
      </c>
      <c r="T205" s="81">
        <f ca="1">SUMPRODUCT((Work_Codes!$N$316:$Y$316=$E205)*(Work_Codes!$N$329:$Y$329)*(T$80:T$80))</f>
        <v>0</v>
      </c>
    </row>
    <row r="206" spans="4:20" outlineLevel="2">
      <c r="E206" s="247" t="str">
        <f>GC!C46</f>
        <v>SCADA and remote control</v>
      </c>
      <c r="F206" s="247"/>
      <c r="G206" s="247"/>
      <c r="H206" s="247"/>
      <c r="I206" s="247"/>
      <c r="J206" s="81">
        <f ca="1">SUMPRODUCT((Work_Codes!$N$316:$Y$316=$E206)*(Work_Codes!$N$329:$Y$329)*(J$80:J$80))</f>
        <v>0</v>
      </c>
      <c r="K206" s="81">
        <f ca="1">SUMPRODUCT((Work_Codes!$N$316:$Y$316=$E206)*(Work_Codes!$N$329:$Y$329)*(K$80:K$80))</f>
        <v>0</v>
      </c>
      <c r="L206" s="81">
        <f ca="1">SUMPRODUCT((Work_Codes!$N$316:$Y$316=$E206)*(Work_Codes!$N$329:$Y$329)*(L$80:L$80))</f>
        <v>0</v>
      </c>
      <c r="M206" s="81">
        <f ca="1">SUMPRODUCT((Work_Codes!$N$316:$Y$316=$E206)*(Work_Codes!$N$329:$Y$329)*(M$80:M$80))</f>
        <v>0</v>
      </c>
      <c r="N206" s="81">
        <f ca="1">SUMPRODUCT((Work_Codes!$N$316:$Y$316=$E206)*(Work_Codes!$N$329:$Y$329)*(N$80:N$80))</f>
        <v>0</v>
      </c>
      <c r="O206" s="81">
        <f ca="1">SUMPRODUCT((Work_Codes!$N$316:$Y$316=$E206)*(Work_Codes!$N$329:$Y$329)*(O$80:O$80))</f>
        <v>0</v>
      </c>
      <c r="P206" s="81">
        <f ca="1">SUMPRODUCT((Work_Codes!$N$316:$Y$316=$E206)*(Work_Codes!$N$329:$Y$329)*(P$80:P$80))</f>
        <v>0</v>
      </c>
      <c r="Q206" s="81">
        <f ca="1">SUMPRODUCT((Work_Codes!$N$316:$Y$316=$E206)*(Work_Codes!$N$329:$Y$329)*(Q$80:Q$80))</f>
        <v>0</v>
      </c>
      <c r="R206" s="81">
        <f ca="1">SUMPRODUCT((Work_Codes!$N$316:$Y$316=$E206)*(Work_Codes!$N$329:$Y$329)*(R$80:R$80))</f>
        <v>0</v>
      </c>
      <c r="S206" s="81">
        <f ca="1">SUMPRODUCT((Work_Codes!$N$316:$Y$316=$E206)*(Work_Codes!$N$329:$Y$329)*(S$80:S$80))</f>
        <v>0</v>
      </c>
      <c r="T206" s="81">
        <f ca="1">SUMPRODUCT((Work_Codes!$N$316:$Y$316=$E206)*(Work_Codes!$N$329:$Y$329)*(T$80:T$80))</f>
        <v>0</v>
      </c>
    </row>
    <row r="207" spans="4:20" outlineLevel="2">
      <c r="E207" s="247" t="str">
        <f>GC!C47</f>
        <v>Buildings</v>
      </c>
      <c r="F207" s="247"/>
      <c r="G207" s="247"/>
      <c r="H207" s="247"/>
      <c r="I207" s="247"/>
      <c r="J207" s="81">
        <f ca="1">SUMPRODUCT((Work_Codes!$N$316:$Y$316=$E207)*(Work_Codes!$N$329:$Y$329)*(J$80:J$80))</f>
        <v>0</v>
      </c>
      <c r="K207" s="81">
        <f ca="1">SUMPRODUCT((Work_Codes!$N$316:$Y$316=$E207)*(Work_Codes!$N$329:$Y$329)*(K$80:K$80))</f>
        <v>0</v>
      </c>
      <c r="L207" s="81">
        <f ca="1">SUMPRODUCT((Work_Codes!$N$316:$Y$316=$E207)*(Work_Codes!$N$329:$Y$329)*(L$80:L$80))</f>
        <v>0</v>
      </c>
      <c r="M207" s="81">
        <f ca="1">SUMPRODUCT((Work_Codes!$N$316:$Y$316=$E207)*(Work_Codes!$N$329:$Y$329)*(M$80:M$80))</f>
        <v>0</v>
      </c>
      <c r="N207" s="81">
        <f ca="1">SUMPRODUCT((Work_Codes!$N$316:$Y$316=$E207)*(Work_Codes!$N$329:$Y$329)*(N$80:N$80))</f>
        <v>0</v>
      </c>
      <c r="O207" s="81">
        <f ca="1">SUMPRODUCT((Work_Codes!$N$316:$Y$316=$E207)*(Work_Codes!$N$329:$Y$329)*(O$80:O$80))</f>
        <v>0</v>
      </c>
      <c r="P207" s="81">
        <f ca="1">SUMPRODUCT((Work_Codes!$N$316:$Y$316=$E207)*(Work_Codes!$N$329:$Y$329)*(P$80:P$80))</f>
        <v>0</v>
      </c>
      <c r="Q207" s="81">
        <f ca="1">SUMPRODUCT((Work_Codes!$N$316:$Y$316=$E207)*(Work_Codes!$N$329:$Y$329)*(Q$80:Q$80))</f>
        <v>0</v>
      </c>
      <c r="R207" s="81">
        <f ca="1">SUMPRODUCT((Work_Codes!$N$316:$Y$316=$E207)*(Work_Codes!$N$329:$Y$329)*(R$80:R$80))</f>
        <v>0</v>
      </c>
      <c r="S207" s="81">
        <f ca="1">SUMPRODUCT((Work_Codes!$N$316:$Y$316=$E207)*(Work_Codes!$N$329:$Y$329)*(S$80:S$80))</f>
        <v>0</v>
      </c>
      <c r="T207" s="81">
        <f ca="1">SUMPRODUCT((Work_Codes!$N$316:$Y$316=$E207)*(Work_Codes!$N$329:$Y$329)*(T$80:T$80))</f>
        <v>0</v>
      </c>
    </row>
    <row r="208" spans="4:20" outlineLevel="2">
      <c r="E208" s="247" t="str">
        <f>GC!C48</f>
        <v>Other - IT</v>
      </c>
      <c r="F208" s="247"/>
      <c r="G208" s="247"/>
      <c r="H208" s="247"/>
      <c r="I208" s="247"/>
      <c r="J208" s="81">
        <f ca="1">SUMPRODUCT((Work_Codes!$N$316:$Y$316=$E208)*(Work_Codes!$N$329:$Y$329)*(J$80:J$80))</f>
        <v>0</v>
      </c>
      <c r="K208" s="81">
        <f ca="1">SUMPRODUCT((Work_Codes!$N$316:$Y$316=$E208)*(Work_Codes!$N$329:$Y$329)*(K$80:K$80))</f>
        <v>0</v>
      </c>
      <c r="L208" s="81">
        <f ca="1">SUMPRODUCT((Work_Codes!$N$316:$Y$316=$E208)*(Work_Codes!$N$329:$Y$329)*(L$80:L$80))</f>
        <v>0</v>
      </c>
      <c r="M208" s="81">
        <f ca="1">SUMPRODUCT((Work_Codes!$N$316:$Y$316=$E208)*(Work_Codes!$N$329:$Y$329)*(M$80:M$80))</f>
        <v>0</v>
      </c>
      <c r="N208" s="81">
        <f ca="1">SUMPRODUCT((Work_Codes!$N$316:$Y$316=$E208)*(Work_Codes!$N$329:$Y$329)*(N$80:N$80))</f>
        <v>0</v>
      </c>
      <c r="O208" s="81">
        <f ca="1">SUMPRODUCT((Work_Codes!$N$316:$Y$316=$E208)*(Work_Codes!$N$329:$Y$329)*(O$80:O$80))</f>
        <v>0</v>
      </c>
      <c r="P208" s="81">
        <f ca="1">SUMPRODUCT((Work_Codes!$N$316:$Y$316=$E208)*(Work_Codes!$N$329:$Y$329)*(P$80:P$80))</f>
        <v>0</v>
      </c>
      <c r="Q208" s="81">
        <f ca="1">SUMPRODUCT((Work_Codes!$N$316:$Y$316=$E208)*(Work_Codes!$N$329:$Y$329)*(Q$80:Q$80))</f>
        <v>0</v>
      </c>
      <c r="R208" s="81">
        <f ca="1">SUMPRODUCT((Work_Codes!$N$316:$Y$316=$E208)*(Work_Codes!$N$329:$Y$329)*(R$80:R$80))</f>
        <v>0</v>
      </c>
      <c r="S208" s="81">
        <f ca="1">SUMPRODUCT((Work_Codes!$N$316:$Y$316=$E208)*(Work_Codes!$N$329:$Y$329)*(S$80:S$80))</f>
        <v>0</v>
      </c>
      <c r="T208" s="81">
        <f ca="1">SUMPRODUCT((Work_Codes!$N$316:$Y$316=$E208)*(Work_Codes!$N$329:$Y$329)*(T$80:T$80))</f>
        <v>0</v>
      </c>
    </row>
    <row r="209" spans="2:20" outlineLevel="2">
      <c r="E209" s="247" t="str">
        <f>GC!C49</f>
        <v>Other - non IT</v>
      </c>
      <c r="F209" s="247"/>
      <c r="G209" s="247"/>
      <c r="H209" s="247"/>
      <c r="I209" s="247"/>
      <c r="J209" s="81">
        <f ca="1">SUMPRODUCT((Work_Codes!$N$316:$Y$316=$E209)*(Work_Codes!$N$329:$Y$329)*(J$80:J$80))</f>
        <v>0</v>
      </c>
      <c r="K209" s="81">
        <f ca="1">SUMPRODUCT((Work_Codes!$N$316:$Y$316=$E209)*(Work_Codes!$N$329:$Y$329)*(K$80:K$80))</f>
        <v>0</v>
      </c>
      <c r="L209" s="81">
        <f ca="1">SUMPRODUCT((Work_Codes!$N$316:$Y$316=$E209)*(Work_Codes!$N$329:$Y$329)*(L$80:L$80))</f>
        <v>0</v>
      </c>
      <c r="M209" s="81">
        <f ca="1">SUMPRODUCT((Work_Codes!$N$316:$Y$316=$E209)*(Work_Codes!$N$329:$Y$329)*(M$80:M$80))</f>
        <v>0</v>
      </c>
      <c r="N209" s="81">
        <f ca="1">SUMPRODUCT((Work_Codes!$N$316:$Y$316=$E209)*(Work_Codes!$N$329:$Y$329)*(N$80:N$80))</f>
        <v>0</v>
      </c>
      <c r="O209" s="81">
        <f ca="1">SUMPRODUCT((Work_Codes!$N$316:$Y$316=$E209)*(Work_Codes!$N$329:$Y$329)*(O$80:O$80))</f>
        <v>0</v>
      </c>
      <c r="P209" s="81">
        <f ca="1">SUMPRODUCT((Work_Codes!$N$316:$Y$316=$E209)*(Work_Codes!$N$329:$Y$329)*(P$80:P$80))</f>
        <v>0</v>
      </c>
      <c r="Q209" s="81">
        <f ca="1">SUMPRODUCT((Work_Codes!$N$316:$Y$316=$E209)*(Work_Codes!$N$329:$Y$329)*(Q$80:Q$80))</f>
        <v>0</v>
      </c>
      <c r="R209" s="81">
        <f ca="1">SUMPRODUCT((Work_Codes!$N$316:$Y$316=$E209)*(Work_Codes!$N$329:$Y$329)*(R$80:R$80))</f>
        <v>0</v>
      </c>
      <c r="S209" s="81">
        <f ca="1">SUMPRODUCT((Work_Codes!$N$316:$Y$316=$E209)*(Work_Codes!$N$329:$Y$329)*(S$80:S$80))</f>
        <v>0</v>
      </c>
      <c r="T209" s="81">
        <f ca="1">SUMPRODUCT((Work_Codes!$N$316:$Y$316=$E209)*(Work_Codes!$N$329:$Y$329)*(T$80:T$80))</f>
        <v>0</v>
      </c>
    </row>
    <row r="210" spans="2:20" outlineLevel="2">
      <c r="E210" s="247" t="str">
        <f>GC!C50</f>
        <v>Land</v>
      </c>
      <c r="F210" s="247"/>
      <c r="G210" s="247"/>
      <c r="H210" s="247"/>
      <c r="I210" s="247"/>
      <c r="J210" s="81">
        <f ca="1">SUMPRODUCT((Work_Codes!$N$316:$Y$316=$E210)*(Work_Codes!$N$329:$Y$329)*(J$80:J$80))</f>
        <v>0</v>
      </c>
      <c r="K210" s="81">
        <f ca="1">SUMPRODUCT((Work_Codes!$N$316:$Y$316=$E210)*(Work_Codes!$N$329:$Y$329)*(K$80:K$80))</f>
        <v>0</v>
      </c>
      <c r="L210" s="81">
        <f ca="1">SUMPRODUCT((Work_Codes!$N$316:$Y$316=$E210)*(Work_Codes!$N$329:$Y$329)*(L$80:L$80))</f>
        <v>0</v>
      </c>
      <c r="M210" s="81">
        <f ca="1">SUMPRODUCT((Work_Codes!$N$316:$Y$316=$E210)*(Work_Codes!$N$329:$Y$329)*(M$80:M$80))</f>
        <v>0</v>
      </c>
      <c r="N210" s="81">
        <f ca="1">SUMPRODUCT((Work_Codes!$N$316:$Y$316=$E210)*(Work_Codes!$N$329:$Y$329)*(N$80:N$80))</f>
        <v>0</v>
      </c>
      <c r="O210" s="81">
        <f ca="1">SUMPRODUCT((Work_Codes!$N$316:$Y$316=$E210)*(Work_Codes!$N$329:$Y$329)*(O$80:O$80))</f>
        <v>0</v>
      </c>
      <c r="P210" s="81">
        <f ca="1">SUMPRODUCT((Work_Codes!$N$316:$Y$316=$E210)*(Work_Codes!$N$329:$Y$329)*(P$80:P$80))</f>
        <v>0</v>
      </c>
      <c r="Q210" s="81">
        <f ca="1">SUMPRODUCT((Work_Codes!$N$316:$Y$316=$E210)*(Work_Codes!$N$329:$Y$329)*(Q$80:Q$80))</f>
        <v>0</v>
      </c>
      <c r="R210" s="81">
        <f ca="1">SUMPRODUCT((Work_Codes!$N$316:$Y$316=$E210)*(Work_Codes!$N$329:$Y$329)*(R$80:R$80))</f>
        <v>0</v>
      </c>
      <c r="S210" s="81">
        <f ca="1">SUMPRODUCT((Work_Codes!$N$316:$Y$316=$E210)*(Work_Codes!$N$329:$Y$329)*(S$80:S$80))</f>
        <v>0</v>
      </c>
      <c r="T210" s="81">
        <f ca="1">SUMPRODUCT((Work_Codes!$N$316:$Y$316=$E210)*(Work_Codes!$N$329:$Y$329)*(T$80:T$80))</f>
        <v>0</v>
      </c>
    </row>
    <row r="211" spans="2:20" outlineLevel="2">
      <c r="E211" s="247" t="str">
        <f>GC!C51</f>
        <v>Capitalised Leases</v>
      </c>
      <c r="F211" s="247"/>
      <c r="G211" s="247"/>
      <c r="H211" s="247"/>
      <c r="I211" s="247"/>
      <c r="J211" s="81">
        <f ca="1">SUMPRODUCT((Work_Codes!$N$316:$Y$316=$E211)*(Work_Codes!$N$329:$Y$329)*(J$80:J$80))</f>
        <v>0</v>
      </c>
      <c r="K211" s="81">
        <f ca="1">SUMPRODUCT((Work_Codes!$N$316:$Y$316=$E211)*(Work_Codes!$N$329:$Y$329)*(K$80:K$80))</f>
        <v>0</v>
      </c>
      <c r="L211" s="81">
        <f ca="1">SUMPRODUCT((Work_Codes!$N$316:$Y$316=$E211)*(Work_Codes!$N$329:$Y$329)*(L$80:L$80))</f>
        <v>0</v>
      </c>
      <c r="M211" s="81">
        <f ca="1">SUMPRODUCT((Work_Codes!$N$316:$Y$316=$E211)*(Work_Codes!$N$329:$Y$329)*(M$80:M$80))</f>
        <v>0</v>
      </c>
      <c r="N211" s="81">
        <f ca="1">SUMPRODUCT((Work_Codes!$N$316:$Y$316=$E211)*(Work_Codes!$N$329:$Y$329)*(N$80:N$80))</f>
        <v>0</v>
      </c>
      <c r="O211" s="81">
        <f ca="1">SUMPRODUCT((Work_Codes!$N$316:$Y$316=$E211)*(Work_Codes!$N$329:$Y$329)*(O$80:O$80))</f>
        <v>0</v>
      </c>
      <c r="P211" s="81">
        <f ca="1">SUMPRODUCT((Work_Codes!$N$316:$Y$316=$E211)*(Work_Codes!$N$329:$Y$329)*(P$80:P$80))</f>
        <v>0</v>
      </c>
      <c r="Q211" s="81">
        <f ca="1">SUMPRODUCT((Work_Codes!$N$316:$Y$316=$E211)*(Work_Codes!$N$329:$Y$329)*(Q$80:Q$80))</f>
        <v>0</v>
      </c>
      <c r="R211" s="81">
        <f ca="1">SUMPRODUCT((Work_Codes!$N$316:$Y$316=$E211)*(Work_Codes!$N$329:$Y$329)*(R$80:R$80))</f>
        <v>0</v>
      </c>
      <c r="S211" s="81">
        <f ca="1">SUMPRODUCT((Work_Codes!$N$316:$Y$316=$E211)*(Work_Codes!$N$329:$Y$329)*(S$80:S$80))</f>
        <v>0</v>
      </c>
      <c r="T211" s="81">
        <f ca="1">SUMPRODUCT((Work_Codes!$N$316:$Y$316=$E211)*(Work_Codes!$N$329:$Y$329)*(T$80:T$80))</f>
        <v>0</v>
      </c>
    </row>
    <row r="212" spans="2:20" outlineLevel="2">
      <c r="E212" s="247" t="str">
        <f>GC!C52</f>
        <v>Transmission pipelines - post 1998</v>
      </c>
      <c r="F212" s="247"/>
      <c r="G212" s="247"/>
      <c r="H212" s="247"/>
      <c r="I212" s="247"/>
      <c r="J212" s="81">
        <f ca="1">SUMPRODUCT((Work_Codes!$N$316:$Y$316=$E212)*(Work_Codes!$N$329:$Y$329)*(J$80:J$80))</f>
        <v>0</v>
      </c>
      <c r="K212" s="81">
        <f ca="1">SUMPRODUCT((Work_Codes!$N$316:$Y$316=$E212)*(Work_Codes!$N$329:$Y$329)*(K$80:K$80))</f>
        <v>0</v>
      </c>
      <c r="L212" s="81">
        <f ca="1">SUMPRODUCT((Work_Codes!$N$316:$Y$316=$E212)*(Work_Codes!$N$329:$Y$329)*(L$80:L$80))</f>
        <v>0</v>
      </c>
      <c r="M212" s="81">
        <f ca="1">SUMPRODUCT((Work_Codes!$N$316:$Y$316=$E212)*(Work_Codes!$N$329:$Y$329)*(M$80:M$80))</f>
        <v>0</v>
      </c>
      <c r="N212" s="81">
        <f ca="1">SUMPRODUCT((Work_Codes!$N$316:$Y$316=$E212)*(Work_Codes!$N$329:$Y$329)*(N$80:N$80))</f>
        <v>0</v>
      </c>
      <c r="O212" s="81">
        <f ca="1">SUMPRODUCT((Work_Codes!$N$316:$Y$316=$E212)*(Work_Codes!$N$329:$Y$329)*(O$80:O$80))</f>
        <v>0</v>
      </c>
      <c r="P212" s="81">
        <f ca="1">SUMPRODUCT((Work_Codes!$N$316:$Y$316=$E212)*(Work_Codes!$N$329:$Y$329)*(P$80:P$80))</f>
        <v>0</v>
      </c>
      <c r="Q212" s="81">
        <f ca="1">SUMPRODUCT((Work_Codes!$N$316:$Y$316=$E212)*(Work_Codes!$N$329:$Y$329)*(Q$80:Q$80))</f>
        <v>0</v>
      </c>
      <c r="R212" s="81">
        <f ca="1">SUMPRODUCT((Work_Codes!$N$316:$Y$316=$E212)*(Work_Codes!$N$329:$Y$329)*(R$80:R$80))</f>
        <v>0</v>
      </c>
      <c r="S212" s="81">
        <f ca="1">SUMPRODUCT((Work_Codes!$N$316:$Y$316=$E212)*(Work_Codes!$N$329:$Y$329)*(S$80:S$80))</f>
        <v>0</v>
      </c>
      <c r="T212" s="81">
        <f ca="1">SUMPRODUCT((Work_Codes!$N$316:$Y$316=$E212)*(Work_Codes!$N$329:$Y$329)*(T$80:T$80))</f>
        <v>0</v>
      </c>
    </row>
    <row r="213" spans="2:20" outlineLevel="2">
      <c r="E213" s="247" t="str">
        <f>GC!C53</f>
        <v>Distribution pipelines - post 1998</v>
      </c>
      <c r="F213" s="247"/>
      <c r="G213" s="247"/>
      <c r="H213" s="247"/>
      <c r="I213" s="247"/>
      <c r="J213" s="81">
        <f ca="1">SUMPRODUCT((Work_Codes!$N$316:$Y$316=$E213)*(Work_Codes!$N$329:$Y$329)*(J$80:J$80))</f>
        <v>0</v>
      </c>
      <c r="K213" s="81">
        <f ca="1">SUMPRODUCT((Work_Codes!$N$316:$Y$316=$E213)*(Work_Codes!$N$329:$Y$329)*(K$80:K$80))</f>
        <v>0</v>
      </c>
      <c r="L213" s="81">
        <f ca="1">SUMPRODUCT((Work_Codes!$N$316:$Y$316=$E213)*(Work_Codes!$N$329:$Y$329)*(L$80:L$80))</f>
        <v>0</v>
      </c>
      <c r="M213" s="81">
        <f ca="1">SUMPRODUCT((Work_Codes!$N$316:$Y$316=$E213)*(Work_Codes!$N$329:$Y$329)*(M$80:M$80))</f>
        <v>0</v>
      </c>
      <c r="N213" s="81">
        <f ca="1">SUMPRODUCT((Work_Codes!$N$316:$Y$316=$E213)*(Work_Codes!$N$329:$Y$329)*(N$80:N$80))</f>
        <v>0</v>
      </c>
      <c r="O213" s="81">
        <f ca="1">SUMPRODUCT((Work_Codes!$N$316:$Y$316=$E213)*(Work_Codes!$N$329:$Y$329)*(O$80:O$80))</f>
        <v>0</v>
      </c>
      <c r="P213" s="81">
        <f ca="1">SUMPRODUCT((Work_Codes!$N$316:$Y$316=$E213)*(Work_Codes!$N$329:$Y$329)*(P$80:P$80))</f>
        <v>0</v>
      </c>
      <c r="Q213" s="81">
        <f ca="1">SUMPRODUCT((Work_Codes!$N$316:$Y$316=$E213)*(Work_Codes!$N$329:$Y$329)*(Q$80:Q$80))</f>
        <v>0</v>
      </c>
      <c r="R213" s="81">
        <f ca="1">SUMPRODUCT((Work_Codes!$N$316:$Y$316=$E213)*(Work_Codes!$N$329:$Y$329)*(R$80:R$80))</f>
        <v>0</v>
      </c>
      <c r="S213" s="81">
        <f ca="1">SUMPRODUCT((Work_Codes!$N$316:$Y$316=$E213)*(Work_Codes!$N$329:$Y$329)*(S$80:S$80))</f>
        <v>0</v>
      </c>
      <c r="T213" s="81">
        <f ca="1">SUMPRODUCT((Work_Codes!$N$316:$Y$316=$E213)*(Work_Codes!$N$329:$Y$329)*(T$80:T$80))</f>
        <v>0</v>
      </c>
    </row>
    <row r="214" spans="2:20" outlineLevel="2">
      <c r="E214" s="247" t="str">
        <f>GC!C54</f>
        <v>Service pipes - post 1998</v>
      </c>
      <c r="F214" s="247"/>
      <c r="G214" s="247"/>
      <c r="H214" s="247"/>
      <c r="I214" s="247"/>
      <c r="J214" s="81">
        <f ca="1">SUMPRODUCT((Work_Codes!$N$316:$Y$316=$E214)*(Work_Codes!$N$329:$Y$329)*(J$80:J$80))</f>
        <v>0</v>
      </c>
      <c r="K214" s="81">
        <f ca="1">SUMPRODUCT((Work_Codes!$N$316:$Y$316=$E214)*(Work_Codes!$N$329:$Y$329)*(K$80:K$80))</f>
        <v>0</v>
      </c>
      <c r="L214" s="81">
        <f ca="1">SUMPRODUCT((Work_Codes!$N$316:$Y$316=$E214)*(Work_Codes!$N$329:$Y$329)*(L$80:L$80))</f>
        <v>0</v>
      </c>
      <c r="M214" s="81">
        <f ca="1">SUMPRODUCT((Work_Codes!$N$316:$Y$316=$E214)*(Work_Codes!$N$329:$Y$329)*(M$80:M$80))</f>
        <v>0</v>
      </c>
      <c r="N214" s="81">
        <f ca="1">SUMPRODUCT((Work_Codes!$N$316:$Y$316=$E214)*(Work_Codes!$N$329:$Y$329)*(N$80:N$80))</f>
        <v>0</v>
      </c>
      <c r="O214" s="81">
        <f ca="1">SUMPRODUCT((Work_Codes!$N$316:$Y$316=$E214)*(Work_Codes!$N$329:$Y$329)*(O$80:O$80))</f>
        <v>0</v>
      </c>
      <c r="P214" s="81">
        <f ca="1">SUMPRODUCT((Work_Codes!$N$316:$Y$316=$E214)*(Work_Codes!$N$329:$Y$329)*(P$80:P$80))</f>
        <v>0</v>
      </c>
      <c r="Q214" s="81">
        <f ca="1">SUMPRODUCT((Work_Codes!$N$316:$Y$316=$E214)*(Work_Codes!$N$329:$Y$329)*(Q$80:Q$80))</f>
        <v>0</v>
      </c>
      <c r="R214" s="81">
        <f ca="1">SUMPRODUCT((Work_Codes!$N$316:$Y$316=$E214)*(Work_Codes!$N$329:$Y$329)*(R$80:R$80))</f>
        <v>0</v>
      </c>
      <c r="S214" s="81">
        <f ca="1">SUMPRODUCT((Work_Codes!$N$316:$Y$316=$E214)*(Work_Codes!$N$329:$Y$329)*(S$80:S$80))</f>
        <v>0</v>
      </c>
      <c r="T214" s="81">
        <f ca="1">SUMPRODUCT((Work_Codes!$N$316:$Y$316=$E214)*(Work_Codes!$N$329:$Y$329)*(T$80:T$80))</f>
        <v>0</v>
      </c>
    </row>
    <row r="215" spans="2:20" outlineLevel="2">
      <c r="E215" s="247" t="str">
        <f>GC!C55</f>
        <v>Cathodic protection - post 1998</v>
      </c>
      <c r="F215" s="247"/>
      <c r="G215" s="247"/>
      <c r="H215" s="247"/>
      <c r="I215" s="247"/>
      <c r="J215" s="81">
        <f ca="1">SUMPRODUCT((Work_Codes!$N$316:$Y$316=$E215)*(Work_Codes!$N$329:$Y$329)*(J$80:J$80))</f>
        <v>0</v>
      </c>
      <c r="K215" s="81">
        <f ca="1">SUMPRODUCT((Work_Codes!$N$316:$Y$316=$E215)*(Work_Codes!$N$329:$Y$329)*(K$80:K$80))</f>
        <v>0</v>
      </c>
      <c r="L215" s="81">
        <f ca="1">SUMPRODUCT((Work_Codes!$N$316:$Y$316=$E215)*(Work_Codes!$N$329:$Y$329)*(L$80:L$80))</f>
        <v>0</v>
      </c>
      <c r="M215" s="81">
        <f ca="1">SUMPRODUCT((Work_Codes!$N$316:$Y$316=$E215)*(Work_Codes!$N$329:$Y$329)*(M$80:M$80))</f>
        <v>0</v>
      </c>
      <c r="N215" s="81">
        <f ca="1">SUMPRODUCT((Work_Codes!$N$316:$Y$316=$E215)*(Work_Codes!$N$329:$Y$329)*(N$80:N$80))</f>
        <v>0</v>
      </c>
      <c r="O215" s="81">
        <f ca="1">SUMPRODUCT((Work_Codes!$N$316:$Y$316=$E215)*(Work_Codes!$N$329:$Y$329)*(O$80:O$80))</f>
        <v>0</v>
      </c>
      <c r="P215" s="81">
        <f ca="1">SUMPRODUCT((Work_Codes!$N$316:$Y$316=$E215)*(Work_Codes!$N$329:$Y$329)*(P$80:P$80))</f>
        <v>0</v>
      </c>
      <c r="Q215" s="81">
        <f ca="1">SUMPRODUCT((Work_Codes!$N$316:$Y$316=$E215)*(Work_Codes!$N$329:$Y$329)*(Q$80:Q$80))</f>
        <v>0</v>
      </c>
      <c r="R215" s="81">
        <f ca="1">SUMPRODUCT((Work_Codes!$N$316:$Y$316=$E215)*(Work_Codes!$N$329:$Y$329)*(R$80:R$80))</f>
        <v>0</v>
      </c>
      <c r="S215" s="81">
        <f ca="1">SUMPRODUCT((Work_Codes!$N$316:$Y$316=$E215)*(Work_Codes!$N$329:$Y$329)*(S$80:S$80))</f>
        <v>0</v>
      </c>
      <c r="T215" s="81">
        <f ca="1">SUMPRODUCT((Work_Codes!$N$316:$Y$316=$E215)*(Work_Codes!$N$329:$Y$329)*(T$80:T$80))</f>
        <v>0</v>
      </c>
    </row>
    <row r="216" spans="2:20" outlineLevel="2">
      <c r="E216" s="249" t="str">
        <f>"Total "&amp;D198</f>
        <v>Total Customer Contributions</v>
      </c>
      <c r="F216" s="249"/>
      <c r="G216" s="249"/>
      <c r="H216" s="249"/>
      <c r="I216" s="249"/>
      <c r="J216" s="82">
        <f t="shared" ref="J216:T216" ca="1" si="24">SUM(J200:J215)</f>
        <v>0</v>
      </c>
      <c r="K216" s="82">
        <f t="shared" ca="1" si="24"/>
        <v>0</v>
      </c>
      <c r="L216" s="82">
        <f t="shared" ca="1" si="24"/>
        <v>0</v>
      </c>
      <c r="M216" s="82">
        <f t="shared" ca="1" si="24"/>
        <v>0</v>
      </c>
      <c r="N216" s="82">
        <f t="shared" ca="1" si="24"/>
        <v>0</v>
      </c>
      <c r="O216" s="82">
        <f t="shared" ca="1" si="24"/>
        <v>0</v>
      </c>
      <c r="P216" s="82">
        <f t="shared" ca="1" si="24"/>
        <v>0</v>
      </c>
      <c r="Q216" s="82">
        <f t="shared" ca="1" si="24"/>
        <v>0</v>
      </c>
      <c r="R216" s="82">
        <f t="shared" ca="1" si="24"/>
        <v>0</v>
      </c>
      <c r="S216" s="82">
        <f t="shared" ca="1" si="24"/>
        <v>0</v>
      </c>
      <c r="T216" s="82">
        <f t="shared" ca="1" si="24"/>
        <v>0</v>
      </c>
    </row>
    <row r="217" spans="2:20" outlineLevel="1">
      <c r="B217" s="12"/>
      <c r="C217" s="12"/>
      <c r="D217" s="12"/>
      <c r="E217" s="12"/>
      <c r="F217" s="12"/>
      <c r="G217" s="12"/>
      <c r="H217" s="12"/>
      <c r="I217" s="12"/>
      <c r="J217" s="12"/>
      <c r="K217" s="12"/>
      <c r="L217" s="12"/>
      <c r="M217" s="12"/>
      <c r="N217" s="12"/>
      <c r="O217" s="12"/>
      <c r="P217" s="12"/>
      <c r="Q217" s="12"/>
      <c r="R217" s="12"/>
      <c r="S217" s="12"/>
      <c r="T217" s="12"/>
    </row>
    <row r="218" spans="2:20" outlineLevel="1"/>
    <row r="219" spans="2:20" outlineLevel="1">
      <c r="C219" s="37" t="s">
        <v>196</v>
      </c>
    </row>
    <row r="220" spans="2:20" ht="5.9" customHeight="1" outlineLevel="2"/>
    <row r="221" spans="2:20" outlineLevel="2">
      <c r="D221" s="37" t="s">
        <v>215</v>
      </c>
    </row>
    <row r="222" spans="2:20" ht="5.9" customHeight="1" outlineLevel="2"/>
    <row r="223" spans="2:20" s="41" customFormat="1" ht="12" customHeight="1" outlineLevel="2">
      <c r="E223" s="251" t="str">
        <f>GC!C60</f>
        <v>Mains replacement</v>
      </c>
      <c r="F223" s="251"/>
      <c r="G223" s="251"/>
      <c r="H223" s="251"/>
      <c r="I223" s="251"/>
      <c r="J223" s="80">
        <f ca="1">SUMPRODUCT((Work_Codes!$AC$316:$AO$316=$E223)*(Work_Codes!$AC$319:$AO$325)*(J$125:J$131))</f>
        <v>0</v>
      </c>
      <c r="K223" s="80">
        <f ca="1">SUMPRODUCT((Work_Codes!$AC$316:$AO$316=$E223)*(Work_Codes!$AC$319:$AO$325)*(K$125:K$131))</f>
        <v>0</v>
      </c>
      <c r="L223" s="80">
        <f ca="1">SUMPRODUCT((Work_Codes!$AC$316:$AO$316=$E223)*(Work_Codes!$AC$319:$AO$325)*(L$125:L$131))</f>
        <v>0</v>
      </c>
      <c r="M223" s="80">
        <f ca="1">SUMPRODUCT((Work_Codes!$AC$316:$AO$316=$E223)*(Work_Codes!$AC$319:$AO$325)*(M$125:M$131))</f>
        <v>0</v>
      </c>
      <c r="N223" s="80">
        <f ca="1">SUMPRODUCT((Work_Codes!$AC$316:$AO$316=$E223)*(Work_Codes!$AC$319:$AO$325)*(N$125:N$131))</f>
        <v>0</v>
      </c>
      <c r="O223" s="80">
        <f ca="1">SUMPRODUCT((Work_Codes!$AC$316:$AO$316=$E223)*(Work_Codes!$AC$319:$AO$325)*(O$125:O$131))</f>
        <v>0</v>
      </c>
      <c r="P223" s="80">
        <f ca="1">SUMPRODUCT((Work_Codes!$AC$316:$AO$316=$E223)*(Work_Codes!$AC$319:$AO$325)*(P$125:P$131))</f>
        <v>0</v>
      </c>
      <c r="Q223" s="80">
        <f ca="1">SUMPRODUCT((Work_Codes!$AC$316:$AO$316=$E223)*(Work_Codes!$AC$319:$AO$325)*(Q$125:Q$131))</f>
        <v>0</v>
      </c>
      <c r="R223" s="80">
        <f ca="1">SUMPRODUCT((Work_Codes!$AC$316:$AO$316=$E223)*(Work_Codes!$AC$319:$AO$325)*(R$125:R$131))</f>
        <v>0</v>
      </c>
      <c r="S223" s="80">
        <f ca="1">SUMPRODUCT((Work_Codes!$AC$316:$AO$316=$E223)*(Work_Codes!$AC$319:$AO$325)*(S$125:S$131))</f>
        <v>0</v>
      </c>
      <c r="T223" s="80">
        <f ca="1">SUMPRODUCT((Work_Codes!$AC$316:$AO$316=$E223)*(Work_Codes!$AC$319:$AO$325)*(T$125:T$131))</f>
        <v>0</v>
      </c>
    </row>
    <row r="224" spans="2:20" s="41" customFormat="1" ht="12" customHeight="1" outlineLevel="2">
      <c r="E224" s="251" t="str">
        <f>GC!C61</f>
        <v>Residential new customer connections</v>
      </c>
      <c r="F224" s="251"/>
      <c r="G224" s="251"/>
      <c r="H224" s="251"/>
      <c r="I224" s="251"/>
      <c r="J224" s="80">
        <f ca="1">SUMPRODUCT((Work_Codes!$AC$316:$AO$316=$E224)*(Work_Codes!$AC$319:$AO$325)*(J$125:J$131))</f>
        <v>0</v>
      </c>
      <c r="K224" s="80">
        <f ca="1">SUMPRODUCT((Work_Codes!$AC$316:$AO$316=$E224)*(Work_Codes!$AC$319:$AO$325)*(K$125:K$131))</f>
        <v>0</v>
      </c>
      <c r="L224" s="80">
        <f ca="1">SUMPRODUCT((Work_Codes!$AC$316:$AO$316=$E224)*(Work_Codes!$AC$319:$AO$325)*(L$125:L$131))</f>
        <v>0</v>
      </c>
      <c r="M224" s="80">
        <f ca="1">SUMPRODUCT((Work_Codes!$AC$316:$AO$316=$E224)*(Work_Codes!$AC$319:$AO$325)*(M$125:M$131))</f>
        <v>0</v>
      </c>
      <c r="N224" s="80">
        <f ca="1">SUMPRODUCT((Work_Codes!$AC$316:$AO$316=$E224)*(Work_Codes!$AC$319:$AO$325)*(N$125:N$131))</f>
        <v>0</v>
      </c>
      <c r="O224" s="80">
        <f ca="1">SUMPRODUCT((Work_Codes!$AC$316:$AO$316=$E224)*(Work_Codes!$AC$319:$AO$325)*(O$125:O$131))</f>
        <v>0</v>
      </c>
      <c r="P224" s="80">
        <f ca="1">SUMPRODUCT((Work_Codes!$AC$316:$AO$316=$E224)*(Work_Codes!$AC$319:$AO$325)*(P$125:P$131))</f>
        <v>0</v>
      </c>
      <c r="Q224" s="80">
        <f ca="1">SUMPRODUCT((Work_Codes!$AC$316:$AO$316=$E224)*(Work_Codes!$AC$319:$AO$325)*(Q$125:Q$131))</f>
        <v>0</v>
      </c>
      <c r="R224" s="80">
        <f ca="1">SUMPRODUCT((Work_Codes!$AC$316:$AO$316=$E224)*(Work_Codes!$AC$319:$AO$325)*(R$125:R$131))</f>
        <v>0</v>
      </c>
      <c r="S224" s="80">
        <f ca="1">SUMPRODUCT((Work_Codes!$AC$316:$AO$316=$E224)*(Work_Codes!$AC$319:$AO$325)*(S$125:S$131))</f>
        <v>0</v>
      </c>
      <c r="T224" s="80">
        <f ca="1">SUMPRODUCT((Work_Codes!$AC$316:$AO$316=$E224)*(Work_Codes!$AC$319:$AO$325)*(T$125:T$131))</f>
        <v>0</v>
      </c>
    </row>
    <row r="225" spans="4:20" s="41" customFormat="1" ht="12" customHeight="1" outlineLevel="2">
      <c r="E225" s="251" t="str">
        <f>GC!C62</f>
        <v>Commercial and industrial new customer connections</v>
      </c>
      <c r="F225" s="251"/>
      <c r="G225" s="251"/>
      <c r="H225" s="251"/>
      <c r="I225" s="251"/>
      <c r="J225" s="80">
        <f ca="1">SUMPRODUCT((Work_Codes!$AC$316:$AO$316=$E225)*(Work_Codes!$AC$319:$AO$325)*(J$125:J$131))</f>
        <v>0</v>
      </c>
      <c r="K225" s="80">
        <f ca="1">SUMPRODUCT((Work_Codes!$AC$316:$AO$316=$E225)*(Work_Codes!$AC$319:$AO$325)*(K$125:K$131))</f>
        <v>0</v>
      </c>
      <c r="L225" s="80">
        <f ca="1">SUMPRODUCT((Work_Codes!$AC$316:$AO$316=$E225)*(Work_Codes!$AC$319:$AO$325)*(L$125:L$131))</f>
        <v>0</v>
      </c>
      <c r="M225" s="80">
        <f ca="1">SUMPRODUCT((Work_Codes!$AC$316:$AO$316=$E225)*(Work_Codes!$AC$319:$AO$325)*(M$125:M$131))</f>
        <v>0</v>
      </c>
      <c r="N225" s="80">
        <f ca="1">SUMPRODUCT((Work_Codes!$AC$316:$AO$316=$E225)*(Work_Codes!$AC$319:$AO$325)*(N$125:N$131))</f>
        <v>0</v>
      </c>
      <c r="O225" s="80">
        <f ca="1">SUMPRODUCT((Work_Codes!$AC$316:$AO$316=$E225)*(Work_Codes!$AC$319:$AO$325)*(O$125:O$131))</f>
        <v>0</v>
      </c>
      <c r="P225" s="80">
        <f ca="1">SUMPRODUCT((Work_Codes!$AC$316:$AO$316=$E225)*(Work_Codes!$AC$319:$AO$325)*(P$125:P$131))</f>
        <v>0</v>
      </c>
      <c r="Q225" s="80">
        <f ca="1">SUMPRODUCT((Work_Codes!$AC$316:$AO$316=$E225)*(Work_Codes!$AC$319:$AO$325)*(Q$125:Q$131))</f>
        <v>0</v>
      </c>
      <c r="R225" s="80">
        <f ca="1">SUMPRODUCT((Work_Codes!$AC$316:$AO$316=$E225)*(Work_Codes!$AC$319:$AO$325)*(R$125:R$131))</f>
        <v>0</v>
      </c>
      <c r="S225" s="80">
        <f ca="1">SUMPRODUCT((Work_Codes!$AC$316:$AO$316=$E225)*(Work_Codes!$AC$319:$AO$325)*(S$125:S$131))</f>
        <v>0</v>
      </c>
      <c r="T225" s="80">
        <f ca="1">SUMPRODUCT((Work_Codes!$AC$316:$AO$316=$E225)*(Work_Codes!$AC$319:$AO$325)*(T$125:T$131))</f>
        <v>0</v>
      </c>
    </row>
    <row r="226" spans="4:20" s="41" customFormat="1" ht="12" customHeight="1" outlineLevel="2">
      <c r="E226" s="251" t="str">
        <f>GC!C63</f>
        <v>Residential meter replacement</v>
      </c>
      <c r="F226" s="251"/>
      <c r="G226" s="251"/>
      <c r="H226" s="251"/>
      <c r="I226" s="251"/>
      <c r="J226" s="80">
        <f ca="1">SUMPRODUCT((Work_Codes!$AC$316:$AO$316=$E226)*(Work_Codes!$AC$319:$AO$325)*(J$125:J$131))</f>
        <v>0</v>
      </c>
      <c r="K226" s="80">
        <f ca="1">SUMPRODUCT((Work_Codes!$AC$316:$AO$316=$E226)*(Work_Codes!$AC$319:$AO$325)*(K$125:K$131))</f>
        <v>0</v>
      </c>
      <c r="L226" s="80">
        <f ca="1">SUMPRODUCT((Work_Codes!$AC$316:$AO$316=$E226)*(Work_Codes!$AC$319:$AO$325)*(L$125:L$131))</f>
        <v>0</v>
      </c>
      <c r="M226" s="80">
        <f ca="1">SUMPRODUCT((Work_Codes!$AC$316:$AO$316=$E226)*(Work_Codes!$AC$319:$AO$325)*(M$125:M$131))</f>
        <v>0</v>
      </c>
      <c r="N226" s="80">
        <f ca="1">SUMPRODUCT((Work_Codes!$AC$316:$AO$316=$E226)*(Work_Codes!$AC$319:$AO$325)*(N$125:N$131))</f>
        <v>0</v>
      </c>
      <c r="O226" s="80">
        <f ca="1">SUMPRODUCT((Work_Codes!$AC$316:$AO$316=$E226)*(Work_Codes!$AC$319:$AO$325)*(O$125:O$131))</f>
        <v>0</v>
      </c>
      <c r="P226" s="80">
        <f ca="1">SUMPRODUCT((Work_Codes!$AC$316:$AO$316=$E226)*(Work_Codes!$AC$319:$AO$325)*(P$125:P$131))</f>
        <v>0</v>
      </c>
      <c r="Q226" s="80">
        <f ca="1">SUMPRODUCT((Work_Codes!$AC$316:$AO$316=$E226)*(Work_Codes!$AC$319:$AO$325)*(Q$125:Q$131))</f>
        <v>0</v>
      </c>
      <c r="R226" s="80">
        <f ca="1">SUMPRODUCT((Work_Codes!$AC$316:$AO$316=$E226)*(Work_Codes!$AC$319:$AO$325)*(R$125:R$131))</f>
        <v>0</v>
      </c>
      <c r="S226" s="80">
        <f ca="1">SUMPRODUCT((Work_Codes!$AC$316:$AO$316=$E226)*(Work_Codes!$AC$319:$AO$325)*(S$125:S$131))</f>
        <v>0</v>
      </c>
      <c r="T226" s="80">
        <f ca="1">SUMPRODUCT((Work_Codes!$AC$316:$AO$316=$E226)*(Work_Codes!$AC$319:$AO$325)*(T$125:T$131))</f>
        <v>0</v>
      </c>
    </row>
    <row r="227" spans="4:20" s="41" customFormat="1" ht="12" customHeight="1" outlineLevel="2">
      <c r="E227" s="251" t="str">
        <f>GC!C64</f>
        <v>Commercial and industrial meter replacement</v>
      </c>
      <c r="F227" s="251"/>
      <c r="G227" s="251"/>
      <c r="H227" s="251"/>
      <c r="I227" s="251"/>
      <c r="J227" s="80">
        <f ca="1">SUMPRODUCT((Work_Codes!$AC$316:$AO$316=$E227)*(Work_Codes!$AC$319:$AO$325)*(J$125:J$131))</f>
        <v>0</v>
      </c>
      <c r="K227" s="80">
        <f ca="1">SUMPRODUCT((Work_Codes!$AC$316:$AO$316=$E227)*(Work_Codes!$AC$319:$AO$325)*(K$125:K$131))</f>
        <v>0</v>
      </c>
      <c r="L227" s="80">
        <f ca="1">SUMPRODUCT((Work_Codes!$AC$316:$AO$316=$E227)*(Work_Codes!$AC$319:$AO$325)*(L$125:L$131))</f>
        <v>0</v>
      </c>
      <c r="M227" s="80">
        <f ca="1">SUMPRODUCT((Work_Codes!$AC$316:$AO$316=$E227)*(Work_Codes!$AC$319:$AO$325)*(M$125:M$131))</f>
        <v>0</v>
      </c>
      <c r="N227" s="80">
        <f ca="1">SUMPRODUCT((Work_Codes!$AC$316:$AO$316=$E227)*(Work_Codes!$AC$319:$AO$325)*(N$125:N$131))</f>
        <v>0</v>
      </c>
      <c r="O227" s="80">
        <f ca="1">SUMPRODUCT((Work_Codes!$AC$316:$AO$316=$E227)*(Work_Codes!$AC$319:$AO$325)*(O$125:O$131))</f>
        <v>0</v>
      </c>
      <c r="P227" s="80">
        <f ca="1">SUMPRODUCT((Work_Codes!$AC$316:$AO$316=$E227)*(Work_Codes!$AC$319:$AO$325)*(P$125:P$131))</f>
        <v>0</v>
      </c>
      <c r="Q227" s="80">
        <f ca="1">SUMPRODUCT((Work_Codes!$AC$316:$AO$316=$E227)*(Work_Codes!$AC$319:$AO$325)*(Q$125:Q$131))</f>
        <v>0</v>
      </c>
      <c r="R227" s="80">
        <f ca="1">SUMPRODUCT((Work_Codes!$AC$316:$AO$316=$E227)*(Work_Codes!$AC$319:$AO$325)*(R$125:R$131))</f>
        <v>0</v>
      </c>
      <c r="S227" s="80">
        <f ca="1">SUMPRODUCT((Work_Codes!$AC$316:$AO$316=$E227)*(Work_Codes!$AC$319:$AO$325)*(S$125:S$131))</f>
        <v>0</v>
      </c>
      <c r="T227" s="80">
        <f ca="1">SUMPRODUCT((Work_Codes!$AC$316:$AO$316=$E227)*(Work_Codes!$AC$319:$AO$325)*(T$125:T$131))</f>
        <v>0</v>
      </c>
    </row>
    <row r="228" spans="4:20" s="41" customFormat="1" ht="12" customHeight="1" outlineLevel="2">
      <c r="E228" s="251" t="str">
        <f>GC!C65</f>
        <v>Augmentation</v>
      </c>
      <c r="F228" s="251"/>
      <c r="G228" s="251"/>
      <c r="H228" s="251"/>
      <c r="I228" s="251"/>
      <c r="J228" s="80">
        <f ca="1">SUMPRODUCT((Work_Codes!$AC$316:$AO$316=$E228)*(Work_Codes!$AC$319:$AO$325)*(J$125:J$131))</f>
        <v>0</v>
      </c>
      <c r="K228" s="80">
        <f ca="1">SUMPRODUCT((Work_Codes!$AC$316:$AO$316=$E228)*(Work_Codes!$AC$319:$AO$325)*(K$125:K$131))</f>
        <v>0</v>
      </c>
      <c r="L228" s="80">
        <f ca="1">SUMPRODUCT((Work_Codes!$AC$316:$AO$316=$E228)*(Work_Codes!$AC$319:$AO$325)*(L$125:L$131))</f>
        <v>0</v>
      </c>
      <c r="M228" s="80">
        <f ca="1">SUMPRODUCT((Work_Codes!$AC$316:$AO$316=$E228)*(Work_Codes!$AC$319:$AO$325)*(M$125:M$131))</f>
        <v>0</v>
      </c>
      <c r="N228" s="80">
        <f ca="1">SUMPRODUCT((Work_Codes!$AC$316:$AO$316=$E228)*(Work_Codes!$AC$319:$AO$325)*(N$125:N$131))</f>
        <v>3589875.6988584171</v>
      </c>
      <c r="O228" s="80">
        <f ca="1">SUMPRODUCT((Work_Codes!$AC$316:$AO$316=$E228)*(Work_Codes!$AC$319:$AO$325)*(O$125:O$131))</f>
        <v>2498006.2128540152</v>
      </c>
      <c r="P228" s="80">
        <f ca="1">SUMPRODUCT((Work_Codes!$AC$316:$AO$316=$E228)*(Work_Codes!$AC$319:$AO$325)*(P$125:P$131))</f>
        <v>4628766.5464705946</v>
      </c>
      <c r="Q228" s="80">
        <f ca="1">SUMPRODUCT((Work_Codes!$AC$316:$AO$316=$E228)*(Work_Codes!$AC$319:$AO$325)*(Q$125:Q$131))</f>
        <v>6108881.2970422469</v>
      </c>
      <c r="R228" s="80">
        <f ca="1">SUMPRODUCT((Work_Codes!$AC$316:$AO$316=$E228)*(Work_Codes!$AC$319:$AO$325)*(R$125:R$131))</f>
        <v>3389970.4328987338</v>
      </c>
      <c r="S228" s="80">
        <f ca="1">SUMPRODUCT((Work_Codes!$AC$316:$AO$316=$E228)*(Work_Codes!$AC$319:$AO$325)*(S$125:S$131))</f>
        <v>1983219.1814355585</v>
      </c>
      <c r="T228" s="80">
        <f ca="1">SUMPRODUCT((Work_Codes!$AC$316:$AO$316=$E228)*(Work_Codes!$AC$319:$AO$325)*(T$125:T$131))</f>
        <v>5394667.5502852034</v>
      </c>
    </row>
    <row r="229" spans="4:20" s="41" customFormat="1" ht="12" customHeight="1" outlineLevel="2">
      <c r="E229" s="251" t="str">
        <f>GC!C66</f>
        <v>IT capex</v>
      </c>
      <c r="F229" s="251"/>
      <c r="G229" s="251"/>
      <c r="H229" s="251"/>
      <c r="I229" s="251"/>
      <c r="J229" s="80">
        <f ca="1">SUMPRODUCT((Work_Codes!$AC$316:$AO$316=$E229)*(Work_Codes!$AC$319:$AO$325)*(J$125:J$131))</f>
        <v>0</v>
      </c>
      <c r="K229" s="80">
        <f ca="1">SUMPRODUCT((Work_Codes!$AC$316:$AO$316=$E229)*(Work_Codes!$AC$319:$AO$325)*(K$125:K$131))</f>
        <v>0</v>
      </c>
      <c r="L229" s="80">
        <f ca="1">SUMPRODUCT((Work_Codes!$AC$316:$AO$316=$E229)*(Work_Codes!$AC$319:$AO$325)*(L$125:L$131))</f>
        <v>0</v>
      </c>
      <c r="M229" s="80">
        <f ca="1">SUMPRODUCT((Work_Codes!$AC$316:$AO$316=$E229)*(Work_Codes!$AC$319:$AO$325)*(M$125:M$131))</f>
        <v>0</v>
      </c>
      <c r="N229" s="80">
        <f ca="1">SUMPRODUCT((Work_Codes!$AC$316:$AO$316=$E229)*(Work_Codes!$AC$319:$AO$325)*(N$125:N$131))</f>
        <v>0</v>
      </c>
      <c r="O229" s="80">
        <f ca="1">SUMPRODUCT((Work_Codes!$AC$316:$AO$316=$E229)*(Work_Codes!$AC$319:$AO$325)*(O$125:O$131))</f>
        <v>0</v>
      </c>
      <c r="P229" s="80">
        <f ca="1">SUMPRODUCT((Work_Codes!$AC$316:$AO$316=$E229)*(Work_Codes!$AC$319:$AO$325)*(P$125:P$131))</f>
        <v>0</v>
      </c>
      <c r="Q229" s="80">
        <f ca="1">SUMPRODUCT((Work_Codes!$AC$316:$AO$316=$E229)*(Work_Codes!$AC$319:$AO$325)*(Q$125:Q$131))</f>
        <v>0</v>
      </c>
      <c r="R229" s="80">
        <f ca="1">SUMPRODUCT((Work_Codes!$AC$316:$AO$316=$E229)*(Work_Codes!$AC$319:$AO$325)*(R$125:R$131))</f>
        <v>0</v>
      </c>
      <c r="S229" s="80">
        <f ca="1">SUMPRODUCT((Work_Codes!$AC$316:$AO$316=$E229)*(Work_Codes!$AC$319:$AO$325)*(S$125:S$131))</f>
        <v>0</v>
      </c>
      <c r="T229" s="80">
        <f ca="1">SUMPRODUCT((Work_Codes!$AC$316:$AO$316=$E229)*(Work_Codes!$AC$319:$AO$325)*(T$125:T$131))</f>
        <v>0</v>
      </c>
    </row>
    <row r="230" spans="4:20" s="41" customFormat="1" ht="12" customHeight="1" outlineLevel="2">
      <c r="E230" s="251" t="str">
        <f>GC!C67</f>
        <v>SCADA</v>
      </c>
      <c r="F230" s="251"/>
      <c r="G230" s="251"/>
      <c r="H230" s="251"/>
      <c r="I230" s="251"/>
      <c r="J230" s="80">
        <f ca="1">SUMPRODUCT((Work_Codes!$AC$316:$AO$316=$E230)*(Work_Codes!$AC$319:$AO$325)*(J$125:J$131))</f>
        <v>0</v>
      </c>
      <c r="K230" s="80">
        <f ca="1">SUMPRODUCT((Work_Codes!$AC$316:$AO$316=$E230)*(Work_Codes!$AC$319:$AO$325)*(K$125:K$131))</f>
        <v>0</v>
      </c>
      <c r="L230" s="80">
        <f ca="1">SUMPRODUCT((Work_Codes!$AC$316:$AO$316=$E230)*(Work_Codes!$AC$319:$AO$325)*(L$125:L$131))</f>
        <v>0</v>
      </c>
      <c r="M230" s="80">
        <f ca="1">SUMPRODUCT((Work_Codes!$AC$316:$AO$316=$E230)*(Work_Codes!$AC$319:$AO$325)*(M$125:M$131))</f>
        <v>0</v>
      </c>
      <c r="N230" s="80">
        <f ca="1">SUMPRODUCT((Work_Codes!$AC$316:$AO$316=$E230)*(Work_Codes!$AC$319:$AO$325)*(N$125:N$131))</f>
        <v>0</v>
      </c>
      <c r="O230" s="80">
        <f ca="1">SUMPRODUCT((Work_Codes!$AC$316:$AO$316=$E230)*(Work_Codes!$AC$319:$AO$325)*(O$125:O$131))</f>
        <v>0</v>
      </c>
      <c r="P230" s="80">
        <f ca="1">SUMPRODUCT((Work_Codes!$AC$316:$AO$316=$E230)*(Work_Codes!$AC$319:$AO$325)*(P$125:P$131))</f>
        <v>0</v>
      </c>
      <c r="Q230" s="80">
        <f ca="1">SUMPRODUCT((Work_Codes!$AC$316:$AO$316=$E230)*(Work_Codes!$AC$319:$AO$325)*(Q$125:Q$131))</f>
        <v>0</v>
      </c>
      <c r="R230" s="80">
        <f ca="1">SUMPRODUCT((Work_Codes!$AC$316:$AO$316=$E230)*(Work_Codes!$AC$319:$AO$325)*(R$125:R$131))</f>
        <v>0</v>
      </c>
      <c r="S230" s="80">
        <f ca="1">SUMPRODUCT((Work_Codes!$AC$316:$AO$316=$E230)*(Work_Codes!$AC$319:$AO$325)*(S$125:S$131))</f>
        <v>0</v>
      </c>
      <c r="T230" s="80">
        <f ca="1">SUMPRODUCT((Work_Codes!$AC$316:$AO$316=$E230)*(Work_Codes!$AC$319:$AO$325)*(T$125:T$131))</f>
        <v>0</v>
      </c>
    </row>
    <row r="231" spans="4:20" s="41" customFormat="1" ht="12" customHeight="1" outlineLevel="2">
      <c r="E231" s="251" t="str">
        <f>GC!C68</f>
        <v>Other</v>
      </c>
      <c r="F231" s="251"/>
      <c r="G231" s="251"/>
      <c r="H231" s="251"/>
      <c r="I231" s="251"/>
      <c r="J231" s="80">
        <f ca="1">SUMPRODUCT((Work_Codes!$AC$316:$AO$316=$E231)*(Work_Codes!$AC$319:$AO$325)*(J$125:J$131))</f>
        <v>0</v>
      </c>
      <c r="K231" s="80">
        <f ca="1">SUMPRODUCT((Work_Codes!$AC$316:$AO$316=$E231)*(Work_Codes!$AC$319:$AO$325)*(K$125:K$131))</f>
        <v>0</v>
      </c>
      <c r="L231" s="80">
        <f ca="1">SUMPRODUCT((Work_Codes!$AC$316:$AO$316=$E231)*(Work_Codes!$AC$319:$AO$325)*(L$125:L$131))</f>
        <v>0</v>
      </c>
      <c r="M231" s="80">
        <f ca="1">SUMPRODUCT((Work_Codes!$AC$316:$AO$316=$E231)*(Work_Codes!$AC$319:$AO$325)*(M$125:M$131))</f>
        <v>0</v>
      </c>
      <c r="N231" s="80">
        <f ca="1">SUMPRODUCT((Work_Codes!$AC$316:$AO$316=$E231)*(Work_Codes!$AC$319:$AO$325)*(N$125:N$131))</f>
        <v>0</v>
      </c>
      <c r="O231" s="80">
        <f ca="1">SUMPRODUCT((Work_Codes!$AC$316:$AO$316=$E231)*(Work_Codes!$AC$319:$AO$325)*(O$125:O$131))</f>
        <v>0</v>
      </c>
      <c r="P231" s="80">
        <f ca="1">SUMPRODUCT((Work_Codes!$AC$316:$AO$316=$E231)*(Work_Codes!$AC$319:$AO$325)*(P$125:P$131))</f>
        <v>0</v>
      </c>
      <c r="Q231" s="80">
        <f ca="1">SUMPRODUCT((Work_Codes!$AC$316:$AO$316=$E231)*(Work_Codes!$AC$319:$AO$325)*(Q$125:Q$131))</f>
        <v>0</v>
      </c>
      <c r="R231" s="80">
        <f ca="1">SUMPRODUCT((Work_Codes!$AC$316:$AO$316=$E231)*(Work_Codes!$AC$319:$AO$325)*(R$125:R$131))</f>
        <v>0</v>
      </c>
      <c r="S231" s="80">
        <f ca="1">SUMPRODUCT((Work_Codes!$AC$316:$AO$316=$E231)*(Work_Codes!$AC$319:$AO$325)*(S$125:S$131))</f>
        <v>0</v>
      </c>
      <c r="T231" s="80">
        <f ca="1">SUMPRODUCT((Work_Codes!$AC$316:$AO$316=$E231)*(Work_Codes!$AC$319:$AO$325)*(T$125:T$131))</f>
        <v>0</v>
      </c>
    </row>
    <row r="232" spans="4:20" s="41" customFormat="1" outlineLevel="2">
      <c r="E232" s="251" t="str">
        <f>GC!C69</f>
        <v>Capitalised Leases</v>
      </c>
      <c r="F232" s="251"/>
      <c r="G232" s="251"/>
      <c r="H232" s="251"/>
      <c r="I232" s="251"/>
      <c r="J232" s="80">
        <f ca="1">SUMPRODUCT((Work_Codes!$AC$316:$AO$316=$E232)*(Work_Codes!$AC$319:$AO$325)*(J$125:J$131))</f>
        <v>0</v>
      </c>
      <c r="K232" s="80">
        <f ca="1">SUMPRODUCT((Work_Codes!$AC$316:$AO$316=$E232)*(Work_Codes!$AC$319:$AO$325)*(K$125:K$131))</f>
        <v>0</v>
      </c>
      <c r="L232" s="80">
        <f ca="1">SUMPRODUCT((Work_Codes!$AC$316:$AO$316=$E232)*(Work_Codes!$AC$319:$AO$325)*(L$125:L$131))</f>
        <v>0</v>
      </c>
      <c r="M232" s="80">
        <f ca="1">SUMPRODUCT((Work_Codes!$AC$316:$AO$316=$E232)*(Work_Codes!$AC$319:$AO$325)*(M$125:M$131))</f>
        <v>0</v>
      </c>
      <c r="N232" s="80">
        <f ca="1">SUMPRODUCT((Work_Codes!$AC$316:$AO$316=$E232)*(Work_Codes!$AC$319:$AO$325)*(N$125:N$131))</f>
        <v>0</v>
      </c>
      <c r="O232" s="80">
        <f ca="1">SUMPRODUCT((Work_Codes!$AC$316:$AO$316=$E232)*(Work_Codes!$AC$319:$AO$325)*(O$125:O$131))</f>
        <v>0</v>
      </c>
      <c r="P232" s="80">
        <f ca="1">SUMPRODUCT((Work_Codes!$AC$316:$AO$316=$E232)*(Work_Codes!$AC$319:$AO$325)*(P$125:P$131))</f>
        <v>0</v>
      </c>
      <c r="Q232" s="80">
        <f ca="1">SUMPRODUCT((Work_Codes!$AC$316:$AO$316=$E232)*(Work_Codes!$AC$319:$AO$325)*(Q$125:Q$131))</f>
        <v>0</v>
      </c>
      <c r="R232" s="80">
        <f ca="1">SUMPRODUCT((Work_Codes!$AC$316:$AO$316=$E232)*(Work_Codes!$AC$319:$AO$325)*(R$125:R$131))</f>
        <v>0</v>
      </c>
      <c r="S232" s="80">
        <f ca="1">SUMPRODUCT((Work_Codes!$AC$316:$AO$316=$E232)*(Work_Codes!$AC$319:$AO$325)*(S$125:S$131))</f>
        <v>0</v>
      </c>
      <c r="T232" s="80">
        <f ca="1">SUMPRODUCT((Work_Codes!$AC$316:$AO$316=$E232)*(Work_Codes!$AC$319:$AO$325)*(T$125:T$131))</f>
        <v>0</v>
      </c>
    </row>
    <row r="233" spans="4:20" s="41" customFormat="1" ht="12" customHeight="1" outlineLevel="2">
      <c r="E233" s="251" t="str">
        <f>GC!C70</f>
        <v>Gas Extensions - Energy for the Regions</v>
      </c>
      <c r="F233" s="251"/>
      <c r="G233" s="251"/>
      <c r="H233" s="251"/>
      <c r="I233" s="251"/>
      <c r="J233" s="80">
        <f ca="1">SUMPRODUCT((Work_Codes!$AC$316:$AO$316=$E233)*(Work_Codes!$AC$319:$AO$325)*(J$125:J$131))</f>
        <v>0</v>
      </c>
      <c r="K233" s="80">
        <f ca="1">SUMPRODUCT((Work_Codes!$AC$316:$AO$316=$E233)*(Work_Codes!$AC$319:$AO$325)*(K$125:K$131))</f>
        <v>0</v>
      </c>
      <c r="L233" s="80">
        <f ca="1">SUMPRODUCT((Work_Codes!$AC$316:$AO$316=$E233)*(Work_Codes!$AC$319:$AO$325)*(L$125:L$131))</f>
        <v>0</v>
      </c>
      <c r="M233" s="80">
        <f ca="1">SUMPRODUCT((Work_Codes!$AC$316:$AO$316=$E233)*(Work_Codes!$AC$319:$AO$325)*(M$125:M$131))</f>
        <v>0</v>
      </c>
      <c r="N233" s="80">
        <f ca="1">SUMPRODUCT((Work_Codes!$AC$316:$AO$316=$E233)*(Work_Codes!$AC$319:$AO$325)*(N$125:N$131))</f>
        <v>0</v>
      </c>
      <c r="O233" s="80">
        <f ca="1">SUMPRODUCT((Work_Codes!$AC$316:$AO$316=$E233)*(Work_Codes!$AC$319:$AO$325)*(O$125:O$131))</f>
        <v>0</v>
      </c>
      <c r="P233" s="80">
        <f ca="1">SUMPRODUCT((Work_Codes!$AC$316:$AO$316=$E233)*(Work_Codes!$AC$319:$AO$325)*(P$125:P$131))</f>
        <v>0</v>
      </c>
      <c r="Q233" s="80">
        <f ca="1">SUMPRODUCT((Work_Codes!$AC$316:$AO$316=$E233)*(Work_Codes!$AC$319:$AO$325)*(Q$125:Q$131))</f>
        <v>0</v>
      </c>
      <c r="R233" s="80">
        <f ca="1">SUMPRODUCT((Work_Codes!$AC$316:$AO$316=$E233)*(Work_Codes!$AC$319:$AO$325)*(R$125:R$131))</f>
        <v>0</v>
      </c>
      <c r="S233" s="80">
        <f ca="1">SUMPRODUCT((Work_Codes!$AC$316:$AO$316=$E233)*(Work_Codes!$AC$319:$AO$325)*(S$125:S$131))</f>
        <v>0</v>
      </c>
      <c r="T233" s="80">
        <f ca="1">SUMPRODUCT((Work_Codes!$AC$316:$AO$316=$E233)*(Work_Codes!$AC$319:$AO$325)*(T$125:T$131))</f>
        <v>0</v>
      </c>
    </row>
    <row r="234" spans="4:20" s="41" customFormat="1" ht="12" customHeight="1" outlineLevel="2">
      <c r="E234" s="251" t="str">
        <f>GC!C71</f>
        <v>Gas Extensions - Other</v>
      </c>
      <c r="F234" s="251"/>
      <c r="G234" s="251"/>
      <c r="H234" s="251"/>
      <c r="I234" s="251"/>
      <c r="J234" s="80">
        <f ca="1">SUMPRODUCT((Work_Codes!$AC$316:$AO$316=$E234)*(Work_Codes!$AC$319:$AO$325)*(J$125:J$131))</f>
        <v>0</v>
      </c>
      <c r="K234" s="80">
        <f ca="1">SUMPRODUCT((Work_Codes!$AC$316:$AO$316=$E234)*(Work_Codes!$AC$319:$AO$325)*(K$125:K$131))</f>
        <v>0</v>
      </c>
      <c r="L234" s="80">
        <f ca="1">SUMPRODUCT((Work_Codes!$AC$316:$AO$316=$E234)*(Work_Codes!$AC$319:$AO$325)*(L$125:L$131))</f>
        <v>0</v>
      </c>
      <c r="M234" s="80">
        <f ca="1">SUMPRODUCT((Work_Codes!$AC$316:$AO$316=$E234)*(Work_Codes!$AC$319:$AO$325)*(M$125:M$131))</f>
        <v>0</v>
      </c>
      <c r="N234" s="80">
        <f ca="1">SUMPRODUCT((Work_Codes!$AC$316:$AO$316=$E234)*(Work_Codes!$AC$319:$AO$325)*(N$125:N$131))</f>
        <v>0</v>
      </c>
      <c r="O234" s="80">
        <f ca="1">SUMPRODUCT((Work_Codes!$AC$316:$AO$316=$E234)*(Work_Codes!$AC$319:$AO$325)*(O$125:O$131))</f>
        <v>0</v>
      </c>
      <c r="P234" s="80">
        <f ca="1">SUMPRODUCT((Work_Codes!$AC$316:$AO$316=$E234)*(Work_Codes!$AC$319:$AO$325)*(P$125:P$131))</f>
        <v>0</v>
      </c>
      <c r="Q234" s="80">
        <f ca="1">SUMPRODUCT((Work_Codes!$AC$316:$AO$316=$E234)*(Work_Codes!$AC$319:$AO$325)*(Q$125:Q$131))</f>
        <v>0</v>
      </c>
      <c r="R234" s="80">
        <f ca="1">SUMPRODUCT((Work_Codes!$AC$316:$AO$316=$E234)*(Work_Codes!$AC$319:$AO$325)*(R$125:R$131))</f>
        <v>0</v>
      </c>
      <c r="S234" s="80">
        <f ca="1">SUMPRODUCT((Work_Codes!$AC$316:$AO$316=$E234)*(Work_Codes!$AC$319:$AO$325)*(S$125:S$131))</f>
        <v>0</v>
      </c>
      <c r="T234" s="80">
        <f ca="1">SUMPRODUCT((Work_Codes!$AC$316:$AO$316=$E234)*(Work_Codes!$AC$319:$AO$325)*(T$125:T$131))</f>
        <v>0</v>
      </c>
    </row>
    <row r="235" spans="4:20" s="41" customFormat="1" ht="12" customHeight="1" outlineLevel="2">
      <c r="E235" s="251" t="str">
        <f>GC!C72</f>
        <v>Customer contributions</v>
      </c>
      <c r="F235" s="251"/>
      <c r="G235" s="251"/>
      <c r="H235" s="251"/>
      <c r="I235" s="251"/>
      <c r="J235" s="80">
        <f ca="1">SUMPRODUCT((Work_Codes!$AC$316:$AO$316=$E235)*(Work_Codes!$AC$319:$AO$325)*(J$125:J$131))</f>
        <v>0</v>
      </c>
      <c r="K235" s="80">
        <f ca="1">SUMPRODUCT((Work_Codes!$AC$316:$AO$316=$E235)*(Work_Codes!$AC$319:$AO$325)*(K$125:K$131))</f>
        <v>0</v>
      </c>
      <c r="L235" s="80">
        <f ca="1">SUMPRODUCT((Work_Codes!$AC$316:$AO$316=$E235)*(Work_Codes!$AC$319:$AO$325)*(L$125:L$131))</f>
        <v>0</v>
      </c>
      <c r="M235" s="80">
        <f ca="1">SUMPRODUCT((Work_Codes!$AC$316:$AO$316=$E235)*(Work_Codes!$AC$319:$AO$325)*(M$125:M$131))</f>
        <v>0</v>
      </c>
      <c r="N235" s="80">
        <f ca="1">SUMPRODUCT((Work_Codes!$AC$316:$AO$316=$E235)*(Work_Codes!$AC$319:$AO$325)*(N$125:N$131))</f>
        <v>0</v>
      </c>
      <c r="O235" s="80">
        <f ca="1">SUMPRODUCT((Work_Codes!$AC$316:$AO$316=$E235)*(Work_Codes!$AC$319:$AO$325)*(O$125:O$131))</f>
        <v>0</v>
      </c>
      <c r="P235" s="80">
        <f ca="1">SUMPRODUCT((Work_Codes!$AC$316:$AO$316=$E235)*(Work_Codes!$AC$319:$AO$325)*(P$125:P$131))</f>
        <v>0</v>
      </c>
      <c r="Q235" s="80">
        <f ca="1">SUMPRODUCT((Work_Codes!$AC$316:$AO$316=$E235)*(Work_Codes!$AC$319:$AO$325)*(Q$125:Q$131))</f>
        <v>0</v>
      </c>
      <c r="R235" s="80">
        <f ca="1">SUMPRODUCT((Work_Codes!$AC$316:$AO$316=$E235)*(Work_Codes!$AC$319:$AO$325)*(R$125:R$131))</f>
        <v>0</v>
      </c>
      <c r="S235" s="80">
        <f ca="1">SUMPRODUCT((Work_Codes!$AC$316:$AO$316=$E235)*(Work_Codes!$AC$319:$AO$325)*(S$125:S$131))</f>
        <v>0</v>
      </c>
      <c r="T235" s="80">
        <f ca="1">SUMPRODUCT((Work_Codes!$AC$316:$AO$316=$E235)*(Work_Codes!$AC$319:$AO$325)*(T$125:T$131))</f>
        <v>0</v>
      </c>
    </row>
    <row r="236" spans="4:20" s="41" customFormat="1" ht="12" customHeight="1" outlineLevel="2">
      <c r="E236" s="251" t="str">
        <f>GC!C73</f>
        <v>Government contributions</v>
      </c>
      <c r="F236" s="251"/>
      <c r="G236" s="251"/>
      <c r="H236" s="251"/>
      <c r="I236" s="251"/>
      <c r="J236" s="80">
        <f ca="1">SUMPRODUCT((Work_Codes!$AC$316:$AO$316=$E236)*(Work_Codes!$AC$319:$AO$325)*(J$125:J$131))</f>
        <v>0</v>
      </c>
      <c r="K236" s="80">
        <f ca="1">SUMPRODUCT((Work_Codes!$AC$316:$AO$316=$E236)*(Work_Codes!$AC$319:$AO$325)*(K$125:K$131))</f>
        <v>0</v>
      </c>
      <c r="L236" s="80">
        <f ca="1">SUMPRODUCT((Work_Codes!$AC$316:$AO$316=$E236)*(Work_Codes!$AC$319:$AO$325)*(L$125:L$131))</f>
        <v>0</v>
      </c>
      <c r="M236" s="80">
        <f ca="1">SUMPRODUCT((Work_Codes!$AC$316:$AO$316=$E236)*(Work_Codes!$AC$319:$AO$325)*(M$125:M$131))</f>
        <v>0</v>
      </c>
      <c r="N236" s="80">
        <f ca="1">SUMPRODUCT((Work_Codes!$AC$316:$AO$316=$E236)*(Work_Codes!$AC$319:$AO$325)*(N$125:N$131))</f>
        <v>0</v>
      </c>
      <c r="O236" s="80">
        <f ca="1">SUMPRODUCT((Work_Codes!$AC$316:$AO$316=$E236)*(Work_Codes!$AC$319:$AO$325)*(O$125:O$131))</f>
        <v>0</v>
      </c>
      <c r="P236" s="80">
        <f ca="1">SUMPRODUCT((Work_Codes!$AC$316:$AO$316=$E236)*(Work_Codes!$AC$319:$AO$325)*(P$125:P$131))</f>
        <v>0</v>
      </c>
      <c r="Q236" s="80">
        <f ca="1">SUMPRODUCT((Work_Codes!$AC$316:$AO$316=$E236)*(Work_Codes!$AC$319:$AO$325)*(Q$125:Q$131))</f>
        <v>0</v>
      </c>
      <c r="R236" s="80">
        <f ca="1">SUMPRODUCT((Work_Codes!$AC$316:$AO$316=$E236)*(Work_Codes!$AC$319:$AO$325)*(R$125:R$131))</f>
        <v>0</v>
      </c>
      <c r="S236" s="80">
        <f ca="1">SUMPRODUCT((Work_Codes!$AC$316:$AO$316=$E236)*(Work_Codes!$AC$319:$AO$325)*(S$125:S$131))</f>
        <v>0</v>
      </c>
      <c r="T236" s="80">
        <f ca="1">SUMPRODUCT((Work_Codes!$AC$316:$AO$316=$E236)*(Work_Codes!$AC$319:$AO$325)*(T$125:T$131))</f>
        <v>0</v>
      </c>
    </row>
    <row r="237" spans="4:20" s="41" customFormat="1" ht="12" customHeight="1" outlineLevel="2">
      <c r="E237" s="250" t="str">
        <f>"Total "&amp;D221</f>
        <v>Total Direct Costs</v>
      </c>
      <c r="F237" s="250"/>
      <c r="G237" s="250"/>
      <c r="H237" s="250"/>
      <c r="I237" s="250"/>
      <c r="J237" s="101">
        <f t="shared" ref="J237:T237" ca="1" si="25">SUM(J223:J236)</f>
        <v>0</v>
      </c>
      <c r="K237" s="101">
        <f t="shared" ca="1" si="25"/>
        <v>0</v>
      </c>
      <c r="L237" s="101">
        <f t="shared" ca="1" si="25"/>
        <v>0</v>
      </c>
      <c r="M237" s="101">
        <f t="shared" ca="1" si="25"/>
        <v>0</v>
      </c>
      <c r="N237" s="101">
        <f t="shared" ca="1" si="25"/>
        <v>3589875.6988584171</v>
      </c>
      <c r="O237" s="101">
        <f t="shared" ca="1" si="25"/>
        <v>2498006.2128540152</v>
      </c>
      <c r="P237" s="101">
        <f t="shared" ca="1" si="25"/>
        <v>4628766.5464705946</v>
      </c>
      <c r="Q237" s="101">
        <f t="shared" ca="1" si="25"/>
        <v>6108881.2970422469</v>
      </c>
      <c r="R237" s="101">
        <f t="shared" ca="1" si="25"/>
        <v>3389970.4328987338</v>
      </c>
      <c r="S237" s="101">
        <f t="shared" ca="1" si="25"/>
        <v>1983219.1814355585</v>
      </c>
      <c r="T237" s="101">
        <f t="shared" ca="1" si="25"/>
        <v>5394667.5502852034</v>
      </c>
    </row>
    <row r="238" spans="4:20" s="41" customFormat="1" outlineLevel="2"/>
    <row r="239" spans="4:20" s="41" customFormat="1" outlineLevel="2">
      <c r="D239" s="50" t="s">
        <v>216</v>
      </c>
    </row>
    <row r="240" spans="4:20" s="41" customFormat="1" ht="5.9" customHeight="1" outlineLevel="2"/>
    <row r="241" spans="5:20" s="41" customFormat="1" ht="12" customHeight="1" outlineLevel="2">
      <c r="E241" s="251" t="str">
        <f>GC!C60</f>
        <v>Mains replacement</v>
      </c>
      <c r="F241" s="251"/>
      <c r="G241" s="251"/>
      <c r="H241" s="251"/>
      <c r="I241" s="251"/>
      <c r="J241" s="80">
        <f ca="1">J223*(1+INDEX(J$35:J$37,MATCH(Work_Codes!$I$313,$D$35:$D$37,0)))</f>
        <v>0</v>
      </c>
      <c r="K241" s="80">
        <f ca="1">K223*(1+INDEX(K$35:K$37,MATCH(Work_Codes!$I$313,$D$35:$D$37,0)))</f>
        <v>0</v>
      </c>
      <c r="L241" s="80">
        <f ca="1">L223*(1+INDEX(L$35:L$37,MATCH(Work_Codes!$I$313,$D$35:$D$37,0)))</f>
        <v>0</v>
      </c>
      <c r="M241" s="80">
        <f ca="1">M223*(1+INDEX(M$35:M$37,MATCH(Work_Codes!$I$313,$D$35:$D$37,0)))</f>
        <v>0</v>
      </c>
      <c r="N241" s="80">
        <f ca="1">N223*(1+INDEX(N$35:N$37,MATCH(Work_Codes!$I$313,$D$35:$D$37,0)))</f>
        <v>0</v>
      </c>
      <c r="O241" s="80">
        <f ca="1">O223*(1+INDEX(O$35:O$37,MATCH(Work_Codes!$I$313,$D$35:$D$37,0)))</f>
        <v>0</v>
      </c>
      <c r="P241" s="80">
        <f ca="1">P223*(1+INDEX(P$35:P$37,MATCH(Work_Codes!$I$313,$D$35:$D$37,0)))</f>
        <v>0</v>
      </c>
      <c r="Q241" s="80">
        <f ca="1">Q223*(1+INDEX(Q$35:Q$37,MATCH(Work_Codes!$I$313,$D$35:$D$37,0)))</f>
        <v>0</v>
      </c>
      <c r="R241" s="80">
        <f ca="1">R223*(1+INDEX(R$35:R$37,MATCH(Work_Codes!$I$313,$D$35:$D$37,0)))</f>
        <v>0</v>
      </c>
      <c r="S241" s="80">
        <f ca="1">S223*(1+INDEX(S$35:S$37,MATCH(Work_Codes!$I$313,$D$35:$D$37,0)))</f>
        <v>0</v>
      </c>
      <c r="T241" s="80">
        <f ca="1">T223*(1+INDEX(T$35:T$37,MATCH(Work_Codes!$I$313,$D$35:$D$37,0)))</f>
        <v>0</v>
      </c>
    </row>
    <row r="242" spans="5:20" s="41" customFormat="1" ht="12" customHeight="1" outlineLevel="2">
      <c r="E242" s="251" t="str">
        <f>GC!C61</f>
        <v>Residential new customer connections</v>
      </c>
      <c r="F242" s="251"/>
      <c r="G242" s="251"/>
      <c r="H242" s="251"/>
      <c r="I242" s="251"/>
      <c r="J242" s="80">
        <f ca="1">J224*(1+INDEX(J$35:J$37,MATCH(Work_Codes!$I$313,$D$35:$D$37,0)))</f>
        <v>0</v>
      </c>
      <c r="K242" s="80">
        <f ca="1">K224*(1+INDEX(K$35:K$37,MATCH(Work_Codes!$I$313,$D$35:$D$37,0)))</f>
        <v>0</v>
      </c>
      <c r="L242" s="80">
        <f ca="1">L224*(1+INDEX(L$35:L$37,MATCH(Work_Codes!$I$313,$D$35:$D$37,0)))</f>
        <v>0</v>
      </c>
      <c r="M242" s="80">
        <f ca="1">M224*(1+INDEX(M$35:M$37,MATCH(Work_Codes!$I$313,$D$35:$D$37,0)))</f>
        <v>0</v>
      </c>
      <c r="N242" s="80">
        <f ca="1">N224*(1+INDEX(N$35:N$37,MATCH(Work_Codes!$I$313,$D$35:$D$37,0)))</f>
        <v>0</v>
      </c>
      <c r="O242" s="80">
        <f ca="1">O224*(1+INDEX(O$35:O$37,MATCH(Work_Codes!$I$313,$D$35:$D$37,0)))</f>
        <v>0</v>
      </c>
      <c r="P242" s="80">
        <f ca="1">P224*(1+INDEX(P$35:P$37,MATCH(Work_Codes!$I$313,$D$35:$D$37,0)))</f>
        <v>0</v>
      </c>
      <c r="Q242" s="80">
        <f ca="1">Q224*(1+INDEX(Q$35:Q$37,MATCH(Work_Codes!$I$313,$D$35:$D$37,0)))</f>
        <v>0</v>
      </c>
      <c r="R242" s="80">
        <f ca="1">R224*(1+INDEX(R$35:R$37,MATCH(Work_Codes!$I$313,$D$35:$D$37,0)))</f>
        <v>0</v>
      </c>
      <c r="S242" s="80">
        <f ca="1">S224*(1+INDEX(S$35:S$37,MATCH(Work_Codes!$I$313,$D$35:$D$37,0)))</f>
        <v>0</v>
      </c>
      <c r="T242" s="80">
        <f ca="1">T224*(1+INDEX(T$35:T$37,MATCH(Work_Codes!$I$313,$D$35:$D$37,0)))</f>
        <v>0</v>
      </c>
    </row>
    <row r="243" spans="5:20" s="41" customFormat="1" ht="12" customHeight="1" outlineLevel="2">
      <c r="E243" s="251" t="str">
        <f>GC!C62</f>
        <v>Commercial and industrial new customer connections</v>
      </c>
      <c r="F243" s="251"/>
      <c r="G243" s="251"/>
      <c r="H243" s="251"/>
      <c r="I243" s="251"/>
      <c r="J243" s="80">
        <f ca="1">J225*(1+INDEX(J$35:J$37,MATCH(Work_Codes!$I$313,$D$35:$D$37,0)))</f>
        <v>0</v>
      </c>
      <c r="K243" s="80">
        <f ca="1">K225*(1+INDEX(K$35:K$37,MATCH(Work_Codes!$I$313,$D$35:$D$37,0)))</f>
        <v>0</v>
      </c>
      <c r="L243" s="80">
        <f ca="1">L225*(1+INDEX(L$35:L$37,MATCH(Work_Codes!$I$313,$D$35:$D$37,0)))</f>
        <v>0</v>
      </c>
      <c r="M243" s="80">
        <f ca="1">M225*(1+INDEX(M$35:M$37,MATCH(Work_Codes!$I$313,$D$35:$D$37,0)))</f>
        <v>0</v>
      </c>
      <c r="N243" s="80">
        <f ca="1">N225*(1+INDEX(N$35:N$37,MATCH(Work_Codes!$I$313,$D$35:$D$37,0)))</f>
        <v>0</v>
      </c>
      <c r="O243" s="80">
        <f ca="1">O225*(1+INDEX(O$35:O$37,MATCH(Work_Codes!$I$313,$D$35:$D$37,0)))</f>
        <v>0</v>
      </c>
      <c r="P243" s="80">
        <f ca="1">P225*(1+INDEX(P$35:P$37,MATCH(Work_Codes!$I$313,$D$35:$D$37,0)))</f>
        <v>0</v>
      </c>
      <c r="Q243" s="80">
        <f ca="1">Q225*(1+INDEX(Q$35:Q$37,MATCH(Work_Codes!$I$313,$D$35:$D$37,0)))</f>
        <v>0</v>
      </c>
      <c r="R243" s="80">
        <f ca="1">R225*(1+INDEX(R$35:R$37,MATCH(Work_Codes!$I$313,$D$35:$D$37,0)))</f>
        <v>0</v>
      </c>
      <c r="S243" s="80">
        <f ca="1">S225*(1+INDEX(S$35:S$37,MATCH(Work_Codes!$I$313,$D$35:$D$37,0)))</f>
        <v>0</v>
      </c>
      <c r="T243" s="80">
        <f ca="1">T225*(1+INDEX(T$35:T$37,MATCH(Work_Codes!$I$313,$D$35:$D$37,0)))</f>
        <v>0</v>
      </c>
    </row>
    <row r="244" spans="5:20" s="41" customFormat="1" ht="12" customHeight="1" outlineLevel="2">
      <c r="E244" s="251" t="str">
        <f>GC!C63</f>
        <v>Residential meter replacement</v>
      </c>
      <c r="F244" s="251"/>
      <c r="G244" s="251"/>
      <c r="H244" s="251"/>
      <c r="I244" s="251"/>
      <c r="J244" s="80">
        <f ca="1">J226*(1+INDEX(J$35:J$37,MATCH(Work_Codes!$I$313,$D$35:$D$37,0)))</f>
        <v>0</v>
      </c>
      <c r="K244" s="80">
        <f ca="1">K226*(1+INDEX(K$35:K$37,MATCH(Work_Codes!$I$313,$D$35:$D$37,0)))</f>
        <v>0</v>
      </c>
      <c r="L244" s="80">
        <f ca="1">L226*(1+INDEX(L$35:L$37,MATCH(Work_Codes!$I$313,$D$35:$D$37,0)))</f>
        <v>0</v>
      </c>
      <c r="M244" s="80">
        <f ca="1">M226*(1+INDEX(M$35:M$37,MATCH(Work_Codes!$I$313,$D$35:$D$37,0)))</f>
        <v>0</v>
      </c>
      <c r="N244" s="80">
        <f ca="1">N226*(1+INDEX(N$35:N$37,MATCH(Work_Codes!$I$313,$D$35:$D$37,0)))</f>
        <v>0</v>
      </c>
      <c r="O244" s="80">
        <f ca="1">O226*(1+INDEX(O$35:O$37,MATCH(Work_Codes!$I$313,$D$35:$D$37,0)))</f>
        <v>0</v>
      </c>
      <c r="P244" s="80">
        <f ca="1">P226*(1+INDEX(P$35:P$37,MATCH(Work_Codes!$I$313,$D$35:$D$37,0)))</f>
        <v>0</v>
      </c>
      <c r="Q244" s="80">
        <f ca="1">Q226*(1+INDEX(Q$35:Q$37,MATCH(Work_Codes!$I$313,$D$35:$D$37,0)))</f>
        <v>0</v>
      </c>
      <c r="R244" s="80">
        <f ca="1">R226*(1+INDEX(R$35:R$37,MATCH(Work_Codes!$I$313,$D$35:$D$37,0)))</f>
        <v>0</v>
      </c>
      <c r="S244" s="80">
        <f ca="1">S226*(1+INDEX(S$35:S$37,MATCH(Work_Codes!$I$313,$D$35:$D$37,0)))</f>
        <v>0</v>
      </c>
      <c r="T244" s="80">
        <f ca="1">T226*(1+INDEX(T$35:T$37,MATCH(Work_Codes!$I$313,$D$35:$D$37,0)))</f>
        <v>0</v>
      </c>
    </row>
    <row r="245" spans="5:20" s="41" customFormat="1" ht="12" customHeight="1" outlineLevel="2">
      <c r="E245" s="251" t="str">
        <f>GC!C64</f>
        <v>Commercial and industrial meter replacement</v>
      </c>
      <c r="F245" s="251"/>
      <c r="G245" s="251"/>
      <c r="H245" s="251"/>
      <c r="I245" s="251"/>
      <c r="J245" s="80">
        <f ca="1">J227*(1+INDEX(J$35:J$37,MATCH(Work_Codes!$I$313,$D$35:$D$37,0)))</f>
        <v>0</v>
      </c>
      <c r="K245" s="80">
        <f ca="1">K227*(1+INDEX(K$35:K$37,MATCH(Work_Codes!$I$313,$D$35:$D$37,0)))</f>
        <v>0</v>
      </c>
      <c r="L245" s="80">
        <f ca="1">L227*(1+INDEX(L$35:L$37,MATCH(Work_Codes!$I$313,$D$35:$D$37,0)))</f>
        <v>0</v>
      </c>
      <c r="M245" s="80">
        <f ca="1">M227*(1+INDEX(M$35:M$37,MATCH(Work_Codes!$I$313,$D$35:$D$37,0)))</f>
        <v>0</v>
      </c>
      <c r="N245" s="80">
        <f ca="1">N227*(1+INDEX(N$35:N$37,MATCH(Work_Codes!$I$313,$D$35:$D$37,0)))</f>
        <v>0</v>
      </c>
      <c r="O245" s="80">
        <f ca="1">O227*(1+INDEX(O$35:O$37,MATCH(Work_Codes!$I$313,$D$35:$D$37,0)))</f>
        <v>0</v>
      </c>
      <c r="P245" s="80">
        <f ca="1">P227*(1+INDEX(P$35:P$37,MATCH(Work_Codes!$I$313,$D$35:$D$37,0)))</f>
        <v>0</v>
      </c>
      <c r="Q245" s="80">
        <f ca="1">Q227*(1+INDEX(Q$35:Q$37,MATCH(Work_Codes!$I$313,$D$35:$D$37,0)))</f>
        <v>0</v>
      </c>
      <c r="R245" s="80">
        <f ca="1">R227*(1+INDEX(R$35:R$37,MATCH(Work_Codes!$I$313,$D$35:$D$37,0)))</f>
        <v>0</v>
      </c>
      <c r="S245" s="80">
        <f ca="1">S227*(1+INDEX(S$35:S$37,MATCH(Work_Codes!$I$313,$D$35:$D$37,0)))</f>
        <v>0</v>
      </c>
      <c r="T245" s="80">
        <f ca="1">T227*(1+INDEX(T$35:T$37,MATCH(Work_Codes!$I$313,$D$35:$D$37,0)))</f>
        <v>0</v>
      </c>
    </row>
    <row r="246" spans="5:20" s="41" customFormat="1" ht="12" customHeight="1" outlineLevel="2">
      <c r="E246" s="251" t="str">
        <f>GC!C65</f>
        <v>Augmentation</v>
      </c>
      <c r="F246" s="251"/>
      <c r="G246" s="251"/>
      <c r="H246" s="251"/>
      <c r="I246" s="251"/>
      <c r="J246" s="80">
        <f ca="1">J228*(1+INDEX(J$35:J$37,MATCH(Work_Codes!$I$313,$D$35:$D$37,0)))</f>
        <v>0</v>
      </c>
      <c r="K246" s="80">
        <f ca="1">K228*(1+INDEX(K$35:K$37,MATCH(Work_Codes!$I$313,$D$35:$D$37,0)))</f>
        <v>0</v>
      </c>
      <c r="L246" s="80">
        <f ca="1">L228*(1+INDEX(L$35:L$37,MATCH(Work_Codes!$I$313,$D$35:$D$37,0)))</f>
        <v>0</v>
      </c>
      <c r="M246" s="80">
        <f ca="1">M228*(1+INDEX(M$35:M$37,MATCH(Work_Codes!$I$313,$D$35:$D$37,0)))</f>
        <v>0</v>
      </c>
      <c r="N246" s="80">
        <f ca="1">N228*(1+INDEX(N$35:N$37,MATCH(Work_Codes!$I$313,$D$35:$D$37,0)))</f>
        <v>3725253.527841893</v>
      </c>
      <c r="O246" s="80">
        <f ca="1">O228*(1+INDEX(O$35:O$37,MATCH(Work_Codes!$I$313,$D$35:$D$37,0)))</f>
        <v>2581149.7743411139</v>
      </c>
      <c r="P246" s="80">
        <f ca="1">P228*(1+INDEX(P$35:P$37,MATCH(Work_Codes!$I$313,$D$35:$D$37,0)))</f>
        <v>4752598.3664843151</v>
      </c>
      <c r="Q246" s="80">
        <f ca="1">Q228*(1+INDEX(Q$35:Q$37,MATCH(Work_Codes!$I$313,$D$35:$D$37,0)))</f>
        <v>6268082.3316884516</v>
      </c>
      <c r="R246" s="80">
        <f ca="1">R228*(1+INDEX(R$35:R$37,MATCH(Work_Codes!$I$313,$D$35:$D$37,0)))</f>
        <v>3481069.1286397651</v>
      </c>
      <c r="S246" s="80">
        <f ca="1">S228*(1+INDEX(S$35:S$37,MATCH(Work_Codes!$I$313,$D$35:$D$37,0)))</f>
        <v>2039832.5110424659</v>
      </c>
      <c r="T246" s="80">
        <f ca="1">T228*(1+INDEX(T$35:T$37,MATCH(Work_Codes!$I$313,$D$35:$D$37,0)))</f>
        <v>5556078.0436728923</v>
      </c>
    </row>
    <row r="247" spans="5:20" s="41" customFormat="1" ht="12" customHeight="1" outlineLevel="2">
      <c r="E247" s="251" t="str">
        <f>GC!C66</f>
        <v>IT capex</v>
      </c>
      <c r="F247" s="251"/>
      <c r="G247" s="251"/>
      <c r="H247" s="251"/>
      <c r="I247" s="251"/>
      <c r="J247" s="80">
        <f ca="1">J229*(1+INDEX(J$35:J$37,MATCH(Work_Codes!$I$313,$D$35:$D$37,0)))</f>
        <v>0</v>
      </c>
      <c r="K247" s="80">
        <f ca="1">K229*(1+INDEX(K$35:K$37,MATCH(Work_Codes!$I$313,$D$35:$D$37,0)))</f>
        <v>0</v>
      </c>
      <c r="L247" s="80">
        <f ca="1">L229*(1+INDEX(L$35:L$37,MATCH(Work_Codes!$I$313,$D$35:$D$37,0)))</f>
        <v>0</v>
      </c>
      <c r="M247" s="80">
        <f ca="1">M229*(1+INDEX(M$35:M$37,MATCH(Work_Codes!$I$313,$D$35:$D$37,0)))</f>
        <v>0</v>
      </c>
      <c r="N247" s="80">
        <f ca="1">N229*(1+INDEX(N$35:N$37,MATCH(Work_Codes!$I$313,$D$35:$D$37,0)))</f>
        <v>0</v>
      </c>
      <c r="O247" s="80">
        <f ca="1">O229*(1+INDEX(O$35:O$37,MATCH(Work_Codes!$I$313,$D$35:$D$37,0)))</f>
        <v>0</v>
      </c>
      <c r="P247" s="80">
        <f ca="1">P229*(1+INDEX(P$35:P$37,MATCH(Work_Codes!$I$313,$D$35:$D$37,0)))</f>
        <v>0</v>
      </c>
      <c r="Q247" s="80">
        <f ca="1">Q229*(1+INDEX(Q$35:Q$37,MATCH(Work_Codes!$I$313,$D$35:$D$37,0)))</f>
        <v>0</v>
      </c>
      <c r="R247" s="80">
        <f ca="1">R229*(1+INDEX(R$35:R$37,MATCH(Work_Codes!$I$313,$D$35:$D$37,0)))</f>
        <v>0</v>
      </c>
      <c r="S247" s="80">
        <f ca="1">S229*(1+INDEX(S$35:S$37,MATCH(Work_Codes!$I$313,$D$35:$D$37,0)))</f>
        <v>0</v>
      </c>
      <c r="T247" s="80">
        <f ca="1">T229*(1+INDEX(T$35:T$37,MATCH(Work_Codes!$I$313,$D$35:$D$37,0)))</f>
        <v>0</v>
      </c>
    </row>
    <row r="248" spans="5:20" s="41" customFormat="1" ht="12" customHeight="1" outlineLevel="2">
      <c r="E248" s="251" t="str">
        <f>GC!C67</f>
        <v>SCADA</v>
      </c>
      <c r="F248" s="251"/>
      <c r="G248" s="251"/>
      <c r="H248" s="251"/>
      <c r="I248" s="251"/>
      <c r="J248" s="80">
        <f ca="1">J230*(1+INDEX(J$35:J$37,MATCH(Work_Codes!$I$313,$D$35:$D$37,0)))</f>
        <v>0</v>
      </c>
      <c r="K248" s="80">
        <f ca="1">K230*(1+INDEX(K$35:K$37,MATCH(Work_Codes!$I$313,$D$35:$D$37,0)))</f>
        <v>0</v>
      </c>
      <c r="L248" s="80">
        <f ca="1">L230*(1+INDEX(L$35:L$37,MATCH(Work_Codes!$I$313,$D$35:$D$37,0)))</f>
        <v>0</v>
      </c>
      <c r="M248" s="80">
        <f ca="1">M230*(1+INDEX(M$35:M$37,MATCH(Work_Codes!$I$313,$D$35:$D$37,0)))</f>
        <v>0</v>
      </c>
      <c r="N248" s="80">
        <f ca="1">N230*(1+INDEX(N$35:N$37,MATCH(Work_Codes!$I$313,$D$35:$D$37,0)))</f>
        <v>0</v>
      </c>
      <c r="O248" s="80">
        <f ca="1">O230*(1+INDEX(O$35:O$37,MATCH(Work_Codes!$I$313,$D$35:$D$37,0)))</f>
        <v>0</v>
      </c>
      <c r="P248" s="80">
        <f ca="1">P230*(1+INDEX(P$35:P$37,MATCH(Work_Codes!$I$313,$D$35:$D$37,0)))</f>
        <v>0</v>
      </c>
      <c r="Q248" s="80">
        <f ca="1">Q230*(1+INDEX(Q$35:Q$37,MATCH(Work_Codes!$I$313,$D$35:$D$37,0)))</f>
        <v>0</v>
      </c>
      <c r="R248" s="80">
        <f ca="1">R230*(1+INDEX(R$35:R$37,MATCH(Work_Codes!$I$313,$D$35:$D$37,0)))</f>
        <v>0</v>
      </c>
      <c r="S248" s="80">
        <f ca="1">S230*(1+INDEX(S$35:S$37,MATCH(Work_Codes!$I$313,$D$35:$D$37,0)))</f>
        <v>0</v>
      </c>
      <c r="T248" s="80">
        <f ca="1">T230*(1+INDEX(T$35:T$37,MATCH(Work_Codes!$I$313,$D$35:$D$37,0)))</f>
        <v>0</v>
      </c>
    </row>
    <row r="249" spans="5:20" s="41" customFormat="1" ht="12" customHeight="1" outlineLevel="2">
      <c r="E249" s="251" t="str">
        <f>GC!C68</f>
        <v>Other</v>
      </c>
      <c r="F249" s="251"/>
      <c r="G249" s="251"/>
      <c r="H249" s="251"/>
      <c r="I249" s="251"/>
      <c r="J249" s="80">
        <f ca="1">J231*(1+INDEX(J$35:J$37,MATCH(Work_Codes!$I$313,$D$35:$D$37,0)))</f>
        <v>0</v>
      </c>
      <c r="K249" s="80">
        <f ca="1">K231*(1+INDEX(K$35:K$37,MATCH(Work_Codes!$I$313,$D$35:$D$37,0)))</f>
        <v>0</v>
      </c>
      <c r="L249" s="80">
        <f ca="1">L231*(1+INDEX(L$35:L$37,MATCH(Work_Codes!$I$313,$D$35:$D$37,0)))</f>
        <v>0</v>
      </c>
      <c r="M249" s="80">
        <f ca="1">M231*(1+INDEX(M$35:M$37,MATCH(Work_Codes!$I$313,$D$35:$D$37,0)))</f>
        <v>0</v>
      </c>
      <c r="N249" s="80">
        <f ca="1">N231*(1+INDEX(N$35:N$37,MATCH(Work_Codes!$I$313,$D$35:$D$37,0)))</f>
        <v>0</v>
      </c>
      <c r="O249" s="80">
        <f ca="1">O231*(1+INDEX(O$35:O$37,MATCH(Work_Codes!$I$313,$D$35:$D$37,0)))</f>
        <v>0</v>
      </c>
      <c r="P249" s="80">
        <f ca="1">P231*(1+INDEX(P$35:P$37,MATCH(Work_Codes!$I$313,$D$35:$D$37,0)))</f>
        <v>0</v>
      </c>
      <c r="Q249" s="80">
        <f ca="1">Q231*(1+INDEX(Q$35:Q$37,MATCH(Work_Codes!$I$313,$D$35:$D$37,0)))</f>
        <v>0</v>
      </c>
      <c r="R249" s="80">
        <f ca="1">R231*(1+INDEX(R$35:R$37,MATCH(Work_Codes!$I$313,$D$35:$D$37,0)))</f>
        <v>0</v>
      </c>
      <c r="S249" s="80">
        <f ca="1">S231*(1+INDEX(S$35:S$37,MATCH(Work_Codes!$I$313,$D$35:$D$37,0)))</f>
        <v>0</v>
      </c>
      <c r="T249" s="80">
        <f ca="1">T231*(1+INDEX(T$35:T$37,MATCH(Work_Codes!$I$313,$D$35:$D$37,0)))</f>
        <v>0</v>
      </c>
    </row>
    <row r="250" spans="5:20" s="41" customFormat="1" outlineLevel="2">
      <c r="E250" s="251" t="str">
        <f>GC!C69</f>
        <v>Capitalised Leases</v>
      </c>
      <c r="F250" s="251"/>
      <c r="G250" s="251"/>
      <c r="H250" s="251"/>
      <c r="I250" s="251"/>
      <c r="J250" s="80">
        <f ca="1">J232*(1+INDEX(J$35:J$37,MATCH(Work_Codes!$I$313,$D$35:$D$37,0)))</f>
        <v>0</v>
      </c>
      <c r="K250" s="80">
        <f ca="1">K232*(1+INDEX(K$35:K$37,MATCH(Work_Codes!$I$313,$D$35:$D$37,0)))</f>
        <v>0</v>
      </c>
      <c r="L250" s="80">
        <f ca="1">L232*(1+INDEX(L$35:L$37,MATCH(Work_Codes!$I$313,$D$35:$D$37,0)))</f>
        <v>0</v>
      </c>
      <c r="M250" s="80">
        <f ca="1">M232*(1+INDEX(M$35:M$37,MATCH(Work_Codes!$I$313,$D$35:$D$37,0)))</f>
        <v>0</v>
      </c>
      <c r="N250" s="80">
        <f ca="1">N232*(1+INDEX(N$35:N$37,MATCH(Work_Codes!$I$313,$D$35:$D$37,0)))</f>
        <v>0</v>
      </c>
      <c r="O250" s="80">
        <f ca="1">O232*(1+INDEX(O$35:O$37,MATCH(Work_Codes!$I$313,$D$35:$D$37,0)))</f>
        <v>0</v>
      </c>
      <c r="P250" s="80">
        <f ca="1">P232*(1+INDEX(P$35:P$37,MATCH(Work_Codes!$I$313,$D$35:$D$37,0)))</f>
        <v>0</v>
      </c>
      <c r="Q250" s="80">
        <f ca="1">Q232*(1+INDEX(Q$35:Q$37,MATCH(Work_Codes!$I$313,$D$35:$D$37,0)))</f>
        <v>0</v>
      </c>
      <c r="R250" s="80">
        <f ca="1">R232*(1+INDEX(R$35:R$37,MATCH(Work_Codes!$I$313,$D$35:$D$37,0)))</f>
        <v>0</v>
      </c>
      <c r="S250" s="80">
        <f ca="1">S232*(1+INDEX(S$35:S$37,MATCH(Work_Codes!$I$313,$D$35:$D$37,0)))</f>
        <v>0</v>
      </c>
      <c r="T250" s="80">
        <f ca="1">T232*(1+INDEX(T$35:T$37,MATCH(Work_Codes!$I$313,$D$35:$D$37,0)))</f>
        <v>0</v>
      </c>
    </row>
    <row r="251" spans="5:20" s="41" customFormat="1" ht="12" customHeight="1" outlineLevel="2">
      <c r="E251" s="251" t="str">
        <f>GC!C70</f>
        <v>Gas Extensions - Energy for the Regions</v>
      </c>
      <c r="F251" s="251"/>
      <c r="G251" s="251"/>
      <c r="H251" s="251"/>
      <c r="I251" s="251"/>
      <c r="J251" s="80">
        <f ca="1">J233*(1+INDEX(J$35:J$37,MATCH(Work_Codes!$I$313,$D$35:$D$37,0)))</f>
        <v>0</v>
      </c>
      <c r="K251" s="80">
        <f ca="1">K233*(1+INDEX(K$35:K$37,MATCH(Work_Codes!$I$313,$D$35:$D$37,0)))</f>
        <v>0</v>
      </c>
      <c r="L251" s="80">
        <f ca="1">L233*(1+INDEX(L$35:L$37,MATCH(Work_Codes!$I$313,$D$35:$D$37,0)))</f>
        <v>0</v>
      </c>
      <c r="M251" s="80">
        <f ca="1">M233*(1+INDEX(M$35:M$37,MATCH(Work_Codes!$I$313,$D$35:$D$37,0)))</f>
        <v>0</v>
      </c>
      <c r="N251" s="80">
        <f ca="1">N233*(1+INDEX(N$35:N$37,MATCH(Work_Codes!$I$313,$D$35:$D$37,0)))</f>
        <v>0</v>
      </c>
      <c r="O251" s="80">
        <f ca="1">O233*(1+INDEX(O$35:O$37,MATCH(Work_Codes!$I$313,$D$35:$D$37,0)))</f>
        <v>0</v>
      </c>
      <c r="P251" s="80">
        <f ca="1">P233*(1+INDEX(P$35:P$37,MATCH(Work_Codes!$I$313,$D$35:$D$37,0)))</f>
        <v>0</v>
      </c>
      <c r="Q251" s="80">
        <f ca="1">Q233*(1+INDEX(Q$35:Q$37,MATCH(Work_Codes!$I$313,$D$35:$D$37,0)))</f>
        <v>0</v>
      </c>
      <c r="R251" s="80">
        <f ca="1">R233*(1+INDEX(R$35:R$37,MATCH(Work_Codes!$I$313,$D$35:$D$37,0)))</f>
        <v>0</v>
      </c>
      <c r="S251" s="80">
        <f ca="1">S233*(1+INDEX(S$35:S$37,MATCH(Work_Codes!$I$313,$D$35:$D$37,0)))</f>
        <v>0</v>
      </c>
      <c r="T251" s="80">
        <f ca="1">T233*(1+INDEX(T$35:T$37,MATCH(Work_Codes!$I$313,$D$35:$D$37,0)))</f>
        <v>0</v>
      </c>
    </row>
    <row r="252" spans="5:20" s="41" customFormat="1" ht="12" customHeight="1" outlineLevel="2">
      <c r="E252" s="251" t="str">
        <f>GC!C71</f>
        <v>Gas Extensions - Other</v>
      </c>
      <c r="F252" s="251"/>
      <c r="G252" s="251"/>
      <c r="H252" s="251"/>
      <c r="I252" s="251"/>
      <c r="J252" s="80">
        <f ca="1">J234*(1+INDEX(J$35:J$37,MATCH(Work_Codes!$I$313,$D$35:$D$37,0)))</f>
        <v>0</v>
      </c>
      <c r="K252" s="80">
        <f ca="1">K234*(1+INDEX(K$35:K$37,MATCH(Work_Codes!$I$313,$D$35:$D$37,0)))</f>
        <v>0</v>
      </c>
      <c r="L252" s="80">
        <f ca="1">L234*(1+INDEX(L$35:L$37,MATCH(Work_Codes!$I$313,$D$35:$D$37,0)))</f>
        <v>0</v>
      </c>
      <c r="M252" s="80">
        <f ca="1">M234*(1+INDEX(M$35:M$37,MATCH(Work_Codes!$I$313,$D$35:$D$37,0)))</f>
        <v>0</v>
      </c>
      <c r="N252" s="80">
        <f ca="1">N234*(1+INDEX(N$35:N$37,MATCH(Work_Codes!$I$313,$D$35:$D$37,0)))</f>
        <v>0</v>
      </c>
      <c r="O252" s="80">
        <f ca="1">O234*(1+INDEX(O$35:O$37,MATCH(Work_Codes!$I$313,$D$35:$D$37,0)))</f>
        <v>0</v>
      </c>
      <c r="P252" s="80">
        <f ca="1">P234*(1+INDEX(P$35:P$37,MATCH(Work_Codes!$I$313,$D$35:$D$37,0)))</f>
        <v>0</v>
      </c>
      <c r="Q252" s="80">
        <f ca="1">Q234*(1+INDEX(Q$35:Q$37,MATCH(Work_Codes!$I$313,$D$35:$D$37,0)))</f>
        <v>0</v>
      </c>
      <c r="R252" s="80">
        <f ca="1">R234*(1+INDEX(R$35:R$37,MATCH(Work_Codes!$I$313,$D$35:$D$37,0)))</f>
        <v>0</v>
      </c>
      <c r="S252" s="80">
        <f ca="1">S234*(1+INDEX(S$35:S$37,MATCH(Work_Codes!$I$313,$D$35:$D$37,0)))</f>
        <v>0</v>
      </c>
      <c r="T252" s="80">
        <f ca="1">T234*(1+INDEX(T$35:T$37,MATCH(Work_Codes!$I$313,$D$35:$D$37,0)))</f>
        <v>0</v>
      </c>
    </row>
    <row r="253" spans="5:20" s="41" customFormat="1" ht="12" customHeight="1" outlineLevel="2">
      <c r="E253" s="251" t="str">
        <f>GC!C72</f>
        <v>Customer contributions</v>
      </c>
      <c r="F253" s="251"/>
      <c r="G253" s="251"/>
      <c r="H253" s="251"/>
      <c r="I253" s="251"/>
      <c r="J253" s="80">
        <f ca="1">J235*(1+INDEX(J$35:J$37,MATCH(Work_Codes!$I$313,$D$35:$D$37,0)))</f>
        <v>0</v>
      </c>
      <c r="K253" s="80">
        <f ca="1">K235*(1+INDEX(K$35:K$37,MATCH(Work_Codes!$I$313,$D$35:$D$37,0)))</f>
        <v>0</v>
      </c>
      <c r="L253" s="80">
        <f ca="1">L235*(1+INDEX(L$35:L$37,MATCH(Work_Codes!$I$313,$D$35:$D$37,0)))</f>
        <v>0</v>
      </c>
      <c r="M253" s="80">
        <f ca="1">M235*(1+INDEX(M$35:M$37,MATCH(Work_Codes!$I$313,$D$35:$D$37,0)))</f>
        <v>0</v>
      </c>
      <c r="N253" s="80">
        <f ca="1">N235*(1+INDEX(N$35:N$37,MATCH(Work_Codes!$I$313,$D$35:$D$37,0)))</f>
        <v>0</v>
      </c>
      <c r="O253" s="80">
        <f ca="1">O235*(1+INDEX(O$35:O$37,MATCH(Work_Codes!$I$313,$D$35:$D$37,0)))</f>
        <v>0</v>
      </c>
      <c r="P253" s="80">
        <f ca="1">P235*(1+INDEX(P$35:P$37,MATCH(Work_Codes!$I$313,$D$35:$D$37,0)))</f>
        <v>0</v>
      </c>
      <c r="Q253" s="80">
        <f ca="1">Q235*(1+INDEX(Q$35:Q$37,MATCH(Work_Codes!$I$313,$D$35:$D$37,0)))</f>
        <v>0</v>
      </c>
      <c r="R253" s="80">
        <f ca="1">R235*(1+INDEX(R$35:R$37,MATCH(Work_Codes!$I$313,$D$35:$D$37,0)))</f>
        <v>0</v>
      </c>
      <c r="S253" s="80">
        <f ca="1">S235*(1+INDEX(S$35:S$37,MATCH(Work_Codes!$I$313,$D$35:$D$37,0)))</f>
        <v>0</v>
      </c>
      <c r="T253" s="80">
        <f ca="1">T235*(1+INDEX(T$35:T$37,MATCH(Work_Codes!$I$313,$D$35:$D$37,0)))</f>
        <v>0</v>
      </c>
    </row>
    <row r="254" spans="5:20" s="41" customFormat="1" ht="12" customHeight="1" outlineLevel="2">
      <c r="E254" s="251" t="str">
        <f>GC!C73</f>
        <v>Government contributions</v>
      </c>
      <c r="F254" s="251"/>
      <c r="G254" s="251"/>
      <c r="H254" s="251"/>
      <c r="I254" s="251"/>
      <c r="J254" s="80">
        <f ca="1">J236*(1+INDEX(J$35:J$37,MATCH(Work_Codes!$I$313,$D$35:$D$37,0)))</f>
        <v>0</v>
      </c>
      <c r="K254" s="80">
        <f ca="1">K236*(1+INDEX(K$35:K$37,MATCH(Work_Codes!$I$313,$D$35:$D$37,0)))</f>
        <v>0</v>
      </c>
      <c r="L254" s="80">
        <f ca="1">L236*(1+INDEX(L$35:L$37,MATCH(Work_Codes!$I$313,$D$35:$D$37,0)))</f>
        <v>0</v>
      </c>
      <c r="M254" s="80">
        <f ca="1">M236*(1+INDEX(M$35:M$37,MATCH(Work_Codes!$I$313,$D$35:$D$37,0)))</f>
        <v>0</v>
      </c>
      <c r="N254" s="80">
        <f ca="1">N236*(1+INDEX(N$35:N$37,MATCH(Work_Codes!$I$313,$D$35:$D$37,0)))</f>
        <v>0</v>
      </c>
      <c r="O254" s="80">
        <f ca="1">O236*(1+INDEX(O$35:O$37,MATCH(Work_Codes!$I$313,$D$35:$D$37,0)))</f>
        <v>0</v>
      </c>
      <c r="P254" s="80">
        <f ca="1">P236*(1+INDEX(P$35:P$37,MATCH(Work_Codes!$I$313,$D$35:$D$37,0)))</f>
        <v>0</v>
      </c>
      <c r="Q254" s="80">
        <f ca="1">Q236*(1+INDEX(Q$35:Q$37,MATCH(Work_Codes!$I$313,$D$35:$D$37,0)))</f>
        <v>0</v>
      </c>
      <c r="R254" s="80">
        <f ca="1">R236*(1+INDEX(R$35:R$37,MATCH(Work_Codes!$I$313,$D$35:$D$37,0)))</f>
        <v>0</v>
      </c>
      <c r="S254" s="80">
        <f ca="1">S236*(1+INDEX(S$35:S$37,MATCH(Work_Codes!$I$313,$D$35:$D$37,0)))</f>
        <v>0</v>
      </c>
      <c r="T254" s="80">
        <f ca="1">T236*(1+INDEX(T$35:T$37,MATCH(Work_Codes!$I$313,$D$35:$D$37,0)))</f>
        <v>0</v>
      </c>
    </row>
    <row r="255" spans="5:20" s="41" customFormat="1" ht="12" customHeight="1" outlineLevel="2">
      <c r="E255" s="250" t="str">
        <f>"Total "&amp;D239</f>
        <v>Total Direct Costs + Overheads</v>
      </c>
      <c r="F255" s="250"/>
      <c r="G255" s="250"/>
      <c r="H255" s="250"/>
      <c r="I255" s="250"/>
      <c r="J255" s="101">
        <f t="shared" ref="J255:T255" ca="1" si="26">SUM(J241:J254)</f>
        <v>0</v>
      </c>
      <c r="K255" s="101">
        <f t="shared" ca="1" si="26"/>
        <v>0</v>
      </c>
      <c r="L255" s="101">
        <f t="shared" ca="1" si="26"/>
        <v>0</v>
      </c>
      <c r="M255" s="101">
        <f t="shared" ca="1" si="26"/>
        <v>0</v>
      </c>
      <c r="N255" s="101">
        <f t="shared" ca="1" si="26"/>
        <v>3725253.527841893</v>
      </c>
      <c r="O255" s="101">
        <f t="shared" ca="1" si="26"/>
        <v>2581149.7743411139</v>
      </c>
      <c r="P255" s="101">
        <f t="shared" ca="1" si="26"/>
        <v>4752598.3664843151</v>
      </c>
      <c r="Q255" s="101">
        <f t="shared" ca="1" si="26"/>
        <v>6268082.3316884516</v>
      </c>
      <c r="R255" s="101">
        <f t="shared" ca="1" si="26"/>
        <v>3481069.1286397651</v>
      </c>
      <c r="S255" s="101">
        <f t="shared" ca="1" si="26"/>
        <v>2039832.5110424659</v>
      </c>
      <c r="T255" s="101">
        <f t="shared" ca="1" si="26"/>
        <v>5556078.0436728923</v>
      </c>
    </row>
    <row r="256" spans="5:20" outlineLevel="2"/>
    <row r="257" spans="4:20" outlineLevel="2">
      <c r="D257" s="37" t="s">
        <v>367</v>
      </c>
    </row>
    <row r="258" spans="4:20" ht="5.75" customHeight="1" outlineLevel="2"/>
    <row r="259" spans="4:20" outlineLevel="2">
      <c r="E259" s="247" t="str">
        <f>GC!C60</f>
        <v>Mains replacement</v>
      </c>
      <c r="F259" s="247"/>
      <c r="G259" s="247"/>
      <c r="H259" s="247"/>
      <c r="I259" s="247"/>
      <c r="J259" s="81">
        <f ca="1">SUMPRODUCT((Work_Codes!$AC$316:$AO$316=$E259)*(Work_Codes!$AC$329:$AO$329)*(J$80:J$80))</f>
        <v>0</v>
      </c>
      <c r="K259" s="81">
        <f ca="1">SUMPRODUCT((Work_Codes!$AC$316:$AO$316=$E259)*(Work_Codes!$AC$329:$AO$329)*(K$80:K$80))</f>
        <v>0</v>
      </c>
      <c r="L259" s="81">
        <f ca="1">SUMPRODUCT((Work_Codes!$AC$316:$AO$316=$E259)*(Work_Codes!$AC$329:$AO$329)*(L$80:L$80))</f>
        <v>0</v>
      </c>
      <c r="M259" s="81">
        <f ca="1">SUMPRODUCT((Work_Codes!$AC$316:$AO$316=$E259)*(Work_Codes!$AC$329:$AO$329)*(M$80:M$80))</f>
        <v>0</v>
      </c>
      <c r="N259" s="81">
        <f ca="1">SUMPRODUCT((Work_Codes!$AC$316:$AO$316=$E259)*(Work_Codes!$AC$329:$AO$329)*(N$80:N$80))</f>
        <v>0</v>
      </c>
      <c r="O259" s="81">
        <f ca="1">SUMPRODUCT((Work_Codes!$AC$316:$AO$316=$E259)*(Work_Codes!$AC$329:$AO$329)*(O$80:O$80))</f>
        <v>0</v>
      </c>
      <c r="P259" s="81">
        <f ca="1">SUMPRODUCT((Work_Codes!$AC$316:$AO$316=$E259)*(Work_Codes!$AC$329:$AO$329)*(P$80:P$80))</f>
        <v>0</v>
      </c>
      <c r="Q259" s="81">
        <f ca="1">SUMPRODUCT((Work_Codes!$AC$316:$AO$316=$E259)*(Work_Codes!$AC$329:$AO$329)*(Q$80:Q$80))</f>
        <v>0</v>
      </c>
      <c r="R259" s="81">
        <f ca="1">SUMPRODUCT((Work_Codes!$AC$316:$AO$316=$E259)*(Work_Codes!$AC$329:$AO$329)*(R$80:R$80))</f>
        <v>0</v>
      </c>
      <c r="S259" s="81">
        <f ca="1">SUMPRODUCT((Work_Codes!$AC$316:$AO$316=$E259)*(Work_Codes!$AC$329:$AO$329)*(S$80:S$80))</f>
        <v>0</v>
      </c>
      <c r="T259" s="81">
        <f ca="1">SUMPRODUCT((Work_Codes!$AC$316:$AO$316=$E259)*(Work_Codes!$AC$329:$AO$329)*(T$80:T$80))</f>
        <v>0</v>
      </c>
    </row>
    <row r="260" spans="4:20" outlineLevel="2">
      <c r="E260" s="247" t="str">
        <f>GC!C61</f>
        <v>Residential new customer connections</v>
      </c>
      <c r="F260" s="247"/>
      <c r="G260" s="247"/>
      <c r="H260" s="247"/>
      <c r="I260" s="247"/>
      <c r="J260" s="81">
        <f ca="1">SUMPRODUCT((Work_Codes!$AC$316:$AO$316=$E260)*(Work_Codes!$AC$329:$AO$329)*(J$80:J$80))</f>
        <v>0</v>
      </c>
      <c r="K260" s="81">
        <f ca="1">SUMPRODUCT((Work_Codes!$AC$316:$AO$316=$E260)*(Work_Codes!$AC$329:$AO$329)*(K$80:K$80))</f>
        <v>0</v>
      </c>
      <c r="L260" s="81">
        <f ca="1">SUMPRODUCT((Work_Codes!$AC$316:$AO$316=$E260)*(Work_Codes!$AC$329:$AO$329)*(L$80:L$80))</f>
        <v>0</v>
      </c>
      <c r="M260" s="81">
        <f ca="1">SUMPRODUCT((Work_Codes!$AC$316:$AO$316=$E260)*(Work_Codes!$AC$329:$AO$329)*(M$80:M$80))</f>
        <v>0</v>
      </c>
      <c r="N260" s="81">
        <f ca="1">SUMPRODUCT((Work_Codes!$AC$316:$AO$316=$E260)*(Work_Codes!$AC$329:$AO$329)*(N$80:N$80))</f>
        <v>0</v>
      </c>
      <c r="O260" s="81">
        <f ca="1">SUMPRODUCT((Work_Codes!$AC$316:$AO$316=$E260)*(Work_Codes!$AC$329:$AO$329)*(O$80:O$80))</f>
        <v>0</v>
      </c>
      <c r="P260" s="81">
        <f ca="1">SUMPRODUCT((Work_Codes!$AC$316:$AO$316=$E260)*(Work_Codes!$AC$329:$AO$329)*(P$80:P$80))</f>
        <v>0</v>
      </c>
      <c r="Q260" s="81">
        <f ca="1">SUMPRODUCT((Work_Codes!$AC$316:$AO$316=$E260)*(Work_Codes!$AC$329:$AO$329)*(Q$80:Q$80))</f>
        <v>0</v>
      </c>
      <c r="R260" s="81">
        <f ca="1">SUMPRODUCT((Work_Codes!$AC$316:$AO$316=$E260)*(Work_Codes!$AC$329:$AO$329)*(R$80:R$80))</f>
        <v>0</v>
      </c>
      <c r="S260" s="81">
        <f ca="1">SUMPRODUCT((Work_Codes!$AC$316:$AO$316=$E260)*(Work_Codes!$AC$329:$AO$329)*(S$80:S$80))</f>
        <v>0</v>
      </c>
      <c r="T260" s="81">
        <f ca="1">SUMPRODUCT((Work_Codes!$AC$316:$AO$316=$E260)*(Work_Codes!$AC$329:$AO$329)*(T$80:T$80))</f>
        <v>0</v>
      </c>
    </row>
    <row r="261" spans="4:20" outlineLevel="2">
      <c r="E261" s="247" t="str">
        <f>GC!C62</f>
        <v>Commercial and industrial new customer connections</v>
      </c>
      <c r="F261" s="247"/>
      <c r="G261" s="247"/>
      <c r="H261" s="247"/>
      <c r="I261" s="247"/>
      <c r="J261" s="81">
        <f ca="1">SUMPRODUCT((Work_Codes!$AC$316:$AO$316=$E261)*(Work_Codes!$AC$329:$AO$329)*(J$80:J$80))</f>
        <v>0</v>
      </c>
      <c r="K261" s="81">
        <f ca="1">SUMPRODUCT((Work_Codes!$AC$316:$AO$316=$E261)*(Work_Codes!$AC$329:$AO$329)*(K$80:K$80))</f>
        <v>0</v>
      </c>
      <c r="L261" s="81">
        <f ca="1">SUMPRODUCT((Work_Codes!$AC$316:$AO$316=$E261)*(Work_Codes!$AC$329:$AO$329)*(L$80:L$80))</f>
        <v>0</v>
      </c>
      <c r="M261" s="81">
        <f ca="1">SUMPRODUCT((Work_Codes!$AC$316:$AO$316=$E261)*(Work_Codes!$AC$329:$AO$329)*(M$80:M$80))</f>
        <v>0</v>
      </c>
      <c r="N261" s="81">
        <f ca="1">SUMPRODUCT((Work_Codes!$AC$316:$AO$316=$E261)*(Work_Codes!$AC$329:$AO$329)*(N$80:N$80))</f>
        <v>0</v>
      </c>
      <c r="O261" s="81">
        <f ca="1">SUMPRODUCT((Work_Codes!$AC$316:$AO$316=$E261)*(Work_Codes!$AC$329:$AO$329)*(O$80:O$80))</f>
        <v>0</v>
      </c>
      <c r="P261" s="81">
        <f ca="1">SUMPRODUCT((Work_Codes!$AC$316:$AO$316=$E261)*(Work_Codes!$AC$329:$AO$329)*(P$80:P$80))</f>
        <v>0</v>
      </c>
      <c r="Q261" s="81">
        <f ca="1">SUMPRODUCT((Work_Codes!$AC$316:$AO$316=$E261)*(Work_Codes!$AC$329:$AO$329)*(Q$80:Q$80))</f>
        <v>0</v>
      </c>
      <c r="R261" s="81">
        <f ca="1">SUMPRODUCT((Work_Codes!$AC$316:$AO$316=$E261)*(Work_Codes!$AC$329:$AO$329)*(R$80:R$80))</f>
        <v>0</v>
      </c>
      <c r="S261" s="81">
        <f ca="1">SUMPRODUCT((Work_Codes!$AC$316:$AO$316=$E261)*(Work_Codes!$AC$329:$AO$329)*(S$80:S$80))</f>
        <v>0</v>
      </c>
      <c r="T261" s="81">
        <f ca="1">SUMPRODUCT((Work_Codes!$AC$316:$AO$316=$E261)*(Work_Codes!$AC$329:$AO$329)*(T$80:T$80))</f>
        <v>0</v>
      </c>
    </row>
    <row r="262" spans="4:20" outlineLevel="2">
      <c r="E262" s="247" t="str">
        <f>GC!C63</f>
        <v>Residential meter replacement</v>
      </c>
      <c r="F262" s="247"/>
      <c r="G262" s="247"/>
      <c r="H262" s="247"/>
      <c r="I262" s="247"/>
      <c r="J262" s="81">
        <f ca="1">SUMPRODUCT((Work_Codes!$AC$316:$AO$316=$E262)*(Work_Codes!$AC$329:$AO$329)*(J$80:J$80))</f>
        <v>0</v>
      </c>
      <c r="K262" s="81">
        <f ca="1">SUMPRODUCT((Work_Codes!$AC$316:$AO$316=$E262)*(Work_Codes!$AC$329:$AO$329)*(K$80:K$80))</f>
        <v>0</v>
      </c>
      <c r="L262" s="81">
        <f ca="1">SUMPRODUCT((Work_Codes!$AC$316:$AO$316=$E262)*(Work_Codes!$AC$329:$AO$329)*(L$80:L$80))</f>
        <v>0</v>
      </c>
      <c r="M262" s="81">
        <f ca="1">SUMPRODUCT((Work_Codes!$AC$316:$AO$316=$E262)*(Work_Codes!$AC$329:$AO$329)*(M$80:M$80))</f>
        <v>0</v>
      </c>
      <c r="N262" s="81">
        <f ca="1">SUMPRODUCT((Work_Codes!$AC$316:$AO$316=$E262)*(Work_Codes!$AC$329:$AO$329)*(N$80:N$80))</f>
        <v>0</v>
      </c>
      <c r="O262" s="81">
        <f ca="1">SUMPRODUCT((Work_Codes!$AC$316:$AO$316=$E262)*(Work_Codes!$AC$329:$AO$329)*(O$80:O$80))</f>
        <v>0</v>
      </c>
      <c r="P262" s="81">
        <f ca="1">SUMPRODUCT((Work_Codes!$AC$316:$AO$316=$E262)*(Work_Codes!$AC$329:$AO$329)*(P$80:P$80))</f>
        <v>0</v>
      </c>
      <c r="Q262" s="81">
        <f ca="1">SUMPRODUCT((Work_Codes!$AC$316:$AO$316=$E262)*(Work_Codes!$AC$329:$AO$329)*(Q$80:Q$80))</f>
        <v>0</v>
      </c>
      <c r="R262" s="81">
        <f ca="1">SUMPRODUCT((Work_Codes!$AC$316:$AO$316=$E262)*(Work_Codes!$AC$329:$AO$329)*(R$80:R$80))</f>
        <v>0</v>
      </c>
      <c r="S262" s="81">
        <f ca="1">SUMPRODUCT((Work_Codes!$AC$316:$AO$316=$E262)*(Work_Codes!$AC$329:$AO$329)*(S$80:S$80))</f>
        <v>0</v>
      </c>
      <c r="T262" s="81">
        <f ca="1">SUMPRODUCT((Work_Codes!$AC$316:$AO$316=$E262)*(Work_Codes!$AC$329:$AO$329)*(T$80:T$80))</f>
        <v>0</v>
      </c>
    </row>
    <row r="263" spans="4:20" outlineLevel="2">
      <c r="E263" s="247" t="str">
        <f>GC!C64</f>
        <v>Commercial and industrial meter replacement</v>
      </c>
      <c r="F263" s="247"/>
      <c r="G263" s="247"/>
      <c r="H263" s="247"/>
      <c r="I263" s="247"/>
      <c r="J263" s="81">
        <f ca="1">SUMPRODUCT((Work_Codes!$AC$316:$AO$316=$E263)*(Work_Codes!$AC$329:$AO$329)*(J$80:J$80))</f>
        <v>0</v>
      </c>
      <c r="K263" s="81">
        <f ca="1">SUMPRODUCT((Work_Codes!$AC$316:$AO$316=$E263)*(Work_Codes!$AC$329:$AO$329)*(K$80:K$80))</f>
        <v>0</v>
      </c>
      <c r="L263" s="81">
        <f ca="1">SUMPRODUCT((Work_Codes!$AC$316:$AO$316=$E263)*(Work_Codes!$AC$329:$AO$329)*(L$80:L$80))</f>
        <v>0</v>
      </c>
      <c r="M263" s="81">
        <f ca="1">SUMPRODUCT((Work_Codes!$AC$316:$AO$316=$E263)*(Work_Codes!$AC$329:$AO$329)*(M$80:M$80))</f>
        <v>0</v>
      </c>
      <c r="N263" s="81">
        <f ca="1">SUMPRODUCT((Work_Codes!$AC$316:$AO$316=$E263)*(Work_Codes!$AC$329:$AO$329)*(N$80:N$80))</f>
        <v>0</v>
      </c>
      <c r="O263" s="81">
        <f ca="1">SUMPRODUCT((Work_Codes!$AC$316:$AO$316=$E263)*(Work_Codes!$AC$329:$AO$329)*(O$80:O$80))</f>
        <v>0</v>
      </c>
      <c r="P263" s="81">
        <f ca="1">SUMPRODUCT((Work_Codes!$AC$316:$AO$316=$E263)*(Work_Codes!$AC$329:$AO$329)*(P$80:P$80))</f>
        <v>0</v>
      </c>
      <c r="Q263" s="81">
        <f ca="1">SUMPRODUCT((Work_Codes!$AC$316:$AO$316=$E263)*(Work_Codes!$AC$329:$AO$329)*(Q$80:Q$80))</f>
        <v>0</v>
      </c>
      <c r="R263" s="81">
        <f ca="1">SUMPRODUCT((Work_Codes!$AC$316:$AO$316=$E263)*(Work_Codes!$AC$329:$AO$329)*(R$80:R$80))</f>
        <v>0</v>
      </c>
      <c r="S263" s="81">
        <f ca="1">SUMPRODUCT((Work_Codes!$AC$316:$AO$316=$E263)*(Work_Codes!$AC$329:$AO$329)*(S$80:S$80))</f>
        <v>0</v>
      </c>
      <c r="T263" s="81">
        <f ca="1">SUMPRODUCT((Work_Codes!$AC$316:$AO$316=$E263)*(Work_Codes!$AC$329:$AO$329)*(T$80:T$80))</f>
        <v>0</v>
      </c>
    </row>
    <row r="264" spans="4:20" outlineLevel="2">
      <c r="E264" s="247" t="str">
        <f>GC!C65</f>
        <v>Augmentation</v>
      </c>
      <c r="F264" s="247"/>
      <c r="G264" s="247"/>
      <c r="H264" s="247"/>
      <c r="I264" s="247"/>
      <c r="J264" s="81">
        <f ca="1">SUMPRODUCT((Work_Codes!$AC$316:$AO$316=$E264)*(Work_Codes!$AC$329:$AO$329)*(J$80:J$80))</f>
        <v>0</v>
      </c>
      <c r="K264" s="81">
        <f ca="1">SUMPRODUCT((Work_Codes!$AC$316:$AO$316=$E264)*(Work_Codes!$AC$329:$AO$329)*(K$80:K$80))</f>
        <v>0</v>
      </c>
      <c r="L264" s="81">
        <f ca="1">SUMPRODUCT((Work_Codes!$AC$316:$AO$316=$E264)*(Work_Codes!$AC$329:$AO$329)*(L$80:L$80))</f>
        <v>0</v>
      </c>
      <c r="M264" s="81">
        <f ca="1">SUMPRODUCT((Work_Codes!$AC$316:$AO$316=$E264)*(Work_Codes!$AC$329:$AO$329)*(M$80:M$80))</f>
        <v>0</v>
      </c>
      <c r="N264" s="81">
        <f ca="1">SUMPRODUCT((Work_Codes!$AC$316:$AO$316=$E264)*(Work_Codes!$AC$329:$AO$329)*(N$80:N$80))</f>
        <v>0</v>
      </c>
      <c r="O264" s="81">
        <f ca="1">SUMPRODUCT((Work_Codes!$AC$316:$AO$316=$E264)*(Work_Codes!$AC$329:$AO$329)*(O$80:O$80))</f>
        <v>0</v>
      </c>
      <c r="P264" s="81">
        <f ca="1">SUMPRODUCT((Work_Codes!$AC$316:$AO$316=$E264)*(Work_Codes!$AC$329:$AO$329)*(P$80:P$80))</f>
        <v>0</v>
      </c>
      <c r="Q264" s="81">
        <f ca="1">SUMPRODUCT((Work_Codes!$AC$316:$AO$316=$E264)*(Work_Codes!$AC$329:$AO$329)*(Q$80:Q$80))</f>
        <v>0</v>
      </c>
      <c r="R264" s="81">
        <f ca="1">SUMPRODUCT((Work_Codes!$AC$316:$AO$316=$E264)*(Work_Codes!$AC$329:$AO$329)*(R$80:R$80))</f>
        <v>0</v>
      </c>
      <c r="S264" s="81">
        <f ca="1">SUMPRODUCT((Work_Codes!$AC$316:$AO$316=$E264)*(Work_Codes!$AC$329:$AO$329)*(S$80:S$80))</f>
        <v>0</v>
      </c>
      <c r="T264" s="81">
        <f ca="1">SUMPRODUCT((Work_Codes!$AC$316:$AO$316=$E264)*(Work_Codes!$AC$329:$AO$329)*(T$80:T$80))</f>
        <v>0</v>
      </c>
    </row>
    <row r="265" spans="4:20" outlineLevel="2">
      <c r="E265" s="247" t="str">
        <f>GC!C66</f>
        <v>IT capex</v>
      </c>
      <c r="F265" s="247"/>
      <c r="G265" s="247"/>
      <c r="H265" s="247"/>
      <c r="I265" s="247"/>
      <c r="J265" s="81">
        <f ca="1">SUMPRODUCT((Work_Codes!$AC$316:$AO$316=$E265)*(Work_Codes!$AC$329:$AO$329)*(J$80:J$80))</f>
        <v>0</v>
      </c>
      <c r="K265" s="81">
        <f ca="1">SUMPRODUCT((Work_Codes!$AC$316:$AO$316=$E265)*(Work_Codes!$AC$329:$AO$329)*(K$80:K$80))</f>
        <v>0</v>
      </c>
      <c r="L265" s="81">
        <f ca="1">SUMPRODUCT((Work_Codes!$AC$316:$AO$316=$E265)*(Work_Codes!$AC$329:$AO$329)*(L$80:L$80))</f>
        <v>0</v>
      </c>
      <c r="M265" s="81">
        <f ca="1">SUMPRODUCT((Work_Codes!$AC$316:$AO$316=$E265)*(Work_Codes!$AC$329:$AO$329)*(M$80:M$80))</f>
        <v>0</v>
      </c>
      <c r="N265" s="81">
        <f ca="1">SUMPRODUCT((Work_Codes!$AC$316:$AO$316=$E265)*(Work_Codes!$AC$329:$AO$329)*(N$80:N$80))</f>
        <v>0</v>
      </c>
      <c r="O265" s="81">
        <f ca="1">SUMPRODUCT((Work_Codes!$AC$316:$AO$316=$E265)*(Work_Codes!$AC$329:$AO$329)*(O$80:O$80))</f>
        <v>0</v>
      </c>
      <c r="P265" s="81">
        <f ca="1">SUMPRODUCT((Work_Codes!$AC$316:$AO$316=$E265)*(Work_Codes!$AC$329:$AO$329)*(P$80:P$80))</f>
        <v>0</v>
      </c>
      <c r="Q265" s="81">
        <f ca="1">SUMPRODUCT((Work_Codes!$AC$316:$AO$316=$E265)*(Work_Codes!$AC$329:$AO$329)*(Q$80:Q$80))</f>
        <v>0</v>
      </c>
      <c r="R265" s="81">
        <f ca="1">SUMPRODUCT((Work_Codes!$AC$316:$AO$316=$E265)*(Work_Codes!$AC$329:$AO$329)*(R$80:R$80))</f>
        <v>0</v>
      </c>
      <c r="S265" s="81">
        <f ca="1">SUMPRODUCT((Work_Codes!$AC$316:$AO$316=$E265)*(Work_Codes!$AC$329:$AO$329)*(S$80:S$80))</f>
        <v>0</v>
      </c>
      <c r="T265" s="81">
        <f ca="1">SUMPRODUCT((Work_Codes!$AC$316:$AO$316=$E265)*(Work_Codes!$AC$329:$AO$329)*(T$80:T$80))</f>
        <v>0</v>
      </c>
    </row>
    <row r="266" spans="4:20" outlineLevel="2">
      <c r="E266" s="247" t="str">
        <f>GC!C67</f>
        <v>SCADA</v>
      </c>
      <c r="F266" s="247"/>
      <c r="G266" s="247"/>
      <c r="H266" s="247"/>
      <c r="I266" s="247"/>
      <c r="J266" s="81">
        <f ca="1">SUMPRODUCT((Work_Codes!$AC$316:$AO$316=$E266)*(Work_Codes!$AC$329:$AO$329)*(J$80:J$80))</f>
        <v>0</v>
      </c>
      <c r="K266" s="81">
        <f ca="1">SUMPRODUCT((Work_Codes!$AC$316:$AO$316=$E266)*(Work_Codes!$AC$329:$AO$329)*(K$80:K$80))</f>
        <v>0</v>
      </c>
      <c r="L266" s="81">
        <f ca="1">SUMPRODUCT((Work_Codes!$AC$316:$AO$316=$E266)*(Work_Codes!$AC$329:$AO$329)*(L$80:L$80))</f>
        <v>0</v>
      </c>
      <c r="M266" s="81">
        <f ca="1">SUMPRODUCT((Work_Codes!$AC$316:$AO$316=$E266)*(Work_Codes!$AC$329:$AO$329)*(M$80:M$80))</f>
        <v>0</v>
      </c>
      <c r="N266" s="81">
        <f ca="1">SUMPRODUCT((Work_Codes!$AC$316:$AO$316=$E266)*(Work_Codes!$AC$329:$AO$329)*(N$80:N$80))</f>
        <v>0</v>
      </c>
      <c r="O266" s="81">
        <f ca="1">SUMPRODUCT((Work_Codes!$AC$316:$AO$316=$E266)*(Work_Codes!$AC$329:$AO$329)*(O$80:O$80))</f>
        <v>0</v>
      </c>
      <c r="P266" s="81">
        <f ca="1">SUMPRODUCT((Work_Codes!$AC$316:$AO$316=$E266)*(Work_Codes!$AC$329:$AO$329)*(P$80:P$80))</f>
        <v>0</v>
      </c>
      <c r="Q266" s="81">
        <f ca="1">SUMPRODUCT((Work_Codes!$AC$316:$AO$316=$E266)*(Work_Codes!$AC$329:$AO$329)*(Q$80:Q$80))</f>
        <v>0</v>
      </c>
      <c r="R266" s="81">
        <f ca="1">SUMPRODUCT((Work_Codes!$AC$316:$AO$316=$E266)*(Work_Codes!$AC$329:$AO$329)*(R$80:R$80))</f>
        <v>0</v>
      </c>
      <c r="S266" s="81">
        <f ca="1">SUMPRODUCT((Work_Codes!$AC$316:$AO$316=$E266)*(Work_Codes!$AC$329:$AO$329)*(S$80:S$80))</f>
        <v>0</v>
      </c>
      <c r="T266" s="81">
        <f ca="1">SUMPRODUCT((Work_Codes!$AC$316:$AO$316=$E266)*(Work_Codes!$AC$329:$AO$329)*(T$80:T$80))</f>
        <v>0</v>
      </c>
    </row>
    <row r="267" spans="4:20" outlineLevel="2">
      <c r="E267" s="247" t="str">
        <f>GC!C68</f>
        <v>Other</v>
      </c>
      <c r="F267" s="247"/>
      <c r="G267" s="247"/>
      <c r="H267" s="247"/>
      <c r="I267" s="247"/>
      <c r="J267" s="81">
        <f ca="1">SUMPRODUCT((Work_Codes!$AC$316:$AO$316=$E267)*(Work_Codes!$AC$329:$AO$329)*(J$80:J$80))</f>
        <v>0</v>
      </c>
      <c r="K267" s="81">
        <f ca="1">SUMPRODUCT((Work_Codes!$AC$316:$AO$316=$E267)*(Work_Codes!$AC$329:$AO$329)*(K$80:K$80))</f>
        <v>0</v>
      </c>
      <c r="L267" s="81">
        <f ca="1">SUMPRODUCT((Work_Codes!$AC$316:$AO$316=$E267)*(Work_Codes!$AC$329:$AO$329)*(L$80:L$80))</f>
        <v>0</v>
      </c>
      <c r="M267" s="81">
        <f ca="1">SUMPRODUCT((Work_Codes!$AC$316:$AO$316=$E267)*(Work_Codes!$AC$329:$AO$329)*(M$80:M$80))</f>
        <v>0</v>
      </c>
      <c r="N267" s="81">
        <f ca="1">SUMPRODUCT((Work_Codes!$AC$316:$AO$316=$E267)*(Work_Codes!$AC$329:$AO$329)*(N$80:N$80))</f>
        <v>0</v>
      </c>
      <c r="O267" s="81">
        <f ca="1">SUMPRODUCT((Work_Codes!$AC$316:$AO$316=$E267)*(Work_Codes!$AC$329:$AO$329)*(O$80:O$80))</f>
        <v>0</v>
      </c>
      <c r="P267" s="81">
        <f ca="1">SUMPRODUCT((Work_Codes!$AC$316:$AO$316=$E267)*(Work_Codes!$AC$329:$AO$329)*(P$80:P$80))</f>
        <v>0</v>
      </c>
      <c r="Q267" s="81">
        <f ca="1">SUMPRODUCT((Work_Codes!$AC$316:$AO$316=$E267)*(Work_Codes!$AC$329:$AO$329)*(Q$80:Q$80))</f>
        <v>0</v>
      </c>
      <c r="R267" s="81">
        <f ca="1">SUMPRODUCT((Work_Codes!$AC$316:$AO$316=$E267)*(Work_Codes!$AC$329:$AO$329)*(R$80:R$80))</f>
        <v>0</v>
      </c>
      <c r="S267" s="81">
        <f ca="1">SUMPRODUCT((Work_Codes!$AC$316:$AO$316=$E267)*(Work_Codes!$AC$329:$AO$329)*(S$80:S$80))</f>
        <v>0</v>
      </c>
      <c r="T267" s="81">
        <f ca="1">SUMPRODUCT((Work_Codes!$AC$316:$AO$316=$E267)*(Work_Codes!$AC$329:$AO$329)*(T$80:T$80))</f>
        <v>0</v>
      </c>
    </row>
    <row r="268" spans="4:20" outlineLevel="2">
      <c r="E268" s="247" t="str">
        <f>GC!C69</f>
        <v>Capitalised Leases</v>
      </c>
      <c r="F268" s="247"/>
      <c r="G268" s="247"/>
      <c r="H268" s="247"/>
      <c r="I268" s="247"/>
      <c r="J268" s="81">
        <f ca="1">SUMPRODUCT((Work_Codes!$AC$316:$AO$316=$E268)*(Work_Codes!$AC$329:$AO$329)*(J$80:J$80))</f>
        <v>0</v>
      </c>
      <c r="K268" s="81">
        <f ca="1">SUMPRODUCT((Work_Codes!$AC$316:$AO$316=$E268)*(Work_Codes!$AC$329:$AO$329)*(K$80:K$80))</f>
        <v>0</v>
      </c>
      <c r="L268" s="81">
        <f ca="1">SUMPRODUCT((Work_Codes!$AC$316:$AO$316=$E268)*(Work_Codes!$AC$329:$AO$329)*(L$80:L$80))</f>
        <v>0</v>
      </c>
      <c r="M268" s="81">
        <f ca="1">SUMPRODUCT((Work_Codes!$AC$316:$AO$316=$E268)*(Work_Codes!$AC$329:$AO$329)*(M$80:M$80))</f>
        <v>0</v>
      </c>
      <c r="N268" s="81">
        <f ca="1">SUMPRODUCT((Work_Codes!$AC$316:$AO$316=$E268)*(Work_Codes!$AC$329:$AO$329)*(N$80:N$80))</f>
        <v>0</v>
      </c>
      <c r="O268" s="81">
        <f ca="1">SUMPRODUCT((Work_Codes!$AC$316:$AO$316=$E268)*(Work_Codes!$AC$329:$AO$329)*(O$80:O$80))</f>
        <v>0</v>
      </c>
      <c r="P268" s="81">
        <f ca="1">SUMPRODUCT((Work_Codes!$AC$316:$AO$316=$E268)*(Work_Codes!$AC$329:$AO$329)*(P$80:P$80))</f>
        <v>0</v>
      </c>
      <c r="Q268" s="81">
        <f ca="1">SUMPRODUCT((Work_Codes!$AC$316:$AO$316=$E268)*(Work_Codes!$AC$329:$AO$329)*(Q$80:Q$80))</f>
        <v>0</v>
      </c>
      <c r="R268" s="81">
        <f ca="1">SUMPRODUCT((Work_Codes!$AC$316:$AO$316=$E268)*(Work_Codes!$AC$329:$AO$329)*(R$80:R$80))</f>
        <v>0</v>
      </c>
      <c r="S268" s="81">
        <f ca="1">SUMPRODUCT((Work_Codes!$AC$316:$AO$316=$E268)*(Work_Codes!$AC$329:$AO$329)*(S$80:S$80))</f>
        <v>0</v>
      </c>
      <c r="T268" s="81">
        <f ca="1">SUMPRODUCT((Work_Codes!$AC$316:$AO$316=$E268)*(Work_Codes!$AC$329:$AO$329)*(T$80:T$80))</f>
        <v>0</v>
      </c>
    </row>
    <row r="269" spans="4:20" outlineLevel="2">
      <c r="E269" s="247" t="str">
        <f>GC!C70</f>
        <v>Gas Extensions - Energy for the Regions</v>
      </c>
      <c r="F269" s="247"/>
      <c r="G269" s="247"/>
      <c r="H269" s="247"/>
      <c r="I269" s="247"/>
      <c r="J269" s="81">
        <f ca="1">SUMPRODUCT((Work_Codes!$AC$316:$AO$316=$E269)*(Work_Codes!$AC$329:$AO$329)*(J$80:J$80))</f>
        <v>0</v>
      </c>
      <c r="K269" s="81">
        <f ca="1">SUMPRODUCT((Work_Codes!$AC$316:$AO$316=$E269)*(Work_Codes!$AC$329:$AO$329)*(K$80:K$80))</f>
        <v>0</v>
      </c>
      <c r="L269" s="81">
        <f ca="1">SUMPRODUCT((Work_Codes!$AC$316:$AO$316=$E269)*(Work_Codes!$AC$329:$AO$329)*(L$80:L$80))</f>
        <v>0</v>
      </c>
      <c r="M269" s="81">
        <f ca="1">SUMPRODUCT((Work_Codes!$AC$316:$AO$316=$E269)*(Work_Codes!$AC$329:$AO$329)*(M$80:M$80))</f>
        <v>0</v>
      </c>
      <c r="N269" s="81">
        <f ca="1">SUMPRODUCT((Work_Codes!$AC$316:$AO$316=$E269)*(Work_Codes!$AC$329:$AO$329)*(N$80:N$80))</f>
        <v>0</v>
      </c>
      <c r="O269" s="81">
        <f ca="1">SUMPRODUCT((Work_Codes!$AC$316:$AO$316=$E269)*(Work_Codes!$AC$329:$AO$329)*(O$80:O$80))</f>
        <v>0</v>
      </c>
      <c r="P269" s="81">
        <f ca="1">SUMPRODUCT((Work_Codes!$AC$316:$AO$316=$E269)*(Work_Codes!$AC$329:$AO$329)*(P$80:P$80))</f>
        <v>0</v>
      </c>
      <c r="Q269" s="81">
        <f ca="1">SUMPRODUCT((Work_Codes!$AC$316:$AO$316=$E269)*(Work_Codes!$AC$329:$AO$329)*(Q$80:Q$80))</f>
        <v>0</v>
      </c>
      <c r="R269" s="81">
        <f ca="1">SUMPRODUCT((Work_Codes!$AC$316:$AO$316=$E269)*(Work_Codes!$AC$329:$AO$329)*(R$80:R$80))</f>
        <v>0</v>
      </c>
      <c r="S269" s="81">
        <f ca="1">SUMPRODUCT((Work_Codes!$AC$316:$AO$316=$E269)*(Work_Codes!$AC$329:$AO$329)*(S$80:S$80))</f>
        <v>0</v>
      </c>
      <c r="T269" s="81">
        <f ca="1">SUMPRODUCT((Work_Codes!$AC$316:$AO$316=$E269)*(Work_Codes!$AC$329:$AO$329)*(T$80:T$80))</f>
        <v>0</v>
      </c>
    </row>
    <row r="270" spans="4:20" outlineLevel="2">
      <c r="E270" s="247" t="str">
        <f>GC!C71</f>
        <v>Gas Extensions - Other</v>
      </c>
      <c r="F270" s="247"/>
      <c r="G270" s="247"/>
      <c r="H270" s="247"/>
      <c r="I270" s="247"/>
      <c r="J270" s="81">
        <f ca="1">SUMPRODUCT((Work_Codes!$AC$316:$AO$316=$E270)*(Work_Codes!$AC$329:$AO$329)*(J$80:J$80))</f>
        <v>0</v>
      </c>
      <c r="K270" s="81">
        <f ca="1">SUMPRODUCT((Work_Codes!$AC$316:$AO$316=$E270)*(Work_Codes!$AC$329:$AO$329)*(K$80:K$80))</f>
        <v>0</v>
      </c>
      <c r="L270" s="81">
        <f ca="1">SUMPRODUCT((Work_Codes!$AC$316:$AO$316=$E270)*(Work_Codes!$AC$329:$AO$329)*(L$80:L$80))</f>
        <v>0</v>
      </c>
      <c r="M270" s="81">
        <f ca="1">SUMPRODUCT((Work_Codes!$AC$316:$AO$316=$E270)*(Work_Codes!$AC$329:$AO$329)*(M$80:M$80))</f>
        <v>0</v>
      </c>
      <c r="N270" s="81">
        <f ca="1">SUMPRODUCT((Work_Codes!$AC$316:$AO$316=$E270)*(Work_Codes!$AC$329:$AO$329)*(N$80:N$80))</f>
        <v>0</v>
      </c>
      <c r="O270" s="81">
        <f ca="1">SUMPRODUCT((Work_Codes!$AC$316:$AO$316=$E270)*(Work_Codes!$AC$329:$AO$329)*(O$80:O$80))</f>
        <v>0</v>
      </c>
      <c r="P270" s="81">
        <f ca="1">SUMPRODUCT((Work_Codes!$AC$316:$AO$316=$E270)*(Work_Codes!$AC$329:$AO$329)*(P$80:P$80))</f>
        <v>0</v>
      </c>
      <c r="Q270" s="81">
        <f ca="1">SUMPRODUCT((Work_Codes!$AC$316:$AO$316=$E270)*(Work_Codes!$AC$329:$AO$329)*(Q$80:Q$80))</f>
        <v>0</v>
      </c>
      <c r="R270" s="81">
        <f ca="1">SUMPRODUCT((Work_Codes!$AC$316:$AO$316=$E270)*(Work_Codes!$AC$329:$AO$329)*(R$80:R$80))</f>
        <v>0</v>
      </c>
      <c r="S270" s="81">
        <f ca="1">SUMPRODUCT((Work_Codes!$AC$316:$AO$316=$E270)*(Work_Codes!$AC$329:$AO$329)*(S$80:S$80))</f>
        <v>0</v>
      </c>
      <c r="T270" s="81">
        <f ca="1">SUMPRODUCT((Work_Codes!$AC$316:$AO$316=$E270)*(Work_Codes!$AC$329:$AO$329)*(T$80:T$80))</f>
        <v>0</v>
      </c>
    </row>
    <row r="271" spans="4:20" outlineLevel="2">
      <c r="E271" s="247" t="str">
        <f>GC!C72</f>
        <v>Customer contributions</v>
      </c>
      <c r="F271" s="247"/>
      <c r="G271" s="247"/>
      <c r="H271" s="247"/>
      <c r="I271" s="247"/>
      <c r="J271" s="81">
        <f ca="1">SUMPRODUCT((Work_Codes!$AC$316:$AO$316=$E271)*(Work_Codes!$AC$329:$AO$329)*(J$80:J$80))</f>
        <v>0</v>
      </c>
      <c r="K271" s="81">
        <f ca="1">SUMPRODUCT((Work_Codes!$AC$316:$AO$316=$E271)*(Work_Codes!$AC$329:$AO$329)*(K$80:K$80))</f>
        <v>0</v>
      </c>
      <c r="L271" s="81">
        <f ca="1">SUMPRODUCT((Work_Codes!$AC$316:$AO$316=$E271)*(Work_Codes!$AC$329:$AO$329)*(L$80:L$80))</f>
        <v>0</v>
      </c>
      <c r="M271" s="81">
        <f ca="1">SUMPRODUCT((Work_Codes!$AC$316:$AO$316=$E271)*(Work_Codes!$AC$329:$AO$329)*(M$80:M$80))</f>
        <v>0</v>
      </c>
      <c r="N271" s="81">
        <f ca="1">SUMPRODUCT((Work_Codes!$AC$316:$AO$316=$E271)*(Work_Codes!$AC$329:$AO$329)*(N$80:N$80))</f>
        <v>0</v>
      </c>
      <c r="O271" s="81">
        <f ca="1">SUMPRODUCT((Work_Codes!$AC$316:$AO$316=$E271)*(Work_Codes!$AC$329:$AO$329)*(O$80:O$80))</f>
        <v>0</v>
      </c>
      <c r="P271" s="81">
        <f ca="1">SUMPRODUCT((Work_Codes!$AC$316:$AO$316=$E271)*(Work_Codes!$AC$329:$AO$329)*(P$80:P$80))</f>
        <v>0</v>
      </c>
      <c r="Q271" s="81">
        <f ca="1">SUMPRODUCT((Work_Codes!$AC$316:$AO$316=$E271)*(Work_Codes!$AC$329:$AO$329)*(Q$80:Q$80))</f>
        <v>0</v>
      </c>
      <c r="R271" s="81">
        <f ca="1">SUMPRODUCT((Work_Codes!$AC$316:$AO$316=$E271)*(Work_Codes!$AC$329:$AO$329)*(R$80:R$80))</f>
        <v>0</v>
      </c>
      <c r="S271" s="81">
        <f ca="1">SUMPRODUCT((Work_Codes!$AC$316:$AO$316=$E271)*(Work_Codes!$AC$329:$AO$329)*(S$80:S$80))</f>
        <v>0</v>
      </c>
      <c r="T271" s="81">
        <f ca="1">SUMPRODUCT((Work_Codes!$AC$316:$AO$316=$E271)*(Work_Codes!$AC$329:$AO$329)*(T$80:T$80))</f>
        <v>0</v>
      </c>
    </row>
    <row r="272" spans="4:20" outlineLevel="2">
      <c r="E272" s="247" t="str">
        <f>GC!C73</f>
        <v>Government contributions</v>
      </c>
      <c r="F272" s="247"/>
      <c r="G272" s="247"/>
      <c r="H272" s="247"/>
      <c r="I272" s="247"/>
      <c r="J272" s="81">
        <f ca="1">SUMPRODUCT((Work_Codes!$AC$316:$AO$316=$E272)*(Work_Codes!$AC$329:$AO$329)*(J$80:J$80))</f>
        <v>0</v>
      </c>
      <c r="K272" s="81">
        <f ca="1">SUMPRODUCT((Work_Codes!$AC$316:$AO$316=$E272)*(Work_Codes!$AC$329:$AO$329)*(K$80:K$80))</f>
        <v>0</v>
      </c>
      <c r="L272" s="81">
        <f ca="1">SUMPRODUCT((Work_Codes!$AC$316:$AO$316=$E272)*(Work_Codes!$AC$329:$AO$329)*(L$80:L$80))</f>
        <v>0</v>
      </c>
      <c r="M272" s="81">
        <f ca="1">SUMPRODUCT((Work_Codes!$AC$316:$AO$316=$E272)*(Work_Codes!$AC$329:$AO$329)*(M$80:M$80))</f>
        <v>0</v>
      </c>
      <c r="N272" s="81">
        <f ca="1">SUMPRODUCT((Work_Codes!$AC$316:$AO$316=$E272)*(Work_Codes!$AC$329:$AO$329)*(N$80:N$80))</f>
        <v>0</v>
      </c>
      <c r="O272" s="81">
        <f ca="1">SUMPRODUCT((Work_Codes!$AC$316:$AO$316=$E272)*(Work_Codes!$AC$329:$AO$329)*(O$80:O$80))</f>
        <v>0</v>
      </c>
      <c r="P272" s="81">
        <f ca="1">SUMPRODUCT((Work_Codes!$AC$316:$AO$316=$E272)*(Work_Codes!$AC$329:$AO$329)*(P$80:P$80))</f>
        <v>0</v>
      </c>
      <c r="Q272" s="81">
        <f ca="1">SUMPRODUCT((Work_Codes!$AC$316:$AO$316=$E272)*(Work_Codes!$AC$329:$AO$329)*(Q$80:Q$80))</f>
        <v>0</v>
      </c>
      <c r="R272" s="81">
        <f ca="1">SUMPRODUCT((Work_Codes!$AC$316:$AO$316=$E272)*(Work_Codes!$AC$329:$AO$329)*(R$80:R$80))</f>
        <v>0</v>
      </c>
      <c r="S272" s="81">
        <f ca="1">SUMPRODUCT((Work_Codes!$AC$316:$AO$316=$E272)*(Work_Codes!$AC$329:$AO$329)*(S$80:S$80))</f>
        <v>0</v>
      </c>
      <c r="T272" s="81">
        <f ca="1">SUMPRODUCT((Work_Codes!$AC$316:$AO$316=$E272)*(Work_Codes!$AC$329:$AO$329)*(T$80:T$80))</f>
        <v>0</v>
      </c>
    </row>
    <row r="273" spans="2:20" outlineLevel="2">
      <c r="E273" s="249" t="str">
        <f t="shared" ref="E273" si="27">"Total "&amp;D257</f>
        <v>Total Customer Contributions</v>
      </c>
      <c r="F273" s="249"/>
      <c r="G273" s="249"/>
      <c r="H273" s="249"/>
      <c r="I273" s="249"/>
      <c r="J273" s="82">
        <f t="shared" ref="J273:T273" ca="1" si="28">SUM(J259:J272)</f>
        <v>0</v>
      </c>
      <c r="K273" s="82">
        <f t="shared" ca="1" si="28"/>
        <v>0</v>
      </c>
      <c r="L273" s="82">
        <f t="shared" ca="1" si="28"/>
        <v>0</v>
      </c>
      <c r="M273" s="82">
        <f t="shared" ca="1" si="28"/>
        <v>0</v>
      </c>
      <c r="N273" s="82">
        <f t="shared" ca="1" si="28"/>
        <v>0</v>
      </c>
      <c r="O273" s="82">
        <f t="shared" ca="1" si="28"/>
        <v>0</v>
      </c>
      <c r="P273" s="82">
        <f t="shared" ca="1" si="28"/>
        <v>0</v>
      </c>
      <c r="Q273" s="82">
        <f t="shared" ca="1" si="28"/>
        <v>0</v>
      </c>
      <c r="R273" s="82">
        <f t="shared" ca="1" si="28"/>
        <v>0</v>
      </c>
      <c r="S273" s="82">
        <f t="shared" ca="1" si="28"/>
        <v>0</v>
      </c>
      <c r="T273" s="82">
        <f t="shared" ca="1" si="28"/>
        <v>0</v>
      </c>
    </row>
    <row r="274" spans="2:20" s="41" customFormat="1" outlineLevel="2">
      <c r="B274" s="109"/>
      <c r="C274" s="109"/>
      <c r="D274" s="109"/>
      <c r="E274" s="109"/>
      <c r="F274" s="109"/>
      <c r="G274" s="109"/>
      <c r="H274" s="109"/>
      <c r="I274" s="109"/>
      <c r="J274" s="109"/>
      <c r="K274" s="109"/>
      <c r="L274" s="109"/>
      <c r="M274" s="109"/>
      <c r="N274" s="109"/>
      <c r="O274" s="109"/>
      <c r="P274" s="109"/>
      <c r="Q274" s="109"/>
      <c r="R274" s="109"/>
      <c r="S274" s="109"/>
      <c r="T274" s="109"/>
    </row>
    <row r="275" spans="2:20" s="41" customFormat="1" outlineLevel="2"/>
    <row r="276" spans="2:20" s="41" customFormat="1" outlineLevel="2">
      <c r="C276" s="50" t="s">
        <v>311</v>
      </c>
    </row>
    <row r="277" spans="2:20" s="41" customFormat="1" ht="5.9" customHeight="1" outlineLevel="2"/>
    <row r="278" spans="2:20" s="41" customFormat="1" outlineLevel="2">
      <c r="D278" s="50" t="s">
        <v>215</v>
      </c>
    </row>
    <row r="279" spans="2:20" s="41" customFormat="1" ht="5.9" customHeight="1" outlineLevel="2"/>
    <row r="280" spans="2:20" s="41" customFormat="1" outlineLevel="2">
      <c r="E280" s="251" t="str">
        <f>GC!C78</f>
        <v>Mains &amp; Services</v>
      </c>
      <c r="F280" s="251"/>
      <c r="G280" s="251"/>
      <c r="H280" s="251"/>
      <c r="I280" s="251"/>
      <c r="J280" s="80">
        <f ca="1">SUMPRODUCT((Work_Codes!$AR$316:$AX$316=$E280)*(Work_Codes!$AR$319:$AX$325)*(J$125:J$131))</f>
        <v>0</v>
      </c>
      <c r="K280" s="80">
        <f ca="1">SUMPRODUCT((Work_Codes!$AR$316:$AX$316=$E280)*(Work_Codes!$AR$319:$AX$325)*(K$125:K$131))</f>
        <v>0</v>
      </c>
      <c r="L280" s="80">
        <f ca="1">SUMPRODUCT((Work_Codes!$AR$316:$AX$316=$E280)*(Work_Codes!$AR$319:$AX$325)*(L$125:L$131))</f>
        <v>0</v>
      </c>
      <c r="M280" s="80">
        <f ca="1">SUMPRODUCT((Work_Codes!$AR$316:$AX$316=$E280)*(Work_Codes!$AR$319:$AX$325)*(M$125:M$131))</f>
        <v>0</v>
      </c>
      <c r="N280" s="80">
        <f ca="1">SUMPRODUCT((Work_Codes!$AR$316:$AX$316=$E280)*(Work_Codes!$AR$319:$AX$325)*(N$125:N$131))</f>
        <v>2936296.7365815141</v>
      </c>
      <c r="O280" s="80">
        <f ca="1">SUMPRODUCT((Work_Codes!$AR$316:$AX$316=$E280)*(Work_Codes!$AR$319:$AX$325)*(O$125:O$131))</f>
        <v>2250467.6331214919</v>
      </c>
      <c r="P280" s="80">
        <f ca="1">SUMPRODUCT((Work_Codes!$AR$316:$AX$316=$E280)*(Work_Codes!$AR$319:$AX$325)*(P$125:P$131))</f>
        <v>3388385.9839925654</v>
      </c>
      <c r="Q280" s="80">
        <f ca="1">SUMPRODUCT((Work_Codes!$AR$316:$AX$316=$E280)*(Work_Codes!$AR$319:$AX$325)*(Q$125:Q$131))</f>
        <v>3122259.7894605664</v>
      </c>
      <c r="R280" s="80">
        <f ca="1">SUMPRODUCT((Work_Codes!$AR$316:$AX$316=$E280)*(Work_Codes!$AR$319:$AX$325)*(R$125:R$131))</f>
        <v>3389970.4328987338</v>
      </c>
      <c r="S280" s="80">
        <f ca="1">SUMPRODUCT((Work_Codes!$AR$316:$AX$316=$E280)*(Work_Codes!$AR$319:$AX$325)*(S$125:S$131))</f>
        <v>1983219.1814355585</v>
      </c>
      <c r="T280" s="80">
        <f ca="1">SUMPRODUCT((Work_Codes!$AR$316:$AX$316=$E280)*(Work_Codes!$AR$319:$AX$325)*(T$125:T$131))</f>
        <v>2405001.804512959</v>
      </c>
    </row>
    <row r="281" spans="2:20" s="41" customFormat="1" outlineLevel="2">
      <c r="E281" s="251" t="str">
        <f>GC!C79</f>
        <v>Meters Domestic</v>
      </c>
      <c r="F281" s="251"/>
      <c r="G281" s="251"/>
      <c r="H281" s="251"/>
      <c r="I281" s="251"/>
      <c r="J281" s="80">
        <f ca="1">SUMPRODUCT((Work_Codes!$AR$316:$AX$316=$E281)*(Work_Codes!$AR$319:$AX$325)*(J$125:J$131))</f>
        <v>0</v>
      </c>
      <c r="K281" s="80">
        <f ca="1">SUMPRODUCT((Work_Codes!$AR$316:$AX$316=$E281)*(Work_Codes!$AR$319:$AX$325)*(K$125:K$131))</f>
        <v>0</v>
      </c>
      <c r="L281" s="80">
        <f ca="1">SUMPRODUCT((Work_Codes!$AR$316:$AX$316=$E281)*(Work_Codes!$AR$319:$AX$325)*(L$125:L$131))</f>
        <v>0</v>
      </c>
      <c r="M281" s="80">
        <f ca="1">SUMPRODUCT((Work_Codes!$AR$316:$AX$316=$E281)*(Work_Codes!$AR$319:$AX$325)*(M$125:M$131))</f>
        <v>0</v>
      </c>
      <c r="N281" s="80">
        <f ca="1">SUMPRODUCT((Work_Codes!$AR$316:$AX$316=$E281)*(Work_Codes!$AR$319:$AX$325)*(N$125:N$131))</f>
        <v>0</v>
      </c>
      <c r="O281" s="80">
        <f ca="1">SUMPRODUCT((Work_Codes!$AR$316:$AX$316=$E281)*(Work_Codes!$AR$319:$AX$325)*(O$125:O$131))</f>
        <v>0</v>
      </c>
      <c r="P281" s="80">
        <f ca="1">SUMPRODUCT((Work_Codes!$AR$316:$AX$316=$E281)*(Work_Codes!$AR$319:$AX$325)*(P$125:P$131))</f>
        <v>0</v>
      </c>
      <c r="Q281" s="80">
        <f ca="1">SUMPRODUCT((Work_Codes!$AR$316:$AX$316=$E281)*(Work_Codes!$AR$319:$AX$325)*(Q$125:Q$131))</f>
        <v>0</v>
      </c>
      <c r="R281" s="80">
        <f ca="1">SUMPRODUCT((Work_Codes!$AR$316:$AX$316=$E281)*(Work_Codes!$AR$319:$AX$325)*(R$125:R$131))</f>
        <v>0</v>
      </c>
      <c r="S281" s="80">
        <f ca="1">SUMPRODUCT((Work_Codes!$AR$316:$AX$316=$E281)*(Work_Codes!$AR$319:$AX$325)*(S$125:S$131))</f>
        <v>0</v>
      </c>
      <c r="T281" s="80">
        <f ca="1">SUMPRODUCT((Work_Codes!$AR$316:$AX$316=$E281)*(Work_Codes!$AR$319:$AX$325)*(T$125:T$131))</f>
        <v>0</v>
      </c>
    </row>
    <row r="282" spans="2:20" s="41" customFormat="1" outlineLevel="2">
      <c r="E282" s="251" t="str">
        <f>GC!C80</f>
        <v>Meters Industrial &amp; Commercial</v>
      </c>
      <c r="F282" s="251"/>
      <c r="G282" s="251"/>
      <c r="H282" s="251"/>
      <c r="I282" s="251"/>
      <c r="J282" s="80">
        <f ca="1">SUMPRODUCT((Work_Codes!$AR$316:$AX$316=$E282)*(Work_Codes!$AR$319:$AX$325)*(J$125:J$131))</f>
        <v>0</v>
      </c>
      <c r="K282" s="80">
        <f ca="1">SUMPRODUCT((Work_Codes!$AR$316:$AX$316=$E282)*(Work_Codes!$AR$319:$AX$325)*(K$125:K$131))</f>
        <v>0</v>
      </c>
      <c r="L282" s="80">
        <f ca="1">SUMPRODUCT((Work_Codes!$AR$316:$AX$316=$E282)*(Work_Codes!$AR$319:$AX$325)*(L$125:L$131))</f>
        <v>0</v>
      </c>
      <c r="M282" s="80">
        <f ca="1">SUMPRODUCT((Work_Codes!$AR$316:$AX$316=$E282)*(Work_Codes!$AR$319:$AX$325)*(M$125:M$131))</f>
        <v>0</v>
      </c>
      <c r="N282" s="80">
        <f ca="1">SUMPRODUCT((Work_Codes!$AR$316:$AX$316=$E282)*(Work_Codes!$AR$319:$AX$325)*(N$125:N$131))</f>
        <v>0</v>
      </c>
      <c r="O282" s="80">
        <f ca="1">SUMPRODUCT((Work_Codes!$AR$316:$AX$316=$E282)*(Work_Codes!$AR$319:$AX$325)*(O$125:O$131))</f>
        <v>0</v>
      </c>
      <c r="P282" s="80">
        <f ca="1">SUMPRODUCT((Work_Codes!$AR$316:$AX$316=$E282)*(Work_Codes!$AR$319:$AX$325)*(P$125:P$131))</f>
        <v>0</v>
      </c>
      <c r="Q282" s="80">
        <f ca="1">SUMPRODUCT((Work_Codes!$AR$316:$AX$316=$E282)*(Work_Codes!$AR$319:$AX$325)*(Q$125:Q$131))</f>
        <v>0</v>
      </c>
      <c r="R282" s="80">
        <f ca="1">SUMPRODUCT((Work_Codes!$AR$316:$AX$316=$E282)*(Work_Codes!$AR$319:$AX$325)*(R$125:R$131))</f>
        <v>0</v>
      </c>
      <c r="S282" s="80">
        <f ca="1">SUMPRODUCT((Work_Codes!$AR$316:$AX$316=$E282)*(Work_Codes!$AR$319:$AX$325)*(S$125:S$131))</f>
        <v>0</v>
      </c>
      <c r="T282" s="80">
        <f ca="1">SUMPRODUCT((Work_Codes!$AR$316:$AX$316=$E282)*(Work_Codes!$AR$319:$AX$325)*(T$125:T$131))</f>
        <v>0</v>
      </c>
    </row>
    <row r="283" spans="2:20" s="41" customFormat="1" outlineLevel="2">
      <c r="E283" s="251" t="str">
        <f>GC!C81</f>
        <v>Buildings</v>
      </c>
      <c r="F283" s="251"/>
      <c r="G283" s="251"/>
      <c r="H283" s="251"/>
      <c r="I283" s="251"/>
      <c r="J283" s="80">
        <f ca="1">SUMPRODUCT((Work_Codes!$AR$316:$AX$316=$E283)*(Work_Codes!$AR$319:$AX$325)*(J$125:J$131))</f>
        <v>0</v>
      </c>
      <c r="K283" s="80">
        <f ca="1">SUMPRODUCT((Work_Codes!$AR$316:$AX$316=$E283)*(Work_Codes!$AR$319:$AX$325)*(K$125:K$131))</f>
        <v>0</v>
      </c>
      <c r="L283" s="80">
        <f ca="1">SUMPRODUCT((Work_Codes!$AR$316:$AX$316=$E283)*(Work_Codes!$AR$319:$AX$325)*(L$125:L$131))</f>
        <v>0</v>
      </c>
      <c r="M283" s="80">
        <f ca="1">SUMPRODUCT((Work_Codes!$AR$316:$AX$316=$E283)*(Work_Codes!$AR$319:$AX$325)*(M$125:M$131))</f>
        <v>0</v>
      </c>
      <c r="N283" s="80">
        <f ca="1">SUMPRODUCT((Work_Codes!$AR$316:$AX$316=$E283)*(Work_Codes!$AR$319:$AX$325)*(N$125:N$131))</f>
        <v>0</v>
      </c>
      <c r="O283" s="80">
        <f ca="1">SUMPRODUCT((Work_Codes!$AR$316:$AX$316=$E283)*(Work_Codes!$AR$319:$AX$325)*(O$125:O$131))</f>
        <v>0</v>
      </c>
      <c r="P283" s="80">
        <f ca="1">SUMPRODUCT((Work_Codes!$AR$316:$AX$316=$E283)*(Work_Codes!$AR$319:$AX$325)*(P$125:P$131))</f>
        <v>0</v>
      </c>
      <c r="Q283" s="80">
        <f ca="1">SUMPRODUCT((Work_Codes!$AR$316:$AX$316=$E283)*(Work_Codes!$AR$319:$AX$325)*(Q$125:Q$131))</f>
        <v>0</v>
      </c>
      <c r="R283" s="80">
        <f ca="1">SUMPRODUCT((Work_Codes!$AR$316:$AX$316=$E283)*(Work_Codes!$AR$319:$AX$325)*(R$125:R$131))</f>
        <v>0</v>
      </c>
      <c r="S283" s="80">
        <f ca="1">SUMPRODUCT((Work_Codes!$AR$316:$AX$316=$E283)*(Work_Codes!$AR$319:$AX$325)*(S$125:S$131))</f>
        <v>0</v>
      </c>
      <c r="T283" s="80">
        <f ca="1">SUMPRODUCT((Work_Codes!$AR$316:$AX$316=$E283)*(Work_Codes!$AR$319:$AX$325)*(T$125:T$131))</f>
        <v>0</v>
      </c>
    </row>
    <row r="284" spans="2:20" s="41" customFormat="1" outlineLevel="2">
      <c r="E284" s="251" t="str">
        <f>GC!C82</f>
        <v>Other Assets</v>
      </c>
      <c r="F284" s="251"/>
      <c r="G284" s="251"/>
      <c r="H284" s="251"/>
      <c r="I284" s="251"/>
      <c r="J284" s="80">
        <f ca="1">SUMPRODUCT((Work_Codes!$AR$316:$AX$316=$E284)*(Work_Codes!$AR$319:$AX$325)*(J$125:J$131))</f>
        <v>0</v>
      </c>
      <c r="K284" s="80">
        <f ca="1">SUMPRODUCT((Work_Codes!$AR$316:$AX$316=$E284)*(Work_Codes!$AR$319:$AX$325)*(K$125:K$131))</f>
        <v>0</v>
      </c>
      <c r="L284" s="80">
        <f ca="1">SUMPRODUCT((Work_Codes!$AR$316:$AX$316=$E284)*(Work_Codes!$AR$319:$AX$325)*(L$125:L$131))</f>
        <v>0</v>
      </c>
      <c r="M284" s="80">
        <f ca="1">SUMPRODUCT((Work_Codes!$AR$316:$AX$316=$E284)*(Work_Codes!$AR$319:$AX$325)*(M$125:M$131))</f>
        <v>0</v>
      </c>
      <c r="N284" s="80">
        <f ca="1">SUMPRODUCT((Work_Codes!$AR$316:$AX$316=$E284)*(Work_Codes!$AR$319:$AX$325)*(N$125:N$131))</f>
        <v>653578.96227690275</v>
      </c>
      <c r="O284" s="80">
        <f ca="1">SUMPRODUCT((Work_Codes!$AR$316:$AX$316=$E284)*(Work_Codes!$AR$319:$AX$325)*(O$125:O$131))</f>
        <v>247538.5797325231</v>
      </c>
      <c r="P284" s="80">
        <f ca="1">SUMPRODUCT((Work_Codes!$AR$316:$AX$316=$E284)*(Work_Codes!$AR$319:$AX$325)*(P$125:P$131))</f>
        <v>1240380.5624780294</v>
      </c>
      <c r="Q284" s="80">
        <f ca="1">SUMPRODUCT((Work_Codes!$AR$316:$AX$316=$E284)*(Work_Codes!$AR$319:$AX$325)*(Q$125:Q$131))</f>
        <v>2986621.5075816801</v>
      </c>
      <c r="R284" s="80">
        <f ca="1">SUMPRODUCT((Work_Codes!$AR$316:$AX$316=$E284)*(Work_Codes!$AR$319:$AX$325)*(R$125:R$131))</f>
        <v>0</v>
      </c>
      <c r="S284" s="80">
        <f ca="1">SUMPRODUCT((Work_Codes!$AR$316:$AX$316=$E284)*(Work_Codes!$AR$319:$AX$325)*(S$125:S$131))</f>
        <v>0</v>
      </c>
      <c r="T284" s="80">
        <f ca="1">SUMPRODUCT((Work_Codes!$AR$316:$AX$316=$E284)*(Work_Codes!$AR$319:$AX$325)*(T$125:T$131))</f>
        <v>2989665.7457722444</v>
      </c>
    </row>
    <row r="285" spans="2:20" s="41" customFormat="1" outlineLevel="2">
      <c r="E285" s="251" t="str">
        <f>GC!C83</f>
        <v>Repairs</v>
      </c>
      <c r="F285" s="251"/>
      <c r="G285" s="251"/>
      <c r="H285" s="251"/>
      <c r="I285" s="251"/>
      <c r="J285" s="80">
        <f ca="1">SUMPRODUCT((Work_Codes!$AR$316:$AX$316=$E285)*(Work_Codes!$AR$319:$AX$325)*(J$125:J$131))</f>
        <v>0</v>
      </c>
      <c r="K285" s="80">
        <f ca="1">SUMPRODUCT((Work_Codes!$AR$316:$AX$316=$E285)*(Work_Codes!$AR$319:$AX$325)*(K$125:K$131))</f>
        <v>0</v>
      </c>
      <c r="L285" s="80">
        <f ca="1">SUMPRODUCT((Work_Codes!$AR$316:$AX$316=$E285)*(Work_Codes!$AR$319:$AX$325)*(L$125:L$131))</f>
        <v>0</v>
      </c>
      <c r="M285" s="80">
        <f ca="1">SUMPRODUCT((Work_Codes!$AR$316:$AX$316=$E285)*(Work_Codes!$AR$319:$AX$325)*(M$125:M$131))</f>
        <v>0</v>
      </c>
      <c r="N285" s="80">
        <f ca="1">SUMPRODUCT((Work_Codes!$AR$316:$AX$316=$E285)*(Work_Codes!$AR$319:$AX$325)*(N$125:N$131))</f>
        <v>0</v>
      </c>
      <c r="O285" s="80">
        <f ca="1">SUMPRODUCT((Work_Codes!$AR$316:$AX$316=$E285)*(Work_Codes!$AR$319:$AX$325)*(O$125:O$131))</f>
        <v>0</v>
      </c>
      <c r="P285" s="80">
        <f ca="1">SUMPRODUCT((Work_Codes!$AR$316:$AX$316=$E285)*(Work_Codes!$AR$319:$AX$325)*(P$125:P$131))</f>
        <v>0</v>
      </c>
      <c r="Q285" s="80">
        <f ca="1">SUMPRODUCT((Work_Codes!$AR$316:$AX$316=$E285)*(Work_Codes!$AR$319:$AX$325)*(Q$125:Q$131))</f>
        <v>0</v>
      </c>
      <c r="R285" s="80">
        <f ca="1">SUMPRODUCT((Work_Codes!$AR$316:$AX$316=$E285)*(Work_Codes!$AR$319:$AX$325)*(R$125:R$131))</f>
        <v>0</v>
      </c>
      <c r="S285" s="80">
        <f ca="1">SUMPRODUCT((Work_Codes!$AR$316:$AX$316=$E285)*(Work_Codes!$AR$319:$AX$325)*(S$125:S$131))</f>
        <v>0</v>
      </c>
      <c r="T285" s="80">
        <f ca="1">SUMPRODUCT((Work_Codes!$AR$316:$AX$316=$E285)*(Work_Codes!$AR$319:$AX$325)*(T$125:T$131))</f>
        <v>0</v>
      </c>
    </row>
    <row r="286" spans="2:20" s="41" customFormat="1" outlineLevel="2">
      <c r="E286" s="251" t="str">
        <f>GC!C84</f>
        <v>Land</v>
      </c>
      <c r="F286" s="251"/>
      <c r="G286" s="251"/>
      <c r="H286" s="251"/>
      <c r="I286" s="251"/>
      <c r="J286" s="80">
        <f ca="1">SUMPRODUCT((Work_Codes!$AR$316:$AX$316=$E286)*(Work_Codes!$AR$319:$AX$325)*(J$125:J$131))</f>
        <v>0</v>
      </c>
      <c r="K286" s="80">
        <f ca="1">SUMPRODUCT((Work_Codes!$AR$316:$AX$316=$E286)*(Work_Codes!$AR$319:$AX$325)*(K$125:K$131))</f>
        <v>0</v>
      </c>
      <c r="L286" s="80">
        <f ca="1">SUMPRODUCT((Work_Codes!$AR$316:$AX$316=$E286)*(Work_Codes!$AR$319:$AX$325)*(L$125:L$131))</f>
        <v>0</v>
      </c>
      <c r="M286" s="80">
        <f ca="1">SUMPRODUCT((Work_Codes!$AR$316:$AX$316=$E286)*(Work_Codes!$AR$319:$AX$325)*(M$125:M$131))</f>
        <v>0</v>
      </c>
      <c r="N286" s="80">
        <f ca="1">SUMPRODUCT((Work_Codes!$AR$316:$AX$316=$E286)*(Work_Codes!$AR$319:$AX$325)*(N$125:N$131))</f>
        <v>0</v>
      </c>
      <c r="O286" s="80">
        <f ca="1">SUMPRODUCT((Work_Codes!$AR$316:$AX$316=$E286)*(Work_Codes!$AR$319:$AX$325)*(O$125:O$131))</f>
        <v>0</v>
      </c>
      <c r="P286" s="80">
        <f ca="1">SUMPRODUCT((Work_Codes!$AR$316:$AX$316=$E286)*(Work_Codes!$AR$319:$AX$325)*(P$125:P$131))</f>
        <v>0</v>
      </c>
      <c r="Q286" s="80">
        <f ca="1">SUMPRODUCT((Work_Codes!$AR$316:$AX$316=$E286)*(Work_Codes!$AR$319:$AX$325)*(Q$125:Q$131))</f>
        <v>0</v>
      </c>
      <c r="R286" s="80">
        <f ca="1">SUMPRODUCT((Work_Codes!$AR$316:$AX$316=$E286)*(Work_Codes!$AR$319:$AX$325)*(R$125:R$131))</f>
        <v>0</v>
      </c>
      <c r="S286" s="80">
        <f ca="1">SUMPRODUCT((Work_Codes!$AR$316:$AX$316=$E286)*(Work_Codes!$AR$319:$AX$325)*(S$125:S$131))</f>
        <v>0</v>
      </c>
      <c r="T286" s="80">
        <f ca="1">SUMPRODUCT((Work_Codes!$AR$316:$AX$316=$E286)*(Work_Codes!$AR$319:$AX$325)*(T$125:T$131))</f>
        <v>0</v>
      </c>
    </row>
    <row r="287" spans="2:20" s="41" customFormat="1" outlineLevel="2">
      <c r="E287" s="250" t="str">
        <f>"Total "&amp;D278</f>
        <v>Total Direct Costs</v>
      </c>
      <c r="F287" s="250"/>
      <c r="G287" s="250"/>
      <c r="H287" s="250"/>
      <c r="I287" s="250"/>
      <c r="J287" s="101">
        <f t="shared" ref="J287:T287" ca="1" si="29">SUM(J280:J286)</f>
        <v>0</v>
      </c>
      <c r="K287" s="101">
        <f t="shared" ca="1" si="29"/>
        <v>0</v>
      </c>
      <c r="L287" s="101">
        <f t="shared" ca="1" si="29"/>
        <v>0</v>
      </c>
      <c r="M287" s="101">
        <f t="shared" ca="1" si="29"/>
        <v>0</v>
      </c>
      <c r="N287" s="101">
        <f t="shared" ca="1" si="29"/>
        <v>3589875.6988584166</v>
      </c>
      <c r="O287" s="101">
        <f t="shared" ca="1" si="29"/>
        <v>2498006.2128540152</v>
      </c>
      <c r="P287" s="101">
        <f t="shared" ca="1" si="29"/>
        <v>4628766.5464705946</v>
      </c>
      <c r="Q287" s="101">
        <f t="shared" ca="1" si="29"/>
        <v>6108881.2970422469</v>
      </c>
      <c r="R287" s="101">
        <f t="shared" ca="1" si="29"/>
        <v>3389970.4328987338</v>
      </c>
      <c r="S287" s="101">
        <f t="shared" ca="1" si="29"/>
        <v>1983219.1814355585</v>
      </c>
      <c r="T287" s="101">
        <f t="shared" ca="1" si="29"/>
        <v>5394667.5502852034</v>
      </c>
    </row>
    <row r="288" spans="2:20" s="41" customFormat="1" outlineLevel="2"/>
    <row r="289" spans="2:20" s="41" customFormat="1" outlineLevel="2">
      <c r="D289" s="50" t="s">
        <v>313</v>
      </c>
    </row>
    <row r="290" spans="2:20" s="41" customFormat="1" ht="5.9" customHeight="1" outlineLevel="2"/>
    <row r="291" spans="2:20" s="41" customFormat="1" outlineLevel="2">
      <c r="E291" s="251" t="str">
        <f>GC!C78</f>
        <v>Mains &amp; Services</v>
      </c>
      <c r="F291" s="251"/>
      <c r="G291" s="251"/>
      <c r="H291" s="251"/>
      <c r="I291" s="251"/>
      <c r="J291" s="80">
        <f ca="1">J280*(1+INDEX(J$35:J$37,MATCH(Work_Codes!$I$313,$D$35:$D$37,0)))</f>
        <v>0</v>
      </c>
      <c r="K291" s="80">
        <f ca="1">K280*(1+INDEX(K$35:K$37,MATCH(Work_Codes!$I$313,$D$35:$D$37,0)))</f>
        <v>0</v>
      </c>
      <c r="L291" s="80">
        <f ca="1">L280*(1+INDEX(L$35:L$37,MATCH(Work_Codes!$I$313,$D$35:$D$37,0)))</f>
        <v>0</v>
      </c>
      <c r="M291" s="80">
        <f ca="1">M280*(1+INDEX(M$35:M$37,MATCH(Work_Codes!$I$313,$D$35:$D$37,0)))</f>
        <v>0</v>
      </c>
      <c r="N291" s="80">
        <f ca="1">N280*(1+INDEX(N$35:N$37,MATCH(Work_Codes!$I$313,$D$35:$D$37,0)))</f>
        <v>3047027.4444932332</v>
      </c>
      <c r="O291" s="80">
        <f ca="1">O280*(1+INDEX(O$35:O$37,MATCH(Work_Codes!$I$313,$D$35:$D$37,0)))</f>
        <v>2325372.1281809271</v>
      </c>
      <c r="P291" s="80">
        <f ca="1">P280*(1+INDEX(P$35:P$37,MATCH(Work_Codes!$I$313,$D$35:$D$37,0)))</f>
        <v>3479034.3239108352</v>
      </c>
      <c r="Q291" s="80">
        <f ca="1">Q280*(1+INDEX(Q$35:Q$37,MATCH(Work_Codes!$I$313,$D$35:$D$37,0)))</f>
        <v>3203627.7134300545</v>
      </c>
      <c r="R291" s="80">
        <f ca="1">R280*(1+INDEX(R$35:R$37,MATCH(Work_Codes!$I$313,$D$35:$D$37,0)))</f>
        <v>3481069.1286397651</v>
      </c>
      <c r="S291" s="80">
        <f ca="1">S280*(1+INDEX(S$35:S$37,MATCH(Work_Codes!$I$313,$D$35:$D$37,0)))</f>
        <v>2039832.5110424659</v>
      </c>
      <c r="T291" s="80">
        <f ca="1">T280*(1+INDEX(T$35:T$37,MATCH(Work_Codes!$I$313,$D$35:$D$37,0)))</f>
        <v>2476960.3680845355</v>
      </c>
    </row>
    <row r="292" spans="2:20" s="41" customFormat="1" outlineLevel="2">
      <c r="E292" s="251" t="str">
        <f>GC!C79</f>
        <v>Meters Domestic</v>
      </c>
      <c r="F292" s="251"/>
      <c r="G292" s="251"/>
      <c r="H292" s="251"/>
      <c r="I292" s="251"/>
      <c r="J292" s="80">
        <f ca="1">J281*(1+INDEX(J$35:J$37,MATCH(Work_Codes!$I$313,$D$35:$D$37,0)))</f>
        <v>0</v>
      </c>
      <c r="K292" s="80">
        <f ca="1">K281*(1+INDEX(K$35:K$37,MATCH(Work_Codes!$I$313,$D$35:$D$37,0)))</f>
        <v>0</v>
      </c>
      <c r="L292" s="80">
        <f ca="1">L281*(1+INDEX(L$35:L$37,MATCH(Work_Codes!$I$313,$D$35:$D$37,0)))</f>
        <v>0</v>
      </c>
      <c r="M292" s="80">
        <f ca="1">M281*(1+INDEX(M$35:M$37,MATCH(Work_Codes!$I$313,$D$35:$D$37,0)))</f>
        <v>0</v>
      </c>
      <c r="N292" s="80">
        <f ca="1">N281*(1+INDEX(N$35:N$37,MATCH(Work_Codes!$I$313,$D$35:$D$37,0)))</f>
        <v>0</v>
      </c>
      <c r="O292" s="80">
        <f ca="1">O281*(1+INDEX(O$35:O$37,MATCH(Work_Codes!$I$313,$D$35:$D$37,0)))</f>
        <v>0</v>
      </c>
      <c r="P292" s="80">
        <f ca="1">P281*(1+INDEX(P$35:P$37,MATCH(Work_Codes!$I$313,$D$35:$D$37,0)))</f>
        <v>0</v>
      </c>
      <c r="Q292" s="80">
        <f ca="1">Q281*(1+INDEX(Q$35:Q$37,MATCH(Work_Codes!$I$313,$D$35:$D$37,0)))</f>
        <v>0</v>
      </c>
      <c r="R292" s="80">
        <f ca="1">R281*(1+INDEX(R$35:R$37,MATCH(Work_Codes!$I$313,$D$35:$D$37,0)))</f>
        <v>0</v>
      </c>
      <c r="S292" s="80">
        <f ca="1">S281*(1+INDEX(S$35:S$37,MATCH(Work_Codes!$I$313,$D$35:$D$37,0)))</f>
        <v>0</v>
      </c>
      <c r="T292" s="80">
        <f ca="1">T281*(1+INDEX(T$35:T$37,MATCH(Work_Codes!$I$313,$D$35:$D$37,0)))</f>
        <v>0</v>
      </c>
    </row>
    <row r="293" spans="2:20" s="41" customFormat="1" outlineLevel="2">
      <c r="E293" s="251" t="str">
        <f>GC!C80</f>
        <v>Meters Industrial &amp; Commercial</v>
      </c>
      <c r="F293" s="251"/>
      <c r="G293" s="251"/>
      <c r="H293" s="251"/>
      <c r="I293" s="251"/>
      <c r="J293" s="80">
        <f ca="1">J282*(1+INDEX(J$35:J$37,MATCH(Work_Codes!$I$313,$D$35:$D$37,0)))</f>
        <v>0</v>
      </c>
      <c r="K293" s="80">
        <f ca="1">K282*(1+INDEX(K$35:K$37,MATCH(Work_Codes!$I$313,$D$35:$D$37,0)))</f>
        <v>0</v>
      </c>
      <c r="L293" s="80">
        <f ca="1">L282*(1+INDEX(L$35:L$37,MATCH(Work_Codes!$I$313,$D$35:$D$37,0)))</f>
        <v>0</v>
      </c>
      <c r="M293" s="80">
        <f ca="1">M282*(1+INDEX(M$35:M$37,MATCH(Work_Codes!$I$313,$D$35:$D$37,0)))</f>
        <v>0</v>
      </c>
      <c r="N293" s="80">
        <f ca="1">N282*(1+INDEX(N$35:N$37,MATCH(Work_Codes!$I$313,$D$35:$D$37,0)))</f>
        <v>0</v>
      </c>
      <c r="O293" s="80">
        <f ca="1">O282*(1+INDEX(O$35:O$37,MATCH(Work_Codes!$I$313,$D$35:$D$37,0)))</f>
        <v>0</v>
      </c>
      <c r="P293" s="80">
        <f ca="1">P282*(1+INDEX(P$35:P$37,MATCH(Work_Codes!$I$313,$D$35:$D$37,0)))</f>
        <v>0</v>
      </c>
      <c r="Q293" s="80">
        <f ca="1">Q282*(1+INDEX(Q$35:Q$37,MATCH(Work_Codes!$I$313,$D$35:$D$37,0)))</f>
        <v>0</v>
      </c>
      <c r="R293" s="80">
        <f ca="1">R282*(1+INDEX(R$35:R$37,MATCH(Work_Codes!$I$313,$D$35:$D$37,0)))</f>
        <v>0</v>
      </c>
      <c r="S293" s="80">
        <f ca="1">S282*(1+INDEX(S$35:S$37,MATCH(Work_Codes!$I$313,$D$35:$D$37,0)))</f>
        <v>0</v>
      </c>
      <c r="T293" s="80">
        <f ca="1">T282*(1+INDEX(T$35:T$37,MATCH(Work_Codes!$I$313,$D$35:$D$37,0)))</f>
        <v>0</v>
      </c>
    </row>
    <row r="294" spans="2:20" s="41" customFormat="1" outlineLevel="2">
      <c r="E294" s="251" t="str">
        <f>GC!C81</f>
        <v>Buildings</v>
      </c>
      <c r="F294" s="251"/>
      <c r="G294" s="251"/>
      <c r="H294" s="251"/>
      <c r="I294" s="251"/>
      <c r="J294" s="80">
        <f ca="1">J283*(1+INDEX(J$35:J$37,MATCH(Work_Codes!$I$313,$D$35:$D$37,0)))</f>
        <v>0</v>
      </c>
      <c r="K294" s="80">
        <f ca="1">K283*(1+INDEX(K$35:K$37,MATCH(Work_Codes!$I$313,$D$35:$D$37,0)))</f>
        <v>0</v>
      </c>
      <c r="L294" s="80">
        <f ca="1">L283*(1+INDEX(L$35:L$37,MATCH(Work_Codes!$I$313,$D$35:$D$37,0)))</f>
        <v>0</v>
      </c>
      <c r="M294" s="80">
        <f ca="1">M283*(1+INDEX(M$35:M$37,MATCH(Work_Codes!$I$313,$D$35:$D$37,0)))</f>
        <v>0</v>
      </c>
      <c r="N294" s="80">
        <f ca="1">N283*(1+INDEX(N$35:N$37,MATCH(Work_Codes!$I$313,$D$35:$D$37,0)))</f>
        <v>0</v>
      </c>
      <c r="O294" s="80">
        <f ca="1">O283*(1+INDEX(O$35:O$37,MATCH(Work_Codes!$I$313,$D$35:$D$37,0)))</f>
        <v>0</v>
      </c>
      <c r="P294" s="80">
        <f ca="1">P283*(1+INDEX(P$35:P$37,MATCH(Work_Codes!$I$313,$D$35:$D$37,0)))</f>
        <v>0</v>
      </c>
      <c r="Q294" s="80">
        <f ca="1">Q283*(1+INDEX(Q$35:Q$37,MATCH(Work_Codes!$I$313,$D$35:$D$37,0)))</f>
        <v>0</v>
      </c>
      <c r="R294" s="80">
        <f ca="1">R283*(1+INDEX(R$35:R$37,MATCH(Work_Codes!$I$313,$D$35:$D$37,0)))</f>
        <v>0</v>
      </c>
      <c r="S294" s="80">
        <f ca="1">S283*(1+INDEX(S$35:S$37,MATCH(Work_Codes!$I$313,$D$35:$D$37,0)))</f>
        <v>0</v>
      </c>
      <c r="T294" s="80">
        <f ca="1">T283*(1+INDEX(T$35:T$37,MATCH(Work_Codes!$I$313,$D$35:$D$37,0)))</f>
        <v>0</v>
      </c>
    </row>
    <row r="295" spans="2:20" s="41" customFormat="1" outlineLevel="2">
      <c r="E295" s="251" t="str">
        <f>GC!C82</f>
        <v>Other Assets</v>
      </c>
      <c r="F295" s="251"/>
      <c r="G295" s="251"/>
      <c r="H295" s="251"/>
      <c r="I295" s="251"/>
      <c r="J295" s="80">
        <f ca="1">J284*(1+INDEX(J$35:J$37,MATCH(Work_Codes!$I$313,$D$35:$D$37,0)))</f>
        <v>0</v>
      </c>
      <c r="K295" s="80">
        <f ca="1">K284*(1+INDEX(K$35:K$37,MATCH(Work_Codes!$I$313,$D$35:$D$37,0)))</f>
        <v>0</v>
      </c>
      <c r="L295" s="80">
        <f ca="1">L284*(1+INDEX(L$35:L$37,MATCH(Work_Codes!$I$313,$D$35:$D$37,0)))</f>
        <v>0</v>
      </c>
      <c r="M295" s="80">
        <f ca="1">M284*(1+INDEX(M$35:M$37,MATCH(Work_Codes!$I$313,$D$35:$D$37,0)))</f>
        <v>0</v>
      </c>
      <c r="N295" s="80">
        <f ca="1">N284*(1+INDEX(N$35:N$37,MATCH(Work_Codes!$I$313,$D$35:$D$37,0)))</f>
        <v>678226.08334865933</v>
      </c>
      <c r="O295" s="80">
        <f ca="1">O284*(1+INDEX(O$35:O$37,MATCH(Work_Codes!$I$313,$D$35:$D$37,0)))</f>
        <v>255777.64616018647</v>
      </c>
      <c r="P295" s="80">
        <f ca="1">P284*(1+INDEX(P$35:P$37,MATCH(Work_Codes!$I$313,$D$35:$D$37,0)))</f>
        <v>1273564.0425734806</v>
      </c>
      <c r="Q295" s="80">
        <f ca="1">Q284*(1+INDEX(Q$35:Q$37,MATCH(Work_Codes!$I$313,$D$35:$D$37,0)))</f>
        <v>3064454.6182583962</v>
      </c>
      <c r="R295" s="80">
        <f ca="1">R284*(1+INDEX(R$35:R$37,MATCH(Work_Codes!$I$313,$D$35:$D$37,0)))</f>
        <v>0</v>
      </c>
      <c r="S295" s="80">
        <f ca="1">S284*(1+INDEX(S$35:S$37,MATCH(Work_Codes!$I$313,$D$35:$D$37,0)))</f>
        <v>0</v>
      </c>
      <c r="T295" s="80">
        <f ca="1">T284*(1+INDEX(T$35:T$37,MATCH(Work_Codes!$I$313,$D$35:$D$37,0)))</f>
        <v>3079117.6755883563</v>
      </c>
    </row>
    <row r="296" spans="2:20" s="41" customFormat="1" outlineLevel="2">
      <c r="E296" s="251" t="str">
        <f>GC!C83</f>
        <v>Repairs</v>
      </c>
      <c r="F296" s="251"/>
      <c r="G296" s="251"/>
      <c r="H296" s="251"/>
      <c r="I296" s="251"/>
      <c r="J296" s="80">
        <f ca="1">J285*(1+INDEX(J$35:J$37,MATCH(Work_Codes!$I$313,$D$35:$D$37,0)))</f>
        <v>0</v>
      </c>
      <c r="K296" s="80">
        <f ca="1">K285*(1+INDEX(K$35:K$37,MATCH(Work_Codes!$I$313,$D$35:$D$37,0)))</f>
        <v>0</v>
      </c>
      <c r="L296" s="80">
        <f ca="1">L285*(1+INDEX(L$35:L$37,MATCH(Work_Codes!$I$313,$D$35:$D$37,0)))</f>
        <v>0</v>
      </c>
      <c r="M296" s="80">
        <f ca="1">M285*(1+INDEX(M$35:M$37,MATCH(Work_Codes!$I$313,$D$35:$D$37,0)))</f>
        <v>0</v>
      </c>
      <c r="N296" s="80">
        <f ca="1">N285*(1+INDEX(N$35:N$37,MATCH(Work_Codes!$I$313,$D$35:$D$37,0)))</f>
        <v>0</v>
      </c>
      <c r="O296" s="80">
        <f ca="1">O285*(1+INDEX(O$35:O$37,MATCH(Work_Codes!$I$313,$D$35:$D$37,0)))</f>
        <v>0</v>
      </c>
      <c r="P296" s="80">
        <f ca="1">P285*(1+INDEX(P$35:P$37,MATCH(Work_Codes!$I$313,$D$35:$D$37,0)))</f>
        <v>0</v>
      </c>
      <c r="Q296" s="80">
        <f ca="1">Q285*(1+INDEX(Q$35:Q$37,MATCH(Work_Codes!$I$313,$D$35:$D$37,0)))</f>
        <v>0</v>
      </c>
      <c r="R296" s="80">
        <f ca="1">R285*(1+INDEX(R$35:R$37,MATCH(Work_Codes!$I$313,$D$35:$D$37,0)))</f>
        <v>0</v>
      </c>
      <c r="S296" s="80">
        <f ca="1">S285*(1+INDEX(S$35:S$37,MATCH(Work_Codes!$I$313,$D$35:$D$37,0)))</f>
        <v>0</v>
      </c>
      <c r="T296" s="80">
        <f ca="1">T285*(1+INDEX(T$35:T$37,MATCH(Work_Codes!$I$313,$D$35:$D$37,0)))</f>
        <v>0</v>
      </c>
    </row>
    <row r="297" spans="2:20" s="41" customFormat="1" outlineLevel="2">
      <c r="E297" s="251" t="str">
        <f>GC!C84</f>
        <v>Land</v>
      </c>
      <c r="F297" s="251"/>
      <c r="G297" s="251"/>
      <c r="H297" s="251"/>
      <c r="I297" s="251"/>
      <c r="J297" s="80">
        <f ca="1">J286*(1+INDEX(J$35:J$37,MATCH(Work_Codes!$I$313,$D$35:$D$37,0)))</f>
        <v>0</v>
      </c>
      <c r="K297" s="80">
        <f ca="1">K286*(1+INDEX(K$35:K$37,MATCH(Work_Codes!$I$313,$D$35:$D$37,0)))</f>
        <v>0</v>
      </c>
      <c r="L297" s="80">
        <f ca="1">L286*(1+INDEX(L$35:L$37,MATCH(Work_Codes!$I$313,$D$35:$D$37,0)))</f>
        <v>0</v>
      </c>
      <c r="M297" s="80">
        <f ca="1">M286*(1+INDEX(M$35:M$37,MATCH(Work_Codes!$I$313,$D$35:$D$37,0)))</f>
        <v>0</v>
      </c>
      <c r="N297" s="80">
        <f ca="1">N286*(1+INDEX(N$35:N$37,MATCH(Work_Codes!$I$313,$D$35:$D$37,0)))</f>
        <v>0</v>
      </c>
      <c r="O297" s="80">
        <f ca="1">O286*(1+INDEX(O$35:O$37,MATCH(Work_Codes!$I$313,$D$35:$D$37,0)))</f>
        <v>0</v>
      </c>
      <c r="P297" s="80">
        <f ca="1">P286*(1+INDEX(P$35:P$37,MATCH(Work_Codes!$I$313,$D$35:$D$37,0)))</f>
        <v>0</v>
      </c>
      <c r="Q297" s="80">
        <f ca="1">Q286*(1+INDEX(Q$35:Q$37,MATCH(Work_Codes!$I$313,$D$35:$D$37,0)))</f>
        <v>0</v>
      </c>
      <c r="R297" s="80">
        <f ca="1">R286*(1+INDEX(R$35:R$37,MATCH(Work_Codes!$I$313,$D$35:$D$37,0)))</f>
        <v>0</v>
      </c>
      <c r="S297" s="80">
        <f ca="1">S286*(1+INDEX(S$35:S$37,MATCH(Work_Codes!$I$313,$D$35:$D$37,0)))</f>
        <v>0</v>
      </c>
      <c r="T297" s="80">
        <f ca="1">T286*(1+INDEX(T$35:T$37,MATCH(Work_Codes!$I$313,$D$35:$D$37,0)))</f>
        <v>0</v>
      </c>
    </row>
    <row r="298" spans="2:20" s="41" customFormat="1" outlineLevel="2">
      <c r="E298" s="250" t="str">
        <f>"Total "&amp;D289</f>
        <v>Total Direct Costs +  Overheads</v>
      </c>
      <c r="F298" s="250"/>
      <c r="G298" s="250"/>
      <c r="H298" s="250"/>
      <c r="I298" s="250"/>
      <c r="J298" s="101">
        <f t="shared" ref="J298:T298" ca="1" si="30">SUM(J291:J297)</f>
        <v>0</v>
      </c>
      <c r="K298" s="101">
        <f t="shared" ca="1" si="30"/>
        <v>0</v>
      </c>
      <c r="L298" s="101">
        <f t="shared" ca="1" si="30"/>
        <v>0</v>
      </c>
      <c r="M298" s="101">
        <f t="shared" ca="1" si="30"/>
        <v>0</v>
      </c>
      <c r="N298" s="101">
        <f t="shared" ca="1" si="30"/>
        <v>3725253.5278418926</v>
      </c>
      <c r="O298" s="101">
        <f t="shared" ca="1" si="30"/>
        <v>2581149.7743411134</v>
      </c>
      <c r="P298" s="101">
        <f t="shared" ca="1" si="30"/>
        <v>4752598.3664843161</v>
      </c>
      <c r="Q298" s="101">
        <f t="shared" ca="1" si="30"/>
        <v>6268082.3316884506</v>
      </c>
      <c r="R298" s="101">
        <f t="shared" ca="1" si="30"/>
        <v>3481069.1286397651</v>
      </c>
      <c r="S298" s="101">
        <f t="shared" ca="1" si="30"/>
        <v>2039832.5110424659</v>
      </c>
      <c r="T298" s="101">
        <f t="shared" ca="1" si="30"/>
        <v>5556078.0436728913</v>
      </c>
    </row>
    <row r="299" spans="2:20" s="41" customFormat="1" outlineLevel="1">
      <c r="B299" s="109"/>
      <c r="C299" s="109"/>
      <c r="D299" s="109"/>
      <c r="E299" s="109"/>
      <c r="F299" s="109"/>
      <c r="G299" s="109"/>
      <c r="H299" s="109"/>
      <c r="I299" s="109"/>
      <c r="J299" s="109"/>
      <c r="K299" s="109"/>
      <c r="L299" s="109"/>
      <c r="M299" s="109"/>
      <c r="N299" s="109"/>
      <c r="O299" s="109"/>
      <c r="P299" s="109"/>
      <c r="Q299" s="109"/>
      <c r="R299" s="109"/>
      <c r="S299" s="109"/>
      <c r="T299" s="109"/>
    </row>
    <row r="300" spans="2:20" s="41" customFormat="1" outlineLevel="1"/>
    <row r="301" spans="2:20" s="41" customFormat="1" outlineLevel="1">
      <c r="C301" s="50" t="s">
        <v>19</v>
      </c>
    </row>
    <row r="302" spans="2:20" s="41" customFormat="1" ht="5.9" customHeight="1" outlineLevel="1"/>
    <row r="303" spans="2:20" s="41" customFormat="1" outlineLevel="1">
      <c r="F303" s="52" t="str">
        <f>$B$23&amp;" Work Code v RAB Category Direct Check"</f>
        <v>3017 - Inputs Work Code v RAB Category Direct Check</v>
      </c>
      <c r="I303" s="175">
        <f ca="1">IF(ISERROR(SUM(J303:T303)),1,MIN(SUM(J303:T303),1))</f>
        <v>0</v>
      </c>
      <c r="J303" s="80">
        <f t="shared" ref="J303:T303" ca="1" si="31">J133-J156</f>
        <v>0</v>
      </c>
      <c r="K303" s="80">
        <f t="shared" ca="1" si="31"/>
        <v>0</v>
      </c>
      <c r="L303" s="80">
        <f t="shared" ca="1" si="31"/>
        <v>0</v>
      </c>
      <c r="M303" s="80">
        <f t="shared" ca="1" si="31"/>
        <v>0</v>
      </c>
      <c r="N303" s="80">
        <f t="shared" ca="1" si="31"/>
        <v>0</v>
      </c>
      <c r="O303" s="80">
        <f t="shared" ca="1" si="31"/>
        <v>0</v>
      </c>
      <c r="P303" s="80">
        <f t="shared" ca="1" si="31"/>
        <v>0</v>
      </c>
      <c r="Q303" s="80">
        <f t="shared" ca="1" si="31"/>
        <v>0</v>
      </c>
      <c r="R303" s="80">
        <f t="shared" ca="1" si="31"/>
        <v>0</v>
      </c>
      <c r="S303" s="80">
        <f t="shared" ca="1" si="31"/>
        <v>0</v>
      </c>
      <c r="T303" s="80">
        <f t="shared" ca="1" si="31"/>
        <v>0</v>
      </c>
    </row>
    <row r="304" spans="2:20" s="41" customFormat="1" outlineLevel="1">
      <c r="F304" s="52" t="str">
        <f>$B$23&amp;" Work Code v RIN Category Direct Check"</f>
        <v>3017 - Inputs Work Code v RIN Category Direct Check</v>
      </c>
      <c r="I304" s="175">
        <f ca="1">IF(ISERROR(SUM(J304:T304)),1,MIN(SUM(J304:T304),1))</f>
        <v>0</v>
      </c>
      <c r="J304" s="80">
        <f t="shared" ref="J304:T304" ca="1" si="32">J133-J237</f>
        <v>0</v>
      </c>
      <c r="K304" s="80">
        <f t="shared" ca="1" si="32"/>
        <v>0</v>
      </c>
      <c r="L304" s="80">
        <f t="shared" ca="1" si="32"/>
        <v>0</v>
      </c>
      <c r="M304" s="80">
        <f t="shared" ca="1" si="32"/>
        <v>0</v>
      </c>
      <c r="N304" s="80">
        <f t="shared" ca="1" si="32"/>
        <v>0</v>
      </c>
      <c r="O304" s="80">
        <f t="shared" ca="1" si="32"/>
        <v>0</v>
      </c>
      <c r="P304" s="80">
        <f t="shared" ca="1" si="32"/>
        <v>0</v>
      </c>
      <c r="Q304" s="80">
        <f t="shared" ca="1" si="32"/>
        <v>0</v>
      </c>
      <c r="R304" s="80">
        <f t="shared" ca="1" si="32"/>
        <v>0</v>
      </c>
      <c r="S304" s="80">
        <f t="shared" ca="1" si="32"/>
        <v>0</v>
      </c>
      <c r="T304" s="80">
        <f t="shared" ca="1" si="32"/>
        <v>0</v>
      </c>
    </row>
    <row r="305" spans="2:20" s="41" customFormat="1" outlineLevel="1">
      <c r="F305" s="52" t="str">
        <f>$B$23&amp;" Work Code v Tax Category Direct Check"</f>
        <v>3017 - Inputs Work Code v Tax Category Direct Check</v>
      </c>
      <c r="I305" s="175">
        <f ca="1">IF(ISERROR(SUM(J305:T305)),1,MIN(SUM(J305:T305),1))</f>
        <v>0</v>
      </c>
      <c r="J305" s="80">
        <f t="shared" ref="J305:T305" ca="1" si="33">J133-J287</f>
        <v>0</v>
      </c>
      <c r="K305" s="80">
        <f t="shared" ca="1" si="33"/>
        <v>0</v>
      </c>
      <c r="L305" s="80">
        <f t="shared" ca="1" si="33"/>
        <v>0</v>
      </c>
      <c r="M305" s="80">
        <f t="shared" ca="1" si="33"/>
        <v>0</v>
      </c>
      <c r="N305" s="80">
        <f t="shared" ca="1" si="33"/>
        <v>0</v>
      </c>
      <c r="O305" s="80">
        <f t="shared" ca="1" si="33"/>
        <v>0</v>
      </c>
      <c r="P305" s="80">
        <f t="shared" ca="1" si="33"/>
        <v>0</v>
      </c>
      <c r="Q305" s="80">
        <f t="shared" ca="1" si="33"/>
        <v>0</v>
      </c>
      <c r="R305" s="80">
        <f t="shared" ca="1" si="33"/>
        <v>0</v>
      </c>
      <c r="S305" s="80">
        <f t="shared" ca="1" si="33"/>
        <v>0</v>
      </c>
      <c r="T305" s="80">
        <f t="shared" ca="1" si="33"/>
        <v>0</v>
      </c>
    </row>
    <row r="306" spans="2:20" s="41" customFormat="1" outlineLevel="1">
      <c r="F306" s="52" t="str">
        <f>$B$23&amp;" Customer Contributions v RAB Category Direct Check"</f>
        <v>3017 - Inputs Customer Contributions v RAB Category Direct Check</v>
      </c>
      <c r="I306" s="175">
        <f ca="1">IF(ISERROR(SUM(J306:T306)),1,MIN(SUM(J306:T306),1))</f>
        <v>0</v>
      </c>
      <c r="J306" s="80">
        <f t="shared" ref="J306:T306" ca="1" si="34">J82-J216</f>
        <v>0</v>
      </c>
      <c r="K306" s="80">
        <f t="shared" ca="1" si="34"/>
        <v>0</v>
      </c>
      <c r="L306" s="80">
        <f t="shared" ca="1" si="34"/>
        <v>0</v>
      </c>
      <c r="M306" s="80">
        <f t="shared" ca="1" si="34"/>
        <v>0</v>
      </c>
      <c r="N306" s="80">
        <f t="shared" ca="1" si="34"/>
        <v>0</v>
      </c>
      <c r="O306" s="80">
        <f t="shared" ca="1" si="34"/>
        <v>0</v>
      </c>
      <c r="P306" s="80">
        <f t="shared" ca="1" si="34"/>
        <v>0</v>
      </c>
      <c r="Q306" s="80">
        <f t="shared" ca="1" si="34"/>
        <v>0</v>
      </c>
      <c r="R306" s="80">
        <f t="shared" ca="1" si="34"/>
        <v>0</v>
      </c>
      <c r="S306" s="80">
        <f t="shared" ca="1" si="34"/>
        <v>0</v>
      </c>
      <c r="T306" s="80">
        <f t="shared" ca="1" si="34"/>
        <v>0</v>
      </c>
    </row>
    <row r="307" spans="2:20" s="41" customFormat="1" ht="5.9" customHeight="1" outlineLevel="1"/>
    <row r="308" spans="2:20" s="41" customFormat="1" outlineLevel="1">
      <c r="F308" s="52" t="str">
        <f>$B$23&amp;" RAB v RIN Direct + Overhead Check"</f>
        <v>3017 - Inputs RAB v RIN Direct + Overhead Check</v>
      </c>
      <c r="I308" s="175">
        <f ca="1">IF(ISERROR(SUM(J308:T308)),1,MIN(SUM(J308:T308),1))</f>
        <v>0</v>
      </c>
      <c r="J308" s="80">
        <f t="shared" ref="J308:T308" ca="1" si="35">J196-J255</f>
        <v>0</v>
      </c>
      <c r="K308" s="80">
        <f t="shared" ca="1" si="35"/>
        <v>0</v>
      </c>
      <c r="L308" s="80">
        <f t="shared" ca="1" si="35"/>
        <v>0</v>
      </c>
      <c r="M308" s="80">
        <f t="shared" ca="1" si="35"/>
        <v>0</v>
      </c>
      <c r="N308" s="80">
        <f t="shared" ca="1" si="35"/>
        <v>0</v>
      </c>
      <c r="O308" s="80">
        <f t="shared" ca="1" si="35"/>
        <v>0</v>
      </c>
      <c r="P308" s="80">
        <f t="shared" ca="1" si="35"/>
        <v>0</v>
      </c>
      <c r="Q308" s="80">
        <f t="shared" ca="1" si="35"/>
        <v>0</v>
      </c>
      <c r="R308" s="80">
        <f t="shared" ca="1" si="35"/>
        <v>0</v>
      </c>
      <c r="S308" s="80">
        <f t="shared" ca="1" si="35"/>
        <v>0</v>
      </c>
      <c r="T308" s="80">
        <f t="shared" ca="1" si="35"/>
        <v>0</v>
      </c>
    </row>
    <row r="309" spans="2:20" s="41" customFormat="1" outlineLevel="1">
      <c r="F309" s="52" t="str">
        <f>$B$23&amp;" RAB v Tax Direct + Overhead Check"</f>
        <v>3017 - Inputs RAB v Tax Direct + Overhead Check</v>
      </c>
      <c r="I309" s="175">
        <f ca="1">IF(ISERROR(SUM(J309:T309)),1,MIN(SUM(J309:T309),1))</f>
        <v>0</v>
      </c>
      <c r="J309" s="80">
        <f t="shared" ref="J309:T309" ca="1" si="36">J196-J298</f>
        <v>0</v>
      </c>
      <c r="K309" s="80">
        <f t="shared" ca="1" si="36"/>
        <v>0</v>
      </c>
      <c r="L309" s="80">
        <f t="shared" ca="1" si="36"/>
        <v>0</v>
      </c>
      <c r="M309" s="80">
        <f t="shared" ca="1" si="36"/>
        <v>0</v>
      </c>
      <c r="N309" s="80">
        <f t="shared" ca="1" si="36"/>
        <v>0</v>
      </c>
      <c r="O309" s="80">
        <f t="shared" ca="1" si="36"/>
        <v>0</v>
      </c>
      <c r="P309" s="80">
        <f t="shared" ca="1" si="36"/>
        <v>0</v>
      </c>
      <c r="Q309" s="80">
        <f t="shared" ca="1" si="36"/>
        <v>0</v>
      </c>
      <c r="R309" s="80">
        <f t="shared" ca="1" si="36"/>
        <v>0</v>
      </c>
      <c r="S309" s="80">
        <f t="shared" ca="1" si="36"/>
        <v>0</v>
      </c>
      <c r="T309" s="80">
        <f t="shared" ca="1" si="36"/>
        <v>0</v>
      </c>
    </row>
    <row r="310" spans="2:20" s="41" customFormat="1" ht="12" outlineLevel="1" thickBot="1">
      <c r="B310" s="104"/>
      <c r="C310" s="104"/>
      <c r="D310" s="104"/>
      <c r="E310" s="104"/>
      <c r="F310" s="104"/>
      <c r="G310" s="104"/>
      <c r="H310" s="104"/>
      <c r="I310" s="104"/>
      <c r="J310" s="104"/>
      <c r="K310" s="104"/>
      <c r="L310" s="104"/>
      <c r="M310" s="104"/>
      <c r="N310" s="104"/>
      <c r="O310" s="104"/>
      <c r="P310" s="104"/>
      <c r="Q310" s="104"/>
      <c r="R310" s="104"/>
      <c r="S310" s="104"/>
      <c r="T310" s="104"/>
    </row>
    <row r="312" spans="2:20" ht="14">
      <c r="B312" s="110" t="s">
        <v>260</v>
      </c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</row>
    <row r="313" spans="2:20" ht="5.9" customHeight="1"/>
    <row r="314" spans="2:20" ht="14">
      <c r="B314" s="56" t="str">
        <f>GC!F25</f>
        <v>Other Non-Demand</v>
      </c>
    </row>
    <row r="315" spans="2:20" ht="5.9" customHeight="1" outlineLevel="1"/>
    <row r="316" spans="2:20" hidden="1" outlineLevel="2">
      <c r="C316" s="37" t="s">
        <v>204</v>
      </c>
    </row>
    <row r="317" spans="2:20" ht="5.9" hidden="1" customHeight="1" outlineLevel="2"/>
    <row r="318" spans="2:20" hidden="1" outlineLevel="2">
      <c r="D318" s="51" t="s">
        <v>103</v>
      </c>
      <c r="J318" s="92">
        <f>Rates!J42</f>
        <v>1</v>
      </c>
      <c r="K318" s="92">
        <f>Rates!K42</f>
        <v>1</v>
      </c>
      <c r="L318" s="92">
        <f>Rates!L42</f>
        <v>1</v>
      </c>
      <c r="M318" s="92">
        <f>Rates!M42</f>
        <v>1</v>
      </c>
      <c r="N318" s="92">
        <f>Rates!N42</f>
        <v>1</v>
      </c>
      <c r="O318" s="92">
        <f>Rates!O42</f>
        <v>1.0051959235721353</v>
      </c>
      <c r="P318" s="92">
        <f>Rates!P42</f>
        <v>1.0102301741405761</v>
      </c>
      <c r="Q318" s="92">
        <f>Rates!Q42</f>
        <v>1.0181072873442809</v>
      </c>
      <c r="R318" s="92">
        <f>Rates!R42</f>
        <v>1.0293150686557422</v>
      </c>
      <c r="S318" s="92">
        <f>Rates!S42</f>
        <v>1.040646230246951</v>
      </c>
      <c r="T318" s="92">
        <f>Rates!T42</f>
        <v>1.0521021303433229</v>
      </c>
    </row>
    <row r="319" spans="2:20" hidden="1" outlineLevel="2">
      <c r="D319" s="51" t="s">
        <v>104</v>
      </c>
      <c r="J319" s="92">
        <f>Rates!J43</f>
        <v>1</v>
      </c>
      <c r="K319" s="92">
        <f>Rates!K43</f>
        <v>1</v>
      </c>
      <c r="L319" s="92">
        <f>Rates!L43</f>
        <v>1</v>
      </c>
      <c r="M319" s="92">
        <f>Rates!M43</f>
        <v>1</v>
      </c>
      <c r="N319" s="92">
        <f>Rates!N43</f>
        <v>1</v>
      </c>
      <c r="O319" s="92">
        <f>Rates!O43</f>
        <v>1</v>
      </c>
      <c r="P319" s="92">
        <f>Rates!P43</f>
        <v>1</v>
      </c>
      <c r="Q319" s="92">
        <f>Rates!Q43</f>
        <v>1</v>
      </c>
      <c r="R319" s="92">
        <f>Rates!R43</f>
        <v>1</v>
      </c>
      <c r="S319" s="92">
        <f>Rates!S43</f>
        <v>1</v>
      </c>
      <c r="T319" s="92">
        <f>Rates!T43</f>
        <v>1</v>
      </c>
    </row>
    <row r="320" spans="2:20" hidden="1" outlineLevel="2">
      <c r="D320" s="51" t="s">
        <v>130</v>
      </c>
      <c r="J320" s="92">
        <f>Rates!J45</f>
        <v>1</v>
      </c>
      <c r="K320" s="92">
        <f>Rates!K45</f>
        <v>1</v>
      </c>
      <c r="L320" s="92">
        <f>Rates!L45</f>
        <v>1</v>
      </c>
      <c r="M320" s="92">
        <f>Rates!M45</f>
        <v>1</v>
      </c>
      <c r="N320" s="92">
        <f>Rates!N45</f>
        <v>1</v>
      </c>
      <c r="O320" s="92">
        <f>Rates!O45</f>
        <v>1</v>
      </c>
      <c r="P320" s="92">
        <f>Rates!P45</f>
        <v>1</v>
      </c>
      <c r="Q320" s="92">
        <f>Rates!Q45</f>
        <v>1</v>
      </c>
      <c r="R320" s="92">
        <f>Rates!R45</f>
        <v>1</v>
      </c>
      <c r="S320" s="92">
        <f>Rates!S45</f>
        <v>1</v>
      </c>
      <c r="T320" s="92">
        <f>Rates!T45</f>
        <v>1</v>
      </c>
    </row>
    <row r="321" spans="3:20" ht="5.9" hidden="1" customHeight="1" outlineLevel="2"/>
    <row r="322" spans="3:20" hidden="1" outlineLevel="2">
      <c r="C322" s="37" t="s">
        <v>105</v>
      </c>
    </row>
    <row r="323" spans="3:20" ht="5.9" hidden="1" customHeight="1" outlineLevel="2"/>
    <row r="324" spans="3:20" hidden="1" outlineLevel="2">
      <c r="D324" s="51" t="s">
        <v>106</v>
      </c>
      <c r="J324" s="100">
        <f>Rates!J50</f>
        <v>6.9591273870889495E-2</v>
      </c>
      <c r="K324" s="100">
        <f>Rates!K50</f>
        <v>7.3934468928182201E-2</v>
      </c>
      <c r="L324" s="100">
        <f>Rates!L50</f>
        <v>7.5085976469407303E-2</v>
      </c>
      <c r="M324" s="100">
        <f>Rates!M50</f>
        <v>8.0103391005934096E-2</v>
      </c>
      <c r="N324" s="100">
        <f>Rates!N50</f>
        <v>3.7711007382937055E-2</v>
      </c>
      <c r="O324" s="100">
        <f>Rates!O50</f>
        <v>3.3283969054706777E-2</v>
      </c>
      <c r="P324" s="100">
        <f>Rates!P50</f>
        <v>2.6752660513445464E-2</v>
      </c>
      <c r="Q324" s="100">
        <f>Rates!Q50</f>
        <v>2.6060587348993774E-2</v>
      </c>
      <c r="R324" s="100">
        <f>Rates!R50</f>
        <v>2.6873005987587139E-2</v>
      </c>
      <c r="S324" s="100">
        <f>Rates!S50</f>
        <v>2.8546178928104012E-2</v>
      </c>
      <c r="T324" s="100">
        <f>Rates!T50</f>
        <v>2.9920378203686534E-2</v>
      </c>
    </row>
    <row r="325" spans="3:20" hidden="1" outlineLevel="2">
      <c r="D325" s="51" t="s">
        <v>107</v>
      </c>
      <c r="J325" s="100">
        <f>Rates!J51</f>
        <v>5.5842732834613398E-2</v>
      </c>
      <c r="K325" s="100">
        <f>Rates!K51</f>
        <v>5.16564294790849E-2</v>
      </c>
      <c r="L325" s="100">
        <f>Rates!L51</f>
        <v>6.0535031919173997E-2</v>
      </c>
      <c r="M325" s="100">
        <f>Rates!M51</f>
        <v>7.1630695797579302E-2</v>
      </c>
      <c r="N325" s="100">
        <f>Rates!N51</f>
        <v>7.4343858126268231E-2</v>
      </c>
      <c r="O325" s="100">
        <f>Rates!O51</f>
        <v>7.4059082290758096E-2</v>
      </c>
      <c r="P325" s="100">
        <f>Rates!P51</f>
        <v>2.4388539961794877E-2</v>
      </c>
      <c r="Q325" s="100">
        <f>Rates!Q51</f>
        <v>2.1171310758207256E-2</v>
      </c>
      <c r="R325" s="100">
        <f>Rates!R51</f>
        <v>2.0024144075344485E-2</v>
      </c>
      <c r="S325" s="100">
        <f>Rates!S51</f>
        <v>3.9620009613577346E-2</v>
      </c>
      <c r="T325" s="100">
        <f>Rates!T51</f>
        <v>5.404914337922874E-2</v>
      </c>
    </row>
    <row r="326" spans="3:20" hidden="1" outlineLevel="2">
      <c r="D326" s="51" t="s">
        <v>108</v>
      </c>
      <c r="J326" s="100">
        <f>Rates!J52</f>
        <v>0</v>
      </c>
      <c r="K326" s="100">
        <f>Rates!K52</f>
        <v>0</v>
      </c>
      <c r="L326" s="100">
        <f>Rates!L52</f>
        <v>0</v>
      </c>
      <c r="M326" s="100">
        <f>Rates!M52</f>
        <v>0</v>
      </c>
      <c r="N326" s="100">
        <f>Rates!N52</f>
        <v>0</v>
      </c>
      <c r="O326" s="100">
        <f>Rates!O52</f>
        <v>0</v>
      </c>
      <c r="P326" s="100">
        <f>Rates!P52</f>
        <v>0</v>
      </c>
      <c r="Q326" s="100">
        <f>Rates!Q52</f>
        <v>0</v>
      </c>
      <c r="R326" s="100">
        <f>Rates!R52</f>
        <v>0</v>
      </c>
      <c r="S326" s="100">
        <f>Rates!S52</f>
        <v>0</v>
      </c>
      <c r="T326" s="100">
        <f>Rates!T52</f>
        <v>0</v>
      </c>
    </row>
    <row r="327" spans="3:20" outlineLevel="1" collapsed="1"/>
    <row r="328" spans="3:20" ht="5.9" customHeight="1" outlineLevel="1"/>
    <row r="329" spans="3:20" outlineLevel="1">
      <c r="C329" s="37" t="s">
        <v>118</v>
      </c>
    </row>
    <row r="330" spans="3:20" ht="5.9" customHeight="1" outlineLevel="1"/>
    <row r="331" spans="3:20" outlineLevel="1">
      <c r="D331" s="37" t="s">
        <v>160</v>
      </c>
      <c r="H331" s="107" t="s">
        <v>192</v>
      </c>
    </row>
    <row r="332" spans="3:20" ht="5.9" customHeight="1" outlineLevel="1"/>
    <row r="333" spans="3:20" outlineLevel="1">
      <c r="D333" s="102" t="str">
        <f>Work_Codes!D339</f>
        <v>City Gate Site Relocation</v>
      </c>
      <c r="H333" s="63"/>
      <c r="J333" s="125"/>
      <c r="K333" s="125"/>
      <c r="L333" s="125"/>
      <c r="M333" s="125"/>
      <c r="N333" s="212"/>
      <c r="O333" s="212"/>
      <c r="P333" s="212"/>
      <c r="Q333" s="217"/>
      <c r="R333" s="217"/>
      <c r="S333" s="217"/>
      <c r="T333" s="217"/>
    </row>
    <row r="334" spans="3:20" outlineLevel="1">
      <c r="D334" s="102" t="str">
        <f>Work_Codes!D340</f>
        <v>Transmission Pipelines - Integrity Programs</v>
      </c>
      <c r="H334" s="63"/>
      <c r="J334" s="125"/>
      <c r="K334" s="125"/>
      <c r="L334" s="125"/>
      <c r="M334" s="125"/>
      <c r="N334" s="212"/>
      <c r="O334" s="212"/>
      <c r="P334" s="211"/>
      <c r="Q334" s="211"/>
      <c r="R334" s="211"/>
      <c r="S334" s="211"/>
      <c r="T334" s="211"/>
    </row>
    <row r="335" spans="3:20" outlineLevel="1">
      <c r="D335" s="102" t="str">
        <f>Work_Codes!D341</f>
        <v>New Heaters</v>
      </c>
      <c r="H335" s="63"/>
      <c r="J335" s="125"/>
      <c r="K335" s="125"/>
      <c r="L335" s="125"/>
      <c r="M335" s="125"/>
      <c r="N335" s="212"/>
      <c r="O335" s="212"/>
      <c r="P335" s="212"/>
      <c r="Q335" s="212"/>
      <c r="R335" s="212"/>
      <c r="S335" s="212"/>
      <c r="T335" s="212"/>
    </row>
    <row r="336" spans="3:20" outlineLevel="1">
      <c r="D336" s="102" t="str">
        <f>Work_Codes!D342</f>
        <v>Portable City Gate/heater</v>
      </c>
      <c r="H336" s="63"/>
      <c r="J336" s="125"/>
      <c r="K336" s="125"/>
      <c r="L336" s="125"/>
      <c r="M336" s="125"/>
      <c r="N336" s="212"/>
      <c r="O336" s="212"/>
      <c r="P336" s="212"/>
      <c r="Q336" s="212"/>
      <c r="R336" s="212"/>
      <c r="S336" s="212"/>
      <c r="T336" s="212"/>
    </row>
    <row r="337" spans="3:20" outlineLevel="1">
      <c r="D337" s="102" t="str">
        <f>Work_Codes!D343</f>
        <v>Other Works</v>
      </c>
      <c r="H337" s="63"/>
      <c r="J337" s="125"/>
      <c r="K337" s="125"/>
      <c r="L337" s="125"/>
      <c r="M337" s="125"/>
      <c r="N337" s="212"/>
      <c r="O337" s="212"/>
      <c r="P337" s="212"/>
      <c r="Q337" s="212"/>
      <c r="R337" s="212"/>
      <c r="S337" s="212"/>
      <c r="T337" s="212"/>
    </row>
    <row r="338" spans="3:20" outlineLevel="1">
      <c r="D338" s="102" t="str">
        <f>Work_Codes!D344</f>
        <v>Capex Items Category 6</v>
      </c>
      <c r="H338" s="63"/>
      <c r="J338" s="125"/>
      <c r="K338" s="125"/>
      <c r="L338" s="125"/>
      <c r="M338" s="125"/>
      <c r="N338" s="212"/>
      <c r="O338" s="212"/>
      <c r="P338" s="212"/>
      <c r="Q338" s="212"/>
      <c r="R338" s="212"/>
      <c r="S338" s="212"/>
      <c r="T338" s="212"/>
    </row>
    <row r="339" spans="3:20" outlineLevel="1">
      <c r="D339" s="105"/>
      <c r="H339" s="58"/>
      <c r="J339" s="66"/>
      <c r="K339" s="66"/>
      <c r="L339" s="66"/>
      <c r="M339" s="66"/>
      <c r="N339" s="66"/>
      <c r="O339" s="66"/>
      <c r="P339" s="66"/>
      <c r="Q339" s="66"/>
      <c r="R339" s="66"/>
      <c r="S339" s="66"/>
      <c r="T339" s="66"/>
    </row>
    <row r="340" spans="3:20" outlineLevel="1">
      <c r="C340" s="37" t="s">
        <v>119</v>
      </c>
    </row>
    <row r="341" spans="3:20" ht="5.9" customHeight="1" outlineLevel="1"/>
    <row r="342" spans="3:20" outlineLevel="1">
      <c r="D342" s="37" t="str">
        <f>D331</f>
        <v>Capex Category</v>
      </c>
    </row>
    <row r="343" spans="3:20" ht="5.9" customHeight="1" outlineLevel="1"/>
    <row r="344" spans="3:20" outlineLevel="1">
      <c r="D344" s="102" t="str">
        <f>Work_Codes!D339</f>
        <v>City Gate Site Relocation</v>
      </c>
      <c r="J344" s="163"/>
      <c r="K344" s="163"/>
      <c r="L344" s="163"/>
      <c r="M344" s="163"/>
      <c r="N344" s="213"/>
      <c r="O344" s="213"/>
      <c r="P344" s="213"/>
      <c r="Q344" s="213"/>
      <c r="R344" s="213"/>
      <c r="S344" s="213"/>
      <c r="T344" s="213"/>
    </row>
    <row r="345" spans="3:20" outlineLevel="1">
      <c r="D345" s="102" t="str">
        <f>Work_Codes!D340</f>
        <v>Transmission Pipelines - Integrity Programs</v>
      </c>
      <c r="J345" s="163"/>
      <c r="K345" s="163"/>
      <c r="L345" s="163"/>
      <c r="M345" s="163"/>
      <c r="N345" s="213"/>
      <c r="O345" s="213"/>
      <c r="P345" s="213"/>
      <c r="Q345" s="213"/>
      <c r="R345" s="213"/>
      <c r="S345" s="213"/>
      <c r="T345" s="213"/>
    </row>
    <row r="346" spans="3:20" outlineLevel="1">
      <c r="D346" s="102" t="str">
        <f>Work_Codes!D341</f>
        <v>New Heaters</v>
      </c>
      <c r="J346" s="163"/>
      <c r="K346" s="163"/>
      <c r="L346" s="163"/>
      <c r="M346" s="163"/>
      <c r="N346" s="213"/>
      <c r="O346" s="213"/>
      <c r="P346" s="213"/>
      <c r="Q346" s="213"/>
      <c r="R346" s="213"/>
      <c r="S346" s="213"/>
      <c r="T346" s="213"/>
    </row>
    <row r="347" spans="3:20" outlineLevel="1">
      <c r="D347" s="102" t="str">
        <f>Work_Codes!D342</f>
        <v>Portable City Gate/heater</v>
      </c>
      <c r="J347" s="163"/>
      <c r="K347" s="163"/>
      <c r="L347" s="163"/>
      <c r="M347" s="163"/>
      <c r="N347" s="213"/>
      <c r="O347" s="213"/>
      <c r="P347" s="213"/>
      <c r="Q347" s="213"/>
      <c r="R347" s="213"/>
      <c r="S347" s="213"/>
      <c r="T347" s="213"/>
    </row>
    <row r="348" spans="3:20" outlineLevel="1">
      <c r="D348" s="102" t="str">
        <f>Work_Codes!D343</f>
        <v>Other Works</v>
      </c>
      <c r="J348" s="163"/>
      <c r="K348" s="163"/>
      <c r="L348" s="163"/>
      <c r="M348" s="163"/>
      <c r="N348" s="213"/>
      <c r="O348" s="213"/>
      <c r="P348" s="213"/>
      <c r="Q348" s="213"/>
      <c r="R348" s="213"/>
      <c r="S348" s="213"/>
      <c r="T348" s="213"/>
    </row>
    <row r="349" spans="3:20" outlineLevel="1">
      <c r="D349" s="102" t="str">
        <f>Work_Codes!D344</f>
        <v>Capex Items Category 6</v>
      </c>
      <c r="J349" s="163"/>
      <c r="K349" s="163"/>
      <c r="L349" s="163"/>
      <c r="M349" s="163"/>
      <c r="N349" s="213"/>
      <c r="O349" s="213"/>
      <c r="P349" s="213"/>
      <c r="Q349" s="213"/>
      <c r="R349" s="213"/>
      <c r="S349" s="213"/>
      <c r="T349" s="213"/>
    </row>
    <row r="350" spans="3:20" outlineLevel="1"/>
    <row r="351" spans="3:20" outlineLevel="1">
      <c r="C351" s="37" t="s">
        <v>193</v>
      </c>
    </row>
    <row r="352" spans="3:20" ht="5.9" customHeight="1" outlineLevel="1"/>
    <row r="353" spans="3:20" outlineLevel="1">
      <c r="D353" s="37" t="str">
        <f>D331</f>
        <v>Capex Category</v>
      </c>
    </row>
    <row r="354" spans="3:20" ht="5.9" customHeight="1" outlineLevel="1"/>
    <row r="355" spans="3:20" outlineLevel="1">
      <c r="D355" s="102" t="str">
        <f>Work_Codes!D339</f>
        <v>City Gate Site Relocation</v>
      </c>
      <c r="J355" s="81">
        <v>0</v>
      </c>
      <c r="K355" s="81">
        <v>0</v>
      </c>
      <c r="L355" s="81">
        <v>0</v>
      </c>
      <c r="M355" s="81">
        <v>0</v>
      </c>
      <c r="N355" s="81">
        <v>0</v>
      </c>
      <c r="O355" s="81">
        <v>0</v>
      </c>
      <c r="P355" s="81">
        <v>0</v>
      </c>
      <c r="Q355" s="81">
        <v>0</v>
      </c>
      <c r="R355" s="81">
        <v>0</v>
      </c>
      <c r="S355" s="81">
        <v>0</v>
      </c>
      <c r="T355" s="81">
        <v>0</v>
      </c>
    </row>
    <row r="356" spans="3:20" outlineLevel="1">
      <c r="D356" s="102" t="str">
        <f>Work_Codes!D340</f>
        <v>Transmission Pipelines - Integrity Programs</v>
      </c>
      <c r="J356" s="81">
        <v>0</v>
      </c>
      <c r="K356" s="81">
        <v>0</v>
      </c>
      <c r="L356" s="81">
        <v>0</v>
      </c>
      <c r="M356" s="81">
        <v>0</v>
      </c>
      <c r="N356" s="81">
        <v>0</v>
      </c>
      <c r="O356" s="81">
        <v>0</v>
      </c>
      <c r="P356" s="81">
        <v>544100</v>
      </c>
      <c r="Q356" s="81">
        <v>1679305</v>
      </c>
      <c r="R356" s="81">
        <v>2545400</v>
      </c>
      <c r="S356" s="81">
        <v>715432</v>
      </c>
      <c r="T356" s="81">
        <v>120</v>
      </c>
    </row>
    <row r="357" spans="3:20" outlineLevel="1">
      <c r="D357" s="102" t="str">
        <f>Work_Codes!D341</f>
        <v>New Heaters</v>
      </c>
      <c r="J357" s="81">
        <v>0</v>
      </c>
      <c r="K357" s="81">
        <v>0</v>
      </c>
      <c r="L357" s="81">
        <v>0</v>
      </c>
      <c r="M357" s="81">
        <v>0</v>
      </c>
      <c r="N357" s="81">
        <v>0</v>
      </c>
      <c r="O357" s="81">
        <v>0</v>
      </c>
      <c r="P357" s="81">
        <v>0</v>
      </c>
      <c r="Q357" s="81">
        <v>0</v>
      </c>
      <c r="R357" s="81">
        <v>0</v>
      </c>
      <c r="S357" s="81">
        <v>0</v>
      </c>
      <c r="T357" s="81">
        <v>0</v>
      </c>
    </row>
    <row r="358" spans="3:20" outlineLevel="1">
      <c r="D358" s="102" t="str">
        <f>Work_Codes!D342</f>
        <v>Portable City Gate/heater</v>
      </c>
      <c r="J358" s="81">
        <v>0</v>
      </c>
      <c r="K358" s="81">
        <v>0</v>
      </c>
      <c r="L358" s="81">
        <v>0</v>
      </c>
      <c r="M358" s="81">
        <v>0</v>
      </c>
      <c r="N358" s="81">
        <v>0</v>
      </c>
      <c r="O358" s="81">
        <v>0</v>
      </c>
      <c r="P358" s="81">
        <v>0</v>
      </c>
      <c r="Q358" s="81">
        <v>0</v>
      </c>
      <c r="R358" s="81">
        <v>0</v>
      </c>
      <c r="S358" s="81">
        <v>0</v>
      </c>
      <c r="T358" s="81">
        <v>0</v>
      </c>
    </row>
    <row r="359" spans="3:20" outlineLevel="1">
      <c r="D359" s="102" t="str">
        <f>Work_Codes!D343</f>
        <v>Other Works</v>
      </c>
      <c r="J359" s="81">
        <v>0</v>
      </c>
      <c r="K359" s="81">
        <v>0</v>
      </c>
      <c r="L359" s="81">
        <v>0</v>
      </c>
      <c r="M359" s="81">
        <v>0</v>
      </c>
      <c r="N359" s="81">
        <v>0</v>
      </c>
      <c r="O359" s="81">
        <v>0</v>
      </c>
      <c r="P359" s="81">
        <v>0</v>
      </c>
      <c r="Q359" s="81">
        <v>0</v>
      </c>
      <c r="R359" s="81">
        <v>0</v>
      </c>
      <c r="S359" s="81">
        <v>0</v>
      </c>
      <c r="T359" s="81">
        <v>0</v>
      </c>
    </row>
    <row r="360" spans="3:20" outlineLevel="1">
      <c r="D360" s="102" t="str">
        <f>Work_Codes!D344</f>
        <v>Capex Items Category 6</v>
      </c>
      <c r="J360" s="81">
        <v>0</v>
      </c>
      <c r="K360" s="81">
        <v>0</v>
      </c>
      <c r="L360" s="81">
        <v>0</v>
      </c>
      <c r="M360" s="81">
        <v>0</v>
      </c>
      <c r="N360" s="81">
        <v>0</v>
      </c>
      <c r="O360" s="81">
        <v>0</v>
      </c>
      <c r="P360" s="81">
        <v>0</v>
      </c>
      <c r="Q360" s="81">
        <v>0</v>
      </c>
      <c r="R360" s="81">
        <v>0</v>
      </c>
      <c r="S360" s="81">
        <v>0</v>
      </c>
      <c r="T360" s="81">
        <v>0</v>
      </c>
    </row>
    <row r="361" spans="3:20" ht="5.9" customHeight="1" outlineLevel="1">
      <c r="D361" s="37"/>
      <c r="J361" s="78"/>
      <c r="K361" s="78"/>
      <c r="L361" s="78"/>
      <c r="M361" s="78"/>
      <c r="N361" s="78"/>
      <c r="O361" s="78"/>
      <c r="P361" s="78"/>
      <c r="Q361" s="78"/>
      <c r="R361" s="78"/>
      <c r="S361" s="78"/>
      <c r="T361" s="78"/>
    </row>
    <row r="362" spans="3:20" outlineLevel="1">
      <c r="D362" s="249" t="str">
        <f>"Total "&amp;B314</f>
        <v>Total Other Non-Demand</v>
      </c>
      <c r="E362" s="249"/>
      <c r="F362" s="249"/>
      <c r="G362" s="249"/>
      <c r="H362" s="249"/>
      <c r="I362" s="249"/>
      <c r="J362" s="82">
        <f t="shared" ref="J362:T362" si="37">SUM(J355:J361)</f>
        <v>0</v>
      </c>
      <c r="K362" s="82">
        <f t="shared" si="37"/>
        <v>0</v>
      </c>
      <c r="L362" s="82">
        <f t="shared" si="37"/>
        <v>0</v>
      </c>
      <c r="M362" s="82">
        <f t="shared" si="37"/>
        <v>0</v>
      </c>
      <c r="N362" s="82">
        <f t="shared" si="37"/>
        <v>0</v>
      </c>
      <c r="O362" s="82">
        <f t="shared" si="37"/>
        <v>0</v>
      </c>
      <c r="P362" s="82">
        <f t="shared" si="37"/>
        <v>544100</v>
      </c>
      <c r="Q362" s="82">
        <f t="shared" si="37"/>
        <v>1679305</v>
      </c>
      <c r="R362" s="82">
        <f t="shared" si="37"/>
        <v>2545400</v>
      </c>
      <c r="S362" s="82">
        <f t="shared" si="37"/>
        <v>715432</v>
      </c>
      <c r="T362" s="82">
        <f t="shared" si="37"/>
        <v>120</v>
      </c>
    </row>
    <row r="363" spans="3:20" outlineLevel="1"/>
    <row r="364" spans="3:20" outlineLevel="1">
      <c r="C364" s="37" t="s">
        <v>286</v>
      </c>
    </row>
    <row r="365" spans="3:20" ht="5.9" customHeight="1" outlineLevel="1"/>
    <row r="366" spans="3:20" outlineLevel="1">
      <c r="D366" s="143" t="str">
        <f>Work_Codes!D348</f>
        <v>Customer Contributions Category 1</v>
      </c>
      <c r="J366" s="148">
        <v>0</v>
      </c>
      <c r="K366" s="148">
        <v>0</v>
      </c>
      <c r="L366" s="148">
        <v>0</v>
      </c>
      <c r="M366" s="148">
        <v>0</v>
      </c>
      <c r="N366" s="148">
        <v>0</v>
      </c>
      <c r="O366" s="148">
        <v>0</v>
      </c>
      <c r="P366" s="148">
        <v>0</v>
      </c>
      <c r="Q366" s="148">
        <v>0</v>
      </c>
      <c r="R366" s="148">
        <v>0</v>
      </c>
      <c r="S366" s="148">
        <v>0</v>
      </c>
      <c r="T366" s="148">
        <v>0</v>
      </c>
    </row>
    <row r="367" spans="3:20" ht="5.9" customHeight="1" outlineLevel="1"/>
    <row r="368" spans="3:20" outlineLevel="1">
      <c r="D368" s="249" t="str">
        <f>"Total "&amp;C364</f>
        <v>Total Customer Connections</v>
      </c>
      <c r="E368" s="249"/>
      <c r="F368" s="249"/>
      <c r="G368" s="249"/>
      <c r="H368" s="249"/>
      <c r="I368" s="249"/>
      <c r="J368" s="82">
        <f t="shared" ref="J368:T368" si="38">SUM(J366:J367)</f>
        <v>0</v>
      </c>
      <c r="K368" s="82">
        <f t="shared" si="38"/>
        <v>0</v>
      </c>
      <c r="L368" s="82">
        <f t="shared" si="38"/>
        <v>0</v>
      </c>
      <c r="M368" s="82">
        <f t="shared" si="38"/>
        <v>0</v>
      </c>
      <c r="N368" s="82">
        <f t="shared" si="38"/>
        <v>0</v>
      </c>
      <c r="O368" s="82">
        <f t="shared" si="38"/>
        <v>0</v>
      </c>
      <c r="P368" s="82">
        <f t="shared" si="38"/>
        <v>0</v>
      </c>
      <c r="Q368" s="82">
        <f t="shared" si="38"/>
        <v>0</v>
      </c>
      <c r="R368" s="82">
        <f t="shared" si="38"/>
        <v>0</v>
      </c>
      <c r="S368" s="82">
        <f t="shared" si="38"/>
        <v>0</v>
      </c>
      <c r="T368" s="82">
        <f t="shared" si="38"/>
        <v>0</v>
      </c>
    </row>
    <row r="369" spans="3:20" outlineLevel="1">
      <c r="C369" s="12"/>
      <c r="D369" s="12"/>
      <c r="E369" s="12"/>
      <c r="F369" s="12"/>
      <c r="G369" s="12"/>
      <c r="H369" s="12"/>
      <c r="I369" s="12"/>
      <c r="J369" s="12"/>
      <c r="K369" s="12"/>
      <c r="L369" s="12"/>
      <c r="M369" s="12"/>
      <c r="N369" s="12"/>
      <c r="O369" s="12"/>
      <c r="P369" s="12"/>
      <c r="Q369" s="12"/>
      <c r="R369" s="12"/>
      <c r="S369" s="12"/>
      <c r="T369" s="12"/>
    </row>
    <row r="370" spans="3:20" outlineLevel="1"/>
    <row r="371" spans="3:20" outlineLevel="1">
      <c r="C371" s="37" t="s">
        <v>213</v>
      </c>
    </row>
    <row r="372" spans="3:20" ht="5.9" hidden="1" customHeight="1" outlineLevel="2"/>
    <row r="373" spans="3:20" hidden="1" outlineLevel="2">
      <c r="C373" s="37" t="s">
        <v>128</v>
      </c>
    </row>
    <row r="374" spans="3:20" ht="5.9" hidden="1" customHeight="1" outlineLevel="2"/>
    <row r="375" spans="3:20" hidden="1" outlineLevel="2">
      <c r="D375" s="102" t="str">
        <f>Work_Codes!D339</f>
        <v>City Gate Site Relocation</v>
      </c>
      <c r="J375" s="81">
        <f>Work_Codes!$I339*J355*J$318</f>
        <v>0</v>
      </c>
      <c r="K375" s="81">
        <f>Work_Codes!$I339*K355*K$318</f>
        <v>0</v>
      </c>
      <c r="L375" s="81">
        <f>Work_Codes!$I339*L355*L$318</f>
        <v>0</v>
      </c>
      <c r="M375" s="81">
        <f>Work_Codes!$I339*M355*M$318</f>
        <v>0</v>
      </c>
      <c r="N375" s="81">
        <f>Work_Codes!$I339*N355*N$318</f>
        <v>0</v>
      </c>
      <c r="O375" s="81">
        <f>Work_Codes!$I339*O355*O$318</f>
        <v>0</v>
      </c>
      <c r="P375" s="81">
        <f>Work_Codes!$I339*P355*P$318</f>
        <v>0</v>
      </c>
      <c r="Q375" s="81">
        <f>Work_Codes!$I339*Q355*Q$318</f>
        <v>0</v>
      </c>
      <c r="R375" s="81">
        <f>Work_Codes!$I339*R355*R$318</f>
        <v>0</v>
      </c>
      <c r="S375" s="81">
        <f>Work_Codes!$I339*S355*S$318</f>
        <v>0</v>
      </c>
      <c r="T375" s="81">
        <f>Work_Codes!$I339*T355*T$318</f>
        <v>0</v>
      </c>
    </row>
    <row r="376" spans="3:20" hidden="1" outlineLevel="2">
      <c r="D376" s="102" t="str">
        <f>Work_Codes!D340</f>
        <v>Transmission Pipelines - Integrity Programs</v>
      </c>
      <c r="J376" s="81">
        <f>Work_Codes!$I340*J356*J$318</f>
        <v>0</v>
      </c>
      <c r="K376" s="81">
        <f>Work_Codes!$I340*K356*K$318</f>
        <v>0</v>
      </c>
      <c r="L376" s="81">
        <f>Work_Codes!$I340*L356*L$318</f>
        <v>0</v>
      </c>
      <c r="M376" s="81">
        <f>Work_Codes!$I340*M356*M$318</f>
        <v>0</v>
      </c>
      <c r="N376" s="81">
        <f>Work_Codes!$I340*N356*N$318</f>
        <v>0</v>
      </c>
      <c r="O376" s="81">
        <f>Work_Codes!$I340*O356*O$318</f>
        <v>0</v>
      </c>
      <c r="P376" s="81">
        <f>Work_Codes!$I340*P356*P$318</f>
        <v>21986.649509995499</v>
      </c>
      <c r="Q376" s="81">
        <f>Work_Codes!$I340*Q356*Q$318</f>
        <v>68388.506326947507</v>
      </c>
      <c r="R376" s="81">
        <f>Work_Codes!$I340*R356*R$318</f>
        <v>104800.74303025304</v>
      </c>
      <c r="S376" s="81">
        <f>Work_Codes!$I340*S356*S$318</f>
        <v>29780.464551921465</v>
      </c>
      <c r="T376" s="81">
        <f>Work_Codes!$I340*T356*T$318</f>
        <v>5.0500902256479501</v>
      </c>
    </row>
    <row r="377" spans="3:20" hidden="1" outlineLevel="2">
      <c r="D377" s="102" t="str">
        <f>Work_Codes!D341</f>
        <v>New Heaters</v>
      </c>
      <c r="J377" s="81">
        <f>Work_Codes!$I341*J357*J$318</f>
        <v>0</v>
      </c>
      <c r="K377" s="81">
        <f>Work_Codes!$I341*K357*K$318</f>
        <v>0</v>
      </c>
      <c r="L377" s="81">
        <f>Work_Codes!$I341*L357*L$318</f>
        <v>0</v>
      </c>
      <c r="M377" s="81">
        <f>Work_Codes!$I341*M357*M$318</f>
        <v>0</v>
      </c>
      <c r="N377" s="81">
        <f>Work_Codes!$I341*N357*N$318</f>
        <v>0</v>
      </c>
      <c r="O377" s="81">
        <f>Work_Codes!$I341*O357*O$318</f>
        <v>0</v>
      </c>
      <c r="P377" s="81">
        <f>Work_Codes!$I341*P357*P$318</f>
        <v>0</v>
      </c>
      <c r="Q377" s="81">
        <f>Work_Codes!$I341*Q357*Q$318</f>
        <v>0</v>
      </c>
      <c r="R377" s="81">
        <f>Work_Codes!$I341*R357*R$318</f>
        <v>0</v>
      </c>
      <c r="S377" s="81">
        <f>Work_Codes!$I341*S357*S$318</f>
        <v>0</v>
      </c>
      <c r="T377" s="81">
        <f>Work_Codes!$I341*T357*T$318</f>
        <v>0</v>
      </c>
    </row>
    <row r="378" spans="3:20" hidden="1" outlineLevel="2">
      <c r="D378" s="102" t="str">
        <f>Work_Codes!D342</f>
        <v>Portable City Gate/heater</v>
      </c>
      <c r="J378" s="81">
        <f>Work_Codes!$I342*J358*J$318</f>
        <v>0</v>
      </c>
      <c r="K378" s="81">
        <f>Work_Codes!$I342*K358*K$318</f>
        <v>0</v>
      </c>
      <c r="L378" s="81">
        <f>Work_Codes!$I342*L358*L$318</f>
        <v>0</v>
      </c>
      <c r="M378" s="81">
        <f>Work_Codes!$I342*M358*M$318</f>
        <v>0</v>
      </c>
      <c r="N378" s="81">
        <f>Work_Codes!$I342*N358*N$318</f>
        <v>0</v>
      </c>
      <c r="O378" s="81">
        <f>Work_Codes!$I342*O358*O$318</f>
        <v>0</v>
      </c>
      <c r="P378" s="81">
        <f>Work_Codes!$I342*P358*P$318</f>
        <v>0</v>
      </c>
      <c r="Q378" s="81">
        <f>Work_Codes!$I342*Q358*Q$318</f>
        <v>0</v>
      </c>
      <c r="R378" s="81">
        <f>Work_Codes!$I342*R358*R$318</f>
        <v>0</v>
      </c>
      <c r="S378" s="81">
        <f>Work_Codes!$I342*S358*S$318</f>
        <v>0</v>
      </c>
      <c r="T378" s="81">
        <f>Work_Codes!$I342*T358*T$318</f>
        <v>0</v>
      </c>
    </row>
    <row r="379" spans="3:20" hidden="1" outlineLevel="2">
      <c r="D379" s="102" t="str">
        <f>Work_Codes!D343</f>
        <v>Other Works</v>
      </c>
      <c r="J379" s="81">
        <f>Work_Codes!$I343*J359*J$318</f>
        <v>0</v>
      </c>
      <c r="K379" s="81">
        <f>Work_Codes!$I343*K359*K$318</f>
        <v>0</v>
      </c>
      <c r="L379" s="81">
        <f>Work_Codes!$I343*L359*L$318</f>
        <v>0</v>
      </c>
      <c r="M379" s="81">
        <f>Work_Codes!$I343*M359*M$318</f>
        <v>0</v>
      </c>
      <c r="N379" s="81">
        <f>Work_Codes!$I343*N359*N$318</f>
        <v>0</v>
      </c>
      <c r="O379" s="81">
        <f>Work_Codes!$I343*O359*O$318</f>
        <v>0</v>
      </c>
      <c r="P379" s="81">
        <f>Work_Codes!$I343*P359*P$318</f>
        <v>0</v>
      </c>
      <c r="Q379" s="81">
        <f>Work_Codes!$I343*Q359*Q$318</f>
        <v>0</v>
      </c>
      <c r="R379" s="81">
        <f>Work_Codes!$I343*R359*R$318</f>
        <v>0</v>
      </c>
      <c r="S379" s="81">
        <f>Work_Codes!$I343*S359*S$318</f>
        <v>0</v>
      </c>
      <c r="T379" s="81">
        <f>Work_Codes!$I343*T359*T$318</f>
        <v>0</v>
      </c>
    </row>
    <row r="380" spans="3:20" hidden="1" outlineLevel="2">
      <c r="D380" s="102" t="str">
        <f>Work_Codes!D344</f>
        <v>Capex Items Category 6</v>
      </c>
      <c r="J380" s="81">
        <f>Work_Codes!$I344*J360*J$318</f>
        <v>0</v>
      </c>
      <c r="K380" s="81">
        <f>Work_Codes!$I344*K360*K$318</f>
        <v>0</v>
      </c>
      <c r="L380" s="81">
        <f>Work_Codes!$I344*L360*L$318</f>
        <v>0</v>
      </c>
      <c r="M380" s="81">
        <f>Work_Codes!$I344*M360*M$318</f>
        <v>0</v>
      </c>
      <c r="N380" s="81">
        <f>Work_Codes!$I344*N360*N$318</f>
        <v>0</v>
      </c>
      <c r="O380" s="81">
        <f>Work_Codes!$I344*O360*O$318</f>
        <v>0</v>
      </c>
      <c r="P380" s="81">
        <f>Work_Codes!$I344*P360*P$318</f>
        <v>0</v>
      </c>
      <c r="Q380" s="81">
        <f>Work_Codes!$I344*Q360*Q$318</f>
        <v>0</v>
      </c>
      <c r="R380" s="81">
        <f>Work_Codes!$I344*R360*R$318</f>
        <v>0</v>
      </c>
      <c r="S380" s="81">
        <f>Work_Codes!$I344*S360*S$318</f>
        <v>0</v>
      </c>
      <c r="T380" s="81">
        <f>Work_Codes!$I344*T360*T$318</f>
        <v>0</v>
      </c>
    </row>
    <row r="381" spans="3:20" ht="5.9" hidden="1" customHeight="1" outlineLevel="2"/>
    <row r="382" spans="3:20" hidden="1" outlineLevel="2">
      <c r="D382" s="249" t="str">
        <f>"Total "&amp;C373</f>
        <v>Total Internal Labour</v>
      </c>
      <c r="E382" s="249"/>
      <c r="F382" s="249"/>
      <c r="G382" s="249"/>
      <c r="H382" s="249"/>
      <c r="I382" s="249"/>
      <c r="J382" s="82">
        <f t="shared" ref="J382:T382" si="39">SUM(J375:J381)</f>
        <v>0</v>
      </c>
      <c r="K382" s="82">
        <f t="shared" si="39"/>
        <v>0</v>
      </c>
      <c r="L382" s="82">
        <f t="shared" si="39"/>
        <v>0</v>
      </c>
      <c r="M382" s="82">
        <f t="shared" si="39"/>
        <v>0</v>
      </c>
      <c r="N382" s="82">
        <f t="shared" si="39"/>
        <v>0</v>
      </c>
      <c r="O382" s="82">
        <f t="shared" si="39"/>
        <v>0</v>
      </c>
      <c r="P382" s="82">
        <f t="shared" si="39"/>
        <v>21986.649509995499</v>
      </c>
      <c r="Q382" s="82">
        <f t="shared" si="39"/>
        <v>68388.506326947507</v>
      </c>
      <c r="R382" s="82">
        <f t="shared" si="39"/>
        <v>104800.74303025304</v>
      </c>
      <c r="S382" s="82">
        <f t="shared" si="39"/>
        <v>29780.464551921465</v>
      </c>
      <c r="T382" s="82">
        <f t="shared" si="39"/>
        <v>5.0500902256479501</v>
      </c>
    </row>
    <row r="383" spans="3:20" hidden="1" outlineLevel="2"/>
    <row r="384" spans="3:20" hidden="1" outlineLevel="2">
      <c r="C384" s="37" t="s">
        <v>129</v>
      </c>
    </row>
    <row r="385" spans="3:20" ht="5.9" hidden="1" customHeight="1" outlineLevel="2"/>
    <row r="386" spans="3:20" hidden="1" outlineLevel="2">
      <c r="D386" s="102" t="str">
        <f>Work_Codes!D339</f>
        <v>City Gate Site Relocation</v>
      </c>
      <c r="J386" s="81">
        <f>Work_Codes!$J339*J355*J$319</f>
        <v>0</v>
      </c>
      <c r="K386" s="81">
        <f>Work_Codes!$J339*K355*K$319</f>
        <v>0</v>
      </c>
      <c r="L386" s="81">
        <f>Work_Codes!$J339*L355*L$319</f>
        <v>0</v>
      </c>
      <c r="M386" s="81">
        <f>Work_Codes!$J339*M355*M$319</f>
        <v>0</v>
      </c>
      <c r="N386" s="81">
        <f>Work_Codes!$J339*N355*N$319</f>
        <v>0</v>
      </c>
      <c r="O386" s="81">
        <f>Work_Codes!$J339*O355*O$319</f>
        <v>0</v>
      </c>
      <c r="P386" s="81">
        <f>Work_Codes!$J339*P355*P$319</f>
        <v>0</v>
      </c>
      <c r="Q386" s="81">
        <f>Work_Codes!$J339*Q355*Q$319</f>
        <v>0</v>
      </c>
      <c r="R386" s="81">
        <f>Work_Codes!$J339*R355*R$319</f>
        <v>0</v>
      </c>
      <c r="S386" s="81">
        <f>Work_Codes!$J339*S355*S$319</f>
        <v>0</v>
      </c>
      <c r="T386" s="81">
        <f>Work_Codes!$J339*T355*T$319</f>
        <v>0</v>
      </c>
    </row>
    <row r="387" spans="3:20" hidden="1" outlineLevel="2">
      <c r="D387" s="102" t="str">
        <f>Work_Codes!D340</f>
        <v>Transmission Pipelines - Integrity Programs</v>
      </c>
      <c r="J387" s="81">
        <f>Work_Codes!$J340*J356*J$319</f>
        <v>0</v>
      </c>
      <c r="K387" s="81">
        <f>Work_Codes!$J340*K356*K$319</f>
        <v>0</v>
      </c>
      <c r="L387" s="81">
        <f>Work_Codes!$J340*L356*L$319</f>
        <v>0</v>
      </c>
      <c r="M387" s="81">
        <f>Work_Codes!$J340*M356*M$319</f>
        <v>0</v>
      </c>
      <c r="N387" s="81">
        <f>Work_Codes!$J340*N356*N$319</f>
        <v>0</v>
      </c>
      <c r="O387" s="81">
        <f>Work_Codes!$J340*O356*O$319</f>
        <v>0</v>
      </c>
      <c r="P387" s="81">
        <f>Work_Codes!$J340*P356*P$319</f>
        <v>413516</v>
      </c>
      <c r="Q387" s="81">
        <f>Work_Codes!$J340*Q356*Q$319</f>
        <v>1276271.8</v>
      </c>
      <c r="R387" s="81">
        <f>Work_Codes!$J340*R356*R$319</f>
        <v>1934504</v>
      </c>
      <c r="S387" s="81">
        <f>Work_Codes!$J340*S356*S$319</f>
        <v>543728.31999999995</v>
      </c>
      <c r="T387" s="81">
        <f>Work_Codes!$J340*T356*T$319</f>
        <v>91.2</v>
      </c>
    </row>
    <row r="388" spans="3:20" hidden="1" outlineLevel="2">
      <c r="D388" s="102" t="str">
        <f>Work_Codes!D341</f>
        <v>New Heaters</v>
      </c>
      <c r="J388" s="81">
        <f>Work_Codes!$J341*J357*J$319</f>
        <v>0</v>
      </c>
      <c r="K388" s="81">
        <f>Work_Codes!$J341*K357*K$319</f>
        <v>0</v>
      </c>
      <c r="L388" s="81">
        <f>Work_Codes!$J341*L357*L$319</f>
        <v>0</v>
      </c>
      <c r="M388" s="81">
        <f>Work_Codes!$J341*M357*M$319</f>
        <v>0</v>
      </c>
      <c r="N388" s="81">
        <f>Work_Codes!$J341*N357*N$319</f>
        <v>0</v>
      </c>
      <c r="O388" s="81">
        <f>Work_Codes!$J341*O357*O$319</f>
        <v>0</v>
      </c>
      <c r="P388" s="81">
        <f>Work_Codes!$J341*P357*P$319</f>
        <v>0</v>
      </c>
      <c r="Q388" s="81">
        <f>Work_Codes!$J341*Q357*Q$319</f>
        <v>0</v>
      </c>
      <c r="R388" s="81">
        <f>Work_Codes!$J341*R357*R$319</f>
        <v>0</v>
      </c>
      <c r="S388" s="81">
        <f>Work_Codes!$J341*S357*S$319</f>
        <v>0</v>
      </c>
      <c r="T388" s="81">
        <f>Work_Codes!$J341*T357*T$319</f>
        <v>0</v>
      </c>
    </row>
    <row r="389" spans="3:20" hidden="1" outlineLevel="2">
      <c r="D389" s="102" t="str">
        <f>Work_Codes!D342</f>
        <v>Portable City Gate/heater</v>
      </c>
      <c r="J389" s="81">
        <f>Work_Codes!$J342*J358*J$319</f>
        <v>0</v>
      </c>
      <c r="K389" s="81">
        <f>Work_Codes!$J342*K358*K$319</f>
        <v>0</v>
      </c>
      <c r="L389" s="81">
        <f>Work_Codes!$J342*L358*L$319</f>
        <v>0</v>
      </c>
      <c r="M389" s="81">
        <f>Work_Codes!$J342*M358*M$319</f>
        <v>0</v>
      </c>
      <c r="N389" s="81">
        <f>Work_Codes!$J342*N358*N$319</f>
        <v>0</v>
      </c>
      <c r="O389" s="81">
        <f>Work_Codes!$J342*O358*O$319</f>
        <v>0</v>
      </c>
      <c r="P389" s="81">
        <f>Work_Codes!$J342*P358*P$319</f>
        <v>0</v>
      </c>
      <c r="Q389" s="81">
        <f>Work_Codes!$J342*Q358*Q$319</f>
        <v>0</v>
      </c>
      <c r="R389" s="81">
        <f>Work_Codes!$J342*R358*R$319</f>
        <v>0</v>
      </c>
      <c r="S389" s="81">
        <f>Work_Codes!$J342*S358*S$319</f>
        <v>0</v>
      </c>
      <c r="T389" s="81">
        <f>Work_Codes!$J342*T358*T$319</f>
        <v>0</v>
      </c>
    </row>
    <row r="390" spans="3:20" hidden="1" outlineLevel="2">
      <c r="D390" s="102" t="str">
        <f>Work_Codes!D343</f>
        <v>Other Works</v>
      </c>
      <c r="J390" s="81">
        <f>Work_Codes!$J343*J359*J$319</f>
        <v>0</v>
      </c>
      <c r="K390" s="81">
        <f>Work_Codes!$J343*K359*K$319</f>
        <v>0</v>
      </c>
      <c r="L390" s="81">
        <f>Work_Codes!$J343*L359*L$319</f>
        <v>0</v>
      </c>
      <c r="M390" s="81">
        <f>Work_Codes!$J343*M359*M$319</f>
        <v>0</v>
      </c>
      <c r="N390" s="81">
        <f>Work_Codes!$J343*N359*N$319</f>
        <v>0</v>
      </c>
      <c r="O390" s="81">
        <f>Work_Codes!$J343*O359*O$319</f>
        <v>0</v>
      </c>
      <c r="P390" s="81">
        <f>Work_Codes!$J343*P359*P$319</f>
        <v>0</v>
      </c>
      <c r="Q390" s="81">
        <f>Work_Codes!$J343*Q359*Q$319</f>
        <v>0</v>
      </c>
      <c r="R390" s="81">
        <f>Work_Codes!$J343*R359*R$319</f>
        <v>0</v>
      </c>
      <c r="S390" s="81">
        <f>Work_Codes!$J343*S359*S$319</f>
        <v>0</v>
      </c>
      <c r="T390" s="81">
        <f>Work_Codes!$J343*T359*T$319</f>
        <v>0</v>
      </c>
    </row>
    <row r="391" spans="3:20" hidden="1" outlineLevel="2">
      <c r="D391" s="102" t="str">
        <f>Work_Codes!D344</f>
        <v>Capex Items Category 6</v>
      </c>
      <c r="J391" s="81">
        <f>Work_Codes!$J344*J360*J$319</f>
        <v>0</v>
      </c>
      <c r="K391" s="81">
        <f>Work_Codes!$J344*K360*K$319</f>
        <v>0</v>
      </c>
      <c r="L391" s="81">
        <f>Work_Codes!$J344*L360*L$319</f>
        <v>0</v>
      </c>
      <c r="M391" s="81">
        <f>Work_Codes!$J344*M360*M$319</f>
        <v>0</v>
      </c>
      <c r="N391" s="81">
        <f>Work_Codes!$J344*N360*N$319</f>
        <v>0</v>
      </c>
      <c r="O391" s="81">
        <f>Work_Codes!$J344*O360*O$319</f>
        <v>0</v>
      </c>
      <c r="P391" s="81">
        <f>Work_Codes!$J344*P360*P$319</f>
        <v>0</v>
      </c>
      <c r="Q391" s="81">
        <f>Work_Codes!$J344*Q360*Q$319</f>
        <v>0</v>
      </c>
      <c r="R391" s="81">
        <f>Work_Codes!$J344*R360*R$319</f>
        <v>0</v>
      </c>
      <c r="S391" s="81">
        <f>Work_Codes!$J344*S360*S$319</f>
        <v>0</v>
      </c>
      <c r="T391" s="81">
        <f>Work_Codes!$J344*T360*T$319</f>
        <v>0</v>
      </c>
    </row>
    <row r="392" spans="3:20" ht="5.9" hidden="1" customHeight="1" outlineLevel="2"/>
    <row r="393" spans="3:20" hidden="1" outlineLevel="2">
      <c r="D393" s="249" t="str">
        <f>"Total "&amp;C384</f>
        <v>Total External Labour</v>
      </c>
      <c r="E393" s="249"/>
      <c r="F393" s="249"/>
      <c r="G393" s="249"/>
      <c r="H393" s="249"/>
      <c r="I393" s="249"/>
      <c r="J393" s="82">
        <f t="shared" ref="J393:T393" si="40">SUM(J386:J392)</f>
        <v>0</v>
      </c>
      <c r="K393" s="82">
        <f t="shared" si="40"/>
        <v>0</v>
      </c>
      <c r="L393" s="82">
        <f t="shared" si="40"/>
        <v>0</v>
      </c>
      <c r="M393" s="82">
        <f t="shared" si="40"/>
        <v>0</v>
      </c>
      <c r="N393" s="82">
        <f t="shared" si="40"/>
        <v>0</v>
      </c>
      <c r="O393" s="82">
        <f t="shared" si="40"/>
        <v>0</v>
      </c>
      <c r="P393" s="82">
        <f t="shared" si="40"/>
        <v>413516</v>
      </c>
      <c r="Q393" s="82">
        <f t="shared" si="40"/>
        <v>1276271.8</v>
      </c>
      <c r="R393" s="82">
        <f t="shared" si="40"/>
        <v>1934504</v>
      </c>
      <c r="S393" s="82">
        <f t="shared" si="40"/>
        <v>543728.31999999995</v>
      </c>
      <c r="T393" s="82">
        <f t="shared" si="40"/>
        <v>91.2</v>
      </c>
    </row>
    <row r="394" spans="3:20" hidden="1" outlineLevel="2"/>
    <row r="395" spans="3:20" hidden="1" outlineLevel="2">
      <c r="C395" s="37" t="s">
        <v>130</v>
      </c>
    </row>
    <row r="396" spans="3:20" ht="5.9" hidden="1" customHeight="1" outlineLevel="2"/>
    <row r="397" spans="3:20" hidden="1" outlineLevel="2">
      <c r="D397" s="102" t="str">
        <f>Work_Codes!D339</f>
        <v>City Gate Site Relocation</v>
      </c>
      <c r="J397" s="81">
        <f>Work_Codes!$K339*J355*J$320</f>
        <v>0</v>
      </c>
      <c r="K397" s="81">
        <f>Work_Codes!$K339*K355*K$320</f>
        <v>0</v>
      </c>
      <c r="L397" s="81">
        <f>Work_Codes!$K339*L355*L$320</f>
        <v>0</v>
      </c>
      <c r="M397" s="81">
        <f>Work_Codes!$K339*M355*M$320</f>
        <v>0</v>
      </c>
      <c r="N397" s="81">
        <f>Work_Codes!$K339*N355*N$320</f>
        <v>0</v>
      </c>
      <c r="O397" s="81">
        <f>Work_Codes!$K339*O355*O$320</f>
        <v>0</v>
      </c>
      <c r="P397" s="81">
        <f>Work_Codes!$K339*P355*P$320</f>
        <v>0</v>
      </c>
      <c r="Q397" s="81">
        <f>Work_Codes!$K339*Q355*Q$320</f>
        <v>0</v>
      </c>
      <c r="R397" s="81">
        <f>Work_Codes!$K339*R355*R$320</f>
        <v>0</v>
      </c>
      <c r="S397" s="81">
        <f>Work_Codes!$K339*S355*S$320</f>
        <v>0</v>
      </c>
      <c r="T397" s="81">
        <f>Work_Codes!$K339*T355*T$320</f>
        <v>0</v>
      </c>
    </row>
    <row r="398" spans="3:20" hidden="1" outlineLevel="2">
      <c r="D398" s="102" t="str">
        <f>Work_Codes!D340</f>
        <v>Transmission Pipelines - Integrity Programs</v>
      </c>
      <c r="J398" s="81">
        <f>Work_Codes!$K340*J356*J$320</f>
        <v>0</v>
      </c>
      <c r="K398" s="81">
        <f>Work_Codes!$K340*K356*K$320</f>
        <v>0</v>
      </c>
      <c r="L398" s="81">
        <f>Work_Codes!$K340*L356*L$320</f>
        <v>0</v>
      </c>
      <c r="M398" s="81">
        <f>Work_Codes!$K340*M356*M$320</f>
        <v>0</v>
      </c>
      <c r="N398" s="81">
        <f>Work_Codes!$K340*N356*N$320</f>
        <v>0</v>
      </c>
      <c r="O398" s="81">
        <f>Work_Codes!$K340*O356*O$320</f>
        <v>0</v>
      </c>
      <c r="P398" s="81">
        <f>Work_Codes!$K340*P356*P$320</f>
        <v>108819.99999999997</v>
      </c>
      <c r="Q398" s="81">
        <f>Work_Codes!$K340*Q356*Q$320</f>
        <v>335860.99999999994</v>
      </c>
      <c r="R398" s="81">
        <f>Work_Codes!$K340*R356*R$320</f>
        <v>509079.99999999988</v>
      </c>
      <c r="S398" s="81">
        <f>Work_Codes!$K340*S356*S$320</f>
        <v>143086.39999999997</v>
      </c>
      <c r="T398" s="81">
        <f>Work_Codes!$K340*T356*T$320</f>
        <v>23.999999999999993</v>
      </c>
    </row>
    <row r="399" spans="3:20" hidden="1" outlineLevel="2">
      <c r="D399" s="102" t="str">
        <f>Work_Codes!D341</f>
        <v>New Heaters</v>
      </c>
      <c r="J399" s="81">
        <f>Work_Codes!$K341*J357*J$320</f>
        <v>0</v>
      </c>
      <c r="K399" s="81">
        <f>Work_Codes!$K341*K357*K$320</f>
        <v>0</v>
      </c>
      <c r="L399" s="81">
        <f>Work_Codes!$K341*L357*L$320</f>
        <v>0</v>
      </c>
      <c r="M399" s="81">
        <f>Work_Codes!$K341*M357*M$320</f>
        <v>0</v>
      </c>
      <c r="N399" s="81">
        <f>Work_Codes!$K341*N357*N$320</f>
        <v>0</v>
      </c>
      <c r="O399" s="81">
        <f>Work_Codes!$K341*O357*O$320</f>
        <v>0</v>
      </c>
      <c r="P399" s="81">
        <f>Work_Codes!$K341*P357*P$320</f>
        <v>0</v>
      </c>
      <c r="Q399" s="81">
        <f>Work_Codes!$K341*Q357*Q$320</f>
        <v>0</v>
      </c>
      <c r="R399" s="81">
        <f>Work_Codes!$K341*R357*R$320</f>
        <v>0</v>
      </c>
      <c r="S399" s="81">
        <f>Work_Codes!$K341*S357*S$320</f>
        <v>0</v>
      </c>
      <c r="T399" s="81">
        <f>Work_Codes!$K341*T357*T$320</f>
        <v>0</v>
      </c>
    </row>
    <row r="400" spans="3:20" hidden="1" outlineLevel="2">
      <c r="D400" s="102" t="str">
        <f>Work_Codes!D342</f>
        <v>Portable City Gate/heater</v>
      </c>
      <c r="J400" s="81">
        <f>Work_Codes!$K342*J358*J$320</f>
        <v>0</v>
      </c>
      <c r="K400" s="81">
        <f>Work_Codes!$K342*K358*K$320</f>
        <v>0</v>
      </c>
      <c r="L400" s="81">
        <f>Work_Codes!$K342*L358*L$320</f>
        <v>0</v>
      </c>
      <c r="M400" s="81">
        <f>Work_Codes!$K342*M358*M$320</f>
        <v>0</v>
      </c>
      <c r="N400" s="81">
        <f>Work_Codes!$K342*N358*N$320</f>
        <v>0</v>
      </c>
      <c r="O400" s="81">
        <f>Work_Codes!$K342*O358*O$320</f>
        <v>0</v>
      </c>
      <c r="P400" s="81">
        <f>Work_Codes!$K342*P358*P$320</f>
        <v>0</v>
      </c>
      <c r="Q400" s="81">
        <f>Work_Codes!$K342*Q358*Q$320</f>
        <v>0</v>
      </c>
      <c r="R400" s="81">
        <f>Work_Codes!$K342*R358*R$320</f>
        <v>0</v>
      </c>
      <c r="S400" s="81">
        <f>Work_Codes!$K342*S358*S$320</f>
        <v>0</v>
      </c>
      <c r="T400" s="81">
        <f>Work_Codes!$K342*T358*T$320</f>
        <v>0</v>
      </c>
    </row>
    <row r="401" spans="2:20" hidden="1" outlineLevel="2">
      <c r="D401" s="102" t="str">
        <f>Work_Codes!D343</f>
        <v>Other Works</v>
      </c>
      <c r="J401" s="81">
        <f>Work_Codes!$K343*J359*J$320</f>
        <v>0</v>
      </c>
      <c r="K401" s="81">
        <f>Work_Codes!$K343*K359*K$320</f>
        <v>0</v>
      </c>
      <c r="L401" s="81">
        <f>Work_Codes!$K343*L359*L$320</f>
        <v>0</v>
      </c>
      <c r="M401" s="81">
        <f>Work_Codes!$K343*M359*M$320</f>
        <v>0</v>
      </c>
      <c r="N401" s="81">
        <f>Work_Codes!$K343*N359*N$320</f>
        <v>0</v>
      </c>
      <c r="O401" s="81">
        <f>Work_Codes!$K343*O359*O$320</f>
        <v>0</v>
      </c>
      <c r="P401" s="81">
        <f>Work_Codes!$K343*P359*P$320</f>
        <v>0</v>
      </c>
      <c r="Q401" s="81">
        <f>Work_Codes!$K343*Q359*Q$320</f>
        <v>0</v>
      </c>
      <c r="R401" s="81">
        <f>Work_Codes!$K343*R359*R$320</f>
        <v>0</v>
      </c>
      <c r="S401" s="81">
        <f>Work_Codes!$K343*S359*S$320</f>
        <v>0</v>
      </c>
      <c r="T401" s="81">
        <f>Work_Codes!$K343*T359*T$320</f>
        <v>0</v>
      </c>
    </row>
    <row r="402" spans="2:20" hidden="1" outlineLevel="2">
      <c r="D402" s="102" t="str">
        <f>Work_Codes!D344</f>
        <v>Capex Items Category 6</v>
      </c>
      <c r="J402" s="81">
        <f>Work_Codes!$K344*J360*J$320</f>
        <v>0</v>
      </c>
      <c r="K402" s="81">
        <f>Work_Codes!$K344*K360*K$320</f>
        <v>0</v>
      </c>
      <c r="L402" s="81">
        <f>Work_Codes!$K344*L360*L$320</f>
        <v>0</v>
      </c>
      <c r="M402" s="81">
        <f>Work_Codes!$K344*M360*M$320</f>
        <v>0</v>
      </c>
      <c r="N402" s="81">
        <f>Work_Codes!$K344*N360*N$320</f>
        <v>0</v>
      </c>
      <c r="O402" s="81">
        <f>Work_Codes!$K344*O360*O$320</f>
        <v>0</v>
      </c>
      <c r="P402" s="81">
        <f>Work_Codes!$K344*P360*P$320</f>
        <v>0</v>
      </c>
      <c r="Q402" s="81">
        <f>Work_Codes!$K344*Q360*Q$320</f>
        <v>0</v>
      </c>
      <c r="R402" s="81">
        <f>Work_Codes!$K344*R360*R$320</f>
        <v>0</v>
      </c>
      <c r="S402" s="81">
        <f>Work_Codes!$K344*S360*S$320</f>
        <v>0</v>
      </c>
      <c r="T402" s="81">
        <f>Work_Codes!$K344*T360*T$320</f>
        <v>0</v>
      </c>
    </row>
    <row r="403" spans="2:20" ht="5.9" hidden="1" customHeight="1" outlineLevel="2"/>
    <row r="404" spans="2:20" hidden="1" outlineLevel="2">
      <c r="D404" s="249" t="str">
        <f>"Total "&amp;C395</f>
        <v>Total Materials</v>
      </c>
      <c r="E404" s="249"/>
      <c r="F404" s="249"/>
      <c r="G404" s="249"/>
      <c r="H404" s="249"/>
      <c r="I404" s="249"/>
      <c r="J404" s="82">
        <f t="shared" ref="J404:T404" si="41">SUM(J397:J403)</f>
        <v>0</v>
      </c>
      <c r="K404" s="82">
        <f t="shared" si="41"/>
        <v>0</v>
      </c>
      <c r="L404" s="82">
        <f t="shared" si="41"/>
        <v>0</v>
      </c>
      <c r="M404" s="82">
        <f t="shared" si="41"/>
        <v>0</v>
      </c>
      <c r="N404" s="82">
        <f t="shared" si="41"/>
        <v>0</v>
      </c>
      <c r="O404" s="82">
        <f t="shared" si="41"/>
        <v>0</v>
      </c>
      <c r="P404" s="82">
        <f t="shared" si="41"/>
        <v>108819.99999999997</v>
      </c>
      <c r="Q404" s="82">
        <f t="shared" si="41"/>
        <v>335860.99999999994</v>
      </c>
      <c r="R404" s="82">
        <f t="shared" si="41"/>
        <v>509079.99999999988</v>
      </c>
      <c r="S404" s="82">
        <f t="shared" si="41"/>
        <v>143086.39999999997</v>
      </c>
      <c r="T404" s="82">
        <f t="shared" si="41"/>
        <v>23.999999999999993</v>
      </c>
    </row>
    <row r="405" spans="2:20" outlineLevel="1" collapsed="1"/>
    <row r="406" spans="2:20" outlineLevel="1">
      <c r="C406" s="37" t="s">
        <v>217</v>
      </c>
    </row>
    <row r="407" spans="2:20" ht="5.9" customHeight="1" outlineLevel="1"/>
    <row r="408" spans="2:20" outlineLevel="1">
      <c r="D408" s="102" t="str">
        <f>Work_Codes!D339</f>
        <v>City Gate Site Relocation</v>
      </c>
      <c r="J408" s="81">
        <f t="shared" ref="J408:T408" si="42">J375+J386+J397</f>
        <v>0</v>
      </c>
      <c r="K408" s="81">
        <f t="shared" si="42"/>
        <v>0</v>
      </c>
      <c r="L408" s="81">
        <f t="shared" si="42"/>
        <v>0</v>
      </c>
      <c r="M408" s="81">
        <f t="shared" si="42"/>
        <v>0</v>
      </c>
      <c r="N408" s="81">
        <f t="shared" si="42"/>
        <v>0</v>
      </c>
      <c r="O408" s="81">
        <f t="shared" si="42"/>
        <v>0</v>
      </c>
      <c r="P408" s="81">
        <f t="shared" si="42"/>
        <v>0</v>
      </c>
      <c r="Q408" s="81">
        <f t="shared" si="42"/>
        <v>0</v>
      </c>
      <c r="R408" s="81">
        <f t="shared" si="42"/>
        <v>0</v>
      </c>
      <c r="S408" s="81">
        <f t="shared" si="42"/>
        <v>0</v>
      </c>
      <c r="T408" s="81">
        <f t="shared" si="42"/>
        <v>0</v>
      </c>
    </row>
    <row r="409" spans="2:20" outlineLevel="1">
      <c r="D409" s="102" t="str">
        <f>Work_Codes!D340</f>
        <v>Transmission Pipelines - Integrity Programs</v>
      </c>
      <c r="J409" s="81">
        <f t="shared" ref="J409:T409" si="43">J376+J387+J398</f>
        <v>0</v>
      </c>
      <c r="K409" s="81">
        <f t="shared" si="43"/>
        <v>0</v>
      </c>
      <c r="L409" s="81">
        <f t="shared" si="43"/>
        <v>0</v>
      </c>
      <c r="M409" s="81">
        <f t="shared" si="43"/>
        <v>0</v>
      </c>
      <c r="N409" s="81">
        <f t="shared" si="43"/>
        <v>0</v>
      </c>
      <c r="O409" s="81">
        <f t="shared" si="43"/>
        <v>0</v>
      </c>
      <c r="P409" s="81">
        <f t="shared" si="43"/>
        <v>544322.64950999548</v>
      </c>
      <c r="Q409" s="81">
        <f t="shared" si="43"/>
        <v>1680521.3063269476</v>
      </c>
      <c r="R409" s="81">
        <f t="shared" si="43"/>
        <v>2548384.7430302529</v>
      </c>
      <c r="S409" s="81">
        <f t="shared" si="43"/>
        <v>716595.18455192144</v>
      </c>
      <c r="T409" s="81">
        <f t="shared" si="43"/>
        <v>120.25009022564794</v>
      </c>
    </row>
    <row r="410" spans="2:20" outlineLevel="1">
      <c r="D410" s="102" t="str">
        <f>Work_Codes!D341</f>
        <v>New Heaters</v>
      </c>
      <c r="J410" s="81">
        <f t="shared" ref="J410:T410" si="44">J377+J388+J399</f>
        <v>0</v>
      </c>
      <c r="K410" s="81">
        <f t="shared" si="44"/>
        <v>0</v>
      </c>
      <c r="L410" s="81">
        <f t="shared" si="44"/>
        <v>0</v>
      </c>
      <c r="M410" s="81">
        <f t="shared" si="44"/>
        <v>0</v>
      </c>
      <c r="N410" s="81">
        <f t="shared" si="44"/>
        <v>0</v>
      </c>
      <c r="O410" s="81">
        <f t="shared" si="44"/>
        <v>0</v>
      </c>
      <c r="P410" s="81">
        <f t="shared" si="44"/>
        <v>0</v>
      </c>
      <c r="Q410" s="81">
        <f t="shared" si="44"/>
        <v>0</v>
      </c>
      <c r="R410" s="81">
        <f t="shared" si="44"/>
        <v>0</v>
      </c>
      <c r="S410" s="81">
        <f t="shared" si="44"/>
        <v>0</v>
      </c>
      <c r="T410" s="81">
        <f t="shared" si="44"/>
        <v>0</v>
      </c>
    </row>
    <row r="411" spans="2:20" outlineLevel="1">
      <c r="D411" s="102" t="str">
        <f>Work_Codes!D342</f>
        <v>Portable City Gate/heater</v>
      </c>
      <c r="J411" s="81">
        <f t="shared" ref="J411:T411" si="45">J378+J389+J400</f>
        <v>0</v>
      </c>
      <c r="K411" s="81">
        <f t="shared" si="45"/>
        <v>0</v>
      </c>
      <c r="L411" s="81">
        <f t="shared" si="45"/>
        <v>0</v>
      </c>
      <c r="M411" s="81">
        <f t="shared" si="45"/>
        <v>0</v>
      </c>
      <c r="N411" s="81">
        <f t="shared" si="45"/>
        <v>0</v>
      </c>
      <c r="O411" s="81">
        <f t="shared" si="45"/>
        <v>0</v>
      </c>
      <c r="P411" s="81">
        <f t="shared" si="45"/>
        <v>0</v>
      </c>
      <c r="Q411" s="81">
        <f t="shared" si="45"/>
        <v>0</v>
      </c>
      <c r="R411" s="81">
        <f t="shared" si="45"/>
        <v>0</v>
      </c>
      <c r="S411" s="81">
        <f t="shared" si="45"/>
        <v>0</v>
      </c>
      <c r="T411" s="81">
        <f t="shared" si="45"/>
        <v>0</v>
      </c>
    </row>
    <row r="412" spans="2:20" outlineLevel="1">
      <c r="D412" s="102" t="str">
        <f>Work_Codes!D343</f>
        <v>Other Works</v>
      </c>
      <c r="J412" s="81">
        <f t="shared" ref="J412:T412" si="46">J379+J390+J401</f>
        <v>0</v>
      </c>
      <c r="K412" s="81">
        <f t="shared" si="46"/>
        <v>0</v>
      </c>
      <c r="L412" s="81">
        <f t="shared" si="46"/>
        <v>0</v>
      </c>
      <c r="M412" s="81">
        <f t="shared" si="46"/>
        <v>0</v>
      </c>
      <c r="N412" s="81">
        <f t="shared" si="46"/>
        <v>0</v>
      </c>
      <c r="O412" s="81">
        <f t="shared" si="46"/>
        <v>0</v>
      </c>
      <c r="P412" s="81">
        <f t="shared" si="46"/>
        <v>0</v>
      </c>
      <c r="Q412" s="81">
        <f t="shared" si="46"/>
        <v>0</v>
      </c>
      <c r="R412" s="81">
        <f t="shared" si="46"/>
        <v>0</v>
      </c>
      <c r="S412" s="81">
        <f t="shared" si="46"/>
        <v>0</v>
      </c>
      <c r="T412" s="81">
        <f t="shared" si="46"/>
        <v>0</v>
      </c>
    </row>
    <row r="413" spans="2:20" outlineLevel="1">
      <c r="D413" s="102" t="str">
        <f>Work_Codes!D344</f>
        <v>Capex Items Category 6</v>
      </c>
      <c r="J413" s="81">
        <f t="shared" ref="J413:T413" si="47">J380+J391+J402</f>
        <v>0</v>
      </c>
      <c r="K413" s="81">
        <f t="shared" si="47"/>
        <v>0</v>
      </c>
      <c r="L413" s="81">
        <f t="shared" si="47"/>
        <v>0</v>
      </c>
      <c r="M413" s="81">
        <f t="shared" si="47"/>
        <v>0</v>
      </c>
      <c r="N413" s="81">
        <f t="shared" si="47"/>
        <v>0</v>
      </c>
      <c r="O413" s="81">
        <f t="shared" si="47"/>
        <v>0</v>
      </c>
      <c r="P413" s="81">
        <f t="shared" si="47"/>
        <v>0</v>
      </c>
      <c r="Q413" s="81">
        <f t="shared" si="47"/>
        <v>0</v>
      </c>
      <c r="R413" s="81">
        <f t="shared" si="47"/>
        <v>0</v>
      </c>
      <c r="S413" s="81">
        <f t="shared" si="47"/>
        <v>0</v>
      </c>
      <c r="T413" s="81">
        <f t="shared" si="47"/>
        <v>0</v>
      </c>
    </row>
    <row r="414" spans="2:20" ht="5.9" customHeight="1" outlineLevel="1"/>
    <row r="415" spans="2:20" outlineLevel="1">
      <c r="D415" s="249" t="str">
        <f>C406</f>
        <v>Total Direct Capex including Escalation (Non CPI)</v>
      </c>
      <c r="E415" s="249"/>
      <c r="F415" s="249"/>
      <c r="G415" s="249"/>
      <c r="H415" s="249"/>
      <c r="I415" s="249"/>
      <c r="J415" s="82">
        <f t="shared" ref="J415:T415" si="48">SUM(J408:J414)</f>
        <v>0</v>
      </c>
      <c r="K415" s="82">
        <f t="shared" si="48"/>
        <v>0</v>
      </c>
      <c r="L415" s="82">
        <f t="shared" si="48"/>
        <v>0</v>
      </c>
      <c r="M415" s="82">
        <f t="shared" si="48"/>
        <v>0</v>
      </c>
      <c r="N415" s="82">
        <f t="shared" si="48"/>
        <v>0</v>
      </c>
      <c r="O415" s="82">
        <f t="shared" si="48"/>
        <v>0</v>
      </c>
      <c r="P415" s="82">
        <f t="shared" si="48"/>
        <v>544322.64950999548</v>
      </c>
      <c r="Q415" s="82">
        <f t="shared" si="48"/>
        <v>1680521.3063269476</v>
      </c>
      <c r="R415" s="82">
        <f t="shared" si="48"/>
        <v>2548384.7430302529</v>
      </c>
      <c r="S415" s="82">
        <f t="shared" si="48"/>
        <v>716595.18455192144</v>
      </c>
      <c r="T415" s="82">
        <f t="shared" si="48"/>
        <v>120.25009022564794</v>
      </c>
    </row>
    <row r="416" spans="2:20" outlineLevel="1">
      <c r="B416" s="12"/>
      <c r="C416" s="12"/>
      <c r="D416" s="12"/>
      <c r="E416" s="12"/>
      <c r="F416" s="12"/>
      <c r="G416" s="12"/>
      <c r="H416" s="12"/>
      <c r="I416" s="12"/>
      <c r="J416" s="12"/>
      <c r="K416" s="12"/>
      <c r="L416" s="12"/>
      <c r="M416" s="12"/>
      <c r="N416" s="12"/>
      <c r="O416" s="12"/>
      <c r="P416" s="12"/>
      <c r="Q416" s="12"/>
      <c r="R416" s="12"/>
      <c r="S416" s="12"/>
      <c r="T416" s="12"/>
    </row>
    <row r="417" spans="3:20" outlineLevel="1"/>
    <row r="418" spans="3:20" outlineLevel="1">
      <c r="C418" s="37" t="s">
        <v>195</v>
      </c>
    </row>
    <row r="419" spans="3:20" ht="5.9" customHeight="1" outlineLevel="2"/>
    <row r="420" spans="3:20" outlineLevel="2">
      <c r="D420" s="37" t="s">
        <v>215</v>
      </c>
    </row>
    <row r="421" spans="3:20" ht="5.9" customHeight="1" outlineLevel="2"/>
    <row r="422" spans="3:20" ht="11.5" customHeight="1" outlineLevel="2">
      <c r="E422" s="247" t="str">
        <f>GC!C40</f>
        <v>Transmission pipelines</v>
      </c>
      <c r="F422" s="247"/>
      <c r="G422" s="247"/>
      <c r="H422" s="247"/>
      <c r="I422" s="247"/>
      <c r="J422" s="81">
        <f ca="1">SUMPRODUCT((Work_Codes!$N$336:$Y$336=$E422)*(Work_Codes!$N$339:$Y$344)*(J$408:J$413))</f>
        <v>0</v>
      </c>
      <c r="K422" s="81">
        <f ca="1">SUMPRODUCT((Work_Codes!$N$336:$Y$336=$E422)*(Work_Codes!$N$339:$Y$344)*(K$408:K$413))</f>
        <v>0</v>
      </c>
      <c r="L422" s="81">
        <f ca="1">SUMPRODUCT((Work_Codes!$N$336:$Y$336=$E422)*(Work_Codes!$N$339:$Y$344)*(L$408:L$413))</f>
        <v>0</v>
      </c>
      <c r="M422" s="81">
        <f ca="1">SUMPRODUCT((Work_Codes!$N$336:$Y$336=$E422)*(Work_Codes!$N$339:$Y$344)*(M$408:M$413))</f>
        <v>0</v>
      </c>
      <c r="N422" s="81">
        <f ca="1">SUMPRODUCT((Work_Codes!$N$336:$Y$336=$E422)*(Work_Codes!$N$339:$Y$344)*(N$408:N$413))</f>
        <v>0</v>
      </c>
      <c r="O422" s="81">
        <f ca="1">SUMPRODUCT((Work_Codes!$N$336:$Y$336=$E422)*(Work_Codes!$N$339:$Y$344)*(O$408:O$413))</f>
        <v>0</v>
      </c>
      <c r="P422" s="81">
        <f ca="1">SUMPRODUCT((Work_Codes!$N$336:$Y$336=$E422)*(Work_Codes!$N$339:$Y$344)*(P$408:P$413))</f>
        <v>0</v>
      </c>
      <c r="Q422" s="81">
        <f ca="1">SUMPRODUCT((Work_Codes!$N$336:$Y$336=$E422)*(Work_Codes!$N$339:$Y$344)*(Q$408:Q$413))</f>
        <v>0</v>
      </c>
      <c r="R422" s="81">
        <f ca="1">SUMPRODUCT((Work_Codes!$N$336:$Y$336=$E422)*(Work_Codes!$N$339:$Y$344)*(R$408:R$413))</f>
        <v>0</v>
      </c>
      <c r="S422" s="81">
        <f ca="1">SUMPRODUCT((Work_Codes!$N$336:$Y$336=$E422)*(Work_Codes!$N$339:$Y$344)*(S$408:S$413))</f>
        <v>0</v>
      </c>
      <c r="T422" s="81">
        <f ca="1">SUMPRODUCT((Work_Codes!$N$336:$Y$336=$E422)*(Work_Codes!$N$339:$Y$344)*(T$408:T$413))</f>
        <v>0</v>
      </c>
    </row>
    <row r="423" spans="3:20" ht="11.5" customHeight="1" outlineLevel="2">
      <c r="E423" s="247" t="str">
        <f>GC!C41</f>
        <v>Distribution pipelines</v>
      </c>
      <c r="F423" s="247"/>
      <c r="G423" s="247"/>
      <c r="H423" s="247"/>
      <c r="I423" s="247"/>
      <c r="J423" s="81">
        <f ca="1">SUMPRODUCT((Work_Codes!$N$336:$Y$336=$E423)*(Work_Codes!$N$339:$Y$344)*(J$408:J$413))</f>
        <v>0</v>
      </c>
      <c r="K423" s="81">
        <f ca="1">SUMPRODUCT((Work_Codes!$N$336:$Y$336=$E423)*(Work_Codes!$N$339:$Y$344)*(K$408:K$413))</f>
        <v>0</v>
      </c>
      <c r="L423" s="81">
        <f ca="1">SUMPRODUCT((Work_Codes!$N$336:$Y$336=$E423)*(Work_Codes!$N$339:$Y$344)*(L$408:L$413))</f>
        <v>0</v>
      </c>
      <c r="M423" s="81">
        <f ca="1">SUMPRODUCT((Work_Codes!$N$336:$Y$336=$E423)*(Work_Codes!$N$339:$Y$344)*(M$408:M$413))</f>
        <v>0</v>
      </c>
      <c r="N423" s="81">
        <f ca="1">SUMPRODUCT((Work_Codes!$N$336:$Y$336=$E423)*(Work_Codes!$N$339:$Y$344)*(N$408:N$413))</f>
        <v>0</v>
      </c>
      <c r="O423" s="81">
        <f ca="1">SUMPRODUCT((Work_Codes!$N$336:$Y$336=$E423)*(Work_Codes!$N$339:$Y$344)*(O$408:O$413))</f>
        <v>0</v>
      </c>
      <c r="P423" s="81">
        <f ca="1">SUMPRODUCT((Work_Codes!$N$336:$Y$336=$E423)*(Work_Codes!$N$339:$Y$344)*(P$408:P$413))</f>
        <v>0</v>
      </c>
      <c r="Q423" s="81">
        <f ca="1">SUMPRODUCT((Work_Codes!$N$336:$Y$336=$E423)*(Work_Codes!$N$339:$Y$344)*(Q$408:Q$413))</f>
        <v>0</v>
      </c>
      <c r="R423" s="81">
        <f ca="1">SUMPRODUCT((Work_Codes!$N$336:$Y$336=$E423)*(Work_Codes!$N$339:$Y$344)*(R$408:R$413))</f>
        <v>0</v>
      </c>
      <c r="S423" s="81">
        <f ca="1">SUMPRODUCT((Work_Codes!$N$336:$Y$336=$E423)*(Work_Codes!$N$339:$Y$344)*(S$408:S$413))</f>
        <v>0</v>
      </c>
      <c r="T423" s="81">
        <f ca="1">SUMPRODUCT((Work_Codes!$N$336:$Y$336=$E423)*(Work_Codes!$N$339:$Y$344)*(T$408:T$413))</f>
        <v>0</v>
      </c>
    </row>
    <row r="424" spans="3:20" ht="11.5" customHeight="1" outlineLevel="2">
      <c r="E424" s="247" t="str">
        <f>GC!C42</f>
        <v>Service pipes</v>
      </c>
      <c r="F424" s="247"/>
      <c r="G424" s="247"/>
      <c r="H424" s="247"/>
      <c r="I424" s="247"/>
      <c r="J424" s="81">
        <f ca="1">SUMPRODUCT((Work_Codes!$N$336:$Y$336=$E424)*(Work_Codes!$N$339:$Y$344)*(J$408:J$413))</f>
        <v>0</v>
      </c>
      <c r="K424" s="81">
        <f ca="1">SUMPRODUCT((Work_Codes!$N$336:$Y$336=$E424)*(Work_Codes!$N$339:$Y$344)*(K$408:K$413))</f>
        <v>0</v>
      </c>
      <c r="L424" s="81">
        <f ca="1">SUMPRODUCT((Work_Codes!$N$336:$Y$336=$E424)*(Work_Codes!$N$339:$Y$344)*(L$408:L$413))</f>
        <v>0</v>
      </c>
      <c r="M424" s="81">
        <f ca="1">SUMPRODUCT((Work_Codes!$N$336:$Y$336=$E424)*(Work_Codes!$N$339:$Y$344)*(M$408:M$413))</f>
        <v>0</v>
      </c>
      <c r="N424" s="81">
        <f ca="1">SUMPRODUCT((Work_Codes!$N$336:$Y$336=$E424)*(Work_Codes!$N$339:$Y$344)*(N$408:N$413))</f>
        <v>0</v>
      </c>
      <c r="O424" s="81">
        <f ca="1">SUMPRODUCT((Work_Codes!$N$336:$Y$336=$E424)*(Work_Codes!$N$339:$Y$344)*(O$408:O$413))</f>
        <v>0</v>
      </c>
      <c r="P424" s="81">
        <f ca="1">SUMPRODUCT((Work_Codes!$N$336:$Y$336=$E424)*(Work_Codes!$N$339:$Y$344)*(P$408:P$413))</f>
        <v>0</v>
      </c>
      <c r="Q424" s="81">
        <f ca="1">SUMPRODUCT((Work_Codes!$N$336:$Y$336=$E424)*(Work_Codes!$N$339:$Y$344)*(Q$408:Q$413))</f>
        <v>0</v>
      </c>
      <c r="R424" s="81">
        <f ca="1">SUMPRODUCT((Work_Codes!$N$336:$Y$336=$E424)*(Work_Codes!$N$339:$Y$344)*(R$408:R$413))</f>
        <v>0</v>
      </c>
      <c r="S424" s="81">
        <f ca="1">SUMPRODUCT((Work_Codes!$N$336:$Y$336=$E424)*(Work_Codes!$N$339:$Y$344)*(S$408:S$413))</f>
        <v>0</v>
      </c>
      <c r="T424" s="81">
        <f ca="1">SUMPRODUCT((Work_Codes!$N$336:$Y$336=$E424)*(Work_Codes!$N$339:$Y$344)*(T$408:T$413))</f>
        <v>0</v>
      </c>
    </row>
    <row r="425" spans="3:20" ht="11.5" customHeight="1" outlineLevel="2">
      <c r="E425" s="247" t="str">
        <f>GC!C43</f>
        <v>Cathodic protection</v>
      </c>
      <c r="F425" s="247"/>
      <c r="G425" s="247"/>
      <c r="H425" s="247"/>
      <c r="I425" s="247"/>
      <c r="J425" s="81">
        <f ca="1">SUMPRODUCT((Work_Codes!$N$336:$Y$336=$E425)*(Work_Codes!$N$339:$Y$344)*(J$408:J$413))</f>
        <v>0</v>
      </c>
      <c r="K425" s="81">
        <f ca="1">SUMPRODUCT((Work_Codes!$N$336:$Y$336=$E425)*(Work_Codes!$N$339:$Y$344)*(K$408:K$413))</f>
        <v>0</v>
      </c>
      <c r="L425" s="81">
        <f ca="1">SUMPRODUCT((Work_Codes!$N$336:$Y$336=$E425)*(Work_Codes!$N$339:$Y$344)*(L$408:L$413))</f>
        <v>0</v>
      </c>
      <c r="M425" s="81">
        <f ca="1">SUMPRODUCT((Work_Codes!$N$336:$Y$336=$E425)*(Work_Codes!$N$339:$Y$344)*(M$408:M$413))</f>
        <v>0</v>
      </c>
      <c r="N425" s="81">
        <f ca="1">SUMPRODUCT((Work_Codes!$N$336:$Y$336=$E425)*(Work_Codes!$N$339:$Y$344)*(N$408:N$413))</f>
        <v>0</v>
      </c>
      <c r="O425" s="81">
        <f ca="1">SUMPRODUCT((Work_Codes!$N$336:$Y$336=$E425)*(Work_Codes!$N$339:$Y$344)*(O$408:O$413))</f>
        <v>0</v>
      </c>
      <c r="P425" s="81">
        <f ca="1">SUMPRODUCT((Work_Codes!$N$336:$Y$336=$E425)*(Work_Codes!$N$339:$Y$344)*(P$408:P$413))</f>
        <v>0</v>
      </c>
      <c r="Q425" s="81">
        <f ca="1">SUMPRODUCT((Work_Codes!$N$336:$Y$336=$E425)*(Work_Codes!$N$339:$Y$344)*(Q$408:Q$413))</f>
        <v>0</v>
      </c>
      <c r="R425" s="81">
        <f ca="1">SUMPRODUCT((Work_Codes!$N$336:$Y$336=$E425)*(Work_Codes!$N$339:$Y$344)*(R$408:R$413))</f>
        <v>0</v>
      </c>
      <c r="S425" s="81">
        <f ca="1">SUMPRODUCT((Work_Codes!$N$336:$Y$336=$E425)*(Work_Codes!$N$339:$Y$344)*(S$408:S$413))</f>
        <v>0</v>
      </c>
      <c r="T425" s="81">
        <f ca="1">SUMPRODUCT((Work_Codes!$N$336:$Y$336=$E425)*(Work_Codes!$N$339:$Y$344)*(T$408:T$413))</f>
        <v>0</v>
      </c>
    </row>
    <row r="426" spans="3:20" ht="11.5" customHeight="1" outlineLevel="2">
      <c r="E426" s="247" t="str">
        <f>GC!C44</f>
        <v>Supply Regulators / Valve Stations</v>
      </c>
      <c r="F426" s="247"/>
      <c r="G426" s="247"/>
      <c r="H426" s="247"/>
      <c r="I426" s="247"/>
      <c r="J426" s="81">
        <f ca="1">SUMPRODUCT((Work_Codes!$N$336:$Y$336=$E426)*(Work_Codes!$N$339:$Y$344)*(J$408:J$413))</f>
        <v>0</v>
      </c>
      <c r="K426" s="81">
        <f ca="1">SUMPRODUCT((Work_Codes!$N$336:$Y$336=$E426)*(Work_Codes!$N$339:$Y$344)*(K$408:K$413))</f>
        <v>0</v>
      </c>
      <c r="L426" s="81">
        <f ca="1">SUMPRODUCT((Work_Codes!$N$336:$Y$336=$E426)*(Work_Codes!$N$339:$Y$344)*(L$408:L$413))</f>
        <v>0</v>
      </c>
      <c r="M426" s="81">
        <f ca="1">SUMPRODUCT((Work_Codes!$N$336:$Y$336=$E426)*(Work_Codes!$N$339:$Y$344)*(M$408:M$413))</f>
        <v>0</v>
      </c>
      <c r="N426" s="81">
        <f ca="1">SUMPRODUCT((Work_Codes!$N$336:$Y$336=$E426)*(Work_Codes!$N$339:$Y$344)*(N$408:N$413))</f>
        <v>0</v>
      </c>
      <c r="O426" s="81">
        <f ca="1">SUMPRODUCT((Work_Codes!$N$336:$Y$336=$E426)*(Work_Codes!$N$339:$Y$344)*(O$408:O$413))</f>
        <v>0</v>
      </c>
      <c r="P426" s="81">
        <f ca="1">SUMPRODUCT((Work_Codes!$N$336:$Y$336=$E426)*(Work_Codes!$N$339:$Y$344)*(P$408:P$413))</f>
        <v>0</v>
      </c>
      <c r="Q426" s="81">
        <f ca="1">SUMPRODUCT((Work_Codes!$N$336:$Y$336=$E426)*(Work_Codes!$N$339:$Y$344)*(Q$408:Q$413))</f>
        <v>0</v>
      </c>
      <c r="R426" s="81">
        <f ca="1">SUMPRODUCT((Work_Codes!$N$336:$Y$336=$E426)*(Work_Codes!$N$339:$Y$344)*(R$408:R$413))</f>
        <v>0</v>
      </c>
      <c r="S426" s="81">
        <f ca="1">SUMPRODUCT((Work_Codes!$N$336:$Y$336=$E426)*(Work_Codes!$N$339:$Y$344)*(S$408:S$413))</f>
        <v>0</v>
      </c>
      <c r="T426" s="81">
        <f ca="1">SUMPRODUCT((Work_Codes!$N$336:$Y$336=$E426)*(Work_Codes!$N$339:$Y$344)*(T$408:T$413))</f>
        <v>0</v>
      </c>
    </row>
    <row r="427" spans="3:20" ht="11.5" customHeight="1" outlineLevel="2">
      <c r="E427" s="247" t="str">
        <f>GC!C45</f>
        <v>Meters</v>
      </c>
      <c r="F427" s="247"/>
      <c r="G427" s="247"/>
      <c r="H427" s="247"/>
      <c r="I427" s="247"/>
      <c r="J427" s="81">
        <f ca="1">SUMPRODUCT((Work_Codes!$N$336:$Y$336=$E427)*(Work_Codes!$N$339:$Y$344)*(J$408:J$413))</f>
        <v>0</v>
      </c>
      <c r="K427" s="81">
        <f ca="1">SUMPRODUCT((Work_Codes!$N$336:$Y$336=$E427)*(Work_Codes!$N$339:$Y$344)*(K$408:K$413))</f>
        <v>0</v>
      </c>
      <c r="L427" s="81">
        <f ca="1">SUMPRODUCT((Work_Codes!$N$336:$Y$336=$E427)*(Work_Codes!$N$339:$Y$344)*(L$408:L$413))</f>
        <v>0</v>
      </c>
      <c r="M427" s="81">
        <f ca="1">SUMPRODUCT((Work_Codes!$N$336:$Y$336=$E427)*(Work_Codes!$N$339:$Y$344)*(M$408:M$413))</f>
        <v>0</v>
      </c>
      <c r="N427" s="81">
        <f ca="1">SUMPRODUCT((Work_Codes!$N$336:$Y$336=$E427)*(Work_Codes!$N$339:$Y$344)*(N$408:N$413))</f>
        <v>0</v>
      </c>
      <c r="O427" s="81">
        <f ca="1">SUMPRODUCT((Work_Codes!$N$336:$Y$336=$E427)*(Work_Codes!$N$339:$Y$344)*(O$408:O$413))</f>
        <v>0</v>
      </c>
      <c r="P427" s="81">
        <f ca="1">SUMPRODUCT((Work_Codes!$N$336:$Y$336=$E427)*(Work_Codes!$N$339:$Y$344)*(P$408:P$413))</f>
        <v>0</v>
      </c>
      <c r="Q427" s="81">
        <f ca="1">SUMPRODUCT((Work_Codes!$N$336:$Y$336=$E427)*(Work_Codes!$N$339:$Y$344)*(Q$408:Q$413))</f>
        <v>0</v>
      </c>
      <c r="R427" s="81">
        <f ca="1">SUMPRODUCT((Work_Codes!$N$336:$Y$336=$E427)*(Work_Codes!$N$339:$Y$344)*(R$408:R$413))</f>
        <v>0</v>
      </c>
      <c r="S427" s="81">
        <f ca="1">SUMPRODUCT((Work_Codes!$N$336:$Y$336=$E427)*(Work_Codes!$N$339:$Y$344)*(S$408:S$413))</f>
        <v>0</v>
      </c>
      <c r="T427" s="81">
        <f ca="1">SUMPRODUCT((Work_Codes!$N$336:$Y$336=$E427)*(Work_Codes!$N$339:$Y$344)*(T$408:T$413))</f>
        <v>0</v>
      </c>
    </row>
    <row r="428" spans="3:20" ht="11.5" customHeight="1" outlineLevel="2">
      <c r="E428" s="247" t="str">
        <f>GC!C46</f>
        <v>SCADA and remote control</v>
      </c>
      <c r="F428" s="247"/>
      <c r="G428" s="247"/>
      <c r="H428" s="247"/>
      <c r="I428" s="247"/>
      <c r="J428" s="81">
        <f ca="1">SUMPRODUCT((Work_Codes!$N$336:$Y$336=$E428)*(Work_Codes!$N$339:$Y$344)*(J$408:J$413))</f>
        <v>0</v>
      </c>
      <c r="K428" s="81">
        <f ca="1">SUMPRODUCT((Work_Codes!$N$336:$Y$336=$E428)*(Work_Codes!$N$339:$Y$344)*(K$408:K$413))</f>
        <v>0</v>
      </c>
      <c r="L428" s="81">
        <f ca="1">SUMPRODUCT((Work_Codes!$N$336:$Y$336=$E428)*(Work_Codes!$N$339:$Y$344)*(L$408:L$413))</f>
        <v>0</v>
      </c>
      <c r="M428" s="81">
        <f ca="1">SUMPRODUCT((Work_Codes!$N$336:$Y$336=$E428)*(Work_Codes!$N$339:$Y$344)*(M$408:M$413))</f>
        <v>0</v>
      </c>
      <c r="N428" s="81">
        <f ca="1">SUMPRODUCT((Work_Codes!$N$336:$Y$336=$E428)*(Work_Codes!$N$339:$Y$344)*(N$408:N$413))</f>
        <v>0</v>
      </c>
      <c r="O428" s="81">
        <f ca="1">SUMPRODUCT((Work_Codes!$N$336:$Y$336=$E428)*(Work_Codes!$N$339:$Y$344)*(O$408:O$413))</f>
        <v>0</v>
      </c>
      <c r="P428" s="81">
        <f ca="1">SUMPRODUCT((Work_Codes!$N$336:$Y$336=$E428)*(Work_Codes!$N$339:$Y$344)*(P$408:P$413))</f>
        <v>0</v>
      </c>
      <c r="Q428" s="81">
        <f ca="1">SUMPRODUCT((Work_Codes!$N$336:$Y$336=$E428)*(Work_Codes!$N$339:$Y$344)*(Q$408:Q$413))</f>
        <v>0</v>
      </c>
      <c r="R428" s="81">
        <f ca="1">SUMPRODUCT((Work_Codes!$N$336:$Y$336=$E428)*(Work_Codes!$N$339:$Y$344)*(R$408:R$413))</f>
        <v>0</v>
      </c>
      <c r="S428" s="81">
        <f ca="1">SUMPRODUCT((Work_Codes!$N$336:$Y$336=$E428)*(Work_Codes!$N$339:$Y$344)*(S$408:S$413))</f>
        <v>0</v>
      </c>
      <c r="T428" s="81">
        <f ca="1">SUMPRODUCT((Work_Codes!$N$336:$Y$336=$E428)*(Work_Codes!$N$339:$Y$344)*(T$408:T$413))</f>
        <v>0</v>
      </c>
    </row>
    <row r="429" spans="3:20" ht="11.5" customHeight="1" outlineLevel="2">
      <c r="E429" s="247" t="str">
        <f>GC!C47</f>
        <v>Buildings</v>
      </c>
      <c r="F429" s="247"/>
      <c r="G429" s="247"/>
      <c r="H429" s="247"/>
      <c r="I429" s="247"/>
      <c r="J429" s="81">
        <f ca="1">SUMPRODUCT((Work_Codes!$N$336:$Y$336=$E429)*(Work_Codes!$N$339:$Y$344)*(J$408:J$413))</f>
        <v>0</v>
      </c>
      <c r="K429" s="81">
        <f ca="1">SUMPRODUCT((Work_Codes!$N$336:$Y$336=$E429)*(Work_Codes!$N$339:$Y$344)*(K$408:K$413))</f>
        <v>0</v>
      </c>
      <c r="L429" s="81">
        <f ca="1">SUMPRODUCT((Work_Codes!$N$336:$Y$336=$E429)*(Work_Codes!$N$339:$Y$344)*(L$408:L$413))</f>
        <v>0</v>
      </c>
      <c r="M429" s="81">
        <f ca="1">SUMPRODUCT((Work_Codes!$N$336:$Y$336=$E429)*(Work_Codes!$N$339:$Y$344)*(M$408:M$413))</f>
        <v>0</v>
      </c>
      <c r="N429" s="81">
        <f ca="1">SUMPRODUCT((Work_Codes!$N$336:$Y$336=$E429)*(Work_Codes!$N$339:$Y$344)*(N$408:N$413))</f>
        <v>0</v>
      </c>
      <c r="O429" s="81">
        <f ca="1">SUMPRODUCT((Work_Codes!$N$336:$Y$336=$E429)*(Work_Codes!$N$339:$Y$344)*(O$408:O$413))</f>
        <v>0</v>
      </c>
      <c r="P429" s="81">
        <f ca="1">SUMPRODUCT((Work_Codes!$N$336:$Y$336=$E429)*(Work_Codes!$N$339:$Y$344)*(P$408:P$413))</f>
        <v>0</v>
      </c>
      <c r="Q429" s="81">
        <f ca="1">SUMPRODUCT((Work_Codes!$N$336:$Y$336=$E429)*(Work_Codes!$N$339:$Y$344)*(Q$408:Q$413))</f>
        <v>0</v>
      </c>
      <c r="R429" s="81">
        <f ca="1">SUMPRODUCT((Work_Codes!$N$336:$Y$336=$E429)*(Work_Codes!$N$339:$Y$344)*(R$408:R$413))</f>
        <v>0</v>
      </c>
      <c r="S429" s="81">
        <f ca="1">SUMPRODUCT((Work_Codes!$N$336:$Y$336=$E429)*(Work_Codes!$N$339:$Y$344)*(S$408:S$413))</f>
        <v>0</v>
      </c>
      <c r="T429" s="81">
        <f ca="1">SUMPRODUCT((Work_Codes!$N$336:$Y$336=$E429)*(Work_Codes!$N$339:$Y$344)*(T$408:T$413))</f>
        <v>0</v>
      </c>
    </row>
    <row r="430" spans="3:20" ht="11.5" customHeight="1" outlineLevel="2">
      <c r="E430" s="247" t="str">
        <f>GC!C48</f>
        <v>Other - IT</v>
      </c>
      <c r="F430" s="247"/>
      <c r="G430" s="247"/>
      <c r="H430" s="247"/>
      <c r="I430" s="247"/>
      <c r="J430" s="81">
        <f ca="1">SUMPRODUCT((Work_Codes!$N$336:$Y$336=$E430)*(Work_Codes!$N$339:$Y$344)*(J$408:J$413))</f>
        <v>0</v>
      </c>
      <c r="K430" s="81">
        <f ca="1">SUMPRODUCT((Work_Codes!$N$336:$Y$336=$E430)*(Work_Codes!$N$339:$Y$344)*(K$408:K$413))</f>
        <v>0</v>
      </c>
      <c r="L430" s="81">
        <f ca="1">SUMPRODUCT((Work_Codes!$N$336:$Y$336=$E430)*(Work_Codes!$N$339:$Y$344)*(L$408:L$413))</f>
        <v>0</v>
      </c>
      <c r="M430" s="81">
        <f ca="1">SUMPRODUCT((Work_Codes!$N$336:$Y$336=$E430)*(Work_Codes!$N$339:$Y$344)*(M$408:M$413))</f>
        <v>0</v>
      </c>
      <c r="N430" s="81">
        <f ca="1">SUMPRODUCT((Work_Codes!$N$336:$Y$336=$E430)*(Work_Codes!$N$339:$Y$344)*(N$408:N$413))</f>
        <v>0</v>
      </c>
      <c r="O430" s="81">
        <f ca="1">SUMPRODUCT((Work_Codes!$N$336:$Y$336=$E430)*(Work_Codes!$N$339:$Y$344)*(O$408:O$413))</f>
        <v>0</v>
      </c>
      <c r="P430" s="81">
        <f ca="1">SUMPRODUCT((Work_Codes!$N$336:$Y$336=$E430)*(Work_Codes!$N$339:$Y$344)*(P$408:P$413))</f>
        <v>0</v>
      </c>
      <c r="Q430" s="81">
        <f ca="1">SUMPRODUCT((Work_Codes!$N$336:$Y$336=$E430)*(Work_Codes!$N$339:$Y$344)*(Q$408:Q$413))</f>
        <v>0</v>
      </c>
      <c r="R430" s="81">
        <f ca="1">SUMPRODUCT((Work_Codes!$N$336:$Y$336=$E430)*(Work_Codes!$N$339:$Y$344)*(R$408:R$413))</f>
        <v>0</v>
      </c>
      <c r="S430" s="81">
        <f ca="1">SUMPRODUCT((Work_Codes!$N$336:$Y$336=$E430)*(Work_Codes!$N$339:$Y$344)*(S$408:S$413))</f>
        <v>0</v>
      </c>
      <c r="T430" s="81">
        <f ca="1">SUMPRODUCT((Work_Codes!$N$336:$Y$336=$E430)*(Work_Codes!$N$339:$Y$344)*(T$408:T$413))</f>
        <v>0</v>
      </c>
    </row>
    <row r="431" spans="3:20" ht="11.5" customHeight="1" outlineLevel="2">
      <c r="E431" s="247" t="str">
        <f>GC!C49</f>
        <v>Other - non IT</v>
      </c>
      <c r="F431" s="247"/>
      <c r="G431" s="247"/>
      <c r="H431" s="247"/>
      <c r="I431" s="247"/>
      <c r="J431" s="81">
        <f ca="1">SUMPRODUCT((Work_Codes!$N$336:$Y$336=$E431)*(Work_Codes!$N$339:$Y$344)*(J$408:J$413))</f>
        <v>0</v>
      </c>
      <c r="K431" s="81">
        <f ca="1">SUMPRODUCT((Work_Codes!$N$336:$Y$336=$E431)*(Work_Codes!$N$339:$Y$344)*(K$408:K$413))</f>
        <v>0</v>
      </c>
      <c r="L431" s="81">
        <f ca="1">SUMPRODUCT((Work_Codes!$N$336:$Y$336=$E431)*(Work_Codes!$N$339:$Y$344)*(L$408:L$413))</f>
        <v>0</v>
      </c>
      <c r="M431" s="81">
        <f ca="1">SUMPRODUCT((Work_Codes!$N$336:$Y$336=$E431)*(Work_Codes!$N$339:$Y$344)*(M$408:M$413))</f>
        <v>0</v>
      </c>
      <c r="N431" s="81">
        <f ca="1">SUMPRODUCT((Work_Codes!$N$336:$Y$336=$E431)*(Work_Codes!$N$339:$Y$344)*(N$408:N$413))</f>
        <v>0</v>
      </c>
      <c r="O431" s="81">
        <f ca="1">SUMPRODUCT((Work_Codes!$N$336:$Y$336=$E431)*(Work_Codes!$N$339:$Y$344)*(O$408:O$413))</f>
        <v>0</v>
      </c>
      <c r="P431" s="81">
        <f ca="1">SUMPRODUCT((Work_Codes!$N$336:$Y$336=$E431)*(Work_Codes!$N$339:$Y$344)*(P$408:P$413))</f>
        <v>0</v>
      </c>
      <c r="Q431" s="81">
        <f ca="1">SUMPRODUCT((Work_Codes!$N$336:$Y$336=$E431)*(Work_Codes!$N$339:$Y$344)*(Q$408:Q$413))</f>
        <v>0</v>
      </c>
      <c r="R431" s="81">
        <f ca="1">SUMPRODUCT((Work_Codes!$N$336:$Y$336=$E431)*(Work_Codes!$N$339:$Y$344)*(R$408:R$413))</f>
        <v>0</v>
      </c>
      <c r="S431" s="81">
        <f ca="1">SUMPRODUCT((Work_Codes!$N$336:$Y$336=$E431)*(Work_Codes!$N$339:$Y$344)*(S$408:S$413))</f>
        <v>0</v>
      </c>
      <c r="T431" s="81">
        <f ca="1">SUMPRODUCT((Work_Codes!$N$336:$Y$336=$E431)*(Work_Codes!$N$339:$Y$344)*(T$408:T$413))</f>
        <v>0</v>
      </c>
    </row>
    <row r="432" spans="3:20" ht="11.5" customHeight="1" outlineLevel="2">
      <c r="E432" s="247" t="str">
        <f>GC!C50</f>
        <v>Land</v>
      </c>
      <c r="F432" s="247"/>
      <c r="G432" s="247"/>
      <c r="H432" s="247"/>
      <c r="I432" s="247"/>
      <c r="J432" s="81">
        <f ca="1">SUMPRODUCT((Work_Codes!$N$336:$Y$336=$E432)*(Work_Codes!$N$339:$Y$344)*(J$408:J$413))</f>
        <v>0</v>
      </c>
      <c r="K432" s="81">
        <f ca="1">SUMPRODUCT((Work_Codes!$N$336:$Y$336=$E432)*(Work_Codes!$N$339:$Y$344)*(K$408:K$413))</f>
        <v>0</v>
      </c>
      <c r="L432" s="81">
        <f ca="1">SUMPRODUCT((Work_Codes!$N$336:$Y$336=$E432)*(Work_Codes!$N$339:$Y$344)*(L$408:L$413))</f>
        <v>0</v>
      </c>
      <c r="M432" s="81">
        <f ca="1">SUMPRODUCT((Work_Codes!$N$336:$Y$336=$E432)*(Work_Codes!$N$339:$Y$344)*(M$408:M$413))</f>
        <v>0</v>
      </c>
      <c r="N432" s="81">
        <f ca="1">SUMPRODUCT((Work_Codes!$N$336:$Y$336=$E432)*(Work_Codes!$N$339:$Y$344)*(N$408:N$413))</f>
        <v>0</v>
      </c>
      <c r="O432" s="81">
        <f ca="1">SUMPRODUCT((Work_Codes!$N$336:$Y$336=$E432)*(Work_Codes!$N$339:$Y$344)*(O$408:O$413))</f>
        <v>0</v>
      </c>
      <c r="P432" s="81">
        <f ca="1">SUMPRODUCT((Work_Codes!$N$336:$Y$336=$E432)*(Work_Codes!$N$339:$Y$344)*(P$408:P$413))</f>
        <v>0</v>
      </c>
      <c r="Q432" s="81">
        <f ca="1">SUMPRODUCT((Work_Codes!$N$336:$Y$336=$E432)*(Work_Codes!$N$339:$Y$344)*(Q$408:Q$413))</f>
        <v>0</v>
      </c>
      <c r="R432" s="81">
        <f ca="1">SUMPRODUCT((Work_Codes!$N$336:$Y$336=$E432)*(Work_Codes!$N$339:$Y$344)*(R$408:R$413))</f>
        <v>0</v>
      </c>
      <c r="S432" s="81">
        <f ca="1">SUMPRODUCT((Work_Codes!$N$336:$Y$336=$E432)*(Work_Codes!$N$339:$Y$344)*(S$408:S$413))</f>
        <v>0</v>
      </c>
      <c r="T432" s="81">
        <f ca="1">SUMPRODUCT((Work_Codes!$N$336:$Y$336=$E432)*(Work_Codes!$N$339:$Y$344)*(T$408:T$413))</f>
        <v>0</v>
      </c>
    </row>
    <row r="433" spans="4:20" outlineLevel="2">
      <c r="E433" s="247" t="str">
        <f>GC!C51</f>
        <v>Capitalised Leases</v>
      </c>
      <c r="F433" s="247"/>
      <c r="G433" s="247"/>
      <c r="H433" s="247"/>
      <c r="I433" s="247"/>
      <c r="J433" s="81">
        <f ca="1">SUMPRODUCT((Work_Codes!$N$336:$Y$336=$E433)*(Work_Codes!$N$339:$Y$344)*(J$408:J$413))</f>
        <v>0</v>
      </c>
      <c r="K433" s="81">
        <f ca="1">SUMPRODUCT((Work_Codes!$N$336:$Y$336=$E433)*(Work_Codes!$N$339:$Y$344)*(K$408:K$413))</f>
        <v>0</v>
      </c>
      <c r="L433" s="81">
        <f ca="1">SUMPRODUCT((Work_Codes!$N$336:$Y$336=$E433)*(Work_Codes!$N$339:$Y$344)*(L$408:L$413))</f>
        <v>0</v>
      </c>
      <c r="M433" s="81">
        <f ca="1">SUMPRODUCT((Work_Codes!$N$336:$Y$336=$E433)*(Work_Codes!$N$339:$Y$344)*(M$408:M$413))</f>
        <v>0</v>
      </c>
      <c r="N433" s="81">
        <f ca="1">SUMPRODUCT((Work_Codes!$N$336:$Y$336=$E433)*(Work_Codes!$N$339:$Y$344)*(N$408:N$413))</f>
        <v>0</v>
      </c>
      <c r="O433" s="81">
        <f ca="1">SUMPRODUCT((Work_Codes!$N$336:$Y$336=$E433)*(Work_Codes!$N$339:$Y$344)*(O$408:O$413))</f>
        <v>0</v>
      </c>
      <c r="P433" s="81">
        <f ca="1">SUMPRODUCT((Work_Codes!$N$336:$Y$336=$E433)*(Work_Codes!$N$339:$Y$344)*(P$408:P$413))</f>
        <v>0</v>
      </c>
      <c r="Q433" s="81">
        <f ca="1">SUMPRODUCT((Work_Codes!$N$336:$Y$336=$E433)*(Work_Codes!$N$339:$Y$344)*(Q$408:Q$413))</f>
        <v>0</v>
      </c>
      <c r="R433" s="81">
        <f ca="1">SUMPRODUCT((Work_Codes!$N$336:$Y$336=$E433)*(Work_Codes!$N$339:$Y$344)*(R$408:R$413))</f>
        <v>0</v>
      </c>
      <c r="S433" s="81">
        <f ca="1">SUMPRODUCT((Work_Codes!$N$336:$Y$336=$E433)*(Work_Codes!$N$339:$Y$344)*(S$408:S$413))</f>
        <v>0</v>
      </c>
      <c r="T433" s="81">
        <f ca="1">SUMPRODUCT((Work_Codes!$N$336:$Y$336=$E433)*(Work_Codes!$N$339:$Y$344)*(T$408:T$413))</f>
        <v>0</v>
      </c>
    </row>
    <row r="434" spans="4:20" outlineLevel="2">
      <c r="E434" s="247" t="str">
        <f>GC!C52</f>
        <v>Transmission pipelines - post 1998</v>
      </c>
      <c r="F434" s="247"/>
      <c r="G434" s="247"/>
      <c r="H434" s="247"/>
      <c r="I434" s="247"/>
      <c r="J434" s="81">
        <f ca="1">SUMPRODUCT((Work_Codes!$N$336:$Y$336=$E434)*(Work_Codes!$N$339:$Y$344)*(J$408:J$413))</f>
        <v>0</v>
      </c>
      <c r="K434" s="81">
        <f ca="1">SUMPRODUCT((Work_Codes!$N$336:$Y$336=$E434)*(Work_Codes!$N$339:$Y$344)*(K$408:K$413))</f>
        <v>0</v>
      </c>
      <c r="L434" s="81">
        <f ca="1">SUMPRODUCT((Work_Codes!$N$336:$Y$336=$E434)*(Work_Codes!$N$339:$Y$344)*(L$408:L$413))</f>
        <v>0</v>
      </c>
      <c r="M434" s="81">
        <f ca="1">SUMPRODUCT((Work_Codes!$N$336:$Y$336=$E434)*(Work_Codes!$N$339:$Y$344)*(M$408:M$413))</f>
        <v>0</v>
      </c>
      <c r="N434" s="81">
        <f ca="1">SUMPRODUCT((Work_Codes!$N$336:$Y$336=$E434)*(Work_Codes!$N$339:$Y$344)*(N$408:N$413))</f>
        <v>0</v>
      </c>
      <c r="O434" s="81">
        <f ca="1">SUMPRODUCT((Work_Codes!$N$336:$Y$336=$E434)*(Work_Codes!$N$339:$Y$344)*(O$408:O$413))</f>
        <v>0</v>
      </c>
      <c r="P434" s="81">
        <f ca="1">SUMPRODUCT((Work_Codes!$N$336:$Y$336=$E434)*(Work_Codes!$N$339:$Y$344)*(P$408:P$413))</f>
        <v>544322.64950999548</v>
      </c>
      <c r="Q434" s="81">
        <f ca="1">SUMPRODUCT((Work_Codes!$N$336:$Y$336=$E434)*(Work_Codes!$N$339:$Y$344)*(Q$408:Q$413))</f>
        <v>1680521.3063269476</v>
      </c>
      <c r="R434" s="81">
        <f ca="1">SUMPRODUCT((Work_Codes!$N$336:$Y$336=$E434)*(Work_Codes!$N$339:$Y$344)*(R$408:R$413))</f>
        <v>2548384.7430302529</v>
      </c>
      <c r="S434" s="81">
        <f ca="1">SUMPRODUCT((Work_Codes!$N$336:$Y$336=$E434)*(Work_Codes!$N$339:$Y$344)*(S$408:S$413))</f>
        <v>716595.18455192144</v>
      </c>
      <c r="T434" s="81">
        <f ca="1">SUMPRODUCT((Work_Codes!$N$336:$Y$336=$E434)*(Work_Codes!$N$339:$Y$344)*(T$408:T$413))</f>
        <v>120.25009022564794</v>
      </c>
    </row>
    <row r="435" spans="4:20" outlineLevel="2">
      <c r="E435" s="247" t="str">
        <f>GC!C53</f>
        <v>Distribution pipelines - post 1998</v>
      </c>
      <c r="F435" s="247"/>
      <c r="G435" s="247"/>
      <c r="H435" s="247"/>
      <c r="I435" s="247"/>
      <c r="J435" s="81">
        <f ca="1">SUMPRODUCT((Work_Codes!$N$336:$Y$336=$E435)*(Work_Codes!$N$339:$Y$344)*(J$408:J$413))</f>
        <v>0</v>
      </c>
      <c r="K435" s="81">
        <f ca="1">SUMPRODUCT((Work_Codes!$N$336:$Y$336=$E435)*(Work_Codes!$N$339:$Y$344)*(K$408:K$413))</f>
        <v>0</v>
      </c>
      <c r="L435" s="81">
        <f ca="1">SUMPRODUCT((Work_Codes!$N$336:$Y$336=$E435)*(Work_Codes!$N$339:$Y$344)*(L$408:L$413))</f>
        <v>0</v>
      </c>
      <c r="M435" s="81">
        <f ca="1">SUMPRODUCT((Work_Codes!$N$336:$Y$336=$E435)*(Work_Codes!$N$339:$Y$344)*(M$408:M$413))</f>
        <v>0</v>
      </c>
      <c r="N435" s="81">
        <f ca="1">SUMPRODUCT((Work_Codes!$N$336:$Y$336=$E435)*(Work_Codes!$N$339:$Y$344)*(N$408:N$413))</f>
        <v>0</v>
      </c>
      <c r="O435" s="81">
        <f ca="1">SUMPRODUCT((Work_Codes!$N$336:$Y$336=$E435)*(Work_Codes!$N$339:$Y$344)*(O$408:O$413))</f>
        <v>0</v>
      </c>
      <c r="P435" s="81">
        <f ca="1">SUMPRODUCT((Work_Codes!$N$336:$Y$336=$E435)*(Work_Codes!$N$339:$Y$344)*(P$408:P$413))</f>
        <v>0</v>
      </c>
      <c r="Q435" s="81">
        <f ca="1">SUMPRODUCT((Work_Codes!$N$336:$Y$336=$E435)*(Work_Codes!$N$339:$Y$344)*(Q$408:Q$413))</f>
        <v>0</v>
      </c>
      <c r="R435" s="81">
        <f ca="1">SUMPRODUCT((Work_Codes!$N$336:$Y$336=$E435)*(Work_Codes!$N$339:$Y$344)*(R$408:R$413))</f>
        <v>0</v>
      </c>
      <c r="S435" s="81">
        <f ca="1">SUMPRODUCT((Work_Codes!$N$336:$Y$336=$E435)*(Work_Codes!$N$339:$Y$344)*(S$408:S$413))</f>
        <v>0</v>
      </c>
      <c r="T435" s="81">
        <f ca="1">SUMPRODUCT((Work_Codes!$N$336:$Y$336=$E435)*(Work_Codes!$N$339:$Y$344)*(T$408:T$413))</f>
        <v>0</v>
      </c>
    </row>
    <row r="436" spans="4:20" outlineLevel="2">
      <c r="E436" s="247" t="str">
        <f>GC!C54</f>
        <v>Service pipes - post 1998</v>
      </c>
      <c r="F436" s="247"/>
      <c r="G436" s="247"/>
      <c r="H436" s="247"/>
      <c r="I436" s="247"/>
      <c r="J436" s="81">
        <f ca="1">SUMPRODUCT((Work_Codes!$N$336:$Y$336=$E436)*(Work_Codes!$N$339:$Y$344)*(J$408:J$413))</f>
        <v>0</v>
      </c>
      <c r="K436" s="81">
        <f ca="1">SUMPRODUCT((Work_Codes!$N$336:$Y$336=$E436)*(Work_Codes!$N$339:$Y$344)*(K$408:K$413))</f>
        <v>0</v>
      </c>
      <c r="L436" s="81">
        <f ca="1">SUMPRODUCT((Work_Codes!$N$336:$Y$336=$E436)*(Work_Codes!$N$339:$Y$344)*(L$408:L$413))</f>
        <v>0</v>
      </c>
      <c r="M436" s="81">
        <f ca="1">SUMPRODUCT((Work_Codes!$N$336:$Y$336=$E436)*(Work_Codes!$N$339:$Y$344)*(M$408:M$413))</f>
        <v>0</v>
      </c>
      <c r="N436" s="81">
        <f ca="1">SUMPRODUCT((Work_Codes!$N$336:$Y$336=$E436)*(Work_Codes!$N$339:$Y$344)*(N$408:N$413))</f>
        <v>0</v>
      </c>
      <c r="O436" s="81">
        <f ca="1">SUMPRODUCT((Work_Codes!$N$336:$Y$336=$E436)*(Work_Codes!$N$339:$Y$344)*(O$408:O$413))</f>
        <v>0</v>
      </c>
      <c r="P436" s="81">
        <f ca="1">SUMPRODUCT((Work_Codes!$N$336:$Y$336=$E436)*(Work_Codes!$N$339:$Y$344)*(P$408:P$413))</f>
        <v>0</v>
      </c>
      <c r="Q436" s="81">
        <f ca="1">SUMPRODUCT((Work_Codes!$N$336:$Y$336=$E436)*(Work_Codes!$N$339:$Y$344)*(Q$408:Q$413))</f>
        <v>0</v>
      </c>
      <c r="R436" s="81">
        <f ca="1">SUMPRODUCT((Work_Codes!$N$336:$Y$336=$E436)*(Work_Codes!$N$339:$Y$344)*(R$408:R$413))</f>
        <v>0</v>
      </c>
      <c r="S436" s="81">
        <f ca="1">SUMPRODUCT((Work_Codes!$N$336:$Y$336=$E436)*(Work_Codes!$N$339:$Y$344)*(S$408:S$413))</f>
        <v>0</v>
      </c>
      <c r="T436" s="81">
        <f ca="1">SUMPRODUCT((Work_Codes!$N$336:$Y$336=$E436)*(Work_Codes!$N$339:$Y$344)*(T$408:T$413))</f>
        <v>0</v>
      </c>
    </row>
    <row r="437" spans="4:20" outlineLevel="2">
      <c r="E437" s="247" t="str">
        <f>GC!C55</f>
        <v>Cathodic protection - post 1998</v>
      </c>
      <c r="F437" s="247"/>
      <c r="G437" s="247"/>
      <c r="H437" s="247"/>
      <c r="I437" s="247"/>
      <c r="J437" s="81">
        <f ca="1">SUMPRODUCT((Work_Codes!$N$336:$Y$336=$E437)*(Work_Codes!$N$339:$Y$344)*(J$408:J$413))</f>
        <v>0</v>
      </c>
      <c r="K437" s="81">
        <f ca="1">SUMPRODUCT((Work_Codes!$N$336:$Y$336=$E437)*(Work_Codes!$N$339:$Y$344)*(K$408:K$413))</f>
        <v>0</v>
      </c>
      <c r="L437" s="81">
        <f ca="1">SUMPRODUCT((Work_Codes!$N$336:$Y$336=$E437)*(Work_Codes!$N$339:$Y$344)*(L$408:L$413))</f>
        <v>0</v>
      </c>
      <c r="M437" s="81">
        <f ca="1">SUMPRODUCT((Work_Codes!$N$336:$Y$336=$E437)*(Work_Codes!$N$339:$Y$344)*(M$408:M$413))</f>
        <v>0</v>
      </c>
      <c r="N437" s="81">
        <f ca="1">SUMPRODUCT((Work_Codes!$N$336:$Y$336=$E437)*(Work_Codes!$N$339:$Y$344)*(N$408:N$413))</f>
        <v>0</v>
      </c>
      <c r="O437" s="81">
        <f ca="1">SUMPRODUCT((Work_Codes!$N$336:$Y$336=$E437)*(Work_Codes!$N$339:$Y$344)*(O$408:O$413))</f>
        <v>0</v>
      </c>
      <c r="P437" s="81">
        <f ca="1">SUMPRODUCT((Work_Codes!$N$336:$Y$336=$E437)*(Work_Codes!$N$339:$Y$344)*(P$408:P$413))</f>
        <v>0</v>
      </c>
      <c r="Q437" s="81">
        <f ca="1">SUMPRODUCT((Work_Codes!$N$336:$Y$336=$E437)*(Work_Codes!$N$339:$Y$344)*(Q$408:Q$413))</f>
        <v>0</v>
      </c>
      <c r="R437" s="81">
        <f ca="1">SUMPRODUCT((Work_Codes!$N$336:$Y$336=$E437)*(Work_Codes!$N$339:$Y$344)*(R$408:R$413))</f>
        <v>0</v>
      </c>
      <c r="S437" s="81">
        <f ca="1">SUMPRODUCT((Work_Codes!$N$336:$Y$336=$E437)*(Work_Codes!$N$339:$Y$344)*(S$408:S$413))</f>
        <v>0</v>
      </c>
      <c r="T437" s="81">
        <f ca="1">SUMPRODUCT((Work_Codes!$N$336:$Y$336=$E437)*(Work_Codes!$N$339:$Y$344)*(T$408:T$413))</f>
        <v>0</v>
      </c>
    </row>
    <row r="438" spans="4:20" ht="12" customHeight="1" outlineLevel="2">
      <c r="E438" s="249" t="str">
        <f>"Total "&amp;D420</f>
        <v>Total Direct Costs</v>
      </c>
      <c r="F438" s="249"/>
      <c r="G438" s="249"/>
      <c r="H438" s="249"/>
      <c r="I438" s="249"/>
      <c r="J438" s="82">
        <f t="shared" ref="J438:T438" ca="1" si="49">SUM(J422:J437)</f>
        <v>0</v>
      </c>
      <c r="K438" s="82">
        <f t="shared" ca="1" si="49"/>
        <v>0</v>
      </c>
      <c r="L438" s="82">
        <f t="shared" ca="1" si="49"/>
        <v>0</v>
      </c>
      <c r="M438" s="82">
        <f t="shared" ca="1" si="49"/>
        <v>0</v>
      </c>
      <c r="N438" s="82">
        <f t="shared" ca="1" si="49"/>
        <v>0</v>
      </c>
      <c r="O438" s="82">
        <f t="shared" ca="1" si="49"/>
        <v>0</v>
      </c>
      <c r="P438" s="82">
        <f t="shared" ca="1" si="49"/>
        <v>544322.64950999548</v>
      </c>
      <c r="Q438" s="82">
        <f t="shared" ca="1" si="49"/>
        <v>1680521.3063269476</v>
      </c>
      <c r="R438" s="82">
        <f t="shared" ca="1" si="49"/>
        <v>2548384.7430302529</v>
      </c>
      <c r="S438" s="82">
        <f t="shared" ca="1" si="49"/>
        <v>716595.18455192144</v>
      </c>
      <c r="T438" s="82">
        <f t="shared" ca="1" si="49"/>
        <v>120.25009022564794</v>
      </c>
    </row>
    <row r="439" spans="4:20" outlineLevel="2"/>
    <row r="440" spans="4:20" outlineLevel="2">
      <c r="D440" s="37" t="s">
        <v>364</v>
      </c>
    </row>
    <row r="441" spans="4:20" ht="5.9" customHeight="1" outlineLevel="2"/>
    <row r="442" spans="4:20" outlineLevel="2">
      <c r="E442" s="247" t="str">
        <f>GC!C40</f>
        <v>Transmission pipelines</v>
      </c>
      <c r="F442" s="247"/>
      <c r="G442" s="247"/>
      <c r="H442" s="247"/>
      <c r="I442" s="247"/>
      <c r="J442" s="81">
        <f ca="1">J422*(INDEX(J$324:J$326,MATCH(Work_Codes!$I$333,$D$324:$D$326,0)))</f>
        <v>0</v>
      </c>
      <c r="K442" s="81">
        <f ca="1">K422*(INDEX(K$324:K$326,MATCH(Work_Codes!$I$333,$D$324:$D$326,0)))</f>
        <v>0</v>
      </c>
      <c r="L442" s="81">
        <f ca="1">L422*(INDEX(L$324:L$326,MATCH(Work_Codes!$I$333,$D$324:$D$326,0)))</f>
        <v>0</v>
      </c>
      <c r="M442" s="81">
        <f ca="1">M422*(INDEX(M$324:M$326,MATCH(Work_Codes!$I$333,$D$324:$D$326,0)))</f>
        <v>0</v>
      </c>
      <c r="N442" s="81">
        <f ca="1">N422*(INDEX(N$324:N$326,MATCH(Work_Codes!$I$333,$D$324:$D$326,0)))</f>
        <v>0</v>
      </c>
      <c r="O442" s="81">
        <f ca="1">O422*(INDEX(O$324:O$326,MATCH(Work_Codes!$I$333,$D$324:$D$326,0)))</f>
        <v>0</v>
      </c>
      <c r="P442" s="81">
        <f ca="1">P422*(INDEX(P$324:P$326,MATCH(Work_Codes!$I$333,$D$324:$D$326,0)))</f>
        <v>0</v>
      </c>
      <c r="Q442" s="81">
        <f ca="1">Q422*(INDEX(Q$324:Q$326,MATCH(Work_Codes!$I$333,$D$324:$D$326,0)))</f>
        <v>0</v>
      </c>
      <c r="R442" s="81">
        <f ca="1">R422*(INDEX(R$324:R$326,MATCH(Work_Codes!$I$333,$D$324:$D$326,0)))</f>
        <v>0</v>
      </c>
      <c r="S442" s="81">
        <f ca="1">S422*(INDEX(S$324:S$326,MATCH(Work_Codes!$I$333,$D$324:$D$326,0)))</f>
        <v>0</v>
      </c>
      <c r="T442" s="81">
        <f ca="1">T422*(INDEX(T$324:T$326,MATCH(Work_Codes!$I$333,$D$324:$D$326,0)))</f>
        <v>0</v>
      </c>
    </row>
    <row r="443" spans="4:20" outlineLevel="2">
      <c r="E443" s="247" t="str">
        <f>GC!C41</f>
        <v>Distribution pipelines</v>
      </c>
      <c r="F443" s="247"/>
      <c r="G443" s="247"/>
      <c r="H443" s="247"/>
      <c r="I443" s="247"/>
      <c r="J443" s="81">
        <f ca="1">J423*(INDEX(J$324:J$326,MATCH(Work_Codes!$I$333,$D$324:$D$326,0)))</f>
        <v>0</v>
      </c>
      <c r="K443" s="81">
        <f ca="1">K423*(INDEX(K$324:K$326,MATCH(Work_Codes!$I$333,$D$324:$D$326,0)))</f>
        <v>0</v>
      </c>
      <c r="L443" s="81">
        <f ca="1">L423*(INDEX(L$324:L$326,MATCH(Work_Codes!$I$333,$D$324:$D$326,0)))</f>
        <v>0</v>
      </c>
      <c r="M443" s="81">
        <f ca="1">M423*(INDEX(M$324:M$326,MATCH(Work_Codes!$I$333,$D$324:$D$326,0)))</f>
        <v>0</v>
      </c>
      <c r="N443" s="81">
        <f ca="1">N423*(INDEX(N$324:N$326,MATCH(Work_Codes!$I$333,$D$324:$D$326,0)))</f>
        <v>0</v>
      </c>
      <c r="O443" s="81">
        <f ca="1">O423*(INDEX(O$324:O$326,MATCH(Work_Codes!$I$333,$D$324:$D$326,0)))</f>
        <v>0</v>
      </c>
      <c r="P443" s="81">
        <f ca="1">P423*(INDEX(P$324:P$326,MATCH(Work_Codes!$I$333,$D$324:$D$326,0)))</f>
        <v>0</v>
      </c>
      <c r="Q443" s="81">
        <f ca="1">Q423*(INDEX(Q$324:Q$326,MATCH(Work_Codes!$I$333,$D$324:$D$326,0)))</f>
        <v>0</v>
      </c>
      <c r="R443" s="81">
        <f ca="1">R423*(INDEX(R$324:R$326,MATCH(Work_Codes!$I$333,$D$324:$D$326,0)))</f>
        <v>0</v>
      </c>
      <c r="S443" s="81">
        <f ca="1">S423*(INDEX(S$324:S$326,MATCH(Work_Codes!$I$333,$D$324:$D$326,0)))</f>
        <v>0</v>
      </c>
      <c r="T443" s="81">
        <f ca="1">T423*(INDEX(T$324:T$326,MATCH(Work_Codes!$I$333,$D$324:$D$326,0)))</f>
        <v>0</v>
      </c>
    </row>
    <row r="444" spans="4:20" outlineLevel="2">
      <c r="E444" s="247" t="str">
        <f>GC!C42</f>
        <v>Service pipes</v>
      </c>
      <c r="F444" s="247"/>
      <c r="G444" s="247"/>
      <c r="H444" s="247"/>
      <c r="I444" s="247"/>
      <c r="J444" s="81">
        <f ca="1">J424*(INDEX(J$324:J$326,MATCH(Work_Codes!$I$333,$D$324:$D$326,0)))</f>
        <v>0</v>
      </c>
      <c r="K444" s="81">
        <f ca="1">K424*(INDEX(K$324:K$326,MATCH(Work_Codes!$I$333,$D$324:$D$326,0)))</f>
        <v>0</v>
      </c>
      <c r="L444" s="81">
        <f ca="1">L424*(INDEX(L$324:L$326,MATCH(Work_Codes!$I$333,$D$324:$D$326,0)))</f>
        <v>0</v>
      </c>
      <c r="M444" s="81">
        <f ca="1">M424*(INDEX(M$324:M$326,MATCH(Work_Codes!$I$333,$D$324:$D$326,0)))</f>
        <v>0</v>
      </c>
      <c r="N444" s="81">
        <f ca="1">N424*(INDEX(N$324:N$326,MATCH(Work_Codes!$I$333,$D$324:$D$326,0)))</f>
        <v>0</v>
      </c>
      <c r="O444" s="81">
        <f ca="1">O424*(INDEX(O$324:O$326,MATCH(Work_Codes!$I$333,$D$324:$D$326,0)))</f>
        <v>0</v>
      </c>
      <c r="P444" s="81">
        <f ca="1">P424*(INDEX(P$324:P$326,MATCH(Work_Codes!$I$333,$D$324:$D$326,0)))</f>
        <v>0</v>
      </c>
      <c r="Q444" s="81">
        <f ca="1">Q424*(INDEX(Q$324:Q$326,MATCH(Work_Codes!$I$333,$D$324:$D$326,0)))</f>
        <v>0</v>
      </c>
      <c r="R444" s="81">
        <f ca="1">R424*(INDEX(R$324:R$326,MATCH(Work_Codes!$I$333,$D$324:$D$326,0)))</f>
        <v>0</v>
      </c>
      <c r="S444" s="81">
        <f ca="1">S424*(INDEX(S$324:S$326,MATCH(Work_Codes!$I$333,$D$324:$D$326,0)))</f>
        <v>0</v>
      </c>
      <c r="T444" s="81">
        <f ca="1">T424*(INDEX(T$324:T$326,MATCH(Work_Codes!$I$333,$D$324:$D$326,0)))</f>
        <v>0</v>
      </c>
    </row>
    <row r="445" spans="4:20" outlineLevel="2">
      <c r="E445" s="247" t="str">
        <f>GC!C43</f>
        <v>Cathodic protection</v>
      </c>
      <c r="F445" s="247"/>
      <c r="G445" s="247"/>
      <c r="H445" s="247"/>
      <c r="I445" s="247"/>
      <c r="J445" s="81">
        <f ca="1">J425*(INDEX(J$324:J$326,MATCH(Work_Codes!$I$333,$D$324:$D$326,0)))</f>
        <v>0</v>
      </c>
      <c r="K445" s="81">
        <f ca="1">K425*(INDEX(K$324:K$326,MATCH(Work_Codes!$I$333,$D$324:$D$326,0)))</f>
        <v>0</v>
      </c>
      <c r="L445" s="81">
        <f ca="1">L425*(INDEX(L$324:L$326,MATCH(Work_Codes!$I$333,$D$324:$D$326,0)))</f>
        <v>0</v>
      </c>
      <c r="M445" s="81">
        <f ca="1">M425*(INDEX(M$324:M$326,MATCH(Work_Codes!$I$333,$D$324:$D$326,0)))</f>
        <v>0</v>
      </c>
      <c r="N445" s="81">
        <f ca="1">N425*(INDEX(N$324:N$326,MATCH(Work_Codes!$I$333,$D$324:$D$326,0)))</f>
        <v>0</v>
      </c>
      <c r="O445" s="81">
        <f ca="1">O425*(INDEX(O$324:O$326,MATCH(Work_Codes!$I$333,$D$324:$D$326,0)))</f>
        <v>0</v>
      </c>
      <c r="P445" s="81">
        <f ca="1">P425*(INDEX(P$324:P$326,MATCH(Work_Codes!$I$333,$D$324:$D$326,0)))</f>
        <v>0</v>
      </c>
      <c r="Q445" s="81">
        <f ca="1">Q425*(INDEX(Q$324:Q$326,MATCH(Work_Codes!$I$333,$D$324:$D$326,0)))</f>
        <v>0</v>
      </c>
      <c r="R445" s="81">
        <f ca="1">R425*(INDEX(R$324:R$326,MATCH(Work_Codes!$I$333,$D$324:$D$326,0)))</f>
        <v>0</v>
      </c>
      <c r="S445" s="81">
        <f ca="1">S425*(INDEX(S$324:S$326,MATCH(Work_Codes!$I$333,$D$324:$D$326,0)))</f>
        <v>0</v>
      </c>
      <c r="T445" s="81">
        <f ca="1">T425*(INDEX(T$324:T$326,MATCH(Work_Codes!$I$333,$D$324:$D$326,0)))</f>
        <v>0</v>
      </c>
    </row>
    <row r="446" spans="4:20" outlineLevel="2">
      <c r="E446" s="247" t="str">
        <f>GC!C44</f>
        <v>Supply Regulators / Valve Stations</v>
      </c>
      <c r="F446" s="247"/>
      <c r="G446" s="247"/>
      <c r="H446" s="247"/>
      <c r="I446" s="247"/>
      <c r="J446" s="81">
        <f ca="1">J426*(INDEX(J$324:J$326,MATCH(Work_Codes!$I$333,$D$324:$D$326,0)))</f>
        <v>0</v>
      </c>
      <c r="K446" s="81">
        <f ca="1">K426*(INDEX(K$324:K$326,MATCH(Work_Codes!$I$333,$D$324:$D$326,0)))</f>
        <v>0</v>
      </c>
      <c r="L446" s="81">
        <f ca="1">L426*(INDEX(L$324:L$326,MATCH(Work_Codes!$I$333,$D$324:$D$326,0)))</f>
        <v>0</v>
      </c>
      <c r="M446" s="81">
        <f ca="1">M426*(INDEX(M$324:M$326,MATCH(Work_Codes!$I$333,$D$324:$D$326,0)))</f>
        <v>0</v>
      </c>
      <c r="N446" s="81">
        <f ca="1">N426*(INDEX(N$324:N$326,MATCH(Work_Codes!$I$333,$D$324:$D$326,0)))</f>
        <v>0</v>
      </c>
      <c r="O446" s="81">
        <f ca="1">O426*(INDEX(O$324:O$326,MATCH(Work_Codes!$I$333,$D$324:$D$326,0)))</f>
        <v>0</v>
      </c>
      <c r="P446" s="81">
        <f ca="1">P426*(INDEX(P$324:P$326,MATCH(Work_Codes!$I$333,$D$324:$D$326,0)))</f>
        <v>0</v>
      </c>
      <c r="Q446" s="81">
        <f ca="1">Q426*(INDEX(Q$324:Q$326,MATCH(Work_Codes!$I$333,$D$324:$D$326,0)))</f>
        <v>0</v>
      </c>
      <c r="R446" s="81">
        <f ca="1">R426*(INDEX(R$324:R$326,MATCH(Work_Codes!$I$333,$D$324:$D$326,0)))</f>
        <v>0</v>
      </c>
      <c r="S446" s="81">
        <f ca="1">S426*(INDEX(S$324:S$326,MATCH(Work_Codes!$I$333,$D$324:$D$326,0)))</f>
        <v>0</v>
      </c>
      <c r="T446" s="81">
        <f ca="1">T426*(INDEX(T$324:T$326,MATCH(Work_Codes!$I$333,$D$324:$D$326,0)))</f>
        <v>0</v>
      </c>
    </row>
    <row r="447" spans="4:20" outlineLevel="2">
      <c r="E447" s="247" t="str">
        <f>GC!C45</f>
        <v>Meters</v>
      </c>
      <c r="F447" s="247"/>
      <c r="G447" s="247"/>
      <c r="H447" s="247"/>
      <c r="I447" s="247"/>
      <c r="J447" s="81">
        <f ca="1">J427*(INDEX(J$324:J$326,MATCH(Work_Codes!$I$333,$D$324:$D$326,0)))</f>
        <v>0</v>
      </c>
      <c r="K447" s="81">
        <f ca="1">K427*(INDEX(K$324:K$326,MATCH(Work_Codes!$I$333,$D$324:$D$326,0)))</f>
        <v>0</v>
      </c>
      <c r="L447" s="81">
        <f ca="1">L427*(INDEX(L$324:L$326,MATCH(Work_Codes!$I$333,$D$324:$D$326,0)))</f>
        <v>0</v>
      </c>
      <c r="M447" s="81">
        <f ca="1">M427*(INDEX(M$324:M$326,MATCH(Work_Codes!$I$333,$D$324:$D$326,0)))</f>
        <v>0</v>
      </c>
      <c r="N447" s="81">
        <f ca="1">N427*(INDEX(N$324:N$326,MATCH(Work_Codes!$I$333,$D$324:$D$326,0)))</f>
        <v>0</v>
      </c>
      <c r="O447" s="81">
        <f ca="1">O427*(INDEX(O$324:O$326,MATCH(Work_Codes!$I$333,$D$324:$D$326,0)))</f>
        <v>0</v>
      </c>
      <c r="P447" s="81">
        <f ca="1">P427*(INDEX(P$324:P$326,MATCH(Work_Codes!$I$333,$D$324:$D$326,0)))</f>
        <v>0</v>
      </c>
      <c r="Q447" s="81">
        <f ca="1">Q427*(INDEX(Q$324:Q$326,MATCH(Work_Codes!$I$333,$D$324:$D$326,0)))</f>
        <v>0</v>
      </c>
      <c r="R447" s="81">
        <f ca="1">R427*(INDEX(R$324:R$326,MATCH(Work_Codes!$I$333,$D$324:$D$326,0)))</f>
        <v>0</v>
      </c>
      <c r="S447" s="81">
        <f ca="1">S427*(INDEX(S$324:S$326,MATCH(Work_Codes!$I$333,$D$324:$D$326,0)))</f>
        <v>0</v>
      </c>
      <c r="T447" s="81">
        <f ca="1">T427*(INDEX(T$324:T$326,MATCH(Work_Codes!$I$333,$D$324:$D$326,0)))</f>
        <v>0</v>
      </c>
    </row>
    <row r="448" spans="4:20" outlineLevel="2">
      <c r="E448" s="247" t="str">
        <f>GC!C46</f>
        <v>SCADA and remote control</v>
      </c>
      <c r="F448" s="247"/>
      <c r="G448" s="247"/>
      <c r="H448" s="247"/>
      <c r="I448" s="247"/>
      <c r="J448" s="81">
        <f ca="1">J428*(INDEX(J$324:J$326,MATCH(Work_Codes!$I$333,$D$324:$D$326,0)))</f>
        <v>0</v>
      </c>
      <c r="K448" s="81">
        <f ca="1">K428*(INDEX(K$324:K$326,MATCH(Work_Codes!$I$333,$D$324:$D$326,0)))</f>
        <v>0</v>
      </c>
      <c r="L448" s="81">
        <f ca="1">L428*(INDEX(L$324:L$326,MATCH(Work_Codes!$I$333,$D$324:$D$326,0)))</f>
        <v>0</v>
      </c>
      <c r="M448" s="81">
        <f ca="1">M428*(INDEX(M$324:M$326,MATCH(Work_Codes!$I$333,$D$324:$D$326,0)))</f>
        <v>0</v>
      </c>
      <c r="N448" s="81">
        <f ca="1">N428*(INDEX(N$324:N$326,MATCH(Work_Codes!$I$333,$D$324:$D$326,0)))</f>
        <v>0</v>
      </c>
      <c r="O448" s="81">
        <f ca="1">O428*(INDEX(O$324:O$326,MATCH(Work_Codes!$I$333,$D$324:$D$326,0)))</f>
        <v>0</v>
      </c>
      <c r="P448" s="81">
        <f ca="1">P428*(INDEX(P$324:P$326,MATCH(Work_Codes!$I$333,$D$324:$D$326,0)))</f>
        <v>0</v>
      </c>
      <c r="Q448" s="81">
        <f ca="1">Q428*(INDEX(Q$324:Q$326,MATCH(Work_Codes!$I$333,$D$324:$D$326,0)))</f>
        <v>0</v>
      </c>
      <c r="R448" s="81">
        <f ca="1">R428*(INDEX(R$324:R$326,MATCH(Work_Codes!$I$333,$D$324:$D$326,0)))</f>
        <v>0</v>
      </c>
      <c r="S448" s="81">
        <f ca="1">S428*(INDEX(S$324:S$326,MATCH(Work_Codes!$I$333,$D$324:$D$326,0)))</f>
        <v>0</v>
      </c>
      <c r="T448" s="81">
        <f ca="1">T428*(INDEX(T$324:T$326,MATCH(Work_Codes!$I$333,$D$324:$D$326,0)))</f>
        <v>0</v>
      </c>
    </row>
    <row r="449" spans="4:20" outlineLevel="2">
      <c r="E449" s="247" t="str">
        <f>GC!C47</f>
        <v>Buildings</v>
      </c>
      <c r="F449" s="247"/>
      <c r="G449" s="247"/>
      <c r="H449" s="247"/>
      <c r="I449" s="247"/>
      <c r="J449" s="81">
        <f ca="1">J429*(INDEX(J$324:J$326,MATCH(Work_Codes!$I$333,$D$324:$D$326,0)))</f>
        <v>0</v>
      </c>
      <c r="K449" s="81">
        <f ca="1">K429*(INDEX(K$324:K$326,MATCH(Work_Codes!$I$333,$D$324:$D$326,0)))</f>
        <v>0</v>
      </c>
      <c r="L449" s="81">
        <f ca="1">L429*(INDEX(L$324:L$326,MATCH(Work_Codes!$I$333,$D$324:$D$326,0)))</f>
        <v>0</v>
      </c>
      <c r="M449" s="81">
        <f ca="1">M429*(INDEX(M$324:M$326,MATCH(Work_Codes!$I$333,$D$324:$D$326,0)))</f>
        <v>0</v>
      </c>
      <c r="N449" s="81">
        <f ca="1">N429*(INDEX(N$324:N$326,MATCH(Work_Codes!$I$333,$D$324:$D$326,0)))</f>
        <v>0</v>
      </c>
      <c r="O449" s="81">
        <f ca="1">O429*(INDEX(O$324:O$326,MATCH(Work_Codes!$I$333,$D$324:$D$326,0)))</f>
        <v>0</v>
      </c>
      <c r="P449" s="81">
        <f ca="1">P429*(INDEX(P$324:P$326,MATCH(Work_Codes!$I$333,$D$324:$D$326,0)))</f>
        <v>0</v>
      </c>
      <c r="Q449" s="81">
        <f ca="1">Q429*(INDEX(Q$324:Q$326,MATCH(Work_Codes!$I$333,$D$324:$D$326,0)))</f>
        <v>0</v>
      </c>
      <c r="R449" s="81">
        <f ca="1">R429*(INDEX(R$324:R$326,MATCH(Work_Codes!$I$333,$D$324:$D$326,0)))</f>
        <v>0</v>
      </c>
      <c r="S449" s="81">
        <f ca="1">S429*(INDEX(S$324:S$326,MATCH(Work_Codes!$I$333,$D$324:$D$326,0)))</f>
        <v>0</v>
      </c>
      <c r="T449" s="81">
        <f ca="1">T429*(INDEX(T$324:T$326,MATCH(Work_Codes!$I$333,$D$324:$D$326,0)))</f>
        <v>0</v>
      </c>
    </row>
    <row r="450" spans="4:20" outlineLevel="2">
      <c r="E450" s="247" t="str">
        <f>GC!C48</f>
        <v>Other - IT</v>
      </c>
      <c r="F450" s="247"/>
      <c r="G450" s="247"/>
      <c r="H450" s="247"/>
      <c r="I450" s="247"/>
      <c r="J450" s="81">
        <f ca="1">J430*(INDEX(J$324:J$326,MATCH(Work_Codes!$I$333,$D$324:$D$326,0)))</f>
        <v>0</v>
      </c>
      <c r="K450" s="81">
        <f ca="1">K430*(INDEX(K$324:K$326,MATCH(Work_Codes!$I$333,$D$324:$D$326,0)))</f>
        <v>0</v>
      </c>
      <c r="L450" s="81">
        <f ca="1">L430*(INDEX(L$324:L$326,MATCH(Work_Codes!$I$333,$D$324:$D$326,0)))</f>
        <v>0</v>
      </c>
      <c r="M450" s="81">
        <f ca="1">M430*(INDEX(M$324:M$326,MATCH(Work_Codes!$I$333,$D$324:$D$326,0)))</f>
        <v>0</v>
      </c>
      <c r="N450" s="81">
        <f ca="1">N430*(INDEX(N$324:N$326,MATCH(Work_Codes!$I$333,$D$324:$D$326,0)))</f>
        <v>0</v>
      </c>
      <c r="O450" s="81">
        <f ca="1">O430*(INDEX(O$324:O$326,MATCH(Work_Codes!$I$333,$D$324:$D$326,0)))</f>
        <v>0</v>
      </c>
      <c r="P450" s="81">
        <f ca="1">P430*(INDEX(P$324:P$326,MATCH(Work_Codes!$I$333,$D$324:$D$326,0)))</f>
        <v>0</v>
      </c>
      <c r="Q450" s="81">
        <f ca="1">Q430*(INDEX(Q$324:Q$326,MATCH(Work_Codes!$I$333,$D$324:$D$326,0)))</f>
        <v>0</v>
      </c>
      <c r="R450" s="81">
        <f ca="1">R430*(INDEX(R$324:R$326,MATCH(Work_Codes!$I$333,$D$324:$D$326,0)))</f>
        <v>0</v>
      </c>
      <c r="S450" s="81">
        <f ca="1">S430*(INDEX(S$324:S$326,MATCH(Work_Codes!$I$333,$D$324:$D$326,0)))</f>
        <v>0</v>
      </c>
      <c r="T450" s="81">
        <f ca="1">T430*(INDEX(T$324:T$326,MATCH(Work_Codes!$I$333,$D$324:$D$326,0)))</f>
        <v>0</v>
      </c>
    </row>
    <row r="451" spans="4:20" outlineLevel="2">
      <c r="E451" s="247" t="str">
        <f>GC!C49</f>
        <v>Other - non IT</v>
      </c>
      <c r="F451" s="247"/>
      <c r="G451" s="247"/>
      <c r="H451" s="247"/>
      <c r="I451" s="247"/>
      <c r="J451" s="81">
        <f ca="1">J431*(INDEX(J$324:J$326,MATCH(Work_Codes!$I$333,$D$324:$D$326,0)))</f>
        <v>0</v>
      </c>
      <c r="K451" s="81">
        <f ca="1">K431*(INDEX(K$324:K$326,MATCH(Work_Codes!$I$333,$D$324:$D$326,0)))</f>
        <v>0</v>
      </c>
      <c r="L451" s="81">
        <f ca="1">L431*(INDEX(L$324:L$326,MATCH(Work_Codes!$I$333,$D$324:$D$326,0)))</f>
        <v>0</v>
      </c>
      <c r="M451" s="81">
        <f ca="1">M431*(INDEX(M$324:M$326,MATCH(Work_Codes!$I$333,$D$324:$D$326,0)))</f>
        <v>0</v>
      </c>
      <c r="N451" s="81">
        <f ca="1">N431*(INDEX(N$324:N$326,MATCH(Work_Codes!$I$333,$D$324:$D$326,0)))</f>
        <v>0</v>
      </c>
      <c r="O451" s="81">
        <f ca="1">O431*(INDEX(O$324:O$326,MATCH(Work_Codes!$I$333,$D$324:$D$326,0)))</f>
        <v>0</v>
      </c>
      <c r="P451" s="81">
        <f ca="1">P431*(INDEX(P$324:P$326,MATCH(Work_Codes!$I$333,$D$324:$D$326,0)))</f>
        <v>0</v>
      </c>
      <c r="Q451" s="81">
        <f ca="1">Q431*(INDEX(Q$324:Q$326,MATCH(Work_Codes!$I$333,$D$324:$D$326,0)))</f>
        <v>0</v>
      </c>
      <c r="R451" s="81">
        <f ca="1">R431*(INDEX(R$324:R$326,MATCH(Work_Codes!$I$333,$D$324:$D$326,0)))</f>
        <v>0</v>
      </c>
      <c r="S451" s="81">
        <f ca="1">S431*(INDEX(S$324:S$326,MATCH(Work_Codes!$I$333,$D$324:$D$326,0)))</f>
        <v>0</v>
      </c>
      <c r="T451" s="81">
        <f ca="1">T431*(INDEX(T$324:T$326,MATCH(Work_Codes!$I$333,$D$324:$D$326,0)))</f>
        <v>0</v>
      </c>
    </row>
    <row r="452" spans="4:20" outlineLevel="2">
      <c r="E452" s="247" t="str">
        <f>GC!C50</f>
        <v>Land</v>
      </c>
      <c r="F452" s="247"/>
      <c r="G452" s="247"/>
      <c r="H452" s="247"/>
      <c r="I452" s="247"/>
      <c r="J452" s="81">
        <f ca="1">J432*(INDEX(J$324:J$326,MATCH(Work_Codes!$I$333,$D$324:$D$326,0)))</f>
        <v>0</v>
      </c>
      <c r="K452" s="81">
        <f ca="1">K432*(INDEX(K$324:K$326,MATCH(Work_Codes!$I$333,$D$324:$D$326,0)))</f>
        <v>0</v>
      </c>
      <c r="L452" s="81">
        <f ca="1">L432*(INDEX(L$324:L$326,MATCH(Work_Codes!$I$333,$D$324:$D$326,0)))</f>
        <v>0</v>
      </c>
      <c r="M452" s="81">
        <f ca="1">M432*(INDEX(M$324:M$326,MATCH(Work_Codes!$I$333,$D$324:$D$326,0)))</f>
        <v>0</v>
      </c>
      <c r="N452" s="81">
        <f ca="1">N432*(INDEX(N$324:N$326,MATCH(Work_Codes!$I$333,$D$324:$D$326,0)))</f>
        <v>0</v>
      </c>
      <c r="O452" s="81">
        <f ca="1">O432*(INDEX(O$324:O$326,MATCH(Work_Codes!$I$333,$D$324:$D$326,0)))</f>
        <v>0</v>
      </c>
      <c r="P452" s="81">
        <f ca="1">P432*(INDEX(P$324:P$326,MATCH(Work_Codes!$I$333,$D$324:$D$326,0)))</f>
        <v>0</v>
      </c>
      <c r="Q452" s="81">
        <f ca="1">Q432*(INDEX(Q$324:Q$326,MATCH(Work_Codes!$I$333,$D$324:$D$326,0)))</f>
        <v>0</v>
      </c>
      <c r="R452" s="81">
        <f ca="1">R432*(INDEX(R$324:R$326,MATCH(Work_Codes!$I$333,$D$324:$D$326,0)))</f>
        <v>0</v>
      </c>
      <c r="S452" s="81">
        <f ca="1">S432*(INDEX(S$324:S$326,MATCH(Work_Codes!$I$333,$D$324:$D$326,0)))</f>
        <v>0</v>
      </c>
      <c r="T452" s="81">
        <f ca="1">T432*(INDEX(T$324:T$326,MATCH(Work_Codes!$I$333,$D$324:$D$326,0)))</f>
        <v>0</v>
      </c>
    </row>
    <row r="453" spans="4:20" outlineLevel="2">
      <c r="E453" s="247" t="str">
        <f>GC!C51</f>
        <v>Capitalised Leases</v>
      </c>
      <c r="F453" s="247"/>
      <c r="G453" s="247"/>
      <c r="H453" s="247"/>
      <c r="I453" s="247"/>
      <c r="J453" s="81">
        <f ca="1">J433*(INDEX(J$324:J$326,MATCH(Work_Codes!$I$333,$D$324:$D$326,0)))</f>
        <v>0</v>
      </c>
      <c r="K453" s="81">
        <f ca="1">K433*(INDEX(K$324:K$326,MATCH(Work_Codes!$I$333,$D$324:$D$326,0)))</f>
        <v>0</v>
      </c>
      <c r="L453" s="81">
        <f ca="1">L433*(INDEX(L$324:L$326,MATCH(Work_Codes!$I$333,$D$324:$D$326,0)))</f>
        <v>0</v>
      </c>
      <c r="M453" s="81">
        <f ca="1">M433*(INDEX(M$324:M$326,MATCH(Work_Codes!$I$333,$D$324:$D$326,0)))</f>
        <v>0</v>
      </c>
      <c r="N453" s="81">
        <f ca="1">N433*(INDEX(N$324:N$326,MATCH(Work_Codes!$I$333,$D$324:$D$326,0)))</f>
        <v>0</v>
      </c>
      <c r="O453" s="81">
        <f ca="1">O433*(INDEX(O$324:O$326,MATCH(Work_Codes!$I$333,$D$324:$D$326,0)))</f>
        <v>0</v>
      </c>
      <c r="P453" s="81">
        <f ca="1">P433*(INDEX(P$324:P$326,MATCH(Work_Codes!$I$333,$D$324:$D$326,0)))</f>
        <v>0</v>
      </c>
      <c r="Q453" s="81">
        <f ca="1">Q433*(INDEX(Q$324:Q$326,MATCH(Work_Codes!$I$333,$D$324:$D$326,0)))</f>
        <v>0</v>
      </c>
      <c r="R453" s="81">
        <f ca="1">R433*(INDEX(R$324:R$326,MATCH(Work_Codes!$I$333,$D$324:$D$326,0)))</f>
        <v>0</v>
      </c>
      <c r="S453" s="81">
        <f ca="1">S433*(INDEX(S$324:S$326,MATCH(Work_Codes!$I$333,$D$324:$D$326,0)))</f>
        <v>0</v>
      </c>
      <c r="T453" s="81">
        <f ca="1">T433*(INDEX(T$324:T$326,MATCH(Work_Codes!$I$333,$D$324:$D$326,0)))</f>
        <v>0</v>
      </c>
    </row>
    <row r="454" spans="4:20" outlineLevel="2">
      <c r="E454" s="247" t="str">
        <f>GC!C52</f>
        <v>Transmission pipelines - post 1998</v>
      </c>
      <c r="F454" s="247"/>
      <c r="G454" s="247"/>
      <c r="H454" s="247"/>
      <c r="I454" s="247"/>
      <c r="J454" s="81">
        <f ca="1">J434*(INDEX(J$324:J$326,MATCH(Work_Codes!$I$333,$D$324:$D$326,0)))</f>
        <v>0</v>
      </c>
      <c r="K454" s="81">
        <f ca="1">K434*(INDEX(K$324:K$326,MATCH(Work_Codes!$I$333,$D$324:$D$326,0)))</f>
        <v>0</v>
      </c>
      <c r="L454" s="81">
        <f ca="1">L434*(INDEX(L$324:L$326,MATCH(Work_Codes!$I$333,$D$324:$D$326,0)))</f>
        <v>0</v>
      </c>
      <c r="M454" s="81">
        <f ca="1">M434*(INDEX(M$324:M$326,MATCH(Work_Codes!$I$333,$D$324:$D$326,0)))</f>
        <v>0</v>
      </c>
      <c r="N454" s="81">
        <f ca="1">N434*(INDEX(N$324:N$326,MATCH(Work_Codes!$I$333,$D$324:$D$326,0)))</f>
        <v>0</v>
      </c>
      <c r="O454" s="81">
        <f ca="1">O434*(INDEX(O$324:O$326,MATCH(Work_Codes!$I$333,$D$324:$D$326,0)))</f>
        <v>0</v>
      </c>
      <c r="P454" s="81">
        <f ca="1">P434*(INDEX(P$324:P$326,MATCH(Work_Codes!$I$333,$D$324:$D$326,0)))</f>
        <v>14562.079052120071</v>
      </c>
      <c r="Q454" s="81">
        <f ca="1">Q434*(INDEX(Q$324:Q$326,MATCH(Work_Codes!$I$333,$D$324:$D$326,0)))</f>
        <v>43795.37229537854</v>
      </c>
      <c r="R454" s="81">
        <f ca="1">R434*(INDEX(R$324:R$326,MATCH(Work_Codes!$I$333,$D$324:$D$326,0)))</f>
        <v>68482.758458127704</v>
      </c>
      <c r="S454" s="81">
        <f ca="1">S434*(INDEX(S$324:S$326,MATCH(Work_Codes!$I$333,$D$324:$D$326,0)))</f>
        <v>20456.054357236866</v>
      </c>
      <c r="T454" s="81">
        <f ca="1">T434*(INDEX(T$324:T$326,MATCH(Work_Codes!$I$333,$D$324:$D$326,0)))</f>
        <v>3.5979281785788157</v>
      </c>
    </row>
    <row r="455" spans="4:20" outlineLevel="2">
      <c r="E455" s="247" t="str">
        <f>GC!C53</f>
        <v>Distribution pipelines - post 1998</v>
      </c>
      <c r="F455" s="247"/>
      <c r="G455" s="247"/>
      <c r="H455" s="247"/>
      <c r="I455" s="247"/>
      <c r="J455" s="81">
        <f ca="1">J435*(INDEX(J$324:J$326,MATCH(Work_Codes!$I$333,$D$324:$D$326,0)))</f>
        <v>0</v>
      </c>
      <c r="K455" s="81">
        <f ca="1">K435*(INDEX(K$324:K$326,MATCH(Work_Codes!$I$333,$D$324:$D$326,0)))</f>
        <v>0</v>
      </c>
      <c r="L455" s="81">
        <f ca="1">L435*(INDEX(L$324:L$326,MATCH(Work_Codes!$I$333,$D$324:$D$326,0)))</f>
        <v>0</v>
      </c>
      <c r="M455" s="81">
        <f ca="1">M435*(INDEX(M$324:M$326,MATCH(Work_Codes!$I$333,$D$324:$D$326,0)))</f>
        <v>0</v>
      </c>
      <c r="N455" s="81">
        <f ca="1">N435*(INDEX(N$324:N$326,MATCH(Work_Codes!$I$333,$D$324:$D$326,0)))</f>
        <v>0</v>
      </c>
      <c r="O455" s="81">
        <f ca="1">O435*(INDEX(O$324:O$326,MATCH(Work_Codes!$I$333,$D$324:$D$326,0)))</f>
        <v>0</v>
      </c>
      <c r="P455" s="81">
        <f ca="1">P435*(INDEX(P$324:P$326,MATCH(Work_Codes!$I$333,$D$324:$D$326,0)))</f>
        <v>0</v>
      </c>
      <c r="Q455" s="81">
        <f ca="1">Q435*(INDEX(Q$324:Q$326,MATCH(Work_Codes!$I$333,$D$324:$D$326,0)))</f>
        <v>0</v>
      </c>
      <c r="R455" s="81">
        <f ca="1">R435*(INDEX(R$324:R$326,MATCH(Work_Codes!$I$333,$D$324:$D$326,0)))</f>
        <v>0</v>
      </c>
      <c r="S455" s="81">
        <f ca="1">S435*(INDEX(S$324:S$326,MATCH(Work_Codes!$I$333,$D$324:$D$326,0)))</f>
        <v>0</v>
      </c>
      <c r="T455" s="81">
        <f ca="1">T435*(INDEX(T$324:T$326,MATCH(Work_Codes!$I$333,$D$324:$D$326,0)))</f>
        <v>0</v>
      </c>
    </row>
    <row r="456" spans="4:20" outlineLevel="2">
      <c r="E456" s="247" t="str">
        <f>GC!C54</f>
        <v>Service pipes - post 1998</v>
      </c>
      <c r="F456" s="247"/>
      <c r="G456" s="247"/>
      <c r="H456" s="247"/>
      <c r="I456" s="247"/>
      <c r="J456" s="81">
        <f ca="1">J436*(INDEX(J$324:J$326,MATCH(Work_Codes!$I$333,$D$324:$D$326,0)))</f>
        <v>0</v>
      </c>
      <c r="K456" s="81">
        <f ca="1">K436*(INDEX(K$324:K$326,MATCH(Work_Codes!$I$333,$D$324:$D$326,0)))</f>
        <v>0</v>
      </c>
      <c r="L456" s="81">
        <f ca="1">L436*(INDEX(L$324:L$326,MATCH(Work_Codes!$I$333,$D$324:$D$326,0)))</f>
        <v>0</v>
      </c>
      <c r="M456" s="81">
        <f ca="1">M436*(INDEX(M$324:M$326,MATCH(Work_Codes!$I$333,$D$324:$D$326,0)))</f>
        <v>0</v>
      </c>
      <c r="N456" s="81">
        <f ca="1">N436*(INDEX(N$324:N$326,MATCH(Work_Codes!$I$333,$D$324:$D$326,0)))</f>
        <v>0</v>
      </c>
      <c r="O456" s="81">
        <f ca="1">O436*(INDEX(O$324:O$326,MATCH(Work_Codes!$I$333,$D$324:$D$326,0)))</f>
        <v>0</v>
      </c>
      <c r="P456" s="81">
        <f ca="1">P436*(INDEX(P$324:P$326,MATCH(Work_Codes!$I$333,$D$324:$D$326,0)))</f>
        <v>0</v>
      </c>
      <c r="Q456" s="81">
        <f ca="1">Q436*(INDEX(Q$324:Q$326,MATCH(Work_Codes!$I$333,$D$324:$D$326,0)))</f>
        <v>0</v>
      </c>
      <c r="R456" s="81">
        <f ca="1">R436*(INDEX(R$324:R$326,MATCH(Work_Codes!$I$333,$D$324:$D$326,0)))</f>
        <v>0</v>
      </c>
      <c r="S456" s="81">
        <f ca="1">S436*(INDEX(S$324:S$326,MATCH(Work_Codes!$I$333,$D$324:$D$326,0)))</f>
        <v>0</v>
      </c>
      <c r="T456" s="81">
        <f ca="1">T436*(INDEX(T$324:T$326,MATCH(Work_Codes!$I$333,$D$324:$D$326,0)))</f>
        <v>0</v>
      </c>
    </row>
    <row r="457" spans="4:20" outlineLevel="2">
      <c r="E457" s="247" t="str">
        <f>GC!C55</f>
        <v>Cathodic protection - post 1998</v>
      </c>
      <c r="F457" s="247"/>
      <c r="G457" s="247"/>
      <c r="H457" s="247"/>
      <c r="I457" s="247"/>
      <c r="J457" s="81">
        <f ca="1">J437*(INDEX(J$324:J$326,MATCH(Work_Codes!$I$333,$D$324:$D$326,0)))</f>
        <v>0</v>
      </c>
      <c r="K457" s="81">
        <f ca="1">K437*(INDEX(K$324:K$326,MATCH(Work_Codes!$I$333,$D$324:$D$326,0)))</f>
        <v>0</v>
      </c>
      <c r="L457" s="81">
        <f ca="1">L437*(INDEX(L$324:L$326,MATCH(Work_Codes!$I$333,$D$324:$D$326,0)))</f>
        <v>0</v>
      </c>
      <c r="M457" s="81">
        <f ca="1">M437*(INDEX(M$324:M$326,MATCH(Work_Codes!$I$333,$D$324:$D$326,0)))</f>
        <v>0</v>
      </c>
      <c r="N457" s="81">
        <f ca="1">N437*(INDEX(N$324:N$326,MATCH(Work_Codes!$I$333,$D$324:$D$326,0)))</f>
        <v>0</v>
      </c>
      <c r="O457" s="81">
        <f ca="1">O437*(INDEX(O$324:O$326,MATCH(Work_Codes!$I$333,$D$324:$D$326,0)))</f>
        <v>0</v>
      </c>
      <c r="P457" s="81">
        <f ca="1">P437*(INDEX(P$324:P$326,MATCH(Work_Codes!$I$333,$D$324:$D$326,0)))</f>
        <v>0</v>
      </c>
      <c r="Q457" s="81">
        <f ca="1">Q437*(INDEX(Q$324:Q$326,MATCH(Work_Codes!$I$333,$D$324:$D$326,0)))</f>
        <v>0</v>
      </c>
      <c r="R457" s="81">
        <f ca="1">R437*(INDEX(R$324:R$326,MATCH(Work_Codes!$I$333,$D$324:$D$326,0)))</f>
        <v>0</v>
      </c>
      <c r="S457" s="81">
        <f ca="1">S437*(INDEX(S$324:S$326,MATCH(Work_Codes!$I$333,$D$324:$D$326,0)))</f>
        <v>0</v>
      </c>
      <c r="T457" s="81">
        <f ca="1">T437*(INDEX(T$324:T$326,MATCH(Work_Codes!$I$333,$D$324:$D$326,0)))</f>
        <v>0</v>
      </c>
    </row>
    <row r="458" spans="4:20" outlineLevel="2">
      <c r="E458" s="249" t="str">
        <f>"Total "&amp;D440</f>
        <v>Total Overheads</v>
      </c>
      <c r="F458" s="249"/>
      <c r="G458" s="249"/>
      <c r="H458" s="249"/>
      <c r="I458" s="249"/>
      <c r="J458" s="82">
        <f t="shared" ref="J458:T458" ca="1" si="50">SUM(J442:J457)</f>
        <v>0</v>
      </c>
      <c r="K458" s="82">
        <f t="shared" ca="1" si="50"/>
        <v>0</v>
      </c>
      <c r="L458" s="82">
        <f t="shared" ca="1" si="50"/>
        <v>0</v>
      </c>
      <c r="M458" s="82">
        <f t="shared" ca="1" si="50"/>
        <v>0</v>
      </c>
      <c r="N458" s="82">
        <f t="shared" ca="1" si="50"/>
        <v>0</v>
      </c>
      <c r="O458" s="82">
        <f t="shared" ca="1" si="50"/>
        <v>0</v>
      </c>
      <c r="P458" s="82">
        <f t="shared" ca="1" si="50"/>
        <v>14562.079052120071</v>
      </c>
      <c r="Q458" s="82">
        <f t="shared" ca="1" si="50"/>
        <v>43795.37229537854</v>
      </c>
      <c r="R458" s="82">
        <f t="shared" ca="1" si="50"/>
        <v>68482.758458127704</v>
      </c>
      <c r="S458" s="82">
        <f t="shared" ca="1" si="50"/>
        <v>20456.054357236866</v>
      </c>
      <c r="T458" s="82">
        <f t="shared" ca="1" si="50"/>
        <v>3.5979281785788157</v>
      </c>
    </row>
    <row r="459" spans="4:20" outlineLevel="2"/>
    <row r="460" spans="4:20" outlineLevel="2">
      <c r="D460" s="37" t="s">
        <v>216</v>
      </c>
    </row>
    <row r="461" spans="4:20" ht="5.9" customHeight="1" outlineLevel="2"/>
    <row r="462" spans="4:20" ht="11.5" customHeight="1" outlineLevel="2">
      <c r="E462" s="247" t="str">
        <f>GC!C40</f>
        <v>Transmission pipelines</v>
      </c>
      <c r="F462" s="247"/>
      <c r="G462" s="247"/>
      <c r="H462" s="247"/>
      <c r="I462" s="247"/>
      <c r="J462" s="81">
        <f ca="1">J422*(1+INDEX(J$324:J$326,MATCH(Work_Codes!$I$333,$D$324:$D$326,0)))</f>
        <v>0</v>
      </c>
      <c r="K462" s="81">
        <f ca="1">K422*(1+INDEX(K$324:K$326,MATCH(Work_Codes!$I$333,$D$324:$D$326,0)))</f>
        <v>0</v>
      </c>
      <c r="L462" s="81">
        <f ca="1">L422*(1+INDEX(L$324:L$326,MATCH(Work_Codes!$I$333,$D$324:$D$326,0)))</f>
        <v>0</v>
      </c>
      <c r="M462" s="81">
        <f ca="1">M422*(1+INDEX(M$324:M$326,MATCH(Work_Codes!$I$333,$D$324:$D$326,0)))</f>
        <v>0</v>
      </c>
      <c r="N462" s="81">
        <f ca="1">N422*(1+INDEX(N$324:N$326,MATCH(Work_Codes!$I$333,$D$324:$D$326,0)))</f>
        <v>0</v>
      </c>
      <c r="O462" s="81">
        <f ca="1">O422*(1+INDEX(O$324:O$326,MATCH(Work_Codes!$I$333,$D$324:$D$326,0)))</f>
        <v>0</v>
      </c>
      <c r="P462" s="81">
        <f ca="1">P422*(1+INDEX(P$324:P$326,MATCH(Work_Codes!$I$333,$D$324:$D$326,0)))</f>
        <v>0</v>
      </c>
      <c r="Q462" s="81">
        <f ca="1">Q422*(1+INDEX(Q$324:Q$326,MATCH(Work_Codes!$I$333,$D$324:$D$326,0)))</f>
        <v>0</v>
      </c>
      <c r="R462" s="81">
        <f ca="1">R422*(1+INDEX(R$324:R$326,MATCH(Work_Codes!$I$333,$D$324:$D$326,0)))</f>
        <v>0</v>
      </c>
      <c r="S462" s="81">
        <f ca="1">S422*(1+INDEX(S$324:S$326,MATCH(Work_Codes!$I$333,$D$324:$D$326,0)))</f>
        <v>0</v>
      </c>
      <c r="T462" s="81">
        <f ca="1">T422*(1+INDEX(T$324:T$326,MATCH(Work_Codes!$I$333,$D$324:$D$326,0)))</f>
        <v>0</v>
      </c>
    </row>
    <row r="463" spans="4:20" ht="11.5" customHeight="1" outlineLevel="2">
      <c r="E463" s="247" t="str">
        <f>GC!C41</f>
        <v>Distribution pipelines</v>
      </c>
      <c r="F463" s="247"/>
      <c r="G463" s="247"/>
      <c r="H463" s="247"/>
      <c r="I463" s="247"/>
      <c r="J463" s="81">
        <f ca="1">J423*(1+INDEX(J$324:J$326,MATCH(Work_Codes!$I$333,$D$324:$D$326,0)))</f>
        <v>0</v>
      </c>
      <c r="K463" s="81">
        <f ca="1">K423*(1+INDEX(K$324:K$326,MATCH(Work_Codes!$I$333,$D$324:$D$326,0)))</f>
        <v>0</v>
      </c>
      <c r="L463" s="81">
        <f ca="1">L423*(1+INDEX(L$324:L$326,MATCH(Work_Codes!$I$333,$D$324:$D$326,0)))</f>
        <v>0</v>
      </c>
      <c r="M463" s="81">
        <f ca="1">M423*(1+INDEX(M$324:M$326,MATCH(Work_Codes!$I$333,$D$324:$D$326,0)))</f>
        <v>0</v>
      </c>
      <c r="N463" s="81">
        <f ca="1">N423*(1+INDEX(N$324:N$326,MATCH(Work_Codes!$I$333,$D$324:$D$326,0)))</f>
        <v>0</v>
      </c>
      <c r="O463" s="81">
        <f ca="1">O423*(1+INDEX(O$324:O$326,MATCH(Work_Codes!$I$333,$D$324:$D$326,0)))</f>
        <v>0</v>
      </c>
      <c r="P463" s="81">
        <f ca="1">P423*(1+INDEX(P$324:P$326,MATCH(Work_Codes!$I$333,$D$324:$D$326,0)))</f>
        <v>0</v>
      </c>
      <c r="Q463" s="81">
        <f ca="1">Q423*(1+INDEX(Q$324:Q$326,MATCH(Work_Codes!$I$333,$D$324:$D$326,0)))</f>
        <v>0</v>
      </c>
      <c r="R463" s="81">
        <f ca="1">R423*(1+INDEX(R$324:R$326,MATCH(Work_Codes!$I$333,$D$324:$D$326,0)))</f>
        <v>0</v>
      </c>
      <c r="S463" s="81">
        <f ca="1">S423*(1+INDEX(S$324:S$326,MATCH(Work_Codes!$I$333,$D$324:$D$326,0)))</f>
        <v>0</v>
      </c>
      <c r="T463" s="81">
        <f ca="1">T423*(1+INDEX(T$324:T$326,MATCH(Work_Codes!$I$333,$D$324:$D$326,0)))</f>
        <v>0</v>
      </c>
    </row>
    <row r="464" spans="4:20" ht="11.5" customHeight="1" outlineLevel="2">
      <c r="E464" s="247" t="str">
        <f>GC!C42</f>
        <v>Service pipes</v>
      </c>
      <c r="F464" s="247"/>
      <c r="G464" s="247"/>
      <c r="H464" s="247"/>
      <c r="I464" s="247"/>
      <c r="J464" s="81">
        <f ca="1">J424*(1+INDEX(J$324:J$326,MATCH(Work_Codes!$I$333,$D$324:$D$326,0)))</f>
        <v>0</v>
      </c>
      <c r="K464" s="81">
        <f ca="1">K424*(1+INDEX(K$324:K$326,MATCH(Work_Codes!$I$333,$D$324:$D$326,0)))</f>
        <v>0</v>
      </c>
      <c r="L464" s="81">
        <f ca="1">L424*(1+INDEX(L$324:L$326,MATCH(Work_Codes!$I$333,$D$324:$D$326,0)))</f>
        <v>0</v>
      </c>
      <c r="M464" s="81">
        <f ca="1">M424*(1+INDEX(M$324:M$326,MATCH(Work_Codes!$I$333,$D$324:$D$326,0)))</f>
        <v>0</v>
      </c>
      <c r="N464" s="81">
        <f ca="1">N424*(1+INDEX(N$324:N$326,MATCH(Work_Codes!$I$333,$D$324:$D$326,0)))</f>
        <v>0</v>
      </c>
      <c r="O464" s="81">
        <f ca="1">O424*(1+INDEX(O$324:O$326,MATCH(Work_Codes!$I$333,$D$324:$D$326,0)))</f>
        <v>0</v>
      </c>
      <c r="P464" s="81">
        <f ca="1">P424*(1+INDEX(P$324:P$326,MATCH(Work_Codes!$I$333,$D$324:$D$326,0)))</f>
        <v>0</v>
      </c>
      <c r="Q464" s="81">
        <f ca="1">Q424*(1+INDEX(Q$324:Q$326,MATCH(Work_Codes!$I$333,$D$324:$D$326,0)))</f>
        <v>0</v>
      </c>
      <c r="R464" s="81">
        <f ca="1">R424*(1+INDEX(R$324:R$326,MATCH(Work_Codes!$I$333,$D$324:$D$326,0)))</f>
        <v>0</v>
      </c>
      <c r="S464" s="81">
        <f ca="1">S424*(1+INDEX(S$324:S$326,MATCH(Work_Codes!$I$333,$D$324:$D$326,0)))</f>
        <v>0</v>
      </c>
      <c r="T464" s="81">
        <f ca="1">T424*(1+INDEX(T$324:T$326,MATCH(Work_Codes!$I$333,$D$324:$D$326,0)))</f>
        <v>0</v>
      </c>
    </row>
    <row r="465" spans="4:20" ht="11.5" customHeight="1" outlineLevel="2">
      <c r="E465" s="247" t="str">
        <f>GC!C43</f>
        <v>Cathodic protection</v>
      </c>
      <c r="F465" s="247"/>
      <c r="G465" s="247"/>
      <c r="H465" s="247"/>
      <c r="I465" s="247"/>
      <c r="J465" s="81">
        <f ca="1">J425*(1+INDEX(J$324:J$326,MATCH(Work_Codes!$I$333,$D$324:$D$326,0)))</f>
        <v>0</v>
      </c>
      <c r="K465" s="81">
        <f ca="1">K425*(1+INDEX(K$324:K$326,MATCH(Work_Codes!$I$333,$D$324:$D$326,0)))</f>
        <v>0</v>
      </c>
      <c r="L465" s="81">
        <f ca="1">L425*(1+INDEX(L$324:L$326,MATCH(Work_Codes!$I$333,$D$324:$D$326,0)))</f>
        <v>0</v>
      </c>
      <c r="M465" s="81">
        <f ca="1">M425*(1+INDEX(M$324:M$326,MATCH(Work_Codes!$I$333,$D$324:$D$326,0)))</f>
        <v>0</v>
      </c>
      <c r="N465" s="81">
        <f ca="1">N425*(1+INDEX(N$324:N$326,MATCH(Work_Codes!$I$333,$D$324:$D$326,0)))</f>
        <v>0</v>
      </c>
      <c r="O465" s="81">
        <f ca="1">O425*(1+INDEX(O$324:O$326,MATCH(Work_Codes!$I$333,$D$324:$D$326,0)))</f>
        <v>0</v>
      </c>
      <c r="P465" s="81">
        <f ca="1">P425*(1+INDEX(P$324:P$326,MATCH(Work_Codes!$I$333,$D$324:$D$326,0)))</f>
        <v>0</v>
      </c>
      <c r="Q465" s="81">
        <f ca="1">Q425*(1+INDEX(Q$324:Q$326,MATCH(Work_Codes!$I$333,$D$324:$D$326,0)))</f>
        <v>0</v>
      </c>
      <c r="R465" s="81">
        <f ca="1">R425*(1+INDEX(R$324:R$326,MATCH(Work_Codes!$I$333,$D$324:$D$326,0)))</f>
        <v>0</v>
      </c>
      <c r="S465" s="81">
        <f ca="1">S425*(1+INDEX(S$324:S$326,MATCH(Work_Codes!$I$333,$D$324:$D$326,0)))</f>
        <v>0</v>
      </c>
      <c r="T465" s="81">
        <f ca="1">T425*(1+INDEX(T$324:T$326,MATCH(Work_Codes!$I$333,$D$324:$D$326,0)))</f>
        <v>0</v>
      </c>
    </row>
    <row r="466" spans="4:20" ht="11.5" customHeight="1" outlineLevel="2">
      <c r="E466" s="247" t="str">
        <f>GC!C44</f>
        <v>Supply Regulators / Valve Stations</v>
      </c>
      <c r="F466" s="247"/>
      <c r="G466" s="247"/>
      <c r="H466" s="247"/>
      <c r="I466" s="247"/>
      <c r="J466" s="81">
        <f ca="1">J426*(1+INDEX(J$324:J$326,MATCH(Work_Codes!$I$333,$D$324:$D$326,0)))</f>
        <v>0</v>
      </c>
      <c r="K466" s="81">
        <f ca="1">K426*(1+INDEX(K$324:K$326,MATCH(Work_Codes!$I$333,$D$324:$D$326,0)))</f>
        <v>0</v>
      </c>
      <c r="L466" s="81">
        <f ca="1">L426*(1+INDEX(L$324:L$326,MATCH(Work_Codes!$I$333,$D$324:$D$326,0)))</f>
        <v>0</v>
      </c>
      <c r="M466" s="81">
        <f ca="1">M426*(1+INDEX(M$324:M$326,MATCH(Work_Codes!$I$333,$D$324:$D$326,0)))</f>
        <v>0</v>
      </c>
      <c r="N466" s="81">
        <f ca="1">N426*(1+INDEX(N$324:N$326,MATCH(Work_Codes!$I$333,$D$324:$D$326,0)))</f>
        <v>0</v>
      </c>
      <c r="O466" s="81">
        <f ca="1">O426*(1+INDEX(O$324:O$326,MATCH(Work_Codes!$I$333,$D$324:$D$326,0)))</f>
        <v>0</v>
      </c>
      <c r="P466" s="81">
        <f ca="1">P426*(1+INDEX(P$324:P$326,MATCH(Work_Codes!$I$333,$D$324:$D$326,0)))</f>
        <v>0</v>
      </c>
      <c r="Q466" s="81">
        <f ca="1">Q426*(1+INDEX(Q$324:Q$326,MATCH(Work_Codes!$I$333,$D$324:$D$326,0)))</f>
        <v>0</v>
      </c>
      <c r="R466" s="81">
        <f ca="1">R426*(1+INDEX(R$324:R$326,MATCH(Work_Codes!$I$333,$D$324:$D$326,0)))</f>
        <v>0</v>
      </c>
      <c r="S466" s="81">
        <f ca="1">S426*(1+INDEX(S$324:S$326,MATCH(Work_Codes!$I$333,$D$324:$D$326,0)))</f>
        <v>0</v>
      </c>
      <c r="T466" s="81">
        <f ca="1">T426*(1+INDEX(T$324:T$326,MATCH(Work_Codes!$I$333,$D$324:$D$326,0)))</f>
        <v>0</v>
      </c>
    </row>
    <row r="467" spans="4:20" ht="11.5" customHeight="1" outlineLevel="2">
      <c r="E467" s="247" t="str">
        <f>GC!C45</f>
        <v>Meters</v>
      </c>
      <c r="F467" s="247"/>
      <c r="G467" s="247"/>
      <c r="H467" s="247"/>
      <c r="I467" s="247"/>
      <c r="J467" s="81">
        <f ca="1">J427*(1+INDEX(J$324:J$326,MATCH(Work_Codes!$I$333,$D$324:$D$326,0)))</f>
        <v>0</v>
      </c>
      <c r="K467" s="81">
        <f ca="1">K427*(1+INDEX(K$324:K$326,MATCH(Work_Codes!$I$333,$D$324:$D$326,0)))</f>
        <v>0</v>
      </c>
      <c r="L467" s="81">
        <f ca="1">L427*(1+INDEX(L$324:L$326,MATCH(Work_Codes!$I$333,$D$324:$D$326,0)))</f>
        <v>0</v>
      </c>
      <c r="M467" s="81">
        <f ca="1">M427*(1+INDEX(M$324:M$326,MATCH(Work_Codes!$I$333,$D$324:$D$326,0)))</f>
        <v>0</v>
      </c>
      <c r="N467" s="81">
        <f ca="1">N427*(1+INDEX(N$324:N$326,MATCH(Work_Codes!$I$333,$D$324:$D$326,0)))</f>
        <v>0</v>
      </c>
      <c r="O467" s="81">
        <f ca="1">O427*(1+INDEX(O$324:O$326,MATCH(Work_Codes!$I$333,$D$324:$D$326,0)))</f>
        <v>0</v>
      </c>
      <c r="P467" s="81">
        <f ca="1">P427*(1+INDEX(P$324:P$326,MATCH(Work_Codes!$I$333,$D$324:$D$326,0)))</f>
        <v>0</v>
      </c>
      <c r="Q467" s="81">
        <f ca="1">Q427*(1+INDEX(Q$324:Q$326,MATCH(Work_Codes!$I$333,$D$324:$D$326,0)))</f>
        <v>0</v>
      </c>
      <c r="R467" s="81">
        <f ca="1">R427*(1+INDEX(R$324:R$326,MATCH(Work_Codes!$I$333,$D$324:$D$326,0)))</f>
        <v>0</v>
      </c>
      <c r="S467" s="81">
        <f ca="1">S427*(1+INDEX(S$324:S$326,MATCH(Work_Codes!$I$333,$D$324:$D$326,0)))</f>
        <v>0</v>
      </c>
      <c r="T467" s="81">
        <f ca="1">T427*(1+INDEX(T$324:T$326,MATCH(Work_Codes!$I$333,$D$324:$D$326,0)))</f>
        <v>0</v>
      </c>
    </row>
    <row r="468" spans="4:20" ht="11.5" customHeight="1" outlineLevel="2">
      <c r="E468" s="247" t="str">
        <f>GC!C46</f>
        <v>SCADA and remote control</v>
      </c>
      <c r="F468" s="247"/>
      <c r="G468" s="247"/>
      <c r="H468" s="247"/>
      <c r="I468" s="247"/>
      <c r="J468" s="81">
        <f ca="1">J428*(1+INDEX(J$324:J$326,MATCH(Work_Codes!$I$333,$D$324:$D$326,0)))</f>
        <v>0</v>
      </c>
      <c r="K468" s="81">
        <f ca="1">K428*(1+INDEX(K$324:K$326,MATCH(Work_Codes!$I$333,$D$324:$D$326,0)))</f>
        <v>0</v>
      </c>
      <c r="L468" s="81">
        <f ca="1">L428*(1+INDEX(L$324:L$326,MATCH(Work_Codes!$I$333,$D$324:$D$326,0)))</f>
        <v>0</v>
      </c>
      <c r="M468" s="81">
        <f ca="1">M428*(1+INDEX(M$324:M$326,MATCH(Work_Codes!$I$333,$D$324:$D$326,0)))</f>
        <v>0</v>
      </c>
      <c r="N468" s="81">
        <f ca="1">N428*(1+INDEX(N$324:N$326,MATCH(Work_Codes!$I$333,$D$324:$D$326,0)))</f>
        <v>0</v>
      </c>
      <c r="O468" s="81">
        <f ca="1">O428*(1+INDEX(O$324:O$326,MATCH(Work_Codes!$I$333,$D$324:$D$326,0)))</f>
        <v>0</v>
      </c>
      <c r="P468" s="81">
        <f ca="1">P428*(1+INDEX(P$324:P$326,MATCH(Work_Codes!$I$333,$D$324:$D$326,0)))</f>
        <v>0</v>
      </c>
      <c r="Q468" s="81">
        <f ca="1">Q428*(1+INDEX(Q$324:Q$326,MATCH(Work_Codes!$I$333,$D$324:$D$326,0)))</f>
        <v>0</v>
      </c>
      <c r="R468" s="81">
        <f ca="1">R428*(1+INDEX(R$324:R$326,MATCH(Work_Codes!$I$333,$D$324:$D$326,0)))</f>
        <v>0</v>
      </c>
      <c r="S468" s="81">
        <f ca="1">S428*(1+INDEX(S$324:S$326,MATCH(Work_Codes!$I$333,$D$324:$D$326,0)))</f>
        <v>0</v>
      </c>
      <c r="T468" s="81">
        <f ca="1">T428*(1+INDEX(T$324:T$326,MATCH(Work_Codes!$I$333,$D$324:$D$326,0)))</f>
        <v>0</v>
      </c>
    </row>
    <row r="469" spans="4:20" ht="11.5" customHeight="1" outlineLevel="2">
      <c r="E469" s="247" t="str">
        <f>GC!C47</f>
        <v>Buildings</v>
      </c>
      <c r="F469" s="247"/>
      <c r="G469" s="247"/>
      <c r="H469" s="247"/>
      <c r="I469" s="247"/>
      <c r="J469" s="81">
        <f ca="1">J429*(1+INDEX(J$324:J$326,MATCH(Work_Codes!$I$333,$D$324:$D$326,0)))</f>
        <v>0</v>
      </c>
      <c r="K469" s="81">
        <f ca="1">K429*(1+INDEX(K$324:K$326,MATCH(Work_Codes!$I$333,$D$324:$D$326,0)))</f>
        <v>0</v>
      </c>
      <c r="L469" s="81">
        <f ca="1">L429*(1+INDEX(L$324:L$326,MATCH(Work_Codes!$I$333,$D$324:$D$326,0)))</f>
        <v>0</v>
      </c>
      <c r="M469" s="81">
        <f ca="1">M429*(1+INDEX(M$324:M$326,MATCH(Work_Codes!$I$333,$D$324:$D$326,0)))</f>
        <v>0</v>
      </c>
      <c r="N469" s="81">
        <f ca="1">N429*(1+INDEX(N$324:N$326,MATCH(Work_Codes!$I$333,$D$324:$D$326,0)))</f>
        <v>0</v>
      </c>
      <c r="O469" s="81">
        <f ca="1">O429*(1+INDEX(O$324:O$326,MATCH(Work_Codes!$I$333,$D$324:$D$326,0)))</f>
        <v>0</v>
      </c>
      <c r="P469" s="81">
        <f ca="1">P429*(1+INDEX(P$324:P$326,MATCH(Work_Codes!$I$333,$D$324:$D$326,0)))</f>
        <v>0</v>
      </c>
      <c r="Q469" s="81">
        <f ca="1">Q429*(1+INDEX(Q$324:Q$326,MATCH(Work_Codes!$I$333,$D$324:$D$326,0)))</f>
        <v>0</v>
      </c>
      <c r="R469" s="81">
        <f ca="1">R429*(1+INDEX(R$324:R$326,MATCH(Work_Codes!$I$333,$D$324:$D$326,0)))</f>
        <v>0</v>
      </c>
      <c r="S469" s="81">
        <f ca="1">S429*(1+INDEX(S$324:S$326,MATCH(Work_Codes!$I$333,$D$324:$D$326,0)))</f>
        <v>0</v>
      </c>
      <c r="T469" s="81">
        <f ca="1">T429*(1+INDEX(T$324:T$326,MATCH(Work_Codes!$I$333,$D$324:$D$326,0)))</f>
        <v>0</v>
      </c>
    </row>
    <row r="470" spans="4:20" ht="11.5" customHeight="1" outlineLevel="2">
      <c r="E470" s="247" t="str">
        <f>GC!C48</f>
        <v>Other - IT</v>
      </c>
      <c r="F470" s="247"/>
      <c r="G470" s="247"/>
      <c r="H470" s="247"/>
      <c r="I470" s="247"/>
      <c r="J470" s="81">
        <f ca="1">J430*(1+INDEX(J$324:J$326,MATCH(Work_Codes!$I$333,$D$324:$D$326,0)))</f>
        <v>0</v>
      </c>
      <c r="K470" s="81">
        <f ca="1">K430*(1+INDEX(K$324:K$326,MATCH(Work_Codes!$I$333,$D$324:$D$326,0)))</f>
        <v>0</v>
      </c>
      <c r="L470" s="81">
        <f ca="1">L430*(1+INDEX(L$324:L$326,MATCH(Work_Codes!$I$333,$D$324:$D$326,0)))</f>
        <v>0</v>
      </c>
      <c r="M470" s="81">
        <f ca="1">M430*(1+INDEX(M$324:M$326,MATCH(Work_Codes!$I$333,$D$324:$D$326,0)))</f>
        <v>0</v>
      </c>
      <c r="N470" s="81">
        <f ca="1">N430*(1+INDEX(N$324:N$326,MATCH(Work_Codes!$I$333,$D$324:$D$326,0)))</f>
        <v>0</v>
      </c>
      <c r="O470" s="81">
        <f ca="1">O430*(1+INDEX(O$324:O$326,MATCH(Work_Codes!$I$333,$D$324:$D$326,0)))</f>
        <v>0</v>
      </c>
      <c r="P470" s="81">
        <f ca="1">P430*(1+INDEX(P$324:P$326,MATCH(Work_Codes!$I$333,$D$324:$D$326,0)))</f>
        <v>0</v>
      </c>
      <c r="Q470" s="81">
        <f ca="1">Q430*(1+INDEX(Q$324:Q$326,MATCH(Work_Codes!$I$333,$D$324:$D$326,0)))</f>
        <v>0</v>
      </c>
      <c r="R470" s="81">
        <f ca="1">R430*(1+INDEX(R$324:R$326,MATCH(Work_Codes!$I$333,$D$324:$D$326,0)))</f>
        <v>0</v>
      </c>
      <c r="S470" s="81">
        <f ca="1">S430*(1+INDEX(S$324:S$326,MATCH(Work_Codes!$I$333,$D$324:$D$326,0)))</f>
        <v>0</v>
      </c>
      <c r="T470" s="81">
        <f ca="1">T430*(1+INDEX(T$324:T$326,MATCH(Work_Codes!$I$333,$D$324:$D$326,0)))</f>
        <v>0</v>
      </c>
    </row>
    <row r="471" spans="4:20" ht="11.5" customHeight="1" outlineLevel="2">
      <c r="E471" s="247" t="str">
        <f>GC!C49</f>
        <v>Other - non IT</v>
      </c>
      <c r="F471" s="247"/>
      <c r="G471" s="247"/>
      <c r="H471" s="247"/>
      <c r="I471" s="247"/>
      <c r="J471" s="81">
        <f ca="1">J431*(1+INDEX(J$324:J$326,MATCH(Work_Codes!$I$333,$D$324:$D$326,0)))</f>
        <v>0</v>
      </c>
      <c r="K471" s="81">
        <f ca="1">K431*(1+INDEX(K$324:K$326,MATCH(Work_Codes!$I$333,$D$324:$D$326,0)))</f>
        <v>0</v>
      </c>
      <c r="L471" s="81">
        <f ca="1">L431*(1+INDEX(L$324:L$326,MATCH(Work_Codes!$I$333,$D$324:$D$326,0)))</f>
        <v>0</v>
      </c>
      <c r="M471" s="81">
        <f ca="1">M431*(1+INDEX(M$324:M$326,MATCH(Work_Codes!$I$333,$D$324:$D$326,0)))</f>
        <v>0</v>
      </c>
      <c r="N471" s="81">
        <f ca="1">N431*(1+INDEX(N$324:N$326,MATCH(Work_Codes!$I$333,$D$324:$D$326,0)))</f>
        <v>0</v>
      </c>
      <c r="O471" s="81">
        <f ca="1">O431*(1+INDEX(O$324:O$326,MATCH(Work_Codes!$I$333,$D$324:$D$326,0)))</f>
        <v>0</v>
      </c>
      <c r="P471" s="81">
        <f ca="1">P431*(1+INDEX(P$324:P$326,MATCH(Work_Codes!$I$333,$D$324:$D$326,0)))</f>
        <v>0</v>
      </c>
      <c r="Q471" s="81">
        <f ca="1">Q431*(1+INDEX(Q$324:Q$326,MATCH(Work_Codes!$I$333,$D$324:$D$326,0)))</f>
        <v>0</v>
      </c>
      <c r="R471" s="81">
        <f ca="1">R431*(1+INDEX(R$324:R$326,MATCH(Work_Codes!$I$333,$D$324:$D$326,0)))</f>
        <v>0</v>
      </c>
      <c r="S471" s="81">
        <f ca="1">S431*(1+INDEX(S$324:S$326,MATCH(Work_Codes!$I$333,$D$324:$D$326,0)))</f>
        <v>0</v>
      </c>
      <c r="T471" s="81">
        <f ca="1">T431*(1+INDEX(T$324:T$326,MATCH(Work_Codes!$I$333,$D$324:$D$326,0)))</f>
        <v>0</v>
      </c>
    </row>
    <row r="472" spans="4:20" ht="11.5" customHeight="1" outlineLevel="2">
      <c r="E472" s="247" t="str">
        <f>GC!C50</f>
        <v>Land</v>
      </c>
      <c r="F472" s="247"/>
      <c r="G472" s="247"/>
      <c r="H472" s="247"/>
      <c r="I472" s="247"/>
      <c r="J472" s="81">
        <f ca="1">J432*(1+INDEX(J$324:J$326,MATCH(Work_Codes!$I$333,$D$324:$D$326,0)))</f>
        <v>0</v>
      </c>
      <c r="K472" s="81">
        <f ca="1">K432*(1+INDEX(K$324:K$326,MATCH(Work_Codes!$I$333,$D$324:$D$326,0)))</f>
        <v>0</v>
      </c>
      <c r="L472" s="81">
        <f ca="1">L432*(1+INDEX(L$324:L$326,MATCH(Work_Codes!$I$333,$D$324:$D$326,0)))</f>
        <v>0</v>
      </c>
      <c r="M472" s="81">
        <f ca="1">M432*(1+INDEX(M$324:M$326,MATCH(Work_Codes!$I$333,$D$324:$D$326,0)))</f>
        <v>0</v>
      </c>
      <c r="N472" s="81">
        <f ca="1">N432*(1+INDEX(N$324:N$326,MATCH(Work_Codes!$I$333,$D$324:$D$326,0)))</f>
        <v>0</v>
      </c>
      <c r="O472" s="81">
        <f ca="1">O432*(1+INDEX(O$324:O$326,MATCH(Work_Codes!$I$333,$D$324:$D$326,0)))</f>
        <v>0</v>
      </c>
      <c r="P472" s="81">
        <f ca="1">P432*(1+INDEX(P$324:P$326,MATCH(Work_Codes!$I$333,$D$324:$D$326,0)))</f>
        <v>0</v>
      </c>
      <c r="Q472" s="81">
        <f ca="1">Q432*(1+INDEX(Q$324:Q$326,MATCH(Work_Codes!$I$333,$D$324:$D$326,0)))</f>
        <v>0</v>
      </c>
      <c r="R472" s="81">
        <f ca="1">R432*(1+INDEX(R$324:R$326,MATCH(Work_Codes!$I$333,$D$324:$D$326,0)))</f>
        <v>0</v>
      </c>
      <c r="S472" s="81">
        <f ca="1">S432*(1+INDEX(S$324:S$326,MATCH(Work_Codes!$I$333,$D$324:$D$326,0)))</f>
        <v>0</v>
      </c>
      <c r="T472" s="81">
        <f ca="1">T432*(1+INDEX(T$324:T$326,MATCH(Work_Codes!$I$333,$D$324:$D$326,0)))</f>
        <v>0</v>
      </c>
    </row>
    <row r="473" spans="4:20" outlineLevel="2">
      <c r="E473" s="247" t="str">
        <f>GC!C51</f>
        <v>Capitalised Leases</v>
      </c>
      <c r="F473" s="247"/>
      <c r="G473" s="247"/>
      <c r="H473" s="247"/>
      <c r="I473" s="247"/>
      <c r="J473" s="81">
        <f ca="1">J433*(1+INDEX(J$324:J$326,MATCH(Work_Codes!$I$333,$D$324:$D$326,0)))</f>
        <v>0</v>
      </c>
      <c r="K473" s="81">
        <f ca="1">K433*(1+INDEX(K$324:K$326,MATCH(Work_Codes!$I$333,$D$324:$D$326,0)))</f>
        <v>0</v>
      </c>
      <c r="L473" s="81">
        <f ca="1">L433*(1+INDEX(L$324:L$326,MATCH(Work_Codes!$I$333,$D$324:$D$326,0)))</f>
        <v>0</v>
      </c>
      <c r="M473" s="81">
        <f ca="1">M433*(1+INDEX(M$324:M$326,MATCH(Work_Codes!$I$333,$D$324:$D$326,0)))</f>
        <v>0</v>
      </c>
      <c r="N473" s="81">
        <f ca="1">N433*(1+INDEX(N$324:N$326,MATCH(Work_Codes!$I$333,$D$324:$D$326,0)))</f>
        <v>0</v>
      </c>
      <c r="O473" s="81">
        <f ca="1">O433*(1+INDEX(O$324:O$326,MATCH(Work_Codes!$I$333,$D$324:$D$326,0)))</f>
        <v>0</v>
      </c>
      <c r="P473" s="81">
        <f ca="1">P433*(1+INDEX(P$324:P$326,MATCH(Work_Codes!$I$333,$D$324:$D$326,0)))</f>
        <v>0</v>
      </c>
      <c r="Q473" s="81">
        <f ca="1">Q433*(1+INDEX(Q$324:Q$326,MATCH(Work_Codes!$I$333,$D$324:$D$326,0)))</f>
        <v>0</v>
      </c>
      <c r="R473" s="81">
        <f ca="1">R433*(1+INDEX(R$324:R$326,MATCH(Work_Codes!$I$333,$D$324:$D$326,0)))</f>
        <v>0</v>
      </c>
      <c r="S473" s="81">
        <f ca="1">S433*(1+INDEX(S$324:S$326,MATCH(Work_Codes!$I$333,$D$324:$D$326,0)))</f>
        <v>0</v>
      </c>
      <c r="T473" s="81">
        <f ca="1">T433*(1+INDEX(T$324:T$326,MATCH(Work_Codes!$I$333,$D$324:$D$326,0)))</f>
        <v>0</v>
      </c>
    </row>
    <row r="474" spans="4:20" outlineLevel="2">
      <c r="E474" s="247" t="str">
        <f>GC!C52</f>
        <v>Transmission pipelines - post 1998</v>
      </c>
      <c r="F474" s="247"/>
      <c r="G474" s="247"/>
      <c r="H474" s="247"/>
      <c r="I474" s="247"/>
      <c r="J474" s="81">
        <f ca="1">J434*(1+INDEX(J$324:J$326,MATCH(Work_Codes!$I$333,$D$324:$D$326,0)))</f>
        <v>0</v>
      </c>
      <c r="K474" s="81">
        <f ca="1">K434*(1+INDEX(K$324:K$326,MATCH(Work_Codes!$I$333,$D$324:$D$326,0)))</f>
        <v>0</v>
      </c>
      <c r="L474" s="81">
        <f ca="1">L434*(1+INDEX(L$324:L$326,MATCH(Work_Codes!$I$333,$D$324:$D$326,0)))</f>
        <v>0</v>
      </c>
      <c r="M474" s="81">
        <f ca="1">M434*(1+INDEX(M$324:M$326,MATCH(Work_Codes!$I$333,$D$324:$D$326,0)))</f>
        <v>0</v>
      </c>
      <c r="N474" s="81">
        <f ca="1">N434*(1+INDEX(N$324:N$326,MATCH(Work_Codes!$I$333,$D$324:$D$326,0)))</f>
        <v>0</v>
      </c>
      <c r="O474" s="81">
        <f ca="1">O434*(1+INDEX(O$324:O$326,MATCH(Work_Codes!$I$333,$D$324:$D$326,0)))</f>
        <v>0</v>
      </c>
      <c r="P474" s="81">
        <f ca="1">P434*(1+INDEX(P$324:P$326,MATCH(Work_Codes!$I$333,$D$324:$D$326,0)))</f>
        <v>558884.72856211546</v>
      </c>
      <c r="Q474" s="81">
        <f ca="1">Q434*(1+INDEX(Q$324:Q$326,MATCH(Work_Codes!$I$333,$D$324:$D$326,0)))</f>
        <v>1724316.6786223263</v>
      </c>
      <c r="R474" s="81">
        <f ca="1">R434*(1+INDEX(R$324:R$326,MATCH(Work_Codes!$I$333,$D$324:$D$326,0)))</f>
        <v>2616867.5014883806</v>
      </c>
      <c r="S474" s="81">
        <f ca="1">S434*(1+INDEX(S$324:S$326,MATCH(Work_Codes!$I$333,$D$324:$D$326,0)))</f>
        <v>737051.23890915839</v>
      </c>
      <c r="T474" s="81">
        <f ca="1">T434*(1+INDEX(T$324:T$326,MATCH(Work_Codes!$I$333,$D$324:$D$326,0)))</f>
        <v>123.84801840422675</v>
      </c>
    </row>
    <row r="475" spans="4:20" outlineLevel="2">
      <c r="E475" s="247" t="str">
        <f>GC!C53</f>
        <v>Distribution pipelines - post 1998</v>
      </c>
      <c r="F475" s="247"/>
      <c r="G475" s="247"/>
      <c r="H475" s="247"/>
      <c r="I475" s="247"/>
      <c r="J475" s="81">
        <f ca="1">J435*(1+INDEX(J$324:J$326,MATCH(Work_Codes!$I$333,$D$324:$D$326,0)))</f>
        <v>0</v>
      </c>
      <c r="K475" s="81">
        <f ca="1">K435*(1+INDEX(K$324:K$326,MATCH(Work_Codes!$I$333,$D$324:$D$326,0)))</f>
        <v>0</v>
      </c>
      <c r="L475" s="81">
        <f ca="1">L435*(1+INDEX(L$324:L$326,MATCH(Work_Codes!$I$333,$D$324:$D$326,0)))</f>
        <v>0</v>
      </c>
      <c r="M475" s="81">
        <f ca="1">M435*(1+INDEX(M$324:M$326,MATCH(Work_Codes!$I$333,$D$324:$D$326,0)))</f>
        <v>0</v>
      </c>
      <c r="N475" s="81">
        <f ca="1">N435*(1+INDEX(N$324:N$326,MATCH(Work_Codes!$I$333,$D$324:$D$326,0)))</f>
        <v>0</v>
      </c>
      <c r="O475" s="81">
        <f ca="1">O435*(1+INDEX(O$324:O$326,MATCH(Work_Codes!$I$333,$D$324:$D$326,0)))</f>
        <v>0</v>
      </c>
      <c r="P475" s="81">
        <f ca="1">P435*(1+INDEX(P$324:P$326,MATCH(Work_Codes!$I$333,$D$324:$D$326,0)))</f>
        <v>0</v>
      </c>
      <c r="Q475" s="81">
        <f ca="1">Q435*(1+INDEX(Q$324:Q$326,MATCH(Work_Codes!$I$333,$D$324:$D$326,0)))</f>
        <v>0</v>
      </c>
      <c r="R475" s="81">
        <f ca="1">R435*(1+INDEX(R$324:R$326,MATCH(Work_Codes!$I$333,$D$324:$D$326,0)))</f>
        <v>0</v>
      </c>
      <c r="S475" s="81">
        <f ca="1">S435*(1+INDEX(S$324:S$326,MATCH(Work_Codes!$I$333,$D$324:$D$326,0)))</f>
        <v>0</v>
      </c>
      <c r="T475" s="81">
        <f ca="1">T435*(1+INDEX(T$324:T$326,MATCH(Work_Codes!$I$333,$D$324:$D$326,0)))</f>
        <v>0</v>
      </c>
    </row>
    <row r="476" spans="4:20" outlineLevel="2">
      <c r="E476" s="247" t="str">
        <f>GC!C54</f>
        <v>Service pipes - post 1998</v>
      </c>
      <c r="F476" s="247"/>
      <c r="G476" s="247"/>
      <c r="H476" s="247"/>
      <c r="I476" s="247"/>
      <c r="J476" s="81">
        <f ca="1">J436*(1+INDEX(J$324:J$326,MATCH(Work_Codes!$I$333,$D$324:$D$326,0)))</f>
        <v>0</v>
      </c>
      <c r="K476" s="81">
        <f ca="1">K436*(1+INDEX(K$324:K$326,MATCH(Work_Codes!$I$333,$D$324:$D$326,0)))</f>
        <v>0</v>
      </c>
      <c r="L476" s="81">
        <f ca="1">L436*(1+INDEX(L$324:L$326,MATCH(Work_Codes!$I$333,$D$324:$D$326,0)))</f>
        <v>0</v>
      </c>
      <c r="M476" s="81">
        <f ca="1">M436*(1+INDEX(M$324:M$326,MATCH(Work_Codes!$I$333,$D$324:$D$326,0)))</f>
        <v>0</v>
      </c>
      <c r="N476" s="81">
        <f ca="1">N436*(1+INDEX(N$324:N$326,MATCH(Work_Codes!$I$333,$D$324:$D$326,0)))</f>
        <v>0</v>
      </c>
      <c r="O476" s="81">
        <f ca="1">O436*(1+INDEX(O$324:O$326,MATCH(Work_Codes!$I$333,$D$324:$D$326,0)))</f>
        <v>0</v>
      </c>
      <c r="P476" s="81">
        <f ca="1">P436*(1+INDEX(P$324:P$326,MATCH(Work_Codes!$I$333,$D$324:$D$326,0)))</f>
        <v>0</v>
      </c>
      <c r="Q476" s="81">
        <f ca="1">Q436*(1+INDEX(Q$324:Q$326,MATCH(Work_Codes!$I$333,$D$324:$D$326,0)))</f>
        <v>0</v>
      </c>
      <c r="R476" s="81">
        <f ca="1">R436*(1+INDEX(R$324:R$326,MATCH(Work_Codes!$I$333,$D$324:$D$326,0)))</f>
        <v>0</v>
      </c>
      <c r="S476" s="81">
        <f ca="1">S436*(1+INDEX(S$324:S$326,MATCH(Work_Codes!$I$333,$D$324:$D$326,0)))</f>
        <v>0</v>
      </c>
      <c r="T476" s="81">
        <f ca="1">T436*(1+INDEX(T$324:T$326,MATCH(Work_Codes!$I$333,$D$324:$D$326,0)))</f>
        <v>0</v>
      </c>
    </row>
    <row r="477" spans="4:20" outlineLevel="2">
      <c r="E477" s="247" t="str">
        <f>GC!C55</f>
        <v>Cathodic protection - post 1998</v>
      </c>
      <c r="F477" s="247"/>
      <c r="G477" s="247"/>
      <c r="H477" s="247"/>
      <c r="I477" s="247"/>
      <c r="J477" s="81">
        <f ca="1">J437*(1+INDEX(J$324:J$326,MATCH(Work_Codes!$I$333,$D$324:$D$326,0)))</f>
        <v>0</v>
      </c>
      <c r="K477" s="81">
        <f ca="1">K437*(1+INDEX(K$324:K$326,MATCH(Work_Codes!$I$333,$D$324:$D$326,0)))</f>
        <v>0</v>
      </c>
      <c r="L477" s="81">
        <f ca="1">L437*(1+INDEX(L$324:L$326,MATCH(Work_Codes!$I$333,$D$324:$D$326,0)))</f>
        <v>0</v>
      </c>
      <c r="M477" s="81">
        <f ca="1">M437*(1+INDEX(M$324:M$326,MATCH(Work_Codes!$I$333,$D$324:$D$326,0)))</f>
        <v>0</v>
      </c>
      <c r="N477" s="81">
        <f ca="1">N437*(1+INDEX(N$324:N$326,MATCH(Work_Codes!$I$333,$D$324:$D$326,0)))</f>
        <v>0</v>
      </c>
      <c r="O477" s="81">
        <f ca="1">O437*(1+INDEX(O$324:O$326,MATCH(Work_Codes!$I$333,$D$324:$D$326,0)))</f>
        <v>0</v>
      </c>
      <c r="P477" s="81">
        <f ca="1">P437*(1+INDEX(P$324:P$326,MATCH(Work_Codes!$I$333,$D$324:$D$326,0)))</f>
        <v>0</v>
      </c>
      <c r="Q477" s="81">
        <f ca="1">Q437*(1+INDEX(Q$324:Q$326,MATCH(Work_Codes!$I$333,$D$324:$D$326,0)))</f>
        <v>0</v>
      </c>
      <c r="R477" s="81">
        <f ca="1">R437*(1+INDEX(R$324:R$326,MATCH(Work_Codes!$I$333,$D$324:$D$326,0)))</f>
        <v>0</v>
      </c>
      <c r="S477" s="81">
        <f ca="1">S437*(1+INDEX(S$324:S$326,MATCH(Work_Codes!$I$333,$D$324:$D$326,0)))</f>
        <v>0</v>
      </c>
      <c r="T477" s="81">
        <f ca="1">T437*(1+INDEX(T$324:T$326,MATCH(Work_Codes!$I$333,$D$324:$D$326,0)))</f>
        <v>0</v>
      </c>
    </row>
    <row r="478" spans="4:20" ht="12" customHeight="1" outlineLevel="2">
      <c r="E478" s="249" t="str">
        <f>"Total "&amp;D460</f>
        <v>Total Direct Costs + Overheads</v>
      </c>
      <c r="F478" s="249"/>
      <c r="G478" s="249"/>
      <c r="H478" s="249"/>
      <c r="I478" s="249"/>
      <c r="J478" s="82">
        <f t="shared" ref="J478:T478" ca="1" si="51">SUM(J462:J477)</f>
        <v>0</v>
      </c>
      <c r="K478" s="82">
        <f t="shared" ca="1" si="51"/>
        <v>0</v>
      </c>
      <c r="L478" s="82">
        <f t="shared" ca="1" si="51"/>
        <v>0</v>
      </c>
      <c r="M478" s="82">
        <f t="shared" ca="1" si="51"/>
        <v>0</v>
      </c>
      <c r="N478" s="82">
        <f t="shared" ca="1" si="51"/>
        <v>0</v>
      </c>
      <c r="O478" s="82">
        <f t="shared" ca="1" si="51"/>
        <v>0</v>
      </c>
      <c r="P478" s="82">
        <f t="shared" ca="1" si="51"/>
        <v>558884.72856211546</v>
      </c>
      <c r="Q478" s="82">
        <f t="shared" ca="1" si="51"/>
        <v>1724316.6786223263</v>
      </c>
      <c r="R478" s="82">
        <f t="shared" ca="1" si="51"/>
        <v>2616867.5014883806</v>
      </c>
      <c r="S478" s="82">
        <f t="shared" ca="1" si="51"/>
        <v>737051.23890915839</v>
      </c>
      <c r="T478" s="82">
        <f t="shared" ca="1" si="51"/>
        <v>123.84801840422675</v>
      </c>
    </row>
    <row r="479" spans="4:20" outlineLevel="2"/>
    <row r="480" spans="4:20" outlineLevel="2">
      <c r="D480" s="37" t="s">
        <v>367</v>
      </c>
    </row>
    <row r="481" spans="5:20" ht="5.9" customHeight="1" outlineLevel="2"/>
    <row r="482" spans="5:20" outlineLevel="2">
      <c r="E482" s="247" t="str">
        <f>GC!C40</f>
        <v>Transmission pipelines</v>
      </c>
      <c r="F482" s="247"/>
      <c r="G482" s="247"/>
      <c r="H482" s="247"/>
      <c r="I482" s="247"/>
      <c r="J482" s="81">
        <f ca="1">SUMPRODUCT((Work_Codes!$N$336:$Y$336=$E482)*(Work_Codes!$N$348:$Y$348)*(J$366:J$366))</f>
        <v>0</v>
      </c>
      <c r="K482" s="81">
        <f ca="1">SUMPRODUCT((Work_Codes!$N$336:$Y$336=$E482)*(Work_Codes!$N$348:$Y$348)*(K$366:K$366))</f>
        <v>0</v>
      </c>
      <c r="L482" s="81">
        <f ca="1">SUMPRODUCT((Work_Codes!$N$336:$Y$336=$E482)*(Work_Codes!$N$348:$Y$348)*(L$366:L$366))</f>
        <v>0</v>
      </c>
      <c r="M482" s="81">
        <f ca="1">SUMPRODUCT((Work_Codes!$N$336:$Y$336=$E482)*(Work_Codes!$N$348:$Y$348)*(M$366:M$366))</f>
        <v>0</v>
      </c>
      <c r="N482" s="81">
        <f ca="1">SUMPRODUCT((Work_Codes!$N$336:$Y$336=$E482)*(Work_Codes!$N$348:$Y$348)*(N$366:N$366))</f>
        <v>0</v>
      </c>
      <c r="O482" s="81">
        <f ca="1">SUMPRODUCT((Work_Codes!$N$336:$Y$336=$E482)*(Work_Codes!$N$348:$Y$348)*(O$366:O$366))</f>
        <v>0</v>
      </c>
      <c r="P482" s="81">
        <f ca="1">SUMPRODUCT((Work_Codes!$N$336:$Y$336=$E482)*(Work_Codes!$N$348:$Y$348)*(P$366:P$366))</f>
        <v>0</v>
      </c>
      <c r="Q482" s="81">
        <f ca="1">SUMPRODUCT((Work_Codes!$N$336:$Y$336=$E482)*(Work_Codes!$N$348:$Y$348)*(Q$366:Q$366))</f>
        <v>0</v>
      </c>
      <c r="R482" s="81">
        <f ca="1">SUMPRODUCT((Work_Codes!$N$336:$Y$336=$E482)*(Work_Codes!$N$348:$Y$348)*(R$366:R$366))</f>
        <v>0</v>
      </c>
      <c r="S482" s="81">
        <f ca="1">SUMPRODUCT((Work_Codes!$N$336:$Y$336=$E482)*(Work_Codes!$N$348:$Y$348)*(S$366:S$366))</f>
        <v>0</v>
      </c>
      <c r="T482" s="81">
        <f ca="1">SUMPRODUCT((Work_Codes!$N$336:$Y$336=$E482)*(Work_Codes!$N$348:$Y$348)*(T$366:T$366))</f>
        <v>0</v>
      </c>
    </row>
    <row r="483" spans="5:20" outlineLevel="2">
      <c r="E483" s="247" t="str">
        <f>GC!C41</f>
        <v>Distribution pipelines</v>
      </c>
      <c r="F483" s="247"/>
      <c r="G483" s="247"/>
      <c r="H483" s="247"/>
      <c r="I483" s="247"/>
      <c r="J483" s="81">
        <f ca="1">SUMPRODUCT((Work_Codes!$N$336:$Y$336=$E483)*(Work_Codes!$N$348:$Y$348)*(J$366:J$366))</f>
        <v>0</v>
      </c>
      <c r="K483" s="81">
        <f ca="1">SUMPRODUCT((Work_Codes!$N$336:$Y$336=$E483)*(Work_Codes!$N$348:$Y$348)*(K$366:K$366))</f>
        <v>0</v>
      </c>
      <c r="L483" s="81">
        <f ca="1">SUMPRODUCT((Work_Codes!$N$336:$Y$336=$E483)*(Work_Codes!$N$348:$Y$348)*(L$366:L$366))</f>
        <v>0</v>
      </c>
      <c r="M483" s="81">
        <f ca="1">SUMPRODUCT((Work_Codes!$N$336:$Y$336=$E483)*(Work_Codes!$N$348:$Y$348)*(M$366:M$366))</f>
        <v>0</v>
      </c>
      <c r="N483" s="81">
        <f ca="1">SUMPRODUCT((Work_Codes!$N$336:$Y$336=$E483)*(Work_Codes!$N$348:$Y$348)*(N$366:N$366))</f>
        <v>0</v>
      </c>
      <c r="O483" s="81">
        <f ca="1">SUMPRODUCT((Work_Codes!$N$336:$Y$336=$E483)*(Work_Codes!$N$348:$Y$348)*(O$366:O$366))</f>
        <v>0</v>
      </c>
      <c r="P483" s="81">
        <f ca="1">SUMPRODUCT((Work_Codes!$N$336:$Y$336=$E483)*(Work_Codes!$N$348:$Y$348)*(P$366:P$366))</f>
        <v>0</v>
      </c>
      <c r="Q483" s="81">
        <f ca="1">SUMPRODUCT((Work_Codes!$N$336:$Y$336=$E483)*(Work_Codes!$N$348:$Y$348)*(Q$366:Q$366))</f>
        <v>0</v>
      </c>
      <c r="R483" s="81">
        <f ca="1">SUMPRODUCT((Work_Codes!$N$336:$Y$336=$E483)*(Work_Codes!$N$348:$Y$348)*(R$366:R$366))</f>
        <v>0</v>
      </c>
      <c r="S483" s="81">
        <f ca="1">SUMPRODUCT((Work_Codes!$N$336:$Y$336=$E483)*(Work_Codes!$N$348:$Y$348)*(S$366:S$366))</f>
        <v>0</v>
      </c>
      <c r="T483" s="81">
        <f ca="1">SUMPRODUCT((Work_Codes!$N$336:$Y$336=$E483)*(Work_Codes!$N$348:$Y$348)*(T$366:T$366))</f>
        <v>0</v>
      </c>
    </row>
    <row r="484" spans="5:20" outlineLevel="2">
      <c r="E484" s="247" t="str">
        <f>GC!C42</f>
        <v>Service pipes</v>
      </c>
      <c r="F484" s="247"/>
      <c r="G484" s="247"/>
      <c r="H484" s="247"/>
      <c r="I484" s="247"/>
      <c r="J484" s="81">
        <f ca="1">SUMPRODUCT((Work_Codes!$N$336:$Y$336=$E484)*(Work_Codes!$N$348:$Y$348)*(J$366:J$366))</f>
        <v>0</v>
      </c>
      <c r="K484" s="81">
        <f ca="1">SUMPRODUCT((Work_Codes!$N$336:$Y$336=$E484)*(Work_Codes!$N$348:$Y$348)*(K$366:K$366))</f>
        <v>0</v>
      </c>
      <c r="L484" s="81">
        <f ca="1">SUMPRODUCT((Work_Codes!$N$336:$Y$336=$E484)*(Work_Codes!$N$348:$Y$348)*(L$366:L$366))</f>
        <v>0</v>
      </c>
      <c r="M484" s="81">
        <f ca="1">SUMPRODUCT((Work_Codes!$N$336:$Y$336=$E484)*(Work_Codes!$N$348:$Y$348)*(M$366:M$366))</f>
        <v>0</v>
      </c>
      <c r="N484" s="81">
        <f ca="1">SUMPRODUCT((Work_Codes!$N$336:$Y$336=$E484)*(Work_Codes!$N$348:$Y$348)*(N$366:N$366))</f>
        <v>0</v>
      </c>
      <c r="O484" s="81">
        <f ca="1">SUMPRODUCT((Work_Codes!$N$336:$Y$336=$E484)*(Work_Codes!$N$348:$Y$348)*(O$366:O$366))</f>
        <v>0</v>
      </c>
      <c r="P484" s="81">
        <f ca="1">SUMPRODUCT((Work_Codes!$N$336:$Y$336=$E484)*(Work_Codes!$N$348:$Y$348)*(P$366:P$366))</f>
        <v>0</v>
      </c>
      <c r="Q484" s="81">
        <f ca="1">SUMPRODUCT((Work_Codes!$N$336:$Y$336=$E484)*(Work_Codes!$N$348:$Y$348)*(Q$366:Q$366))</f>
        <v>0</v>
      </c>
      <c r="R484" s="81">
        <f ca="1">SUMPRODUCT((Work_Codes!$N$336:$Y$336=$E484)*(Work_Codes!$N$348:$Y$348)*(R$366:R$366))</f>
        <v>0</v>
      </c>
      <c r="S484" s="81">
        <f ca="1">SUMPRODUCT((Work_Codes!$N$336:$Y$336=$E484)*(Work_Codes!$N$348:$Y$348)*(S$366:S$366))</f>
        <v>0</v>
      </c>
      <c r="T484" s="81">
        <f ca="1">SUMPRODUCT((Work_Codes!$N$336:$Y$336=$E484)*(Work_Codes!$N$348:$Y$348)*(T$366:T$366))</f>
        <v>0</v>
      </c>
    </row>
    <row r="485" spans="5:20" outlineLevel="2">
      <c r="E485" s="247" t="str">
        <f>GC!C43</f>
        <v>Cathodic protection</v>
      </c>
      <c r="F485" s="247"/>
      <c r="G485" s="247"/>
      <c r="H485" s="247"/>
      <c r="I485" s="247"/>
      <c r="J485" s="81">
        <f ca="1">SUMPRODUCT((Work_Codes!$N$336:$Y$336=$E485)*(Work_Codes!$N$348:$Y$348)*(J$366:J$366))</f>
        <v>0</v>
      </c>
      <c r="K485" s="81">
        <f ca="1">SUMPRODUCT((Work_Codes!$N$336:$Y$336=$E485)*(Work_Codes!$N$348:$Y$348)*(K$366:K$366))</f>
        <v>0</v>
      </c>
      <c r="L485" s="81">
        <f ca="1">SUMPRODUCT((Work_Codes!$N$336:$Y$336=$E485)*(Work_Codes!$N$348:$Y$348)*(L$366:L$366))</f>
        <v>0</v>
      </c>
      <c r="M485" s="81">
        <f ca="1">SUMPRODUCT((Work_Codes!$N$336:$Y$336=$E485)*(Work_Codes!$N$348:$Y$348)*(M$366:M$366))</f>
        <v>0</v>
      </c>
      <c r="N485" s="81">
        <f ca="1">SUMPRODUCT((Work_Codes!$N$336:$Y$336=$E485)*(Work_Codes!$N$348:$Y$348)*(N$366:N$366))</f>
        <v>0</v>
      </c>
      <c r="O485" s="81">
        <f ca="1">SUMPRODUCT((Work_Codes!$N$336:$Y$336=$E485)*(Work_Codes!$N$348:$Y$348)*(O$366:O$366))</f>
        <v>0</v>
      </c>
      <c r="P485" s="81">
        <f ca="1">SUMPRODUCT((Work_Codes!$N$336:$Y$336=$E485)*(Work_Codes!$N$348:$Y$348)*(P$366:P$366))</f>
        <v>0</v>
      </c>
      <c r="Q485" s="81">
        <f ca="1">SUMPRODUCT((Work_Codes!$N$336:$Y$336=$E485)*(Work_Codes!$N$348:$Y$348)*(Q$366:Q$366))</f>
        <v>0</v>
      </c>
      <c r="R485" s="81">
        <f ca="1">SUMPRODUCT((Work_Codes!$N$336:$Y$336=$E485)*(Work_Codes!$N$348:$Y$348)*(R$366:R$366))</f>
        <v>0</v>
      </c>
      <c r="S485" s="81">
        <f ca="1">SUMPRODUCT((Work_Codes!$N$336:$Y$336=$E485)*(Work_Codes!$N$348:$Y$348)*(S$366:S$366))</f>
        <v>0</v>
      </c>
      <c r="T485" s="81">
        <f ca="1">SUMPRODUCT((Work_Codes!$N$336:$Y$336=$E485)*(Work_Codes!$N$348:$Y$348)*(T$366:T$366))</f>
        <v>0</v>
      </c>
    </row>
    <row r="486" spans="5:20" outlineLevel="2">
      <c r="E486" s="247" t="str">
        <f>GC!C44</f>
        <v>Supply Regulators / Valve Stations</v>
      </c>
      <c r="F486" s="247"/>
      <c r="G486" s="247"/>
      <c r="H486" s="247"/>
      <c r="I486" s="247"/>
      <c r="J486" s="81">
        <f ca="1">SUMPRODUCT((Work_Codes!$N$336:$Y$336=$E486)*(Work_Codes!$N$348:$Y$348)*(J$366:J$366))</f>
        <v>0</v>
      </c>
      <c r="K486" s="81">
        <f ca="1">SUMPRODUCT((Work_Codes!$N$336:$Y$336=$E486)*(Work_Codes!$N$348:$Y$348)*(K$366:K$366))</f>
        <v>0</v>
      </c>
      <c r="L486" s="81">
        <f ca="1">SUMPRODUCT((Work_Codes!$N$336:$Y$336=$E486)*(Work_Codes!$N$348:$Y$348)*(L$366:L$366))</f>
        <v>0</v>
      </c>
      <c r="M486" s="81">
        <f ca="1">SUMPRODUCT((Work_Codes!$N$336:$Y$336=$E486)*(Work_Codes!$N$348:$Y$348)*(M$366:M$366))</f>
        <v>0</v>
      </c>
      <c r="N486" s="81">
        <f ca="1">SUMPRODUCT((Work_Codes!$N$336:$Y$336=$E486)*(Work_Codes!$N$348:$Y$348)*(N$366:N$366))</f>
        <v>0</v>
      </c>
      <c r="O486" s="81">
        <f ca="1">SUMPRODUCT((Work_Codes!$N$336:$Y$336=$E486)*(Work_Codes!$N$348:$Y$348)*(O$366:O$366))</f>
        <v>0</v>
      </c>
      <c r="P486" s="81">
        <f ca="1">SUMPRODUCT((Work_Codes!$N$336:$Y$336=$E486)*(Work_Codes!$N$348:$Y$348)*(P$366:P$366))</f>
        <v>0</v>
      </c>
      <c r="Q486" s="81">
        <f ca="1">SUMPRODUCT((Work_Codes!$N$336:$Y$336=$E486)*(Work_Codes!$N$348:$Y$348)*(Q$366:Q$366))</f>
        <v>0</v>
      </c>
      <c r="R486" s="81">
        <f ca="1">SUMPRODUCT((Work_Codes!$N$336:$Y$336=$E486)*(Work_Codes!$N$348:$Y$348)*(R$366:R$366))</f>
        <v>0</v>
      </c>
      <c r="S486" s="81">
        <f ca="1">SUMPRODUCT((Work_Codes!$N$336:$Y$336=$E486)*(Work_Codes!$N$348:$Y$348)*(S$366:S$366))</f>
        <v>0</v>
      </c>
      <c r="T486" s="81">
        <f ca="1">SUMPRODUCT((Work_Codes!$N$336:$Y$336=$E486)*(Work_Codes!$N$348:$Y$348)*(T$366:T$366))</f>
        <v>0</v>
      </c>
    </row>
    <row r="487" spans="5:20" outlineLevel="2">
      <c r="E487" s="247" t="str">
        <f>GC!C45</f>
        <v>Meters</v>
      </c>
      <c r="F487" s="247"/>
      <c r="G487" s="247"/>
      <c r="H487" s="247"/>
      <c r="I487" s="247"/>
      <c r="J487" s="81">
        <f ca="1">SUMPRODUCT((Work_Codes!$N$336:$Y$336=$E487)*(Work_Codes!$N$348:$Y$348)*(J$366:J$366))</f>
        <v>0</v>
      </c>
      <c r="K487" s="81">
        <f ca="1">SUMPRODUCT((Work_Codes!$N$336:$Y$336=$E487)*(Work_Codes!$N$348:$Y$348)*(K$366:K$366))</f>
        <v>0</v>
      </c>
      <c r="L487" s="81">
        <f ca="1">SUMPRODUCT((Work_Codes!$N$336:$Y$336=$E487)*(Work_Codes!$N$348:$Y$348)*(L$366:L$366))</f>
        <v>0</v>
      </c>
      <c r="M487" s="81">
        <f ca="1">SUMPRODUCT((Work_Codes!$N$336:$Y$336=$E487)*(Work_Codes!$N$348:$Y$348)*(M$366:M$366))</f>
        <v>0</v>
      </c>
      <c r="N487" s="81">
        <f ca="1">SUMPRODUCT((Work_Codes!$N$336:$Y$336=$E487)*(Work_Codes!$N$348:$Y$348)*(N$366:N$366))</f>
        <v>0</v>
      </c>
      <c r="O487" s="81">
        <f ca="1">SUMPRODUCT((Work_Codes!$N$336:$Y$336=$E487)*(Work_Codes!$N$348:$Y$348)*(O$366:O$366))</f>
        <v>0</v>
      </c>
      <c r="P487" s="81">
        <f ca="1">SUMPRODUCT((Work_Codes!$N$336:$Y$336=$E487)*(Work_Codes!$N$348:$Y$348)*(P$366:P$366))</f>
        <v>0</v>
      </c>
      <c r="Q487" s="81">
        <f ca="1">SUMPRODUCT((Work_Codes!$N$336:$Y$336=$E487)*(Work_Codes!$N$348:$Y$348)*(Q$366:Q$366))</f>
        <v>0</v>
      </c>
      <c r="R487" s="81">
        <f ca="1">SUMPRODUCT((Work_Codes!$N$336:$Y$336=$E487)*(Work_Codes!$N$348:$Y$348)*(R$366:R$366))</f>
        <v>0</v>
      </c>
      <c r="S487" s="81">
        <f ca="1">SUMPRODUCT((Work_Codes!$N$336:$Y$336=$E487)*(Work_Codes!$N$348:$Y$348)*(S$366:S$366))</f>
        <v>0</v>
      </c>
      <c r="T487" s="81">
        <f ca="1">SUMPRODUCT((Work_Codes!$N$336:$Y$336=$E487)*(Work_Codes!$N$348:$Y$348)*(T$366:T$366))</f>
        <v>0</v>
      </c>
    </row>
    <row r="488" spans="5:20" outlineLevel="2">
      <c r="E488" s="247" t="str">
        <f>GC!C46</f>
        <v>SCADA and remote control</v>
      </c>
      <c r="F488" s="247"/>
      <c r="G488" s="247"/>
      <c r="H488" s="247"/>
      <c r="I488" s="247"/>
      <c r="J488" s="81">
        <f ca="1">SUMPRODUCT((Work_Codes!$N$336:$Y$336=$E488)*(Work_Codes!$N$348:$Y$348)*(J$366:J$366))</f>
        <v>0</v>
      </c>
      <c r="K488" s="81">
        <f ca="1">SUMPRODUCT((Work_Codes!$N$336:$Y$336=$E488)*(Work_Codes!$N$348:$Y$348)*(K$366:K$366))</f>
        <v>0</v>
      </c>
      <c r="L488" s="81">
        <f ca="1">SUMPRODUCT((Work_Codes!$N$336:$Y$336=$E488)*(Work_Codes!$N$348:$Y$348)*(L$366:L$366))</f>
        <v>0</v>
      </c>
      <c r="M488" s="81">
        <f ca="1">SUMPRODUCT((Work_Codes!$N$336:$Y$336=$E488)*(Work_Codes!$N$348:$Y$348)*(M$366:M$366))</f>
        <v>0</v>
      </c>
      <c r="N488" s="81">
        <f ca="1">SUMPRODUCT((Work_Codes!$N$336:$Y$336=$E488)*(Work_Codes!$N$348:$Y$348)*(N$366:N$366))</f>
        <v>0</v>
      </c>
      <c r="O488" s="81">
        <f ca="1">SUMPRODUCT((Work_Codes!$N$336:$Y$336=$E488)*(Work_Codes!$N$348:$Y$348)*(O$366:O$366))</f>
        <v>0</v>
      </c>
      <c r="P488" s="81">
        <f ca="1">SUMPRODUCT((Work_Codes!$N$336:$Y$336=$E488)*(Work_Codes!$N$348:$Y$348)*(P$366:P$366))</f>
        <v>0</v>
      </c>
      <c r="Q488" s="81">
        <f ca="1">SUMPRODUCT((Work_Codes!$N$336:$Y$336=$E488)*(Work_Codes!$N$348:$Y$348)*(Q$366:Q$366))</f>
        <v>0</v>
      </c>
      <c r="R488" s="81">
        <f ca="1">SUMPRODUCT((Work_Codes!$N$336:$Y$336=$E488)*(Work_Codes!$N$348:$Y$348)*(R$366:R$366))</f>
        <v>0</v>
      </c>
      <c r="S488" s="81">
        <f ca="1">SUMPRODUCT((Work_Codes!$N$336:$Y$336=$E488)*(Work_Codes!$N$348:$Y$348)*(S$366:S$366))</f>
        <v>0</v>
      </c>
      <c r="T488" s="81">
        <f ca="1">SUMPRODUCT((Work_Codes!$N$336:$Y$336=$E488)*(Work_Codes!$N$348:$Y$348)*(T$366:T$366))</f>
        <v>0</v>
      </c>
    </row>
    <row r="489" spans="5:20" outlineLevel="2">
      <c r="E489" s="247" t="str">
        <f>GC!C47</f>
        <v>Buildings</v>
      </c>
      <c r="F489" s="247"/>
      <c r="G489" s="247"/>
      <c r="H489" s="247"/>
      <c r="I489" s="247"/>
      <c r="J489" s="81">
        <f ca="1">SUMPRODUCT((Work_Codes!$N$336:$Y$336=$E489)*(Work_Codes!$N$348:$Y$348)*(J$366:J$366))</f>
        <v>0</v>
      </c>
      <c r="K489" s="81">
        <f ca="1">SUMPRODUCT((Work_Codes!$N$336:$Y$336=$E489)*(Work_Codes!$N$348:$Y$348)*(K$366:K$366))</f>
        <v>0</v>
      </c>
      <c r="L489" s="81">
        <f ca="1">SUMPRODUCT((Work_Codes!$N$336:$Y$336=$E489)*(Work_Codes!$N$348:$Y$348)*(L$366:L$366))</f>
        <v>0</v>
      </c>
      <c r="M489" s="81">
        <f ca="1">SUMPRODUCT((Work_Codes!$N$336:$Y$336=$E489)*(Work_Codes!$N$348:$Y$348)*(M$366:M$366))</f>
        <v>0</v>
      </c>
      <c r="N489" s="81">
        <f ca="1">SUMPRODUCT((Work_Codes!$N$336:$Y$336=$E489)*(Work_Codes!$N$348:$Y$348)*(N$366:N$366))</f>
        <v>0</v>
      </c>
      <c r="O489" s="81">
        <f ca="1">SUMPRODUCT((Work_Codes!$N$336:$Y$336=$E489)*(Work_Codes!$N$348:$Y$348)*(O$366:O$366))</f>
        <v>0</v>
      </c>
      <c r="P489" s="81">
        <f ca="1">SUMPRODUCT((Work_Codes!$N$336:$Y$336=$E489)*(Work_Codes!$N$348:$Y$348)*(P$366:P$366))</f>
        <v>0</v>
      </c>
      <c r="Q489" s="81">
        <f ca="1">SUMPRODUCT((Work_Codes!$N$336:$Y$336=$E489)*(Work_Codes!$N$348:$Y$348)*(Q$366:Q$366))</f>
        <v>0</v>
      </c>
      <c r="R489" s="81">
        <f ca="1">SUMPRODUCT((Work_Codes!$N$336:$Y$336=$E489)*(Work_Codes!$N$348:$Y$348)*(R$366:R$366))</f>
        <v>0</v>
      </c>
      <c r="S489" s="81">
        <f ca="1">SUMPRODUCT((Work_Codes!$N$336:$Y$336=$E489)*(Work_Codes!$N$348:$Y$348)*(S$366:S$366))</f>
        <v>0</v>
      </c>
      <c r="T489" s="81">
        <f ca="1">SUMPRODUCT((Work_Codes!$N$336:$Y$336=$E489)*(Work_Codes!$N$348:$Y$348)*(T$366:T$366))</f>
        <v>0</v>
      </c>
    </row>
    <row r="490" spans="5:20" outlineLevel="2">
      <c r="E490" s="247" t="str">
        <f>GC!C48</f>
        <v>Other - IT</v>
      </c>
      <c r="F490" s="247"/>
      <c r="G490" s="247"/>
      <c r="H490" s="247"/>
      <c r="I490" s="247"/>
      <c r="J490" s="81">
        <f ca="1">SUMPRODUCT((Work_Codes!$N$336:$Y$336=$E490)*(Work_Codes!$N$348:$Y$348)*(J$366:J$366))</f>
        <v>0</v>
      </c>
      <c r="K490" s="81">
        <f ca="1">SUMPRODUCT((Work_Codes!$N$336:$Y$336=$E490)*(Work_Codes!$N$348:$Y$348)*(K$366:K$366))</f>
        <v>0</v>
      </c>
      <c r="L490" s="81">
        <f ca="1">SUMPRODUCT((Work_Codes!$N$336:$Y$336=$E490)*(Work_Codes!$N$348:$Y$348)*(L$366:L$366))</f>
        <v>0</v>
      </c>
      <c r="M490" s="81">
        <f ca="1">SUMPRODUCT((Work_Codes!$N$336:$Y$336=$E490)*(Work_Codes!$N$348:$Y$348)*(M$366:M$366))</f>
        <v>0</v>
      </c>
      <c r="N490" s="81">
        <f ca="1">SUMPRODUCT((Work_Codes!$N$336:$Y$336=$E490)*(Work_Codes!$N$348:$Y$348)*(N$366:N$366))</f>
        <v>0</v>
      </c>
      <c r="O490" s="81">
        <f ca="1">SUMPRODUCT((Work_Codes!$N$336:$Y$336=$E490)*(Work_Codes!$N$348:$Y$348)*(O$366:O$366))</f>
        <v>0</v>
      </c>
      <c r="P490" s="81">
        <f ca="1">SUMPRODUCT((Work_Codes!$N$336:$Y$336=$E490)*(Work_Codes!$N$348:$Y$348)*(P$366:P$366))</f>
        <v>0</v>
      </c>
      <c r="Q490" s="81">
        <f ca="1">SUMPRODUCT((Work_Codes!$N$336:$Y$336=$E490)*(Work_Codes!$N$348:$Y$348)*(Q$366:Q$366))</f>
        <v>0</v>
      </c>
      <c r="R490" s="81">
        <f ca="1">SUMPRODUCT((Work_Codes!$N$336:$Y$336=$E490)*(Work_Codes!$N$348:$Y$348)*(R$366:R$366))</f>
        <v>0</v>
      </c>
      <c r="S490" s="81">
        <f ca="1">SUMPRODUCT((Work_Codes!$N$336:$Y$336=$E490)*(Work_Codes!$N$348:$Y$348)*(S$366:S$366))</f>
        <v>0</v>
      </c>
      <c r="T490" s="81">
        <f ca="1">SUMPRODUCT((Work_Codes!$N$336:$Y$336=$E490)*(Work_Codes!$N$348:$Y$348)*(T$366:T$366))</f>
        <v>0</v>
      </c>
    </row>
    <row r="491" spans="5:20" outlineLevel="2">
      <c r="E491" s="247" t="str">
        <f>GC!C49</f>
        <v>Other - non IT</v>
      </c>
      <c r="F491" s="247"/>
      <c r="G491" s="247"/>
      <c r="H491" s="247"/>
      <c r="I491" s="247"/>
      <c r="J491" s="81">
        <f ca="1">SUMPRODUCT((Work_Codes!$N$336:$Y$336=$E491)*(Work_Codes!$N$348:$Y$348)*(J$366:J$366))</f>
        <v>0</v>
      </c>
      <c r="K491" s="81">
        <f ca="1">SUMPRODUCT((Work_Codes!$N$336:$Y$336=$E491)*(Work_Codes!$N$348:$Y$348)*(K$366:K$366))</f>
        <v>0</v>
      </c>
      <c r="L491" s="81">
        <f ca="1">SUMPRODUCT((Work_Codes!$N$336:$Y$336=$E491)*(Work_Codes!$N$348:$Y$348)*(L$366:L$366))</f>
        <v>0</v>
      </c>
      <c r="M491" s="81">
        <f ca="1">SUMPRODUCT((Work_Codes!$N$336:$Y$336=$E491)*(Work_Codes!$N$348:$Y$348)*(M$366:M$366))</f>
        <v>0</v>
      </c>
      <c r="N491" s="81">
        <f ca="1">SUMPRODUCT((Work_Codes!$N$336:$Y$336=$E491)*(Work_Codes!$N$348:$Y$348)*(N$366:N$366))</f>
        <v>0</v>
      </c>
      <c r="O491" s="81">
        <f ca="1">SUMPRODUCT((Work_Codes!$N$336:$Y$336=$E491)*(Work_Codes!$N$348:$Y$348)*(O$366:O$366))</f>
        <v>0</v>
      </c>
      <c r="P491" s="81">
        <f ca="1">SUMPRODUCT((Work_Codes!$N$336:$Y$336=$E491)*(Work_Codes!$N$348:$Y$348)*(P$366:P$366))</f>
        <v>0</v>
      </c>
      <c r="Q491" s="81">
        <f ca="1">SUMPRODUCT((Work_Codes!$N$336:$Y$336=$E491)*(Work_Codes!$N$348:$Y$348)*(Q$366:Q$366))</f>
        <v>0</v>
      </c>
      <c r="R491" s="81">
        <f ca="1">SUMPRODUCT((Work_Codes!$N$336:$Y$336=$E491)*(Work_Codes!$N$348:$Y$348)*(R$366:R$366))</f>
        <v>0</v>
      </c>
      <c r="S491" s="81">
        <f ca="1">SUMPRODUCT((Work_Codes!$N$336:$Y$336=$E491)*(Work_Codes!$N$348:$Y$348)*(S$366:S$366))</f>
        <v>0</v>
      </c>
      <c r="T491" s="81">
        <f ca="1">SUMPRODUCT((Work_Codes!$N$336:$Y$336=$E491)*(Work_Codes!$N$348:$Y$348)*(T$366:T$366))</f>
        <v>0</v>
      </c>
    </row>
    <row r="492" spans="5:20" outlineLevel="2">
      <c r="E492" s="247" t="str">
        <f>GC!C50</f>
        <v>Land</v>
      </c>
      <c r="F492" s="247"/>
      <c r="G492" s="247"/>
      <c r="H492" s="247"/>
      <c r="I492" s="247"/>
      <c r="J492" s="81">
        <f ca="1">SUMPRODUCT((Work_Codes!$N$336:$Y$336=$E492)*(Work_Codes!$N$348:$Y$348)*(J$366:J$366))</f>
        <v>0</v>
      </c>
      <c r="K492" s="81">
        <f ca="1">SUMPRODUCT((Work_Codes!$N$336:$Y$336=$E492)*(Work_Codes!$N$348:$Y$348)*(K$366:K$366))</f>
        <v>0</v>
      </c>
      <c r="L492" s="81">
        <f ca="1">SUMPRODUCT((Work_Codes!$N$336:$Y$336=$E492)*(Work_Codes!$N$348:$Y$348)*(L$366:L$366))</f>
        <v>0</v>
      </c>
      <c r="M492" s="81">
        <f ca="1">SUMPRODUCT((Work_Codes!$N$336:$Y$336=$E492)*(Work_Codes!$N$348:$Y$348)*(M$366:M$366))</f>
        <v>0</v>
      </c>
      <c r="N492" s="81">
        <f ca="1">SUMPRODUCT((Work_Codes!$N$336:$Y$336=$E492)*(Work_Codes!$N$348:$Y$348)*(N$366:N$366))</f>
        <v>0</v>
      </c>
      <c r="O492" s="81">
        <f ca="1">SUMPRODUCT((Work_Codes!$N$336:$Y$336=$E492)*(Work_Codes!$N$348:$Y$348)*(O$366:O$366))</f>
        <v>0</v>
      </c>
      <c r="P492" s="81">
        <f ca="1">SUMPRODUCT((Work_Codes!$N$336:$Y$336=$E492)*(Work_Codes!$N$348:$Y$348)*(P$366:P$366))</f>
        <v>0</v>
      </c>
      <c r="Q492" s="81">
        <f ca="1">SUMPRODUCT((Work_Codes!$N$336:$Y$336=$E492)*(Work_Codes!$N$348:$Y$348)*(Q$366:Q$366))</f>
        <v>0</v>
      </c>
      <c r="R492" s="81">
        <f ca="1">SUMPRODUCT((Work_Codes!$N$336:$Y$336=$E492)*(Work_Codes!$N$348:$Y$348)*(R$366:R$366))</f>
        <v>0</v>
      </c>
      <c r="S492" s="81">
        <f ca="1">SUMPRODUCT((Work_Codes!$N$336:$Y$336=$E492)*(Work_Codes!$N$348:$Y$348)*(S$366:S$366))</f>
        <v>0</v>
      </c>
      <c r="T492" s="81">
        <f ca="1">SUMPRODUCT((Work_Codes!$N$336:$Y$336=$E492)*(Work_Codes!$N$348:$Y$348)*(T$366:T$366))</f>
        <v>0</v>
      </c>
    </row>
    <row r="493" spans="5:20" outlineLevel="2">
      <c r="E493" s="247" t="str">
        <f>GC!C51</f>
        <v>Capitalised Leases</v>
      </c>
      <c r="F493" s="247"/>
      <c r="G493" s="247"/>
      <c r="H493" s="247"/>
      <c r="I493" s="247"/>
      <c r="J493" s="81">
        <f ca="1">SUMPRODUCT((Work_Codes!$N$336:$Y$336=$E493)*(Work_Codes!$N$348:$Y$348)*(J$366:J$366))</f>
        <v>0</v>
      </c>
      <c r="K493" s="81">
        <f ca="1">SUMPRODUCT((Work_Codes!$N$336:$Y$336=$E493)*(Work_Codes!$N$348:$Y$348)*(K$366:K$366))</f>
        <v>0</v>
      </c>
      <c r="L493" s="81">
        <f ca="1">SUMPRODUCT((Work_Codes!$N$336:$Y$336=$E493)*(Work_Codes!$N$348:$Y$348)*(L$366:L$366))</f>
        <v>0</v>
      </c>
      <c r="M493" s="81">
        <f ca="1">SUMPRODUCT((Work_Codes!$N$336:$Y$336=$E493)*(Work_Codes!$N$348:$Y$348)*(M$366:M$366))</f>
        <v>0</v>
      </c>
      <c r="N493" s="81">
        <f ca="1">SUMPRODUCT((Work_Codes!$N$336:$Y$336=$E493)*(Work_Codes!$N$348:$Y$348)*(N$366:N$366))</f>
        <v>0</v>
      </c>
      <c r="O493" s="81">
        <f ca="1">SUMPRODUCT((Work_Codes!$N$336:$Y$336=$E493)*(Work_Codes!$N$348:$Y$348)*(O$366:O$366))</f>
        <v>0</v>
      </c>
      <c r="P493" s="81">
        <f ca="1">SUMPRODUCT((Work_Codes!$N$336:$Y$336=$E493)*(Work_Codes!$N$348:$Y$348)*(P$366:P$366))</f>
        <v>0</v>
      </c>
      <c r="Q493" s="81">
        <f ca="1">SUMPRODUCT((Work_Codes!$N$336:$Y$336=$E493)*(Work_Codes!$N$348:$Y$348)*(Q$366:Q$366))</f>
        <v>0</v>
      </c>
      <c r="R493" s="81">
        <f ca="1">SUMPRODUCT((Work_Codes!$N$336:$Y$336=$E493)*(Work_Codes!$N$348:$Y$348)*(R$366:R$366))</f>
        <v>0</v>
      </c>
      <c r="S493" s="81">
        <f ca="1">SUMPRODUCT((Work_Codes!$N$336:$Y$336=$E493)*(Work_Codes!$N$348:$Y$348)*(S$366:S$366))</f>
        <v>0</v>
      </c>
      <c r="T493" s="81">
        <f ca="1">SUMPRODUCT((Work_Codes!$N$336:$Y$336=$E493)*(Work_Codes!$N$348:$Y$348)*(T$366:T$366))</f>
        <v>0</v>
      </c>
    </row>
    <row r="494" spans="5:20" outlineLevel="2">
      <c r="E494" s="247" t="str">
        <f>GC!C52</f>
        <v>Transmission pipelines - post 1998</v>
      </c>
      <c r="F494" s="247"/>
      <c r="G494" s="247"/>
      <c r="H494" s="247"/>
      <c r="I494" s="247"/>
      <c r="J494" s="81">
        <f ca="1">SUMPRODUCT((Work_Codes!$N$336:$Y$336=$E494)*(Work_Codes!$N$348:$Y$348)*(J$366:J$366))</f>
        <v>0</v>
      </c>
      <c r="K494" s="81">
        <f ca="1">SUMPRODUCT((Work_Codes!$N$336:$Y$336=$E494)*(Work_Codes!$N$348:$Y$348)*(K$366:K$366))</f>
        <v>0</v>
      </c>
      <c r="L494" s="81">
        <f ca="1">SUMPRODUCT((Work_Codes!$N$336:$Y$336=$E494)*(Work_Codes!$N$348:$Y$348)*(L$366:L$366))</f>
        <v>0</v>
      </c>
      <c r="M494" s="81">
        <f ca="1">SUMPRODUCT((Work_Codes!$N$336:$Y$336=$E494)*(Work_Codes!$N$348:$Y$348)*(M$366:M$366))</f>
        <v>0</v>
      </c>
      <c r="N494" s="81">
        <f ca="1">SUMPRODUCT((Work_Codes!$N$336:$Y$336=$E494)*(Work_Codes!$N$348:$Y$348)*(N$366:N$366))</f>
        <v>0</v>
      </c>
      <c r="O494" s="81">
        <f ca="1">SUMPRODUCT((Work_Codes!$N$336:$Y$336=$E494)*(Work_Codes!$N$348:$Y$348)*(O$366:O$366))</f>
        <v>0</v>
      </c>
      <c r="P494" s="81">
        <f ca="1">SUMPRODUCT((Work_Codes!$N$336:$Y$336=$E494)*(Work_Codes!$N$348:$Y$348)*(P$366:P$366))</f>
        <v>0</v>
      </c>
      <c r="Q494" s="81">
        <f ca="1">SUMPRODUCT((Work_Codes!$N$336:$Y$336=$E494)*(Work_Codes!$N$348:$Y$348)*(Q$366:Q$366))</f>
        <v>0</v>
      </c>
      <c r="R494" s="81">
        <f ca="1">SUMPRODUCT((Work_Codes!$N$336:$Y$336=$E494)*(Work_Codes!$N$348:$Y$348)*(R$366:R$366))</f>
        <v>0</v>
      </c>
      <c r="S494" s="81">
        <f ca="1">SUMPRODUCT((Work_Codes!$N$336:$Y$336=$E494)*(Work_Codes!$N$348:$Y$348)*(S$366:S$366))</f>
        <v>0</v>
      </c>
      <c r="T494" s="81">
        <f ca="1">SUMPRODUCT((Work_Codes!$N$336:$Y$336=$E494)*(Work_Codes!$N$348:$Y$348)*(T$366:T$366))</f>
        <v>0</v>
      </c>
    </row>
    <row r="495" spans="5:20" outlineLevel="2">
      <c r="E495" s="247" t="str">
        <f>GC!C53</f>
        <v>Distribution pipelines - post 1998</v>
      </c>
      <c r="F495" s="247"/>
      <c r="G495" s="247"/>
      <c r="H495" s="247"/>
      <c r="I495" s="247"/>
      <c r="J495" s="81">
        <f ca="1">SUMPRODUCT((Work_Codes!$N$336:$Y$336=$E495)*(Work_Codes!$N$348:$Y$348)*(J$366:J$366))</f>
        <v>0</v>
      </c>
      <c r="K495" s="81">
        <f ca="1">SUMPRODUCT((Work_Codes!$N$336:$Y$336=$E495)*(Work_Codes!$N$348:$Y$348)*(K$366:K$366))</f>
        <v>0</v>
      </c>
      <c r="L495" s="81">
        <f ca="1">SUMPRODUCT((Work_Codes!$N$336:$Y$336=$E495)*(Work_Codes!$N$348:$Y$348)*(L$366:L$366))</f>
        <v>0</v>
      </c>
      <c r="M495" s="81">
        <f ca="1">SUMPRODUCT((Work_Codes!$N$336:$Y$336=$E495)*(Work_Codes!$N$348:$Y$348)*(M$366:M$366))</f>
        <v>0</v>
      </c>
      <c r="N495" s="81">
        <f ca="1">SUMPRODUCT((Work_Codes!$N$336:$Y$336=$E495)*(Work_Codes!$N$348:$Y$348)*(N$366:N$366))</f>
        <v>0</v>
      </c>
      <c r="O495" s="81">
        <f ca="1">SUMPRODUCT((Work_Codes!$N$336:$Y$336=$E495)*(Work_Codes!$N$348:$Y$348)*(O$366:O$366))</f>
        <v>0</v>
      </c>
      <c r="P495" s="81">
        <f ca="1">SUMPRODUCT((Work_Codes!$N$336:$Y$336=$E495)*(Work_Codes!$N$348:$Y$348)*(P$366:P$366))</f>
        <v>0</v>
      </c>
      <c r="Q495" s="81">
        <f ca="1">SUMPRODUCT((Work_Codes!$N$336:$Y$336=$E495)*(Work_Codes!$N$348:$Y$348)*(Q$366:Q$366))</f>
        <v>0</v>
      </c>
      <c r="R495" s="81">
        <f ca="1">SUMPRODUCT((Work_Codes!$N$336:$Y$336=$E495)*(Work_Codes!$N$348:$Y$348)*(R$366:R$366))</f>
        <v>0</v>
      </c>
      <c r="S495" s="81">
        <f ca="1">SUMPRODUCT((Work_Codes!$N$336:$Y$336=$E495)*(Work_Codes!$N$348:$Y$348)*(S$366:S$366))</f>
        <v>0</v>
      </c>
      <c r="T495" s="81">
        <f ca="1">SUMPRODUCT((Work_Codes!$N$336:$Y$336=$E495)*(Work_Codes!$N$348:$Y$348)*(T$366:T$366))</f>
        <v>0</v>
      </c>
    </row>
    <row r="496" spans="5:20" outlineLevel="2">
      <c r="E496" s="247" t="str">
        <f>GC!C54</f>
        <v>Service pipes - post 1998</v>
      </c>
      <c r="F496" s="247"/>
      <c r="G496" s="247"/>
      <c r="H496" s="247"/>
      <c r="I496" s="247"/>
      <c r="J496" s="81">
        <f ca="1">SUMPRODUCT((Work_Codes!$N$336:$Y$336=$E496)*(Work_Codes!$N$348:$Y$348)*(J$366:J$366))</f>
        <v>0</v>
      </c>
      <c r="K496" s="81">
        <f ca="1">SUMPRODUCT((Work_Codes!$N$336:$Y$336=$E496)*(Work_Codes!$N$348:$Y$348)*(K$366:K$366))</f>
        <v>0</v>
      </c>
      <c r="L496" s="81">
        <f ca="1">SUMPRODUCT((Work_Codes!$N$336:$Y$336=$E496)*(Work_Codes!$N$348:$Y$348)*(L$366:L$366))</f>
        <v>0</v>
      </c>
      <c r="M496" s="81">
        <f ca="1">SUMPRODUCT((Work_Codes!$N$336:$Y$336=$E496)*(Work_Codes!$N$348:$Y$348)*(M$366:M$366))</f>
        <v>0</v>
      </c>
      <c r="N496" s="81">
        <f ca="1">SUMPRODUCT((Work_Codes!$N$336:$Y$336=$E496)*(Work_Codes!$N$348:$Y$348)*(N$366:N$366))</f>
        <v>0</v>
      </c>
      <c r="O496" s="81">
        <f ca="1">SUMPRODUCT((Work_Codes!$N$336:$Y$336=$E496)*(Work_Codes!$N$348:$Y$348)*(O$366:O$366))</f>
        <v>0</v>
      </c>
      <c r="P496" s="81">
        <f ca="1">SUMPRODUCT((Work_Codes!$N$336:$Y$336=$E496)*(Work_Codes!$N$348:$Y$348)*(P$366:P$366))</f>
        <v>0</v>
      </c>
      <c r="Q496" s="81">
        <f ca="1">SUMPRODUCT((Work_Codes!$N$336:$Y$336=$E496)*(Work_Codes!$N$348:$Y$348)*(Q$366:Q$366))</f>
        <v>0</v>
      </c>
      <c r="R496" s="81">
        <f ca="1">SUMPRODUCT((Work_Codes!$N$336:$Y$336=$E496)*(Work_Codes!$N$348:$Y$348)*(R$366:R$366))</f>
        <v>0</v>
      </c>
      <c r="S496" s="81">
        <f ca="1">SUMPRODUCT((Work_Codes!$N$336:$Y$336=$E496)*(Work_Codes!$N$348:$Y$348)*(S$366:S$366))</f>
        <v>0</v>
      </c>
      <c r="T496" s="81">
        <f ca="1">SUMPRODUCT((Work_Codes!$N$336:$Y$336=$E496)*(Work_Codes!$N$348:$Y$348)*(T$366:T$366))</f>
        <v>0</v>
      </c>
    </row>
    <row r="497" spans="2:20" outlineLevel="2">
      <c r="E497" s="247" t="str">
        <f>GC!C55</f>
        <v>Cathodic protection - post 1998</v>
      </c>
      <c r="F497" s="247"/>
      <c r="G497" s="247"/>
      <c r="H497" s="247"/>
      <c r="I497" s="247"/>
      <c r="J497" s="81">
        <f ca="1">SUMPRODUCT((Work_Codes!$N$336:$Y$336=$E497)*(Work_Codes!$N$348:$Y$348)*(J$366:J$366))</f>
        <v>0</v>
      </c>
      <c r="K497" s="81">
        <f ca="1">SUMPRODUCT((Work_Codes!$N$336:$Y$336=$E497)*(Work_Codes!$N$348:$Y$348)*(K$366:K$366))</f>
        <v>0</v>
      </c>
      <c r="L497" s="81">
        <f ca="1">SUMPRODUCT((Work_Codes!$N$336:$Y$336=$E497)*(Work_Codes!$N$348:$Y$348)*(L$366:L$366))</f>
        <v>0</v>
      </c>
      <c r="M497" s="81">
        <f ca="1">SUMPRODUCT((Work_Codes!$N$336:$Y$336=$E497)*(Work_Codes!$N$348:$Y$348)*(M$366:M$366))</f>
        <v>0</v>
      </c>
      <c r="N497" s="81">
        <f ca="1">SUMPRODUCT((Work_Codes!$N$336:$Y$336=$E497)*(Work_Codes!$N$348:$Y$348)*(N$366:N$366))</f>
        <v>0</v>
      </c>
      <c r="O497" s="81">
        <f ca="1">SUMPRODUCT((Work_Codes!$N$336:$Y$336=$E497)*(Work_Codes!$N$348:$Y$348)*(O$366:O$366))</f>
        <v>0</v>
      </c>
      <c r="P497" s="81">
        <f ca="1">SUMPRODUCT((Work_Codes!$N$336:$Y$336=$E497)*(Work_Codes!$N$348:$Y$348)*(P$366:P$366))</f>
        <v>0</v>
      </c>
      <c r="Q497" s="81">
        <f ca="1">SUMPRODUCT((Work_Codes!$N$336:$Y$336=$E497)*(Work_Codes!$N$348:$Y$348)*(Q$366:Q$366))</f>
        <v>0</v>
      </c>
      <c r="R497" s="81">
        <f ca="1">SUMPRODUCT((Work_Codes!$N$336:$Y$336=$E497)*(Work_Codes!$N$348:$Y$348)*(R$366:R$366))</f>
        <v>0</v>
      </c>
      <c r="S497" s="81">
        <f ca="1">SUMPRODUCT((Work_Codes!$N$336:$Y$336=$E497)*(Work_Codes!$N$348:$Y$348)*(S$366:S$366))</f>
        <v>0</v>
      </c>
      <c r="T497" s="81">
        <f ca="1">SUMPRODUCT((Work_Codes!$N$336:$Y$336=$E497)*(Work_Codes!$N$348:$Y$348)*(T$366:T$366))</f>
        <v>0</v>
      </c>
    </row>
    <row r="498" spans="2:20" outlineLevel="2">
      <c r="E498" s="249" t="str">
        <f>"Total "&amp;D480</f>
        <v>Total Customer Contributions</v>
      </c>
      <c r="F498" s="249"/>
      <c r="G498" s="249"/>
      <c r="H498" s="249"/>
      <c r="I498" s="249"/>
      <c r="J498" s="82">
        <f t="shared" ref="J498:T498" ca="1" si="52">SUM(J482:J497)</f>
        <v>0</v>
      </c>
      <c r="K498" s="82">
        <f t="shared" ca="1" si="52"/>
        <v>0</v>
      </c>
      <c r="L498" s="82">
        <f t="shared" ca="1" si="52"/>
        <v>0</v>
      </c>
      <c r="M498" s="82">
        <f t="shared" ca="1" si="52"/>
        <v>0</v>
      </c>
      <c r="N498" s="82">
        <f t="shared" ca="1" si="52"/>
        <v>0</v>
      </c>
      <c r="O498" s="82">
        <f t="shared" ca="1" si="52"/>
        <v>0</v>
      </c>
      <c r="P498" s="82">
        <f t="shared" ca="1" si="52"/>
        <v>0</v>
      </c>
      <c r="Q498" s="82">
        <f t="shared" ca="1" si="52"/>
        <v>0</v>
      </c>
      <c r="R498" s="82">
        <f t="shared" ca="1" si="52"/>
        <v>0</v>
      </c>
      <c r="S498" s="82">
        <f t="shared" ca="1" si="52"/>
        <v>0</v>
      </c>
      <c r="T498" s="82">
        <f t="shared" ca="1" si="52"/>
        <v>0</v>
      </c>
    </row>
    <row r="499" spans="2:20" outlineLevel="1">
      <c r="B499" s="12"/>
      <c r="C499" s="12"/>
      <c r="D499" s="12"/>
      <c r="E499" s="12"/>
      <c r="F499" s="12"/>
      <c r="G499" s="12"/>
      <c r="H499" s="12"/>
      <c r="I499" s="12"/>
      <c r="J499" s="12"/>
      <c r="K499" s="12"/>
      <c r="L499" s="12"/>
      <c r="M499" s="12"/>
      <c r="N499" s="12"/>
      <c r="O499" s="12"/>
      <c r="P499" s="12"/>
      <c r="Q499" s="12"/>
      <c r="R499" s="12"/>
      <c r="S499" s="12"/>
      <c r="T499" s="12"/>
    </row>
    <row r="500" spans="2:20" outlineLevel="1"/>
    <row r="501" spans="2:20" outlineLevel="1">
      <c r="C501" s="37" t="s">
        <v>196</v>
      </c>
    </row>
    <row r="502" spans="2:20" ht="5.9" customHeight="1" outlineLevel="2"/>
    <row r="503" spans="2:20" outlineLevel="2">
      <c r="D503" s="37" t="s">
        <v>215</v>
      </c>
    </row>
    <row r="504" spans="2:20" ht="5.9" customHeight="1" outlineLevel="2"/>
    <row r="505" spans="2:20" ht="12" customHeight="1" outlineLevel="2">
      <c r="E505" s="247" t="str">
        <f>GC!C60</f>
        <v>Mains replacement</v>
      </c>
      <c r="F505" s="247"/>
      <c r="G505" s="247"/>
      <c r="H505" s="247"/>
      <c r="I505" s="247"/>
      <c r="J505" s="81">
        <f ca="1">SUMPRODUCT((Work_Codes!$AC$336:$AO$336=$E505)*(Work_Codes!$AC$339:$AO$344)*(J$408:J$413))</f>
        <v>0</v>
      </c>
      <c r="K505" s="81">
        <f ca="1">SUMPRODUCT((Work_Codes!$AC$336:$AO$336=$E505)*(Work_Codes!$AC$339:$AO$344)*(K$408:K$413))</f>
        <v>0</v>
      </c>
      <c r="L505" s="81">
        <f ca="1">SUMPRODUCT((Work_Codes!$AC$336:$AO$336=$E505)*(Work_Codes!$AC$339:$AO$344)*(L$408:L$413))</f>
        <v>0</v>
      </c>
      <c r="M505" s="81">
        <f ca="1">SUMPRODUCT((Work_Codes!$AC$336:$AO$336=$E505)*(Work_Codes!$AC$339:$AO$344)*(M$408:M$413))</f>
        <v>0</v>
      </c>
      <c r="N505" s="81">
        <f ca="1">SUMPRODUCT((Work_Codes!$AC$336:$AO$336=$E505)*(Work_Codes!$AC$339:$AO$344)*(N$408:N$413))</f>
        <v>0</v>
      </c>
      <c r="O505" s="81">
        <f ca="1">SUMPRODUCT((Work_Codes!$AC$336:$AO$336=$E505)*(Work_Codes!$AC$339:$AO$344)*(O$408:O$413))</f>
        <v>0</v>
      </c>
      <c r="P505" s="81">
        <f ca="1">SUMPRODUCT((Work_Codes!$AC$336:$AO$336=$E505)*(Work_Codes!$AC$339:$AO$344)*(P$408:P$413))</f>
        <v>0</v>
      </c>
      <c r="Q505" s="81">
        <f ca="1">SUMPRODUCT((Work_Codes!$AC$336:$AO$336=$E505)*(Work_Codes!$AC$339:$AO$344)*(Q$408:Q$413))</f>
        <v>0</v>
      </c>
      <c r="R505" s="81">
        <f ca="1">SUMPRODUCT((Work_Codes!$AC$336:$AO$336=$E505)*(Work_Codes!$AC$339:$AO$344)*(R$408:R$413))</f>
        <v>0</v>
      </c>
      <c r="S505" s="81">
        <f ca="1">SUMPRODUCT((Work_Codes!$AC$336:$AO$336=$E505)*(Work_Codes!$AC$339:$AO$344)*(S$408:S$413))</f>
        <v>0</v>
      </c>
      <c r="T505" s="81">
        <f ca="1">SUMPRODUCT((Work_Codes!$AC$336:$AO$336=$E505)*(Work_Codes!$AC$339:$AO$344)*(T$408:T$413))</f>
        <v>0</v>
      </c>
    </row>
    <row r="506" spans="2:20" ht="12" customHeight="1" outlineLevel="2">
      <c r="E506" s="247" t="str">
        <f>GC!C61</f>
        <v>Residential new customer connections</v>
      </c>
      <c r="F506" s="247"/>
      <c r="G506" s="247"/>
      <c r="H506" s="247"/>
      <c r="I506" s="247"/>
      <c r="J506" s="81">
        <f ca="1">SUMPRODUCT((Work_Codes!$AC$336:$AO$336=$E506)*(Work_Codes!$AC$339:$AO$344)*(J$408:J$413))</f>
        <v>0</v>
      </c>
      <c r="K506" s="81">
        <f ca="1">SUMPRODUCT((Work_Codes!$AC$336:$AO$336=$E506)*(Work_Codes!$AC$339:$AO$344)*(K$408:K$413))</f>
        <v>0</v>
      </c>
      <c r="L506" s="81">
        <f ca="1">SUMPRODUCT((Work_Codes!$AC$336:$AO$336=$E506)*(Work_Codes!$AC$339:$AO$344)*(L$408:L$413))</f>
        <v>0</v>
      </c>
      <c r="M506" s="81">
        <f ca="1">SUMPRODUCT((Work_Codes!$AC$336:$AO$336=$E506)*(Work_Codes!$AC$339:$AO$344)*(M$408:M$413))</f>
        <v>0</v>
      </c>
      <c r="N506" s="81">
        <f ca="1">SUMPRODUCT((Work_Codes!$AC$336:$AO$336=$E506)*(Work_Codes!$AC$339:$AO$344)*(N$408:N$413))</f>
        <v>0</v>
      </c>
      <c r="O506" s="81">
        <f ca="1">SUMPRODUCT((Work_Codes!$AC$336:$AO$336=$E506)*(Work_Codes!$AC$339:$AO$344)*(O$408:O$413))</f>
        <v>0</v>
      </c>
      <c r="P506" s="81">
        <f ca="1">SUMPRODUCT((Work_Codes!$AC$336:$AO$336=$E506)*(Work_Codes!$AC$339:$AO$344)*(P$408:P$413))</f>
        <v>0</v>
      </c>
      <c r="Q506" s="81">
        <f ca="1">SUMPRODUCT((Work_Codes!$AC$336:$AO$336=$E506)*(Work_Codes!$AC$339:$AO$344)*(Q$408:Q$413))</f>
        <v>0</v>
      </c>
      <c r="R506" s="81">
        <f ca="1">SUMPRODUCT((Work_Codes!$AC$336:$AO$336=$E506)*(Work_Codes!$AC$339:$AO$344)*(R$408:R$413))</f>
        <v>0</v>
      </c>
      <c r="S506" s="81">
        <f ca="1">SUMPRODUCT((Work_Codes!$AC$336:$AO$336=$E506)*(Work_Codes!$AC$339:$AO$344)*(S$408:S$413))</f>
        <v>0</v>
      </c>
      <c r="T506" s="81">
        <f ca="1">SUMPRODUCT((Work_Codes!$AC$336:$AO$336=$E506)*(Work_Codes!$AC$339:$AO$344)*(T$408:T$413))</f>
        <v>0</v>
      </c>
    </row>
    <row r="507" spans="2:20" ht="12" customHeight="1" outlineLevel="2">
      <c r="E507" s="247" t="str">
        <f>GC!C62</f>
        <v>Commercial and industrial new customer connections</v>
      </c>
      <c r="F507" s="247"/>
      <c r="G507" s="247"/>
      <c r="H507" s="247"/>
      <c r="I507" s="247"/>
      <c r="J507" s="81">
        <f ca="1">SUMPRODUCT((Work_Codes!$AC$336:$AO$336=$E507)*(Work_Codes!$AC$339:$AO$344)*(J$408:J$413))</f>
        <v>0</v>
      </c>
      <c r="K507" s="81">
        <f ca="1">SUMPRODUCT((Work_Codes!$AC$336:$AO$336=$E507)*(Work_Codes!$AC$339:$AO$344)*(K$408:K$413))</f>
        <v>0</v>
      </c>
      <c r="L507" s="81">
        <f ca="1">SUMPRODUCT((Work_Codes!$AC$336:$AO$336=$E507)*(Work_Codes!$AC$339:$AO$344)*(L$408:L$413))</f>
        <v>0</v>
      </c>
      <c r="M507" s="81">
        <f ca="1">SUMPRODUCT((Work_Codes!$AC$336:$AO$336=$E507)*(Work_Codes!$AC$339:$AO$344)*(M$408:M$413))</f>
        <v>0</v>
      </c>
      <c r="N507" s="81">
        <f ca="1">SUMPRODUCT((Work_Codes!$AC$336:$AO$336=$E507)*(Work_Codes!$AC$339:$AO$344)*(N$408:N$413))</f>
        <v>0</v>
      </c>
      <c r="O507" s="81">
        <f ca="1">SUMPRODUCT((Work_Codes!$AC$336:$AO$336=$E507)*(Work_Codes!$AC$339:$AO$344)*(O$408:O$413))</f>
        <v>0</v>
      </c>
      <c r="P507" s="81">
        <f ca="1">SUMPRODUCT((Work_Codes!$AC$336:$AO$336=$E507)*(Work_Codes!$AC$339:$AO$344)*(P$408:P$413))</f>
        <v>0</v>
      </c>
      <c r="Q507" s="81">
        <f ca="1">SUMPRODUCT((Work_Codes!$AC$336:$AO$336=$E507)*(Work_Codes!$AC$339:$AO$344)*(Q$408:Q$413))</f>
        <v>0</v>
      </c>
      <c r="R507" s="81">
        <f ca="1">SUMPRODUCT((Work_Codes!$AC$336:$AO$336=$E507)*(Work_Codes!$AC$339:$AO$344)*(R$408:R$413))</f>
        <v>0</v>
      </c>
      <c r="S507" s="81">
        <f ca="1">SUMPRODUCT((Work_Codes!$AC$336:$AO$336=$E507)*(Work_Codes!$AC$339:$AO$344)*(S$408:S$413))</f>
        <v>0</v>
      </c>
      <c r="T507" s="81">
        <f ca="1">SUMPRODUCT((Work_Codes!$AC$336:$AO$336=$E507)*(Work_Codes!$AC$339:$AO$344)*(T$408:T$413))</f>
        <v>0</v>
      </c>
    </row>
    <row r="508" spans="2:20" ht="12" customHeight="1" outlineLevel="2">
      <c r="E508" s="247" t="str">
        <f>GC!C63</f>
        <v>Residential meter replacement</v>
      </c>
      <c r="F508" s="247"/>
      <c r="G508" s="247"/>
      <c r="H508" s="247"/>
      <c r="I508" s="247"/>
      <c r="J508" s="81">
        <f ca="1">SUMPRODUCT((Work_Codes!$AC$336:$AO$336=$E508)*(Work_Codes!$AC$339:$AO$344)*(J$408:J$413))</f>
        <v>0</v>
      </c>
      <c r="K508" s="81">
        <f ca="1">SUMPRODUCT((Work_Codes!$AC$336:$AO$336=$E508)*(Work_Codes!$AC$339:$AO$344)*(K$408:K$413))</f>
        <v>0</v>
      </c>
      <c r="L508" s="81">
        <f ca="1">SUMPRODUCT((Work_Codes!$AC$336:$AO$336=$E508)*(Work_Codes!$AC$339:$AO$344)*(L$408:L$413))</f>
        <v>0</v>
      </c>
      <c r="M508" s="81">
        <f ca="1">SUMPRODUCT((Work_Codes!$AC$336:$AO$336=$E508)*(Work_Codes!$AC$339:$AO$344)*(M$408:M$413))</f>
        <v>0</v>
      </c>
      <c r="N508" s="81">
        <f ca="1">SUMPRODUCT((Work_Codes!$AC$336:$AO$336=$E508)*(Work_Codes!$AC$339:$AO$344)*(N$408:N$413))</f>
        <v>0</v>
      </c>
      <c r="O508" s="81">
        <f ca="1">SUMPRODUCT((Work_Codes!$AC$336:$AO$336=$E508)*(Work_Codes!$AC$339:$AO$344)*(O$408:O$413))</f>
        <v>0</v>
      </c>
      <c r="P508" s="81">
        <f ca="1">SUMPRODUCT((Work_Codes!$AC$336:$AO$336=$E508)*(Work_Codes!$AC$339:$AO$344)*(P$408:P$413))</f>
        <v>0</v>
      </c>
      <c r="Q508" s="81">
        <f ca="1">SUMPRODUCT((Work_Codes!$AC$336:$AO$336=$E508)*(Work_Codes!$AC$339:$AO$344)*(Q$408:Q$413))</f>
        <v>0</v>
      </c>
      <c r="R508" s="81">
        <f ca="1">SUMPRODUCT((Work_Codes!$AC$336:$AO$336=$E508)*(Work_Codes!$AC$339:$AO$344)*(R$408:R$413))</f>
        <v>0</v>
      </c>
      <c r="S508" s="81">
        <f ca="1">SUMPRODUCT((Work_Codes!$AC$336:$AO$336=$E508)*(Work_Codes!$AC$339:$AO$344)*(S$408:S$413))</f>
        <v>0</v>
      </c>
      <c r="T508" s="81">
        <f ca="1">SUMPRODUCT((Work_Codes!$AC$336:$AO$336=$E508)*(Work_Codes!$AC$339:$AO$344)*(T$408:T$413))</f>
        <v>0</v>
      </c>
    </row>
    <row r="509" spans="2:20" ht="12" customHeight="1" outlineLevel="2">
      <c r="E509" s="247" t="str">
        <f>GC!C64</f>
        <v>Commercial and industrial meter replacement</v>
      </c>
      <c r="F509" s="247"/>
      <c r="G509" s="247"/>
      <c r="H509" s="247"/>
      <c r="I509" s="247"/>
      <c r="J509" s="81">
        <f ca="1">SUMPRODUCT((Work_Codes!$AC$336:$AO$336=$E509)*(Work_Codes!$AC$339:$AO$344)*(J$408:J$413))</f>
        <v>0</v>
      </c>
      <c r="K509" s="81">
        <f ca="1">SUMPRODUCT((Work_Codes!$AC$336:$AO$336=$E509)*(Work_Codes!$AC$339:$AO$344)*(K$408:K$413))</f>
        <v>0</v>
      </c>
      <c r="L509" s="81">
        <f ca="1">SUMPRODUCT((Work_Codes!$AC$336:$AO$336=$E509)*(Work_Codes!$AC$339:$AO$344)*(L$408:L$413))</f>
        <v>0</v>
      </c>
      <c r="M509" s="81">
        <f ca="1">SUMPRODUCT((Work_Codes!$AC$336:$AO$336=$E509)*(Work_Codes!$AC$339:$AO$344)*(M$408:M$413))</f>
        <v>0</v>
      </c>
      <c r="N509" s="81">
        <f ca="1">SUMPRODUCT((Work_Codes!$AC$336:$AO$336=$E509)*(Work_Codes!$AC$339:$AO$344)*(N$408:N$413))</f>
        <v>0</v>
      </c>
      <c r="O509" s="81">
        <f ca="1">SUMPRODUCT((Work_Codes!$AC$336:$AO$336=$E509)*(Work_Codes!$AC$339:$AO$344)*(O$408:O$413))</f>
        <v>0</v>
      </c>
      <c r="P509" s="81">
        <f ca="1">SUMPRODUCT((Work_Codes!$AC$336:$AO$336=$E509)*(Work_Codes!$AC$339:$AO$344)*(P$408:P$413))</f>
        <v>0</v>
      </c>
      <c r="Q509" s="81">
        <f ca="1">SUMPRODUCT((Work_Codes!$AC$336:$AO$336=$E509)*(Work_Codes!$AC$339:$AO$344)*(Q$408:Q$413))</f>
        <v>0</v>
      </c>
      <c r="R509" s="81">
        <f ca="1">SUMPRODUCT((Work_Codes!$AC$336:$AO$336=$E509)*(Work_Codes!$AC$339:$AO$344)*(R$408:R$413))</f>
        <v>0</v>
      </c>
      <c r="S509" s="81">
        <f ca="1">SUMPRODUCT((Work_Codes!$AC$336:$AO$336=$E509)*(Work_Codes!$AC$339:$AO$344)*(S$408:S$413))</f>
        <v>0</v>
      </c>
      <c r="T509" s="81">
        <f ca="1">SUMPRODUCT((Work_Codes!$AC$336:$AO$336=$E509)*(Work_Codes!$AC$339:$AO$344)*(T$408:T$413))</f>
        <v>0</v>
      </c>
    </row>
    <row r="510" spans="2:20" ht="12" customHeight="1" outlineLevel="2">
      <c r="E510" s="247" t="str">
        <f>GC!C65</f>
        <v>Augmentation</v>
      </c>
      <c r="F510" s="247"/>
      <c r="G510" s="247"/>
      <c r="H510" s="247"/>
      <c r="I510" s="247"/>
      <c r="J510" s="81">
        <f ca="1">SUMPRODUCT((Work_Codes!$AC$336:$AO$336=$E510)*(Work_Codes!$AC$339:$AO$344)*(J$408:J$413))</f>
        <v>0</v>
      </c>
      <c r="K510" s="81">
        <f ca="1">SUMPRODUCT((Work_Codes!$AC$336:$AO$336=$E510)*(Work_Codes!$AC$339:$AO$344)*(K$408:K$413))</f>
        <v>0</v>
      </c>
      <c r="L510" s="81">
        <f ca="1">SUMPRODUCT((Work_Codes!$AC$336:$AO$336=$E510)*(Work_Codes!$AC$339:$AO$344)*(L$408:L$413))</f>
        <v>0</v>
      </c>
      <c r="M510" s="81">
        <f ca="1">SUMPRODUCT((Work_Codes!$AC$336:$AO$336=$E510)*(Work_Codes!$AC$339:$AO$344)*(M$408:M$413))</f>
        <v>0</v>
      </c>
      <c r="N510" s="81">
        <f ca="1">SUMPRODUCT((Work_Codes!$AC$336:$AO$336=$E510)*(Work_Codes!$AC$339:$AO$344)*(N$408:N$413))</f>
        <v>0</v>
      </c>
      <c r="O510" s="81">
        <f ca="1">SUMPRODUCT((Work_Codes!$AC$336:$AO$336=$E510)*(Work_Codes!$AC$339:$AO$344)*(O$408:O$413))</f>
        <v>0</v>
      </c>
      <c r="P510" s="81">
        <f ca="1">SUMPRODUCT((Work_Codes!$AC$336:$AO$336=$E510)*(Work_Codes!$AC$339:$AO$344)*(P$408:P$413))</f>
        <v>0</v>
      </c>
      <c r="Q510" s="81">
        <f ca="1">SUMPRODUCT((Work_Codes!$AC$336:$AO$336=$E510)*(Work_Codes!$AC$339:$AO$344)*(Q$408:Q$413))</f>
        <v>0</v>
      </c>
      <c r="R510" s="81">
        <f ca="1">SUMPRODUCT((Work_Codes!$AC$336:$AO$336=$E510)*(Work_Codes!$AC$339:$AO$344)*(R$408:R$413))</f>
        <v>0</v>
      </c>
      <c r="S510" s="81">
        <f ca="1">SUMPRODUCT((Work_Codes!$AC$336:$AO$336=$E510)*(Work_Codes!$AC$339:$AO$344)*(S$408:S$413))</f>
        <v>0</v>
      </c>
      <c r="T510" s="81">
        <f ca="1">SUMPRODUCT((Work_Codes!$AC$336:$AO$336=$E510)*(Work_Codes!$AC$339:$AO$344)*(T$408:T$413))</f>
        <v>0</v>
      </c>
    </row>
    <row r="511" spans="2:20" ht="12" customHeight="1" outlineLevel="2">
      <c r="E511" s="247" t="str">
        <f>GC!C66</f>
        <v>IT capex</v>
      </c>
      <c r="F511" s="247"/>
      <c r="G511" s="247"/>
      <c r="H511" s="247"/>
      <c r="I511" s="247"/>
      <c r="J511" s="81">
        <f ca="1">SUMPRODUCT((Work_Codes!$AC$336:$AO$336=$E511)*(Work_Codes!$AC$339:$AO$344)*(J$408:J$413))</f>
        <v>0</v>
      </c>
      <c r="K511" s="81">
        <f ca="1">SUMPRODUCT((Work_Codes!$AC$336:$AO$336=$E511)*(Work_Codes!$AC$339:$AO$344)*(K$408:K$413))</f>
        <v>0</v>
      </c>
      <c r="L511" s="81">
        <f ca="1">SUMPRODUCT((Work_Codes!$AC$336:$AO$336=$E511)*(Work_Codes!$AC$339:$AO$344)*(L$408:L$413))</f>
        <v>0</v>
      </c>
      <c r="M511" s="81">
        <f ca="1">SUMPRODUCT((Work_Codes!$AC$336:$AO$336=$E511)*(Work_Codes!$AC$339:$AO$344)*(M$408:M$413))</f>
        <v>0</v>
      </c>
      <c r="N511" s="81">
        <f ca="1">SUMPRODUCT((Work_Codes!$AC$336:$AO$336=$E511)*(Work_Codes!$AC$339:$AO$344)*(N$408:N$413))</f>
        <v>0</v>
      </c>
      <c r="O511" s="81">
        <f ca="1">SUMPRODUCT((Work_Codes!$AC$336:$AO$336=$E511)*(Work_Codes!$AC$339:$AO$344)*(O$408:O$413))</f>
        <v>0</v>
      </c>
      <c r="P511" s="81">
        <f ca="1">SUMPRODUCT((Work_Codes!$AC$336:$AO$336=$E511)*(Work_Codes!$AC$339:$AO$344)*(P$408:P$413))</f>
        <v>0</v>
      </c>
      <c r="Q511" s="81">
        <f ca="1">SUMPRODUCT((Work_Codes!$AC$336:$AO$336=$E511)*(Work_Codes!$AC$339:$AO$344)*(Q$408:Q$413))</f>
        <v>0</v>
      </c>
      <c r="R511" s="81">
        <f ca="1">SUMPRODUCT((Work_Codes!$AC$336:$AO$336=$E511)*(Work_Codes!$AC$339:$AO$344)*(R$408:R$413))</f>
        <v>0</v>
      </c>
      <c r="S511" s="81">
        <f ca="1">SUMPRODUCT((Work_Codes!$AC$336:$AO$336=$E511)*(Work_Codes!$AC$339:$AO$344)*(S$408:S$413))</f>
        <v>0</v>
      </c>
      <c r="T511" s="81">
        <f ca="1">SUMPRODUCT((Work_Codes!$AC$336:$AO$336=$E511)*(Work_Codes!$AC$339:$AO$344)*(T$408:T$413))</f>
        <v>0</v>
      </c>
    </row>
    <row r="512" spans="2:20" ht="12" customHeight="1" outlineLevel="2">
      <c r="E512" s="247" t="str">
        <f>GC!C67</f>
        <v>SCADA</v>
      </c>
      <c r="F512" s="247"/>
      <c r="G512" s="247"/>
      <c r="H512" s="247"/>
      <c r="I512" s="247"/>
      <c r="J512" s="81">
        <f ca="1">SUMPRODUCT((Work_Codes!$AC$336:$AO$336=$E512)*(Work_Codes!$AC$339:$AO$344)*(J$408:J$413))</f>
        <v>0</v>
      </c>
      <c r="K512" s="81">
        <f ca="1">SUMPRODUCT((Work_Codes!$AC$336:$AO$336=$E512)*(Work_Codes!$AC$339:$AO$344)*(K$408:K$413))</f>
        <v>0</v>
      </c>
      <c r="L512" s="81">
        <f ca="1">SUMPRODUCT((Work_Codes!$AC$336:$AO$336=$E512)*(Work_Codes!$AC$339:$AO$344)*(L$408:L$413))</f>
        <v>0</v>
      </c>
      <c r="M512" s="81">
        <f ca="1">SUMPRODUCT((Work_Codes!$AC$336:$AO$336=$E512)*(Work_Codes!$AC$339:$AO$344)*(M$408:M$413))</f>
        <v>0</v>
      </c>
      <c r="N512" s="81">
        <f ca="1">SUMPRODUCT((Work_Codes!$AC$336:$AO$336=$E512)*(Work_Codes!$AC$339:$AO$344)*(N$408:N$413))</f>
        <v>0</v>
      </c>
      <c r="O512" s="81">
        <f ca="1">SUMPRODUCT((Work_Codes!$AC$336:$AO$336=$E512)*(Work_Codes!$AC$339:$AO$344)*(O$408:O$413))</f>
        <v>0</v>
      </c>
      <c r="P512" s="81">
        <f ca="1">SUMPRODUCT((Work_Codes!$AC$336:$AO$336=$E512)*(Work_Codes!$AC$339:$AO$344)*(P$408:P$413))</f>
        <v>0</v>
      </c>
      <c r="Q512" s="81">
        <f ca="1">SUMPRODUCT((Work_Codes!$AC$336:$AO$336=$E512)*(Work_Codes!$AC$339:$AO$344)*(Q$408:Q$413))</f>
        <v>0</v>
      </c>
      <c r="R512" s="81">
        <f ca="1">SUMPRODUCT((Work_Codes!$AC$336:$AO$336=$E512)*(Work_Codes!$AC$339:$AO$344)*(R$408:R$413))</f>
        <v>0</v>
      </c>
      <c r="S512" s="81">
        <f ca="1">SUMPRODUCT((Work_Codes!$AC$336:$AO$336=$E512)*(Work_Codes!$AC$339:$AO$344)*(S$408:S$413))</f>
        <v>0</v>
      </c>
      <c r="T512" s="81">
        <f ca="1">SUMPRODUCT((Work_Codes!$AC$336:$AO$336=$E512)*(Work_Codes!$AC$339:$AO$344)*(T$408:T$413))</f>
        <v>0</v>
      </c>
    </row>
    <row r="513" spans="4:20" ht="12" customHeight="1" outlineLevel="2">
      <c r="E513" s="247" t="str">
        <f>GC!C68</f>
        <v>Other</v>
      </c>
      <c r="F513" s="247"/>
      <c r="G513" s="247"/>
      <c r="H513" s="247"/>
      <c r="I513" s="247"/>
      <c r="J513" s="81">
        <f ca="1">SUMPRODUCT((Work_Codes!$AC$336:$AO$336=$E513)*(Work_Codes!$AC$339:$AO$344)*(J$408:J$413))</f>
        <v>0</v>
      </c>
      <c r="K513" s="81">
        <f ca="1">SUMPRODUCT((Work_Codes!$AC$336:$AO$336=$E513)*(Work_Codes!$AC$339:$AO$344)*(K$408:K$413))</f>
        <v>0</v>
      </c>
      <c r="L513" s="81">
        <f ca="1">SUMPRODUCT((Work_Codes!$AC$336:$AO$336=$E513)*(Work_Codes!$AC$339:$AO$344)*(L$408:L$413))</f>
        <v>0</v>
      </c>
      <c r="M513" s="81">
        <f ca="1">SUMPRODUCT((Work_Codes!$AC$336:$AO$336=$E513)*(Work_Codes!$AC$339:$AO$344)*(M$408:M$413))</f>
        <v>0</v>
      </c>
      <c r="N513" s="81">
        <f ca="1">SUMPRODUCT((Work_Codes!$AC$336:$AO$336=$E513)*(Work_Codes!$AC$339:$AO$344)*(N$408:N$413))</f>
        <v>0</v>
      </c>
      <c r="O513" s="81">
        <f ca="1">SUMPRODUCT((Work_Codes!$AC$336:$AO$336=$E513)*(Work_Codes!$AC$339:$AO$344)*(O$408:O$413))</f>
        <v>0</v>
      </c>
      <c r="P513" s="81">
        <f ca="1">SUMPRODUCT((Work_Codes!$AC$336:$AO$336=$E513)*(Work_Codes!$AC$339:$AO$344)*(P$408:P$413))</f>
        <v>544322.64950999548</v>
      </c>
      <c r="Q513" s="81">
        <f ca="1">SUMPRODUCT((Work_Codes!$AC$336:$AO$336=$E513)*(Work_Codes!$AC$339:$AO$344)*(Q$408:Q$413))</f>
        <v>1680521.3063269476</v>
      </c>
      <c r="R513" s="81">
        <f ca="1">SUMPRODUCT((Work_Codes!$AC$336:$AO$336=$E513)*(Work_Codes!$AC$339:$AO$344)*(R$408:R$413))</f>
        <v>2548384.7430302529</v>
      </c>
      <c r="S513" s="81">
        <f ca="1">SUMPRODUCT((Work_Codes!$AC$336:$AO$336=$E513)*(Work_Codes!$AC$339:$AO$344)*(S$408:S$413))</f>
        <v>716595.18455192144</v>
      </c>
      <c r="T513" s="81">
        <f ca="1">SUMPRODUCT((Work_Codes!$AC$336:$AO$336=$E513)*(Work_Codes!$AC$339:$AO$344)*(T$408:T$413))</f>
        <v>120.25009022564794</v>
      </c>
    </row>
    <row r="514" spans="4:20" outlineLevel="2">
      <c r="E514" s="247" t="str">
        <f>GC!C69</f>
        <v>Capitalised Leases</v>
      </c>
      <c r="F514" s="247"/>
      <c r="G514" s="247"/>
      <c r="H514" s="247"/>
      <c r="I514" s="247"/>
      <c r="J514" s="81">
        <f ca="1">SUMPRODUCT((Work_Codes!$AC$336:$AO$336=$E514)*(Work_Codes!$AC$339:$AO$344)*(J$408:J$413))</f>
        <v>0</v>
      </c>
      <c r="K514" s="81">
        <f ca="1">SUMPRODUCT((Work_Codes!$AC$336:$AO$336=$E514)*(Work_Codes!$AC$339:$AO$344)*(K$408:K$413))</f>
        <v>0</v>
      </c>
      <c r="L514" s="81">
        <f ca="1">SUMPRODUCT((Work_Codes!$AC$336:$AO$336=$E514)*(Work_Codes!$AC$339:$AO$344)*(L$408:L$413))</f>
        <v>0</v>
      </c>
      <c r="M514" s="81">
        <f ca="1">SUMPRODUCT((Work_Codes!$AC$336:$AO$336=$E514)*(Work_Codes!$AC$339:$AO$344)*(M$408:M$413))</f>
        <v>0</v>
      </c>
      <c r="N514" s="81">
        <f ca="1">SUMPRODUCT((Work_Codes!$AC$336:$AO$336=$E514)*(Work_Codes!$AC$339:$AO$344)*(N$408:N$413))</f>
        <v>0</v>
      </c>
      <c r="O514" s="81">
        <f ca="1">SUMPRODUCT((Work_Codes!$AC$336:$AO$336=$E514)*(Work_Codes!$AC$339:$AO$344)*(O$408:O$413))</f>
        <v>0</v>
      </c>
      <c r="P514" s="81">
        <f ca="1">SUMPRODUCT((Work_Codes!$AC$336:$AO$336=$E514)*(Work_Codes!$AC$339:$AO$344)*(P$408:P$413))</f>
        <v>0</v>
      </c>
      <c r="Q514" s="81">
        <f ca="1">SUMPRODUCT((Work_Codes!$AC$336:$AO$336=$E514)*(Work_Codes!$AC$339:$AO$344)*(Q$408:Q$413))</f>
        <v>0</v>
      </c>
      <c r="R514" s="81">
        <f ca="1">SUMPRODUCT((Work_Codes!$AC$336:$AO$336=$E514)*(Work_Codes!$AC$339:$AO$344)*(R$408:R$413))</f>
        <v>0</v>
      </c>
      <c r="S514" s="81">
        <f ca="1">SUMPRODUCT((Work_Codes!$AC$336:$AO$336=$E514)*(Work_Codes!$AC$339:$AO$344)*(S$408:S$413))</f>
        <v>0</v>
      </c>
      <c r="T514" s="81">
        <f ca="1">SUMPRODUCT((Work_Codes!$AC$336:$AO$336=$E514)*(Work_Codes!$AC$339:$AO$344)*(T$408:T$413))</f>
        <v>0</v>
      </c>
    </row>
    <row r="515" spans="4:20" ht="12" customHeight="1" outlineLevel="2">
      <c r="E515" s="247" t="str">
        <f>GC!C70</f>
        <v>Gas Extensions - Energy for the Regions</v>
      </c>
      <c r="F515" s="247"/>
      <c r="G515" s="247"/>
      <c r="H515" s="247"/>
      <c r="I515" s="247"/>
      <c r="J515" s="81">
        <f ca="1">SUMPRODUCT((Work_Codes!$AC$336:$AO$336=$E515)*(Work_Codes!$AC$339:$AO$344)*(J$408:J$413))</f>
        <v>0</v>
      </c>
      <c r="K515" s="81">
        <f ca="1">SUMPRODUCT((Work_Codes!$AC$336:$AO$336=$E515)*(Work_Codes!$AC$339:$AO$344)*(K$408:K$413))</f>
        <v>0</v>
      </c>
      <c r="L515" s="81">
        <f ca="1">SUMPRODUCT((Work_Codes!$AC$336:$AO$336=$E515)*(Work_Codes!$AC$339:$AO$344)*(L$408:L$413))</f>
        <v>0</v>
      </c>
      <c r="M515" s="81">
        <f ca="1">SUMPRODUCT((Work_Codes!$AC$336:$AO$336=$E515)*(Work_Codes!$AC$339:$AO$344)*(M$408:M$413))</f>
        <v>0</v>
      </c>
      <c r="N515" s="81">
        <f ca="1">SUMPRODUCT((Work_Codes!$AC$336:$AO$336=$E515)*(Work_Codes!$AC$339:$AO$344)*(N$408:N$413))</f>
        <v>0</v>
      </c>
      <c r="O515" s="81">
        <f ca="1">SUMPRODUCT((Work_Codes!$AC$336:$AO$336=$E515)*(Work_Codes!$AC$339:$AO$344)*(O$408:O$413))</f>
        <v>0</v>
      </c>
      <c r="P515" s="81">
        <f ca="1">SUMPRODUCT((Work_Codes!$AC$336:$AO$336=$E515)*(Work_Codes!$AC$339:$AO$344)*(P$408:P$413))</f>
        <v>0</v>
      </c>
      <c r="Q515" s="81">
        <f ca="1">SUMPRODUCT((Work_Codes!$AC$336:$AO$336=$E515)*(Work_Codes!$AC$339:$AO$344)*(Q$408:Q$413))</f>
        <v>0</v>
      </c>
      <c r="R515" s="81">
        <f ca="1">SUMPRODUCT((Work_Codes!$AC$336:$AO$336=$E515)*(Work_Codes!$AC$339:$AO$344)*(R$408:R$413))</f>
        <v>0</v>
      </c>
      <c r="S515" s="81">
        <f ca="1">SUMPRODUCT((Work_Codes!$AC$336:$AO$336=$E515)*(Work_Codes!$AC$339:$AO$344)*(S$408:S$413))</f>
        <v>0</v>
      </c>
      <c r="T515" s="81">
        <f ca="1">SUMPRODUCT((Work_Codes!$AC$336:$AO$336=$E515)*(Work_Codes!$AC$339:$AO$344)*(T$408:T$413))</f>
        <v>0</v>
      </c>
    </row>
    <row r="516" spans="4:20" ht="12" customHeight="1" outlineLevel="2">
      <c r="E516" s="247" t="str">
        <f>GC!C71</f>
        <v>Gas Extensions - Other</v>
      </c>
      <c r="F516" s="247"/>
      <c r="G516" s="247"/>
      <c r="H516" s="247"/>
      <c r="I516" s="247"/>
      <c r="J516" s="81">
        <f ca="1">SUMPRODUCT((Work_Codes!$AC$336:$AO$336=$E516)*(Work_Codes!$AC$339:$AO$344)*(J$408:J$413))</f>
        <v>0</v>
      </c>
      <c r="K516" s="81">
        <f ca="1">SUMPRODUCT((Work_Codes!$AC$336:$AO$336=$E516)*(Work_Codes!$AC$339:$AO$344)*(K$408:K$413))</f>
        <v>0</v>
      </c>
      <c r="L516" s="81">
        <f ca="1">SUMPRODUCT((Work_Codes!$AC$336:$AO$336=$E516)*(Work_Codes!$AC$339:$AO$344)*(L$408:L$413))</f>
        <v>0</v>
      </c>
      <c r="M516" s="81">
        <f ca="1">SUMPRODUCT((Work_Codes!$AC$336:$AO$336=$E516)*(Work_Codes!$AC$339:$AO$344)*(M$408:M$413))</f>
        <v>0</v>
      </c>
      <c r="N516" s="81">
        <f ca="1">SUMPRODUCT((Work_Codes!$AC$336:$AO$336=$E516)*(Work_Codes!$AC$339:$AO$344)*(N$408:N$413))</f>
        <v>0</v>
      </c>
      <c r="O516" s="81">
        <f ca="1">SUMPRODUCT((Work_Codes!$AC$336:$AO$336=$E516)*(Work_Codes!$AC$339:$AO$344)*(O$408:O$413))</f>
        <v>0</v>
      </c>
      <c r="P516" s="81">
        <f ca="1">SUMPRODUCT((Work_Codes!$AC$336:$AO$336=$E516)*(Work_Codes!$AC$339:$AO$344)*(P$408:P$413))</f>
        <v>0</v>
      </c>
      <c r="Q516" s="81">
        <f ca="1">SUMPRODUCT((Work_Codes!$AC$336:$AO$336=$E516)*(Work_Codes!$AC$339:$AO$344)*(Q$408:Q$413))</f>
        <v>0</v>
      </c>
      <c r="R516" s="81">
        <f ca="1">SUMPRODUCT((Work_Codes!$AC$336:$AO$336=$E516)*(Work_Codes!$AC$339:$AO$344)*(R$408:R$413))</f>
        <v>0</v>
      </c>
      <c r="S516" s="81">
        <f ca="1">SUMPRODUCT((Work_Codes!$AC$336:$AO$336=$E516)*(Work_Codes!$AC$339:$AO$344)*(S$408:S$413))</f>
        <v>0</v>
      </c>
      <c r="T516" s="81">
        <f ca="1">SUMPRODUCT((Work_Codes!$AC$336:$AO$336=$E516)*(Work_Codes!$AC$339:$AO$344)*(T$408:T$413))</f>
        <v>0</v>
      </c>
    </row>
    <row r="517" spans="4:20" ht="12" customHeight="1" outlineLevel="2">
      <c r="E517" s="247" t="str">
        <f>GC!C72</f>
        <v>Customer contributions</v>
      </c>
      <c r="F517" s="247"/>
      <c r="G517" s="247"/>
      <c r="H517" s="247"/>
      <c r="I517" s="247"/>
      <c r="J517" s="81">
        <f ca="1">SUMPRODUCT((Work_Codes!$AC$336:$AO$336=$E517)*(Work_Codes!$AC$339:$AO$344)*(J$408:J$413))</f>
        <v>0</v>
      </c>
      <c r="K517" s="81">
        <f ca="1">SUMPRODUCT((Work_Codes!$AC$336:$AO$336=$E517)*(Work_Codes!$AC$339:$AO$344)*(K$408:K$413))</f>
        <v>0</v>
      </c>
      <c r="L517" s="81">
        <f ca="1">SUMPRODUCT((Work_Codes!$AC$336:$AO$336=$E517)*(Work_Codes!$AC$339:$AO$344)*(L$408:L$413))</f>
        <v>0</v>
      </c>
      <c r="M517" s="81">
        <f ca="1">SUMPRODUCT((Work_Codes!$AC$336:$AO$336=$E517)*(Work_Codes!$AC$339:$AO$344)*(M$408:M$413))</f>
        <v>0</v>
      </c>
      <c r="N517" s="81">
        <f ca="1">SUMPRODUCT((Work_Codes!$AC$336:$AO$336=$E517)*(Work_Codes!$AC$339:$AO$344)*(N$408:N$413))</f>
        <v>0</v>
      </c>
      <c r="O517" s="81">
        <f ca="1">SUMPRODUCT((Work_Codes!$AC$336:$AO$336=$E517)*(Work_Codes!$AC$339:$AO$344)*(O$408:O$413))</f>
        <v>0</v>
      </c>
      <c r="P517" s="81">
        <f ca="1">SUMPRODUCT((Work_Codes!$AC$336:$AO$336=$E517)*(Work_Codes!$AC$339:$AO$344)*(P$408:P$413))</f>
        <v>0</v>
      </c>
      <c r="Q517" s="81">
        <f ca="1">SUMPRODUCT((Work_Codes!$AC$336:$AO$336=$E517)*(Work_Codes!$AC$339:$AO$344)*(Q$408:Q$413))</f>
        <v>0</v>
      </c>
      <c r="R517" s="81">
        <f ca="1">SUMPRODUCT((Work_Codes!$AC$336:$AO$336=$E517)*(Work_Codes!$AC$339:$AO$344)*(R$408:R$413))</f>
        <v>0</v>
      </c>
      <c r="S517" s="81">
        <f ca="1">SUMPRODUCT((Work_Codes!$AC$336:$AO$336=$E517)*(Work_Codes!$AC$339:$AO$344)*(S$408:S$413))</f>
        <v>0</v>
      </c>
      <c r="T517" s="81">
        <f ca="1">SUMPRODUCT((Work_Codes!$AC$336:$AO$336=$E517)*(Work_Codes!$AC$339:$AO$344)*(T$408:T$413))</f>
        <v>0</v>
      </c>
    </row>
    <row r="518" spans="4:20" ht="12" customHeight="1" outlineLevel="2">
      <c r="E518" s="247" t="str">
        <f>GC!C73</f>
        <v>Government contributions</v>
      </c>
      <c r="F518" s="247"/>
      <c r="G518" s="247"/>
      <c r="H518" s="247"/>
      <c r="I518" s="247"/>
      <c r="J518" s="81">
        <f ca="1">SUMPRODUCT((Work_Codes!$AC$336:$AO$336=$E518)*(Work_Codes!$AC$339:$AO$344)*(J$408:J$413))</f>
        <v>0</v>
      </c>
      <c r="K518" s="81">
        <f ca="1">SUMPRODUCT((Work_Codes!$AC$336:$AO$336=$E518)*(Work_Codes!$AC$339:$AO$344)*(K$408:K$413))</f>
        <v>0</v>
      </c>
      <c r="L518" s="81">
        <f ca="1">SUMPRODUCT((Work_Codes!$AC$336:$AO$336=$E518)*(Work_Codes!$AC$339:$AO$344)*(L$408:L$413))</f>
        <v>0</v>
      </c>
      <c r="M518" s="81">
        <f ca="1">SUMPRODUCT((Work_Codes!$AC$336:$AO$336=$E518)*(Work_Codes!$AC$339:$AO$344)*(M$408:M$413))</f>
        <v>0</v>
      </c>
      <c r="N518" s="81">
        <f ca="1">SUMPRODUCT((Work_Codes!$AC$336:$AO$336=$E518)*(Work_Codes!$AC$339:$AO$344)*(N$408:N$413))</f>
        <v>0</v>
      </c>
      <c r="O518" s="81">
        <f ca="1">SUMPRODUCT((Work_Codes!$AC$336:$AO$336=$E518)*(Work_Codes!$AC$339:$AO$344)*(O$408:O$413))</f>
        <v>0</v>
      </c>
      <c r="P518" s="81">
        <f ca="1">SUMPRODUCT((Work_Codes!$AC$336:$AO$336=$E518)*(Work_Codes!$AC$339:$AO$344)*(P$408:P$413))</f>
        <v>0</v>
      </c>
      <c r="Q518" s="81">
        <f ca="1">SUMPRODUCT((Work_Codes!$AC$336:$AO$336=$E518)*(Work_Codes!$AC$339:$AO$344)*(Q$408:Q$413))</f>
        <v>0</v>
      </c>
      <c r="R518" s="81">
        <f ca="1">SUMPRODUCT((Work_Codes!$AC$336:$AO$336=$E518)*(Work_Codes!$AC$339:$AO$344)*(R$408:R$413))</f>
        <v>0</v>
      </c>
      <c r="S518" s="81">
        <f ca="1">SUMPRODUCT((Work_Codes!$AC$336:$AO$336=$E518)*(Work_Codes!$AC$339:$AO$344)*(S$408:S$413))</f>
        <v>0</v>
      </c>
      <c r="T518" s="81">
        <f ca="1">SUMPRODUCT((Work_Codes!$AC$336:$AO$336=$E518)*(Work_Codes!$AC$339:$AO$344)*(T$408:T$413))</f>
        <v>0</v>
      </c>
    </row>
    <row r="519" spans="4:20" ht="12" customHeight="1" outlineLevel="2">
      <c r="E519" s="249" t="str">
        <f>"Total "&amp;D503</f>
        <v>Total Direct Costs</v>
      </c>
      <c r="F519" s="249"/>
      <c r="G519" s="249"/>
      <c r="H519" s="249"/>
      <c r="I519" s="249"/>
      <c r="J519" s="82">
        <f t="shared" ref="J519:T519" ca="1" si="53">SUM(J505:J518)</f>
        <v>0</v>
      </c>
      <c r="K519" s="82">
        <f t="shared" ca="1" si="53"/>
        <v>0</v>
      </c>
      <c r="L519" s="82">
        <f t="shared" ca="1" si="53"/>
        <v>0</v>
      </c>
      <c r="M519" s="82">
        <f t="shared" ca="1" si="53"/>
        <v>0</v>
      </c>
      <c r="N519" s="82">
        <f t="shared" ca="1" si="53"/>
        <v>0</v>
      </c>
      <c r="O519" s="82">
        <f t="shared" ca="1" si="53"/>
        <v>0</v>
      </c>
      <c r="P519" s="82">
        <f t="shared" ca="1" si="53"/>
        <v>544322.64950999548</v>
      </c>
      <c r="Q519" s="82">
        <f t="shared" ca="1" si="53"/>
        <v>1680521.3063269476</v>
      </c>
      <c r="R519" s="82">
        <f t="shared" ca="1" si="53"/>
        <v>2548384.7430302529</v>
      </c>
      <c r="S519" s="82">
        <f t="shared" ca="1" si="53"/>
        <v>716595.18455192144</v>
      </c>
      <c r="T519" s="82">
        <f t="shared" ca="1" si="53"/>
        <v>120.25009022564794</v>
      </c>
    </row>
    <row r="520" spans="4:20" outlineLevel="2"/>
    <row r="521" spans="4:20" outlineLevel="2">
      <c r="D521" s="37" t="s">
        <v>216</v>
      </c>
    </row>
    <row r="522" spans="4:20" ht="5.9" customHeight="1" outlineLevel="2"/>
    <row r="523" spans="4:20" ht="12" customHeight="1" outlineLevel="2">
      <c r="E523" s="247" t="str">
        <f>GC!C60</f>
        <v>Mains replacement</v>
      </c>
      <c r="F523" s="247"/>
      <c r="G523" s="247"/>
      <c r="H523" s="247"/>
      <c r="I523" s="247"/>
      <c r="J523" s="81">
        <f ca="1">J505*(1+INDEX(J$324:J$326,MATCH(Work_Codes!$I$333,$D$324:$D$326,0)))</f>
        <v>0</v>
      </c>
      <c r="K523" s="81">
        <f ca="1">K505*(1+INDEX(K$324:K$326,MATCH(Work_Codes!$I$333,$D$324:$D$326,0)))</f>
        <v>0</v>
      </c>
      <c r="L523" s="81">
        <f ca="1">L505*(1+INDEX(L$324:L$326,MATCH(Work_Codes!$I$333,$D$324:$D$326,0)))</f>
        <v>0</v>
      </c>
      <c r="M523" s="81">
        <f ca="1">M505*(1+INDEX(M$324:M$326,MATCH(Work_Codes!$I$333,$D$324:$D$326,0)))</f>
        <v>0</v>
      </c>
      <c r="N523" s="81">
        <f ca="1">N505*(1+INDEX(N$324:N$326,MATCH(Work_Codes!$I$333,$D$324:$D$326,0)))</f>
        <v>0</v>
      </c>
      <c r="O523" s="81">
        <f ca="1">O505*(1+INDEX(O$324:O$326,MATCH(Work_Codes!$I$333,$D$324:$D$326,0)))</f>
        <v>0</v>
      </c>
      <c r="P523" s="81">
        <f ca="1">P505*(1+INDEX(P$324:P$326,MATCH(Work_Codes!$I$333,$D$324:$D$326,0)))</f>
        <v>0</v>
      </c>
      <c r="Q523" s="81">
        <f ca="1">Q505*(1+INDEX(Q$324:Q$326,MATCH(Work_Codes!$I$333,$D$324:$D$326,0)))</f>
        <v>0</v>
      </c>
      <c r="R523" s="81">
        <f ca="1">R505*(1+INDEX(R$324:R$326,MATCH(Work_Codes!$I$333,$D$324:$D$326,0)))</f>
        <v>0</v>
      </c>
      <c r="S523" s="81">
        <f ca="1">S505*(1+INDEX(S$324:S$326,MATCH(Work_Codes!$I$333,$D$324:$D$326,0)))</f>
        <v>0</v>
      </c>
      <c r="T523" s="81">
        <f ca="1">T505*(1+INDEX(T$324:T$326,MATCH(Work_Codes!$I$333,$D$324:$D$326,0)))</f>
        <v>0</v>
      </c>
    </row>
    <row r="524" spans="4:20" ht="12" customHeight="1" outlineLevel="2">
      <c r="E524" s="247" t="str">
        <f>GC!C61</f>
        <v>Residential new customer connections</v>
      </c>
      <c r="F524" s="247"/>
      <c r="G524" s="247"/>
      <c r="H524" s="247"/>
      <c r="I524" s="247"/>
      <c r="J524" s="81">
        <f ca="1">J506*(1+INDEX(J$324:J$326,MATCH(Work_Codes!$I$333,$D$324:$D$326,0)))</f>
        <v>0</v>
      </c>
      <c r="K524" s="81">
        <f ca="1">K506*(1+INDEX(K$324:K$326,MATCH(Work_Codes!$I$333,$D$324:$D$326,0)))</f>
        <v>0</v>
      </c>
      <c r="L524" s="81">
        <f ca="1">L506*(1+INDEX(L$324:L$326,MATCH(Work_Codes!$I$333,$D$324:$D$326,0)))</f>
        <v>0</v>
      </c>
      <c r="M524" s="81">
        <f ca="1">M506*(1+INDEX(M$324:M$326,MATCH(Work_Codes!$I$333,$D$324:$D$326,0)))</f>
        <v>0</v>
      </c>
      <c r="N524" s="81">
        <f ca="1">N506*(1+INDEX(N$324:N$326,MATCH(Work_Codes!$I$333,$D$324:$D$326,0)))</f>
        <v>0</v>
      </c>
      <c r="O524" s="81">
        <f ca="1">O506*(1+INDEX(O$324:O$326,MATCH(Work_Codes!$I$333,$D$324:$D$326,0)))</f>
        <v>0</v>
      </c>
      <c r="P524" s="81">
        <f ca="1">P506*(1+INDEX(P$324:P$326,MATCH(Work_Codes!$I$333,$D$324:$D$326,0)))</f>
        <v>0</v>
      </c>
      <c r="Q524" s="81">
        <f ca="1">Q506*(1+INDEX(Q$324:Q$326,MATCH(Work_Codes!$I$333,$D$324:$D$326,0)))</f>
        <v>0</v>
      </c>
      <c r="R524" s="81">
        <f ca="1">R506*(1+INDEX(R$324:R$326,MATCH(Work_Codes!$I$333,$D$324:$D$326,0)))</f>
        <v>0</v>
      </c>
      <c r="S524" s="81">
        <f ca="1">S506*(1+INDEX(S$324:S$326,MATCH(Work_Codes!$I$333,$D$324:$D$326,0)))</f>
        <v>0</v>
      </c>
      <c r="T524" s="81">
        <f ca="1">T506*(1+INDEX(T$324:T$326,MATCH(Work_Codes!$I$333,$D$324:$D$326,0)))</f>
        <v>0</v>
      </c>
    </row>
    <row r="525" spans="4:20" ht="12" customHeight="1" outlineLevel="2">
      <c r="E525" s="247" t="str">
        <f>GC!C62</f>
        <v>Commercial and industrial new customer connections</v>
      </c>
      <c r="F525" s="247"/>
      <c r="G525" s="247"/>
      <c r="H525" s="247"/>
      <c r="I525" s="247"/>
      <c r="J525" s="81">
        <f ca="1">J507*(1+INDEX(J$324:J$326,MATCH(Work_Codes!$I$333,$D$324:$D$326,0)))</f>
        <v>0</v>
      </c>
      <c r="K525" s="81">
        <f ca="1">K507*(1+INDEX(K$324:K$326,MATCH(Work_Codes!$I$333,$D$324:$D$326,0)))</f>
        <v>0</v>
      </c>
      <c r="L525" s="81">
        <f ca="1">L507*(1+INDEX(L$324:L$326,MATCH(Work_Codes!$I$333,$D$324:$D$326,0)))</f>
        <v>0</v>
      </c>
      <c r="M525" s="81">
        <f ca="1">M507*(1+INDEX(M$324:M$326,MATCH(Work_Codes!$I$333,$D$324:$D$326,0)))</f>
        <v>0</v>
      </c>
      <c r="N525" s="81">
        <f ca="1">N507*(1+INDEX(N$324:N$326,MATCH(Work_Codes!$I$333,$D$324:$D$326,0)))</f>
        <v>0</v>
      </c>
      <c r="O525" s="81">
        <f ca="1">O507*(1+INDEX(O$324:O$326,MATCH(Work_Codes!$I$333,$D$324:$D$326,0)))</f>
        <v>0</v>
      </c>
      <c r="P525" s="81">
        <f ca="1">P507*(1+INDEX(P$324:P$326,MATCH(Work_Codes!$I$333,$D$324:$D$326,0)))</f>
        <v>0</v>
      </c>
      <c r="Q525" s="81">
        <f ca="1">Q507*(1+INDEX(Q$324:Q$326,MATCH(Work_Codes!$I$333,$D$324:$D$326,0)))</f>
        <v>0</v>
      </c>
      <c r="R525" s="81">
        <f ca="1">R507*(1+INDEX(R$324:R$326,MATCH(Work_Codes!$I$333,$D$324:$D$326,0)))</f>
        <v>0</v>
      </c>
      <c r="S525" s="81">
        <f ca="1">S507*(1+INDEX(S$324:S$326,MATCH(Work_Codes!$I$333,$D$324:$D$326,0)))</f>
        <v>0</v>
      </c>
      <c r="T525" s="81">
        <f ca="1">T507*(1+INDEX(T$324:T$326,MATCH(Work_Codes!$I$333,$D$324:$D$326,0)))</f>
        <v>0</v>
      </c>
    </row>
    <row r="526" spans="4:20" ht="12" customHeight="1" outlineLevel="2">
      <c r="E526" s="247" t="str">
        <f>GC!C63</f>
        <v>Residential meter replacement</v>
      </c>
      <c r="F526" s="247"/>
      <c r="G526" s="247"/>
      <c r="H526" s="247"/>
      <c r="I526" s="247"/>
      <c r="J526" s="81">
        <f ca="1">J508*(1+INDEX(J$324:J$326,MATCH(Work_Codes!$I$333,$D$324:$D$326,0)))</f>
        <v>0</v>
      </c>
      <c r="K526" s="81">
        <f ca="1">K508*(1+INDEX(K$324:K$326,MATCH(Work_Codes!$I$333,$D$324:$D$326,0)))</f>
        <v>0</v>
      </c>
      <c r="L526" s="81">
        <f ca="1">L508*(1+INDEX(L$324:L$326,MATCH(Work_Codes!$I$333,$D$324:$D$326,0)))</f>
        <v>0</v>
      </c>
      <c r="M526" s="81">
        <f ca="1">M508*(1+INDEX(M$324:M$326,MATCH(Work_Codes!$I$333,$D$324:$D$326,0)))</f>
        <v>0</v>
      </c>
      <c r="N526" s="81">
        <f ca="1">N508*(1+INDEX(N$324:N$326,MATCH(Work_Codes!$I$333,$D$324:$D$326,0)))</f>
        <v>0</v>
      </c>
      <c r="O526" s="81">
        <f ca="1">O508*(1+INDEX(O$324:O$326,MATCH(Work_Codes!$I$333,$D$324:$D$326,0)))</f>
        <v>0</v>
      </c>
      <c r="P526" s="81">
        <f ca="1">P508*(1+INDEX(P$324:P$326,MATCH(Work_Codes!$I$333,$D$324:$D$326,0)))</f>
        <v>0</v>
      </c>
      <c r="Q526" s="81">
        <f ca="1">Q508*(1+INDEX(Q$324:Q$326,MATCH(Work_Codes!$I$333,$D$324:$D$326,0)))</f>
        <v>0</v>
      </c>
      <c r="R526" s="81">
        <f ca="1">R508*(1+INDEX(R$324:R$326,MATCH(Work_Codes!$I$333,$D$324:$D$326,0)))</f>
        <v>0</v>
      </c>
      <c r="S526" s="81">
        <f ca="1">S508*(1+INDEX(S$324:S$326,MATCH(Work_Codes!$I$333,$D$324:$D$326,0)))</f>
        <v>0</v>
      </c>
      <c r="T526" s="81">
        <f ca="1">T508*(1+INDEX(T$324:T$326,MATCH(Work_Codes!$I$333,$D$324:$D$326,0)))</f>
        <v>0</v>
      </c>
    </row>
    <row r="527" spans="4:20" ht="12" customHeight="1" outlineLevel="2">
      <c r="E527" s="247" t="str">
        <f>GC!C64</f>
        <v>Commercial and industrial meter replacement</v>
      </c>
      <c r="F527" s="247"/>
      <c r="G527" s="247"/>
      <c r="H527" s="247"/>
      <c r="I527" s="247"/>
      <c r="J527" s="81">
        <f ca="1">J509*(1+INDEX(J$324:J$326,MATCH(Work_Codes!$I$333,$D$324:$D$326,0)))</f>
        <v>0</v>
      </c>
      <c r="K527" s="81">
        <f ca="1">K509*(1+INDEX(K$324:K$326,MATCH(Work_Codes!$I$333,$D$324:$D$326,0)))</f>
        <v>0</v>
      </c>
      <c r="L527" s="81">
        <f ca="1">L509*(1+INDEX(L$324:L$326,MATCH(Work_Codes!$I$333,$D$324:$D$326,0)))</f>
        <v>0</v>
      </c>
      <c r="M527" s="81">
        <f ca="1">M509*(1+INDEX(M$324:M$326,MATCH(Work_Codes!$I$333,$D$324:$D$326,0)))</f>
        <v>0</v>
      </c>
      <c r="N527" s="81">
        <f ca="1">N509*(1+INDEX(N$324:N$326,MATCH(Work_Codes!$I$333,$D$324:$D$326,0)))</f>
        <v>0</v>
      </c>
      <c r="O527" s="81">
        <f ca="1">O509*(1+INDEX(O$324:O$326,MATCH(Work_Codes!$I$333,$D$324:$D$326,0)))</f>
        <v>0</v>
      </c>
      <c r="P527" s="81">
        <f ca="1">P509*(1+INDEX(P$324:P$326,MATCH(Work_Codes!$I$333,$D$324:$D$326,0)))</f>
        <v>0</v>
      </c>
      <c r="Q527" s="81">
        <f ca="1">Q509*(1+INDEX(Q$324:Q$326,MATCH(Work_Codes!$I$333,$D$324:$D$326,0)))</f>
        <v>0</v>
      </c>
      <c r="R527" s="81">
        <f ca="1">R509*(1+INDEX(R$324:R$326,MATCH(Work_Codes!$I$333,$D$324:$D$326,0)))</f>
        <v>0</v>
      </c>
      <c r="S527" s="81">
        <f ca="1">S509*(1+INDEX(S$324:S$326,MATCH(Work_Codes!$I$333,$D$324:$D$326,0)))</f>
        <v>0</v>
      </c>
      <c r="T527" s="81">
        <f ca="1">T509*(1+INDEX(T$324:T$326,MATCH(Work_Codes!$I$333,$D$324:$D$326,0)))</f>
        <v>0</v>
      </c>
    </row>
    <row r="528" spans="4:20" ht="12" customHeight="1" outlineLevel="2">
      <c r="E528" s="247" t="str">
        <f>GC!C65</f>
        <v>Augmentation</v>
      </c>
      <c r="F528" s="247"/>
      <c r="G528" s="247"/>
      <c r="H528" s="247"/>
      <c r="I528" s="247"/>
      <c r="J528" s="81">
        <f ca="1">J510*(1+INDEX(J$324:J$326,MATCH(Work_Codes!$I$333,$D$324:$D$326,0)))</f>
        <v>0</v>
      </c>
      <c r="K528" s="81">
        <f ca="1">K510*(1+INDEX(K$324:K$326,MATCH(Work_Codes!$I$333,$D$324:$D$326,0)))</f>
        <v>0</v>
      </c>
      <c r="L528" s="81">
        <f ca="1">L510*(1+INDEX(L$324:L$326,MATCH(Work_Codes!$I$333,$D$324:$D$326,0)))</f>
        <v>0</v>
      </c>
      <c r="M528" s="81">
        <f ca="1">M510*(1+INDEX(M$324:M$326,MATCH(Work_Codes!$I$333,$D$324:$D$326,0)))</f>
        <v>0</v>
      </c>
      <c r="N528" s="81">
        <f ca="1">N510*(1+INDEX(N$324:N$326,MATCH(Work_Codes!$I$333,$D$324:$D$326,0)))</f>
        <v>0</v>
      </c>
      <c r="O528" s="81">
        <f ca="1">O510*(1+INDEX(O$324:O$326,MATCH(Work_Codes!$I$333,$D$324:$D$326,0)))</f>
        <v>0</v>
      </c>
      <c r="P528" s="81">
        <f ca="1">P510*(1+INDEX(P$324:P$326,MATCH(Work_Codes!$I$333,$D$324:$D$326,0)))</f>
        <v>0</v>
      </c>
      <c r="Q528" s="81">
        <f ca="1">Q510*(1+INDEX(Q$324:Q$326,MATCH(Work_Codes!$I$333,$D$324:$D$326,0)))</f>
        <v>0</v>
      </c>
      <c r="R528" s="81">
        <f ca="1">R510*(1+INDEX(R$324:R$326,MATCH(Work_Codes!$I$333,$D$324:$D$326,0)))</f>
        <v>0</v>
      </c>
      <c r="S528" s="81">
        <f ca="1">S510*(1+INDEX(S$324:S$326,MATCH(Work_Codes!$I$333,$D$324:$D$326,0)))</f>
        <v>0</v>
      </c>
      <c r="T528" s="81">
        <f ca="1">T510*(1+INDEX(T$324:T$326,MATCH(Work_Codes!$I$333,$D$324:$D$326,0)))</f>
        <v>0</v>
      </c>
    </row>
    <row r="529" spans="4:20" ht="12" customHeight="1" outlineLevel="2">
      <c r="E529" s="247" t="str">
        <f>GC!C66</f>
        <v>IT capex</v>
      </c>
      <c r="F529" s="247"/>
      <c r="G529" s="247"/>
      <c r="H529" s="247"/>
      <c r="I529" s="247"/>
      <c r="J529" s="81">
        <f ca="1">J511*(1+INDEX(J$324:J$326,MATCH(Work_Codes!$I$333,$D$324:$D$326,0)))</f>
        <v>0</v>
      </c>
      <c r="K529" s="81">
        <f ca="1">K511*(1+INDEX(K$324:K$326,MATCH(Work_Codes!$I$333,$D$324:$D$326,0)))</f>
        <v>0</v>
      </c>
      <c r="L529" s="81">
        <f ca="1">L511*(1+INDEX(L$324:L$326,MATCH(Work_Codes!$I$333,$D$324:$D$326,0)))</f>
        <v>0</v>
      </c>
      <c r="M529" s="81">
        <f ca="1">M511*(1+INDEX(M$324:M$326,MATCH(Work_Codes!$I$333,$D$324:$D$326,0)))</f>
        <v>0</v>
      </c>
      <c r="N529" s="81">
        <f ca="1">N511*(1+INDEX(N$324:N$326,MATCH(Work_Codes!$I$333,$D$324:$D$326,0)))</f>
        <v>0</v>
      </c>
      <c r="O529" s="81">
        <f ca="1">O511*(1+INDEX(O$324:O$326,MATCH(Work_Codes!$I$333,$D$324:$D$326,0)))</f>
        <v>0</v>
      </c>
      <c r="P529" s="81">
        <f ca="1">P511*(1+INDEX(P$324:P$326,MATCH(Work_Codes!$I$333,$D$324:$D$326,0)))</f>
        <v>0</v>
      </c>
      <c r="Q529" s="81">
        <f ca="1">Q511*(1+INDEX(Q$324:Q$326,MATCH(Work_Codes!$I$333,$D$324:$D$326,0)))</f>
        <v>0</v>
      </c>
      <c r="R529" s="81">
        <f ca="1">R511*(1+INDEX(R$324:R$326,MATCH(Work_Codes!$I$333,$D$324:$D$326,0)))</f>
        <v>0</v>
      </c>
      <c r="S529" s="81">
        <f ca="1">S511*(1+INDEX(S$324:S$326,MATCH(Work_Codes!$I$333,$D$324:$D$326,0)))</f>
        <v>0</v>
      </c>
      <c r="T529" s="81">
        <f ca="1">T511*(1+INDEX(T$324:T$326,MATCH(Work_Codes!$I$333,$D$324:$D$326,0)))</f>
        <v>0</v>
      </c>
    </row>
    <row r="530" spans="4:20" ht="12" customHeight="1" outlineLevel="2">
      <c r="E530" s="247" t="str">
        <f>GC!C67</f>
        <v>SCADA</v>
      </c>
      <c r="F530" s="247"/>
      <c r="G530" s="247"/>
      <c r="H530" s="247"/>
      <c r="I530" s="247"/>
      <c r="J530" s="81">
        <f ca="1">J512*(1+INDEX(J$324:J$326,MATCH(Work_Codes!$I$333,$D$324:$D$326,0)))</f>
        <v>0</v>
      </c>
      <c r="K530" s="81">
        <f ca="1">K512*(1+INDEX(K$324:K$326,MATCH(Work_Codes!$I$333,$D$324:$D$326,0)))</f>
        <v>0</v>
      </c>
      <c r="L530" s="81">
        <f ca="1">L512*(1+INDEX(L$324:L$326,MATCH(Work_Codes!$I$333,$D$324:$D$326,0)))</f>
        <v>0</v>
      </c>
      <c r="M530" s="81">
        <f ca="1">M512*(1+INDEX(M$324:M$326,MATCH(Work_Codes!$I$333,$D$324:$D$326,0)))</f>
        <v>0</v>
      </c>
      <c r="N530" s="81">
        <f ca="1">N512*(1+INDEX(N$324:N$326,MATCH(Work_Codes!$I$333,$D$324:$D$326,0)))</f>
        <v>0</v>
      </c>
      <c r="O530" s="81">
        <f ca="1">O512*(1+INDEX(O$324:O$326,MATCH(Work_Codes!$I$333,$D$324:$D$326,0)))</f>
        <v>0</v>
      </c>
      <c r="P530" s="81">
        <f ca="1">P512*(1+INDEX(P$324:P$326,MATCH(Work_Codes!$I$333,$D$324:$D$326,0)))</f>
        <v>0</v>
      </c>
      <c r="Q530" s="81">
        <f ca="1">Q512*(1+INDEX(Q$324:Q$326,MATCH(Work_Codes!$I$333,$D$324:$D$326,0)))</f>
        <v>0</v>
      </c>
      <c r="R530" s="81">
        <f ca="1">R512*(1+INDEX(R$324:R$326,MATCH(Work_Codes!$I$333,$D$324:$D$326,0)))</f>
        <v>0</v>
      </c>
      <c r="S530" s="81">
        <f ca="1">S512*(1+INDEX(S$324:S$326,MATCH(Work_Codes!$I$333,$D$324:$D$326,0)))</f>
        <v>0</v>
      </c>
      <c r="T530" s="81">
        <f ca="1">T512*(1+INDEX(T$324:T$326,MATCH(Work_Codes!$I$333,$D$324:$D$326,0)))</f>
        <v>0</v>
      </c>
    </row>
    <row r="531" spans="4:20" ht="12" customHeight="1" outlineLevel="2">
      <c r="E531" s="247" t="str">
        <f>GC!C68</f>
        <v>Other</v>
      </c>
      <c r="F531" s="247"/>
      <c r="G531" s="247"/>
      <c r="H531" s="247"/>
      <c r="I531" s="247"/>
      <c r="J531" s="81">
        <f ca="1">J513*(1+INDEX(J$324:J$326,MATCH(Work_Codes!$I$333,$D$324:$D$326,0)))</f>
        <v>0</v>
      </c>
      <c r="K531" s="81">
        <f ca="1">K513*(1+INDEX(K$324:K$326,MATCH(Work_Codes!$I$333,$D$324:$D$326,0)))</f>
        <v>0</v>
      </c>
      <c r="L531" s="81">
        <f ca="1">L513*(1+INDEX(L$324:L$326,MATCH(Work_Codes!$I$333,$D$324:$D$326,0)))</f>
        <v>0</v>
      </c>
      <c r="M531" s="81">
        <f ca="1">M513*(1+INDEX(M$324:M$326,MATCH(Work_Codes!$I$333,$D$324:$D$326,0)))</f>
        <v>0</v>
      </c>
      <c r="N531" s="81">
        <f ca="1">N513*(1+INDEX(N$324:N$326,MATCH(Work_Codes!$I$333,$D$324:$D$326,0)))</f>
        <v>0</v>
      </c>
      <c r="O531" s="81">
        <f ca="1">O513*(1+INDEX(O$324:O$326,MATCH(Work_Codes!$I$333,$D$324:$D$326,0)))</f>
        <v>0</v>
      </c>
      <c r="P531" s="81">
        <f ca="1">P513*(1+INDEX(P$324:P$326,MATCH(Work_Codes!$I$333,$D$324:$D$326,0)))</f>
        <v>558884.72856211546</v>
      </c>
      <c r="Q531" s="81">
        <f ca="1">Q513*(1+INDEX(Q$324:Q$326,MATCH(Work_Codes!$I$333,$D$324:$D$326,0)))</f>
        <v>1724316.6786223263</v>
      </c>
      <c r="R531" s="81">
        <f ca="1">R513*(1+INDEX(R$324:R$326,MATCH(Work_Codes!$I$333,$D$324:$D$326,0)))</f>
        <v>2616867.5014883806</v>
      </c>
      <c r="S531" s="81">
        <f ca="1">S513*(1+INDEX(S$324:S$326,MATCH(Work_Codes!$I$333,$D$324:$D$326,0)))</f>
        <v>737051.23890915839</v>
      </c>
      <c r="T531" s="81">
        <f ca="1">T513*(1+INDEX(T$324:T$326,MATCH(Work_Codes!$I$333,$D$324:$D$326,0)))</f>
        <v>123.84801840422675</v>
      </c>
    </row>
    <row r="532" spans="4:20" outlineLevel="2">
      <c r="E532" s="247" t="str">
        <f>GC!C69</f>
        <v>Capitalised Leases</v>
      </c>
      <c r="F532" s="247"/>
      <c r="G532" s="247"/>
      <c r="H532" s="247"/>
      <c r="I532" s="247"/>
      <c r="J532" s="81">
        <f ca="1">J514*(1+INDEX(J$324:J$326,MATCH(Work_Codes!$I$333,$D$324:$D$326,0)))</f>
        <v>0</v>
      </c>
      <c r="K532" s="81">
        <f ca="1">K514*(1+INDEX(K$324:K$326,MATCH(Work_Codes!$I$333,$D$324:$D$326,0)))</f>
        <v>0</v>
      </c>
      <c r="L532" s="81">
        <f ca="1">L514*(1+INDEX(L$324:L$326,MATCH(Work_Codes!$I$333,$D$324:$D$326,0)))</f>
        <v>0</v>
      </c>
      <c r="M532" s="81">
        <f ca="1">M514*(1+INDEX(M$324:M$326,MATCH(Work_Codes!$I$333,$D$324:$D$326,0)))</f>
        <v>0</v>
      </c>
      <c r="N532" s="81">
        <f ca="1">N514*(1+INDEX(N$324:N$326,MATCH(Work_Codes!$I$333,$D$324:$D$326,0)))</f>
        <v>0</v>
      </c>
      <c r="O532" s="81">
        <f ca="1">O514*(1+INDEX(O$324:O$326,MATCH(Work_Codes!$I$333,$D$324:$D$326,0)))</f>
        <v>0</v>
      </c>
      <c r="P532" s="81">
        <f ca="1">P514*(1+INDEX(P$324:P$326,MATCH(Work_Codes!$I$333,$D$324:$D$326,0)))</f>
        <v>0</v>
      </c>
      <c r="Q532" s="81">
        <f ca="1">Q514*(1+INDEX(Q$324:Q$326,MATCH(Work_Codes!$I$333,$D$324:$D$326,0)))</f>
        <v>0</v>
      </c>
      <c r="R532" s="81">
        <f ca="1">R514*(1+INDEX(R$324:R$326,MATCH(Work_Codes!$I$333,$D$324:$D$326,0)))</f>
        <v>0</v>
      </c>
      <c r="S532" s="81">
        <f ca="1">S514*(1+INDEX(S$324:S$326,MATCH(Work_Codes!$I$333,$D$324:$D$326,0)))</f>
        <v>0</v>
      </c>
      <c r="T532" s="81">
        <f ca="1">T514*(1+INDEX(T$324:T$326,MATCH(Work_Codes!$I$333,$D$324:$D$326,0)))</f>
        <v>0</v>
      </c>
    </row>
    <row r="533" spans="4:20" ht="12" customHeight="1" outlineLevel="2">
      <c r="E533" s="247" t="str">
        <f>GC!C70</f>
        <v>Gas Extensions - Energy for the Regions</v>
      </c>
      <c r="F533" s="247"/>
      <c r="G533" s="247"/>
      <c r="H533" s="247"/>
      <c r="I533" s="247"/>
      <c r="J533" s="81">
        <f ca="1">J515*(1+INDEX(J$324:J$326,MATCH(Work_Codes!$I$333,$D$324:$D$326,0)))</f>
        <v>0</v>
      </c>
      <c r="K533" s="81">
        <f ca="1">K515*(1+INDEX(K$324:K$326,MATCH(Work_Codes!$I$333,$D$324:$D$326,0)))</f>
        <v>0</v>
      </c>
      <c r="L533" s="81">
        <f ca="1">L515*(1+INDEX(L$324:L$326,MATCH(Work_Codes!$I$333,$D$324:$D$326,0)))</f>
        <v>0</v>
      </c>
      <c r="M533" s="81">
        <f ca="1">M515*(1+INDEX(M$324:M$326,MATCH(Work_Codes!$I$333,$D$324:$D$326,0)))</f>
        <v>0</v>
      </c>
      <c r="N533" s="81">
        <f ca="1">N515*(1+INDEX(N$324:N$326,MATCH(Work_Codes!$I$333,$D$324:$D$326,0)))</f>
        <v>0</v>
      </c>
      <c r="O533" s="81">
        <f ca="1">O515*(1+INDEX(O$324:O$326,MATCH(Work_Codes!$I$333,$D$324:$D$326,0)))</f>
        <v>0</v>
      </c>
      <c r="P533" s="81">
        <f ca="1">P515*(1+INDEX(P$324:P$326,MATCH(Work_Codes!$I$333,$D$324:$D$326,0)))</f>
        <v>0</v>
      </c>
      <c r="Q533" s="81">
        <f ca="1">Q515*(1+INDEX(Q$324:Q$326,MATCH(Work_Codes!$I$333,$D$324:$D$326,0)))</f>
        <v>0</v>
      </c>
      <c r="R533" s="81">
        <f ca="1">R515*(1+INDEX(R$324:R$326,MATCH(Work_Codes!$I$333,$D$324:$D$326,0)))</f>
        <v>0</v>
      </c>
      <c r="S533" s="81">
        <f ca="1">S515*(1+INDEX(S$324:S$326,MATCH(Work_Codes!$I$333,$D$324:$D$326,0)))</f>
        <v>0</v>
      </c>
      <c r="T533" s="81">
        <f ca="1">T515*(1+INDEX(T$324:T$326,MATCH(Work_Codes!$I$333,$D$324:$D$326,0)))</f>
        <v>0</v>
      </c>
    </row>
    <row r="534" spans="4:20" ht="12" customHeight="1" outlineLevel="2">
      <c r="E534" s="247" t="str">
        <f>GC!C71</f>
        <v>Gas Extensions - Other</v>
      </c>
      <c r="F534" s="247"/>
      <c r="G534" s="247"/>
      <c r="H534" s="247"/>
      <c r="I534" s="247"/>
      <c r="J534" s="81">
        <f ca="1">J516*(1+INDEX(J$324:J$326,MATCH(Work_Codes!$I$333,$D$324:$D$326,0)))</f>
        <v>0</v>
      </c>
      <c r="K534" s="81">
        <f ca="1">K516*(1+INDEX(K$324:K$326,MATCH(Work_Codes!$I$333,$D$324:$D$326,0)))</f>
        <v>0</v>
      </c>
      <c r="L534" s="81">
        <f ca="1">L516*(1+INDEX(L$324:L$326,MATCH(Work_Codes!$I$333,$D$324:$D$326,0)))</f>
        <v>0</v>
      </c>
      <c r="M534" s="81">
        <f ca="1">M516*(1+INDEX(M$324:M$326,MATCH(Work_Codes!$I$333,$D$324:$D$326,0)))</f>
        <v>0</v>
      </c>
      <c r="N534" s="81">
        <f ca="1">N516*(1+INDEX(N$324:N$326,MATCH(Work_Codes!$I$333,$D$324:$D$326,0)))</f>
        <v>0</v>
      </c>
      <c r="O534" s="81">
        <f ca="1">O516*(1+INDEX(O$324:O$326,MATCH(Work_Codes!$I$333,$D$324:$D$326,0)))</f>
        <v>0</v>
      </c>
      <c r="P534" s="81">
        <f ca="1">P516*(1+INDEX(P$324:P$326,MATCH(Work_Codes!$I$333,$D$324:$D$326,0)))</f>
        <v>0</v>
      </c>
      <c r="Q534" s="81">
        <f ca="1">Q516*(1+INDEX(Q$324:Q$326,MATCH(Work_Codes!$I$333,$D$324:$D$326,0)))</f>
        <v>0</v>
      </c>
      <c r="R534" s="81">
        <f ca="1">R516*(1+INDEX(R$324:R$326,MATCH(Work_Codes!$I$333,$D$324:$D$326,0)))</f>
        <v>0</v>
      </c>
      <c r="S534" s="81">
        <f ca="1">S516*(1+INDEX(S$324:S$326,MATCH(Work_Codes!$I$333,$D$324:$D$326,0)))</f>
        <v>0</v>
      </c>
      <c r="T534" s="81">
        <f ca="1">T516*(1+INDEX(T$324:T$326,MATCH(Work_Codes!$I$333,$D$324:$D$326,0)))</f>
        <v>0</v>
      </c>
    </row>
    <row r="535" spans="4:20" ht="12" customHeight="1" outlineLevel="2">
      <c r="E535" s="247" t="str">
        <f>GC!C72</f>
        <v>Customer contributions</v>
      </c>
      <c r="F535" s="247"/>
      <c r="G535" s="247"/>
      <c r="H535" s="247"/>
      <c r="I535" s="247"/>
      <c r="J535" s="81">
        <f ca="1">J517*(1+INDEX(J$324:J$326,MATCH(Work_Codes!$I$333,$D$324:$D$326,0)))</f>
        <v>0</v>
      </c>
      <c r="K535" s="81">
        <f ca="1">K517*(1+INDEX(K$324:K$326,MATCH(Work_Codes!$I$333,$D$324:$D$326,0)))</f>
        <v>0</v>
      </c>
      <c r="L535" s="81">
        <f ca="1">L517*(1+INDEX(L$324:L$326,MATCH(Work_Codes!$I$333,$D$324:$D$326,0)))</f>
        <v>0</v>
      </c>
      <c r="M535" s="81">
        <f ca="1">M517*(1+INDEX(M$324:M$326,MATCH(Work_Codes!$I$333,$D$324:$D$326,0)))</f>
        <v>0</v>
      </c>
      <c r="N535" s="81">
        <f ca="1">N517*(1+INDEX(N$324:N$326,MATCH(Work_Codes!$I$333,$D$324:$D$326,0)))</f>
        <v>0</v>
      </c>
      <c r="O535" s="81">
        <f ca="1">O517*(1+INDEX(O$324:O$326,MATCH(Work_Codes!$I$333,$D$324:$D$326,0)))</f>
        <v>0</v>
      </c>
      <c r="P535" s="81">
        <f ca="1">P517*(1+INDEX(P$324:P$326,MATCH(Work_Codes!$I$333,$D$324:$D$326,0)))</f>
        <v>0</v>
      </c>
      <c r="Q535" s="81">
        <f ca="1">Q517*(1+INDEX(Q$324:Q$326,MATCH(Work_Codes!$I$333,$D$324:$D$326,0)))</f>
        <v>0</v>
      </c>
      <c r="R535" s="81">
        <f ca="1">R517*(1+INDEX(R$324:R$326,MATCH(Work_Codes!$I$333,$D$324:$D$326,0)))</f>
        <v>0</v>
      </c>
      <c r="S535" s="81">
        <f ca="1">S517*(1+INDEX(S$324:S$326,MATCH(Work_Codes!$I$333,$D$324:$D$326,0)))</f>
        <v>0</v>
      </c>
      <c r="T535" s="81">
        <f ca="1">T517*(1+INDEX(T$324:T$326,MATCH(Work_Codes!$I$333,$D$324:$D$326,0)))</f>
        <v>0</v>
      </c>
    </row>
    <row r="536" spans="4:20" ht="12" customHeight="1" outlineLevel="2">
      <c r="E536" s="247" t="str">
        <f>GC!C73</f>
        <v>Government contributions</v>
      </c>
      <c r="F536" s="247"/>
      <c r="G536" s="247"/>
      <c r="H536" s="247"/>
      <c r="I536" s="247"/>
      <c r="J536" s="81">
        <f ca="1">J518*(1+INDEX(J$324:J$326,MATCH(Work_Codes!$I$333,$D$324:$D$326,0)))</f>
        <v>0</v>
      </c>
      <c r="K536" s="81">
        <f ca="1">K518*(1+INDEX(K$324:K$326,MATCH(Work_Codes!$I$333,$D$324:$D$326,0)))</f>
        <v>0</v>
      </c>
      <c r="L536" s="81">
        <f ca="1">L518*(1+INDEX(L$324:L$326,MATCH(Work_Codes!$I$333,$D$324:$D$326,0)))</f>
        <v>0</v>
      </c>
      <c r="M536" s="81">
        <f ca="1">M518*(1+INDEX(M$324:M$326,MATCH(Work_Codes!$I$333,$D$324:$D$326,0)))</f>
        <v>0</v>
      </c>
      <c r="N536" s="81">
        <f ca="1">N518*(1+INDEX(N$324:N$326,MATCH(Work_Codes!$I$333,$D$324:$D$326,0)))</f>
        <v>0</v>
      </c>
      <c r="O536" s="81">
        <f ca="1">O518*(1+INDEX(O$324:O$326,MATCH(Work_Codes!$I$333,$D$324:$D$326,0)))</f>
        <v>0</v>
      </c>
      <c r="P536" s="81">
        <f ca="1">P518*(1+INDEX(P$324:P$326,MATCH(Work_Codes!$I$333,$D$324:$D$326,0)))</f>
        <v>0</v>
      </c>
      <c r="Q536" s="81">
        <f ca="1">Q518*(1+INDEX(Q$324:Q$326,MATCH(Work_Codes!$I$333,$D$324:$D$326,0)))</f>
        <v>0</v>
      </c>
      <c r="R536" s="81">
        <f ca="1">R518*(1+INDEX(R$324:R$326,MATCH(Work_Codes!$I$333,$D$324:$D$326,0)))</f>
        <v>0</v>
      </c>
      <c r="S536" s="81">
        <f ca="1">S518*(1+INDEX(S$324:S$326,MATCH(Work_Codes!$I$333,$D$324:$D$326,0)))</f>
        <v>0</v>
      </c>
      <c r="T536" s="81">
        <f ca="1">T518*(1+INDEX(T$324:T$326,MATCH(Work_Codes!$I$333,$D$324:$D$326,0)))</f>
        <v>0</v>
      </c>
    </row>
    <row r="537" spans="4:20" ht="12" customHeight="1" outlineLevel="2">
      <c r="E537" s="249" t="str">
        <f>"Total "&amp;D521</f>
        <v>Total Direct Costs + Overheads</v>
      </c>
      <c r="F537" s="249"/>
      <c r="G537" s="249"/>
      <c r="H537" s="249"/>
      <c r="I537" s="249"/>
      <c r="J537" s="82">
        <f t="shared" ref="J537:T537" ca="1" si="54">SUM(J523:J536)</f>
        <v>0</v>
      </c>
      <c r="K537" s="82">
        <f t="shared" ca="1" si="54"/>
        <v>0</v>
      </c>
      <c r="L537" s="82">
        <f t="shared" ca="1" si="54"/>
        <v>0</v>
      </c>
      <c r="M537" s="82">
        <f t="shared" ca="1" si="54"/>
        <v>0</v>
      </c>
      <c r="N537" s="82">
        <f t="shared" ca="1" si="54"/>
        <v>0</v>
      </c>
      <c r="O537" s="82">
        <f t="shared" ca="1" si="54"/>
        <v>0</v>
      </c>
      <c r="P537" s="82">
        <f t="shared" ca="1" si="54"/>
        <v>558884.72856211546</v>
      </c>
      <c r="Q537" s="82">
        <f t="shared" ca="1" si="54"/>
        <v>1724316.6786223263</v>
      </c>
      <c r="R537" s="82">
        <f t="shared" ca="1" si="54"/>
        <v>2616867.5014883806</v>
      </c>
      <c r="S537" s="82">
        <f t="shared" ca="1" si="54"/>
        <v>737051.23890915839</v>
      </c>
      <c r="T537" s="82">
        <f t="shared" ca="1" si="54"/>
        <v>123.84801840422675</v>
      </c>
    </row>
    <row r="538" spans="4:20" outlineLevel="2"/>
    <row r="539" spans="4:20" outlineLevel="2">
      <c r="D539" s="37" t="s">
        <v>367</v>
      </c>
    </row>
    <row r="540" spans="4:20" ht="5.75" customHeight="1" outlineLevel="2"/>
    <row r="541" spans="4:20" outlineLevel="2">
      <c r="E541" s="247" t="str">
        <f>GC!C60</f>
        <v>Mains replacement</v>
      </c>
      <c r="F541" s="247"/>
      <c r="G541" s="247"/>
      <c r="H541" s="247"/>
      <c r="I541" s="247"/>
      <c r="J541" s="81">
        <f ca="1">SUMPRODUCT((Work_Codes!$AC$336:$AO$336=$E541)*(Work_Codes!$AC$348:$AO$348)*(J$366:J$366))</f>
        <v>0</v>
      </c>
      <c r="K541" s="81">
        <f ca="1">SUMPRODUCT((Work_Codes!$AC$336:$AO$336=$E541)*(Work_Codes!$AC$348:$AO$348)*(K$366:K$366))</f>
        <v>0</v>
      </c>
      <c r="L541" s="81">
        <f ca="1">SUMPRODUCT((Work_Codes!$AC$336:$AO$336=$E541)*(Work_Codes!$AC$348:$AO$348)*(L$366:L$366))</f>
        <v>0</v>
      </c>
      <c r="M541" s="81">
        <f ca="1">SUMPRODUCT((Work_Codes!$AC$336:$AO$336=$E541)*(Work_Codes!$AC$348:$AO$348)*(M$366:M$366))</f>
        <v>0</v>
      </c>
      <c r="N541" s="81">
        <f ca="1">SUMPRODUCT((Work_Codes!$AC$336:$AO$336=$E541)*(Work_Codes!$AC$348:$AO$348)*(N$366:N$366))</f>
        <v>0</v>
      </c>
      <c r="O541" s="81">
        <f ca="1">SUMPRODUCT((Work_Codes!$AC$336:$AO$336=$E541)*(Work_Codes!$AC$348:$AO$348)*(O$366:O$366))</f>
        <v>0</v>
      </c>
      <c r="P541" s="81">
        <f ca="1">SUMPRODUCT((Work_Codes!$AC$336:$AO$336=$E541)*(Work_Codes!$AC$348:$AO$348)*(P$366:P$366))</f>
        <v>0</v>
      </c>
      <c r="Q541" s="81">
        <f ca="1">SUMPRODUCT((Work_Codes!$AC$336:$AO$336=$E541)*(Work_Codes!$AC$348:$AO$348)*(Q$366:Q$366))</f>
        <v>0</v>
      </c>
      <c r="R541" s="81">
        <f ca="1">SUMPRODUCT((Work_Codes!$AC$336:$AO$336=$E541)*(Work_Codes!$AC$348:$AO$348)*(R$366:R$366))</f>
        <v>0</v>
      </c>
      <c r="S541" s="81">
        <f ca="1">SUMPRODUCT((Work_Codes!$AC$336:$AO$336=$E541)*(Work_Codes!$AC$348:$AO$348)*(S$366:S$366))</f>
        <v>0</v>
      </c>
      <c r="T541" s="81">
        <f ca="1">SUMPRODUCT((Work_Codes!$AC$336:$AO$336=$E541)*(Work_Codes!$AC$348:$AO$348)*(T$366:T$366))</f>
        <v>0</v>
      </c>
    </row>
    <row r="542" spans="4:20" outlineLevel="2">
      <c r="E542" s="247" t="str">
        <f>GC!C61</f>
        <v>Residential new customer connections</v>
      </c>
      <c r="F542" s="247"/>
      <c r="G542" s="247"/>
      <c r="H542" s="247"/>
      <c r="I542" s="247"/>
      <c r="J542" s="81">
        <f ca="1">SUMPRODUCT((Work_Codes!$AC$336:$AO$336=$E542)*(Work_Codes!$AC$348:$AO$348)*(J$366:J$366))</f>
        <v>0</v>
      </c>
      <c r="K542" s="81">
        <f ca="1">SUMPRODUCT((Work_Codes!$AC$336:$AO$336=$E542)*(Work_Codes!$AC$348:$AO$348)*(K$366:K$366))</f>
        <v>0</v>
      </c>
      <c r="L542" s="81">
        <f ca="1">SUMPRODUCT((Work_Codes!$AC$336:$AO$336=$E542)*(Work_Codes!$AC$348:$AO$348)*(L$366:L$366))</f>
        <v>0</v>
      </c>
      <c r="M542" s="81">
        <f ca="1">SUMPRODUCT((Work_Codes!$AC$336:$AO$336=$E542)*(Work_Codes!$AC$348:$AO$348)*(M$366:M$366))</f>
        <v>0</v>
      </c>
      <c r="N542" s="81">
        <f ca="1">SUMPRODUCT((Work_Codes!$AC$336:$AO$336=$E542)*(Work_Codes!$AC$348:$AO$348)*(N$366:N$366))</f>
        <v>0</v>
      </c>
      <c r="O542" s="81">
        <f ca="1">SUMPRODUCT((Work_Codes!$AC$336:$AO$336=$E542)*(Work_Codes!$AC$348:$AO$348)*(O$366:O$366))</f>
        <v>0</v>
      </c>
      <c r="P542" s="81">
        <f ca="1">SUMPRODUCT((Work_Codes!$AC$336:$AO$336=$E542)*(Work_Codes!$AC$348:$AO$348)*(P$366:P$366))</f>
        <v>0</v>
      </c>
      <c r="Q542" s="81">
        <f ca="1">SUMPRODUCT((Work_Codes!$AC$336:$AO$336=$E542)*(Work_Codes!$AC$348:$AO$348)*(Q$366:Q$366))</f>
        <v>0</v>
      </c>
      <c r="R542" s="81">
        <f ca="1">SUMPRODUCT((Work_Codes!$AC$336:$AO$336=$E542)*(Work_Codes!$AC$348:$AO$348)*(R$366:R$366))</f>
        <v>0</v>
      </c>
      <c r="S542" s="81">
        <f ca="1">SUMPRODUCT((Work_Codes!$AC$336:$AO$336=$E542)*(Work_Codes!$AC$348:$AO$348)*(S$366:S$366))</f>
        <v>0</v>
      </c>
      <c r="T542" s="81">
        <f ca="1">SUMPRODUCT((Work_Codes!$AC$336:$AO$336=$E542)*(Work_Codes!$AC$348:$AO$348)*(T$366:T$366))</f>
        <v>0</v>
      </c>
    </row>
    <row r="543" spans="4:20" outlineLevel="2">
      <c r="E543" s="247" t="str">
        <f>GC!C62</f>
        <v>Commercial and industrial new customer connections</v>
      </c>
      <c r="F543" s="247"/>
      <c r="G543" s="247"/>
      <c r="H543" s="247"/>
      <c r="I543" s="247"/>
      <c r="J543" s="81">
        <f ca="1">SUMPRODUCT((Work_Codes!$AC$336:$AO$336=$E543)*(Work_Codes!$AC$348:$AO$348)*(J$366:J$366))</f>
        <v>0</v>
      </c>
      <c r="K543" s="81">
        <f ca="1">SUMPRODUCT((Work_Codes!$AC$336:$AO$336=$E543)*(Work_Codes!$AC$348:$AO$348)*(K$366:K$366))</f>
        <v>0</v>
      </c>
      <c r="L543" s="81">
        <f ca="1">SUMPRODUCT((Work_Codes!$AC$336:$AO$336=$E543)*(Work_Codes!$AC$348:$AO$348)*(L$366:L$366))</f>
        <v>0</v>
      </c>
      <c r="M543" s="81">
        <f ca="1">SUMPRODUCT((Work_Codes!$AC$336:$AO$336=$E543)*(Work_Codes!$AC$348:$AO$348)*(M$366:M$366))</f>
        <v>0</v>
      </c>
      <c r="N543" s="81">
        <f ca="1">SUMPRODUCT((Work_Codes!$AC$336:$AO$336=$E543)*(Work_Codes!$AC$348:$AO$348)*(N$366:N$366))</f>
        <v>0</v>
      </c>
      <c r="O543" s="81">
        <f ca="1">SUMPRODUCT((Work_Codes!$AC$336:$AO$336=$E543)*(Work_Codes!$AC$348:$AO$348)*(O$366:O$366))</f>
        <v>0</v>
      </c>
      <c r="P543" s="81">
        <f ca="1">SUMPRODUCT((Work_Codes!$AC$336:$AO$336=$E543)*(Work_Codes!$AC$348:$AO$348)*(P$366:P$366))</f>
        <v>0</v>
      </c>
      <c r="Q543" s="81">
        <f ca="1">SUMPRODUCT((Work_Codes!$AC$336:$AO$336=$E543)*(Work_Codes!$AC$348:$AO$348)*(Q$366:Q$366))</f>
        <v>0</v>
      </c>
      <c r="R543" s="81">
        <f ca="1">SUMPRODUCT((Work_Codes!$AC$336:$AO$336=$E543)*(Work_Codes!$AC$348:$AO$348)*(R$366:R$366))</f>
        <v>0</v>
      </c>
      <c r="S543" s="81">
        <f ca="1">SUMPRODUCT((Work_Codes!$AC$336:$AO$336=$E543)*(Work_Codes!$AC$348:$AO$348)*(S$366:S$366))</f>
        <v>0</v>
      </c>
      <c r="T543" s="81">
        <f ca="1">SUMPRODUCT((Work_Codes!$AC$336:$AO$336=$E543)*(Work_Codes!$AC$348:$AO$348)*(T$366:T$366))</f>
        <v>0</v>
      </c>
    </row>
    <row r="544" spans="4:20" outlineLevel="2">
      <c r="E544" s="247" t="str">
        <f>GC!C63</f>
        <v>Residential meter replacement</v>
      </c>
      <c r="F544" s="247"/>
      <c r="G544" s="247"/>
      <c r="H544" s="247"/>
      <c r="I544" s="247"/>
      <c r="J544" s="81">
        <f ca="1">SUMPRODUCT((Work_Codes!$AC$336:$AO$336=$E544)*(Work_Codes!$AC$348:$AO$348)*(J$366:J$366))</f>
        <v>0</v>
      </c>
      <c r="K544" s="81">
        <f ca="1">SUMPRODUCT((Work_Codes!$AC$336:$AO$336=$E544)*(Work_Codes!$AC$348:$AO$348)*(K$366:K$366))</f>
        <v>0</v>
      </c>
      <c r="L544" s="81">
        <f ca="1">SUMPRODUCT((Work_Codes!$AC$336:$AO$336=$E544)*(Work_Codes!$AC$348:$AO$348)*(L$366:L$366))</f>
        <v>0</v>
      </c>
      <c r="M544" s="81">
        <f ca="1">SUMPRODUCT((Work_Codes!$AC$336:$AO$336=$E544)*(Work_Codes!$AC$348:$AO$348)*(M$366:M$366))</f>
        <v>0</v>
      </c>
      <c r="N544" s="81">
        <f ca="1">SUMPRODUCT((Work_Codes!$AC$336:$AO$336=$E544)*(Work_Codes!$AC$348:$AO$348)*(N$366:N$366))</f>
        <v>0</v>
      </c>
      <c r="O544" s="81">
        <f ca="1">SUMPRODUCT((Work_Codes!$AC$336:$AO$336=$E544)*(Work_Codes!$AC$348:$AO$348)*(O$366:O$366))</f>
        <v>0</v>
      </c>
      <c r="P544" s="81">
        <f ca="1">SUMPRODUCT((Work_Codes!$AC$336:$AO$336=$E544)*(Work_Codes!$AC$348:$AO$348)*(P$366:P$366))</f>
        <v>0</v>
      </c>
      <c r="Q544" s="81">
        <f ca="1">SUMPRODUCT((Work_Codes!$AC$336:$AO$336=$E544)*(Work_Codes!$AC$348:$AO$348)*(Q$366:Q$366))</f>
        <v>0</v>
      </c>
      <c r="R544" s="81">
        <f ca="1">SUMPRODUCT((Work_Codes!$AC$336:$AO$336=$E544)*(Work_Codes!$AC$348:$AO$348)*(R$366:R$366))</f>
        <v>0</v>
      </c>
      <c r="S544" s="81">
        <f ca="1">SUMPRODUCT((Work_Codes!$AC$336:$AO$336=$E544)*(Work_Codes!$AC$348:$AO$348)*(S$366:S$366))</f>
        <v>0</v>
      </c>
      <c r="T544" s="81">
        <f ca="1">SUMPRODUCT((Work_Codes!$AC$336:$AO$336=$E544)*(Work_Codes!$AC$348:$AO$348)*(T$366:T$366))</f>
        <v>0</v>
      </c>
    </row>
    <row r="545" spans="2:20" outlineLevel="2">
      <c r="E545" s="247" t="str">
        <f>GC!C64</f>
        <v>Commercial and industrial meter replacement</v>
      </c>
      <c r="F545" s="247"/>
      <c r="G545" s="247"/>
      <c r="H545" s="247"/>
      <c r="I545" s="247"/>
      <c r="J545" s="81">
        <f ca="1">SUMPRODUCT((Work_Codes!$AC$336:$AO$336=$E545)*(Work_Codes!$AC$348:$AO$348)*(J$366:J$366))</f>
        <v>0</v>
      </c>
      <c r="K545" s="81">
        <f ca="1">SUMPRODUCT((Work_Codes!$AC$336:$AO$336=$E545)*(Work_Codes!$AC$348:$AO$348)*(K$366:K$366))</f>
        <v>0</v>
      </c>
      <c r="L545" s="81">
        <f ca="1">SUMPRODUCT((Work_Codes!$AC$336:$AO$336=$E545)*(Work_Codes!$AC$348:$AO$348)*(L$366:L$366))</f>
        <v>0</v>
      </c>
      <c r="M545" s="81">
        <f ca="1">SUMPRODUCT((Work_Codes!$AC$336:$AO$336=$E545)*(Work_Codes!$AC$348:$AO$348)*(M$366:M$366))</f>
        <v>0</v>
      </c>
      <c r="N545" s="81">
        <f ca="1">SUMPRODUCT((Work_Codes!$AC$336:$AO$336=$E545)*(Work_Codes!$AC$348:$AO$348)*(N$366:N$366))</f>
        <v>0</v>
      </c>
      <c r="O545" s="81">
        <f ca="1">SUMPRODUCT((Work_Codes!$AC$336:$AO$336=$E545)*(Work_Codes!$AC$348:$AO$348)*(O$366:O$366))</f>
        <v>0</v>
      </c>
      <c r="P545" s="81">
        <f ca="1">SUMPRODUCT((Work_Codes!$AC$336:$AO$336=$E545)*(Work_Codes!$AC$348:$AO$348)*(P$366:P$366))</f>
        <v>0</v>
      </c>
      <c r="Q545" s="81">
        <f ca="1">SUMPRODUCT((Work_Codes!$AC$336:$AO$336=$E545)*(Work_Codes!$AC$348:$AO$348)*(Q$366:Q$366))</f>
        <v>0</v>
      </c>
      <c r="R545" s="81">
        <f ca="1">SUMPRODUCT((Work_Codes!$AC$336:$AO$336=$E545)*(Work_Codes!$AC$348:$AO$348)*(R$366:R$366))</f>
        <v>0</v>
      </c>
      <c r="S545" s="81">
        <f ca="1">SUMPRODUCT((Work_Codes!$AC$336:$AO$336=$E545)*(Work_Codes!$AC$348:$AO$348)*(S$366:S$366))</f>
        <v>0</v>
      </c>
      <c r="T545" s="81">
        <f ca="1">SUMPRODUCT((Work_Codes!$AC$336:$AO$336=$E545)*(Work_Codes!$AC$348:$AO$348)*(T$366:T$366))</f>
        <v>0</v>
      </c>
    </row>
    <row r="546" spans="2:20" outlineLevel="2">
      <c r="E546" s="247" t="str">
        <f>GC!C65</f>
        <v>Augmentation</v>
      </c>
      <c r="F546" s="247"/>
      <c r="G546" s="247"/>
      <c r="H546" s="247"/>
      <c r="I546" s="247"/>
      <c r="J546" s="81">
        <f ca="1">SUMPRODUCT((Work_Codes!$AC$336:$AO$336=$E546)*(Work_Codes!$AC$348:$AO$348)*(J$366:J$366))</f>
        <v>0</v>
      </c>
      <c r="K546" s="81">
        <f ca="1">SUMPRODUCT((Work_Codes!$AC$336:$AO$336=$E546)*(Work_Codes!$AC$348:$AO$348)*(K$366:K$366))</f>
        <v>0</v>
      </c>
      <c r="L546" s="81">
        <f ca="1">SUMPRODUCT((Work_Codes!$AC$336:$AO$336=$E546)*(Work_Codes!$AC$348:$AO$348)*(L$366:L$366))</f>
        <v>0</v>
      </c>
      <c r="M546" s="81">
        <f ca="1">SUMPRODUCT((Work_Codes!$AC$336:$AO$336=$E546)*(Work_Codes!$AC$348:$AO$348)*(M$366:M$366))</f>
        <v>0</v>
      </c>
      <c r="N546" s="81">
        <f ca="1">SUMPRODUCT((Work_Codes!$AC$336:$AO$336=$E546)*(Work_Codes!$AC$348:$AO$348)*(N$366:N$366))</f>
        <v>0</v>
      </c>
      <c r="O546" s="81">
        <f ca="1">SUMPRODUCT((Work_Codes!$AC$336:$AO$336=$E546)*(Work_Codes!$AC$348:$AO$348)*(O$366:O$366))</f>
        <v>0</v>
      </c>
      <c r="P546" s="81">
        <f ca="1">SUMPRODUCT((Work_Codes!$AC$336:$AO$336=$E546)*(Work_Codes!$AC$348:$AO$348)*(P$366:P$366))</f>
        <v>0</v>
      </c>
      <c r="Q546" s="81">
        <f ca="1">SUMPRODUCT((Work_Codes!$AC$336:$AO$336=$E546)*(Work_Codes!$AC$348:$AO$348)*(Q$366:Q$366))</f>
        <v>0</v>
      </c>
      <c r="R546" s="81">
        <f ca="1">SUMPRODUCT((Work_Codes!$AC$336:$AO$336=$E546)*(Work_Codes!$AC$348:$AO$348)*(R$366:R$366))</f>
        <v>0</v>
      </c>
      <c r="S546" s="81">
        <f ca="1">SUMPRODUCT((Work_Codes!$AC$336:$AO$336=$E546)*(Work_Codes!$AC$348:$AO$348)*(S$366:S$366))</f>
        <v>0</v>
      </c>
      <c r="T546" s="81">
        <f ca="1">SUMPRODUCT((Work_Codes!$AC$336:$AO$336=$E546)*(Work_Codes!$AC$348:$AO$348)*(T$366:T$366))</f>
        <v>0</v>
      </c>
    </row>
    <row r="547" spans="2:20" outlineLevel="2">
      <c r="E547" s="247" t="str">
        <f>GC!C66</f>
        <v>IT capex</v>
      </c>
      <c r="F547" s="247"/>
      <c r="G547" s="247"/>
      <c r="H547" s="247"/>
      <c r="I547" s="247"/>
      <c r="J547" s="81">
        <f ca="1">SUMPRODUCT((Work_Codes!$AC$336:$AO$336=$E547)*(Work_Codes!$AC$348:$AO$348)*(J$366:J$366))</f>
        <v>0</v>
      </c>
      <c r="K547" s="81">
        <f ca="1">SUMPRODUCT((Work_Codes!$AC$336:$AO$336=$E547)*(Work_Codes!$AC$348:$AO$348)*(K$366:K$366))</f>
        <v>0</v>
      </c>
      <c r="L547" s="81">
        <f ca="1">SUMPRODUCT((Work_Codes!$AC$336:$AO$336=$E547)*(Work_Codes!$AC$348:$AO$348)*(L$366:L$366))</f>
        <v>0</v>
      </c>
      <c r="M547" s="81">
        <f ca="1">SUMPRODUCT((Work_Codes!$AC$336:$AO$336=$E547)*(Work_Codes!$AC$348:$AO$348)*(M$366:M$366))</f>
        <v>0</v>
      </c>
      <c r="N547" s="81">
        <f ca="1">SUMPRODUCT((Work_Codes!$AC$336:$AO$336=$E547)*(Work_Codes!$AC$348:$AO$348)*(N$366:N$366))</f>
        <v>0</v>
      </c>
      <c r="O547" s="81">
        <f ca="1">SUMPRODUCT((Work_Codes!$AC$336:$AO$336=$E547)*(Work_Codes!$AC$348:$AO$348)*(O$366:O$366))</f>
        <v>0</v>
      </c>
      <c r="P547" s="81">
        <f ca="1">SUMPRODUCT((Work_Codes!$AC$336:$AO$336=$E547)*(Work_Codes!$AC$348:$AO$348)*(P$366:P$366))</f>
        <v>0</v>
      </c>
      <c r="Q547" s="81">
        <f ca="1">SUMPRODUCT((Work_Codes!$AC$336:$AO$336=$E547)*(Work_Codes!$AC$348:$AO$348)*(Q$366:Q$366))</f>
        <v>0</v>
      </c>
      <c r="R547" s="81">
        <f ca="1">SUMPRODUCT((Work_Codes!$AC$336:$AO$336=$E547)*(Work_Codes!$AC$348:$AO$348)*(R$366:R$366))</f>
        <v>0</v>
      </c>
      <c r="S547" s="81">
        <f ca="1">SUMPRODUCT((Work_Codes!$AC$336:$AO$336=$E547)*(Work_Codes!$AC$348:$AO$348)*(S$366:S$366))</f>
        <v>0</v>
      </c>
      <c r="T547" s="81">
        <f ca="1">SUMPRODUCT((Work_Codes!$AC$336:$AO$336=$E547)*(Work_Codes!$AC$348:$AO$348)*(T$366:T$366))</f>
        <v>0</v>
      </c>
    </row>
    <row r="548" spans="2:20" outlineLevel="2">
      <c r="E548" s="247" t="str">
        <f>GC!C67</f>
        <v>SCADA</v>
      </c>
      <c r="F548" s="247"/>
      <c r="G548" s="247"/>
      <c r="H548" s="247"/>
      <c r="I548" s="247"/>
      <c r="J548" s="81">
        <f ca="1">SUMPRODUCT((Work_Codes!$AC$336:$AO$336=$E548)*(Work_Codes!$AC$348:$AO$348)*(J$366:J$366))</f>
        <v>0</v>
      </c>
      <c r="K548" s="81">
        <f ca="1">SUMPRODUCT((Work_Codes!$AC$336:$AO$336=$E548)*(Work_Codes!$AC$348:$AO$348)*(K$366:K$366))</f>
        <v>0</v>
      </c>
      <c r="L548" s="81">
        <f ca="1">SUMPRODUCT((Work_Codes!$AC$336:$AO$336=$E548)*(Work_Codes!$AC$348:$AO$348)*(L$366:L$366))</f>
        <v>0</v>
      </c>
      <c r="M548" s="81">
        <f ca="1">SUMPRODUCT((Work_Codes!$AC$336:$AO$336=$E548)*(Work_Codes!$AC$348:$AO$348)*(M$366:M$366))</f>
        <v>0</v>
      </c>
      <c r="N548" s="81">
        <f ca="1">SUMPRODUCT((Work_Codes!$AC$336:$AO$336=$E548)*(Work_Codes!$AC$348:$AO$348)*(N$366:N$366))</f>
        <v>0</v>
      </c>
      <c r="O548" s="81">
        <f ca="1">SUMPRODUCT((Work_Codes!$AC$336:$AO$336=$E548)*(Work_Codes!$AC$348:$AO$348)*(O$366:O$366))</f>
        <v>0</v>
      </c>
      <c r="P548" s="81">
        <f ca="1">SUMPRODUCT((Work_Codes!$AC$336:$AO$336=$E548)*(Work_Codes!$AC$348:$AO$348)*(P$366:P$366))</f>
        <v>0</v>
      </c>
      <c r="Q548" s="81">
        <f ca="1">SUMPRODUCT((Work_Codes!$AC$336:$AO$336=$E548)*(Work_Codes!$AC$348:$AO$348)*(Q$366:Q$366))</f>
        <v>0</v>
      </c>
      <c r="R548" s="81">
        <f ca="1">SUMPRODUCT((Work_Codes!$AC$336:$AO$336=$E548)*(Work_Codes!$AC$348:$AO$348)*(R$366:R$366))</f>
        <v>0</v>
      </c>
      <c r="S548" s="81">
        <f ca="1">SUMPRODUCT((Work_Codes!$AC$336:$AO$336=$E548)*(Work_Codes!$AC$348:$AO$348)*(S$366:S$366))</f>
        <v>0</v>
      </c>
      <c r="T548" s="81">
        <f ca="1">SUMPRODUCT((Work_Codes!$AC$336:$AO$336=$E548)*(Work_Codes!$AC$348:$AO$348)*(T$366:T$366))</f>
        <v>0</v>
      </c>
    </row>
    <row r="549" spans="2:20" outlineLevel="2">
      <c r="E549" s="247" t="str">
        <f>GC!C68</f>
        <v>Other</v>
      </c>
      <c r="F549" s="247"/>
      <c r="G549" s="247"/>
      <c r="H549" s="247"/>
      <c r="I549" s="247"/>
      <c r="J549" s="81">
        <f ca="1">SUMPRODUCT((Work_Codes!$AC$336:$AO$336=$E549)*(Work_Codes!$AC$348:$AO$348)*(J$366:J$366))</f>
        <v>0</v>
      </c>
      <c r="K549" s="81">
        <f ca="1">SUMPRODUCT((Work_Codes!$AC$336:$AO$336=$E549)*(Work_Codes!$AC$348:$AO$348)*(K$366:K$366))</f>
        <v>0</v>
      </c>
      <c r="L549" s="81">
        <f ca="1">SUMPRODUCT((Work_Codes!$AC$336:$AO$336=$E549)*(Work_Codes!$AC$348:$AO$348)*(L$366:L$366))</f>
        <v>0</v>
      </c>
      <c r="M549" s="81">
        <f ca="1">SUMPRODUCT((Work_Codes!$AC$336:$AO$336=$E549)*(Work_Codes!$AC$348:$AO$348)*(M$366:M$366))</f>
        <v>0</v>
      </c>
      <c r="N549" s="81">
        <f ca="1">SUMPRODUCT((Work_Codes!$AC$336:$AO$336=$E549)*(Work_Codes!$AC$348:$AO$348)*(N$366:N$366))</f>
        <v>0</v>
      </c>
      <c r="O549" s="81">
        <f ca="1">SUMPRODUCT((Work_Codes!$AC$336:$AO$336=$E549)*(Work_Codes!$AC$348:$AO$348)*(O$366:O$366))</f>
        <v>0</v>
      </c>
      <c r="P549" s="81">
        <f ca="1">SUMPRODUCT((Work_Codes!$AC$336:$AO$336=$E549)*(Work_Codes!$AC$348:$AO$348)*(P$366:P$366))</f>
        <v>0</v>
      </c>
      <c r="Q549" s="81">
        <f ca="1">SUMPRODUCT((Work_Codes!$AC$336:$AO$336=$E549)*(Work_Codes!$AC$348:$AO$348)*(Q$366:Q$366))</f>
        <v>0</v>
      </c>
      <c r="R549" s="81">
        <f ca="1">SUMPRODUCT((Work_Codes!$AC$336:$AO$336=$E549)*(Work_Codes!$AC$348:$AO$348)*(R$366:R$366))</f>
        <v>0</v>
      </c>
      <c r="S549" s="81">
        <f ca="1">SUMPRODUCT((Work_Codes!$AC$336:$AO$336=$E549)*(Work_Codes!$AC$348:$AO$348)*(S$366:S$366))</f>
        <v>0</v>
      </c>
      <c r="T549" s="81">
        <f ca="1">SUMPRODUCT((Work_Codes!$AC$336:$AO$336=$E549)*(Work_Codes!$AC$348:$AO$348)*(T$366:T$366))</f>
        <v>0</v>
      </c>
    </row>
    <row r="550" spans="2:20" outlineLevel="2">
      <c r="E550" s="247" t="str">
        <f>GC!C69</f>
        <v>Capitalised Leases</v>
      </c>
      <c r="F550" s="247"/>
      <c r="G550" s="247"/>
      <c r="H550" s="247"/>
      <c r="I550" s="247"/>
      <c r="J550" s="81">
        <f ca="1">SUMPRODUCT((Work_Codes!$AC$336:$AO$336=$E550)*(Work_Codes!$AC$348:$AO$348)*(J$366:J$366))</f>
        <v>0</v>
      </c>
      <c r="K550" s="81">
        <f ca="1">SUMPRODUCT((Work_Codes!$AC$336:$AO$336=$E550)*(Work_Codes!$AC$348:$AO$348)*(K$366:K$366))</f>
        <v>0</v>
      </c>
      <c r="L550" s="81">
        <f ca="1">SUMPRODUCT((Work_Codes!$AC$336:$AO$336=$E550)*(Work_Codes!$AC$348:$AO$348)*(L$366:L$366))</f>
        <v>0</v>
      </c>
      <c r="M550" s="81">
        <f ca="1">SUMPRODUCT((Work_Codes!$AC$336:$AO$336=$E550)*(Work_Codes!$AC$348:$AO$348)*(M$366:M$366))</f>
        <v>0</v>
      </c>
      <c r="N550" s="81">
        <f ca="1">SUMPRODUCT((Work_Codes!$AC$336:$AO$336=$E550)*(Work_Codes!$AC$348:$AO$348)*(N$366:N$366))</f>
        <v>0</v>
      </c>
      <c r="O550" s="81">
        <f ca="1">SUMPRODUCT((Work_Codes!$AC$336:$AO$336=$E550)*(Work_Codes!$AC$348:$AO$348)*(O$366:O$366))</f>
        <v>0</v>
      </c>
      <c r="P550" s="81">
        <f ca="1">SUMPRODUCT((Work_Codes!$AC$336:$AO$336=$E550)*(Work_Codes!$AC$348:$AO$348)*(P$366:P$366))</f>
        <v>0</v>
      </c>
      <c r="Q550" s="81">
        <f ca="1">SUMPRODUCT((Work_Codes!$AC$336:$AO$336=$E550)*(Work_Codes!$AC$348:$AO$348)*(Q$366:Q$366))</f>
        <v>0</v>
      </c>
      <c r="R550" s="81">
        <f ca="1">SUMPRODUCT((Work_Codes!$AC$336:$AO$336=$E550)*(Work_Codes!$AC$348:$AO$348)*(R$366:R$366))</f>
        <v>0</v>
      </c>
      <c r="S550" s="81">
        <f ca="1">SUMPRODUCT((Work_Codes!$AC$336:$AO$336=$E550)*(Work_Codes!$AC$348:$AO$348)*(S$366:S$366))</f>
        <v>0</v>
      </c>
      <c r="T550" s="81">
        <f ca="1">SUMPRODUCT((Work_Codes!$AC$336:$AO$336=$E550)*(Work_Codes!$AC$348:$AO$348)*(T$366:T$366))</f>
        <v>0</v>
      </c>
    </row>
    <row r="551" spans="2:20" outlineLevel="2">
      <c r="E551" s="247" t="str">
        <f>GC!C70</f>
        <v>Gas Extensions - Energy for the Regions</v>
      </c>
      <c r="F551" s="247"/>
      <c r="G551" s="247"/>
      <c r="H551" s="247"/>
      <c r="I551" s="247"/>
      <c r="J551" s="81">
        <f ca="1">SUMPRODUCT((Work_Codes!$AC$336:$AO$336=$E551)*(Work_Codes!$AC$348:$AO$348)*(J$366:J$366))</f>
        <v>0</v>
      </c>
      <c r="K551" s="81">
        <f ca="1">SUMPRODUCT((Work_Codes!$AC$336:$AO$336=$E551)*(Work_Codes!$AC$348:$AO$348)*(K$366:K$366))</f>
        <v>0</v>
      </c>
      <c r="L551" s="81">
        <f ca="1">SUMPRODUCT((Work_Codes!$AC$336:$AO$336=$E551)*(Work_Codes!$AC$348:$AO$348)*(L$366:L$366))</f>
        <v>0</v>
      </c>
      <c r="M551" s="81">
        <f ca="1">SUMPRODUCT((Work_Codes!$AC$336:$AO$336=$E551)*(Work_Codes!$AC$348:$AO$348)*(M$366:M$366))</f>
        <v>0</v>
      </c>
      <c r="N551" s="81">
        <f ca="1">SUMPRODUCT((Work_Codes!$AC$336:$AO$336=$E551)*(Work_Codes!$AC$348:$AO$348)*(N$366:N$366))</f>
        <v>0</v>
      </c>
      <c r="O551" s="81">
        <f ca="1">SUMPRODUCT((Work_Codes!$AC$336:$AO$336=$E551)*(Work_Codes!$AC$348:$AO$348)*(O$366:O$366))</f>
        <v>0</v>
      </c>
      <c r="P551" s="81">
        <f ca="1">SUMPRODUCT((Work_Codes!$AC$336:$AO$336=$E551)*(Work_Codes!$AC$348:$AO$348)*(P$366:P$366))</f>
        <v>0</v>
      </c>
      <c r="Q551" s="81">
        <f ca="1">SUMPRODUCT((Work_Codes!$AC$336:$AO$336=$E551)*(Work_Codes!$AC$348:$AO$348)*(Q$366:Q$366))</f>
        <v>0</v>
      </c>
      <c r="R551" s="81">
        <f ca="1">SUMPRODUCT((Work_Codes!$AC$336:$AO$336=$E551)*(Work_Codes!$AC$348:$AO$348)*(R$366:R$366))</f>
        <v>0</v>
      </c>
      <c r="S551" s="81">
        <f ca="1">SUMPRODUCT((Work_Codes!$AC$336:$AO$336=$E551)*(Work_Codes!$AC$348:$AO$348)*(S$366:S$366))</f>
        <v>0</v>
      </c>
      <c r="T551" s="81">
        <f ca="1">SUMPRODUCT((Work_Codes!$AC$336:$AO$336=$E551)*(Work_Codes!$AC$348:$AO$348)*(T$366:T$366))</f>
        <v>0</v>
      </c>
    </row>
    <row r="552" spans="2:20" outlineLevel="2">
      <c r="E552" s="247" t="str">
        <f>GC!C71</f>
        <v>Gas Extensions - Other</v>
      </c>
      <c r="F552" s="247"/>
      <c r="G552" s="247"/>
      <c r="H552" s="247"/>
      <c r="I552" s="247"/>
      <c r="J552" s="81">
        <f ca="1">SUMPRODUCT((Work_Codes!$AC$336:$AO$336=$E552)*(Work_Codes!$AC$348:$AO$348)*(J$366:J$366))</f>
        <v>0</v>
      </c>
      <c r="K552" s="81">
        <f ca="1">SUMPRODUCT((Work_Codes!$AC$336:$AO$336=$E552)*(Work_Codes!$AC$348:$AO$348)*(K$366:K$366))</f>
        <v>0</v>
      </c>
      <c r="L552" s="81">
        <f ca="1">SUMPRODUCT((Work_Codes!$AC$336:$AO$336=$E552)*(Work_Codes!$AC$348:$AO$348)*(L$366:L$366))</f>
        <v>0</v>
      </c>
      <c r="M552" s="81">
        <f ca="1">SUMPRODUCT((Work_Codes!$AC$336:$AO$336=$E552)*(Work_Codes!$AC$348:$AO$348)*(M$366:M$366))</f>
        <v>0</v>
      </c>
      <c r="N552" s="81">
        <f ca="1">SUMPRODUCT((Work_Codes!$AC$336:$AO$336=$E552)*(Work_Codes!$AC$348:$AO$348)*(N$366:N$366))</f>
        <v>0</v>
      </c>
      <c r="O552" s="81">
        <f ca="1">SUMPRODUCT((Work_Codes!$AC$336:$AO$336=$E552)*(Work_Codes!$AC$348:$AO$348)*(O$366:O$366))</f>
        <v>0</v>
      </c>
      <c r="P552" s="81">
        <f ca="1">SUMPRODUCT((Work_Codes!$AC$336:$AO$336=$E552)*(Work_Codes!$AC$348:$AO$348)*(P$366:P$366))</f>
        <v>0</v>
      </c>
      <c r="Q552" s="81">
        <f ca="1">SUMPRODUCT((Work_Codes!$AC$336:$AO$336=$E552)*(Work_Codes!$AC$348:$AO$348)*(Q$366:Q$366))</f>
        <v>0</v>
      </c>
      <c r="R552" s="81">
        <f ca="1">SUMPRODUCT((Work_Codes!$AC$336:$AO$336=$E552)*(Work_Codes!$AC$348:$AO$348)*(R$366:R$366))</f>
        <v>0</v>
      </c>
      <c r="S552" s="81">
        <f ca="1">SUMPRODUCT((Work_Codes!$AC$336:$AO$336=$E552)*(Work_Codes!$AC$348:$AO$348)*(S$366:S$366))</f>
        <v>0</v>
      </c>
      <c r="T552" s="81">
        <f ca="1">SUMPRODUCT((Work_Codes!$AC$336:$AO$336=$E552)*(Work_Codes!$AC$348:$AO$348)*(T$366:T$366))</f>
        <v>0</v>
      </c>
    </row>
    <row r="553" spans="2:20" outlineLevel="2">
      <c r="E553" s="247" t="str">
        <f>GC!C72</f>
        <v>Customer contributions</v>
      </c>
      <c r="F553" s="247"/>
      <c r="G553" s="247"/>
      <c r="H553" s="247"/>
      <c r="I553" s="247"/>
      <c r="J553" s="81">
        <f ca="1">SUMPRODUCT((Work_Codes!$AC$336:$AO$336=$E553)*(Work_Codes!$AC$348:$AO$348)*(J$366:J$366))</f>
        <v>0</v>
      </c>
      <c r="K553" s="81">
        <f ca="1">SUMPRODUCT((Work_Codes!$AC$336:$AO$336=$E553)*(Work_Codes!$AC$348:$AO$348)*(K$366:K$366))</f>
        <v>0</v>
      </c>
      <c r="L553" s="81">
        <f ca="1">SUMPRODUCT((Work_Codes!$AC$336:$AO$336=$E553)*(Work_Codes!$AC$348:$AO$348)*(L$366:L$366))</f>
        <v>0</v>
      </c>
      <c r="M553" s="81">
        <f ca="1">SUMPRODUCT((Work_Codes!$AC$336:$AO$336=$E553)*(Work_Codes!$AC$348:$AO$348)*(M$366:M$366))</f>
        <v>0</v>
      </c>
      <c r="N553" s="81">
        <f ca="1">SUMPRODUCT((Work_Codes!$AC$336:$AO$336=$E553)*(Work_Codes!$AC$348:$AO$348)*(N$366:N$366))</f>
        <v>0</v>
      </c>
      <c r="O553" s="81">
        <f ca="1">SUMPRODUCT((Work_Codes!$AC$336:$AO$336=$E553)*(Work_Codes!$AC$348:$AO$348)*(O$366:O$366))</f>
        <v>0</v>
      </c>
      <c r="P553" s="81">
        <f ca="1">SUMPRODUCT((Work_Codes!$AC$336:$AO$336=$E553)*(Work_Codes!$AC$348:$AO$348)*(P$366:P$366))</f>
        <v>0</v>
      </c>
      <c r="Q553" s="81">
        <f ca="1">SUMPRODUCT((Work_Codes!$AC$336:$AO$336=$E553)*(Work_Codes!$AC$348:$AO$348)*(Q$366:Q$366))</f>
        <v>0</v>
      </c>
      <c r="R553" s="81">
        <f ca="1">SUMPRODUCT((Work_Codes!$AC$336:$AO$336=$E553)*(Work_Codes!$AC$348:$AO$348)*(R$366:R$366))</f>
        <v>0</v>
      </c>
      <c r="S553" s="81">
        <f ca="1">SUMPRODUCT((Work_Codes!$AC$336:$AO$336=$E553)*(Work_Codes!$AC$348:$AO$348)*(S$366:S$366))</f>
        <v>0</v>
      </c>
      <c r="T553" s="81">
        <f ca="1">SUMPRODUCT((Work_Codes!$AC$336:$AO$336=$E553)*(Work_Codes!$AC$348:$AO$348)*(T$366:T$366))</f>
        <v>0</v>
      </c>
    </row>
    <row r="554" spans="2:20" outlineLevel="2">
      <c r="E554" s="247" t="str">
        <f>GC!C73</f>
        <v>Government contributions</v>
      </c>
      <c r="F554" s="247"/>
      <c r="G554" s="247"/>
      <c r="H554" s="247"/>
      <c r="I554" s="247"/>
      <c r="J554" s="81">
        <f ca="1">SUMPRODUCT((Work_Codes!$AC$336:$AO$336=$E554)*(Work_Codes!$AC$348:$AO$348)*(J$366:J$366))</f>
        <v>0</v>
      </c>
      <c r="K554" s="81">
        <f ca="1">SUMPRODUCT((Work_Codes!$AC$336:$AO$336=$E554)*(Work_Codes!$AC$348:$AO$348)*(K$366:K$366))</f>
        <v>0</v>
      </c>
      <c r="L554" s="81">
        <f ca="1">SUMPRODUCT((Work_Codes!$AC$336:$AO$336=$E554)*(Work_Codes!$AC$348:$AO$348)*(L$366:L$366))</f>
        <v>0</v>
      </c>
      <c r="M554" s="81">
        <f ca="1">SUMPRODUCT((Work_Codes!$AC$336:$AO$336=$E554)*(Work_Codes!$AC$348:$AO$348)*(M$366:M$366))</f>
        <v>0</v>
      </c>
      <c r="N554" s="81">
        <f ca="1">SUMPRODUCT((Work_Codes!$AC$336:$AO$336=$E554)*(Work_Codes!$AC$348:$AO$348)*(N$366:N$366))</f>
        <v>0</v>
      </c>
      <c r="O554" s="81">
        <f ca="1">SUMPRODUCT((Work_Codes!$AC$336:$AO$336=$E554)*(Work_Codes!$AC$348:$AO$348)*(O$366:O$366))</f>
        <v>0</v>
      </c>
      <c r="P554" s="81">
        <f ca="1">SUMPRODUCT((Work_Codes!$AC$336:$AO$336=$E554)*(Work_Codes!$AC$348:$AO$348)*(P$366:P$366))</f>
        <v>0</v>
      </c>
      <c r="Q554" s="81">
        <f ca="1">SUMPRODUCT((Work_Codes!$AC$336:$AO$336=$E554)*(Work_Codes!$AC$348:$AO$348)*(Q$366:Q$366))</f>
        <v>0</v>
      </c>
      <c r="R554" s="81">
        <f ca="1">SUMPRODUCT((Work_Codes!$AC$336:$AO$336=$E554)*(Work_Codes!$AC$348:$AO$348)*(R$366:R$366))</f>
        <v>0</v>
      </c>
      <c r="S554" s="81">
        <f ca="1">SUMPRODUCT((Work_Codes!$AC$336:$AO$336=$E554)*(Work_Codes!$AC$348:$AO$348)*(S$366:S$366))</f>
        <v>0</v>
      </c>
      <c r="T554" s="81">
        <f ca="1">SUMPRODUCT((Work_Codes!$AC$336:$AO$336=$E554)*(Work_Codes!$AC$348:$AO$348)*(T$366:T$366))</f>
        <v>0</v>
      </c>
    </row>
    <row r="555" spans="2:20" outlineLevel="2">
      <c r="E555" s="249" t="str">
        <f t="shared" ref="E555" si="55">"Total "&amp;D539</f>
        <v>Total Customer Contributions</v>
      </c>
      <c r="F555" s="249"/>
      <c r="G555" s="249"/>
      <c r="H555" s="249"/>
      <c r="I555" s="249"/>
      <c r="J555" s="82">
        <f t="shared" ref="J555:T555" ca="1" si="56">SUM(J541:J554)</f>
        <v>0</v>
      </c>
      <c r="K555" s="82">
        <f t="shared" ca="1" si="56"/>
        <v>0</v>
      </c>
      <c r="L555" s="82">
        <f t="shared" ca="1" si="56"/>
        <v>0</v>
      </c>
      <c r="M555" s="82">
        <f t="shared" ca="1" si="56"/>
        <v>0</v>
      </c>
      <c r="N555" s="82">
        <f t="shared" ca="1" si="56"/>
        <v>0</v>
      </c>
      <c r="O555" s="82">
        <f t="shared" ca="1" si="56"/>
        <v>0</v>
      </c>
      <c r="P555" s="82">
        <f t="shared" ca="1" si="56"/>
        <v>0</v>
      </c>
      <c r="Q555" s="82">
        <f t="shared" ca="1" si="56"/>
        <v>0</v>
      </c>
      <c r="R555" s="82">
        <f t="shared" ca="1" si="56"/>
        <v>0</v>
      </c>
      <c r="S555" s="82">
        <f t="shared" ca="1" si="56"/>
        <v>0</v>
      </c>
      <c r="T555" s="82">
        <f t="shared" ca="1" si="56"/>
        <v>0</v>
      </c>
    </row>
    <row r="556" spans="2:20" outlineLevel="2">
      <c r="B556" s="12"/>
      <c r="C556" s="12"/>
      <c r="D556" s="12"/>
      <c r="E556" s="12"/>
      <c r="F556" s="12"/>
      <c r="G556" s="12"/>
      <c r="H556" s="12"/>
      <c r="I556" s="12"/>
      <c r="J556" s="12"/>
      <c r="K556" s="12"/>
      <c r="L556" s="12"/>
      <c r="M556" s="12"/>
      <c r="N556" s="12"/>
      <c r="O556" s="12"/>
      <c r="P556" s="12"/>
      <c r="Q556" s="12"/>
      <c r="R556" s="12"/>
      <c r="S556" s="12"/>
      <c r="T556" s="12"/>
    </row>
    <row r="557" spans="2:20" outlineLevel="2"/>
    <row r="558" spans="2:20" outlineLevel="2">
      <c r="C558" s="37" t="s">
        <v>311</v>
      </c>
    </row>
    <row r="559" spans="2:20" ht="5.9" customHeight="1" outlineLevel="2"/>
    <row r="560" spans="2:20" outlineLevel="2">
      <c r="D560" s="37" t="s">
        <v>215</v>
      </c>
    </row>
    <row r="561" spans="4:20" ht="5.9" customHeight="1" outlineLevel="2"/>
    <row r="562" spans="4:20" outlineLevel="2">
      <c r="E562" s="247" t="str">
        <f>GC!C78</f>
        <v>Mains &amp; Services</v>
      </c>
      <c r="F562" s="247"/>
      <c r="G562" s="247"/>
      <c r="H562" s="247"/>
      <c r="I562" s="247"/>
      <c r="J562" s="81">
        <f ca="1">SUMPRODUCT((Work_Codes!$AR$336:$AX$336=$E562)*(Work_Codes!$AR$339:$AX$344)*(J$408:J$413))</f>
        <v>0</v>
      </c>
      <c r="K562" s="81">
        <f ca="1">SUMPRODUCT((Work_Codes!$AR$336:$AX$336=$E562)*(Work_Codes!$AR$339:$AX$344)*(K$408:K$413))</f>
        <v>0</v>
      </c>
      <c r="L562" s="81">
        <f ca="1">SUMPRODUCT((Work_Codes!$AR$336:$AX$336=$E562)*(Work_Codes!$AR$339:$AX$344)*(L$408:L$413))</f>
        <v>0</v>
      </c>
      <c r="M562" s="81">
        <f ca="1">SUMPRODUCT((Work_Codes!$AR$336:$AX$336=$E562)*(Work_Codes!$AR$339:$AX$344)*(M$408:M$413))</f>
        <v>0</v>
      </c>
      <c r="N562" s="81">
        <f ca="1">SUMPRODUCT((Work_Codes!$AR$336:$AX$336=$E562)*(Work_Codes!$AR$339:$AX$344)*(N$408:N$413))</f>
        <v>0</v>
      </c>
      <c r="O562" s="81">
        <f ca="1">SUMPRODUCT((Work_Codes!$AR$336:$AX$336=$E562)*(Work_Codes!$AR$339:$AX$344)*(O$408:O$413))</f>
        <v>0</v>
      </c>
      <c r="P562" s="81">
        <f ca="1">SUMPRODUCT((Work_Codes!$AR$336:$AX$336=$E562)*(Work_Codes!$AR$339:$AX$344)*(P$408:P$413))</f>
        <v>544322.64950999548</v>
      </c>
      <c r="Q562" s="81">
        <f ca="1">SUMPRODUCT((Work_Codes!$AR$336:$AX$336=$E562)*(Work_Codes!$AR$339:$AX$344)*(Q$408:Q$413))</f>
        <v>1680521.3063269476</v>
      </c>
      <c r="R562" s="81">
        <f ca="1">SUMPRODUCT((Work_Codes!$AR$336:$AX$336=$E562)*(Work_Codes!$AR$339:$AX$344)*(R$408:R$413))</f>
        <v>2548384.7430302529</v>
      </c>
      <c r="S562" s="81">
        <f ca="1">SUMPRODUCT((Work_Codes!$AR$336:$AX$336=$E562)*(Work_Codes!$AR$339:$AX$344)*(S$408:S$413))</f>
        <v>716595.18455192144</v>
      </c>
      <c r="T562" s="81">
        <f ca="1">SUMPRODUCT((Work_Codes!$AR$336:$AX$336=$E562)*(Work_Codes!$AR$339:$AX$344)*(T$408:T$413))</f>
        <v>120.25009022564794</v>
      </c>
    </row>
    <row r="563" spans="4:20" outlineLevel="2">
      <c r="E563" s="247" t="str">
        <f>GC!C79</f>
        <v>Meters Domestic</v>
      </c>
      <c r="F563" s="247"/>
      <c r="G563" s="247"/>
      <c r="H563" s="247"/>
      <c r="I563" s="247"/>
      <c r="J563" s="81">
        <f ca="1">SUMPRODUCT((Work_Codes!$AR$336:$AX$336=$E563)*(Work_Codes!$AR$339:$AX$344)*(J$408:J$413))</f>
        <v>0</v>
      </c>
      <c r="K563" s="81">
        <f ca="1">SUMPRODUCT((Work_Codes!$AR$336:$AX$336=$E563)*(Work_Codes!$AR$339:$AX$344)*(K$408:K$413))</f>
        <v>0</v>
      </c>
      <c r="L563" s="81">
        <f ca="1">SUMPRODUCT((Work_Codes!$AR$336:$AX$336=$E563)*(Work_Codes!$AR$339:$AX$344)*(L$408:L$413))</f>
        <v>0</v>
      </c>
      <c r="M563" s="81">
        <f ca="1">SUMPRODUCT((Work_Codes!$AR$336:$AX$336=$E563)*(Work_Codes!$AR$339:$AX$344)*(M$408:M$413))</f>
        <v>0</v>
      </c>
      <c r="N563" s="81">
        <f ca="1">SUMPRODUCT((Work_Codes!$AR$336:$AX$336=$E563)*(Work_Codes!$AR$339:$AX$344)*(N$408:N$413))</f>
        <v>0</v>
      </c>
      <c r="O563" s="81">
        <f ca="1">SUMPRODUCT((Work_Codes!$AR$336:$AX$336=$E563)*(Work_Codes!$AR$339:$AX$344)*(O$408:O$413))</f>
        <v>0</v>
      </c>
      <c r="P563" s="81">
        <f ca="1">SUMPRODUCT((Work_Codes!$AR$336:$AX$336=$E563)*(Work_Codes!$AR$339:$AX$344)*(P$408:P$413))</f>
        <v>0</v>
      </c>
      <c r="Q563" s="81">
        <f ca="1">SUMPRODUCT((Work_Codes!$AR$336:$AX$336=$E563)*(Work_Codes!$AR$339:$AX$344)*(Q$408:Q$413))</f>
        <v>0</v>
      </c>
      <c r="R563" s="81">
        <f ca="1">SUMPRODUCT((Work_Codes!$AR$336:$AX$336=$E563)*(Work_Codes!$AR$339:$AX$344)*(R$408:R$413))</f>
        <v>0</v>
      </c>
      <c r="S563" s="81">
        <f ca="1">SUMPRODUCT((Work_Codes!$AR$336:$AX$336=$E563)*(Work_Codes!$AR$339:$AX$344)*(S$408:S$413))</f>
        <v>0</v>
      </c>
      <c r="T563" s="81">
        <f ca="1">SUMPRODUCT((Work_Codes!$AR$336:$AX$336=$E563)*(Work_Codes!$AR$339:$AX$344)*(T$408:T$413))</f>
        <v>0</v>
      </c>
    </row>
    <row r="564" spans="4:20" outlineLevel="2">
      <c r="E564" s="247" t="str">
        <f>GC!C80</f>
        <v>Meters Industrial &amp; Commercial</v>
      </c>
      <c r="F564" s="247"/>
      <c r="G564" s="247"/>
      <c r="H564" s="247"/>
      <c r="I564" s="247"/>
      <c r="J564" s="81">
        <f ca="1">SUMPRODUCT((Work_Codes!$AR$336:$AX$336=$E564)*(Work_Codes!$AR$339:$AX$344)*(J$408:J$413))</f>
        <v>0</v>
      </c>
      <c r="K564" s="81">
        <f ca="1">SUMPRODUCT((Work_Codes!$AR$336:$AX$336=$E564)*(Work_Codes!$AR$339:$AX$344)*(K$408:K$413))</f>
        <v>0</v>
      </c>
      <c r="L564" s="81">
        <f ca="1">SUMPRODUCT((Work_Codes!$AR$336:$AX$336=$E564)*(Work_Codes!$AR$339:$AX$344)*(L$408:L$413))</f>
        <v>0</v>
      </c>
      <c r="M564" s="81">
        <f ca="1">SUMPRODUCT((Work_Codes!$AR$336:$AX$336=$E564)*(Work_Codes!$AR$339:$AX$344)*(M$408:M$413))</f>
        <v>0</v>
      </c>
      <c r="N564" s="81">
        <f ca="1">SUMPRODUCT((Work_Codes!$AR$336:$AX$336=$E564)*(Work_Codes!$AR$339:$AX$344)*(N$408:N$413))</f>
        <v>0</v>
      </c>
      <c r="O564" s="81">
        <f ca="1">SUMPRODUCT((Work_Codes!$AR$336:$AX$336=$E564)*(Work_Codes!$AR$339:$AX$344)*(O$408:O$413))</f>
        <v>0</v>
      </c>
      <c r="P564" s="81">
        <f ca="1">SUMPRODUCT((Work_Codes!$AR$336:$AX$336=$E564)*(Work_Codes!$AR$339:$AX$344)*(P$408:P$413))</f>
        <v>0</v>
      </c>
      <c r="Q564" s="81">
        <f ca="1">SUMPRODUCT((Work_Codes!$AR$336:$AX$336=$E564)*(Work_Codes!$AR$339:$AX$344)*(Q$408:Q$413))</f>
        <v>0</v>
      </c>
      <c r="R564" s="81">
        <f ca="1">SUMPRODUCT((Work_Codes!$AR$336:$AX$336=$E564)*(Work_Codes!$AR$339:$AX$344)*(R$408:R$413))</f>
        <v>0</v>
      </c>
      <c r="S564" s="81">
        <f ca="1">SUMPRODUCT((Work_Codes!$AR$336:$AX$336=$E564)*(Work_Codes!$AR$339:$AX$344)*(S$408:S$413))</f>
        <v>0</v>
      </c>
      <c r="T564" s="81">
        <f ca="1">SUMPRODUCT((Work_Codes!$AR$336:$AX$336=$E564)*(Work_Codes!$AR$339:$AX$344)*(T$408:T$413))</f>
        <v>0</v>
      </c>
    </row>
    <row r="565" spans="4:20" outlineLevel="2">
      <c r="E565" s="247" t="str">
        <f>GC!C81</f>
        <v>Buildings</v>
      </c>
      <c r="F565" s="247"/>
      <c r="G565" s="247"/>
      <c r="H565" s="247"/>
      <c r="I565" s="247"/>
      <c r="J565" s="81">
        <f ca="1">SUMPRODUCT((Work_Codes!$AR$336:$AX$336=$E565)*(Work_Codes!$AR$339:$AX$344)*(J$408:J$413))</f>
        <v>0</v>
      </c>
      <c r="K565" s="81">
        <f ca="1">SUMPRODUCT((Work_Codes!$AR$336:$AX$336=$E565)*(Work_Codes!$AR$339:$AX$344)*(K$408:K$413))</f>
        <v>0</v>
      </c>
      <c r="L565" s="81">
        <f ca="1">SUMPRODUCT((Work_Codes!$AR$336:$AX$336=$E565)*(Work_Codes!$AR$339:$AX$344)*(L$408:L$413))</f>
        <v>0</v>
      </c>
      <c r="M565" s="81">
        <f ca="1">SUMPRODUCT((Work_Codes!$AR$336:$AX$336=$E565)*(Work_Codes!$AR$339:$AX$344)*(M$408:M$413))</f>
        <v>0</v>
      </c>
      <c r="N565" s="81">
        <f ca="1">SUMPRODUCT((Work_Codes!$AR$336:$AX$336=$E565)*(Work_Codes!$AR$339:$AX$344)*(N$408:N$413))</f>
        <v>0</v>
      </c>
      <c r="O565" s="81">
        <f ca="1">SUMPRODUCT((Work_Codes!$AR$336:$AX$336=$E565)*(Work_Codes!$AR$339:$AX$344)*(O$408:O$413))</f>
        <v>0</v>
      </c>
      <c r="P565" s="81">
        <f ca="1">SUMPRODUCT((Work_Codes!$AR$336:$AX$336=$E565)*(Work_Codes!$AR$339:$AX$344)*(P$408:P$413))</f>
        <v>0</v>
      </c>
      <c r="Q565" s="81">
        <f ca="1">SUMPRODUCT((Work_Codes!$AR$336:$AX$336=$E565)*(Work_Codes!$AR$339:$AX$344)*(Q$408:Q$413))</f>
        <v>0</v>
      </c>
      <c r="R565" s="81">
        <f ca="1">SUMPRODUCT((Work_Codes!$AR$336:$AX$336=$E565)*(Work_Codes!$AR$339:$AX$344)*(R$408:R$413))</f>
        <v>0</v>
      </c>
      <c r="S565" s="81">
        <f ca="1">SUMPRODUCT((Work_Codes!$AR$336:$AX$336=$E565)*(Work_Codes!$AR$339:$AX$344)*(S$408:S$413))</f>
        <v>0</v>
      </c>
      <c r="T565" s="81">
        <f ca="1">SUMPRODUCT((Work_Codes!$AR$336:$AX$336=$E565)*(Work_Codes!$AR$339:$AX$344)*(T$408:T$413))</f>
        <v>0</v>
      </c>
    </row>
    <row r="566" spans="4:20" outlineLevel="2">
      <c r="E566" s="247" t="str">
        <f>GC!C82</f>
        <v>Other Assets</v>
      </c>
      <c r="F566" s="247"/>
      <c r="G566" s="247"/>
      <c r="H566" s="247"/>
      <c r="I566" s="247"/>
      <c r="J566" s="81">
        <f ca="1">SUMPRODUCT((Work_Codes!$AR$336:$AX$336=$E566)*(Work_Codes!$AR$339:$AX$344)*(J$408:J$413))</f>
        <v>0</v>
      </c>
      <c r="K566" s="81">
        <f ca="1">SUMPRODUCT((Work_Codes!$AR$336:$AX$336=$E566)*(Work_Codes!$AR$339:$AX$344)*(K$408:K$413))</f>
        <v>0</v>
      </c>
      <c r="L566" s="81">
        <f ca="1">SUMPRODUCT((Work_Codes!$AR$336:$AX$336=$E566)*(Work_Codes!$AR$339:$AX$344)*(L$408:L$413))</f>
        <v>0</v>
      </c>
      <c r="M566" s="81">
        <f ca="1">SUMPRODUCT((Work_Codes!$AR$336:$AX$336=$E566)*(Work_Codes!$AR$339:$AX$344)*(M$408:M$413))</f>
        <v>0</v>
      </c>
      <c r="N566" s="81">
        <f ca="1">SUMPRODUCT((Work_Codes!$AR$336:$AX$336=$E566)*(Work_Codes!$AR$339:$AX$344)*(N$408:N$413))</f>
        <v>0</v>
      </c>
      <c r="O566" s="81">
        <f ca="1">SUMPRODUCT((Work_Codes!$AR$336:$AX$336=$E566)*(Work_Codes!$AR$339:$AX$344)*(O$408:O$413))</f>
        <v>0</v>
      </c>
      <c r="P566" s="81">
        <f ca="1">SUMPRODUCT((Work_Codes!$AR$336:$AX$336=$E566)*(Work_Codes!$AR$339:$AX$344)*(P$408:P$413))</f>
        <v>0</v>
      </c>
      <c r="Q566" s="81">
        <f ca="1">SUMPRODUCT((Work_Codes!$AR$336:$AX$336=$E566)*(Work_Codes!$AR$339:$AX$344)*(Q$408:Q$413))</f>
        <v>0</v>
      </c>
      <c r="R566" s="81">
        <f ca="1">SUMPRODUCT((Work_Codes!$AR$336:$AX$336=$E566)*(Work_Codes!$AR$339:$AX$344)*(R$408:R$413))</f>
        <v>0</v>
      </c>
      <c r="S566" s="81">
        <f ca="1">SUMPRODUCT((Work_Codes!$AR$336:$AX$336=$E566)*(Work_Codes!$AR$339:$AX$344)*(S$408:S$413))</f>
        <v>0</v>
      </c>
      <c r="T566" s="81">
        <f ca="1">SUMPRODUCT((Work_Codes!$AR$336:$AX$336=$E566)*(Work_Codes!$AR$339:$AX$344)*(T$408:T$413))</f>
        <v>0</v>
      </c>
    </row>
    <row r="567" spans="4:20" outlineLevel="2">
      <c r="E567" s="247" t="str">
        <f>GC!C83</f>
        <v>Repairs</v>
      </c>
      <c r="F567" s="247"/>
      <c r="G567" s="247"/>
      <c r="H567" s="247"/>
      <c r="I567" s="247"/>
      <c r="J567" s="81">
        <f ca="1">SUMPRODUCT((Work_Codes!$AR$336:$AX$336=$E567)*(Work_Codes!$AR$339:$AX$344)*(J$408:J$413))</f>
        <v>0</v>
      </c>
      <c r="K567" s="81">
        <f ca="1">SUMPRODUCT((Work_Codes!$AR$336:$AX$336=$E567)*(Work_Codes!$AR$339:$AX$344)*(K$408:K$413))</f>
        <v>0</v>
      </c>
      <c r="L567" s="81">
        <f ca="1">SUMPRODUCT((Work_Codes!$AR$336:$AX$336=$E567)*(Work_Codes!$AR$339:$AX$344)*(L$408:L$413))</f>
        <v>0</v>
      </c>
      <c r="M567" s="81">
        <f ca="1">SUMPRODUCT((Work_Codes!$AR$336:$AX$336=$E567)*(Work_Codes!$AR$339:$AX$344)*(M$408:M$413))</f>
        <v>0</v>
      </c>
      <c r="N567" s="81">
        <f ca="1">SUMPRODUCT((Work_Codes!$AR$336:$AX$336=$E567)*(Work_Codes!$AR$339:$AX$344)*(N$408:N$413))</f>
        <v>0</v>
      </c>
      <c r="O567" s="81">
        <f ca="1">SUMPRODUCT((Work_Codes!$AR$336:$AX$336=$E567)*(Work_Codes!$AR$339:$AX$344)*(O$408:O$413))</f>
        <v>0</v>
      </c>
      <c r="P567" s="81">
        <f ca="1">SUMPRODUCT((Work_Codes!$AR$336:$AX$336=$E567)*(Work_Codes!$AR$339:$AX$344)*(P$408:P$413))</f>
        <v>0</v>
      </c>
      <c r="Q567" s="81">
        <f ca="1">SUMPRODUCT((Work_Codes!$AR$336:$AX$336=$E567)*(Work_Codes!$AR$339:$AX$344)*(Q$408:Q$413))</f>
        <v>0</v>
      </c>
      <c r="R567" s="81">
        <f ca="1">SUMPRODUCT((Work_Codes!$AR$336:$AX$336=$E567)*(Work_Codes!$AR$339:$AX$344)*(R$408:R$413))</f>
        <v>0</v>
      </c>
      <c r="S567" s="81">
        <f ca="1">SUMPRODUCT((Work_Codes!$AR$336:$AX$336=$E567)*(Work_Codes!$AR$339:$AX$344)*(S$408:S$413))</f>
        <v>0</v>
      </c>
      <c r="T567" s="81">
        <f ca="1">SUMPRODUCT((Work_Codes!$AR$336:$AX$336=$E567)*(Work_Codes!$AR$339:$AX$344)*(T$408:T$413))</f>
        <v>0</v>
      </c>
    </row>
    <row r="568" spans="4:20" outlineLevel="2">
      <c r="E568" s="247" t="str">
        <f>GC!C84</f>
        <v>Land</v>
      </c>
      <c r="F568" s="247"/>
      <c r="G568" s="247"/>
      <c r="H568" s="247"/>
      <c r="I568" s="247"/>
      <c r="J568" s="81">
        <f ca="1">SUMPRODUCT((Work_Codes!$AR$336:$AX$336=$E568)*(Work_Codes!$AR$339:$AX$344)*(J$408:J$413))</f>
        <v>0</v>
      </c>
      <c r="K568" s="81">
        <f ca="1">SUMPRODUCT((Work_Codes!$AR$336:$AX$336=$E568)*(Work_Codes!$AR$339:$AX$344)*(K$408:K$413))</f>
        <v>0</v>
      </c>
      <c r="L568" s="81">
        <f ca="1">SUMPRODUCT((Work_Codes!$AR$336:$AX$336=$E568)*(Work_Codes!$AR$339:$AX$344)*(L$408:L$413))</f>
        <v>0</v>
      </c>
      <c r="M568" s="81">
        <f ca="1">SUMPRODUCT((Work_Codes!$AR$336:$AX$336=$E568)*(Work_Codes!$AR$339:$AX$344)*(M$408:M$413))</f>
        <v>0</v>
      </c>
      <c r="N568" s="81">
        <f ca="1">SUMPRODUCT((Work_Codes!$AR$336:$AX$336=$E568)*(Work_Codes!$AR$339:$AX$344)*(N$408:N$413))</f>
        <v>0</v>
      </c>
      <c r="O568" s="81">
        <f ca="1">SUMPRODUCT((Work_Codes!$AR$336:$AX$336=$E568)*(Work_Codes!$AR$339:$AX$344)*(O$408:O$413))</f>
        <v>0</v>
      </c>
      <c r="P568" s="81">
        <f ca="1">SUMPRODUCT((Work_Codes!$AR$336:$AX$336=$E568)*(Work_Codes!$AR$339:$AX$344)*(P$408:P$413))</f>
        <v>0</v>
      </c>
      <c r="Q568" s="81">
        <f ca="1">SUMPRODUCT((Work_Codes!$AR$336:$AX$336=$E568)*(Work_Codes!$AR$339:$AX$344)*(Q$408:Q$413))</f>
        <v>0</v>
      </c>
      <c r="R568" s="81">
        <f ca="1">SUMPRODUCT((Work_Codes!$AR$336:$AX$336=$E568)*(Work_Codes!$AR$339:$AX$344)*(R$408:R$413))</f>
        <v>0</v>
      </c>
      <c r="S568" s="81">
        <f ca="1">SUMPRODUCT((Work_Codes!$AR$336:$AX$336=$E568)*(Work_Codes!$AR$339:$AX$344)*(S$408:S$413))</f>
        <v>0</v>
      </c>
      <c r="T568" s="81">
        <f ca="1">SUMPRODUCT((Work_Codes!$AR$336:$AX$336=$E568)*(Work_Codes!$AR$339:$AX$344)*(T$408:T$413))</f>
        <v>0</v>
      </c>
    </row>
    <row r="569" spans="4:20" outlineLevel="2">
      <c r="E569" s="249" t="str">
        <f>"Total "&amp;D560</f>
        <v>Total Direct Costs</v>
      </c>
      <c r="F569" s="249"/>
      <c r="G569" s="249"/>
      <c r="H569" s="249"/>
      <c r="I569" s="249"/>
      <c r="J569" s="82">
        <f t="shared" ref="J569:T569" ca="1" si="57">SUM(J562:J568)</f>
        <v>0</v>
      </c>
      <c r="K569" s="82">
        <f t="shared" ca="1" si="57"/>
        <v>0</v>
      </c>
      <c r="L569" s="82">
        <f t="shared" ca="1" si="57"/>
        <v>0</v>
      </c>
      <c r="M569" s="82">
        <f t="shared" ca="1" si="57"/>
        <v>0</v>
      </c>
      <c r="N569" s="82">
        <f t="shared" ca="1" si="57"/>
        <v>0</v>
      </c>
      <c r="O569" s="82">
        <f t="shared" ca="1" si="57"/>
        <v>0</v>
      </c>
      <c r="P569" s="82">
        <f t="shared" ca="1" si="57"/>
        <v>544322.64950999548</v>
      </c>
      <c r="Q569" s="82">
        <f t="shared" ca="1" si="57"/>
        <v>1680521.3063269476</v>
      </c>
      <c r="R569" s="82">
        <f t="shared" ca="1" si="57"/>
        <v>2548384.7430302529</v>
      </c>
      <c r="S569" s="82">
        <f t="shared" ca="1" si="57"/>
        <v>716595.18455192144</v>
      </c>
      <c r="T569" s="82">
        <f t="shared" ca="1" si="57"/>
        <v>120.25009022564794</v>
      </c>
    </row>
    <row r="570" spans="4:20" outlineLevel="2"/>
    <row r="571" spans="4:20" outlineLevel="2">
      <c r="D571" s="37" t="s">
        <v>313</v>
      </c>
    </row>
    <row r="572" spans="4:20" ht="5.9" customHeight="1" outlineLevel="2"/>
    <row r="573" spans="4:20" outlineLevel="2">
      <c r="E573" s="247" t="str">
        <f>GC!C78</f>
        <v>Mains &amp; Services</v>
      </c>
      <c r="F573" s="247"/>
      <c r="G573" s="247"/>
      <c r="H573" s="247"/>
      <c r="I573" s="247"/>
      <c r="J573" s="81">
        <f ca="1">J562*(1+INDEX(J$324:J$326,MATCH(Work_Codes!$I$333,$D$324:$D$326,0)))</f>
        <v>0</v>
      </c>
      <c r="K573" s="81">
        <f ca="1">K562*(1+INDEX(K$324:K$326,MATCH(Work_Codes!$I$333,$D$324:$D$326,0)))</f>
        <v>0</v>
      </c>
      <c r="L573" s="81">
        <f ca="1">L562*(1+INDEX(L$324:L$326,MATCH(Work_Codes!$I$333,$D$324:$D$326,0)))</f>
        <v>0</v>
      </c>
      <c r="M573" s="81">
        <f ca="1">M562*(1+INDEX(M$324:M$326,MATCH(Work_Codes!$I$333,$D$324:$D$326,0)))</f>
        <v>0</v>
      </c>
      <c r="N573" s="81">
        <f ca="1">N562*(1+INDEX(N$324:N$326,MATCH(Work_Codes!$I$333,$D$324:$D$326,0)))</f>
        <v>0</v>
      </c>
      <c r="O573" s="81">
        <f ca="1">O562*(1+INDEX(O$324:O$326,MATCH(Work_Codes!$I$333,$D$324:$D$326,0)))</f>
        <v>0</v>
      </c>
      <c r="P573" s="81">
        <f ca="1">P562*(1+INDEX(P$324:P$326,MATCH(Work_Codes!$I$333,$D$324:$D$326,0)))</f>
        <v>558884.72856211546</v>
      </c>
      <c r="Q573" s="81">
        <f ca="1">Q562*(1+INDEX(Q$324:Q$326,MATCH(Work_Codes!$I$333,$D$324:$D$326,0)))</f>
        <v>1724316.6786223263</v>
      </c>
      <c r="R573" s="81">
        <f ca="1">R562*(1+INDEX(R$324:R$326,MATCH(Work_Codes!$I$333,$D$324:$D$326,0)))</f>
        <v>2616867.5014883806</v>
      </c>
      <c r="S573" s="81">
        <f ca="1">S562*(1+INDEX(S$324:S$326,MATCH(Work_Codes!$I$333,$D$324:$D$326,0)))</f>
        <v>737051.23890915839</v>
      </c>
      <c r="T573" s="81">
        <f ca="1">T562*(1+INDEX(T$324:T$326,MATCH(Work_Codes!$I$333,$D$324:$D$326,0)))</f>
        <v>123.84801840422675</v>
      </c>
    </row>
    <row r="574" spans="4:20" outlineLevel="2">
      <c r="E574" s="247" t="str">
        <f>GC!C79</f>
        <v>Meters Domestic</v>
      </c>
      <c r="F574" s="247"/>
      <c r="G574" s="247"/>
      <c r="H574" s="247"/>
      <c r="I574" s="247"/>
      <c r="J574" s="81">
        <f ca="1">J563*(1+INDEX(J$324:J$326,MATCH(Work_Codes!$I$333,$D$324:$D$326,0)))</f>
        <v>0</v>
      </c>
      <c r="K574" s="81">
        <f ca="1">K563*(1+INDEX(K$324:K$326,MATCH(Work_Codes!$I$333,$D$324:$D$326,0)))</f>
        <v>0</v>
      </c>
      <c r="L574" s="81">
        <f ca="1">L563*(1+INDEX(L$324:L$326,MATCH(Work_Codes!$I$333,$D$324:$D$326,0)))</f>
        <v>0</v>
      </c>
      <c r="M574" s="81">
        <f ca="1">M563*(1+INDEX(M$324:M$326,MATCH(Work_Codes!$I$333,$D$324:$D$326,0)))</f>
        <v>0</v>
      </c>
      <c r="N574" s="81">
        <f ca="1">N563*(1+INDEX(N$324:N$326,MATCH(Work_Codes!$I$333,$D$324:$D$326,0)))</f>
        <v>0</v>
      </c>
      <c r="O574" s="81">
        <f ca="1">O563*(1+INDEX(O$324:O$326,MATCH(Work_Codes!$I$333,$D$324:$D$326,0)))</f>
        <v>0</v>
      </c>
      <c r="P574" s="81">
        <f ca="1">P563*(1+INDEX(P$324:P$326,MATCH(Work_Codes!$I$333,$D$324:$D$326,0)))</f>
        <v>0</v>
      </c>
      <c r="Q574" s="81">
        <f ca="1">Q563*(1+INDEX(Q$324:Q$326,MATCH(Work_Codes!$I$333,$D$324:$D$326,0)))</f>
        <v>0</v>
      </c>
      <c r="R574" s="81">
        <f ca="1">R563*(1+INDEX(R$324:R$326,MATCH(Work_Codes!$I$333,$D$324:$D$326,0)))</f>
        <v>0</v>
      </c>
      <c r="S574" s="81">
        <f ca="1">S563*(1+INDEX(S$324:S$326,MATCH(Work_Codes!$I$333,$D$324:$D$326,0)))</f>
        <v>0</v>
      </c>
      <c r="T574" s="81">
        <f ca="1">T563*(1+INDEX(T$324:T$326,MATCH(Work_Codes!$I$333,$D$324:$D$326,0)))</f>
        <v>0</v>
      </c>
    </row>
    <row r="575" spans="4:20" outlineLevel="2">
      <c r="E575" s="247" t="str">
        <f>GC!C80</f>
        <v>Meters Industrial &amp; Commercial</v>
      </c>
      <c r="F575" s="247"/>
      <c r="G575" s="247"/>
      <c r="H575" s="247"/>
      <c r="I575" s="247"/>
      <c r="J575" s="81">
        <f ca="1">J564*(1+INDEX(J$324:J$326,MATCH(Work_Codes!$I$333,$D$324:$D$326,0)))</f>
        <v>0</v>
      </c>
      <c r="K575" s="81">
        <f ca="1">K564*(1+INDEX(K$324:K$326,MATCH(Work_Codes!$I$333,$D$324:$D$326,0)))</f>
        <v>0</v>
      </c>
      <c r="L575" s="81">
        <f ca="1">L564*(1+INDEX(L$324:L$326,MATCH(Work_Codes!$I$333,$D$324:$D$326,0)))</f>
        <v>0</v>
      </c>
      <c r="M575" s="81">
        <f ca="1">M564*(1+INDEX(M$324:M$326,MATCH(Work_Codes!$I$333,$D$324:$D$326,0)))</f>
        <v>0</v>
      </c>
      <c r="N575" s="81">
        <f ca="1">N564*(1+INDEX(N$324:N$326,MATCH(Work_Codes!$I$333,$D$324:$D$326,0)))</f>
        <v>0</v>
      </c>
      <c r="O575" s="81">
        <f ca="1">O564*(1+INDEX(O$324:O$326,MATCH(Work_Codes!$I$333,$D$324:$D$326,0)))</f>
        <v>0</v>
      </c>
      <c r="P575" s="81">
        <f ca="1">P564*(1+INDEX(P$324:P$326,MATCH(Work_Codes!$I$333,$D$324:$D$326,0)))</f>
        <v>0</v>
      </c>
      <c r="Q575" s="81">
        <f ca="1">Q564*(1+INDEX(Q$324:Q$326,MATCH(Work_Codes!$I$333,$D$324:$D$326,0)))</f>
        <v>0</v>
      </c>
      <c r="R575" s="81">
        <f ca="1">R564*(1+INDEX(R$324:R$326,MATCH(Work_Codes!$I$333,$D$324:$D$326,0)))</f>
        <v>0</v>
      </c>
      <c r="S575" s="81">
        <f ca="1">S564*(1+INDEX(S$324:S$326,MATCH(Work_Codes!$I$333,$D$324:$D$326,0)))</f>
        <v>0</v>
      </c>
      <c r="T575" s="81">
        <f ca="1">T564*(1+INDEX(T$324:T$326,MATCH(Work_Codes!$I$333,$D$324:$D$326,0)))</f>
        <v>0</v>
      </c>
    </row>
    <row r="576" spans="4:20" outlineLevel="2">
      <c r="E576" s="247" t="str">
        <f>GC!C81</f>
        <v>Buildings</v>
      </c>
      <c r="F576" s="247"/>
      <c r="G576" s="247"/>
      <c r="H576" s="247"/>
      <c r="I576" s="247"/>
      <c r="J576" s="81">
        <f ca="1">J565*(1+INDEX(J$324:J$326,MATCH(Work_Codes!$I$333,$D$324:$D$326,0)))</f>
        <v>0</v>
      </c>
      <c r="K576" s="81">
        <f ca="1">K565*(1+INDEX(K$324:K$326,MATCH(Work_Codes!$I$333,$D$324:$D$326,0)))</f>
        <v>0</v>
      </c>
      <c r="L576" s="81">
        <f ca="1">L565*(1+INDEX(L$324:L$326,MATCH(Work_Codes!$I$333,$D$324:$D$326,0)))</f>
        <v>0</v>
      </c>
      <c r="M576" s="81">
        <f ca="1">M565*(1+INDEX(M$324:M$326,MATCH(Work_Codes!$I$333,$D$324:$D$326,0)))</f>
        <v>0</v>
      </c>
      <c r="N576" s="81">
        <f ca="1">N565*(1+INDEX(N$324:N$326,MATCH(Work_Codes!$I$333,$D$324:$D$326,0)))</f>
        <v>0</v>
      </c>
      <c r="O576" s="81">
        <f ca="1">O565*(1+INDEX(O$324:O$326,MATCH(Work_Codes!$I$333,$D$324:$D$326,0)))</f>
        <v>0</v>
      </c>
      <c r="P576" s="81">
        <f ca="1">P565*(1+INDEX(P$324:P$326,MATCH(Work_Codes!$I$333,$D$324:$D$326,0)))</f>
        <v>0</v>
      </c>
      <c r="Q576" s="81">
        <f ca="1">Q565*(1+INDEX(Q$324:Q$326,MATCH(Work_Codes!$I$333,$D$324:$D$326,0)))</f>
        <v>0</v>
      </c>
      <c r="R576" s="81">
        <f ca="1">R565*(1+INDEX(R$324:R$326,MATCH(Work_Codes!$I$333,$D$324:$D$326,0)))</f>
        <v>0</v>
      </c>
      <c r="S576" s="81">
        <f ca="1">S565*(1+INDEX(S$324:S$326,MATCH(Work_Codes!$I$333,$D$324:$D$326,0)))</f>
        <v>0</v>
      </c>
      <c r="T576" s="81">
        <f ca="1">T565*(1+INDEX(T$324:T$326,MATCH(Work_Codes!$I$333,$D$324:$D$326,0)))</f>
        <v>0</v>
      </c>
    </row>
    <row r="577" spans="2:20" outlineLevel="2">
      <c r="E577" s="247" t="str">
        <f>GC!C82</f>
        <v>Other Assets</v>
      </c>
      <c r="F577" s="247"/>
      <c r="G577" s="247"/>
      <c r="H577" s="247"/>
      <c r="I577" s="247"/>
      <c r="J577" s="81">
        <f ca="1">J566*(1+INDEX(J$324:J$326,MATCH(Work_Codes!$I$333,$D$324:$D$326,0)))</f>
        <v>0</v>
      </c>
      <c r="K577" s="81">
        <f ca="1">K566*(1+INDEX(K$324:K$326,MATCH(Work_Codes!$I$333,$D$324:$D$326,0)))</f>
        <v>0</v>
      </c>
      <c r="L577" s="81">
        <f ca="1">L566*(1+INDEX(L$324:L$326,MATCH(Work_Codes!$I$333,$D$324:$D$326,0)))</f>
        <v>0</v>
      </c>
      <c r="M577" s="81">
        <f ca="1">M566*(1+INDEX(M$324:M$326,MATCH(Work_Codes!$I$333,$D$324:$D$326,0)))</f>
        <v>0</v>
      </c>
      <c r="N577" s="81">
        <f ca="1">N566*(1+INDEX(N$324:N$326,MATCH(Work_Codes!$I$333,$D$324:$D$326,0)))</f>
        <v>0</v>
      </c>
      <c r="O577" s="81">
        <f ca="1">O566*(1+INDEX(O$324:O$326,MATCH(Work_Codes!$I$333,$D$324:$D$326,0)))</f>
        <v>0</v>
      </c>
      <c r="P577" s="81">
        <f ca="1">P566*(1+INDEX(P$324:P$326,MATCH(Work_Codes!$I$333,$D$324:$D$326,0)))</f>
        <v>0</v>
      </c>
      <c r="Q577" s="81">
        <f ca="1">Q566*(1+INDEX(Q$324:Q$326,MATCH(Work_Codes!$I$333,$D$324:$D$326,0)))</f>
        <v>0</v>
      </c>
      <c r="R577" s="81">
        <f ca="1">R566*(1+INDEX(R$324:R$326,MATCH(Work_Codes!$I$333,$D$324:$D$326,0)))</f>
        <v>0</v>
      </c>
      <c r="S577" s="81">
        <f ca="1">S566*(1+INDEX(S$324:S$326,MATCH(Work_Codes!$I$333,$D$324:$D$326,0)))</f>
        <v>0</v>
      </c>
      <c r="T577" s="81">
        <f ca="1">T566*(1+INDEX(T$324:T$326,MATCH(Work_Codes!$I$333,$D$324:$D$326,0)))</f>
        <v>0</v>
      </c>
    </row>
    <row r="578" spans="2:20" outlineLevel="2">
      <c r="E578" s="247" t="str">
        <f>GC!C83</f>
        <v>Repairs</v>
      </c>
      <c r="F578" s="247"/>
      <c r="G578" s="247"/>
      <c r="H578" s="247"/>
      <c r="I578" s="247"/>
      <c r="J578" s="81">
        <f ca="1">J567*(1+INDEX(J$324:J$326,MATCH(Work_Codes!$I$333,$D$324:$D$326,0)))</f>
        <v>0</v>
      </c>
      <c r="K578" s="81">
        <f ca="1">K567*(1+INDEX(K$324:K$326,MATCH(Work_Codes!$I$333,$D$324:$D$326,0)))</f>
        <v>0</v>
      </c>
      <c r="L578" s="81">
        <f ca="1">L567*(1+INDEX(L$324:L$326,MATCH(Work_Codes!$I$333,$D$324:$D$326,0)))</f>
        <v>0</v>
      </c>
      <c r="M578" s="81">
        <f ca="1">M567*(1+INDEX(M$324:M$326,MATCH(Work_Codes!$I$333,$D$324:$D$326,0)))</f>
        <v>0</v>
      </c>
      <c r="N578" s="81">
        <f ca="1">N567*(1+INDEX(N$324:N$326,MATCH(Work_Codes!$I$333,$D$324:$D$326,0)))</f>
        <v>0</v>
      </c>
      <c r="O578" s="81">
        <f ca="1">O567*(1+INDEX(O$324:O$326,MATCH(Work_Codes!$I$333,$D$324:$D$326,0)))</f>
        <v>0</v>
      </c>
      <c r="P578" s="81">
        <f ca="1">P567*(1+INDEX(P$324:P$326,MATCH(Work_Codes!$I$333,$D$324:$D$326,0)))</f>
        <v>0</v>
      </c>
      <c r="Q578" s="81">
        <f ca="1">Q567*(1+INDEX(Q$324:Q$326,MATCH(Work_Codes!$I$333,$D$324:$D$326,0)))</f>
        <v>0</v>
      </c>
      <c r="R578" s="81">
        <f ca="1">R567*(1+INDEX(R$324:R$326,MATCH(Work_Codes!$I$333,$D$324:$D$326,0)))</f>
        <v>0</v>
      </c>
      <c r="S578" s="81">
        <f ca="1">S567*(1+INDEX(S$324:S$326,MATCH(Work_Codes!$I$333,$D$324:$D$326,0)))</f>
        <v>0</v>
      </c>
      <c r="T578" s="81">
        <f ca="1">T567*(1+INDEX(T$324:T$326,MATCH(Work_Codes!$I$333,$D$324:$D$326,0)))</f>
        <v>0</v>
      </c>
    </row>
    <row r="579" spans="2:20" outlineLevel="2">
      <c r="E579" s="247" t="str">
        <f>GC!C84</f>
        <v>Land</v>
      </c>
      <c r="F579" s="247"/>
      <c r="G579" s="247"/>
      <c r="H579" s="247"/>
      <c r="I579" s="247"/>
      <c r="J579" s="81">
        <f ca="1">J568*(1+INDEX(J$324:J$326,MATCH(Work_Codes!$I$333,$D$324:$D$326,0)))</f>
        <v>0</v>
      </c>
      <c r="K579" s="81">
        <f ca="1">K568*(1+INDEX(K$324:K$326,MATCH(Work_Codes!$I$333,$D$324:$D$326,0)))</f>
        <v>0</v>
      </c>
      <c r="L579" s="81">
        <f ca="1">L568*(1+INDEX(L$324:L$326,MATCH(Work_Codes!$I$333,$D$324:$D$326,0)))</f>
        <v>0</v>
      </c>
      <c r="M579" s="81">
        <f ca="1">M568*(1+INDEX(M$324:M$326,MATCH(Work_Codes!$I$333,$D$324:$D$326,0)))</f>
        <v>0</v>
      </c>
      <c r="N579" s="81">
        <f ca="1">N568*(1+INDEX(N$324:N$326,MATCH(Work_Codes!$I$333,$D$324:$D$326,0)))</f>
        <v>0</v>
      </c>
      <c r="O579" s="81">
        <f ca="1">O568*(1+INDEX(O$324:O$326,MATCH(Work_Codes!$I$333,$D$324:$D$326,0)))</f>
        <v>0</v>
      </c>
      <c r="P579" s="81">
        <f ca="1">P568*(1+INDEX(P$324:P$326,MATCH(Work_Codes!$I$333,$D$324:$D$326,0)))</f>
        <v>0</v>
      </c>
      <c r="Q579" s="81">
        <f ca="1">Q568*(1+INDEX(Q$324:Q$326,MATCH(Work_Codes!$I$333,$D$324:$D$326,0)))</f>
        <v>0</v>
      </c>
      <c r="R579" s="81">
        <f ca="1">R568*(1+INDEX(R$324:R$326,MATCH(Work_Codes!$I$333,$D$324:$D$326,0)))</f>
        <v>0</v>
      </c>
      <c r="S579" s="81">
        <f ca="1">S568*(1+INDEX(S$324:S$326,MATCH(Work_Codes!$I$333,$D$324:$D$326,0)))</f>
        <v>0</v>
      </c>
      <c r="T579" s="81">
        <f ca="1">T568*(1+INDEX(T$324:T$326,MATCH(Work_Codes!$I$333,$D$324:$D$326,0)))</f>
        <v>0</v>
      </c>
    </row>
    <row r="580" spans="2:20" outlineLevel="2">
      <c r="E580" s="249" t="str">
        <f>"Total "&amp;D571</f>
        <v>Total Direct Costs +  Overheads</v>
      </c>
      <c r="F580" s="249"/>
      <c r="G580" s="249"/>
      <c r="H580" s="249"/>
      <c r="I580" s="249"/>
      <c r="J580" s="82">
        <f t="shared" ref="J580:T580" ca="1" si="58">SUM(J573:J579)</f>
        <v>0</v>
      </c>
      <c r="K580" s="82">
        <f t="shared" ca="1" si="58"/>
        <v>0</v>
      </c>
      <c r="L580" s="82">
        <f t="shared" ca="1" si="58"/>
        <v>0</v>
      </c>
      <c r="M580" s="82">
        <f t="shared" ca="1" si="58"/>
        <v>0</v>
      </c>
      <c r="N580" s="82">
        <f t="shared" ca="1" si="58"/>
        <v>0</v>
      </c>
      <c r="O580" s="82">
        <f t="shared" ca="1" si="58"/>
        <v>0</v>
      </c>
      <c r="P580" s="82">
        <f t="shared" ca="1" si="58"/>
        <v>558884.72856211546</v>
      </c>
      <c r="Q580" s="82">
        <f t="shared" ca="1" si="58"/>
        <v>1724316.6786223263</v>
      </c>
      <c r="R580" s="82">
        <f t="shared" ca="1" si="58"/>
        <v>2616867.5014883806</v>
      </c>
      <c r="S580" s="82">
        <f t="shared" ca="1" si="58"/>
        <v>737051.23890915839</v>
      </c>
      <c r="T580" s="82">
        <f t="shared" ca="1" si="58"/>
        <v>123.84801840422675</v>
      </c>
    </row>
    <row r="581" spans="2:20" outlineLevel="1">
      <c r="B581" s="12"/>
      <c r="C581" s="12"/>
      <c r="D581" s="12"/>
      <c r="E581" s="12"/>
      <c r="F581" s="12"/>
      <c r="G581" s="12"/>
      <c r="H581" s="12"/>
      <c r="I581" s="12"/>
      <c r="J581" s="12"/>
      <c r="K581" s="12"/>
      <c r="L581" s="12"/>
      <c r="M581" s="12"/>
      <c r="N581" s="12"/>
      <c r="O581" s="12"/>
      <c r="P581" s="12"/>
      <c r="Q581" s="12"/>
      <c r="R581" s="12"/>
      <c r="S581" s="12"/>
      <c r="T581" s="12"/>
    </row>
    <row r="582" spans="2:20" outlineLevel="1"/>
    <row r="583" spans="2:20" outlineLevel="1">
      <c r="C583" s="37" t="s">
        <v>19</v>
      </c>
    </row>
    <row r="584" spans="2:20" ht="5.9" customHeight="1" outlineLevel="1"/>
    <row r="585" spans="2:20" outlineLevel="1">
      <c r="F585" s="51" t="str">
        <f>$B$312&amp;" Work Code v RAB Category Direct Check"</f>
        <v>3018 - Inputs Work Code v RAB Category Direct Check</v>
      </c>
      <c r="I585" s="130">
        <f ca="1">IF(ISERROR(SUM(J585:T585)),1,MIN(SUM(J585:T585),1))</f>
        <v>0</v>
      </c>
      <c r="J585" s="81">
        <f t="shared" ref="J585:T585" ca="1" si="59">J415-J438</f>
        <v>0</v>
      </c>
      <c r="K585" s="81">
        <f t="shared" ca="1" si="59"/>
        <v>0</v>
      </c>
      <c r="L585" s="81">
        <f t="shared" ca="1" si="59"/>
        <v>0</v>
      </c>
      <c r="M585" s="81">
        <f t="shared" ca="1" si="59"/>
        <v>0</v>
      </c>
      <c r="N585" s="81">
        <f t="shared" ca="1" si="59"/>
        <v>0</v>
      </c>
      <c r="O585" s="81">
        <f t="shared" ca="1" si="59"/>
        <v>0</v>
      </c>
      <c r="P585" s="81">
        <f t="shared" ca="1" si="59"/>
        <v>0</v>
      </c>
      <c r="Q585" s="81">
        <f t="shared" ca="1" si="59"/>
        <v>0</v>
      </c>
      <c r="R585" s="81">
        <f t="shared" ca="1" si="59"/>
        <v>0</v>
      </c>
      <c r="S585" s="81">
        <f t="shared" ca="1" si="59"/>
        <v>0</v>
      </c>
      <c r="T585" s="81">
        <f t="shared" ca="1" si="59"/>
        <v>0</v>
      </c>
    </row>
    <row r="586" spans="2:20" outlineLevel="1">
      <c r="F586" s="51" t="str">
        <f>$B$312&amp;" Work Code v RIN Category Direct Check"</f>
        <v>3018 - Inputs Work Code v RIN Category Direct Check</v>
      </c>
      <c r="I586" s="130">
        <f ca="1">IF(ISERROR(SUM(J586:T586)),1,MIN(SUM(J586:T586),1))</f>
        <v>0</v>
      </c>
      <c r="J586" s="81">
        <f t="shared" ref="J586:T586" ca="1" si="60">J415-J519</f>
        <v>0</v>
      </c>
      <c r="K586" s="81">
        <f t="shared" ca="1" si="60"/>
        <v>0</v>
      </c>
      <c r="L586" s="81">
        <f t="shared" ca="1" si="60"/>
        <v>0</v>
      </c>
      <c r="M586" s="81">
        <f t="shared" ca="1" si="60"/>
        <v>0</v>
      </c>
      <c r="N586" s="81">
        <f t="shared" ca="1" si="60"/>
        <v>0</v>
      </c>
      <c r="O586" s="81">
        <f t="shared" ca="1" si="60"/>
        <v>0</v>
      </c>
      <c r="P586" s="81">
        <f t="shared" ca="1" si="60"/>
        <v>0</v>
      </c>
      <c r="Q586" s="81">
        <f t="shared" ca="1" si="60"/>
        <v>0</v>
      </c>
      <c r="R586" s="81">
        <f t="shared" ca="1" si="60"/>
        <v>0</v>
      </c>
      <c r="S586" s="81">
        <f t="shared" ca="1" si="60"/>
        <v>0</v>
      </c>
      <c r="T586" s="81">
        <f t="shared" ca="1" si="60"/>
        <v>0</v>
      </c>
    </row>
    <row r="587" spans="2:20" outlineLevel="1">
      <c r="F587" s="51" t="str">
        <f>$B$312&amp;" Work Code v Tax Category Direct Check"</f>
        <v>3018 - Inputs Work Code v Tax Category Direct Check</v>
      </c>
      <c r="I587" s="130">
        <f ca="1">IF(ISERROR(SUM(J587:T587)),1,MIN(SUM(J587:T587),1))</f>
        <v>0</v>
      </c>
      <c r="J587" s="81">
        <f t="shared" ref="J587:T587" ca="1" si="61">J415-J569</f>
        <v>0</v>
      </c>
      <c r="K587" s="81">
        <f t="shared" ca="1" si="61"/>
        <v>0</v>
      </c>
      <c r="L587" s="81">
        <f t="shared" ca="1" si="61"/>
        <v>0</v>
      </c>
      <c r="M587" s="81">
        <f t="shared" ca="1" si="61"/>
        <v>0</v>
      </c>
      <c r="N587" s="81">
        <f t="shared" ca="1" si="61"/>
        <v>0</v>
      </c>
      <c r="O587" s="81">
        <f t="shared" ca="1" si="61"/>
        <v>0</v>
      </c>
      <c r="P587" s="81">
        <f t="shared" ca="1" si="61"/>
        <v>0</v>
      </c>
      <c r="Q587" s="81">
        <f t="shared" ca="1" si="61"/>
        <v>0</v>
      </c>
      <c r="R587" s="81">
        <f t="shared" ca="1" si="61"/>
        <v>0</v>
      </c>
      <c r="S587" s="81">
        <f t="shared" ca="1" si="61"/>
        <v>0</v>
      </c>
      <c r="T587" s="81">
        <f t="shared" ca="1" si="61"/>
        <v>0</v>
      </c>
    </row>
    <row r="588" spans="2:20" outlineLevel="1">
      <c r="F588" s="51" t="str">
        <f>$B$312&amp;" Customer Contributions v RAB Category Direct Check"</f>
        <v>3018 - Inputs Customer Contributions v RAB Category Direct Check</v>
      </c>
      <c r="I588" s="130">
        <f ca="1">IF(ISERROR(SUM(J588:T588)),1,MIN(SUM(J588:T588),1))</f>
        <v>0</v>
      </c>
      <c r="J588" s="81">
        <f t="shared" ref="J588:T588" ca="1" si="62">J368-J498</f>
        <v>0</v>
      </c>
      <c r="K588" s="81">
        <f t="shared" ca="1" si="62"/>
        <v>0</v>
      </c>
      <c r="L588" s="81">
        <f t="shared" ca="1" si="62"/>
        <v>0</v>
      </c>
      <c r="M588" s="81">
        <f t="shared" ca="1" si="62"/>
        <v>0</v>
      </c>
      <c r="N588" s="81">
        <f t="shared" ca="1" si="62"/>
        <v>0</v>
      </c>
      <c r="O588" s="81">
        <f t="shared" ca="1" si="62"/>
        <v>0</v>
      </c>
      <c r="P588" s="81">
        <f t="shared" ca="1" si="62"/>
        <v>0</v>
      </c>
      <c r="Q588" s="81">
        <f t="shared" ca="1" si="62"/>
        <v>0</v>
      </c>
      <c r="R588" s="81">
        <f t="shared" ca="1" si="62"/>
        <v>0</v>
      </c>
      <c r="S588" s="81">
        <f t="shared" ca="1" si="62"/>
        <v>0</v>
      </c>
      <c r="T588" s="81">
        <f t="shared" ca="1" si="62"/>
        <v>0</v>
      </c>
    </row>
    <row r="589" spans="2:20" ht="5.9" customHeight="1" outlineLevel="1"/>
    <row r="590" spans="2:20" outlineLevel="1">
      <c r="F590" s="51" t="str">
        <f>$B$312&amp;" RAB v RIN Direct + Overhead Check"</f>
        <v>3018 - Inputs RAB v RIN Direct + Overhead Check</v>
      </c>
      <c r="I590" s="130">
        <f ca="1">IF(ISERROR(SUM(J590:T590)),1,MIN(SUM(J590:T590),1))</f>
        <v>0</v>
      </c>
      <c r="J590" s="81">
        <f t="shared" ref="J590:T590" ca="1" si="63">J478-J537</f>
        <v>0</v>
      </c>
      <c r="K590" s="81">
        <f t="shared" ca="1" si="63"/>
        <v>0</v>
      </c>
      <c r="L590" s="81">
        <f t="shared" ca="1" si="63"/>
        <v>0</v>
      </c>
      <c r="M590" s="81">
        <f t="shared" ca="1" si="63"/>
        <v>0</v>
      </c>
      <c r="N590" s="81">
        <f t="shared" ca="1" si="63"/>
        <v>0</v>
      </c>
      <c r="O590" s="81">
        <f t="shared" ca="1" si="63"/>
        <v>0</v>
      </c>
      <c r="P590" s="81">
        <f t="shared" ca="1" si="63"/>
        <v>0</v>
      </c>
      <c r="Q590" s="81">
        <f t="shared" ca="1" si="63"/>
        <v>0</v>
      </c>
      <c r="R590" s="81">
        <f t="shared" ca="1" si="63"/>
        <v>0</v>
      </c>
      <c r="S590" s="81">
        <f t="shared" ca="1" si="63"/>
        <v>0</v>
      </c>
      <c r="T590" s="81">
        <f t="shared" ca="1" si="63"/>
        <v>0</v>
      </c>
    </row>
    <row r="591" spans="2:20" outlineLevel="1">
      <c r="F591" s="51" t="str">
        <f>$B$312&amp;" RAB v Tax Direct + Overhead Check"</f>
        <v>3018 - Inputs RAB v Tax Direct + Overhead Check</v>
      </c>
      <c r="I591" s="130">
        <f ca="1">IF(ISERROR(SUM(J591:T591)),1,MIN(SUM(J591:T591),1))</f>
        <v>0</v>
      </c>
      <c r="J591" s="81">
        <f t="shared" ref="J591:T591" ca="1" si="64">J478-J580</f>
        <v>0</v>
      </c>
      <c r="K591" s="81">
        <f t="shared" ca="1" si="64"/>
        <v>0</v>
      </c>
      <c r="L591" s="81">
        <f t="shared" ca="1" si="64"/>
        <v>0</v>
      </c>
      <c r="M591" s="81">
        <f t="shared" ca="1" si="64"/>
        <v>0</v>
      </c>
      <c r="N591" s="81">
        <f t="shared" ca="1" si="64"/>
        <v>0</v>
      </c>
      <c r="O591" s="81">
        <f t="shared" ca="1" si="64"/>
        <v>0</v>
      </c>
      <c r="P591" s="81">
        <f t="shared" ca="1" si="64"/>
        <v>0</v>
      </c>
      <c r="Q591" s="81">
        <f t="shared" ca="1" si="64"/>
        <v>0</v>
      </c>
      <c r="R591" s="81">
        <f t="shared" ca="1" si="64"/>
        <v>0</v>
      </c>
      <c r="S591" s="81">
        <f t="shared" ca="1" si="64"/>
        <v>0</v>
      </c>
      <c r="T591" s="81">
        <f t="shared" ca="1" si="64"/>
        <v>0</v>
      </c>
    </row>
    <row r="592" spans="2:20" ht="12" outlineLevel="1" thickBot="1">
      <c r="B592" s="94"/>
      <c r="C592" s="94"/>
      <c r="D592" s="94"/>
      <c r="E592" s="94"/>
      <c r="F592" s="94"/>
      <c r="G592" s="94"/>
      <c r="H592" s="94"/>
      <c r="I592" s="94"/>
      <c r="J592" s="94"/>
      <c r="K592" s="94"/>
      <c r="L592" s="94"/>
      <c r="M592" s="94"/>
      <c r="N592" s="94"/>
      <c r="O592" s="94"/>
      <c r="P592" s="94"/>
      <c r="Q592" s="94"/>
      <c r="R592" s="94"/>
      <c r="S592" s="94"/>
      <c r="T592" s="94"/>
    </row>
  </sheetData>
  <sheetProtection formatColumns="0" formatRows="0"/>
  <mergeCells count="271">
    <mergeCell ref="E272:I272"/>
    <mergeCell ref="E555:I555"/>
    <mergeCell ref="E541:I541"/>
    <mergeCell ref="E542:I542"/>
    <mergeCell ref="E543:I543"/>
    <mergeCell ref="E544:I544"/>
    <mergeCell ref="E545:I545"/>
    <mergeCell ref="E546:I546"/>
    <mergeCell ref="E547:I547"/>
    <mergeCell ref="E548:I548"/>
    <mergeCell ref="E549:I549"/>
    <mergeCell ref="E550:I550"/>
    <mergeCell ref="E551:I551"/>
    <mergeCell ref="E552:I552"/>
    <mergeCell ref="E553:I553"/>
    <mergeCell ref="E554:I554"/>
    <mergeCell ref="E498:I498"/>
    <mergeCell ref="E482:I482"/>
    <mergeCell ref="E483:I483"/>
    <mergeCell ref="E484:I484"/>
    <mergeCell ref="E485:I485"/>
    <mergeCell ref="E486:I486"/>
    <mergeCell ref="E487:I487"/>
    <mergeCell ref="E488:I488"/>
    <mergeCell ref="E263:I263"/>
    <mergeCell ref="E264:I264"/>
    <mergeCell ref="E265:I265"/>
    <mergeCell ref="E266:I266"/>
    <mergeCell ref="E267:I267"/>
    <mergeCell ref="E268:I268"/>
    <mergeCell ref="E269:I269"/>
    <mergeCell ref="E270:I270"/>
    <mergeCell ref="E271:I271"/>
    <mergeCell ref="E422:I422"/>
    <mergeCell ref="E489:I489"/>
    <mergeCell ref="E490:I490"/>
    <mergeCell ref="E491:I491"/>
    <mergeCell ref="E492:I492"/>
    <mergeCell ref="E493:I493"/>
    <mergeCell ref="E495:I495"/>
    <mergeCell ref="E496:I496"/>
    <mergeCell ref="E497:I497"/>
    <mergeCell ref="E426:I426"/>
    <mergeCell ref="E476:I476"/>
    <mergeCell ref="E477:I477"/>
    <mergeCell ref="E494:I494"/>
    <mergeCell ref="E470:I470"/>
    <mergeCell ref="E473:I473"/>
    <mergeCell ref="E472:I472"/>
    <mergeCell ref="E469:I469"/>
    <mergeCell ref="E454:I454"/>
    <mergeCell ref="E455:I455"/>
    <mergeCell ref="E456:I456"/>
    <mergeCell ref="E457:I457"/>
    <mergeCell ref="D82:I82"/>
    <mergeCell ref="E186:I186"/>
    <mergeCell ref="E463:I463"/>
    <mergeCell ref="E227:I227"/>
    <mergeCell ref="E228:I228"/>
    <mergeCell ref="E452:I452"/>
    <mergeCell ref="E443:I443"/>
    <mergeCell ref="E468:I468"/>
    <mergeCell ref="E203:I203"/>
    <mergeCell ref="E204:I204"/>
    <mergeCell ref="E205:I205"/>
    <mergeCell ref="E206:I206"/>
    <mergeCell ref="E207:I207"/>
    <mergeCell ref="E234:I234"/>
    <mergeCell ref="E447:I447"/>
    <mergeCell ref="E448:I448"/>
    <mergeCell ref="E453:I453"/>
    <mergeCell ref="E451:I451"/>
    <mergeCell ref="E464:I464"/>
    <mergeCell ref="E465:I465"/>
    <mergeCell ref="E466:I466"/>
    <mergeCell ref="E467:I467"/>
    <mergeCell ref="E196:I196"/>
    <mergeCell ref="E233:I233"/>
    <mergeCell ref="E235:I235"/>
    <mergeCell ref="D76:I76"/>
    <mergeCell ref="D97:I97"/>
    <mergeCell ref="D109:I109"/>
    <mergeCell ref="D121:I121"/>
    <mergeCell ref="D133:I133"/>
    <mergeCell ref="E237:I237"/>
    <mergeCell ref="E223:I223"/>
    <mergeCell ref="E224:I224"/>
    <mergeCell ref="E225:I225"/>
    <mergeCell ref="E226:I226"/>
    <mergeCell ref="E140:I140"/>
    <mergeCell ref="E141:I141"/>
    <mergeCell ref="E142:I142"/>
    <mergeCell ref="E143:I143"/>
    <mergeCell ref="E144:I144"/>
    <mergeCell ref="E145:I145"/>
    <mergeCell ref="E176:I176"/>
    <mergeCell ref="E160:I160"/>
    <mergeCell ref="E161:I161"/>
    <mergeCell ref="E162:I162"/>
    <mergeCell ref="E163:I163"/>
    <mergeCell ref="E231:I231"/>
    <mergeCell ref="E229:I229"/>
    <mergeCell ref="E193:I193"/>
    <mergeCell ref="E194:I194"/>
    <mergeCell ref="E195:I195"/>
    <mergeCell ref="E212:I212"/>
    <mergeCell ref="E213:I213"/>
    <mergeCell ref="E214:I214"/>
    <mergeCell ref="E215:I215"/>
    <mergeCell ref="E216:I216"/>
    <mergeCell ref="E200:I200"/>
    <mergeCell ref="E201:I201"/>
    <mergeCell ref="E202:I202"/>
    <mergeCell ref="E262:I262"/>
    <mergeCell ref="E475:I475"/>
    <mergeCell ref="E192:I192"/>
    <mergeCell ref="E187:I187"/>
    <mergeCell ref="E188:I188"/>
    <mergeCell ref="E474:I474"/>
    <mergeCell ref="E458:I458"/>
    <mergeCell ref="E434:I434"/>
    <mergeCell ref="E435:I435"/>
    <mergeCell ref="E286:I286"/>
    <mergeCell ref="D415:I415"/>
    <mergeCell ref="E298:I298"/>
    <mergeCell ref="E291:I291"/>
    <mergeCell ref="E292:I292"/>
    <mergeCell ref="E293:I293"/>
    <mergeCell ref="E294:I294"/>
    <mergeCell ref="E295:I295"/>
    <mergeCell ref="E241:I241"/>
    <mergeCell ref="E191:I191"/>
    <mergeCell ref="E208:I208"/>
    <mergeCell ref="E209:I209"/>
    <mergeCell ref="E210:I210"/>
    <mergeCell ref="E211:I211"/>
    <mergeCell ref="E230:I230"/>
    <mergeCell ref="E146:I146"/>
    <mergeCell ref="E147:I147"/>
    <mergeCell ref="E148:I148"/>
    <mergeCell ref="E149:I149"/>
    <mergeCell ref="E150:I150"/>
    <mergeCell ref="E189:I189"/>
    <mergeCell ref="E190:I190"/>
    <mergeCell ref="E151:I151"/>
    <mergeCell ref="E450:I450"/>
    <mergeCell ref="E444:I444"/>
    <mergeCell ref="E445:I445"/>
    <mergeCell ref="E242:I242"/>
    <mergeCell ref="E243:I243"/>
    <mergeCell ref="E244:I244"/>
    <mergeCell ref="E245:I245"/>
    <mergeCell ref="E246:I246"/>
    <mergeCell ref="E247:I247"/>
    <mergeCell ref="E248:I248"/>
    <mergeCell ref="E249:I249"/>
    <mergeCell ref="E436:I436"/>
    <mergeCell ref="E152:I152"/>
    <mergeCell ref="E153:I153"/>
    <mergeCell ref="E154:I154"/>
    <mergeCell ref="E155:I155"/>
    <mergeCell ref="E529:I529"/>
    <mergeCell ref="E530:I530"/>
    <mergeCell ref="E531:I531"/>
    <mergeCell ref="E507:I507"/>
    <mergeCell ref="E508:I508"/>
    <mergeCell ref="E509:I509"/>
    <mergeCell ref="E510:I510"/>
    <mergeCell ref="E511:I511"/>
    <mergeCell ref="E512:I512"/>
    <mergeCell ref="E513:I513"/>
    <mergeCell ref="E515:I515"/>
    <mergeCell ref="E516:I516"/>
    <mergeCell ref="E517:I517"/>
    <mergeCell ref="E518:I518"/>
    <mergeCell ref="E533:I533"/>
    <mergeCell ref="E534:I534"/>
    <mergeCell ref="E251:I251"/>
    <mergeCell ref="E252:I252"/>
    <mergeCell ref="E253:I253"/>
    <mergeCell ref="E254:I254"/>
    <mergeCell ref="E523:I523"/>
    <mergeCell ref="E524:I524"/>
    <mergeCell ref="E525:I525"/>
    <mergeCell ref="E526:I526"/>
    <mergeCell ref="E527:I527"/>
    <mergeCell ref="E255:I255"/>
    <mergeCell ref="E287:I287"/>
    <mergeCell ref="E280:I280"/>
    <mergeCell ref="E281:I281"/>
    <mergeCell ref="E282:I282"/>
    <mergeCell ref="E283:I283"/>
    <mergeCell ref="E284:I284"/>
    <mergeCell ref="E285:I285"/>
    <mergeCell ref="E462:I462"/>
    <mergeCell ref="E528:I528"/>
    <mergeCell ref="E519:I519"/>
    <mergeCell ref="E505:I505"/>
    <mergeCell ref="E506:I506"/>
    <mergeCell ref="E537:I537"/>
    <mergeCell ref="E232:I232"/>
    <mergeCell ref="E250:I250"/>
    <mergeCell ref="E514:I514"/>
    <mergeCell ref="E532:I532"/>
    <mergeCell ref="E478:I478"/>
    <mergeCell ref="E580:I580"/>
    <mergeCell ref="E573:I573"/>
    <mergeCell ref="E574:I574"/>
    <mergeCell ref="E575:I575"/>
    <mergeCell ref="E576:I576"/>
    <mergeCell ref="E577:I577"/>
    <mergeCell ref="E578:I578"/>
    <mergeCell ref="E579:I579"/>
    <mergeCell ref="E535:I535"/>
    <mergeCell ref="E536:I536"/>
    <mergeCell ref="E569:I569"/>
    <mergeCell ref="E562:I562"/>
    <mergeCell ref="E563:I563"/>
    <mergeCell ref="E564:I564"/>
    <mergeCell ref="E565:I565"/>
    <mergeCell ref="E566:I566"/>
    <mergeCell ref="E567:I567"/>
    <mergeCell ref="E568:I568"/>
    <mergeCell ref="D404:I404"/>
    <mergeCell ref="E156:I156"/>
    <mergeCell ref="E180:I180"/>
    <mergeCell ref="E181:I181"/>
    <mergeCell ref="E182:I182"/>
    <mergeCell ref="E183:I183"/>
    <mergeCell ref="E167:I167"/>
    <mergeCell ref="E164:I164"/>
    <mergeCell ref="E165:I165"/>
    <mergeCell ref="E166:I166"/>
    <mergeCell ref="E168:I168"/>
    <mergeCell ref="E169:I169"/>
    <mergeCell ref="E170:I170"/>
    <mergeCell ref="E171:I171"/>
    <mergeCell ref="E172:I172"/>
    <mergeCell ref="E173:I173"/>
    <mergeCell ref="E174:I174"/>
    <mergeCell ref="E175:I175"/>
    <mergeCell ref="E184:I184"/>
    <mergeCell ref="E185:I185"/>
    <mergeCell ref="E273:I273"/>
    <mergeCell ref="E259:I259"/>
    <mergeCell ref="E260:I260"/>
    <mergeCell ref="E261:I261"/>
    <mergeCell ref="N2:O2"/>
    <mergeCell ref="E236:I236"/>
    <mergeCell ref="E471:I471"/>
    <mergeCell ref="E438:I438"/>
    <mergeCell ref="E429:I429"/>
    <mergeCell ref="E430:I430"/>
    <mergeCell ref="E431:I431"/>
    <mergeCell ref="E432:I432"/>
    <mergeCell ref="E424:I424"/>
    <mergeCell ref="E425:I425"/>
    <mergeCell ref="E296:I296"/>
    <mergeCell ref="E297:I297"/>
    <mergeCell ref="D368:I368"/>
    <mergeCell ref="E449:I449"/>
    <mergeCell ref="E423:I423"/>
    <mergeCell ref="E427:I427"/>
    <mergeCell ref="E433:I433"/>
    <mergeCell ref="E442:I442"/>
    <mergeCell ref="E437:I437"/>
    <mergeCell ref="E446:I446"/>
    <mergeCell ref="E428:I428"/>
    <mergeCell ref="D362:I362"/>
    <mergeCell ref="D382:I382"/>
    <mergeCell ref="D393:I393"/>
  </mergeCells>
  <conditionalFormatting sqref="I303">
    <cfRule type="cellIs" dxfId="791" priority="1" operator="notEqual">
      <formula>0</formula>
    </cfRule>
  </conditionalFormatting>
  <conditionalFormatting sqref="I585">
    <cfRule type="cellIs" dxfId="790" priority="2" operator="notEqual">
      <formula>0</formula>
    </cfRule>
  </conditionalFormatting>
  <conditionalFormatting sqref="J303:T303">
    <cfRule type="cellIs" dxfId="789" priority="3" operator="notEqual">
      <formula>0</formula>
    </cfRule>
  </conditionalFormatting>
  <conditionalFormatting sqref="J585:T585">
    <cfRule type="cellIs" dxfId="788" priority="4" operator="notEqual">
      <formula>0</formula>
    </cfRule>
  </conditionalFormatting>
  <conditionalFormatting sqref="I304">
    <cfRule type="cellIs" dxfId="787" priority="5" operator="notEqual">
      <formula>0</formula>
    </cfRule>
  </conditionalFormatting>
  <conditionalFormatting sqref="I586">
    <cfRule type="cellIs" dxfId="786" priority="6" operator="notEqual">
      <formula>0</formula>
    </cfRule>
  </conditionalFormatting>
  <conditionalFormatting sqref="J304:T304">
    <cfRule type="cellIs" dxfId="785" priority="7" operator="notEqual">
      <formula>0</formula>
    </cfRule>
  </conditionalFormatting>
  <conditionalFormatting sqref="J586:T586">
    <cfRule type="cellIs" dxfId="784" priority="8" operator="notEqual">
      <formula>0</formula>
    </cfRule>
  </conditionalFormatting>
  <conditionalFormatting sqref="I305">
    <cfRule type="cellIs" dxfId="783" priority="9" operator="notEqual">
      <formula>0</formula>
    </cfRule>
  </conditionalFormatting>
  <conditionalFormatting sqref="I587">
    <cfRule type="cellIs" dxfId="782" priority="10" operator="notEqual">
      <formula>0</formula>
    </cfRule>
  </conditionalFormatting>
  <conditionalFormatting sqref="J305:T305">
    <cfRule type="cellIs" dxfId="781" priority="11" operator="notEqual">
      <formula>0</formula>
    </cfRule>
  </conditionalFormatting>
  <conditionalFormatting sqref="J587:T587">
    <cfRule type="cellIs" dxfId="780" priority="12" operator="notEqual">
      <formula>0</formula>
    </cfRule>
  </conditionalFormatting>
  <conditionalFormatting sqref="I308">
    <cfRule type="cellIs" dxfId="779" priority="13" operator="notEqual">
      <formula>0</formula>
    </cfRule>
  </conditionalFormatting>
  <conditionalFormatting sqref="I590">
    <cfRule type="cellIs" dxfId="778" priority="14" operator="notEqual">
      <formula>0</formula>
    </cfRule>
  </conditionalFormatting>
  <conditionalFormatting sqref="J308:T308">
    <cfRule type="cellIs" dxfId="777" priority="15" operator="notEqual">
      <formula>0</formula>
    </cfRule>
  </conditionalFormatting>
  <conditionalFormatting sqref="J590:T590">
    <cfRule type="cellIs" dxfId="776" priority="16" operator="notEqual">
      <formula>0</formula>
    </cfRule>
  </conditionalFormatting>
  <conditionalFormatting sqref="I309">
    <cfRule type="cellIs" dxfId="775" priority="17" operator="notEqual">
      <formula>0</formula>
    </cfRule>
  </conditionalFormatting>
  <conditionalFormatting sqref="I591">
    <cfRule type="cellIs" dxfId="774" priority="18" operator="notEqual">
      <formula>0</formula>
    </cfRule>
  </conditionalFormatting>
  <conditionalFormatting sqref="J309:T309">
    <cfRule type="cellIs" dxfId="773" priority="19" operator="notEqual">
      <formula>0</formula>
    </cfRule>
  </conditionalFormatting>
  <conditionalFormatting sqref="J591:T591">
    <cfRule type="cellIs" dxfId="772" priority="20" operator="notEqual">
      <formula>0</formula>
    </cfRule>
  </conditionalFormatting>
  <conditionalFormatting sqref="I306">
    <cfRule type="cellIs" dxfId="771" priority="21" operator="notEqual">
      <formula>0</formula>
    </cfRule>
  </conditionalFormatting>
  <conditionalFormatting sqref="I588">
    <cfRule type="cellIs" dxfId="770" priority="22" operator="notEqual">
      <formula>0</formula>
    </cfRule>
  </conditionalFormatting>
  <conditionalFormatting sqref="J306:T306">
    <cfRule type="cellIs" dxfId="769" priority="23" operator="notEqual">
      <formula>0</formula>
    </cfRule>
  </conditionalFormatting>
  <conditionalFormatting sqref="J588:T588">
    <cfRule type="cellIs" dxfId="768" priority="24" operator="notEqual">
      <formula>0</formula>
    </cfRule>
  </conditionalFormatting>
  <dataValidations count="1">
    <dataValidation type="custom" showErrorMessage="1" errorTitle="Invalid Assumption" error="Assumption must be a number." sqref="J56:T62 J44:T50 J344:T349 J333:T338 J366:T366 J80:T80" xr:uid="{C24BF2C3-F3DF-4DEB-8D10-09165E4633D0}">
      <formula1>NOT(ISERROR(J44/1))</formula1>
    </dataValidation>
  </dataValidations>
  <hyperlinks>
    <hyperlink ref="A1" location="HL_Home" tooltip="Go to Table of Contents" display="HL_Home" xr:uid="{A33AFA26-AEEC-4E5C-8862-741ED1B15221}"/>
    <hyperlink ref="A2" location="HL_Err_Chk" tooltip="Go to Error Checks" display="HL_Err_Chk" xr:uid="{CB19F123-B9E4-4E63-8714-428C28DBDECA}"/>
  </hyperlinks>
  <pageMargins left="0.39370078740157499" right="0.39370078740157499" top="0.59055118110236204" bottom="0.98425196850393704" header="0" footer="0.31496062992126"/>
  <pageSetup paperSize="9" orientation="landscape" r:id="rId1"/>
  <headerFooter>
    <oddFooter>&amp;L&amp;F
&amp;A
Printed: &amp;T on &amp;D&amp;CPage &amp;P of &amp;N</oddFooter>
  </headerFooter>
  <customProperties>
    <customPr name="EpmWorksheetKeyString_GUID" r:id="rId2"/>
  </customProperties>
  <legacyDrawing r:id="rId3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F9BBB1-C44C-448F-9352-A89DB88A7D23}">
  <sheetPr>
    <pageSetUpPr autoPageBreaks="0"/>
  </sheetPr>
  <dimension ref="A1:T1047"/>
  <sheetViews>
    <sheetView showGridLines="0" zoomScaleNormal="100" workbookViewId="0">
      <pane xSplit="9" ySplit="21" topLeftCell="J22" activePane="bottomRight" state="frozen"/>
      <selection activeCell="N2" sqref="N2:O2"/>
      <selection pane="topRight" activeCell="N2" sqref="N2:O2"/>
      <selection pane="bottomLeft" activeCell="N2" sqref="N2:O2"/>
      <selection pane="bottomRight" activeCell="N2" sqref="N2:O2"/>
    </sheetView>
  </sheetViews>
  <sheetFormatPr defaultColWidth="11.59765625" defaultRowHeight="11.5" outlineLevelRow="3"/>
  <cols>
    <col min="1" max="5" width="3.59765625" customWidth="1"/>
    <col min="6" max="7" width="15.59765625" customWidth="1"/>
    <col min="9" max="9" width="12.59765625" bestFit="1" customWidth="1"/>
    <col min="10" max="12" width="12.09765625" bestFit="1" customWidth="1"/>
    <col min="13" max="13" width="12.59765625" bestFit="1" customWidth="1"/>
    <col min="14" max="14" width="13" bestFit="1" customWidth="1"/>
    <col min="15" max="15" width="12.8984375" bestFit="1" customWidth="1"/>
    <col min="16" max="20" width="12.69921875" bestFit="1" customWidth="1"/>
  </cols>
  <sheetData>
    <row r="1" spans="1:20" ht="14">
      <c r="A1" s="10" t="s">
        <v>11</v>
      </c>
      <c r="B1" s="6" t="s">
        <v>286</v>
      </c>
    </row>
    <row r="2" spans="1:20" ht="13">
      <c r="A2" s="23" t="s">
        <v>26</v>
      </c>
      <c r="B2" s="7" t="str">
        <f ca="1">Model_Name</f>
        <v>GAAR Capex Forecast</v>
      </c>
      <c r="N2" s="253" t="s">
        <v>493</v>
      </c>
      <c r="O2" s="253"/>
    </row>
    <row r="3" spans="1:20">
      <c r="B3" s="30"/>
      <c r="C3" s="30"/>
      <c r="D3" s="30"/>
      <c r="E3" s="30"/>
      <c r="F3" s="30"/>
      <c r="G3" s="30"/>
      <c r="H3" s="30"/>
      <c r="I3" s="30"/>
      <c r="J3" s="30"/>
      <c r="K3" s="30"/>
      <c r="L3" s="30"/>
      <c r="M3" s="30"/>
      <c r="N3" s="30"/>
      <c r="O3" s="30"/>
      <c r="P3" s="30"/>
      <c r="Q3" s="30"/>
      <c r="R3" s="30"/>
      <c r="S3" s="30"/>
      <c r="T3" s="30"/>
    </row>
    <row r="4" spans="1:20">
      <c r="B4" s="116" t="s">
        <v>74</v>
      </c>
      <c r="C4" s="118"/>
      <c r="D4" s="118"/>
      <c r="E4" s="118"/>
      <c r="F4" s="118"/>
      <c r="G4" s="118"/>
      <c r="H4" s="118"/>
      <c r="I4" s="118"/>
      <c r="J4" s="119">
        <f t="shared" ref="J4:T4" si="0">J8</f>
        <v>43465</v>
      </c>
      <c r="K4" s="119">
        <f t="shared" si="0"/>
        <v>43830</v>
      </c>
      <c r="L4" s="119">
        <f t="shared" si="0"/>
        <v>44196</v>
      </c>
      <c r="M4" s="119">
        <f t="shared" si="0"/>
        <v>44561</v>
      </c>
      <c r="N4" s="119">
        <f t="shared" si="0"/>
        <v>44926</v>
      </c>
      <c r="O4" s="121">
        <f t="shared" si="0"/>
        <v>45107</v>
      </c>
      <c r="P4" s="121">
        <f t="shared" si="0"/>
        <v>45473</v>
      </c>
      <c r="Q4" s="121">
        <f t="shared" si="0"/>
        <v>45838</v>
      </c>
      <c r="R4" s="121">
        <f t="shared" si="0"/>
        <v>46203</v>
      </c>
      <c r="S4" s="121">
        <f t="shared" si="0"/>
        <v>46568</v>
      </c>
      <c r="T4" s="121">
        <f t="shared" si="0"/>
        <v>46934</v>
      </c>
    </row>
    <row r="5" spans="1:20">
      <c r="B5" s="117" t="s">
        <v>100</v>
      </c>
      <c r="C5" s="117"/>
      <c r="D5" s="117"/>
      <c r="E5" s="117"/>
      <c r="F5" s="117"/>
      <c r="G5" s="117"/>
      <c r="H5" s="117"/>
      <c r="I5" s="117"/>
      <c r="J5" s="120">
        <f t="shared" ref="J5:T5" si="1">YEAR(J8)</f>
        <v>2018</v>
      </c>
      <c r="K5" s="120">
        <f t="shared" si="1"/>
        <v>2019</v>
      </c>
      <c r="L5" s="120">
        <f t="shared" si="1"/>
        <v>2020</v>
      </c>
      <c r="M5" s="120">
        <f t="shared" si="1"/>
        <v>2021</v>
      </c>
      <c r="N5" s="120">
        <f t="shared" si="1"/>
        <v>2022</v>
      </c>
      <c r="O5" s="120">
        <f t="shared" si="1"/>
        <v>2023</v>
      </c>
      <c r="P5" s="120">
        <f t="shared" si="1"/>
        <v>2024</v>
      </c>
      <c r="Q5" s="120">
        <f t="shared" si="1"/>
        <v>2025</v>
      </c>
      <c r="R5" s="120">
        <f t="shared" si="1"/>
        <v>2026</v>
      </c>
      <c r="S5" s="120">
        <f t="shared" si="1"/>
        <v>2027</v>
      </c>
      <c r="T5" s="120">
        <f t="shared" si="1"/>
        <v>2028</v>
      </c>
    </row>
    <row r="6" spans="1:20">
      <c r="B6" s="113" t="s">
        <v>91</v>
      </c>
      <c r="C6" s="113"/>
      <c r="D6" s="113"/>
      <c r="E6" s="113"/>
      <c r="F6" s="113"/>
      <c r="G6" s="113"/>
      <c r="H6" s="113"/>
      <c r="I6" s="113"/>
      <c r="J6" s="115" t="str">
        <f t="shared" ref="J6:T6" si="2">IF(J$17,"Actual","Forecast")</f>
        <v>Actual</v>
      </c>
      <c r="K6" s="115" t="str">
        <f t="shared" si="2"/>
        <v>Actual</v>
      </c>
      <c r="L6" s="115" t="str">
        <f t="shared" si="2"/>
        <v>Actual</v>
      </c>
      <c r="M6" s="115" t="str">
        <f t="shared" si="2"/>
        <v>Actual</v>
      </c>
      <c r="N6" s="115" t="str">
        <f t="shared" si="2"/>
        <v>Forecast</v>
      </c>
      <c r="O6" s="114" t="str">
        <f t="shared" si="2"/>
        <v>Forecast</v>
      </c>
      <c r="P6" s="114" t="str">
        <f t="shared" si="2"/>
        <v>Forecast</v>
      </c>
      <c r="Q6" s="114" t="str">
        <f t="shared" si="2"/>
        <v>Forecast</v>
      </c>
      <c r="R6" s="114" t="str">
        <f t="shared" si="2"/>
        <v>Forecast</v>
      </c>
      <c r="S6" s="114" t="str">
        <f t="shared" si="2"/>
        <v>Forecast</v>
      </c>
      <c r="T6" s="114" t="str">
        <f t="shared" si="2"/>
        <v>Forecast</v>
      </c>
    </row>
    <row r="7" spans="1:20" hidden="1" outlineLevel="3">
      <c r="B7" s="30" t="s">
        <v>101</v>
      </c>
      <c r="C7" s="30"/>
      <c r="D7" s="30"/>
      <c r="E7" s="30"/>
      <c r="F7" s="30"/>
      <c r="G7" s="30"/>
      <c r="H7" s="30"/>
      <c r="I7" s="30"/>
      <c r="J7" s="36">
        <f>EDATE(Ts_Start_Date,(J10-1)*Ts_Mths_In_Yr)</f>
        <v>43101</v>
      </c>
      <c r="K7" s="36">
        <f>EDATE(Ts_Start_Date,(K10-1)*Ts_Mths_In_Yr)</f>
        <v>43466</v>
      </c>
      <c r="L7" s="36">
        <f>EDATE(Ts_Start_Date,(L10-1)*Ts_Mths_In_Yr)</f>
        <v>43831</v>
      </c>
      <c r="M7" s="36">
        <f>EDATE(Ts_Start_Date,(M10-1)*Ts_Mths_In_Yr)</f>
        <v>44197</v>
      </c>
      <c r="N7" s="36">
        <f>EDATE(Ts_Start_Date,(N10-1)*Ts_Mths_In_Yr)</f>
        <v>44562</v>
      </c>
      <c r="O7" s="36">
        <f>Ts_Stub_Start_Date</f>
        <v>44927</v>
      </c>
      <c r="P7" s="36">
        <f>EDATE(Ts_Forecast_Reg_Start_Date,(P16-1)*Ts_Mths_In_Yr)</f>
        <v>45108</v>
      </c>
      <c r="Q7" s="36">
        <f>EDATE(Ts_Forecast_Reg_Start_Date,(Q16-1)*Ts_Mths_In_Yr)</f>
        <v>45474</v>
      </c>
      <c r="R7" s="36">
        <f>EDATE(Ts_Forecast_Reg_Start_Date,(R16-1)*Ts_Mths_In_Yr)</f>
        <v>45839</v>
      </c>
      <c r="S7" s="36">
        <f>EDATE(Ts_Forecast_Reg_Start_Date,(S16-1)*Ts_Mths_In_Yr)</f>
        <v>46204</v>
      </c>
      <c r="T7" s="36">
        <f>EDATE(Ts_Forecast_Reg_Start_Date,(T16-1)*Ts_Mths_In_Yr)</f>
        <v>46569</v>
      </c>
    </row>
    <row r="8" spans="1:20" hidden="1" outlineLevel="3">
      <c r="B8" s="30" t="s">
        <v>102</v>
      </c>
      <c r="C8" s="30"/>
      <c r="D8" s="30"/>
      <c r="E8" s="30"/>
      <c r="F8" s="30"/>
      <c r="G8" s="30"/>
      <c r="H8" s="30"/>
      <c r="I8" s="30"/>
      <c r="J8" s="36">
        <f>EOMONTH(J7,Ts_Mths_In_Yr-1)</f>
        <v>43465</v>
      </c>
      <c r="K8" s="36">
        <f>EOMONTH(K7,Ts_Mths_In_Yr-1)</f>
        <v>43830</v>
      </c>
      <c r="L8" s="36">
        <f>EOMONTH(L7,Ts_Mths_In_Yr-1)</f>
        <v>44196</v>
      </c>
      <c r="M8" s="36">
        <f>EOMONTH(M7,Ts_Mths_In_Yr-1)</f>
        <v>44561</v>
      </c>
      <c r="N8" s="36">
        <f>EOMONTH(N7,Ts_Mths_In_Yr-1)</f>
        <v>44926</v>
      </c>
      <c r="O8" s="36">
        <f>EOMONTH(O7,Ts_Stub_Length-1)</f>
        <v>45107</v>
      </c>
      <c r="P8" s="36">
        <f>EOMONTH(P7,Ts_Mths_In_Yr-1)</f>
        <v>45473</v>
      </c>
      <c r="Q8" s="36">
        <f>EOMONTH(Q7,Ts_Mths_In_Yr-1)</f>
        <v>45838</v>
      </c>
      <c r="R8" s="36">
        <f>EOMONTH(R7,Ts_Mths_In_Yr-1)</f>
        <v>46203</v>
      </c>
      <c r="S8" s="36">
        <f>EOMONTH(S7,Ts_Mths_In_Yr-1)</f>
        <v>46568</v>
      </c>
      <c r="T8" s="36">
        <f>EOMONTH(T7,Ts_Mths_In_Yr-1)</f>
        <v>46934</v>
      </c>
    </row>
    <row r="9" spans="1:20" hidden="1" outlineLevel="3">
      <c r="B9" s="30" t="s">
        <v>87</v>
      </c>
      <c r="C9" s="30"/>
      <c r="D9" s="30"/>
      <c r="E9" s="30"/>
      <c r="F9" s="30"/>
      <c r="G9" s="30"/>
      <c r="H9" s="30"/>
      <c r="I9" s="30"/>
      <c r="J9" s="14">
        <f t="shared" ref="J9:T9" si="3">DATEDIF(J7,J8,"m")+1</f>
        <v>12</v>
      </c>
      <c r="K9" s="14">
        <f t="shared" si="3"/>
        <v>12</v>
      </c>
      <c r="L9" s="14">
        <f t="shared" si="3"/>
        <v>12</v>
      </c>
      <c r="M9" s="14">
        <f t="shared" si="3"/>
        <v>12</v>
      </c>
      <c r="N9" s="14">
        <f t="shared" si="3"/>
        <v>12</v>
      </c>
      <c r="O9" s="14">
        <f t="shared" si="3"/>
        <v>6</v>
      </c>
      <c r="P9" s="38">
        <f t="shared" si="3"/>
        <v>12</v>
      </c>
      <c r="Q9" s="38">
        <f t="shared" si="3"/>
        <v>12</v>
      </c>
      <c r="R9" s="38">
        <f t="shared" si="3"/>
        <v>12</v>
      </c>
      <c r="S9" s="38">
        <f t="shared" si="3"/>
        <v>12</v>
      </c>
      <c r="T9" s="38">
        <f t="shared" si="3"/>
        <v>12</v>
      </c>
    </row>
    <row r="10" spans="1:20" hidden="1" outlineLevel="3">
      <c r="B10" s="30" t="s">
        <v>72</v>
      </c>
      <c r="C10" s="30"/>
      <c r="D10" s="30"/>
      <c r="E10" s="30"/>
      <c r="F10" s="30"/>
      <c r="G10" s="30"/>
      <c r="H10" s="30"/>
      <c r="I10" s="30"/>
      <c r="J10" s="40">
        <f>COLUMNS($J$10:J10)</f>
        <v>1</v>
      </c>
      <c r="K10" s="40">
        <f>COLUMNS($J$10:K10)</f>
        <v>2</v>
      </c>
      <c r="L10" s="40">
        <f>COLUMNS($J$10:L10)</f>
        <v>3</v>
      </c>
      <c r="M10" s="40">
        <f>COLUMNS($J$10:M10)</f>
        <v>4</v>
      </c>
      <c r="N10" s="40">
        <f>COLUMNS($J$10:N10)</f>
        <v>5</v>
      </c>
      <c r="O10" s="40">
        <f>COLUMNS($J$10:O10)</f>
        <v>6</v>
      </c>
      <c r="P10" s="40">
        <f>COLUMNS($J$10:P10)</f>
        <v>7</v>
      </c>
      <c r="Q10" s="40">
        <f>COLUMNS($J$10:Q10)</f>
        <v>8</v>
      </c>
      <c r="R10" s="40">
        <f>COLUMNS($J$10:R10)</f>
        <v>9</v>
      </c>
      <c r="S10" s="40">
        <f>COLUMNS($J$10:S10)</f>
        <v>10</v>
      </c>
      <c r="T10" s="40">
        <f>COLUMNS($J$10:T10)</f>
        <v>11</v>
      </c>
    </row>
    <row r="11" spans="1:20" hidden="1" outlineLevel="3">
      <c r="B11" s="30" t="s">
        <v>76</v>
      </c>
      <c r="C11" s="30"/>
      <c r="D11" s="30"/>
      <c r="E11" s="30"/>
      <c r="F11" s="30"/>
      <c r="G11" s="30"/>
      <c r="H11" s="30"/>
      <c r="I11" s="30"/>
      <c r="J11" s="40">
        <f>(J12&lt;&gt;0)*1</f>
        <v>1</v>
      </c>
      <c r="K11" s="40">
        <f>(K12&lt;&gt;0)*1</f>
        <v>1</v>
      </c>
      <c r="L11" s="40">
        <f>(L12&lt;&gt;0)*1</f>
        <v>1</v>
      </c>
      <c r="M11" s="40">
        <f>(M12&lt;&gt;0)*1</f>
        <v>1</v>
      </c>
      <c r="N11" s="40">
        <f>(N12&lt;&gt;0)*1</f>
        <v>1</v>
      </c>
      <c r="O11" s="45">
        <v>0</v>
      </c>
      <c r="P11" s="45">
        <v>0</v>
      </c>
      <c r="Q11" s="45">
        <v>0</v>
      </c>
      <c r="R11" s="45">
        <v>0</v>
      </c>
      <c r="S11" s="45">
        <v>0</v>
      </c>
      <c r="T11" s="45">
        <v>0</v>
      </c>
    </row>
    <row r="12" spans="1:20" hidden="1" outlineLevel="3">
      <c r="B12" s="30" t="s">
        <v>96</v>
      </c>
      <c r="C12" s="30"/>
      <c r="D12" s="30"/>
      <c r="E12" s="30"/>
      <c r="F12" s="30"/>
      <c r="G12" s="30"/>
      <c r="H12" s="30"/>
      <c r="I12" s="30"/>
      <c r="J12" s="40">
        <f>COLUMNS($J$10:J10)</f>
        <v>1</v>
      </c>
      <c r="K12" s="40">
        <f>COLUMNS($J$10:K10)</f>
        <v>2</v>
      </c>
      <c r="L12" s="40">
        <f>COLUMNS($J$10:L10)</f>
        <v>3</v>
      </c>
      <c r="M12" s="40">
        <f>COLUMNS($J$10:M10)</f>
        <v>4</v>
      </c>
      <c r="N12" s="40">
        <f>COLUMNS($J$10:N10)</f>
        <v>5</v>
      </c>
      <c r="O12" s="45">
        <v>0</v>
      </c>
      <c r="P12" s="45">
        <v>0</v>
      </c>
      <c r="Q12" s="45">
        <v>0</v>
      </c>
      <c r="R12" s="45">
        <v>0</v>
      </c>
      <c r="S12" s="45">
        <v>0</v>
      </c>
      <c r="T12" s="45">
        <v>0</v>
      </c>
    </row>
    <row r="13" spans="1:20" hidden="1" outlineLevel="3">
      <c r="B13" s="30" t="s">
        <v>79</v>
      </c>
      <c r="C13" s="30"/>
      <c r="D13" s="30"/>
      <c r="E13" s="30"/>
      <c r="F13" s="30"/>
      <c r="G13" s="30"/>
      <c r="H13" s="30"/>
      <c r="I13" s="30"/>
      <c r="J13" s="45">
        <v>0</v>
      </c>
      <c r="K13" s="45">
        <v>0</v>
      </c>
      <c r="L13" s="45">
        <v>0</v>
      </c>
      <c r="M13" s="45">
        <v>0</v>
      </c>
      <c r="N13" s="45">
        <v>0</v>
      </c>
      <c r="O13" s="40">
        <f>(O14&lt;&gt;0)*1</f>
        <v>1</v>
      </c>
      <c r="P13" s="45">
        <v>0</v>
      </c>
      <c r="Q13" s="45">
        <v>0</v>
      </c>
      <c r="R13" s="45">
        <v>0</v>
      </c>
      <c r="S13" s="45">
        <v>0</v>
      </c>
      <c r="T13" s="45">
        <v>0</v>
      </c>
    </row>
    <row r="14" spans="1:20" hidden="1" outlineLevel="3">
      <c r="B14" s="30" t="s">
        <v>97</v>
      </c>
      <c r="C14" s="30"/>
      <c r="D14" s="30"/>
      <c r="E14" s="30"/>
      <c r="F14" s="30"/>
      <c r="G14" s="30"/>
      <c r="H14" s="30"/>
      <c r="I14" s="30"/>
      <c r="J14" s="45">
        <v>0</v>
      </c>
      <c r="K14" s="45">
        <v>0</v>
      </c>
      <c r="L14" s="45">
        <v>0</v>
      </c>
      <c r="M14" s="45">
        <v>0</v>
      </c>
      <c r="N14" s="45">
        <v>0</v>
      </c>
      <c r="O14" s="40">
        <f>COLUMNS($O$14:O14)</f>
        <v>1</v>
      </c>
      <c r="P14" s="45">
        <v>0</v>
      </c>
      <c r="Q14" s="45">
        <v>0</v>
      </c>
      <c r="R14" s="45">
        <v>0</v>
      </c>
      <c r="S14" s="45">
        <v>0</v>
      </c>
      <c r="T14" s="45">
        <v>0</v>
      </c>
    </row>
    <row r="15" spans="1:20" hidden="1" outlineLevel="3">
      <c r="B15" s="30" t="s">
        <v>82</v>
      </c>
      <c r="C15" s="30"/>
      <c r="D15" s="30"/>
      <c r="E15" s="30"/>
      <c r="F15" s="30"/>
      <c r="G15" s="30"/>
      <c r="H15" s="30"/>
      <c r="I15" s="30"/>
      <c r="J15" s="45">
        <v>0</v>
      </c>
      <c r="K15" s="45">
        <v>0</v>
      </c>
      <c r="L15" s="45">
        <v>0</v>
      </c>
      <c r="M15" s="45">
        <v>0</v>
      </c>
      <c r="N15" s="45">
        <v>0</v>
      </c>
      <c r="O15" s="45">
        <v>0</v>
      </c>
      <c r="P15" s="39">
        <f>(P16&lt;&gt;0)*1</f>
        <v>1</v>
      </c>
      <c r="Q15" s="39">
        <f>(Q16&lt;&gt;0)*1</f>
        <v>1</v>
      </c>
      <c r="R15" s="39">
        <f>(R16&lt;&gt;0)*1</f>
        <v>1</v>
      </c>
      <c r="S15" s="39">
        <f>(S16&lt;&gt;0)*1</f>
        <v>1</v>
      </c>
      <c r="T15" s="39">
        <f>(T16&lt;&gt;0)*1</f>
        <v>1</v>
      </c>
    </row>
    <row r="16" spans="1:20" hidden="1" outlineLevel="3">
      <c r="B16" s="30" t="s">
        <v>98</v>
      </c>
      <c r="C16" s="30"/>
      <c r="D16" s="30"/>
      <c r="E16" s="30"/>
      <c r="F16" s="30"/>
      <c r="G16" s="30"/>
      <c r="H16" s="30"/>
      <c r="I16" s="30"/>
      <c r="J16" s="45">
        <v>0</v>
      </c>
      <c r="K16" s="45">
        <v>0</v>
      </c>
      <c r="L16" s="45">
        <v>0</v>
      </c>
      <c r="M16" s="45">
        <v>0</v>
      </c>
      <c r="N16" s="45">
        <v>0</v>
      </c>
      <c r="O16" s="45">
        <v>0</v>
      </c>
      <c r="P16" s="39">
        <f>COLUMNS($P$16:P16)</f>
        <v>1</v>
      </c>
      <c r="Q16" s="39">
        <f>COLUMNS($P$16:Q16)</f>
        <v>2</v>
      </c>
      <c r="R16" s="39">
        <f>COLUMNS($P$16:R16)</f>
        <v>3</v>
      </c>
      <c r="S16" s="39">
        <f>COLUMNS($P$16:S16)</f>
        <v>4</v>
      </c>
      <c r="T16" s="39">
        <f>COLUMNS($P$16:T16)</f>
        <v>5</v>
      </c>
    </row>
    <row r="17" spans="2:20" hidden="1" outlineLevel="3">
      <c r="B17" s="30" t="s">
        <v>206</v>
      </c>
      <c r="C17" s="30"/>
      <c r="D17" s="30"/>
      <c r="E17" s="30"/>
      <c r="F17" s="30"/>
      <c r="G17" s="30"/>
      <c r="H17" s="30"/>
      <c r="I17" s="30"/>
      <c r="J17" s="39">
        <f t="shared" ref="J17:T17" si="4">IF(J$5&lt;=Ts_Last_Actual_Year,1,0)</f>
        <v>1</v>
      </c>
      <c r="K17" s="39">
        <f t="shared" si="4"/>
        <v>1</v>
      </c>
      <c r="L17" s="39">
        <f t="shared" si="4"/>
        <v>1</v>
      </c>
      <c r="M17" s="39">
        <f t="shared" si="4"/>
        <v>1</v>
      </c>
      <c r="N17" s="39">
        <f t="shared" si="4"/>
        <v>0</v>
      </c>
      <c r="O17" s="39">
        <f t="shared" si="4"/>
        <v>0</v>
      </c>
      <c r="P17" s="39">
        <f t="shared" si="4"/>
        <v>0</v>
      </c>
      <c r="Q17" s="39">
        <f t="shared" si="4"/>
        <v>0</v>
      </c>
      <c r="R17" s="39">
        <f t="shared" si="4"/>
        <v>0</v>
      </c>
      <c r="S17" s="39">
        <f t="shared" si="4"/>
        <v>0</v>
      </c>
      <c r="T17" s="39">
        <f t="shared" si="4"/>
        <v>0</v>
      </c>
    </row>
    <row r="18" spans="2:20" hidden="1" outlineLevel="3">
      <c r="B18" s="30" t="s">
        <v>207</v>
      </c>
      <c r="C18" s="30"/>
      <c r="D18" s="30"/>
      <c r="E18" s="30"/>
      <c r="F18" s="30"/>
      <c r="G18" s="30"/>
      <c r="H18" s="30"/>
      <c r="I18" s="30"/>
      <c r="J18" s="39">
        <f t="shared" ref="J18:T18" si="5">IF(J$5&gt;Ts_Last_Actual_Year,1,0)</f>
        <v>0</v>
      </c>
      <c r="K18" s="39">
        <f t="shared" si="5"/>
        <v>0</v>
      </c>
      <c r="L18" s="39">
        <f t="shared" si="5"/>
        <v>0</v>
      </c>
      <c r="M18" s="39">
        <f t="shared" si="5"/>
        <v>0</v>
      </c>
      <c r="N18" s="39">
        <f t="shared" si="5"/>
        <v>1</v>
      </c>
      <c r="O18" s="40">
        <f t="shared" si="5"/>
        <v>1</v>
      </c>
      <c r="P18" s="40">
        <f t="shared" si="5"/>
        <v>1</v>
      </c>
      <c r="Q18" s="40">
        <f t="shared" si="5"/>
        <v>1</v>
      </c>
      <c r="R18" s="40">
        <f t="shared" si="5"/>
        <v>1</v>
      </c>
      <c r="S18" s="40">
        <f t="shared" si="5"/>
        <v>1</v>
      </c>
      <c r="T18" s="40">
        <f t="shared" si="5"/>
        <v>1</v>
      </c>
    </row>
    <row r="19" spans="2:20" hidden="1" outlineLevel="3">
      <c r="B19" s="30" t="s">
        <v>208</v>
      </c>
      <c r="C19" s="30"/>
      <c r="D19" s="30"/>
      <c r="E19" s="30"/>
      <c r="F19" s="30"/>
      <c r="G19" s="30"/>
      <c r="H19" s="30"/>
      <c r="I19" s="30"/>
      <c r="J19" s="39">
        <f>SUM($J18:J18)</f>
        <v>0</v>
      </c>
      <c r="K19" s="39">
        <f>SUM($J18:K18)</f>
        <v>0</v>
      </c>
      <c r="L19" s="39">
        <f>SUM($J18:L18)</f>
        <v>0</v>
      </c>
      <c r="M19" s="39">
        <f>SUM($J18:M18)</f>
        <v>0</v>
      </c>
      <c r="N19" s="39">
        <f>SUM($J18:N18)</f>
        <v>1</v>
      </c>
      <c r="O19" s="40">
        <f>SUM($J18:O18)</f>
        <v>2</v>
      </c>
      <c r="P19" s="40">
        <f>SUM($J18:P18)</f>
        <v>3</v>
      </c>
      <c r="Q19" s="40">
        <f>SUM($J18:Q18)</f>
        <v>4</v>
      </c>
      <c r="R19" s="40">
        <f>SUM($J18:R18)</f>
        <v>5</v>
      </c>
      <c r="S19" s="40">
        <f>SUM($J18:S18)</f>
        <v>6</v>
      </c>
      <c r="T19" s="40">
        <f>SUM($J18:T18)</f>
        <v>7</v>
      </c>
    </row>
    <row r="20" spans="2:20" hidden="1" outlineLevel="3">
      <c r="B20" s="30" t="s">
        <v>481</v>
      </c>
      <c r="C20" s="30"/>
      <c r="D20" s="30"/>
      <c r="E20" s="30"/>
      <c r="F20" s="30"/>
      <c r="G20" s="30"/>
      <c r="H20" s="30"/>
      <c r="I20" s="30"/>
      <c r="J20" s="38">
        <f t="shared" ref="J20:N20" si="6">J9/12</f>
        <v>1</v>
      </c>
      <c r="K20" s="38">
        <f t="shared" si="6"/>
        <v>1</v>
      </c>
      <c r="L20" s="38">
        <f t="shared" si="6"/>
        <v>1</v>
      </c>
      <c r="M20" s="38">
        <f t="shared" si="6"/>
        <v>1</v>
      </c>
      <c r="N20" s="38">
        <f t="shared" si="6"/>
        <v>1</v>
      </c>
      <c r="O20" s="38">
        <f>O9/12</f>
        <v>0.5</v>
      </c>
      <c r="P20" s="38">
        <f t="shared" ref="P20:T20" si="7">P9/12</f>
        <v>1</v>
      </c>
      <c r="Q20" s="38">
        <f t="shared" si="7"/>
        <v>1</v>
      </c>
      <c r="R20" s="38">
        <f t="shared" si="7"/>
        <v>1</v>
      </c>
      <c r="S20" s="38">
        <f t="shared" si="7"/>
        <v>1</v>
      </c>
      <c r="T20" s="38">
        <f t="shared" si="7"/>
        <v>1</v>
      </c>
    </row>
    <row r="21" spans="2:20" hidden="1" outlineLevel="3">
      <c r="B21" s="30"/>
      <c r="C21" s="30"/>
      <c r="D21" s="30"/>
      <c r="E21" s="30"/>
      <c r="F21" s="30"/>
      <c r="G21" s="30"/>
      <c r="H21" s="30"/>
      <c r="I21" s="30"/>
      <c r="J21" s="30"/>
      <c r="K21" s="30"/>
      <c r="L21" s="30"/>
      <c r="M21" s="30"/>
      <c r="N21" s="30"/>
      <c r="O21" s="30"/>
      <c r="P21" s="30"/>
      <c r="Q21" s="30"/>
      <c r="R21" s="30"/>
      <c r="S21" s="30"/>
      <c r="T21" s="30"/>
    </row>
    <row r="22" spans="2:20" collapsed="1"/>
    <row r="23" spans="2:20" ht="14">
      <c r="B23" s="110" t="s">
        <v>262</v>
      </c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</row>
    <row r="24" spans="2:20" ht="5.9" customHeight="1"/>
    <row r="25" spans="2:20" ht="14">
      <c r="B25" s="56" t="str">
        <f>GC!F26</f>
        <v>Residential Connections</v>
      </c>
    </row>
    <row r="26" spans="2:20" ht="5.9" customHeight="1" outlineLevel="1"/>
    <row r="27" spans="2:20" hidden="1" outlineLevel="2">
      <c r="C27" s="37" t="s">
        <v>204</v>
      </c>
    </row>
    <row r="28" spans="2:20" ht="5.9" hidden="1" customHeight="1" outlineLevel="2"/>
    <row r="29" spans="2:20" hidden="1" outlineLevel="2">
      <c r="D29" s="51" t="s">
        <v>103</v>
      </c>
      <c r="J29" s="92">
        <f>Rates!J42</f>
        <v>1</v>
      </c>
      <c r="K29" s="92">
        <f>Rates!K42</f>
        <v>1</v>
      </c>
      <c r="L29" s="92">
        <f>Rates!L42</f>
        <v>1</v>
      </c>
      <c r="M29" s="92">
        <f>Rates!M42</f>
        <v>1</v>
      </c>
      <c r="N29" s="92">
        <f>Rates!N42</f>
        <v>1</v>
      </c>
      <c r="O29" s="92">
        <f>Rates!O42</f>
        <v>1.0051959235721353</v>
      </c>
      <c r="P29" s="92">
        <f>Rates!P42</f>
        <v>1.0102301741405761</v>
      </c>
      <c r="Q29" s="92">
        <f>Rates!Q42</f>
        <v>1.0181072873442809</v>
      </c>
      <c r="R29" s="92">
        <f>Rates!R42</f>
        <v>1.0293150686557422</v>
      </c>
      <c r="S29" s="92">
        <f>Rates!S42</f>
        <v>1.040646230246951</v>
      </c>
      <c r="T29" s="92">
        <f>Rates!T42</f>
        <v>1.0521021303433229</v>
      </c>
    </row>
    <row r="30" spans="2:20" hidden="1" outlineLevel="2">
      <c r="D30" s="51" t="s">
        <v>104</v>
      </c>
      <c r="J30" s="92">
        <f>Rates!J43</f>
        <v>1</v>
      </c>
      <c r="K30" s="92">
        <f>Rates!K43</f>
        <v>1</v>
      </c>
      <c r="L30" s="92">
        <f>Rates!L43</f>
        <v>1</v>
      </c>
      <c r="M30" s="92">
        <f>Rates!M43</f>
        <v>1</v>
      </c>
      <c r="N30" s="92">
        <f>Rates!N43</f>
        <v>1</v>
      </c>
      <c r="O30" s="92">
        <f>Rates!O43</f>
        <v>1</v>
      </c>
      <c r="P30" s="92">
        <f>Rates!P43</f>
        <v>1</v>
      </c>
      <c r="Q30" s="92">
        <f>Rates!Q43</f>
        <v>1</v>
      </c>
      <c r="R30" s="92">
        <f>Rates!R43</f>
        <v>1</v>
      </c>
      <c r="S30" s="92">
        <f>Rates!S43</f>
        <v>1</v>
      </c>
      <c r="T30" s="92">
        <f>Rates!T43</f>
        <v>1</v>
      </c>
    </row>
    <row r="31" spans="2:20" hidden="1" outlineLevel="2">
      <c r="D31" s="51" t="s">
        <v>130</v>
      </c>
      <c r="J31" s="92">
        <f>Rates!J45</f>
        <v>1</v>
      </c>
      <c r="K31" s="92">
        <f>Rates!K45</f>
        <v>1</v>
      </c>
      <c r="L31" s="92">
        <f>Rates!L45</f>
        <v>1</v>
      </c>
      <c r="M31" s="92">
        <f>Rates!M45</f>
        <v>1</v>
      </c>
      <c r="N31" s="92">
        <f>Rates!N45</f>
        <v>1</v>
      </c>
      <c r="O31" s="92">
        <f>Rates!O45</f>
        <v>1</v>
      </c>
      <c r="P31" s="92">
        <f>Rates!P45</f>
        <v>1</v>
      </c>
      <c r="Q31" s="92">
        <f>Rates!Q45</f>
        <v>1</v>
      </c>
      <c r="R31" s="92">
        <f>Rates!R45</f>
        <v>1</v>
      </c>
      <c r="S31" s="92">
        <f>Rates!S45</f>
        <v>1</v>
      </c>
      <c r="T31" s="92">
        <f>Rates!T45</f>
        <v>1</v>
      </c>
    </row>
    <row r="32" spans="2:20" ht="5.9" hidden="1" customHeight="1" outlineLevel="2"/>
    <row r="33" spans="3:20" hidden="1" outlineLevel="2">
      <c r="C33" s="37" t="s">
        <v>105</v>
      </c>
    </row>
    <row r="34" spans="3:20" ht="5.9" hidden="1" customHeight="1" outlineLevel="2"/>
    <row r="35" spans="3:20" hidden="1" outlineLevel="2">
      <c r="D35" s="51" t="s">
        <v>106</v>
      </c>
      <c r="J35" s="100">
        <f>Rates!J50</f>
        <v>6.9591273870889495E-2</v>
      </c>
      <c r="K35" s="100">
        <f>Rates!K50</f>
        <v>7.3934468928182201E-2</v>
      </c>
      <c r="L35" s="100">
        <f>Rates!L50</f>
        <v>7.5085976469407303E-2</v>
      </c>
      <c r="M35" s="100">
        <f>Rates!M50</f>
        <v>8.0103391005934096E-2</v>
      </c>
      <c r="N35" s="100">
        <f>Rates!N50</f>
        <v>3.7711007382937055E-2</v>
      </c>
      <c r="O35" s="100">
        <f>Rates!O50</f>
        <v>3.3283969054706777E-2</v>
      </c>
      <c r="P35" s="100">
        <f>Rates!P50</f>
        <v>2.6752660513445464E-2</v>
      </c>
      <c r="Q35" s="100">
        <f>Rates!Q50</f>
        <v>2.6060587348993774E-2</v>
      </c>
      <c r="R35" s="100">
        <f>Rates!R50</f>
        <v>2.6873005987587139E-2</v>
      </c>
      <c r="S35" s="100">
        <f>Rates!S50</f>
        <v>2.8546178928104012E-2</v>
      </c>
      <c r="T35" s="100">
        <f>Rates!T50</f>
        <v>2.9920378203686534E-2</v>
      </c>
    </row>
    <row r="36" spans="3:20" hidden="1" outlineLevel="2">
      <c r="D36" s="51" t="s">
        <v>107</v>
      </c>
      <c r="J36" s="100">
        <f>Rates!J51</f>
        <v>5.5842732834613398E-2</v>
      </c>
      <c r="K36" s="100">
        <f>Rates!K51</f>
        <v>5.16564294790849E-2</v>
      </c>
      <c r="L36" s="100">
        <f>Rates!L51</f>
        <v>6.0535031919173997E-2</v>
      </c>
      <c r="M36" s="100">
        <f>Rates!M51</f>
        <v>7.1630695797579302E-2</v>
      </c>
      <c r="N36" s="100">
        <f>Rates!N51</f>
        <v>7.4343858126268231E-2</v>
      </c>
      <c r="O36" s="100">
        <f>Rates!O51</f>
        <v>7.4059082290758096E-2</v>
      </c>
      <c r="P36" s="100">
        <f>Rates!P51</f>
        <v>2.4388539961794877E-2</v>
      </c>
      <c r="Q36" s="100">
        <f>Rates!Q51</f>
        <v>2.1171310758207256E-2</v>
      </c>
      <c r="R36" s="100">
        <f>Rates!R51</f>
        <v>2.0024144075344485E-2</v>
      </c>
      <c r="S36" s="100">
        <f>Rates!S51</f>
        <v>3.9620009613577346E-2</v>
      </c>
      <c r="T36" s="100">
        <f>Rates!T51</f>
        <v>5.404914337922874E-2</v>
      </c>
    </row>
    <row r="37" spans="3:20" hidden="1" outlineLevel="2">
      <c r="D37" s="51" t="s">
        <v>108</v>
      </c>
      <c r="J37" s="100">
        <f>Rates!J52</f>
        <v>0</v>
      </c>
      <c r="K37" s="100">
        <f>Rates!K52</f>
        <v>0</v>
      </c>
      <c r="L37" s="100">
        <f>Rates!L52</f>
        <v>0</v>
      </c>
      <c r="M37" s="100">
        <f>Rates!M52</f>
        <v>0</v>
      </c>
      <c r="N37" s="100">
        <f>Rates!N52</f>
        <v>0</v>
      </c>
      <c r="O37" s="100">
        <f>Rates!O52</f>
        <v>0</v>
      </c>
      <c r="P37" s="100">
        <f>Rates!P52</f>
        <v>0</v>
      </c>
      <c r="Q37" s="100">
        <f>Rates!Q52</f>
        <v>0</v>
      </c>
      <c r="R37" s="100">
        <f>Rates!R52</f>
        <v>0</v>
      </c>
      <c r="S37" s="100">
        <f>Rates!S52</f>
        <v>0</v>
      </c>
      <c r="T37" s="100">
        <f>Rates!T52</f>
        <v>0</v>
      </c>
    </row>
    <row r="38" spans="3:20" outlineLevel="1" collapsed="1"/>
    <row r="39" spans="3:20" ht="5.9" customHeight="1" outlineLevel="1"/>
    <row r="40" spans="3:20" outlineLevel="1">
      <c r="C40" s="37" t="s">
        <v>118</v>
      </c>
    </row>
    <row r="41" spans="3:20" ht="5.9" customHeight="1" outlineLevel="1"/>
    <row r="42" spans="3:20" outlineLevel="1">
      <c r="D42" s="37" t="s">
        <v>160</v>
      </c>
      <c r="H42" s="107" t="s">
        <v>192</v>
      </c>
    </row>
    <row r="43" spans="3:20" ht="5.9" customHeight="1" outlineLevel="1"/>
    <row r="44" spans="3:20" outlineLevel="1">
      <c r="D44" s="102" t="str">
        <f>Work_Codes!D358</f>
        <v>Residential Connections</v>
      </c>
      <c r="H44" s="63"/>
      <c r="J44" s="125"/>
      <c r="K44" s="125"/>
      <c r="L44" s="125"/>
      <c r="M44" s="178"/>
      <c r="N44" s="212"/>
      <c r="O44" s="212"/>
      <c r="P44" s="212"/>
      <c r="Q44" s="212"/>
      <c r="R44" s="212"/>
      <c r="S44" s="212"/>
      <c r="T44" s="212"/>
    </row>
    <row r="45" spans="3:20" outlineLevel="1">
      <c r="D45" s="102" t="str">
        <f>Work_Codes!D359</f>
        <v>Residential Connections Category 2</v>
      </c>
      <c r="H45" s="63"/>
      <c r="J45" s="125"/>
      <c r="K45" s="125"/>
      <c r="L45" s="125"/>
      <c r="M45" s="125"/>
      <c r="N45" s="212"/>
      <c r="O45" s="212"/>
      <c r="P45" s="212"/>
      <c r="Q45" s="212"/>
      <c r="R45" s="212"/>
      <c r="S45" s="212"/>
      <c r="T45" s="212"/>
    </row>
    <row r="46" spans="3:20" outlineLevel="1">
      <c r="D46" s="105"/>
      <c r="H46" s="58"/>
      <c r="J46" s="66"/>
      <c r="K46" s="66"/>
      <c r="L46" s="66"/>
      <c r="M46" s="66"/>
      <c r="N46" s="66"/>
      <c r="O46" s="66"/>
      <c r="P46" s="66"/>
      <c r="Q46" s="66"/>
      <c r="R46" s="66"/>
      <c r="S46" s="66"/>
      <c r="T46" s="66"/>
    </row>
    <row r="47" spans="3:20" outlineLevel="1">
      <c r="C47" s="37" t="s">
        <v>119</v>
      </c>
    </row>
    <row r="48" spans="3:20" ht="5.9" customHeight="1" outlineLevel="1"/>
    <row r="49" spans="3:20" outlineLevel="1">
      <c r="D49" s="37" t="str">
        <f>D42</f>
        <v>Capex Category</v>
      </c>
    </row>
    <row r="50" spans="3:20" ht="5.9" customHeight="1" outlineLevel="1"/>
    <row r="51" spans="3:20" outlineLevel="1">
      <c r="D51" s="102" t="str">
        <f>Work_Codes!D358</f>
        <v>Residential Connections</v>
      </c>
      <c r="J51" s="163"/>
      <c r="K51" s="163"/>
      <c r="L51" s="163"/>
      <c r="M51" s="163"/>
      <c r="N51" s="213"/>
      <c r="O51" s="213"/>
      <c r="P51" s="213"/>
      <c r="Q51" s="213"/>
      <c r="R51" s="213"/>
      <c r="S51" s="213"/>
      <c r="T51" s="213"/>
    </row>
    <row r="52" spans="3:20" outlineLevel="1">
      <c r="D52" s="102" t="str">
        <f>Work_Codes!D359</f>
        <v>Residential Connections Category 2</v>
      </c>
      <c r="J52" s="163"/>
      <c r="K52" s="163"/>
      <c r="L52" s="163"/>
      <c r="M52" s="163"/>
      <c r="N52" s="213"/>
      <c r="O52" s="213"/>
      <c r="P52" s="213"/>
      <c r="Q52" s="213"/>
      <c r="R52" s="213"/>
      <c r="S52" s="213"/>
      <c r="T52" s="213"/>
    </row>
    <row r="53" spans="3:20" outlineLevel="1"/>
    <row r="54" spans="3:20" outlineLevel="1">
      <c r="C54" s="37" t="s">
        <v>193</v>
      </c>
    </row>
    <row r="55" spans="3:20" ht="5.9" customHeight="1" outlineLevel="1"/>
    <row r="56" spans="3:20" outlineLevel="1">
      <c r="D56" s="37" t="str">
        <f>D42</f>
        <v>Capex Category</v>
      </c>
    </row>
    <row r="57" spans="3:20" ht="5.9" customHeight="1" outlineLevel="1"/>
    <row r="58" spans="3:20" outlineLevel="1">
      <c r="D58" s="102" t="str">
        <f>Work_Codes!D358</f>
        <v>Residential Connections</v>
      </c>
      <c r="J58" s="81">
        <v>0</v>
      </c>
      <c r="K58" s="81">
        <v>0</v>
      </c>
      <c r="L58" s="81">
        <v>0</v>
      </c>
      <c r="M58" s="81">
        <v>0</v>
      </c>
      <c r="N58" s="81">
        <v>47697854.9240655</v>
      </c>
      <c r="O58" s="81">
        <v>19768212.493932165</v>
      </c>
      <c r="P58" s="81">
        <v>36331050.561231665</v>
      </c>
      <c r="Q58" s="81">
        <v>37465109.860921636</v>
      </c>
      <c r="R58" s="81">
        <v>38571940.11369738</v>
      </c>
      <c r="S58" s="81">
        <v>37627090.462959029</v>
      </c>
      <c r="T58" s="81">
        <v>36646713.541460358</v>
      </c>
    </row>
    <row r="59" spans="3:20" outlineLevel="1">
      <c r="D59" s="102" t="str">
        <f>Work_Codes!D359</f>
        <v>Residential Connections Category 2</v>
      </c>
      <c r="J59" s="81">
        <v>0</v>
      </c>
      <c r="K59" s="81">
        <v>0</v>
      </c>
      <c r="L59" s="81">
        <v>0</v>
      </c>
      <c r="M59" s="81">
        <v>0</v>
      </c>
      <c r="N59" s="81">
        <v>0</v>
      </c>
      <c r="O59" s="81">
        <v>0</v>
      </c>
      <c r="P59" s="81">
        <v>0</v>
      </c>
      <c r="Q59" s="81">
        <v>0</v>
      </c>
      <c r="R59" s="81">
        <v>0</v>
      </c>
      <c r="S59" s="81">
        <v>0</v>
      </c>
      <c r="T59" s="81">
        <v>0</v>
      </c>
    </row>
    <row r="60" spans="3:20" ht="5.9" customHeight="1" outlineLevel="1">
      <c r="D60" s="37"/>
      <c r="J60" s="78"/>
      <c r="K60" s="78"/>
      <c r="L60" s="78"/>
      <c r="M60" s="78"/>
      <c r="N60" s="78"/>
      <c r="O60" s="78"/>
      <c r="P60" s="78"/>
      <c r="Q60" s="78"/>
      <c r="R60" s="78"/>
      <c r="S60" s="78"/>
      <c r="T60" s="78"/>
    </row>
    <row r="61" spans="3:20" outlineLevel="1">
      <c r="D61" s="249" t="str">
        <f>"Total "&amp;B25</f>
        <v>Total Residential Connections</v>
      </c>
      <c r="E61" s="249"/>
      <c r="F61" s="249"/>
      <c r="G61" s="249"/>
      <c r="H61" s="249"/>
      <c r="I61" s="249"/>
      <c r="J61" s="82">
        <f t="shared" ref="J61:T61" si="8">SUM(J58:J60)</f>
        <v>0</v>
      </c>
      <c r="K61" s="82">
        <f t="shared" si="8"/>
        <v>0</v>
      </c>
      <c r="L61" s="82">
        <f t="shared" si="8"/>
        <v>0</v>
      </c>
      <c r="M61" s="82">
        <f t="shared" si="8"/>
        <v>0</v>
      </c>
      <c r="N61" s="82">
        <f t="shared" si="8"/>
        <v>47697854.9240655</v>
      </c>
      <c r="O61" s="82">
        <f t="shared" si="8"/>
        <v>19768212.493932165</v>
      </c>
      <c r="P61" s="82">
        <f t="shared" si="8"/>
        <v>36331050.561231665</v>
      </c>
      <c r="Q61" s="82">
        <f t="shared" si="8"/>
        <v>37465109.860921636</v>
      </c>
      <c r="R61" s="82">
        <f t="shared" si="8"/>
        <v>38571940.11369738</v>
      </c>
      <c r="S61" s="82">
        <f t="shared" si="8"/>
        <v>37627090.462959029</v>
      </c>
      <c r="T61" s="82">
        <f t="shared" si="8"/>
        <v>36646713.541460358</v>
      </c>
    </row>
    <row r="62" spans="3:20" outlineLevel="1"/>
    <row r="63" spans="3:20" outlineLevel="1">
      <c r="C63" s="37" t="s">
        <v>286</v>
      </c>
    </row>
    <row r="64" spans="3:20" ht="5.9" customHeight="1" outlineLevel="1"/>
    <row r="65" spans="3:20" outlineLevel="1">
      <c r="D65" s="143" t="str">
        <f>Work_Codes!D363</f>
        <v>Shipper: Residential Connections FY21-</v>
      </c>
      <c r="J65" s="148">
        <v>0</v>
      </c>
      <c r="K65" s="148">
        <v>0</v>
      </c>
      <c r="L65" s="148">
        <v>0</v>
      </c>
      <c r="M65" s="148">
        <v>0</v>
      </c>
      <c r="N65" s="156">
        <v>-1626371.8551699999</v>
      </c>
      <c r="O65" s="185">
        <v>-1412874.19</v>
      </c>
      <c r="P65" s="156">
        <v>-2825748.38</v>
      </c>
      <c r="Q65" s="186">
        <v>-2913952.99</v>
      </c>
      <c r="R65" s="186">
        <v>-3000039.79</v>
      </c>
      <c r="S65" s="186">
        <v>-2926551.48</v>
      </c>
      <c r="T65" s="186">
        <v>-2850299.94</v>
      </c>
    </row>
    <row r="66" spans="3:20" outlineLevel="1">
      <c r="D66" s="143" t="str">
        <f>Work_Codes!D364</f>
        <v>Shipper: Residential Connections</v>
      </c>
      <c r="J66" s="148">
        <v>0</v>
      </c>
      <c r="K66" s="148">
        <v>0</v>
      </c>
      <c r="L66" s="148">
        <v>0</v>
      </c>
      <c r="M66" s="148">
        <v>0</v>
      </c>
      <c r="N66" s="156">
        <v>0</v>
      </c>
      <c r="O66" s="156">
        <v>0</v>
      </c>
      <c r="P66" s="186">
        <v>0</v>
      </c>
      <c r="Q66" s="186">
        <v>0</v>
      </c>
      <c r="R66" s="186">
        <v>0</v>
      </c>
      <c r="S66" s="186">
        <v>0</v>
      </c>
      <c r="T66" s="186">
        <v>0</v>
      </c>
    </row>
    <row r="67" spans="3:20" outlineLevel="1">
      <c r="D67" s="143" t="str">
        <f>Work_Codes!D365</f>
        <v>New Estates - Residential</v>
      </c>
      <c r="J67" s="148">
        <v>0</v>
      </c>
      <c r="K67" s="148">
        <v>0</v>
      </c>
      <c r="L67" s="148">
        <v>0</v>
      </c>
      <c r="M67" s="148">
        <v>0</v>
      </c>
      <c r="N67" s="156">
        <v>0</v>
      </c>
      <c r="O67" s="156">
        <v>0</v>
      </c>
      <c r="P67" s="156">
        <v>0</v>
      </c>
      <c r="Q67" s="156">
        <v>0</v>
      </c>
      <c r="R67" s="156">
        <v>0</v>
      </c>
      <c r="S67" s="156">
        <v>0</v>
      </c>
      <c r="T67" s="156">
        <v>0</v>
      </c>
    </row>
    <row r="68" spans="3:20" outlineLevel="1">
      <c r="D68" s="143" t="str">
        <f>Work_Codes!D366</f>
        <v>New Estates - Residential</v>
      </c>
      <c r="J68" s="148">
        <v>0</v>
      </c>
      <c r="K68" s="148">
        <v>0</v>
      </c>
      <c r="L68" s="148">
        <v>0</v>
      </c>
      <c r="M68" s="148">
        <v>0</v>
      </c>
      <c r="N68" s="156">
        <v>0</v>
      </c>
      <c r="O68" s="156">
        <v>0</v>
      </c>
      <c r="P68" s="156">
        <v>0</v>
      </c>
      <c r="Q68" s="156">
        <v>0</v>
      </c>
      <c r="R68" s="156">
        <v>0</v>
      </c>
      <c r="S68" s="156">
        <v>0</v>
      </c>
      <c r="T68" s="156">
        <v>0</v>
      </c>
    </row>
    <row r="69" spans="3:20" outlineLevel="1">
      <c r="D69" s="143" t="str">
        <f>Work_Codes!D367</f>
        <v>New Estates - Residential FY21-</v>
      </c>
      <c r="J69" s="148">
        <v>0</v>
      </c>
      <c r="K69" s="148">
        <v>0</v>
      </c>
      <c r="L69" s="148">
        <v>0</v>
      </c>
      <c r="M69" s="148">
        <v>0</v>
      </c>
      <c r="N69" s="156">
        <v>-1285156.49388</v>
      </c>
      <c r="O69" s="185">
        <v>-504597.92499999999</v>
      </c>
      <c r="P69" s="156">
        <v>-1009195.85</v>
      </c>
      <c r="Q69" s="156">
        <v>-1040697.5</v>
      </c>
      <c r="R69" s="156">
        <v>-1071442.78</v>
      </c>
      <c r="S69" s="156">
        <v>-1045196.96</v>
      </c>
      <c r="T69" s="156">
        <v>-1017964.27</v>
      </c>
    </row>
    <row r="70" spans="3:20" outlineLevel="1">
      <c r="D70" s="143" t="str">
        <f>Work_Codes!D368</f>
        <v>Residential Meter Installs FY21-</v>
      </c>
      <c r="J70" s="148">
        <v>0</v>
      </c>
      <c r="K70" s="148">
        <v>0</v>
      </c>
      <c r="L70" s="148">
        <v>0</v>
      </c>
      <c r="M70" s="148">
        <v>0</v>
      </c>
      <c r="N70" s="156">
        <v>0</v>
      </c>
      <c r="O70" s="156">
        <v>0</v>
      </c>
      <c r="P70" s="156">
        <v>0</v>
      </c>
      <c r="Q70" s="156">
        <v>0</v>
      </c>
      <c r="R70" s="156">
        <v>0</v>
      </c>
      <c r="S70" s="156">
        <v>0</v>
      </c>
      <c r="T70" s="156">
        <v>0</v>
      </c>
    </row>
    <row r="71" spans="3:20" ht="5.9" customHeight="1" outlineLevel="1"/>
    <row r="72" spans="3:20" outlineLevel="1">
      <c r="D72" s="249" t="str">
        <f>"Total "&amp;C63</f>
        <v>Total Customer Connections</v>
      </c>
      <c r="E72" s="249"/>
      <c r="F72" s="249"/>
      <c r="G72" s="249"/>
      <c r="H72" s="249"/>
      <c r="I72" s="249"/>
      <c r="J72" s="82">
        <f t="shared" ref="J72:T72" si="9">SUM(J65:J71)</f>
        <v>0</v>
      </c>
      <c r="K72" s="82">
        <f t="shared" si="9"/>
        <v>0</v>
      </c>
      <c r="L72" s="82">
        <f t="shared" si="9"/>
        <v>0</v>
      </c>
      <c r="M72" s="82">
        <f t="shared" si="9"/>
        <v>0</v>
      </c>
      <c r="N72" s="82">
        <f t="shared" si="9"/>
        <v>-2911528.3490499998</v>
      </c>
      <c r="O72" s="82">
        <f t="shared" si="9"/>
        <v>-1917472.115</v>
      </c>
      <c r="P72" s="82">
        <f t="shared" si="9"/>
        <v>-3834944.23</v>
      </c>
      <c r="Q72" s="82">
        <f t="shared" si="9"/>
        <v>-3954650.49</v>
      </c>
      <c r="R72" s="82">
        <f t="shared" si="9"/>
        <v>-4071482.5700000003</v>
      </c>
      <c r="S72" s="82">
        <f t="shared" si="9"/>
        <v>-3971748.44</v>
      </c>
      <c r="T72" s="82">
        <f t="shared" si="9"/>
        <v>-3868264.21</v>
      </c>
    </row>
    <row r="73" spans="3:20" outlineLevel="1">
      <c r="C73" s="12"/>
      <c r="D73" s="12"/>
      <c r="E73" s="12"/>
      <c r="F73" s="12"/>
      <c r="G73" s="12"/>
      <c r="H73" s="12"/>
      <c r="I73" s="12"/>
      <c r="J73" s="12"/>
      <c r="K73" s="12"/>
      <c r="L73" s="12"/>
      <c r="M73" s="12"/>
      <c r="N73" s="12"/>
      <c r="O73" s="12"/>
      <c r="P73" s="12"/>
      <c r="Q73" s="12"/>
      <c r="R73" s="12"/>
      <c r="S73" s="12"/>
      <c r="T73" s="12"/>
    </row>
    <row r="74" spans="3:20" outlineLevel="1"/>
    <row r="75" spans="3:20" outlineLevel="1">
      <c r="C75" s="37" t="s">
        <v>213</v>
      </c>
    </row>
    <row r="76" spans="3:20" ht="5.9" customHeight="1" outlineLevel="2"/>
    <row r="77" spans="3:20" outlineLevel="2">
      <c r="C77" s="37" t="s">
        <v>128</v>
      </c>
    </row>
    <row r="78" spans="3:20" ht="5.9" customHeight="1" outlineLevel="2"/>
    <row r="79" spans="3:20" outlineLevel="2">
      <c r="D79" s="102" t="str">
        <f>Work_Codes!D358</f>
        <v>Residential Connections</v>
      </c>
      <c r="J79" s="81">
        <f>Work_Codes!$I358*J58*J$29</f>
        <v>0</v>
      </c>
      <c r="K79" s="81">
        <f>Work_Codes!$I358*K58*K$29</f>
        <v>0</v>
      </c>
      <c r="L79" s="81">
        <f>Work_Codes!$I358*L58*L$29</f>
        <v>0</v>
      </c>
      <c r="M79" s="81">
        <f>Work_Codes!$I358*M58*M$29</f>
        <v>0</v>
      </c>
      <c r="N79" s="81">
        <f>Work_Codes!$I358*N58*N$29</f>
        <v>1907914.1969626201</v>
      </c>
      <c r="O79" s="81">
        <f>Work_Codes!$I358*O58*O$29</f>
        <v>794837.06460833468</v>
      </c>
      <c r="P79" s="81">
        <f>Work_Codes!$I358*P58*P$29</f>
        <v>1468108.9414073257</v>
      </c>
      <c r="Q79" s="81">
        <f>Work_Codes!$I358*Q58*Q$29</f>
        <v>1525740.054822336</v>
      </c>
      <c r="R79" s="81">
        <f>Work_Codes!$I358*R58*R$29</f>
        <v>1588107.1674526238</v>
      </c>
      <c r="S79" s="81">
        <f>Work_Codes!$I358*S58*S$29</f>
        <v>1566259.5938175726</v>
      </c>
      <c r="T79" s="81">
        <f>Work_Codes!$I358*T58*T$29</f>
        <v>1542243.4154820777</v>
      </c>
    </row>
    <row r="80" spans="3:20" outlineLevel="2">
      <c r="D80" s="102" t="str">
        <f>Work_Codes!D359</f>
        <v>Residential Connections Category 2</v>
      </c>
      <c r="J80" s="81">
        <f>Work_Codes!$I359*J59*J$29</f>
        <v>0</v>
      </c>
      <c r="K80" s="81">
        <f>Work_Codes!$I359*K59*K$29</f>
        <v>0</v>
      </c>
      <c r="L80" s="81">
        <f>Work_Codes!$I359*L59*L$29</f>
        <v>0</v>
      </c>
      <c r="M80" s="81">
        <f>Work_Codes!$I359*M59*M$29</f>
        <v>0</v>
      </c>
      <c r="N80" s="81">
        <f>Work_Codes!$I359*N59*N$29</f>
        <v>0</v>
      </c>
      <c r="O80" s="81">
        <f>Work_Codes!$I359*O59*O$29</f>
        <v>0</v>
      </c>
      <c r="P80" s="81">
        <f>Work_Codes!$I359*P59*P$29</f>
        <v>0</v>
      </c>
      <c r="Q80" s="81">
        <f>Work_Codes!$I359*Q59*Q$29</f>
        <v>0</v>
      </c>
      <c r="R80" s="81">
        <f>Work_Codes!$I359*R59*R$29</f>
        <v>0</v>
      </c>
      <c r="S80" s="81">
        <f>Work_Codes!$I359*S59*S$29</f>
        <v>0</v>
      </c>
      <c r="T80" s="81">
        <f>Work_Codes!$I359*T59*T$29</f>
        <v>0</v>
      </c>
    </row>
    <row r="81" spans="3:20" ht="5.9" customHeight="1" outlineLevel="2"/>
    <row r="82" spans="3:20" outlineLevel="2">
      <c r="D82" s="249" t="str">
        <f>"Total "&amp;C77</f>
        <v>Total Internal Labour</v>
      </c>
      <c r="E82" s="249"/>
      <c r="F82" s="249"/>
      <c r="G82" s="249"/>
      <c r="H82" s="249"/>
      <c r="I82" s="249"/>
      <c r="J82" s="82">
        <f t="shared" ref="J82:T82" si="10">SUM(J79:J81)</f>
        <v>0</v>
      </c>
      <c r="K82" s="82">
        <f t="shared" si="10"/>
        <v>0</v>
      </c>
      <c r="L82" s="82">
        <f t="shared" si="10"/>
        <v>0</v>
      </c>
      <c r="M82" s="82">
        <f t="shared" si="10"/>
        <v>0</v>
      </c>
      <c r="N82" s="82">
        <f t="shared" si="10"/>
        <v>1907914.1969626201</v>
      </c>
      <c r="O82" s="82">
        <f t="shared" si="10"/>
        <v>794837.06460833468</v>
      </c>
      <c r="P82" s="82">
        <f t="shared" si="10"/>
        <v>1468108.9414073257</v>
      </c>
      <c r="Q82" s="82">
        <f t="shared" si="10"/>
        <v>1525740.054822336</v>
      </c>
      <c r="R82" s="82">
        <f t="shared" si="10"/>
        <v>1588107.1674526238</v>
      </c>
      <c r="S82" s="82">
        <f t="shared" si="10"/>
        <v>1566259.5938175726</v>
      </c>
      <c r="T82" s="82">
        <f t="shared" si="10"/>
        <v>1542243.4154820777</v>
      </c>
    </row>
    <row r="83" spans="3:20" outlineLevel="2"/>
    <row r="84" spans="3:20" outlineLevel="2">
      <c r="C84" s="37" t="s">
        <v>129</v>
      </c>
    </row>
    <row r="85" spans="3:20" ht="5.9" customHeight="1" outlineLevel="2"/>
    <row r="86" spans="3:20" outlineLevel="2">
      <c r="D86" s="102" t="str">
        <f>Work_Codes!D358</f>
        <v>Residential Connections</v>
      </c>
      <c r="J86" s="81">
        <f>Work_Codes!$J358*J58*J$30</f>
        <v>0</v>
      </c>
      <c r="K86" s="81">
        <f>Work_Codes!$J358*K58*K$30</f>
        <v>0</v>
      </c>
      <c r="L86" s="81">
        <f>Work_Codes!$J358*L58*L$30</f>
        <v>0</v>
      </c>
      <c r="M86" s="81">
        <f>Work_Codes!$J358*M58*M$30</f>
        <v>0</v>
      </c>
      <c r="N86" s="81">
        <f>Work_Codes!$J358*N58*N$30</f>
        <v>36250369.742289782</v>
      </c>
      <c r="O86" s="81">
        <f>Work_Codes!$J358*O58*O$30</f>
        <v>15023841.495388446</v>
      </c>
      <c r="P86" s="81">
        <f>Work_Codes!$J358*P58*P$30</f>
        <v>27611598.426536065</v>
      </c>
      <c r="Q86" s="81">
        <f>Work_Codes!$J358*Q58*Q$30</f>
        <v>28473483.494300444</v>
      </c>
      <c r="R86" s="81">
        <f>Work_Codes!$J358*R58*R$30</f>
        <v>29314674.486410011</v>
      </c>
      <c r="S86" s="81">
        <f>Work_Codes!$J358*S58*S$30</f>
        <v>28596588.751848862</v>
      </c>
      <c r="T86" s="81">
        <f>Work_Codes!$J358*T58*T$30</f>
        <v>27851502.29150987</v>
      </c>
    </row>
    <row r="87" spans="3:20" outlineLevel="2">
      <c r="D87" s="102" t="str">
        <f>Work_Codes!D359</f>
        <v>Residential Connections Category 2</v>
      </c>
      <c r="J87" s="81">
        <f>Work_Codes!$J359*J59*J$30</f>
        <v>0</v>
      </c>
      <c r="K87" s="81">
        <f>Work_Codes!$J359*K59*K$30</f>
        <v>0</v>
      </c>
      <c r="L87" s="81">
        <f>Work_Codes!$J359*L59*L$30</f>
        <v>0</v>
      </c>
      <c r="M87" s="81">
        <f>Work_Codes!$J359*M59*M$30</f>
        <v>0</v>
      </c>
      <c r="N87" s="81">
        <f>Work_Codes!$J359*N59*N$30</f>
        <v>0</v>
      </c>
      <c r="O87" s="81">
        <f>Work_Codes!$J359*O59*O$30</f>
        <v>0</v>
      </c>
      <c r="P87" s="81">
        <f>Work_Codes!$J359*P59*P$30</f>
        <v>0</v>
      </c>
      <c r="Q87" s="81">
        <f>Work_Codes!$J359*Q59*Q$30</f>
        <v>0</v>
      </c>
      <c r="R87" s="81">
        <f>Work_Codes!$J359*R59*R$30</f>
        <v>0</v>
      </c>
      <c r="S87" s="81">
        <f>Work_Codes!$J359*S59*S$30</f>
        <v>0</v>
      </c>
      <c r="T87" s="81">
        <f>Work_Codes!$J359*T59*T$30</f>
        <v>0</v>
      </c>
    </row>
    <row r="88" spans="3:20" ht="5.9" customHeight="1" outlineLevel="2"/>
    <row r="89" spans="3:20" outlineLevel="2">
      <c r="D89" s="249" t="str">
        <f>"Total "&amp;C84</f>
        <v>Total External Labour</v>
      </c>
      <c r="E89" s="249"/>
      <c r="F89" s="249"/>
      <c r="G89" s="249"/>
      <c r="H89" s="249"/>
      <c r="I89" s="249"/>
      <c r="J89" s="82">
        <f t="shared" ref="J89:T89" si="11">SUM(J86:J88)</f>
        <v>0</v>
      </c>
      <c r="K89" s="82">
        <f t="shared" si="11"/>
        <v>0</v>
      </c>
      <c r="L89" s="82">
        <f t="shared" si="11"/>
        <v>0</v>
      </c>
      <c r="M89" s="82">
        <f t="shared" si="11"/>
        <v>0</v>
      </c>
      <c r="N89" s="82">
        <f t="shared" si="11"/>
        <v>36250369.742289782</v>
      </c>
      <c r="O89" s="82">
        <f t="shared" si="11"/>
        <v>15023841.495388446</v>
      </c>
      <c r="P89" s="82">
        <f t="shared" si="11"/>
        <v>27611598.426536065</v>
      </c>
      <c r="Q89" s="82">
        <f t="shared" si="11"/>
        <v>28473483.494300444</v>
      </c>
      <c r="R89" s="82">
        <f t="shared" si="11"/>
        <v>29314674.486410011</v>
      </c>
      <c r="S89" s="82">
        <f t="shared" si="11"/>
        <v>28596588.751848862</v>
      </c>
      <c r="T89" s="82">
        <f t="shared" si="11"/>
        <v>27851502.29150987</v>
      </c>
    </row>
    <row r="90" spans="3:20" outlineLevel="2"/>
    <row r="91" spans="3:20" outlineLevel="2">
      <c r="C91" s="37" t="s">
        <v>130</v>
      </c>
    </row>
    <row r="92" spans="3:20" ht="5.9" customHeight="1" outlineLevel="2"/>
    <row r="93" spans="3:20" outlineLevel="2">
      <c r="D93" s="102" t="str">
        <f>Work_Codes!D358</f>
        <v>Residential Connections</v>
      </c>
      <c r="J93" s="81">
        <f>Work_Codes!$K358*J58*J$31</f>
        <v>0</v>
      </c>
      <c r="K93" s="81">
        <f>Work_Codes!$K358*K58*K$31</f>
        <v>0</v>
      </c>
      <c r="L93" s="81">
        <f>Work_Codes!$K358*L58*L$31</f>
        <v>0</v>
      </c>
      <c r="M93" s="81">
        <f>Work_Codes!$K358*M58*M$31</f>
        <v>0</v>
      </c>
      <c r="N93" s="81">
        <f>Work_Codes!$K358*N58*N$31</f>
        <v>9539570.9848130979</v>
      </c>
      <c r="O93" s="81">
        <f>Work_Codes!$K358*O58*O$31</f>
        <v>3953642.4987864322</v>
      </c>
      <c r="P93" s="81">
        <f>Work_Codes!$K358*P58*P$31</f>
        <v>7266210.1122463318</v>
      </c>
      <c r="Q93" s="81">
        <f>Work_Codes!$K358*Q58*Q$31</f>
        <v>7493021.9721843256</v>
      </c>
      <c r="R93" s="81">
        <f>Work_Codes!$K358*R58*R$31</f>
        <v>7714388.0227394747</v>
      </c>
      <c r="S93" s="81">
        <f>Work_Codes!$K358*S58*S$31</f>
        <v>7525418.0925918045</v>
      </c>
      <c r="T93" s="81">
        <f>Work_Codes!$K358*T58*T$31</f>
        <v>7329342.7082920698</v>
      </c>
    </row>
    <row r="94" spans="3:20" outlineLevel="2">
      <c r="D94" s="102" t="str">
        <f>Work_Codes!D359</f>
        <v>Residential Connections Category 2</v>
      </c>
      <c r="J94" s="81">
        <f>Work_Codes!$K359*J59*J$31</f>
        <v>0</v>
      </c>
      <c r="K94" s="81">
        <f>Work_Codes!$K359*K59*K$31</f>
        <v>0</v>
      </c>
      <c r="L94" s="81">
        <f>Work_Codes!$K359*L59*L$31</f>
        <v>0</v>
      </c>
      <c r="M94" s="81">
        <f>Work_Codes!$K359*M59*M$31</f>
        <v>0</v>
      </c>
      <c r="N94" s="81">
        <f>Work_Codes!$K359*N59*N$31</f>
        <v>0</v>
      </c>
      <c r="O94" s="81">
        <f>Work_Codes!$K359*O59*O$31</f>
        <v>0</v>
      </c>
      <c r="P94" s="81">
        <f>Work_Codes!$K359*P59*P$31</f>
        <v>0</v>
      </c>
      <c r="Q94" s="81">
        <f>Work_Codes!$K359*Q59*Q$31</f>
        <v>0</v>
      </c>
      <c r="R94" s="81">
        <f>Work_Codes!$K359*R59*R$31</f>
        <v>0</v>
      </c>
      <c r="S94" s="81">
        <f>Work_Codes!$K359*S59*S$31</f>
        <v>0</v>
      </c>
      <c r="T94" s="81">
        <f>Work_Codes!$K359*T59*T$31</f>
        <v>0</v>
      </c>
    </row>
    <row r="95" spans="3:20" ht="5.9" customHeight="1" outlineLevel="2"/>
    <row r="96" spans="3:20" outlineLevel="2">
      <c r="D96" s="249" t="str">
        <f>"Total "&amp;C91</f>
        <v>Total Materials</v>
      </c>
      <c r="E96" s="249"/>
      <c r="F96" s="249"/>
      <c r="G96" s="249"/>
      <c r="H96" s="249"/>
      <c r="I96" s="249"/>
      <c r="J96" s="82">
        <f t="shared" ref="J96:T96" si="12">SUM(J93:J95)</f>
        <v>0</v>
      </c>
      <c r="K96" s="82">
        <f t="shared" si="12"/>
        <v>0</v>
      </c>
      <c r="L96" s="82">
        <f t="shared" si="12"/>
        <v>0</v>
      </c>
      <c r="M96" s="82">
        <f t="shared" si="12"/>
        <v>0</v>
      </c>
      <c r="N96" s="82">
        <f t="shared" si="12"/>
        <v>9539570.9848130979</v>
      </c>
      <c r="O96" s="82">
        <f t="shared" si="12"/>
        <v>3953642.4987864322</v>
      </c>
      <c r="P96" s="82">
        <f t="shared" si="12"/>
        <v>7266210.1122463318</v>
      </c>
      <c r="Q96" s="82">
        <f t="shared" si="12"/>
        <v>7493021.9721843256</v>
      </c>
      <c r="R96" s="82">
        <f t="shared" si="12"/>
        <v>7714388.0227394747</v>
      </c>
      <c r="S96" s="82">
        <f t="shared" si="12"/>
        <v>7525418.0925918045</v>
      </c>
      <c r="T96" s="82">
        <f t="shared" si="12"/>
        <v>7329342.7082920698</v>
      </c>
    </row>
    <row r="97" spans="2:20" outlineLevel="1"/>
    <row r="98" spans="2:20" outlineLevel="1">
      <c r="C98" s="37" t="s">
        <v>217</v>
      </c>
    </row>
    <row r="99" spans="2:20" ht="5.9" customHeight="1" outlineLevel="1"/>
    <row r="100" spans="2:20" outlineLevel="1">
      <c r="D100" s="102" t="str">
        <f>Work_Codes!D358</f>
        <v>Residential Connections</v>
      </c>
      <c r="J100" s="81">
        <f t="shared" ref="J100:T100" si="13">J79+J86+J93</f>
        <v>0</v>
      </c>
      <c r="K100" s="81">
        <f t="shared" si="13"/>
        <v>0</v>
      </c>
      <c r="L100" s="81">
        <f t="shared" si="13"/>
        <v>0</v>
      </c>
      <c r="M100" s="81">
        <f t="shared" si="13"/>
        <v>0</v>
      </c>
      <c r="N100" s="81">
        <f t="shared" si="13"/>
        <v>47697854.9240655</v>
      </c>
      <c r="O100" s="81">
        <f t="shared" si="13"/>
        <v>19772321.058783215</v>
      </c>
      <c r="P100" s="81">
        <f t="shared" si="13"/>
        <v>36345917.480189726</v>
      </c>
      <c r="Q100" s="81">
        <f t="shared" si="13"/>
        <v>37492245.521307103</v>
      </c>
      <c r="R100" s="81">
        <f t="shared" si="13"/>
        <v>38617169.67660211</v>
      </c>
      <c r="S100" s="81">
        <f t="shared" si="13"/>
        <v>37688266.438258238</v>
      </c>
      <c r="T100" s="81">
        <f t="shared" si="13"/>
        <v>36723088.415284015</v>
      </c>
    </row>
    <row r="101" spans="2:20" outlineLevel="1">
      <c r="D101" s="102" t="str">
        <f>Work_Codes!D359</f>
        <v>Residential Connections Category 2</v>
      </c>
      <c r="J101" s="81">
        <f t="shared" ref="J101:T101" si="14">J80+J87+J94</f>
        <v>0</v>
      </c>
      <c r="K101" s="81">
        <f t="shared" si="14"/>
        <v>0</v>
      </c>
      <c r="L101" s="81">
        <f t="shared" si="14"/>
        <v>0</v>
      </c>
      <c r="M101" s="81">
        <f t="shared" si="14"/>
        <v>0</v>
      </c>
      <c r="N101" s="81">
        <f t="shared" si="14"/>
        <v>0</v>
      </c>
      <c r="O101" s="81">
        <f t="shared" si="14"/>
        <v>0</v>
      </c>
      <c r="P101" s="81">
        <f t="shared" si="14"/>
        <v>0</v>
      </c>
      <c r="Q101" s="81">
        <f t="shared" si="14"/>
        <v>0</v>
      </c>
      <c r="R101" s="81">
        <f t="shared" si="14"/>
        <v>0</v>
      </c>
      <c r="S101" s="81">
        <f t="shared" si="14"/>
        <v>0</v>
      </c>
      <c r="T101" s="81">
        <f t="shared" si="14"/>
        <v>0</v>
      </c>
    </row>
    <row r="102" spans="2:20" ht="5.9" customHeight="1" outlineLevel="1"/>
    <row r="103" spans="2:20" outlineLevel="1">
      <c r="D103" s="249" t="str">
        <f>C98</f>
        <v>Total Direct Capex including Escalation (Non CPI)</v>
      </c>
      <c r="E103" s="249"/>
      <c r="F103" s="249"/>
      <c r="G103" s="249"/>
      <c r="H103" s="249"/>
      <c r="I103" s="249"/>
      <c r="J103" s="82">
        <f t="shared" ref="J103:T103" si="15">SUM(J100:J102)</f>
        <v>0</v>
      </c>
      <c r="K103" s="82">
        <f t="shared" si="15"/>
        <v>0</v>
      </c>
      <c r="L103" s="82">
        <f t="shared" si="15"/>
        <v>0</v>
      </c>
      <c r="M103" s="82">
        <f t="shared" si="15"/>
        <v>0</v>
      </c>
      <c r="N103" s="82">
        <f t="shared" si="15"/>
        <v>47697854.9240655</v>
      </c>
      <c r="O103" s="82">
        <f t="shared" si="15"/>
        <v>19772321.058783215</v>
      </c>
      <c r="P103" s="82">
        <f t="shared" si="15"/>
        <v>36345917.480189726</v>
      </c>
      <c r="Q103" s="82">
        <f t="shared" si="15"/>
        <v>37492245.521307103</v>
      </c>
      <c r="R103" s="82">
        <f t="shared" si="15"/>
        <v>38617169.67660211</v>
      </c>
      <c r="S103" s="82">
        <f t="shared" si="15"/>
        <v>37688266.438258238</v>
      </c>
      <c r="T103" s="82">
        <f t="shared" si="15"/>
        <v>36723088.415284015</v>
      </c>
    </row>
    <row r="104" spans="2:20" outlineLevel="1">
      <c r="B104" s="12"/>
      <c r="C104" s="12"/>
      <c r="D104" s="12"/>
      <c r="E104" s="12"/>
      <c r="F104" s="12"/>
      <c r="G104" s="12"/>
      <c r="H104" s="12"/>
      <c r="I104" s="12"/>
      <c r="J104" s="12"/>
      <c r="K104" s="12"/>
      <c r="L104" s="12"/>
      <c r="M104" s="12"/>
      <c r="N104" s="12"/>
      <c r="O104" s="12"/>
      <c r="P104" s="12"/>
      <c r="Q104" s="12"/>
      <c r="R104" s="12"/>
      <c r="S104" s="12"/>
      <c r="T104" s="12"/>
    </row>
    <row r="105" spans="2:20" outlineLevel="1"/>
    <row r="106" spans="2:20" outlineLevel="1">
      <c r="C106" s="37" t="s">
        <v>195</v>
      </c>
    </row>
    <row r="107" spans="2:20" ht="5.9" customHeight="1" outlineLevel="2"/>
    <row r="108" spans="2:20" outlineLevel="2">
      <c r="D108" s="37" t="s">
        <v>215</v>
      </c>
    </row>
    <row r="109" spans="2:20" ht="5.9" customHeight="1" outlineLevel="2"/>
    <row r="110" spans="2:20" ht="11.5" customHeight="1" outlineLevel="2">
      <c r="E110" s="247" t="str">
        <f>GC!C40</f>
        <v>Transmission pipelines</v>
      </c>
      <c r="F110" s="247"/>
      <c r="G110" s="247"/>
      <c r="H110" s="247"/>
      <c r="I110" s="247"/>
      <c r="J110" s="81">
        <f ca="1">SUMPRODUCT((Work_Codes!$N$355:$Y$355=$E110)*(Work_Codes!$N$358:$Y$359)*(J$100:J$101))</f>
        <v>0</v>
      </c>
      <c r="K110" s="81">
        <f ca="1">SUMPRODUCT((Work_Codes!$N$355:$Y$355=$E110)*(Work_Codes!$N$358:$Y$359)*(K$100:K$101))</f>
        <v>0</v>
      </c>
      <c r="L110" s="81">
        <f ca="1">SUMPRODUCT((Work_Codes!$N$355:$Y$355=$E110)*(Work_Codes!$N$358:$Y$359)*(L$100:L$101))</f>
        <v>0</v>
      </c>
      <c r="M110" s="81">
        <f ca="1">SUMPRODUCT((Work_Codes!$N$355:$Y$355=$E110)*(Work_Codes!$N$358:$Y$359)*(M$100:M$101))</f>
        <v>0</v>
      </c>
      <c r="N110" s="81">
        <f ca="1">SUMPRODUCT((Work_Codes!$N$355:$Y$355=$E110)*(Work_Codes!$N$358:$Y$359)*(N$100:N$101))</f>
        <v>0</v>
      </c>
      <c r="O110" s="81">
        <f ca="1">SUMPRODUCT((Work_Codes!$N$355:$Y$355=$E110)*(Work_Codes!$N$358:$Y$359)*(O$100:O$101))</f>
        <v>0</v>
      </c>
      <c r="P110" s="81">
        <f ca="1">SUMPRODUCT((Work_Codes!$N$355:$Y$355=$E110)*(Work_Codes!$N$358:$Y$359)*(P$100:P$101))</f>
        <v>0</v>
      </c>
      <c r="Q110" s="81">
        <f ca="1">SUMPRODUCT((Work_Codes!$N$355:$Y$355=$E110)*(Work_Codes!$N$358:$Y$359)*(Q$100:Q$101))</f>
        <v>0</v>
      </c>
      <c r="R110" s="81">
        <f ca="1">SUMPRODUCT((Work_Codes!$N$355:$Y$355=$E110)*(Work_Codes!$N$358:$Y$359)*(R$100:R$101))</f>
        <v>0</v>
      </c>
      <c r="S110" s="81">
        <f ca="1">SUMPRODUCT((Work_Codes!$N$355:$Y$355=$E110)*(Work_Codes!$N$358:$Y$359)*(S$100:S$101))</f>
        <v>0</v>
      </c>
      <c r="T110" s="81">
        <f ca="1">SUMPRODUCT((Work_Codes!$N$355:$Y$355=$E110)*(Work_Codes!$N$358:$Y$359)*(T$100:T$101))</f>
        <v>0</v>
      </c>
    </row>
    <row r="111" spans="2:20" ht="11.5" customHeight="1" outlineLevel="2">
      <c r="E111" s="247" t="str">
        <f>GC!C41</f>
        <v>Distribution pipelines</v>
      </c>
      <c r="F111" s="247"/>
      <c r="G111" s="247"/>
      <c r="H111" s="247"/>
      <c r="I111" s="247"/>
      <c r="J111" s="81">
        <f ca="1">SUMPRODUCT((Work_Codes!$N$355:$Y$355=$E111)*(Work_Codes!$N$358:$Y$359)*(J$100:J$101))</f>
        <v>0</v>
      </c>
      <c r="K111" s="81">
        <f ca="1">SUMPRODUCT((Work_Codes!$N$355:$Y$355=$E111)*(Work_Codes!$N$358:$Y$359)*(K$100:K$101))</f>
        <v>0</v>
      </c>
      <c r="L111" s="81">
        <f ca="1">SUMPRODUCT((Work_Codes!$N$355:$Y$355=$E111)*(Work_Codes!$N$358:$Y$359)*(L$100:L$101))</f>
        <v>0</v>
      </c>
      <c r="M111" s="81">
        <f ca="1">SUMPRODUCT((Work_Codes!$N$355:$Y$355=$E111)*(Work_Codes!$N$358:$Y$359)*(M$100:M$101))</f>
        <v>0</v>
      </c>
      <c r="N111" s="81">
        <f ca="1">SUMPRODUCT((Work_Codes!$N$355:$Y$355=$E111)*(Work_Codes!$N$358:$Y$359)*(N$100:N$101))</f>
        <v>0</v>
      </c>
      <c r="O111" s="81">
        <f ca="1">SUMPRODUCT((Work_Codes!$N$355:$Y$355=$E111)*(Work_Codes!$N$358:$Y$359)*(O$100:O$101))</f>
        <v>0</v>
      </c>
      <c r="P111" s="81">
        <f ca="1">SUMPRODUCT((Work_Codes!$N$355:$Y$355=$E111)*(Work_Codes!$N$358:$Y$359)*(P$100:P$101))</f>
        <v>0</v>
      </c>
      <c r="Q111" s="81">
        <f ca="1">SUMPRODUCT((Work_Codes!$N$355:$Y$355=$E111)*(Work_Codes!$N$358:$Y$359)*(Q$100:Q$101))</f>
        <v>0</v>
      </c>
      <c r="R111" s="81">
        <f ca="1">SUMPRODUCT((Work_Codes!$N$355:$Y$355=$E111)*(Work_Codes!$N$358:$Y$359)*(R$100:R$101))</f>
        <v>0</v>
      </c>
      <c r="S111" s="81">
        <f ca="1">SUMPRODUCT((Work_Codes!$N$355:$Y$355=$E111)*(Work_Codes!$N$358:$Y$359)*(S$100:S$101))</f>
        <v>0</v>
      </c>
      <c r="T111" s="81">
        <f ca="1">SUMPRODUCT((Work_Codes!$N$355:$Y$355=$E111)*(Work_Codes!$N$358:$Y$359)*(T$100:T$101))</f>
        <v>0</v>
      </c>
    </row>
    <row r="112" spans="2:20" ht="11.5" customHeight="1" outlineLevel="2">
      <c r="E112" s="247" t="str">
        <f>GC!C42</f>
        <v>Service pipes</v>
      </c>
      <c r="F112" s="247"/>
      <c r="G112" s="247"/>
      <c r="H112" s="247"/>
      <c r="I112" s="247"/>
      <c r="J112" s="81">
        <f ca="1">SUMPRODUCT((Work_Codes!$N$355:$Y$355=$E112)*(Work_Codes!$N$358:$Y$359)*(J$100:J$101))</f>
        <v>0</v>
      </c>
      <c r="K112" s="81">
        <f ca="1">SUMPRODUCT((Work_Codes!$N$355:$Y$355=$E112)*(Work_Codes!$N$358:$Y$359)*(K$100:K$101))</f>
        <v>0</v>
      </c>
      <c r="L112" s="81">
        <f ca="1">SUMPRODUCT((Work_Codes!$N$355:$Y$355=$E112)*(Work_Codes!$N$358:$Y$359)*(L$100:L$101))</f>
        <v>0</v>
      </c>
      <c r="M112" s="81">
        <f ca="1">SUMPRODUCT((Work_Codes!$N$355:$Y$355=$E112)*(Work_Codes!$N$358:$Y$359)*(M$100:M$101))</f>
        <v>0</v>
      </c>
      <c r="N112" s="81">
        <f ca="1">SUMPRODUCT((Work_Codes!$N$355:$Y$355=$E112)*(Work_Codes!$N$358:$Y$359)*(N$100:N$101))</f>
        <v>0</v>
      </c>
      <c r="O112" s="81">
        <f ca="1">SUMPRODUCT((Work_Codes!$N$355:$Y$355=$E112)*(Work_Codes!$N$358:$Y$359)*(O$100:O$101))</f>
        <v>0</v>
      </c>
      <c r="P112" s="81">
        <f ca="1">SUMPRODUCT((Work_Codes!$N$355:$Y$355=$E112)*(Work_Codes!$N$358:$Y$359)*(P$100:P$101))</f>
        <v>0</v>
      </c>
      <c r="Q112" s="81">
        <f ca="1">SUMPRODUCT((Work_Codes!$N$355:$Y$355=$E112)*(Work_Codes!$N$358:$Y$359)*(Q$100:Q$101))</f>
        <v>0</v>
      </c>
      <c r="R112" s="81">
        <f ca="1">SUMPRODUCT((Work_Codes!$N$355:$Y$355=$E112)*(Work_Codes!$N$358:$Y$359)*(R$100:R$101))</f>
        <v>0</v>
      </c>
      <c r="S112" s="81">
        <f ca="1">SUMPRODUCT((Work_Codes!$N$355:$Y$355=$E112)*(Work_Codes!$N$358:$Y$359)*(S$100:S$101))</f>
        <v>0</v>
      </c>
      <c r="T112" s="81">
        <f ca="1">SUMPRODUCT((Work_Codes!$N$355:$Y$355=$E112)*(Work_Codes!$N$358:$Y$359)*(T$100:T$101))</f>
        <v>0</v>
      </c>
    </row>
    <row r="113" spans="4:20" ht="11.5" customHeight="1" outlineLevel="2">
      <c r="E113" s="247" t="str">
        <f>GC!C43</f>
        <v>Cathodic protection</v>
      </c>
      <c r="F113" s="247"/>
      <c r="G113" s="247"/>
      <c r="H113" s="247"/>
      <c r="I113" s="247"/>
      <c r="J113" s="81">
        <f ca="1">SUMPRODUCT((Work_Codes!$N$355:$Y$355=$E113)*(Work_Codes!$N$358:$Y$359)*(J$100:J$101))</f>
        <v>0</v>
      </c>
      <c r="K113" s="81">
        <f ca="1">SUMPRODUCT((Work_Codes!$N$355:$Y$355=$E113)*(Work_Codes!$N$358:$Y$359)*(K$100:K$101))</f>
        <v>0</v>
      </c>
      <c r="L113" s="81">
        <f ca="1">SUMPRODUCT((Work_Codes!$N$355:$Y$355=$E113)*(Work_Codes!$N$358:$Y$359)*(L$100:L$101))</f>
        <v>0</v>
      </c>
      <c r="M113" s="81">
        <f ca="1">SUMPRODUCT((Work_Codes!$N$355:$Y$355=$E113)*(Work_Codes!$N$358:$Y$359)*(M$100:M$101))</f>
        <v>0</v>
      </c>
      <c r="N113" s="81">
        <f ca="1">SUMPRODUCT((Work_Codes!$N$355:$Y$355=$E113)*(Work_Codes!$N$358:$Y$359)*(N$100:N$101))</f>
        <v>0</v>
      </c>
      <c r="O113" s="81">
        <f ca="1">SUMPRODUCT((Work_Codes!$N$355:$Y$355=$E113)*(Work_Codes!$N$358:$Y$359)*(O$100:O$101))</f>
        <v>0</v>
      </c>
      <c r="P113" s="81">
        <f ca="1">SUMPRODUCT((Work_Codes!$N$355:$Y$355=$E113)*(Work_Codes!$N$358:$Y$359)*(P$100:P$101))</f>
        <v>0</v>
      </c>
      <c r="Q113" s="81">
        <f ca="1">SUMPRODUCT((Work_Codes!$N$355:$Y$355=$E113)*(Work_Codes!$N$358:$Y$359)*(Q$100:Q$101))</f>
        <v>0</v>
      </c>
      <c r="R113" s="81">
        <f ca="1">SUMPRODUCT((Work_Codes!$N$355:$Y$355=$E113)*(Work_Codes!$N$358:$Y$359)*(R$100:R$101))</f>
        <v>0</v>
      </c>
      <c r="S113" s="81">
        <f ca="1">SUMPRODUCT((Work_Codes!$N$355:$Y$355=$E113)*(Work_Codes!$N$358:$Y$359)*(S$100:S$101))</f>
        <v>0</v>
      </c>
      <c r="T113" s="81">
        <f ca="1">SUMPRODUCT((Work_Codes!$N$355:$Y$355=$E113)*(Work_Codes!$N$358:$Y$359)*(T$100:T$101))</f>
        <v>0</v>
      </c>
    </row>
    <row r="114" spans="4:20" ht="11.5" customHeight="1" outlineLevel="2">
      <c r="E114" s="247" t="str">
        <f>GC!C44</f>
        <v>Supply Regulators / Valve Stations</v>
      </c>
      <c r="F114" s="247"/>
      <c r="G114" s="247"/>
      <c r="H114" s="247"/>
      <c r="I114" s="247"/>
      <c r="J114" s="81">
        <f ca="1">SUMPRODUCT((Work_Codes!$N$355:$Y$355=$E114)*(Work_Codes!$N$358:$Y$359)*(J$100:J$101))</f>
        <v>0</v>
      </c>
      <c r="K114" s="81">
        <f ca="1">SUMPRODUCT((Work_Codes!$N$355:$Y$355=$E114)*(Work_Codes!$N$358:$Y$359)*(K$100:K$101))</f>
        <v>0</v>
      </c>
      <c r="L114" s="81">
        <f ca="1">SUMPRODUCT((Work_Codes!$N$355:$Y$355=$E114)*(Work_Codes!$N$358:$Y$359)*(L$100:L$101))</f>
        <v>0</v>
      </c>
      <c r="M114" s="81">
        <f ca="1">SUMPRODUCT((Work_Codes!$N$355:$Y$355=$E114)*(Work_Codes!$N$358:$Y$359)*(M$100:M$101))</f>
        <v>0</v>
      </c>
      <c r="N114" s="81">
        <f ca="1">SUMPRODUCT((Work_Codes!$N$355:$Y$355=$E114)*(Work_Codes!$N$358:$Y$359)*(N$100:N$101))</f>
        <v>0</v>
      </c>
      <c r="O114" s="81">
        <f ca="1">SUMPRODUCT((Work_Codes!$N$355:$Y$355=$E114)*(Work_Codes!$N$358:$Y$359)*(O$100:O$101))</f>
        <v>0</v>
      </c>
      <c r="P114" s="81">
        <f ca="1">SUMPRODUCT((Work_Codes!$N$355:$Y$355=$E114)*(Work_Codes!$N$358:$Y$359)*(P$100:P$101))</f>
        <v>0</v>
      </c>
      <c r="Q114" s="81">
        <f ca="1">SUMPRODUCT((Work_Codes!$N$355:$Y$355=$E114)*(Work_Codes!$N$358:$Y$359)*(Q$100:Q$101))</f>
        <v>0</v>
      </c>
      <c r="R114" s="81">
        <f ca="1">SUMPRODUCT((Work_Codes!$N$355:$Y$355=$E114)*(Work_Codes!$N$358:$Y$359)*(R$100:R$101))</f>
        <v>0</v>
      </c>
      <c r="S114" s="81">
        <f ca="1">SUMPRODUCT((Work_Codes!$N$355:$Y$355=$E114)*(Work_Codes!$N$358:$Y$359)*(S$100:S$101))</f>
        <v>0</v>
      </c>
      <c r="T114" s="81">
        <f ca="1">SUMPRODUCT((Work_Codes!$N$355:$Y$355=$E114)*(Work_Codes!$N$358:$Y$359)*(T$100:T$101))</f>
        <v>0</v>
      </c>
    </row>
    <row r="115" spans="4:20" ht="11.5" customHeight="1" outlineLevel="2">
      <c r="E115" s="247" t="str">
        <f>GC!C45</f>
        <v>Meters</v>
      </c>
      <c r="F115" s="247"/>
      <c r="G115" s="247"/>
      <c r="H115" s="247"/>
      <c r="I115" s="247"/>
      <c r="J115" s="81">
        <f ca="1">SUMPRODUCT((Work_Codes!$N$355:$Y$355=$E115)*(Work_Codes!$N$358:$Y$359)*(J$100:J$101))</f>
        <v>0</v>
      </c>
      <c r="K115" s="81">
        <f ca="1">SUMPRODUCT((Work_Codes!$N$355:$Y$355=$E115)*(Work_Codes!$N$358:$Y$359)*(K$100:K$101))</f>
        <v>0</v>
      </c>
      <c r="L115" s="81">
        <f ca="1">SUMPRODUCT((Work_Codes!$N$355:$Y$355=$E115)*(Work_Codes!$N$358:$Y$359)*(L$100:L$101))</f>
        <v>0</v>
      </c>
      <c r="M115" s="81">
        <f ca="1">SUMPRODUCT((Work_Codes!$N$355:$Y$355=$E115)*(Work_Codes!$N$358:$Y$359)*(M$100:M$101))</f>
        <v>0</v>
      </c>
      <c r="N115" s="81">
        <f ca="1">SUMPRODUCT((Work_Codes!$N$355:$Y$355=$E115)*(Work_Codes!$N$358:$Y$359)*(N$100:N$101))</f>
        <v>9539570.9848130997</v>
      </c>
      <c r="O115" s="81">
        <f ca="1">SUMPRODUCT((Work_Codes!$N$355:$Y$355=$E115)*(Work_Codes!$N$358:$Y$359)*(O$100:O$101))</f>
        <v>3954464.2117566429</v>
      </c>
      <c r="P115" s="81">
        <f ca="1">SUMPRODUCT((Work_Codes!$N$355:$Y$355=$E115)*(Work_Codes!$N$358:$Y$359)*(P$100:P$101))</f>
        <v>7269183.4960379452</v>
      </c>
      <c r="Q115" s="81">
        <f ca="1">SUMPRODUCT((Work_Codes!$N$355:$Y$355=$E115)*(Work_Codes!$N$358:$Y$359)*(Q$100:Q$101))</f>
        <v>7498449.1042614207</v>
      </c>
      <c r="R115" s="81">
        <f ca="1">SUMPRODUCT((Work_Codes!$N$355:$Y$355=$E115)*(Work_Codes!$N$358:$Y$359)*(R$100:R$101))</f>
        <v>7723433.9353204221</v>
      </c>
      <c r="S115" s="81">
        <f ca="1">SUMPRODUCT((Work_Codes!$N$355:$Y$355=$E115)*(Work_Codes!$N$358:$Y$359)*(S$100:S$101))</f>
        <v>7537653.2876516478</v>
      </c>
      <c r="T115" s="81">
        <f ca="1">SUMPRODUCT((Work_Codes!$N$355:$Y$355=$E115)*(Work_Codes!$N$358:$Y$359)*(T$100:T$101))</f>
        <v>7344617.6830568034</v>
      </c>
    </row>
    <row r="116" spans="4:20" ht="11.5" customHeight="1" outlineLevel="2">
      <c r="E116" s="247" t="str">
        <f>GC!C46</f>
        <v>SCADA and remote control</v>
      </c>
      <c r="F116" s="247"/>
      <c r="G116" s="247"/>
      <c r="H116" s="247"/>
      <c r="I116" s="247"/>
      <c r="J116" s="81">
        <f ca="1">SUMPRODUCT((Work_Codes!$N$355:$Y$355=$E116)*(Work_Codes!$N$358:$Y$359)*(J$100:J$101))</f>
        <v>0</v>
      </c>
      <c r="K116" s="81">
        <f ca="1">SUMPRODUCT((Work_Codes!$N$355:$Y$355=$E116)*(Work_Codes!$N$358:$Y$359)*(K$100:K$101))</f>
        <v>0</v>
      </c>
      <c r="L116" s="81">
        <f ca="1">SUMPRODUCT((Work_Codes!$N$355:$Y$355=$E116)*(Work_Codes!$N$358:$Y$359)*(L$100:L$101))</f>
        <v>0</v>
      </c>
      <c r="M116" s="81">
        <f ca="1">SUMPRODUCT((Work_Codes!$N$355:$Y$355=$E116)*(Work_Codes!$N$358:$Y$359)*(M$100:M$101))</f>
        <v>0</v>
      </c>
      <c r="N116" s="81">
        <f ca="1">SUMPRODUCT((Work_Codes!$N$355:$Y$355=$E116)*(Work_Codes!$N$358:$Y$359)*(N$100:N$101))</f>
        <v>0</v>
      </c>
      <c r="O116" s="81">
        <f ca="1">SUMPRODUCT((Work_Codes!$N$355:$Y$355=$E116)*(Work_Codes!$N$358:$Y$359)*(O$100:O$101))</f>
        <v>0</v>
      </c>
      <c r="P116" s="81">
        <f ca="1">SUMPRODUCT((Work_Codes!$N$355:$Y$355=$E116)*(Work_Codes!$N$358:$Y$359)*(P$100:P$101))</f>
        <v>0</v>
      </c>
      <c r="Q116" s="81">
        <f ca="1">SUMPRODUCT((Work_Codes!$N$355:$Y$355=$E116)*(Work_Codes!$N$358:$Y$359)*(Q$100:Q$101))</f>
        <v>0</v>
      </c>
      <c r="R116" s="81">
        <f ca="1">SUMPRODUCT((Work_Codes!$N$355:$Y$355=$E116)*(Work_Codes!$N$358:$Y$359)*(R$100:R$101))</f>
        <v>0</v>
      </c>
      <c r="S116" s="81">
        <f ca="1">SUMPRODUCT((Work_Codes!$N$355:$Y$355=$E116)*(Work_Codes!$N$358:$Y$359)*(S$100:S$101))</f>
        <v>0</v>
      </c>
      <c r="T116" s="81">
        <f ca="1">SUMPRODUCT((Work_Codes!$N$355:$Y$355=$E116)*(Work_Codes!$N$358:$Y$359)*(T$100:T$101))</f>
        <v>0</v>
      </c>
    </row>
    <row r="117" spans="4:20" ht="11.5" customHeight="1" outlineLevel="2">
      <c r="E117" s="247" t="str">
        <f>GC!C47</f>
        <v>Buildings</v>
      </c>
      <c r="F117" s="247"/>
      <c r="G117" s="247"/>
      <c r="H117" s="247"/>
      <c r="I117" s="247"/>
      <c r="J117" s="81">
        <f ca="1">SUMPRODUCT((Work_Codes!$N$355:$Y$355=$E117)*(Work_Codes!$N$358:$Y$359)*(J$100:J$101))</f>
        <v>0</v>
      </c>
      <c r="K117" s="81">
        <f ca="1">SUMPRODUCT((Work_Codes!$N$355:$Y$355=$E117)*(Work_Codes!$N$358:$Y$359)*(K$100:K$101))</f>
        <v>0</v>
      </c>
      <c r="L117" s="81">
        <f ca="1">SUMPRODUCT((Work_Codes!$N$355:$Y$355=$E117)*(Work_Codes!$N$358:$Y$359)*(L$100:L$101))</f>
        <v>0</v>
      </c>
      <c r="M117" s="81">
        <f ca="1">SUMPRODUCT((Work_Codes!$N$355:$Y$355=$E117)*(Work_Codes!$N$358:$Y$359)*(M$100:M$101))</f>
        <v>0</v>
      </c>
      <c r="N117" s="81">
        <f ca="1">SUMPRODUCT((Work_Codes!$N$355:$Y$355=$E117)*(Work_Codes!$N$358:$Y$359)*(N$100:N$101))</f>
        <v>0</v>
      </c>
      <c r="O117" s="81">
        <f ca="1">SUMPRODUCT((Work_Codes!$N$355:$Y$355=$E117)*(Work_Codes!$N$358:$Y$359)*(O$100:O$101))</f>
        <v>0</v>
      </c>
      <c r="P117" s="81">
        <f ca="1">SUMPRODUCT((Work_Codes!$N$355:$Y$355=$E117)*(Work_Codes!$N$358:$Y$359)*(P$100:P$101))</f>
        <v>0</v>
      </c>
      <c r="Q117" s="81">
        <f ca="1">SUMPRODUCT((Work_Codes!$N$355:$Y$355=$E117)*(Work_Codes!$N$358:$Y$359)*(Q$100:Q$101))</f>
        <v>0</v>
      </c>
      <c r="R117" s="81">
        <f ca="1">SUMPRODUCT((Work_Codes!$N$355:$Y$355=$E117)*(Work_Codes!$N$358:$Y$359)*(R$100:R$101))</f>
        <v>0</v>
      </c>
      <c r="S117" s="81">
        <f ca="1">SUMPRODUCT((Work_Codes!$N$355:$Y$355=$E117)*(Work_Codes!$N$358:$Y$359)*(S$100:S$101))</f>
        <v>0</v>
      </c>
      <c r="T117" s="81">
        <f ca="1">SUMPRODUCT((Work_Codes!$N$355:$Y$355=$E117)*(Work_Codes!$N$358:$Y$359)*(T$100:T$101))</f>
        <v>0</v>
      </c>
    </row>
    <row r="118" spans="4:20" ht="11.5" customHeight="1" outlineLevel="2">
      <c r="E118" s="247" t="str">
        <f>GC!C48</f>
        <v>Other - IT</v>
      </c>
      <c r="F118" s="247"/>
      <c r="G118" s="247"/>
      <c r="H118" s="247"/>
      <c r="I118" s="247"/>
      <c r="J118" s="81">
        <f ca="1">SUMPRODUCT((Work_Codes!$N$355:$Y$355=$E118)*(Work_Codes!$N$358:$Y$359)*(J$100:J$101))</f>
        <v>0</v>
      </c>
      <c r="K118" s="81">
        <f ca="1">SUMPRODUCT((Work_Codes!$N$355:$Y$355=$E118)*(Work_Codes!$N$358:$Y$359)*(K$100:K$101))</f>
        <v>0</v>
      </c>
      <c r="L118" s="81">
        <f ca="1">SUMPRODUCT((Work_Codes!$N$355:$Y$355=$E118)*(Work_Codes!$N$358:$Y$359)*(L$100:L$101))</f>
        <v>0</v>
      </c>
      <c r="M118" s="81">
        <f ca="1">SUMPRODUCT((Work_Codes!$N$355:$Y$355=$E118)*(Work_Codes!$N$358:$Y$359)*(M$100:M$101))</f>
        <v>0</v>
      </c>
      <c r="N118" s="81">
        <f ca="1">SUMPRODUCT((Work_Codes!$N$355:$Y$355=$E118)*(Work_Codes!$N$358:$Y$359)*(N$100:N$101))</f>
        <v>0</v>
      </c>
      <c r="O118" s="81">
        <f ca="1">SUMPRODUCT((Work_Codes!$N$355:$Y$355=$E118)*(Work_Codes!$N$358:$Y$359)*(O$100:O$101))</f>
        <v>0</v>
      </c>
      <c r="P118" s="81">
        <f ca="1">SUMPRODUCT((Work_Codes!$N$355:$Y$355=$E118)*(Work_Codes!$N$358:$Y$359)*(P$100:P$101))</f>
        <v>0</v>
      </c>
      <c r="Q118" s="81">
        <f ca="1">SUMPRODUCT((Work_Codes!$N$355:$Y$355=$E118)*(Work_Codes!$N$358:$Y$359)*(Q$100:Q$101))</f>
        <v>0</v>
      </c>
      <c r="R118" s="81">
        <f ca="1">SUMPRODUCT((Work_Codes!$N$355:$Y$355=$E118)*(Work_Codes!$N$358:$Y$359)*(R$100:R$101))</f>
        <v>0</v>
      </c>
      <c r="S118" s="81">
        <f ca="1">SUMPRODUCT((Work_Codes!$N$355:$Y$355=$E118)*(Work_Codes!$N$358:$Y$359)*(S$100:S$101))</f>
        <v>0</v>
      </c>
      <c r="T118" s="81">
        <f ca="1">SUMPRODUCT((Work_Codes!$N$355:$Y$355=$E118)*(Work_Codes!$N$358:$Y$359)*(T$100:T$101))</f>
        <v>0</v>
      </c>
    </row>
    <row r="119" spans="4:20" ht="11.5" customHeight="1" outlineLevel="2">
      <c r="E119" s="247" t="str">
        <f>GC!C49</f>
        <v>Other - non IT</v>
      </c>
      <c r="F119" s="247"/>
      <c r="G119" s="247"/>
      <c r="H119" s="247"/>
      <c r="I119" s="247"/>
      <c r="J119" s="81">
        <f ca="1">SUMPRODUCT((Work_Codes!$N$355:$Y$355=$E119)*(Work_Codes!$N$358:$Y$359)*(J$100:J$101))</f>
        <v>0</v>
      </c>
      <c r="K119" s="81">
        <f ca="1">SUMPRODUCT((Work_Codes!$N$355:$Y$355=$E119)*(Work_Codes!$N$358:$Y$359)*(K$100:K$101))</f>
        <v>0</v>
      </c>
      <c r="L119" s="81">
        <f ca="1">SUMPRODUCT((Work_Codes!$N$355:$Y$355=$E119)*(Work_Codes!$N$358:$Y$359)*(L$100:L$101))</f>
        <v>0</v>
      </c>
      <c r="M119" s="81">
        <f ca="1">SUMPRODUCT((Work_Codes!$N$355:$Y$355=$E119)*(Work_Codes!$N$358:$Y$359)*(M$100:M$101))</f>
        <v>0</v>
      </c>
      <c r="N119" s="81">
        <f ca="1">SUMPRODUCT((Work_Codes!$N$355:$Y$355=$E119)*(Work_Codes!$N$358:$Y$359)*(N$100:N$101))</f>
        <v>0</v>
      </c>
      <c r="O119" s="81">
        <f ca="1">SUMPRODUCT((Work_Codes!$N$355:$Y$355=$E119)*(Work_Codes!$N$358:$Y$359)*(O$100:O$101))</f>
        <v>0</v>
      </c>
      <c r="P119" s="81">
        <f ca="1">SUMPRODUCT((Work_Codes!$N$355:$Y$355=$E119)*(Work_Codes!$N$358:$Y$359)*(P$100:P$101))</f>
        <v>0</v>
      </c>
      <c r="Q119" s="81">
        <f ca="1">SUMPRODUCT((Work_Codes!$N$355:$Y$355=$E119)*(Work_Codes!$N$358:$Y$359)*(Q$100:Q$101))</f>
        <v>0</v>
      </c>
      <c r="R119" s="81">
        <f ca="1">SUMPRODUCT((Work_Codes!$N$355:$Y$355=$E119)*(Work_Codes!$N$358:$Y$359)*(R$100:R$101))</f>
        <v>0</v>
      </c>
      <c r="S119" s="81">
        <f ca="1">SUMPRODUCT((Work_Codes!$N$355:$Y$355=$E119)*(Work_Codes!$N$358:$Y$359)*(S$100:S$101))</f>
        <v>0</v>
      </c>
      <c r="T119" s="81">
        <f ca="1">SUMPRODUCT((Work_Codes!$N$355:$Y$355=$E119)*(Work_Codes!$N$358:$Y$359)*(T$100:T$101))</f>
        <v>0</v>
      </c>
    </row>
    <row r="120" spans="4:20" ht="11.5" customHeight="1" outlineLevel="2">
      <c r="E120" s="247" t="str">
        <f>GC!C50</f>
        <v>Land</v>
      </c>
      <c r="F120" s="247"/>
      <c r="G120" s="247"/>
      <c r="H120" s="247"/>
      <c r="I120" s="247"/>
      <c r="J120" s="81">
        <f ca="1">SUMPRODUCT((Work_Codes!$N$355:$Y$355=$E120)*(Work_Codes!$N$358:$Y$359)*(J$100:J$101))</f>
        <v>0</v>
      </c>
      <c r="K120" s="81">
        <f ca="1">SUMPRODUCT((Work_Codes!$N$355:$Y$355=$E120)*(Work_Codes!$N$358:$Y$359)*(K$100:K$101))</f>
        <v>0</v>
      </c>
      <c r="L120" s="81">
        <f ca="1">SUMPRODUCT((Work_Codes!$N$355:$Y$355=$E120)*(Work_Codes!$N$358:$Y$359)*(L$100:L$101))</f>
        <v>0</v>
      </c>
      <c r="M120" s="81">
        <f ca="1">SUMPRODUCT((Work_Codes!$N$355:$Y$355=$E120)*(Work_Codes!$N$358:$Y$359)*(M$100:M$101))</f>
        <v>0</v>
      </c>
      <c r="N120" s="81">
        <f ca="1">SUMPRODUCT((Work_Codes!$N$355:$Y$355=$E120)*(Work_Codes!$N$358:$Y$359)*(N$100:N$101))</f>
        <v>0</v>
      </c>
      <c r="O120" s="81">
        <f ca="1">SUMPRODUCT((Work_Codes!$N$355:$Y$355=$E120)*(Work_Codes!$N$358:$Y$359)*(O$100:O$101))</f>
        <v>0</v>
      </c>
      <c r="P120" s="81">
        <f ca="1">SUMPRODUCT((Work_Codes!$N$355:$Y$355=$E120)*(Work_Codes!$N$358:$Y$359)*(P$100:P$101))</f>
        <v>0</v>
      </c>
      <c r="Q120" s="81">
        <f ca="1">SUMPRODUCT((Work_Codes!$N$355:$Y$355=$E120)*(Work_Codes!$N$358:$Y$359)*(Q$100:Q$101))</f>
        <v>0</v>
      </c>
      <c r="R120" s="81">
        <f ca="1">SUMPRODUCT((Work_Codes!$N$355:$Y$355=$E120)*(Work_Codes!$N$358:$Y$359)*(R$100:R$101))</f>
        <v>0</v>
      </c>
      <c r="S120" s="81">
        <f ca="1">SUMPRODUCT((Work_Codes!$N$355:$Y$355=$E120)*(Work_Codes!$N$358:$Y$359)*(S$100:S$101))</f>
        <v>0</v>
      </c>
      <c r="T120" s="81">
        <f ca="1">SUMPRODUCT((Work_Codes!$N$355:$Y$355=$E120)*(Work_Codes!$N$358:$Y$359)*(T$100:T$101))</f>
        <v>0</v>
      </c>
    </row>
    <row r="121" spans="4:20" outlineLevel="2">
      <c r="E121" s="247" t="str">
        <f>GC!C51</f>
        <v>Capitalised Leases</v>
      </c>
      <c r="F121" s="247"/>
      <c r="G121" s="247"/>
      <c r="H121" s="247"/>
      <c r="I121" s="247"/>
      <c r="J121" s="81">
        <f ca="1">SUMPRODUCT((Work_Codes!$N$355:$Y$355=$E121)*(Work_Codes!$N$358:$Y$359)*(J$100:J$101))</f>
        <v>0</v>
      </c>
      <c r="K121" s="81">
        <f ca="1">SUMPRODUCT((Work_Codes!$N$355:$Y$355=$E121)*(Work_Codes!$N$358:$Y$359)*(K$100:K$101))</f>
        <v>0</v>
      </c>
      <c r="L121" s="81">
        <f ca="1">SUMPRODUCT((Work_Codes!$N$355:$Y$355=$E121)*(Work_Codes!$N$358:$Y$359)*(L$100:L$101))</f>
        <v>0</v>
      </c>
      <c r="M121" s="81">
        <f ca="1">SUMPRODUCT((Work_Codes!$N$355:$Y$355=$E121)*(Work_Codes!$N$358:$Y$359)*(M$100:M$101))</f>
        <v>0</v>
      </c>
      <c r="N121" s="81">
        <f ca="1">SUMPRODUCT((Work_Codes!$N$355:$Y$355=$E121)*(Work_Codes!$N$358:$Y$359)*(N$100:N$101))</f>
        <v>0</v>
      </c>
      <c r="O121" s="81">
        <f ca="1">SUMPRODUCT((Work_Codes!$N$355:$Y$355=$E121)*(Work_Codes!$N$358:$Y$359)*(O$100:O$101))</f>
        <v>0</v>
      </c>
      <c r="P121" s="81">
        <f ca="1">SUMPRODUCT((Work_Codes!$N$355:$Y$355=$E121)*(Work_Codes!$N$358:$Y$359)*(P$100:P$101))</f>
        <v>0</v>
      </c>
      <c r="Q121" s="81">
        <f ca="1">SUMPRODUCT((Work_Codes!$N$355:$Y$355=$E121)*(Work_Codes!$N$358:$Y$359)*(Q$100:Q$101))</f>
        <v>0</v>
      </c>
      <c r="R121" s="81">
        <f ca="1">SUMPRODUCT((Work_Codes!$N$355:$Y$355=$E121)*(Work_Codes!$N$358:$Y$359)*(R$100:R$101))</f>
        <v>0</v>
      </c>
      <c r="S121" s="81">
        <f ca="1">SUMPRODUCT((Work_Codes!$N$355:$Y$355=$E121)*(Work_Codes!$N$358:$Y$359)*(S$100:S$101))</f>
        <v>0</v>
      </c>
      <c r="T121" s="81">
        <f ca="1">SUMPRODUCT((Work_Codes!$N$355:$Y$355=$E121)*(Work_Codes!$N$358:$Y$359)*(T$100:T$101))</f>
        <v>0</v>
      </c>
    </row>
    <row r="122" spans="4:20" outlineLevel="2">
      <c r="E122" s="247" t="str">
        <f>GC!C52</f>
        <v>Transmission pipelines - post 1998</v>
      </c>
      <c r="F122" s="247"/>
      <c r="G122" s="247"/>
      <c r="H122" s="247"/>
      <c r="I122" s="247"/>
      <c r="J122" s="81">
        <f ca="1">SUMPRODUCT((Work_Codes!$N$355:$Y$355=$E122)*(Work_Codes!$N$358:$Y$359)*(J$100:J$101))</f>
        <v>0</v>
      </c>
      <c r="K122" s="81">
        <f ca="1">SUMPRODUCT((Work_Codes!$N$355:$Y$355=$E122)*(Work_Codes!$N$358:$Y$359)*(K$100:K$101))</f>
        <v>0</v>
      </c>
      <c r="L122" s="81">
        <f ca="1">SUMPRODUCT((Work_Codes!$N$355:$Y$355=$E122)*(Work_Codes!$N$358:$Y$359)*(L$100:L$101))</f>
        <v>0</v>
      </c>
      <c r="M122" s="81">
        <f ca="1">SUMPRODUCT((Work_Codes!$N$355:$Y$355=$E122)*(Work_Codes!$N$358:$Y$359)*(M$100:M$101))</f>
        <v>0</v>
      </c>
      <c r="N122" s="81">
        <f ca="1">SUMPRODUCT((Work_Codes!$N$355:$Y$355=$E122)*(Work_Codes!$N$358:$Y$359)*(N$100:N$101))</f>
        <v>0</v>
      </c>
      <c r="O122" s="81">
        <f ca="1">SUMPRODUCT((Work_Codes!$N$355:$Y$355=$E122)*(Work_Codes!$N$358:$Y$359)*(O$100:O$101))</f>
        <v>0</v>
      </c>
      <c r="P122" s="81">
        <f ca="1">SUMPRODUCT((Work_Codes!$N$355:$Y$355=$E122)*(Work_Codes!$N$358:$Y$359)*(P$100:P$101))</f>
        <v>0</v>
      </c>
      <c r="Q122" s="81">
        <f ca="1">SUMPRODUCT((Work_Codes!$N$355:$Y$355=$E122)*(Work_Codes!$N$358:$Y$359)*(Q$100:Q$101))</f>
        <v>0</v>
      </c>
      <c r="R122" s="81">
        <f ca="1">SUMPRODUCT((Work_Codes!$N$355:$Y$355=$E122)*(Work_Codes!$N$358:$Y$359)*(R$100:R$101))</f>
        <v>0</v>
      </c>
      <c r="S122" s="81">
        <f ca="1">SUMPRODUCT((Work_Codes!$N$355:$Y$355=$E122)*(Work_Codes!$N$358:$Y$359)*(S$100:S$101))</f>
        <v>0</v>
      </c>
      <c r="T122" s="81">
        <f ca="1">SUMPRODUCT((Work_Codes!$N$355:$Y$355=$E122)*(Work_Codes!$N$358:$Y$359)*(T$100:T$101))</f>
        <v>0</v>
      </c>
    </row>
    <row r="123" spans="4:20" outlineLevel="2">
      <c r="E123" s="247" t="str">
        <f>GC!C53</f>
        <v>Distribution pipelines - post 1998</v>
      </c>
      <c r="F123" s="247"/>
      <c r="G123" s="247"/>
      <c r="H123" s="247"/>
      <c r="I123" s="247"/>
      <c r="J123" s="81">
        <f ca="1">SUMPRODUCT((Work_Codes!$N$355:$Y$355=$E123)*(Work_Codes!$N$358:$Y$359)*(J$100:J$101))</f>
        <v>0</v>
      </c>
      <c r="K123" s="81">
        <f ca="1">SUMPRODUCT((Work_Codes!$N$355:$Y$355=$E123)*(Work_Codes!$N$358:$Y$359)*(K$100:K$101))</f>
        <v>0</v>
      </c>
      <c r="L123" s="81">
        <f ca="1">SUMPRODUCT((Work_Codes!$N$355:$Y$355=$E123)*(Work_Codes!$N$358:$Y$359)*(L$100:L$101))</f>
        <v>0</v>
      </c>
      <c r="M123" s="81">
        <f ca="1">SUMPRODUCT((Work_Codes!$N$355:$Y$355=$E123)*(Work_Codes!$N$358:$Y$359)*(M$100:M$101))</f>
        <v>0</v>
      </c>
      <c r="N123" s="81">
        <f ca="1">SUMPRODUCT((Work_Codes!$N$355:$Y$355=$E123)*(Work_Codes!$N$358:$Y$359)*(N$100:N$101))</f>
        <v>9539570.9848130997</v>
      </c>
      <c r="O123" s="81">
        <f ca="1">SUMPRODUCT((Work_Codes!$N$355:$Y$355=$E123)*(Work_Codes!$N$358:$Y$359)*(O$100:O$101))</f>
        <v>3954464.2117566429</v>
      </c>
      <c r="P123" s="81">
        <f ca="1">SUMPRODUCT((Work_Codes!$N$355:$Y$355=$E123)*(Work_Codes!$N$358:$Y$359)*(P$100:P$101))</f>
        <v>7269183.4960379452</v>
      </c>
      <c r="Q123" s="81">
        <f ca="1">SUMPRODUCT((Work_Codes!$N$355:$Y$355=$E123)*(Work_Codes!$N$358:$Y$359)*(Q$100:Q$101))</f>
        <v>7498449.1042614207</v>
      </c>
      <c r="R123" s="81">
        <f ca="1">SUMPRODUCT((Work_Codes!$N$355:$Y$355=$E123)*(Work_Codes!$N$358:$Y$359)*(R$100:R$101))</f>
        <v>7723433.9353204221</v>
      </c>
      <c r="S123" s="81">
        <f ca="1">SUMPRODUCT((Work_Codes!$N$355:$Y$355=$E123)*(Work_Codes!$N$358:$Y$359)*(S$100:S$101))</f>
        <v>7537653.2876516478</v>
      </c>
      <c r="T123" s="81">
        <f ca="1">SUMPRODUCT((Work_Codes!$N$355:$Y$355=$E123)*(Work_Codes!$N$358:$Y$359)*(T$100:T$101))</f>
        <v>7344617.6830568034</v>
      </c>
    </row>
    <row r="124" spans="4:20" outlineLevel="2">
      <c r="E124" s="247" t="str">
        <f>GC!C54</f>
        <v>Service pipes - post 1998</v>
      </c>
      <c r="F124" s="247"/>
      <c r="G124" s="247"/>
      <c r="H124" s="247"/>
      <c r="I124" s="247"/>
      <c r="J124" s="81">
        <f ca="1">SUMPRODUCT((Work_Codes!$N$355:$Y$355=$E124)*(Work_Codes!$N$358:$Y$359)*(J$100:J$101))</f>
        <v>0</v>
      </c>
      <c r="K124" s="81">
        <f ca="1">SUMPRODUCT((Work_Codes!$N$355:$Y$355=$E124)*(Work_Codes!$N$358:$Y$359)*(K$100:K$101))</f>
        <v>0</v>
      </c>
      <c r="L124" s="81">
        <f ca="1">SUMPRODUCT((Work_Codes!$N$355:$Y$355=$E124)*(Work_Codes!$N$358:$Y$359)*(L$100:L$101))</f>
        <v>0</v>
      </c>
      <c r="M124" s="81">
        <f ca="1">SUMPRODUCT((Work_Codes!$N$355:$Y$355=$E124)*(Work_Codes!$N$358:$Y$359)*(M$100:M$101))</f>
        <v>0</v>
      </c>
      <c r="N124" s="81">
        <f ca="1">SUMPRODUCT((Work_Codes!$N$355:$Y$355=$E124)*(Work_Codes!$N$358:$Y$359)*(N$100:N$101))</f>
        <v>28618712.954439301</v>
      </c>
      <c r="O124" s="81">
        <f ca="1">SUMPRODUCT((Work_Codes!$N$355:$Y$355=$E124)*(Work_Codes!$N$358:$Y$359)*(O$100:O$101))</f>
        <v>11863392.635269929</v>
      </c>
      <c r="P124" s="81">
        <f ca="1">SUMPRODUCT((Work_Codes!$N$355:$Y$355=$E124)*(Work_Codes!$N$358:$Y$359)*(P$100:P$101))</f>
        <v>21807550.488113835</v>
      </c>
      <c r="Q124" s="81">
        <f ca="1">SUMPRODUCT((Work_Codes!$N$355:$Y$355=$E124)*(Work_Codes!$N$358:$Y$359)*(Q$100:Q$101))</f>
        <v>22495347.312784262</v>
      </c>
      <c r="R124" s="81">
        <f ca="1">SUMPRODUCT((Work_Codes!$N$355:$Y$355=$E124)*(Work_Codes!$N$358:$Y$359)*(R$100:R$101))</f>
        <v>23170301.805961266</v>
      </c>
      <c r="S124" s="81">
        <f ca="1">SUMPRODUCT((Work_Codes!$N$355:$Y$355=$E124)*(Work_Codes!$N$358:$Y$359)*(S$100:S$101))</f>
        <v>22612959.862954941</v>
      </c>
      <c r="T124" s="81">
        <f ca="1">SUMPRODUCT((Work_Codes!$N$355:$Y$355=$E124)*(Work_Codes!$N$358:$Y$359)*(T$100:T$101))</f>
        <v>22033853.049170408</v>
      </c>
    </row>
    <row r="125" spans="4:20" outlineLevel="2">
      <c r="E125" s="247" t="str">
        <f>GC!C55</f>
        <v>Cathodic protection - post 1998</v>
      </c>
      <c r="F125" s="247"/>
      <c r="G125" s="247"/>
      <c r="H125" s="247"/>
      <c r="I125" s="247"/>
      <c r="J125" s="81">
        <f ca="1">SUMPRODUCT((Work_Codes!$N$355:$Y$355=$E125)*(Work_Codes!$N$358:$Y$359)*(J$100:J$101))</f>
        <v>0</v>
      </c>
      <c r="K125" s="81">
        <f ca="1">SUMPRODUCT((Work_Codes!$N$355:$Y$355=$E125)*(Work_Codes!$N$358:$Y$359)*(K$100:K$101))</f>
        <v>0</v>
      </c>
      <c r="L125" s="81">
        <f ca="1">SUMPRODUCT((Work_Codes!$N$355:$Y$355=$E125)*(Work_Codes!$N$358:$Y$359)*(L$100:L$101))</f>
        <v>0</v>
      </c>
      <c r="M125" s="81">
        <f ca="1">SUMPRODUCT((Work_Codes!$N$355:$Y$355=$E125)*(Work_Codes!$N$358:$Y$359)*(M$100:M$101))</f>
        <v>0</v>
      </c>
      <c r="N125" s="81">
        <f ca="1">SUMPRODUCT((Work_Codes!$N$355:$Y$355=$E125)*(Work_Codes!$N$358:$Y$359)*(N$100:N$101))</f>
        <v>0</v>
      </c>
      <c r="O125" s="81">
        <f ca="1">SUMPRODUCT((Work_Codes!$N$355:$Y$355=$E125)*(Work_Codes!$N$358:$Y$359)*(O$100:O$101))</f>
        <v>0</v>
      </c>
      <c r="P125" s="81">
        <f ca="1">SUMPRODUCT((Work_Codes!$N$355:$Y$355=$E125)*(Work_Codes!$N$358:$Y$359)*(P$100:P$101))</f>
        <v>0</v>
      </c>
      <c r="Q125" s="81">
        <f ca="1">SUMPRODUCT((Work_Codes!$N$355:$Y$355=$E125)*(Work_Codes!$N$358:$Y$359)*(Q$100:Q$101))</f>
        <v>0</v>
      </c>
      <c r="R125" s="81">
        <f ca="1">SUMPRODUCT((Work_Codes!$N$355:$Y$355=$E125)*(Work_Codes!$N$358:$Y$359)*(R$100:R$101))</f>
        <v>0</v>
      </c>
      <c r="S125" s="81">
        <f ca="1">SUMPRODUCT((Work_Codes!$N$355:$Y$355=$E125)*(Work_Codes!$N$358:$Y$359)*(S$100:S$101))</f>
        <v>0</v>
      </c>
      <c r="T125" s="81">
        <f ca="1">SUMPRODUCT((Work_Codes!$N$355:$Y$355=$E125)*(Work_Codes!$N$358:$Y$359)*(T$100:T$101))</f>
        <v>0</v>
      </c>
    </row>
    <row r="126" spans="4:20" ht="12" customHeight="1" outlineLevel="2">
      <c r="E126" s="249" t="str">
        <f>"Total "&amp;D108</f>
        <v>Total Direct Costs</v>
      </c>
      <c r="F126" s="249"/>
      <c r="G126" s="249"/>
      <c r="H126" s="249"/>
      <c r="I126" s="249"/>
      <c r="J126" s="82">
        <f t="shared" ref="J126:T126" ca="1" si="16">SUM(J110:J125)</f>
        <v>0</v>
      </c>
      <c r="K126" s="82">
        <f t="shared" ca="1" si="16"/>
        <v>0</v>
      </c>
      <c r="L126" s="82">
        <f t="shared" ca="1" si="16"/>
        <v>0</v>
      </c>
      <c r="M126" s="82">
        <f t="shared" ca="1" si="16"/>
        <v>0</v>
      </c>
      <c r="N126" s="82">
        <f t="shared" ca="1" si="16"/>
        <v>47697854.9240655</v>
      </c>
      <c r="O126" s="82">
        <f t="shared" ca="1" si="16"/>
        <v>19772321.058783215</v>
      </c>
      <c r="P126" s="82">
        <f t="shared" ca="1" si="16"/>
        <v>36345917.480189726</v>
      </c>
      <c r="Q126" s="82">
        <f t="shared" ca="1" si="16"/>
        <v>37492245.521307103</v>
      </c>
      <c r="R126" s="82">
        <f t="shared" ca="1" si="16"/>
        <v>38617169.67660211</v>
      </c>
      <c r="S126" s="82">
        <f t="shared" ca="1" si="16"/>
        <v>37688266.438258238</v>
      </c>
      <c r="T126" s="82">
        <f t="shared" ca="1" si="16"/>
        <v>36723088.415284015</v>
      </c>
    </row>
    <row r="127" spans="4:20" outlineLevel="2"/>
    <row r="128" spans="4:20" outlineLevel="2">
      <c r="D128" s="37" t="s">
        <v>364</v>
      </c>
    </row>
    <row r="129" spans="5:20" ht="5.9" customHeight="1" outlineLevel="2"/>
    <row r="130" spans="5:20" outlineLevel="2">
      <c r="E130" s="247" t="str">
        <f>GC!C40</f>
        <v>Transmission pipelines</v>
      </c>
      <c r="F130" s="247"/>
      <c r="G130" s="247"/>
      <c r="H130" s="247"/>
      <c r="I130" s="247"/>
      <c r="J130" s="81">
        <f ca="1">J110*(INDEX(J$35:J$37,MATCH(Work_Codes!$I$352,$D$35:$D$37,0)))</f>
        <v>0</v>
      </c>
      <c r="K130" s="81">
        <f ca="1">K110*(INDEX(K$35:K$37,MATCH(Work_Codes!$I$352,$D$35:$D$37,0)))</f>
        <v>0</v>
      </c>
      <c r="L130" s="81">
        <f ca="1">L110*(INDEX(L$35:L$37,MATCH(Work_Codes!$I$352,$D$35:$D$37,0)))</f>
        <v>0</v>
      </c>
      <c r="M130" s="81">
        <f ca="1">M110*(INDEX(M$35:M$37,MATCH(Work_Codes!$I$352,$D$35:$D$37,0)))</f>
        <v>0</v>
      </c>
      <c r="N130" s="81">
        <f ca="1">N110*(INDEX(N$35:N$37,MATCH(Work_Codes!$I$352,$D$35:$D$37,0)))</f>
        <v>0</v>
      </c>
      <c r="O130" s="81">
        <f ca="1">O110*(INDEX(O$35:O$37,MATCH(Work_Codes!$I$352,$D$35:$D$37,0)))</f>
        <v>0</v>
      </c>
      <c r="P130" s="81">
        <f ca="1">P110*(INDEX(P$35:P$37,MATCH(Work_Codes!$I$352,$D$35:$D$37,0)))</f>
        <v>0</v>
      </c>
      <c r="Q130" s="81">
        <f ca="1">Q110*(INDEX(Q$35:Q$37,MATCH(Work_Codes!$I$352,$D$35:$D$37,0)))</f>
        <v>0</v>
      </c>
      <c r="R130" s="81">
        <f ca="1">R110*(INDEX(R$35:R$37,MATCH(Work_Codes!$I$352,$D$35:$D$37,0)))</f>
        <v>0</v>
      </c>
      <c r="S130" s="81">
        <f ca="1">S110*(INDEX(S$35:S$37,MATCH(Work_Codes!$I$352,$D$35:$D$37,0)))</f>
        <v>0</v>
      </c>
      <c r="T130" s="81">
        <f ca="1">T110*(INDEX(T$35:T$37,MATCH(Work_Codes!$I$352,$D$35:$D$37,0)))</f>
        <v>0</v>
      </c>
    </row>
    <row r="131" spans="5:20" outlineLevel="2">
      <c r="E131" s="247" t="str">
        <f>GC!C41</f>
        <v>Distribution pipelines</v>
      </c>
      <c r="F131" s="247"/>
      <c r="G131" s="247"/>
      <c r="H131" s="247"/>
      <c r="I131" s="247"/>
      <c r="J131" s="81">
        <f ca="1">J111*(INDEX(J$35:J$37,MATCH(Work_Codes!$I$352,$D$35:$D$37,0)))</f>
        <v>0</v>
      </c>
      <c r="K131" s="81">
        <f ca="1">K111*(INDEX(K$35:K$37,MATCH(Work_Codes!$I$352,$D$35:$D$37,0)))</f>
        <v>0</v>
      </c>
      <c r="L131" s="81">
        <f ca="1">L111*(INDEX(L$35:L$37,MATCH(Work_Codes!$I$352,$D$35:$D$37,0)))</f>
        <v>0</v>
      </c>
      <c r="M131" s="81">
        <f ca="1">M111*(INDEX(M$35:M$37,MATCH(Work_Codes!$I$352,$D$35:$D$37,0)))</f>
        <v>0</v>
      </c>
      <c r="N131" s="81">
        <f ca="1">N111*(INDEX(N$35:N$37,MATCH(Work_Codes!$I$352,$D$35:$D$37,0)))</f>
        <v>0</v>
      </c>
      <c r="O131" s="81">
        <f ca="1">O111*(INDEX(O$35:O$37,MATCH(Work_Codes!$I$352,$D$35:$D$37,0)))</f>
        <v>0</v>
      </c>
      <c r="P131" s="81">
        <f ca="1">P111*(INDEX(P$35:P$37,MATCH(Work_Codes!$I$352,$D$35:$D$37,0)))</f>
        <v>0</v>
      </c>
      <c r="Q131" s="81">
        <f ca="1">Q111*(INDEX(Q$35:Q$37,MATCH(Work_Codes!$I$352,$D$35:$D$37,0)))</f>
        <v>0</v>
      </c>
      <c r="R131" s="81">
        <f ca="1">R111*(INDEX(R$35:R$37,MATCH(Work_Codes!$I$352,$D$35:$D$37,0)))</f>
        <v>0</v>
      </c>
      <c r="S131" s="81">
        <f ca="1">S111*(INDEX(S$35:S$37,MATCH(Work_Codes!$I$352,$D$35:$D$37,0)))</f>
        <v>0</v>
      </c>
      <c r="T131" s="81">
        <f ca="1">T111*(INDEX(T$35:T$37,MATCH(Work_Codes!$I$352,$D$35:$D$37,0)))</f>
        <v>0</v>
      </c>
    </row>
    <row r="132" spans="5:20" outlineLevel="2">
      <c r="E132" s="247" t="str">
        <f>GC!C42</f>
        <v>Service pipes</v>
      </c>
      <c r="F132" s="247"/>
      <c r="G132" s="247"/>
      <c r="H132" s="247"/>
      <c r="I132" s="247"/>
      <c r="J132" s="81">
        <f ca="1">J112*(INDEX(J$35:J$37,MATCH(Work_Codes!$I$352,$D$35:$D$37,0)))</f>
        <v>0</v>
      </c>
      <c r="K132" s="81">
        <f ca="1">K112*(INDEX(K$35:K$37,MATCH(Work_Codes!$I$352,$D$35:$D$37,0)))</f>
        <v>0</v>
      </c>
      <c r="L132" s="81">
        <f ca="1">L112*(INDEX(L$35:L$37,MATCH(Work_Codes!$I$352,$D$35:$D$37,0)))</f>
        <v>0</v>
      </c>
      <c r="M132" s="81">
        <f ca="1">M112*(INDEX(M$35:M$37,MATCH(Work_Codes!$I$352,$D$35:$D$37,0)))</f>
        <v>0</v>
      </c>
      <c r="N132" s="81">
        <f ca="1">N112*(INDEX(N$35:N$37,MATCH(Work_Codes!$I$352,$D$35:$D$37,0)))</f>
        <v>0</v>
      </c>
      <c r="O132" s="81">
        <f ca="1">O112*(INDEX(O$35:O$37,MATCH(Work_Codes!$I$352,$D$35:$D$37,0)))</f>
        <v>0</v>
      </c>
      <c r="P132" s="81">
        <f ca="1">P112*(INDEX(P$35:P$37,MATCH(Work_Codes!$I$352,$D$35:$D$37,0)))</f>
        <v>0</v>
      </c>
      <c r="Q132" s="81">
        <f ca="1">Q112*(INDEX(Q$35:Q$37,MATCH(Work_Codes!$I$352,$D$35:$D$37,0)))</f>
        <v>0</v>
      </c>
      <c r="R132" s="81">
        <f ca="1">R112*(INDEX(R$35:R$37,MATCH(Work_Codes!$I$352,$D$35:$D$37,0)))</f>
        <v>0</v>
      </c>
      <c r="S132" s="81">
        <f ca="1">S112*(INDEX(S$35:S$37,MATCH(Work_Codes!$I$352,$D$35:$D$37,0)))</f>
        <v>0</v>
      </c>
      <c r="T132" s="81">
        <f ca="1">T112*(INDEX(T$35:T$37,MATCH(Work_Codes!$I$352,$D$35:$D$37,0)))</f>
        <v>0</v>
      </c>
    </row>
    <row r="133" spans="5:20" outlineLevel="2">
      <c r="E133" s="247" t="str">
        <f>GC!C43</f>
        <v>Cathodic protection</v>
      </c>
      <c r="F133" s="247"/>
      <c r="G133" s="247"/>
      <c r="H133" s="247"/>
      <c r="I133" s="247"/>
      <c r="J133" s="81">
        <f ca="1">J113*(INDEX(J$35:J$37,MATCH(Work_Codes!$I$352,$D$35:$D$37,0)))</f>
        <v>0</v>
      </c>
      <c r="K133" s="81">
        <f ca="1">K113*(INDEX(K$35:K$37,MATCH(Work_Codes!$I$352,$D$35:$D$37,0)))</f>
        <v>0</v>
      </c>
      <c r="L133" s="81">
        <f ca="1">L113*(INDEX(L$35:L$37,MATCH(Work_Codes!$I$352,$D$35:$D$37,0)))</f>
        <v>0</v>
      </c>
      <c r="M133" s="81">
        <f ca="1">M113*(INDEX(M$35:M$37,MATCH(Work_Codes!$I$352,$D$35:$D$37,0)))</f>
        <v>0</v>
      </c>
      <c r="N133" s="81">
        <f ca="1">N113*(INDEX(N$35:N$37,MATCH(Work_Codes!$I$352,$D$35:$D$37,0)))</f>
        <v>0</v>
      </c>
      <c r="O133" s="81">
        <f ca="1">O113*(INDEX(O$35:O$37,MATCH(Work_Codes!$I$352,$D$35:$D$37,0)))</f>
        <v>0</v>
      </c>
      <c r="P133" s="81">
        <f ca="1">P113*(INDEX(P$35:P$37,MATCH(Work_Codes!$I$352,$D$35:$D$37,0)))</f>
        <v>0</v>
      </c>
      <c r="Q133" s="81">
        <f ca="1">Q113*(INDEX(Q$35:Q$37,MATCH(Work_Codes!$I$352,$D$35:$D$37,0)))</f>
        <v>0</v>
      </c>
      <c r="R133" s="81">
        <f ca="1">R113*(INDEX(R$35:R$37,MATCH(Work_Codes!$I$352,$D$35:$D$37,0)))</f>
        <v>0</v>
      </c>
      <c r="S133" s="81">
        <f ca="1">S113*(INDEX(S$35:S$37,MATCH(Work_Codes!$I$352,$D$35:$D$37,0)))</f>
        <v>0</v>
      </c>
      <c r="T133" s="81">
        <f ca="1">T113*(INDEX(T$35:T$37,MATCH(Work_Codes!$I$352,$D$35:$D$37,0)))</f>
        <v>0</v>
      </c>
    </row>
    <row r="134" spans="5:20" outlineLevel="2">
      <c r="E134" s="247" t="str">
        <f>GC!C44</f>
        <v>Supply Regulators / Valve Stations</v>
      </c>
      <c r="F134" s="247"/>
      <c r="G134" s="247"/>
      <c r="H134" s="247"/>
      <c r="I134" s="247"/>
      <c r="J134" s="81">
        <f ca="1">J114*(INDEX(J$35:J$37,MATCH(Work_Codes!$I$352,$D$35:$D$37,0)))</f>
        <v>0</v>
      </c>
      <c r="K134" s="81">
        <f ca="1">K114*(INDEX(K$35:K$37,MATCH(Work_Codes!$I$352,$D$35:$D$37,0)))</f>
        <v>0</v>
      </c>
      <c r="L134" s="81">
        <f ca="1">L114*(INDEX(L$35:L$37,MATCH(Work_Codes!$I$352,$D$35:$D$37,0)))</f>
        <v>0</v>
      </c>
      <c r="M134" s="81">
        <f ca="1">M114*(INDEX(M$35:M$37,MATCH(Work_Codes!$I$352,$D$35:$D$37,0)))</f>
        <v>0</v>
      </c>
      <c r="N134" s="81">
        <f ca="1">N114*(INDEX(N$35:N$37,MATCH(Work_Codes!$I$352,$D$35:$D$37,0)))</f>
        <v>0</v>
      </c>
      <c r="O134" s="81">
        <f ca="1">O114*(INDEX(O$35:O$37,MATCH(Work_Codes!$I$352,$D$35:$D$37,0)))</f>
        <v>0</v>
      </c>
      <c r="P134" s="81">
        <f ca="1">P114*(INDEX(P$35:P$37,MATCH(Work_Codes!$I$352,$D$35:$D$37,0)))</f>
        <v>0</v>
      </c>
      <c r="Q134" s="81">
        <f ca="1">Q114*(INDEX(Q$35:Q$37,MATCH(Work_Codes!$I$352,$D$35:$D$37,0)))</f>
        <v>0</v>
      </c>
      <c r="R134" s="81">
        <f ca="1">R114*(INDEX(R$35:R$37,MATCH(Work_Codes!$I$352,$D$35:$D$37,0)))</f>
        <v>0</v>
      </c>
      <c r="S134" s="81">
        <f ca="1">S114*(INDEX(S$35:S$37,MATCH(Work_Codes!$I$352,$D$35:$D$37,0)))</f>
        <v>0</v>
      </c>
      <c r="T134" s="81">
        <f ca="1">T114*(INDEX(T$35:T$37,MATCH(Work_Codes!$I$352,$D$35:$D$37,0)))</f>
        <v>0</v>
      </c>
    </row>
    <row r="135" spans="5:20" outlineLevel="2">
      <c r="E135" s="247" t="str">
        <f>GC!C45</f>
        <v>Meters</v>
      </c>
      <c r="F135" s="247"/>
      <c r="G135" s="247"/>
      <c r="H135" s="247"/>
      <c r="I135" s="247"/>
      <c r="J135" s="81">
        <f ca="1">J115*(INDEX(J$35:J$37,MATCH(Work_Codes!$I$352,$D$35:$D$37,0)))</f>
        <v>0</v>
      </c>
      <c r="K135" s="81">
        <f ca="1">K115*(INDEX(K$35:K$37,MATCH(Work_Codes!$I$352,$D$35:$D$37,0)))</f>
        <v>0</v>
      </c>
      <c r="L135" s="81">
        <f ca="1">L115*(INDEX(L$35:L$37,MATCH(Work_Codes!$I$352,$D$35:$D$37,0)))</f>
        <v>0</v>
      </c>
      <c r="M135" s="81">
        <f ca="1">M115*(INDEX(M$35:M$37,MATCH(Work_Codes!$I$352,$D$35:$D$37,0)))</f>
        <v>0</v>
      </c>
      <c r="N135" s="81">
        <f ca="1">N115*(INDEX(N$35:N$37,MATCH(Work_Codes!$I$352,$D$35:$D$37,0)))</f>
        <v>359746.83183833893</v>
      </c>
      <c r="O135" s="81">
        <f ca="1">O115*(INDEX(O$35:O$37,MATCH(Work_Codes!$I$352,$D$35:$D$37,0)))</f>
        <v>131620.26445205353</v>
      </c>
      <c r="P135" s="81">
        <f ca="1">P115*(INDEX(P$35:P$37,MATCH(Work_Codes!$I$352,$D$35:$D$37,0)))</f>
        <v>194469.9982794438</v>
      </c>
      <c r="Q135" s="81">
        <f ca="1">Q115*(INDEX(Q$35:Q$37,MATCH(Work_Codes!$I$352,$D$35:$D$37,0)))</f>
        <v>195413.98786358887</v>
      </c>
      <c r="R135" s="81">
        <f ca="1">R115*(INDEX(R$35:R$37,MATCH(Work_Codes!$I$352,$D$35:$D$37,0)))</f>
        <v>207551.88638859941</v>
      </c>
      <c r="S135" s="81">
        <f ca="1">S115*(INDEX(S$35:S$37,MATCH(Work_Codes!$I$352,$D$35:$D$37,0)))</f>
        <v>215171.19944731539</v>
      </c>
      <c r="T135" s="81">
        <f ca="1">T115*(INDEX(T$35:T$37,MATCH(Work_Codes!$I$352,$D$35:$D$37,0)))</f>
        <v>219753.73883854348</v>
      </c>
    </row>
    <row r="136" spans="5:20" outlineLevel="2">
      <c r="E136" s="247" t="str">
        <f>GC!C46</f>
        <v>SCADA and remote control</v>
      </c>
      <c r="F136" s="247"/>
      <c r="G136" s="247"/>
      <c r="H136" s="247"/>
      <c r="I136" s="247"/>
      <c r="J136" s="81">
        <f ca="1">J116*(INDEX(J$35:J$37,MATCH(Work_Codes!$I$352,$D$35:$D$37,0)))</f>
        <v>0</v>
      </c>
      <c r="K136" s="81">
        <f ca="1">K116*(INDEX(K$35:K$37,MATCH(Work_Codes!$I$352,$D$35:$D$37,0)))</f>
        <v>0</v>
      </c>
      <c r="L136" s="81">
        <f ca="1">L116*(INDEX(L$35:L$37,MATCH(Work_Codes!$I$352,$D$35:$D$37,0)))</f>
        <v>0</v>
      </c>
      <c r="M136" s="81">
        <f ca="1">M116*(INDEX(M$35:M$37,MATCH(Work_Codes!$I$352,$D$35:$D$37,0)))</f>
        <v>0</v>
      </c>
      <c r="N136" s="81">
        <f ca="1">N116*(INDEX(N$35:N$37,MATCH(Work_Codes!$I$352,$D$35:$D$37,0)))</f>
        <v>0</v>
      </c>
      <c r="O136" s="81">
        <f ca="1">O116*(INDEX(O$35:O$37,MATCH(Work_Codes!$I$352,$D$35:$D$37,0)))</f>
        <v>0</v>
      </c>
      <c r="P136" s="81">
        <f ca="1">P116*(INDEX(P$35:P$37,MATCH(Work_Codes!$I$352,$D$35:$D$37,0)))</f>
        <v>0</v>
      </c>
      <c r="Q136" s="81">
        <f ca="1">Q116*(INDEX(Q$35:Q$37,MATCH(Work_Codes!$I$352,$D$35:$D$37,0)))</f>
        <v>0</v>
      </c>
      <c r="R136" s="81">
        <f ca="1">R116*(INDEX(R$35:R$37,MATCH(Work_Codes!$I$352,$D$35:$D$37,0)))</f>
        <v>0</v>
      </c>
      <c r="S136" s="81">
        <f ca="1">S116*(INDEX(S$35:S$37,MATCH(Work_Codes!$I$352,$D$35:$D$37,0)))</f>
        <v>0</v>
      </c>
      <c r="T136" s="81">
        <f ca="1">T116*(INDEX(T$35:T$37,MATCH(Work_Codes!$I$352,$D$35:$D$37,0)))</f>
        <v>0</v>
      </c>
    </row>
    <row r="137" spans="5:20" outlineLevel="2">
      <c r="E137" s="247" t="str">
        <f>GC!C47</f>
        <v>Buildings</v>
      </c>
      <c r="F137" s="247"/>
      <c r="G137" s="247"/>
      <c r="H137" s="247"/>
      <c r="I137" s="247"/>
      <c r="J137" s="81">
        <f ca="1">J117*(INDEX(J$35:J$37,MATCH(Work_Codes!$I$352,$D$35:$D$37,0)))</f>
        <v>0</v>
      </c>
      <c r="K137" s="81">
        <f ca="1">K117*(INDEX(K$35:K$37,MATCH(Work_Codes!$I$352,$D$35:$D$37,0)))</f>
        <v>0</v>
      </c>
      <c r="L137" s="81">
        <f ca="1">L117*(INDEX(L$35:L$37,MATCH(Work_Codes!$I$352,$D$35:$D$37,0)))</f>
        <v>0</v>
      </c>
      <c r="M137" s="81">
        <f ca="1">M117*(INDEX(M$35:M$37,MATCH(Work_Codes!$I$352,$D$35:$D$37,0)))</f>
        <v>0</v>
      </c>
      <c r="N137" s="81">
        <f ca="1">N117*(INDEX(N$35:N$37,MATCH(Work_Codes!$I$352,$D$35:$D$37,0)))</f>
        <v>0</v>
      </c>
      <c r="O137" s="81">
        <f ca="1">O117*(INDEX(O$35:O$37,MATCH(Work_Codes!$I$352,$D$35:$D$37,0)))</f>
        <v>0</v>
      </c>
      <c r="P137" s="81">
        <f ca="1">P117*(INDEX(P$35:P$37,MATCH(Work_Codes!$I$352,$D$35:$D$37,0)))</f>
        <v>0</v>
      </c>
      <c r="Q137" s="81">
        <f ca="1">Q117*(INDEX(Q$35:Q$37,MATCH(Work_Codes!$I$352,$D$35:$D$37,0)))</f>
        <v>0</v>
      </c>
      <c r="R137" s="81">
        <f ca="1">R117*(INDEX(R$35:R$37,MATCH(Work_Codes!$I$352,$D$35:$D$37,0)))</f>
        <v>0</v>
      </c>
      <c r="S137" s="81">
        <f ca="1">S117*(INDEX(S$35:S$37,MATCH(Work_Codes!$I$352,$D$35:$D$37,0)))</f>
        <v>0</v>
      </c>
      <c r="T137" s="81">
        <f ca="1">T117*(INDEX(T$35:T$37,MATCH(Work_Codes!$I$352,$D$35:$D$37,0)))</f>
        <v>0</v>
      </c>
    </row>
    <row r="138" spans="5:20" outlineLevel="2">
      <c r="E138" s="247" t="str">
        <f>GC!C48</f>
        <v>Other - IT</v>
      </c>
      <c r="F138" s="247"/>
      <c r="G138" s="247"/>
      <c r="H138" s="247"/>
      <c r="I138" s="247"/>
      <c r="J138" s="81">
        <f ca="1">J118*(INDEX(J$35:J$37,MATCH(Work_Codes!$I$352,$D$35:$D$37,0)))</f>
        <v>0</v>
      </c>
      <c r="K138" s="81">
        <f ca="1">K118*(INDEX(K$35:K$37,MATCH(Work_Codes!$I$352,$D$35:$D$37,0)))</f>
        <v>0</v>
      </c>
      <c r="L138" s="81">
        <f ca="1">L118*(INDEX(L$35:L$37,MATCH(Work_Codes!$I$352,$D$35:$D$37,0)))</f>
        <v>0</v>
      </c>
      <c r="M138" s="81">
        <f ca="1">M118*(INDEX(M$35:M$37,MATCH(Work_Codes!$I$352,$D$35:$D$37,0)))</f>
        <v>0</v>
      </c>
      <c r="N138" s="81">
        <f ca="1">N118*(INDEX(N$35:N$37,MATCH(Work_Codes!$I$352,$D$35:$D$37,0)))</f>
        <v>0</v>
      </c>
      <c r="O138" s="81">
        <f ca="1">O118*(INDEX(O$35:O$37,MATCH(Work_Codes!$I$352,$D$35:$D$37,0)))</f>
        <v>0</v>
      </c>
      <c r="P138" s="81">
        <f ca="1">P118*(INDEX(P$35:P$37,MATCH(Work_Codes!$I$352,$D$35:$D$37,0)))</f>
        <v>0</v>
      </c>
      <c r="Q138" s="81">
        <f ca="1">Q118*(INDEX(Q$35:Q$37,MATCH(Work_Codes!$I$352,$D$35:$D$37,0)))</f>
        <v>0</v>
      </c>
      <c r="R138" s="81">
        <f ca="1">R118*(INDEX(R$35:R$37,MATCH(Work_Codes!$I$352,$D$35:$D$37,0)))</f>
        <v>0</v>
      </c>
      <c r="S138" s="81">
        <f ca="1">S118*(INDEX(S$35:S$37,MATCH(Work_Codes!$I$352,$D$35:$D$37,0)))</f>
        <v>0</v>
      </c>
      <c r="T138" s="81">
        <f ca="1">T118*(INDEX(T$35:T$37,MATCH(Work_Codes!$I$352,$D$35:$D$37,0)))</f>
        <v>0</v>
      </c>
    </row>
    <row r="139" spans="5:20" outlineLevel="2">
      <c r="E139" s="247" t="str">
        <f>GC!C49</f>
        <v>Other - non IT</v>
      </c>
      <c r="F139" s="247"/>
      <c r="G139" s="247"/>
      <c r="H139" s="247"/>
      <c r="I139" s="247"/>
      <c r="J139" s="81">
        <f ca="1">J119*(INDEX(J$35:J$37,MATCH(Work_Codes!$I$352,$D$35:$D$37,0)))</f>
        <v>0</v>
      </c>
      <c r="K139" s="81">
        <f ca="1">K119*(INDEX(K$35:K$37,MATCH(Work_Codes!$I$352,$D$35:$D$37,0)))</f>
        <v>0</v>
      </c>
      <c r="L139" s="81">
        <f ca="1">L119*(INDEX(L$35:L$37,MATCH(Work_Codes!$I$352,$D$35:$D$37,0)))</f>
        <v>0</v>
      </c>
      <c r="M139" s="81">
        <f ca="1">M119*(INDEX(M$35:M$37,MATCH(Work_Codes!$I$352,$D$35:$D$37,0)))</f>
        <v>0</v>
      </c>
      <c r="N139" s="81">
        <f ca="1">N119*(INDEX(N$35:N$37,MATCH(Work_Codes!$I$352,$D$35:$D$37,0)))</f>
        <v>0</v>
      </c>
      <c r="O139" s="81">
        <f ca="1">O119*(INDEX(O$35:O$37,MATCH(Work_Codes!$I$352,$D$35:$D$37,0)))</f>
        <v>0</v>
      </c>
      <c r="P139" s="81">
        <f ca="1">P119*(INDEX(P$35:P$37,MATCH(Work_Codes!$I$352,$D$35:$D$37,0)))</f>
        <v>0</v>
      </c>
      <c r="Q139" s="81">
        <f ca="1">Q119*(INDEX(Q$35:Q$37,MATCH(Work_Codes!$I$352,$D$35:$D$37,0)))</f>
        <v>0</v>
      </c>
      <c r="R139" s="81">
        <f ca="1">R119*(INDEX(R$35:R$37,MATCH(Work_Codes!$I$352,$D$35:$D$37,0)))</f>
        <v>0</v>
      </c>
      <c r="S139" s="81">
        <f ca="1">S119*(INDEX(S$35:S$37,MATCH(Work_Codes!$I$352,$D$35:$D$37,0)))</f>
        <v>0</v>
      </c>
      <c r="T139" s="81">
        <f ca="1">T119*(INDEX(T$35:T$37,MATCH(Work_Codes!$I$352,$D$35:$D$37,0)))</f>
        <v>0</v>
      </c>
    </row>
    <row r="140" spans="5:20" outlineLevel="2">
      <c r="E140" s="247" t="str">
        <f>GC!C50</f>
        <v>Land</v>
      </c>
      <c r="F140" s="247"/>
      <c r="G140" s="247"/>
      <c r="H140" s="247"/>
      <c r="I140" s="247"/>
      <c r="J140" s="81">
        <f ca="1">J120*(INDEX(J$35:J$37,MATCH(Work_Codes!$I$352,$D$35:$D$37,0)))</f>
        <v>0</v>
      </c>
      <c r="K140" s="81">
        <f ca="1">K120*(INDEX(K$35:K$37,MATCH(Work_Codes!$I$352,$D$35:$D$37,0)))</f>
        <v>0</v>
      </c>
      <c r="L140" s="81">
        <f ca="1">L120*(INDEX(L$35:L$37,MATCH(Work_Codes!$I$352,$D$35:$D$37,0)))</f>
        <v>0</v>
      </c>
      <c r="M140" s="81">
        <f ca="1">M120*(INDEX(M$35:M$37,MATCH(Work_Codes!$I$352,$D$35:$D$37,0)))</f>
        <v>0</v>
      </c>
      <c r="N140" s="81">
        <f ca="1">N120*(INDEX(N$35:N$37,MATCH(Work_Codes!$I$352,$D$35:$D$37,0)))</f>
        <v>0</v>
      </c>
      <c r="O140" s="81">
        <f ca="1">O120*(INDEX(O$35:O$37,MATCH(Work_Codes!$I$352,$D$35:$D$37,0)))</f>
        <v>0</v>
      </c>
      <c r="P140" s="81">
        <f ca="1">P120*(INDEX(P$35:P$37,MATCH(Work_Codes!$I$352,$D$35:$D$37,0)))</f>
        <v>0</v>
      </c>
      <c r="Q140" s="81">
        <f ca="1">Q120*(INDEX(Q$35:Q$37,MATCH(Work_Codes!$I$352,$D$35:$D$37,0)))</f>
        <v>0</v>
      </c>
      <c r="R140" s="81">
        <f ca="1">R120*(INDEX(R$35:R$37,MATCH(Work_Codes!$I$352,$D$35:$D$37,0)))</f>
        <v>0</v>
      </c>
      <c r="S140" s="81">
        <f ca="1">S120*(INDEX(S$35:S$37,MATCH(Work_Codes!$I$352,$D$35:$D$37,0)))</f>
        <v>0</v>
      </c>
      <c r="T140" s="81">
        <f ca="1">T120*(INDEX(T$35:T$37,MATCH(Work_Codes!$I$352,$D$35:$D$37,0)))</f>
        <v>0</v>
      </c>
    </row>
    <row r="141" spans="5:20" outlineLevel="2">
      <c r="E141" s="247" t="str">
        <f>GC!C51</f>
        <v>Capitalised Leases</v>
      </c>
      <c r="F141" s="247"/>
      <c r="G141" s="247"/>
      <c r="H141" s="247"/>
      <c r="I141" s="247"/>
      <c r="J141" s="81">
        <f ca="1">J121*(INDEX(J$35:J$37,MATCH(Work_Codes!$I$352,$D$35:$D$37,0)))</f>
        <v>0</v>
      </c>
      <c r="K141" s="81">
        <f ca="1">K121*(INDEX(K$35:K$37,MATCH(Work_Codes!$I$352,$D$35:$D$37,0)))</f>
        <v>0</v>
      </c>
      <c r="L141" s="81">
        <f ca="1">L121*(INDEX(L$35:L$37,MATCH(Work_Codes!$I$352,$D$35:$D$37,0)))</f>
        <v>0</v>
      </c>
      <c r="M141" s="81">
        <f ca="1">M121*(INDEX(M$35:M$37,MATCH(Work_Codes!$I$352,$D$35:$D$37,0)))</f>
        <v>0</v>
      </c>
      <c r="N141" s="81">
        <f ca="1">N121*(INDEX(N$35:N$37,MATCH(Work_Codes!$I$352,$D$35:$D$37,0)))</f>
        <v>0</v>
      </c>
      <c r="O141" s="81">
        <f ca="1">O121*(INDEX(O$35:O$37,MATCH(Work_Codes!$I$352,$D$35:$D$37,0)))</f>
        <v>0</v>
      </c>
      <c r="P141" s="81">
        <f ca="1">P121*(INDEX(P$35:P$37,MATCH(Work_Codes!$I$352,$D$35:$D$37,0)))</f>
        <v>0</v>
      </c>
      <c r="Q141" s="81">
        <f ca="1">Q121*(INDEX(Q$35:Q$37,MATCH(Work_Codes!$I$352,$D$35:$D$37,0)))</f>
        <v>0</v>
      </c>
      <c r="R141" s="81">
        <f ca="1">R121*(INDEX(R$35:R$37,MATCH(Work_Codes!$I$352,$D$35:$D$37,0)))</f>
        <v>0</v>
      </c>
      <c r="S141" s="81">
        <f ca="1">S121*(INDEX(S$35:S$37,MATCH(Work_Codes!$I$352,$D$35:$D$37,0)))</f>
        <v>0</v>
      </c>
      <c r="T141" s="81">
        <f ca="1">T121*(INDEX(T$35:T$37,MATCH(Work_Codes!$I$352,$D$35:$D$37,0)))</f>
        <v>0</v>
      </c>
    </row>
    <row r="142" spans="5:20" outlineLevel="2">
      <c r="E142" s="247" t="str">
        <f>GC!C52</f>
        <v>Transmission pipelines - post 1998</v>
      </c>
      <c r="F142" s="247"/>
      <c r="G142" s="247"/>
      <c r="H142" s="247"/>
      <c r="I142" s="247"/>
      <c r="J142" s="81">
        <f ca="1">J122*(INDEX(J$35:J$37,MATCH(Work_Codes!$I$352,$D$35:$D$37,0)))</f>
        <v>0</v>
      </c>
      <c r="K142" s="81">
        <f ca="1">K122*(INDEX(K$35:K$37,MATCH(Work_Codes!$I$352,$D$35:$D$37,0)))</f>
        <v>0</v>
      </c>
      <c r="L142" s="81">
        <f ca="1">L122*(INDEX(L$35:L$37,MATCH(Work_Codes!$I$352,$D$35:$D$37,0)))</f>
        <v>0</v>
      </c>
      <c r="M142" s="81">
        <f ca="1">M122*(INDEX(M$35:M$37,MATCH(Work_Codes!$I$352,$D$35:$D$37,0)))</f>
        <v>0</v>
      </c>
      <c r="N142" s="81">
        <f ca="1">N122*(INDEX(N$35:N$37,MATCH(Work_Codes!$I$352,$D$35:$D$37,0)))</f>
        <v>0</v>
      </c>
      <c r="O142" s="81">
        <f ca="1">O122*(INDEX(O$35:O$37,MATCH(Work_Codes!$I$352,$D$35:$D$37,0)))</f>
        <v>0</v>
      </c>
      <c r="P142" s="81">
        <f ca="1">P122*(INDEX(P$35:P$37,MATCH(Work_Codes!$I$352,$D$35:$D$37,0)))</f>
        <v>0</v>
      </c>
      <c r="Q142" s="81">
        <f ca="1">Q122*(INDEX(Q$35:Q$37,MATCH(Work_Codes!$I$352,$D$35:$D$37,0)))</f>
        <v>0</v>
      </c>
      <c r="R142" s="81">
        <f ca="1">R122*(INDEX(R$35:R$37,MATCH(Work_Codes!$I$352,$D$35:$D$37,0)))</f>
        <v>0</v>
      </c>
      <c r="S142" s="81">
        <f ca="1">S122*(INDEX(S$35:S$37,MATCH(Work_Codes!$I$352,$D$35:$D$37,0)))</f>
        <v>0</v>
      </c>
      <c r="T142" s="81">
        <f ca="1">T122*(INDEX(T$35:T$37,MATCH(Work_Codes!$I$352,$D$35:$D$37,0)))</f>
        <v>0</v>
      </c>
    </row>
    <row r="143" spans="5:20" outlineLevel="2">
      <c r="E143" s="247" t="str">
        <f>GC!C53</f>
        <v>Distribution pipelines - post 1998</v>
      </c>
      <c r="F143" s="247"/>
      <c r="G143" s="247"/>
      <c r="H143" s="247"/>
      <c r="I143" s="247"/>
      <c r="J143" s="81">
        <f ca="1">J123*(INDEX(J$35:J$37,MATCH(Work_Codes!$I$352,$D$35:$D$37,0)))</f>
        <v>0</v>
      </c>
      <c r="K143" s="81">
        <f ca="1">K123*(INDEX(K$35:K$37,MATCH(Work_Codes!$I$352,$D$35:$D$37,0)))</f>
        <v>0</v>
      </c>
      <c r="L143" s="81">
        <f ca="1">L123*(INDEX(L$35:L$37,MATCH(Work_Codes!$I$352,$D$35:$D$37,0)))</f>
        <v>0</v>
      </c>
      <c r="M143" s="81">
        <f ca="1">M123*(INDEX(M$35:M$37,MATCH(Work_Codes!$I$352,$D$35:$D$37,0)))</f>
        <v>0</v>
      </c>
      <c r="N143" s="81">
        <f ca="1">N123*(INDEX(N$35:N$37,MATCH(Work_Codes!$I$352,$D$35:$D$37,0)))</f>
        <v>359746.83183833893</v>
      </c>
      <c r="O143" s="81">
        <f ca="1">O123*(INDEX(O$35:O$37,MATCH(Work_Codes!$I$352,$D$35:$D$37,0)))</f>
        <v>131620.26445205353</v>
      </c>
      <c r="P143" s="81">
        <f ca="1">P123*(INDEX(P$35:P$37,MATCH(Work_Codes!$I$352,$D$35:$D$37,0)))</f>
        <v>194469.9982794438</v>
      </c>
      <c r="Q143" s="81">
        <f ca="1">Q123*(INDEX(Q$35:Q$37,MATCH(Work_Codes!$I$352,$D$35:$D$37,0)))</f>
        <v>195413.98786358887</v>
      </c>
      <c r="R143" s="81">
        <f ca="1">R123*(INDEX(R$35:R$37,MATCH(Work_Codes!$I$352,$D$35:$D$37,0)))</f>
        <v>207551.88638859941</v>
      </c>
      <c r="S143" s="81">
        <f ca="1">S123*(INDEX(S$35:S$37,MATCH(Work_Codes!$I$352,$D$35:$D$37,0)))</f>
        <v>215171.19944731539</v>
      </c>
      <c r="T143" s="81">
        <f ca="1">T123*(INDEX(T$35:T$37,MATCH(Work_Codes!$I$352,$D$35:$D$37,0)))</f>
        <v>219753.73883854348</v>
      </c>
    </row>
    <row r="144" spans="5:20" outlineLevel="2">
      <c r="E144" s="247" t="str">
        <f>GC!C54</f>
        <v>Service pipes - post 1998</v>
      </c>
      <c r="F144" s="247"/>
      <c r="G144" s="247"/>
      <c r="H144" s="247"/>
      <c r="I144" s="247"/>
      <c r="J144" s="81">
        <f ca="1">J124*(INDEX(J$35:J$37,MATCH(Work_Codes!$I$352,$D$35:$D$37,0)))</f>
        <v>0</v>
      </c>
      <c r="K144" s="81">
        <f ca="1">K124*(INDEX(K$35:K$37,MATCH(Work_Codes!$I$352,$D$35:$D$37,0)))</f>
        <v>0</v>
      </c>
      <c r="L144" s="81">
        <f ca="1">L124*(INDEX(L$35:L$37,MATCH(Work_Codes!$I$352,$D$35:$D$37,0)))</f>
        <v>0</v>
      </c>
      <c r="M144" s="81">
        <f ca="1">M124*(INDEX(M$35:M$37,MATCH(Work_Codes!$I$352,$D$35:$D$37,0)))</f>
        <v>0</v>
      </c>
      <c r="N144" s="81">
        <f ca="1">N124*(INDEX(N$35:N$37,MATCH(Work_Codes!$I$352,$D$35:$D$37,0)))</f>
        <v>1079240.4955150168</v>
      </c>
      <c r="O144" s="81">
        <f ca="1">O124*(INDEX(O$35:O$37,MATCH(Work_Codes!$I$352,$D$35:$D$37,0)))</f>
        <v>394860.79335616058</v>
      </c>
      <c r="P144" s="81">
        <f ca="1">P124*(INDEX(P$35:P$37,MATCH(Work_Codes!$I$352,$D$35:$D$37,0)))</f>
        <v>583409.99483833136</v>
      </c>
      <c r="Q144" s="81">
        <f ca="1">Q124*(INDEX(Q$35:Q$37,MATCH(Work_Codes!$I$352,$D$35:$D$37,0)))</f>
        <v>586241.96359076665</v>
      </c>
      <c r="R144" s="81">
        <f ca="1">R124*(INDEX(R$35:R$37,MATCH(Work_Codes!$I$352,$D$35:$D$37,0)))</f>
        <v>622655.65916579822</v>
      </c>
      <c r="S144" s="81">
        <f ca="1">S124*(INDEX(S$35:S$37,MATCH(Work_Codes!$I$352,$D$35:$D$37,0)))</f>
        <v>645513.59834194614</v>
      </c>
      <c r="T144" s="81">
        <f ca="1">T124*(INDEX(T$35:T$37,MATCH(Work_Codes!$I$352,$D$35:$D$37,0)))</f>
        <v>659261.21651563037</v>
      </c>
    </row>
    <row r="145" spans="4:20" outlineLevel="2">
      <c r="E145" s="247" t="str">
        <f>GC!C55</f>
        <v>Cathodic protection - post 1998</v>
      </c>
      <c r="F145" s="247"/>
      <c r="G145" s="247"/>
      <c r="H145" s="247"/>
      <c r="I145" s="247"/>
      <c r="J145" s="81">
        <f ca="1">J125*(INDEX(J$35:J$37,MATCH(Work_Codes!$I$352,$D$35:$D$37,0)))</f>
        <v>0</v>
      </c>
      <c r="K145" s="81">
        <f ca="1">K125*(INDEX(K$35:K$37,MATCH(Work_Codes!$I$352,$D$35:$D$37,0)))</f>
        <v>0</v>
      </c>
      <c r="L145" s="81">
        <f ca="1">L125*(INDEX(L$35:L$37,MATCH(Work_Codes!$I$352,$D$35:$D$37,0)))</f>
        <v>0</v>
      </c>
      <c r="M145" s="81">
        <f ca="1">M125*(INDEX(M$35:M$37,MATCH(Work_Codes!$I$352,$D$35:$D$37,0)))</f>
        <v>0</v>
      </c>
      <c r="N145" s="81">
        <f ca="1">N125*(INDEX(N$35:N$37,MATCH(Work_Codes!$I$352,$D$35:$D$37,0)))</f>
        <v>0</v>
      </c>
      <c r="O145" s="81">
        <f ca="1">O125*(INDEX(O$35:O$37,MATCH(Work_Codes!$I$352,$D$35:$D$37,0)))</f>
        <v>0</v>
      </c>
      <c r="P145" s="81">
        <f ca="1">P125*(INDEX(P$35:P$37,MATCH(Work_Codes!$I$352,$D$35:$D$37,0)))</f>
        <v>0</v>
      </c>
      <c r="Q145" s="81">
        <f ca="1">Q125*(INDEX(Q$35:Q$37,MATCH(Work_Codes!$I$352,$D$35:$D$37,0)))</f>
        <v>0</v>
      </c>
      <c r="R145" s="81">
        <f ca="1">R125*(INDEX(R$35:R$37,MATCH(Work_Codes!$I$352,$D$35:$D$37,0)))</f>
        <v>0</v>
      </c>
      <c r="S145" s="81">
        <f ca="1">S125*(INDEX(S$35:S$37,MATCH(Work_Codes!$I$352,$D$35:$D$37,0)))</f>
        <v>0</v>
      </c>
      <c r="T145" s="81">
        <f ca="1">T125*(INDEX(T$35:T$37,MATCH(Work_Codes!$I$352,$D$35:$D$37,0)))</f>
        <v>0</v>
      </c>
    </row>
    <row r="146" spans="4:20" outlineLevel="2">
      <c r="E146" s="249" t="str">
        <f>"Total "&amp;D128</f>
        <v>Total Overheads</v>
      </c>
      <c r="F146" s="249"/>
      <c r="G146" s="249"/>
      <c r="H146" s="249"/>
      <c r="I146" s="249"/>
      <c r="J146" s="82">
        <f t="shared" ref="J146:T146" ca="1" si="17">SUM(J130:J145)</f>
        <v>0</v>
      </c>
      <c r="K146" s="82">
        <f t="shared" ca="1" si="17"/>
        <v>0</v>
      </c>
      <c r="L146" s="82">
        <f t="shared" ca="1" si="17"/>
        <v>0</v>
      </c>
      <c r="M146" s="82">
        <f t="shared" ca="1" si="17"/>
        <v>0</v>
      </c>
      <c r="N146" s="82">
        <f t="shared" ca="1" si="17"/>
        <v>1798734.1591916946</v>
      </c>
      <c r="O146" s="82">
        <f t="shared" ca="1" si="17"/>
        <v>658101.32226026757</v>
      </c>
      <c r="P146" s="82">
        <f t="shared" ca="1" si="17"/>
        <v>972349.99139721901</v>
      </c>
      <c r="Q146" s="82">
        <f t="shared" ca="1" si="17"/>
        <v>977069.93931794446</v>
      </c>
      <c r="R146" s="82">
        <f t="shared" ca="1" si="17"/>
        <v>1037759.431942997</v>
      </c>
      <c r="S146" s="82">
        <f t="shared" ca="1" si="17"/>
        <v>1075855.9972365769</v>
      </c>
      <c r="T146" s="82">
        <f t="shared" ca="1" si="17"/>
        <v>1098768.6941927173</v>
      </c>
    </row>
    <row r="147" spans="4:20" outlineLevel="2"/>
    <row r="148" spans="4:20" outlineLevel="2">
      <c r="D148" s="37" t="s">
        <v>216</v>
      </c>
    </row>
    <row r="149" spans="4:20" ht="5.9" customHeight="1" outlineLevel="2"/>
    <row r="150" spans="4:20" ht="11.5" customHeight="1" outlineLevel="2">
      <c r="E150" s="247" t="str">
        <f>GC!C40</f>
        <v>Transmission pipelines</v>
      </c>
      <c r="F150" s="247"/>
      <c r="G150" s="247"/>
      <c r="H150" s="247"/>
      <c r="I150" s="247"/>
      <c r="J150" s="81">
        <f ca="1">J110*(1+INDEX(J$35:J$37,MATCH(Work_Codes!$I$352,$D$35:$D$37,0)))</f>
        <v>0</v>
      </c>
      <c r="K150" s="81">
        <f ca="1">K110*(1+INDEX(K$35:K$37,MATCH(Work_Codes!$I$352,$D$35:$D$37,0)))</f>
        <v>0</v>
      </c>
      <c r="L150" s="81">
        <f ca="1">L110*(1+INDEX(L$35:L$37,MATCH(Work_Codes!$I$352,$D$35:$D$37,0)))</f>
        <v>0</v>
      </c>
      <c r="M150" s="81">
        <f ca="1">M110*(1+INDEX(M$35:M$37,MATCH(Work_Codes!$I$352,$D$35:$D$37,0)))</f>
        <v>0</v>
      </c>
      <c r="N150" s="81">
        <f ca="1">N110*(1+INDEX(N$35:N$37,MATCH(Work_Codes!$I$352,$D$35:$D$37,0)))</f>
        <v>0</v>
      </c>
      <c r="O150" s="81">
        <f ca="1">O110*(1+INDEX(O$35:O$37,MATCH(Work_Codes!$I$352,$D$35:$D$37,0)))</f>
        <v>0</v>
      </c>
      <c r="P150" s="81">
        <f ca="1">P110*(1+INDEX(P$35:P$37,MATCH(Work_Codes!$I$352,$D$35:$D$37,0)))</f>
        <v>0</v>
      </c>
      <c r="Q150" s="81">
        <f ca="1">Q110*(1+INDEX(Q$35:Q$37,MATCH(Work_Codes!$I$352,$D$35:$D$37,0)))</f>
        <v>0</v>
      </c>
      <c r="R150" s="81">
        <f ca="1">R110*(1+INDEX(R$35:R$37,MATCH(Work_Codes!$I$352,$D$35:$D$37,0)))</f>
        <v>0</v>
      </c>
      <c r="S150" s="81">
        <f ca="1">S110*(1+INDEX(S$35:S$37,MATCH(Work_Codes!$I$352,$D$35:$D$37,0)))</f>
        <v>0</v>
      </c>
      <c r="T150" s="81">
        <f ca="1">T110*(1+INDEX(T$35:T$37,MATCH(Work_Codes!$I$352,$D$35:$D$37,0)))</f>
        <v>0</v>
      </c>
    </row>
    <row r="151" spans="4:20" ht="11.5" customHeight="1" outlineLevel="2">
      <c r="E151" s="247" t="str">
        <f>GC!C41</f>
        <v>Distribution pipelines</v>
      </c>
      <c r="F151" s="247"/>
      <c r="G151" s="247"/>
      <c r="H151" s="247"/>
      <c r="I151" s="247"/>
      <c r="J151" s="81">
        <f ca="1">J111*(1+INDEX(J$35:J$37,MATCH(Work_Codes!$I$352,$D$35:$D$37,0)))</f>
        <v>0</v>
      </c>
      <c r="K151" s="81">
        <f ca="1">K111*(1+INDEX(K$35:K$37,MATCH(Work_Codes!$I$352,$D$35:$D$37,0)))</f>
        <v>0</v>
      </c>
      <c r="L151" s="81">
        <f ca="1">L111*(1+INDEX(L$35:L$37,MATCH(Work_Codes!$I$352,$D$35:$D$37,0)))</f>
        <v>0</v>
      </c>
      <c r="M151" s="81">
        <f ca="1">M111*(1+INDEX(M$35:M$37,MATCH(Work_Codes!$I$352,$D$35:$D$37,0)))</f>
        <v>0</v>
      </c>
      <c r="N151" s="81">
        <f ca="1">N111*(1+INDEX(N$35:N$37,MATCH(Work_Codes!$I$352,$D$35:$D$37,0)))</f>
        <v>0</v>
      </c>
      <c r="O151" s="81">
        <f ca="1">O111*(1+INDEX(O$35:O$37,MATCH(Work_Codes!$I$352,$D$35:$D$37,0)))</f>
        <v>0</v>
      </c>
      <c r="P151" s="81">
        <f ca="1">P111*(1+INDEX(P$35:P$37,MATCH(Work_Codes!$I$352,$D$35:$D$37,0)))</f>
        <v>0</v>
      </c>
      <c r="Q151" s="81">
        <f ca="1">Q111*(1+INDEX(Q$35:Q$37,MATCH(Work_Codes!$I$352,$D$35:$D$37,0)))</f>
        <v>0</v>
      </c>
      <c r="R151" s="81">
        <f ca="1">R111*(1+INDEX(R$35:R$37,MATCH(Work_Codes!$I$352,$D$35:$D$37,0)))</f>
        <v>0</v>
      </c>
      <c r="S151" s="81">
        <f ca="1">S111*(1+INDEX(S$35:S$37,MATCH(Work_Codes!$I$352,$D$35:$D$37,0)))</f>
        <v>0</v>
      </c>
      <c r="T151" s="81">
        <f ca="1">T111*(1+INDEX(T$35:T$37,MATCH(Work_Codes!$I$352,$D$35:$D$37,0)))</f>
        <v>0</v>
      </c>
    </row>
    <row r="152" spans="4:20" ht="11.5" customHeight="1" outlineLevel="2">
      <c r="E152" s="247" t="str">
        <f>GC!C42</f>
        <v>Service pipes</v>
      </c>
      <c r="F152" s="247"/>
      <c r="G152" s="247"/>
      <c r="H152" s="247"/>
      <c r="I152" s="247"/>
      <c r="J152" s="81">
        <f ca="1">J112*(1+INDEX(J$35:J$37,MATCH(Work_Codes!$I$352,$D$35:$D$37,0)))</f>
        <v>0</v>
      </c>
      <c r="K152" s="81">
        <f ca="1">K112*(1+INDEX(K$35:K$37,MATCH(Work_Codes!$I$352,$D$35:$D$37,0)))</f>
        <v>0</v>
      </c>
      <c r="L152" s="81">
        <f ca="1">L112*(1+INDEX(L$35:L$37,MATCH(Work_Codes!$I$352,$D$35:$D$37,0)))</f>
        <v>0</v>
      </c>
      <c r="M152" s="81">
        <f ca="1">M112*(1+INDEX(M$35:M$37,MATCH(Work_Codes!$I$352,$D$35:$D$37,0)))</f>
        <v>0</v>
      </c>
      <c r="N152" s="81">
        <f ca="1">N112*(1+INDEX(N$35:N$37,MATCH(Work_Codes!$I$352,$D$35:$D$37,0)))</f>
        <v>0</v>
      </c>
      <c r="O152" s="81">
        <f ca="1">O112*(1+INDEX(O$35:O$37,MATCH(Work_Codes!$I$352,$D$35:$D$37,0)))</f>
        <v>0</v>
      </c>
      <c r="P152" s="81">
        <f ca="1">P112*(1+INDEX(P$35:P$37,MATCH(Work_Codes!$I$352,$D$35:$D$37,0)))</f>
        <v>0</v>
      </c>
      <c r="Q152" s="81">
        <f ca="1">Q112*(1+INDEX(Q$35:Q$37,MATCH(Work_Codes!$I$352,$D$35:$D$37,0)))</f>
        <v>0</v>
      </c>
      <c r="R152" s="81">
        <f ca="1">R112*(1+INDEX(R$35:R$37,MATCH(Work_Codes!$I$352,$D$35:$D$37,0)))</f>
        <v>0</v>
      </c>
      <c r="S152" s="81">
        <f ca="1">S112*(1+INDEX(S$35:S$37,MATCH(Work_Codes!$I$352,$D$35:$D$37,0)))</f>
        <v>0</v>
      </c>
      <c r="T152" s="81">
        <f ca="1">T112*(1+INDEX(T$35:T$37,MATCH(Work_Codes!$I$352,$D$35:$D$37,0)))</f>
        <v>0</v>
      </c>
    </row>
    <row r="153" spans="4:20" ht="11.5" customHeight="1" outlineLevel="2">
      <c r="E153" s="247" t="str">
        <f>GC!C43</f>
        <v>Cathodic protection</v>
      </c>
      <c r="F153" s="247"/>
      <c r="G153" s="247"/>
      <c r="H153" s="247"/>
      <c r="I153" s="247"/>
      <c r="J153" s="81">
        <f ca="1">J113*(1+INDEX(J$35:J$37,MATCH(Work_Codes!$I$352,$D$35:$D$37,0)))</f>
        <v>0</v>
      </c>
      <c r="K153" s="81">
        <f ca="1">K113*(1+INDEX(K$35:K$37,MATCH(Work_Codes!$I$352,$D$35:$D$37,0)))</f>
        <v>0</v>
      </c>
      <c r="L153" s="81">
        <f ca="1">L113*(1+INDEX(L$35:L$37,MATCH(Work_Codes!$I$352,$D$35:$D$37,0)))</f>
        <v>0</v>
      </c>
      <c r="M153" s="81">
        <f ca="1">M113*(1+INDEX(M$35:M$37,MATCH(Work_Codes!$I$352,$D$35:$D$37,0)))</f>
        <v>0</v>
      </c>
      <c r="N153" s="81">
        <f ca="1">N113*(1+INDEX(N$35:N$37,MATCH(Work_Codes!$I$352,$D$35:$D$37,0)))</f>
        <v>0</v>
      </c>
      <c r="O153" s="81">
        <f ca="1">O113*(1+INDEX(O$35:O$37,MATCH(Work_Codes!$I$352,$D$35:$D$37,0)))</f>
        <v>0</v>
      </c>
      <c r="P153" s="81">
        <f ca="1">P113*(1+INDEX(P$35:P$37,MATCH(Work_Codes!$I$352,$D$35:$D$37,0)))</f>
        <v>0</v>
      </c>
      <c r="Q153" s="81">
        <f ca="1">Q113*(1+INDEX(Q$35:Q$37,MATCH(Work_Codes!$I$352,$D$35:$D$37,0)))</f>
        <v>0</v>
      </c>
      <c r="R153" s="81">
        <f ca="1">R113*(1+INDEX(R$35:R$37,MATCH(Work_Codes!$I$352,$D$35:$D$37,0)))</f>
        <v>0</v>
      </c>
      <c r="S153" s="81">
        <f ca="1">S113*(1+INDEX(S$35:S$37,MATCH(Work_Codes!$I$352,$D$35:$D$37,0)))</f>
        <v>0</v>
      </c>
      <c r="T153" s="81">
        <f ca="1">T113*(1+INDEX(T$35:T$37,MATCH(Work_Codes!$I$352,$D$35:$D$37,0)))</f>
        <v>0</v>
      </c>
    </row>
    <row r="154" spans="4:20" ht="11.5" customHeight="1" outlineLevel="2">
      <c r="E154" s="247" t="str">
        <f>GC!C44</f>
        <v>Supply Regulators / Valve Stations</v>
      </c>
      <c r="F154" s="247"/>
      <c r="G154" s="247"/>
      <c r="H154" s="247"/>
      <c r="I154" s="247"/>
      <c r="J154" s="81">
        <f ca="1">J114*(1+INDEX(J$35:J$37,MATCH(Work_Codes!$I$352,$D$35:$D$37,0)))</f>
        <v>0</v>
      </c>
      <c r="K154" s="81">
        <f ca="1">K114*(1+INDEX(K$35:K$37,MATCH(Work_Codes!$I$352,$D$35:$D$37,0)))</f>
        <v>0</v>
      </c>
      <c r="L154" s="81">
        <f ca="1">L114*(1+INDEX(L$35:L$37,MATCH(Work_Codes!$I$352,$D$35:$D$37,0)))</f>
        <v>0</v>
      </c>
      <c r="M154" s="81">
        <f ca="1">M114*(1+INDEX(M$35:M$37,MATCH(Work_Codes!$I$352,$D$35:$D$37,0)))</f>
        <v>0</v>
      </c>
      <c r="N154" s="81">
        <f ca="1">N114*(1+INDEX(N$35:N$37,MATCH(Work_Codes!$I$352,$D$35:$D$37,0)))</f>
        <v>0</v>
      </c>
      <c r="O154" s="81">
        <f ca="1">O114*(1+INDEX(O$35:O$37,MATCH(Work_Codes!$I$352,$D$35:$D$37,0)))</f>
        <v>0</v>
      </c>
      <c r="P154" s="81">
        <f ca="1">P114*(1+INDEX(P$35:P$37,MATCH(Work_Codes!$I$352,$D$35:$D$37,0)))</f>
        <v>0</v>
      </c>
      <c r="Q154" s="81">
        <f ca="1">Q114*(1+INDEX(Q$35:Q$37,MATCH(Work_Codes!$I$352,$D$35:$D$37,0)))</f>
        <v>0</v>
      </c>
      <c r="R154" s="81">
        <f ca="1">R114*(1+INDEX(R$35:R$37,MATCH(Work_Codes!$I$352,$D$35:$D$37,0)))</f>
        <v>0</v>
      </c>
      <c r="S154" s="81">
        <f ca="1">S114*(1+INDEX(S$35:S$37,MATCH(Work_Codes!$I$352,$D$35:$D$37,0)))</f>
        <v>0</v>
      </c>
      <c r="T154" s="81">
        <f ca="1">T114*(1+INDEX(T$35:T$37,MATCH(Work_Codes!$I$352,$D$35:$D$37,0)))</f>
        <v>0</v>
      </c>
    </row>
    <row r="155" spans="4:20" ht="11.5" customHeight="1" outlineLevel="2">
      <c r="E155" s="247" t="str">
        <f>GC!C45</f>
        <v>Meters</v>
      </c>
      <c r="F155" s="247"/>
      <c r="G155" s="247"/>
      <c r="H155" s="247"/>
      <c r="I155" s="247"/>
      <c r="J155" s="81">
        <f ca="1">J115*(1+INDEX(J$35:J$37,MATCH(Work_Codes!$I$352,$D$35:$D$37,0)))</f>
        <v>0</v>
      </c>
      <c r="K155" s="81">
        <f ca="1">K115*(1+INDEX(K$35:K$37,MATCH(Work_Codes!$I$352,$D$35:$D$37,0)))</f>
        <v>0</v>
      </c>
      <c r="L155" s="81">
        <f ca="1">L115*(1+INDEX(L$35:L$37,MATCH(Work_Codes!$I$352,$D$35:$D$37,0)))</f>
        <v>0</v>
      </c>
      <c r="M155" s="81">
        <f ca="1">M115*(1+INDEX(M$35:M$37,MATCH(Work_Codes!$I$352,$D$35:$D$37,0)))</f>
        <v>0</v>
      </c>
      <c r="N155" s="81">
        <f ca="1">N115*(1+INDEX(N$35:N$37,MATCH(Work_Codes!$I$352,$D$35:$D$37,0)))</f>
        <v>9899317.8166514374</v>
      </c>
      <c r="O155" s="81">
        <f ca="1">O115*(1+INDEX(O$35:O$37,MATCH(Work_Codes!$I$352,$D$35:$D$37,0)))</f>
        <v>4086084.4762086966</v>
      </c>
      <c r="P155" s="81">
        <f ca="1">P115*(1+INDEX(P$35:P$37,MATCH(Work_Codes!$I$352,$D$35:$D$37,0)))</f>
        <v>7463653.4943173882</v>
      </c>
      <c r="Q155" s="81">
        <f ca="1">Q115*(1+INDEX(Q$35:Q$37,MATCH(Work_Codes!$I$352,$D$35:$D$37,0)))</f>
        <v>7693863.0921250097</v>
      </c>
      <c r="R155" s="81">
        <f ca="1">R115*(1+INDEX(R$35:R$37,MATCH(Work_Codes!$I$352,$D$35:$D$37,0)))</f>
        <v>7930985.8217090219</v>
      </c>
      <c r="S155" s="81">
        <f ca="1">S115*(1+INDEX(S$35:S$37,MATCH(Work_Codes!$I$352,$D$35:$D$37,0)))</f>
        <v>7752824.4870989639</v>
      </c>
      <c r="T155" s="81">
        <f ca="1">T115*(1+INDEX(T$35:T$37,MATCH(Work_Codes!$I$352,$D$35:$D$37,0)))</f>
        <v>7564371.4218953466</v>
      </c>
    </row>
    <row r="156" spans="4:20" ht="11.5" customHeight="1" outlineLevel="2">
      <c r="E156" s="247" t="str">
        <f>GC!C46</f>
        <v>SCADA and remote control</v>
      </c>
      <c r="F156" s="247"/>
      <c r="G156" s="247"/>
      <c r="H156" s="247"/>
      <c r="I156" s="247"/>
      <c r="J156" s="81">
        <f ca="1">J116*(1+INDEX(J$35:J$37,MATCH(Work_Codes!$I$352,$D$35:$D$37,0)))</f>
        <v>0</v>
      </c>
      <c r="K156" s="81">
        <f ca="1">K116*(1+INDEX(K$35:K$37,MATCH(Work_Codes!$I$352,$D$35:$D$37,0)))</f>
        <v>0</v>
      </c>
      <c r="L156" s="81">
        <f ca="1">L116*(1+INDEX(L$35:L$37,MATCH(Work_Codes!$I$352,$D$35:$D$37,0)))</f>
        <v>0</v>
      </c>
      <c r="M156" s="81">
        <f ca="1">M116*(1+INDEX(M$35:M$37,MATCH(Work_Codes!$I$352,$D$35:$D$37,0)))</f>
        <v>0</v>
      </c>
      <c r="N156" s="81">
        <f ca="1">N116*(1+INDEX(N$35:N$37,MATCH(Work_Codes!$I$352,$D$35:$D$37,0)))</f>
        <v>0</v>
      </c>
      <c r="O156" s="81">
        <f ca="1">O116*(1+INDEX(O$35:O$37,MATCH(Work_Codes!$I$352,$D$35:$D$37,0)))</f>
        <v>0</v>
      </c>
      <c r="P156" s="81">
        <f ca="1">P116*(1+INDEX(P$35:P$37,MATCH(Work_Codes!$I$352,$D$35:$D$37,0)))</f>
        <v>0</v>
      </c>
      <c r="Q156" s="81">
        <f ca="1">Q116*(1+INDEX(Q$35:Q$37,MATCH(Work_Codes!$I$352,$D$35:$D$37,0)))</f>
        <v>0</v>
      </c>
      <c r="R156" s="81">
        <f ca="1">R116*(1+INDEX(R$35:R$37,MATCH(Work_Codes!$I$352,$D$35:$D$37,0)))</f>
        <v>0</v>
      </c>
      <c r="S156" s="81">
        <f ca="1">S116*(1+INDEX(S$35:S$37,MATCH(Work_Codes!$I$352,$D$35:$D$37,0)))</f>
        <v>0</v>
      </c>
      <c r="T156" s="81">
        <f ca="1">T116*(1+INDEX(T$35:T$37,MATCH(Work_Codes!$I$352,$D$35:$D$37,0)))</f>
        <v>0</v>
      </c>
    </row>
    <row r="157" spans="4:20" ht="11.5" customHeight="1" outlineLevel="2">
      <c r="E157" s="247" t="str">
        <f>GC!C47</f>
        <v>Buildings</v>
      </c>
      <c r="F157" s="247"/>
      <c r="G157" s="247"/>
      <c r="H157" s="247"/>
      <c r="I157" s="247"/>
      <c r="J157" s="81">
        <f ca="1">J117*(1+INDEX(J$35:J$37,MATCH(Work_Codes!$I$352,$D$35:$D$37,0)))</f>
        <v>0</v>
      </c>
      <c r="K157" s="81">
        <f ca="1">K117*(1+INDEX(K$35:K$37,MATCH(Work_Codes!$I$352,$D$35:$D$37,0)))</f>
        <v>0</v>
      </c>
      <c r="L157" s="81">
        <f ca="1">L117*(1+INDEX(L$35:L$37,MATCH(Work_Codes!$I$352,$D$35:$D$37,0)))</f>
        <v>0</v>
      </c>
      <c r="M157" s="81">
        <f ca="1">M117*(1+INDEX(M$35:M$37,MATCH(Work_Codes!$I$352,$D$35:$D$37,0)))</f>
        <v>0</v>
      </c>
      <c r="N157" s="81">
        <f ca="1">N117*(1+INDEX(N$35:N$37,MATCH(Work_Codes!$I$352,$D$35:$D$37,0)))</f>
        <v>0</v>
      </c>
      <c r="O157" s="81">
        <f ca="1">O117*(1+INDEX(O$35:O$37,MATCH(Work_Codes!$I$352,$D$35:$D$37,0)))</f>
        <v>0</v>
      </c>
      <c r="P157" s="81">
        <f ca="1">P117*(1+INDEX(P$35:P$37,MATCH(Work_Codes!$I$352,$D$35:$D$37,0)))</f>
        <v>0</v>
      </c>
      <c r="Q157" s="81">
        <f ca="1">Q117*(1+INDEX(Q$35:Q$37,MATCH(Work_Codes!$I$352,$D$35:$D$37,0)))</f>
        <v>0</v>
      </c>
      <c r="R157" s="81">
        <f ca="1">R117*(1+INDEX(R$35:R$37,MATCH(Work_Codes!$I$352,$D$35:$D$37,0)))</f>
        <v>0</v>
      </c>
      <c r="S157" s="81">
        <f ca="1">S117*(1+INDEX(S$35:S$37,MATCH(Work_Codes!$I$352,$D$35:$D$37,0)))</f>
        <v>0</v>
      </c>
      <c r="T157" s="81">
        <f ca="1">T117*(1+INDEX(T$35:T$37,MATCH(Work_Codes!$I$352,$D$35:$D$37,0)))</f>
        <v>0</v>
      </c>
    </row>
    <row r="158" spans="4:20" ht="11.5" customHeight="1" outlineLevel="2">
      <c r="E158" s="247" t="str">
        <f>GC!C48</f>
        <v>Other - IT</v>
      </c>
      <c r="F158" s="247"/>
      <c r="G158" s="247"/>
      <c r="H158" s="247"/>
      <c r="I158" s="247"/>
      <c r="J158" s="81">
        <f ca="1">J118*(1+INDEX(J$35:J$37,MATCH(Work_Codes!$I$352,$D$35:$D$37,0)))</f>
        <v>0</v>
      </c>
      <c r="K158" s="81">
        <f ca="1">K118*(1+INDEX(K$35:K$37,MATCH(Work_Codes!$I$352,$D$35:$D$37,0)))</f>
        <v>0</v>
      </c>
      <c r="L158" s="81">
        <f ca="1">L118*(1+INDEX(L$35:L$37,MATCH(Work_Codes!$I$352,$D$35:$D$37,0)))</f>
        <v>0</v>
      </c>
      <c r="M158" s="81">
        <f ca="1">M118*(1+INDEX(M$35:M$37,MATCH(Work_Codes!$I$352,$D$35:$D$37,0)))</f>
        <v>0</v>
      </c>
      <c r="N158" s="81">
        <f ca="1">N118*(1+INDEX(N$35:N$37,MATCH(Work_Codes!$I$352,$D$35:$D$37,0)))</f>
        <v>0</v>
      </c>
      <c r="O158" s="81">
        <f ca="1">O118*(1+INDEX(O$35:O$37,MATCH(Work_Codes!$I$352,$D$35:$D$37,0)))</f>
        <v>0</v>
      </c>
      <c r="P158" s="81">
        <f ca="1">P118*(1+INDEX(P$35:P$37,MATCH(Work_Codes!$I$352,$D$35:$D$37,0)))</f>
        <v>0</v>
      </c>
      <c r="Q158" s="81">
        <f ca="1">Q118*(1+INDEX(Q$35:Q$37,MATCH(Work_Codes!$I$352,$D$35:$D$37,0)))</f>
        <v>0</v>
      </c>
      <c r="R158" s="81">
        <f ca="1">R118*(1+INDEX(R$35:R$37,MATCH(Work_Codes!$I$352,$D$35:$D$37,0)))</f>
        <v>0</v>
      </c>
      <c r="S158" s="81">
        <f ca="1">S118*(1+INDEX(S$35:S$37,MATCH(Work_Codes!$I$352,$D$35:$D$37,0)))</f>
        <v>0</v>
      </c>
      <c r="T158" s="81">
        <f ca="1">T118*(1+INDEX(T$35:T$37,MATCH(Work_Codes!$I$352,$D$35:$D$37,0)))</f>
        <v>0</v>
      </c>
    </row>
    <row r="159" spans="4:20" ht="11.5" customHeight="1" outlineLevel="2">
      <c r="E159" s="247" t="str">
        <f>GC!C49</f>
        <v>Other - non IT</v>
      </c>
      <c r="F159" s="247"/>
      <c r="G159" s="247"/>
      <c r="H159" s="247"/>
      <c r="I159" s="247"/>
      <c r="J159" s="81">
        <f ca="1">J119*(1+INDEX(J$35:J$37,MATCH(Work_Codes!$I$352,$D$35:$D$37,0)))</f>
        <v>0</v>
      </c>
      <c r="K159" s="81">
        <f ca="1">K119*(1+INDEX(K$35:K$37,MATCH(Work_Codes!$I$352,$D$35:$D$37,0)))</f>
        <v>0</v>
      </c>
      <c r="L159" s="81">
        <f ca="1">L119*(1+INDEX(L$35:L$37,MATCH(Work_Codes!$I$352,$D$35:$D$37,0)))</f>
        <v>0</v>
      </c>
      <c r="M159" s="81">
        <f ca="1">M119*(1+INDEX(M$35:M$37,MATCH(Work_Codes!$I$352,$D$35:$D$37,0)))</f>
        <v>0</v>
      </c>
      <c r="N159" s="81">
        <f ca="1">N119*(1+INDEX(N$35:N$37,MATCH(Work_Codes!$I$352,$D$35:$D$37,0)))</f>
        <v>0</v>
      </c>
      <c r="O159" s="81">
        <f ca="1">O119*(1+INDEX(O$35:O$37,MATCH(Work_Codes!$I$352,$D$35:$D$37,0)))</f>
        <v>0</v>
      </c>
      <c r="P159" s="81">
        <f ca="1">P119*(1+INDEX(P$35:P$37,MATCH(Work_Codes!$I$352,$D$35:$D$37,0)))</f>
        <v>0</v>
      </c>
      <c r="Q159" s="81">
        <f ca="1">Q119*(1+INDEX(Q$35:Q$37,MATCH(Work_Codes!$I$352,$D$35:$D$37,0)))</f>
        <v>0</v>
      </c>
      <c r="R159" s="81">
        <f ca="1">R119*(1+INDEX(R$35:R$37,MATCH(Work_Codes!$I$352,$D$35:$D$37,0)))</f>
        <v>0</v>
      </c>
      <c r="S159" s="81">
        <f ca="1">S119*(1+INDEX(S$35:S$37,MATCH(Work_Codes!$I$352,$D$35:$D$37,0)))</f>
        <v>0</v>
      </c>
      <c r="T159" s="81">
        <f ca="1">T119*(1+INDEX(T$35:T$37,MATCH(Work_Codes!$I$352,$D$35:$D$37,0)))</f>
        <v>0</v>
      </c>
    </row>
    <row r="160" spans="4:20" ht="11.5" customHeight="1" outlineLevel="2">
      <c r="E160" s="247" t="str">
        <f>GC!C50</f>
        <v>Land</v>
      </c>
      <c r="F160" s="247"/>
      <c r="G160" s="247"/>
      <c r="H160" s="247"/>
      <c r="I160" s="247"/>
      <c r="J160" s="81">
        <f ca="1">J120*(1+INDEX(J$35:J$37,MATCH(Work_Codes!$I$352,$D$35:$D$37,0)))</f>
        <v>0</v>
      </c>
      <c r="K160" s="81">
        <f ca="1">K120*(1+INDEX(K$35:K$37,MATCH(Work_Codes!$I$352,$D$35:$D$37,0)))</f>
        <v>0</v>
      </c>
      <c r="L160" s="81">
        <f ca="1">L120*(1+INDEX(L$35:L$37,MATCH(Work_Codes!$I$352,$D$35:$D$37,0)))</f>
        <v>0</v>
      </c>
      <c r="M160" s="81">
        <f ca="1">M120*(1+INDEX(M$35:M$37,MATCH(Work_Codes!$I$352,$D$35:$D$37,0)))</f>
        <v>0</v>
      </c>
      <c r="N160" s="81">
        <f ca="1">N120*(1+INDEX(N$35:N$37,MATCH(Work_Codes!$I$352,$D$35:$D$37,0)))</f>
        <v>0</v>
      </c>
      <c r="O160" s="81">
        <f ca="1">O120*(1+INDEX(O$35:O$37,MATCH(Work_Codes!$I$352,$D$35:$D$37,0)))</f>
        <v>0</v>
      </c>
      <c r="P160" s="81">
        <f ca="1">P120*(1+INDEX(P$35:P$37,MATCH(Work_Codes!$I$352,$D$35:$D$37,0)))</f>
        <v>0</v>
      </c>
      <c r="Q160" s="81">
        <f ca="1">Q120*(1+INDEX(Q$35:Q$37,MATCH(Work_Codes!$I$352,$D$35:$D$37,0)))</f>
        <v>0</v>
      </c>
      <c r="R160" s="81">
        <f ca="1">R120*(1+INDEX(R$35:R$37,MATCH(Work_Codes!$I$352,$D$35:$D$37,0)))</f>
        <v>0</v>
      </c>
      <c r="S160" s="81">
        <f ca="1">S120*(1+INDEX(S$35:S$37,MATCH(Work_Codes!$I$352,$D$35:$D$37,0)))</f>
        <v>0</v>
      </c>
      <c r="T160" s="81">
        <f ca="1">T120*(1+INDEX(T$35:T$37,MATCH(Work_Codes!$I$352,$D$35:$D$37,0)))</f>
        <v>0</v>
      </c>
    </row>
    <row r="161" spans="4:20" outlineLevel="2">
      <c r="E161" s="247" t="str">
        <f>GC!C51</f>
        <v>Capitalised Leases</v>
      </c>
      <c r="F161" s="247"/>
      <c r="G161" s="247"/>
      <c r="H161" s="247"/>
      <c r="I161" s="247"/>
      <c r="J161" s="81">
        <f ca="1">J121*(1+INDEX(J$35:J$37,MATCH(Work_Codes!$I$352,$D$35:$D$37,0)))</f>
        <v>0</v>
      </c>
      <c r="K161" s="81">
        <f ca="1">K121*(1+INDEX(K$35:K$37,MATCH(Work_Codes!$I$352,$D$35:$D$37,0)))</f>
        <v>0</v>
      </c>
      <c r="L161" s="81">
        <f ca="1">L121*(1+INDEX(L$35:L$37,MATCH(Work_Codes!$I$352,$D$35:$D$37,0)))</f>
        <v>0</v>
      </c>
      <c r="M161" s="81">
        <f ca="1">M121*(1+INDEX(M$35:M$37,MATCH(Work_Codes!$I$352,$D$35:$D$37,0)))</f>
        <v>0</v>
      </c>
      <c r="N161" s="81">
        <f ca="1">N121*(1+INDEX(N$35:N$37,MATCH(Work_Codes!$I$352,$D$35:$D$37,0)))</f>
        <v>0</v>
      </c>
      <c r="O161" s="81">
        <f ca="1">O121*(1+INDEX(O$35:O$37,MATCH(Work_Codes!$I$352,$D$35:$D$37,0)))</f>
        <v>0</v>
      </c>
      <c r="P161" s="81">
        <f ca="1">P121*(1+INDEX(P$35:P$37,MATCH(Work_Codes!$I$352,$D$35:$D$37,0)))</f>
        <v>0</v>
      </c>
      <c r="Q161" s="81">
        <f ca="1">Q121*(1+INDEX(Q$35:Q$37,MATCH(Work_Codes!$I$352,$D$35:$D$37,0)))</f>
        <v>0</v>
      </c>
      <c r="R161" s="81">
        <f ca="1">R121*(1+INDEX(R$35:R$37,MATCH(Work_Codes!$I$352,$D$35:$D$37,0)))</f>
        <v>0</v>
      </c>
      <c r="S161" s="81">
        <f ca="1">S121*(1+INDEX(S$35:S$37,MATCH(Work_Codes!$I$352,$D$35:$D$37,0)))</f>
        <v>0</v>
      </c>
      <c r="T161" s="81">
        <f ca="1">T121*(1+INDEX(T$35:T$37,MATCH(Work_Codes!$I$352,$D$35:$D$37,0)))</f>
        <v>0</v>
      </c>
    </row>
    <row r="162" spans="4:20" outlineLevel="2">
      <c r="E162" s="247" t="str">
        <f>GC!C52</f>
        <v>Transmission pipelines - post 1998</v>
      </c>
      <c r="F162" s="247"/>
      <c r="G162" s="247"/>
      <c r="H162" s="247"/>
      <c r="I162" s="247"/>
      <c r="J162" s="81">
        <f ca="1">J122*(1+INDEX(J$35:J$37,MATCH(Work_Codes!$I$352,$D$35:$D$37,0)))</f>
        <v>0</v>
      </c>
      <c r="K162" s="81">
        <f ca="1">K122*(1+INDEX(K$35:K$37,MATCH(Work_Codes!$I$352,$D$35:$D$37,0)))</f>
        <v>0</v>
      </c>
      <c r="L162" s="81">
        <f ca="1">L122*(1+INDEX(L$35:L$37,MATCH(Work_Codes!$I$352,$D$35:$D$37,0)))</f>
        <v>0</v>
      </c>
      <c r="M162" s="81">
        <f ca="1">M122*(1+INDEX(M$35:M$37,MATCH(Work_Codes!$I$352,$D$35:$D$37,0)))</f>
        <v>0</v>
      </c>
      <c r="N162" s="81">
        <f ca="1">N122*(1+INDEX(N$35:N$37,MATCH(Work_Codes!$I$352,$D$35:$D$37,0)))</f>
        <v>0</v>
      </c>
      <c r="O162" s="81">
        <f ca="1">O122*(1+INDEX(O$35:O$37,MATCH(Work_Codes!$I$352,$D$35:$D$37,0)))</f>
        <v>0</v>
      </c>
      <c r="P162" s="81">
        <f ca="1">P122*(1+INDEX(P$35:P$37,MATCH(Work_Codes!$I$352,$D$35:$D$37,0)))</f>
        <v>0</v>
      </c>
      <c r="Q162" s="81">
        <f ca="1">Q122*(1+INDEX(Q$35:Q$37,MATCH(Work_Codes!$I$352,$D$35:$D$37,0)))</f>
        <v>0</v>
      </c>
      <c r="R162" s="81">
        <f ca="1">R122*(1+INDEX(R$35:R$37,MATCH(Work_Codes!$I$352,$D$35:$D$37,0)))</f>
        <v>0</v>
      </c>
      <c r="S162" s="81">
        <f ca="1">S122*(1+INDEX(S$35:S$37,MATCH(Work_Codes!$I$352,$D$35:$D$37,0)))</f>
        <v>0</v>
      </c>
      <c r="T162" s="81">
        <f ca="1">T122*(1+INDEX(T$35:T$37,MATCH(Work_Codes!$I$352,$D$35:$D$37,0)))</f>
        <v>0</v>
      </c>
    </row>
    <row r="163" spans="4:20" outlineLevel="2">
      <c r="E163" s="247" t="str">
        <f>GC!C53</f>
        <v>Distribution pipelines - post 1998</v>
      </c>
      <c r="F163" s="247"/>
      <c r="G163" s="247"/>
      <c r="H163" s="247"/>
      <c r="I163" s="247"/>
      <c r="J163" s="81">
        <f ca="1">J123*(1+INDEX(J$35:J$37,MATCH(Work_Codes!$I$352,$D$35:$D$37,0)))</f>
        <v>0</v>
      </c>
      <c r="K163" s="81">
        <f ca="1">K123*(1+INDEX(K$35:K$37,MATCH(Work_Codes!$I$352,$D$35:$D$37,0)))</f>
        <v>0</v>
      </c>
      <c r="L163" s="81">
        <f ca="1">L123*(1+INDEX(L$35:L$37,MATCH(Work_Codes!$I$352,$D$35:$D$37,0)))</f>
        <v>0</v>
      </c>
      <c r="M163" s="81">
        <f ca="1">M123*(1+INDEX(M$35:M$37,MATCH(Work_Codes!$I$352,$D$35:$D$37,0)))</f>
        <v>0</v>
      </c>
      <c r="N163" s="81">
        <f ca="1">N123*(1+INDEX(N$35:N$37,MATCH(Work_Codes!$I$352,$D$35:$D$37,0)))</f>
        <v>9899317.8166514374</v>
      </c>
      <c r="O163" s="81">
        <f ca="1">O123*(1+INDEX(O$35:O$37,MATCH(Work_Codes!$I$352,$D$35:$D$37,0)))</f>
        <v>4086084.4762086966</v>
      </c>
      <c r="P163" s="81">
        <f ca="1">P123*(1+INDEX(P$35:P$37,MATCH(Work_Codes!$I$352,$D$35:$D$37,0)))</f>
        <v>7463653.4943173882</v>
      </c>
      <c r="Q163" s="81">
        <f ca="1">Q123*(1+INDEX(Q$35:Q$37,MATCH(Work_Codes!$I$352,$D$35:$D$37,0)))</f>
        <v>7693863.0921250097</v>
      </c>
      <c r="R163" s="81">
        <f ca="1">R123*(1+INDEX(R$35:R$37,MATCH(Work_Codes!$I$352,$D$35:$D$37,0)))</f>
        <v>7930985.8217090219</v>
      </c>
      <c r="S163" s="81">
        <f ca="1">S123*(1+INDEX(S$35:S$37,MATCH(Work_Codes!$I$352,$D$35:$D$37,0)))</f>
        <v>7752824.4870989639</v>
      </c>
      <c r="T163" s="81">
        <f ca="1">T123*(1+INDEX(T$35:T$37,MATCH(Work_Codes!$I$352,$D$35:$D$37,0)))</f>
        <v>7564371.4218953466</v>
      </c>
    </row>
    <row r="164" spans="4:20" outlineLevel="2">
      <c r="E164" s="247" t="str">
        <f>GC!C54</f>
        <v>Service pipes - post 1998</v>
      </c>
      <c r="F164" s="247"/>
      <c r="G164" s="247"/>
      <c r="H164" s="247"/>
      <c r="I164" s="247"/>
      <c r="J164" s="81">
        <f ca="1">J124*(1+INDEX(J$35:J$37,MATCH(Work_Codes!$I$352,$D$35:$D$37,0)))</f>
        <v>0</v>
      </c>
      <c r="K164" s="81">
        <f ca="1">K124*(1+INDEX(K$35:K$37,MATCH(Work_Codes!$I$352,$D$35:$D$37,0)))</f>
        <v>0</v>
      </c>
      <c r="L164" s="81">
        <f ca="1">L124*(1+INDEX(L$35:L$37,MATCH(Work_Codes!$I$352,$D$35:$D$37,0)))</f>
        <v>0</v>
      </c>
      <c r="M164" s="81">
        <f ca="1">M124*(1+INDEX(M$35:M$37,MATCH(Work_Codes!$I$352,$D$35:$D$37,0)))</f>
        <v>0</v>
      </c>
      <c r="N164" s="81">
        <f ca="1">N124*(1+INDEX(N$35:N$37,MATCH(Work_Codes!$I$352,$D$35:$D$37,0)))</f>
        <v>29697953.449954316</v>
      </c>
      <c r="O164" s="81">
        <f ca="1">O124*(1+INDEX(O$35:O$37,MATCH(Work_Codes!$I$352,$D$35:$D$37,0)))</f>
        <v>12258253.42862609</v>
      </c>
      <c r="P164" s="81">
        <f ca="1">P124*(1+INDEX(P$35:P$37,MATCH(Work_Codes!$I$352,$D$35:$D$37,0)))</f>
        <v>22390960.482952166</v>
      </c>
      <c r="Q164" s="81">
        <f ca="1">Q124*(1+INDEX(Q$35:Q$37,MATCH(Work_Codes!$I$352,$D$35:$D$37,0)))</f>
        <v>23081589.276375029</v>
      </c>
      <c r="R164" s="81">
        <f ca="1">R124*(1+INDEX(R$35:R$37,MATCH(Work_Codes!$I$352,$D$35:$D$37,0)))</f>
        <v>23792957.465127066</v>
      </c>
      <c r="S164" s="81">
        <f ca="1">S124*(1+INDEX(S$35:S$37,MATCH(Work_Codes!$I$352,$D$35:$D$37,0)))</f>
        <v>23258473.46129689</v>
      </c>
      <c r="T164" s="81">
        <f ca="1">T124*(1+INDEX(T$35:T$37,MATCH(Work_Codes!$I$352,$D$35:$D$37,0)))</f>
        <v>22693114.265686039</v>
      </c>
    </row>
    <row r="165" spans="4:20" outlineLevel="2">
      <c r="E165" s="247" t="str">
        <f>GC!C55</f>
        <v>Cathodic protection - post 1998</v>
      </c>
      <c r="F165" s="247"/>
      <c r="G165" s="247"/>
      <c r="H165" s="247"/>
      <c r="I165" s="247"/>
      <c r="J165" s="81">
        <f ca="1">J125*(1+INDEX(J$35:J$37,MATCH(Work_Codes!$I$352,$D$35:$D$37,0)))</f>
        <v>0</v>
      </c>
      <c r="K165" s="81">
        <f ca="1">K125*(1+INDEX(K$35:K$37,MATCH(Work_Codes!$I$352,$D$35:$D$37,0)))</f>
        <v>0</v>
      </c>
      <c r="L165" s="81">
        <f ca="1">L125*(1+INDEX(L$35:L$37,MATCH(Work_Codes!$I$352,$D$35:$D$37,0)))</f>
        <v>0</v>
      </c>
      <c r="M165" s="81">
        <f ca="1">M125*(1+INDEX(M$35:M$37,MATCH(Work_Codes!$I$352,$D$35:$D$37,0)))</f>
        <v>0</v>
      </c>
      <c r="N165" s="81">
        <f ca="1">N125*(1+INDEX(N$35:N$37,MATCH(Work_Codes!$I$352,$D$35:$D$37,0)))</f>
        <v>0</v>
      </c>
      <c r="O165" s="81">
        <f ca="1">O125*(1+INDEX(O$35:O$37,MATCH(Work_Codes!$I$352,$D$35:$D$37,0)))</f>
        <v>0</v>
      </c>
      <c r="P165" s="81">
        <f ca="1">P125*(1+INDEX(P$35:P$37,MATCH(Work_Codes!$I$352,$D$35:$D$37,0)))</f>
        <v>0</v>
      </c>
      <c r="Q165" s="81">
        <f ca="1">Q125*(1+INDEX(Q$35:Q$37,MATCH(Work_Codes!$I$352,$D$35:$D$37,0)))</f>
        <v>0</v>
      </c>
      <c r="R165" s="81">
        <f ca="1">R125*(1+INDEX(R$35:R$37,MATCH(Work_Codes!$I$352,$D$35:$D$37,0)))</f>
        <v>0</v>
      </c>
      <c r="S165" s="81">
        <f ca="1">S125*(1+INDEX(S$35:S$37,MATCH(Work_Codes!$I$352,$D$35:$D$37,0)))</f>
        <v>0</v>
      </c>
      <c r="T165" s="81">
        <f ca="1">T125*(1+INDEX(T$35:T$37,MATCH(Work_Codes!$I$352,$D$35:$D$37,0)))</f>
        <v>0</v>
      </c>
    </row>
    <row r="166" spans="4:20" ht="12" customHeight="1" outlineLevel="2">
      <c r="E166" s="249" t="str">
        <f>"Total "&amp;D148</f>
        <v>Total Direct Costs + Overheads</v>
      </c>
      <c r="F166" s="249"/>
      <c r="G166" s="249"/>
      <c r="H166" s="249"/>
      <c r="I166" s="249"/>
      <c r="J166" s="82">
        <f t="shared" ref="J166:T166" ca="1" si="18">SUM(J150:J165)</f>
        <v>0</v>
      </c>
      <c r="K166" s="82">
        <f t="shared" ca="1" si="18"/>
        <v>0</v>
      </c>
      <c r="L166" s="82">
        <f t="shared" ca="1" si="18"/>
        <v>0</v>
      </c>
      <c r="M166" s="82">
        <f t="shared" ca="1" si="18"/>
        <v>0</v>
      </c>
      <c r="N166" s="82">
        <f t="shared" ca="1" si="18"/>
        <v>49496589.083257191</v>
      </c>
      <c r="O166" s="82">
        <f t="shared" ca="1" si="18"/>
        <v>20430422.381043483</v>
      </c>
      <c r="P166" s="82">
        <f t="shared" ca="1" si="18"/>
        <v>37318267.471586943</v>
      </c>
      <c r="Q166" s="82">
        <f t="shared" ca="1" si="18"/>
        <v>38469315.460625052</v>
      </c>
      <c r="R166" s="82">
        <f t="shared" ca="1" si="18"/>
        <v>39654929.10854511</v>
      </c>
      <c r="S166" s="82">
        <f t="shared" ca="1" si="18"/>
        <v>38764122.435494818</v>
      </c>
      <c r="T166" s="82">
        <f t="shared" ca="1" si="18"/>
        <v>37821857.10947673</v>
      </c>
    </row>
    <row r="167" spans="4:20" outlineLevel="2"/>
    <row r="168" spans="4:20" outlineLevel="2">
      <c r="D168" s="37" t="s">
        <v>367</v>
      </c>
    </row>
    <row r="169" spans="4:20" ht="5.9" customHeight="1" outlineLevel="2"/>
    <row r="170" spans="4:20" outlineLevel="2">
      <c r="E170" s="247" t="str">
        <f>GC!C40</f>
        <v>Transmission pipelines</v>
      </c>
      <c r="F170" s="247"/>
      <c r="G170" s="247"/>
      <c r="H170" s="247"/>
      <c r="I170" s="247"/>
      <c r="J170" s="81">
        <f ca="1">SUMPRODUCT((Work_Codes!$N$355:$Y$355=$E170)*(Work_Codes!$N$363:$Y$368)*(J$65:J$70))</f>
        <v>0</v>
      </c>
      <c r="K170" s="81">
        <f ca="1">SUMPRODUCT((Work_Codes!$N$355:$Y$355=$E170)*(Work_Codes!$N$363:$Y$368)*(K$65:K$70))</f>
        <v>0</v>
      </c>
      <c r="L170" s="81">
        <f ca="1">SUMPRODUCT((Work_Codes!$N$355:$Y$355=$E170)*(Work_Codes!$N$363:$Y$368)*(L$65:L$70))</f>
        <v>0</v>
      </c>
      <c r="M170" s="81">
        <f ca="1">SUMPRODUCT((Work_Codes!$N$355:$Y$355=$E170)*(Work_Codes!$N$363:$Y$368)*(M$65:M$70))</f>
        <v>0</v>
      </c>
      <c r="N170" s="81">
        <f ca="1">SUMPRODUCT((Work_Codes!$N$355:$Y$355=$E170)*(Work_Codes!$N$363:$Y$368)*(N$65:N$70))</f>
        <v>0</v>
      </c>
      <c r="O170" s="81">
        <f ca="1">SUMPRODUCT((Work_Codes!$N$355:$Y$355=$E170)*(Work_Codes!$N$363:$Y$368)*(O$65:O$70))</f>
        <v>0</v>
      </c>
      <c r="P170" s="81">
        <f ca="1">SUMPRODUCT((Work_Codes!$N$355:$Y$355=$E170)*(Work_Codes!$N$363:$Y$368)*(P$65:P$70))</f>
        <v>0</v>
      </c>
      <c r="Q170" s="81">
        <f ca="1">SUMPRODUCT((Work_Codes!$N$355:$Y$355=$E170)*(Work_Codes!$N$363:$Y$368)*(Q$65:Q$70))</f>
        <v>0</v>
      </c>
      <c r="R170" s="81">
        <f ca="1">SUMPRODUCT((Work_Codes!$N$355:$Y$355=$E170)*(Work_Codes!$N$363:$Y$368)*(R$65:R$70))</f>
        <v>0</v>
      </c>
      <c r="S170" s="81">
        <f ca="1">SUMPRODUCT((Work_Codes!$N$355:$Y$355=$E170)*(Work_Codes!$N$363:$Y$368)*(S$65:S$70))</f>
        <v>0</v>
      </c>
      <c r="T170" s="81">
        <f ca="1">SUMPRODUCT((Work_Codes!$N$355:$Y$355=$E170)*(Work_Codes!$N$363:$Y$368)*(T$65:T$70))</f>
        <v>0</v>
      </c>
    </row>
    <row r="171" spans="4:20" outlineLevel="2">
      <c r="E171" s="247" t="str">
        <f>GC!C41</f>
        <v>Distribution pipelines</v>
      </c>
      <c r="F171" s="247"/>
      <c r="G171" s="247"/>
      <c r="H171" s="247"/>
      <c r="I171" s="247"/>
      <c r="J171" s="81">
        <f ca="1">SUMPRODUCT((Work_Codes!$N$355:$Y$355=$E171)*(Work_Codes!$N$363:$Y$368)*(J$65:J$70))</f>
        <v>0</v>
      </c>
      <c r="K171" s="81">
        <f ca="1">SUMPRODUCT((Work_Codes!$N$355:$Y$355=$E171)*(Work_Codes!$N$363:$Y$368)*(K$65:K$70))</f>
        <v>0</v>
      </c>
      <c r="L171" s="81">
        <f ca="1">SUMPRODUCT((Work_Codes!$N$355:$Y$355=$E171)*(Work_Codes!$N$363:$Y$368)*(L$65:L$70))</f>
        <v>0</v>
      </c>
      <c r="M171" s="81">
        <f ca="1">SUMPRODUCT((Work_Codes!$N$355:$Y$355=$E171)*(Work_Codes!$N$363:$Y$368)*(M$65:M$70))</f>
        <v>0</v>
      </c>
      <c r="N171" s="81">
        <f ca="1">SUMPRODUCT((Work_Codes!$N$355:$Y$355=$E171)*(Work_Codes!$N$363:$Y$368)*(N$65:N$70))</f>
        <v>0</v>
      </c>
      <c r="O171" s="81">
        <f ca="1">SUMPRODUCT((Work_Codes!$N$355:$Y$355=$E171)*(Work_Codes!$N$363:$Y$368)*(O$65:O$70))</f>
        <v>0</v>
      </c>
      <c r="P171" s="81">
        <f ca="1">SUMPRODUCT((Work_Codes!$N$355:$Y$355=$E171)*(Work_Codes!$N$363:$Y$368)*(P$65:P$70))</f>
        <v>0</v>
      </c>
      <c r="Q171" s="81">
        <f ca="1">SUMPRODUCT((Work_Codes!$N$355:$Y$355=$E171)*(Work_Codes!$N$363:$Y$368)*(Q$65:Q$70))</f>
        <v>0</v>
      </c>
      <c r="R171" s="81">
        <f ca="1">SUMPRODUCT((Work_Codes!$N$355:$Y$355=$E171)*(Work_Codes!$N$363:$Y$368)*(R$65:R$70))</f>
        <v>0</v>
      </c>
      <c r="S171" s="81">
        <f ca="1">SUMPRODUCT((Work_Codes!$N$355:$Y$355=$E171)*(Work_Codes!$N$363:$Y$368)*(S$65:S$70))</f>
        <v>0</v>
      </c>
      <c r="T171" s="81">
        <f ca="1">SUMPRODUCT((Work_Codes!$N$355:$Y$355=$E171)*(Work_Codes!$N$363:$Y$368)*(T$65:T$70))</f>
        <v>0</v>
      </c>
    </row>
    <row r="172" spans="4:20" outlineLevel="2">
      <c r="E172" s="247" t="str">
        <f>GC!C42</f>
        <v>Service pipes</v>
      </c>
      <c r="F172" s="247"/>
      <c r="G172" s="247"/>
      <c r="H172" s="247"/>
      <c r="I172" s="247"/>
      <c r="J172" s="81">
        <f ca="1">SUMPRODUCT((Work_Codes!$N$355:$Y$355=$E172)*(Work_Codes!$N$363:$Y$368)*(J$65:J$70))</f>
        <v>0</v>
      </c>
      <c r="K172" s="81">
        <f ca="1">SUMPRODUCT((Work_Codes!$N$355:$Y$355=$E172)*(Work_Codes!$N$363:$Y$368)*(K$65:K$70))</f>
        <v>0</v>
      </c>
      <c r="L172" s="81">
        <f ca="1">SUMPRODUCT((Work_Codes!$N$355:$Y$355=$E172)*(Work_Codes!$N$363:$Y$368)*(L$65:L$70))</f>
        <v>0</v>
      </c>
      <c r="M172" s="81">
        <f ca="1">SUMPRODUCT((Work_Codes!$N$355:$Y$355=$E172)*(Work_Codes!$N$363:$Y$368)*(M$65:M$70))</f>
        <v>0</v>
      </c>
      <c r="N172" s="81">
        <f ca="1">SUMPRODUCT((Work_Codes!$N$355:$Y$355=$E172)*(Work_Codes!$N$363:$Y$368)*(N$65:N$70))</f>
        <v>0</v>
      </c>
      <c r="O172" s="81">
        <f ca="1">SUMPRODUCT((Work_Codes!$N$355:$Y$355=$E172)*(Work_Codes!$N$363:$Y$368)*(O$65:O$70))</f>
        <v>0</v>
      </c>
      <c r="P172" s="81">
        <f ca="1">SUMPRODUCT((Work_Codes!$N$355:$Y$355=$E172)*(Work_Codes!$N$363:$Y$368)*(P$65:P$70))</f>
        <v>0</v>
      </c>
      <c r="Q172" s="81">
        <f ca="1">SUMPRODUCT((Work_Codes!$N$355:$Y$355=$E172)*(Work_Codes!$N$363:$Y$368)*(Q$65:Q$70))</f>
        <v>0</v>
      </c>
      <c r="R172" s="81">
        <f ca="1">SUMPRODUCT((Work_Codes!$N$355:$Y$355=$E172)*(Work_Codes!$N$363:$Y$368)*(R$65:R$70))</f>
        <v>0</v>
      </c>
      <c r="S172" s="81">
        <f ca="1">SUMPRODUCT((Work_Codes!$N$355:$Y$355=$E172)*(Work_Codes!$N$363:$Y$368)*(S$65:S$70))</f>
        <v>0</v>
      </c>
      <c r="T172" s="81">
        <f ca="1">SUMPRODUCT((Work_Codes!$N$355:$Y$355=$E172)*(Work_Codes!$N$363:$Y$368)*(T$65:T$70))</f>
        <v>0</v>
      </c>
    </row>
    <row r="173" spans="4:20" outlineLevel="2">
      <c r="E173" s="247" t="str">
        <f>GC!C43</f>
        <v>Cathodic protection</v>
      </c>
      <c r="F173" s="247"/>
      <c r="G173" s="247"/>
      <c r="H173" s="247"/>
      <c r="I173" s="247"/>
      <c r="J173" s="81">
        <f ca="1">SUMPRODUCT((Work_Codes!$N$355:$Y$355=$E173)*(Work_Codes!$N$363:$Y$368)*(J$65:J$70))</f>
        <v>0</v>
      </c>
      <c r="K173" s="81">
        <f ca="1">SUMPRODUCT((Work_Codes!$N$355:$Y$355=$E173)*(Work_Codes!$N$363:$Y$368)*(K$65:K$70))</f>
        <v>0</v>
      </c>
      <c r="L173" s="81">
        <f ca="1">SUMPRODUCT((Work_Codes!$N$355:$Y$355=$E173)*(Work_Codes!$N$363:$Y$368)*(L$65:L$70))</f>
        <v>0</v>
      </c>
      <c r="M173" s="81">
        <f ca="1">SUMPRODUCT((Work_Codes!$N$355:$Y$355=$E173)*(Work_Codes!$N$363:$Y$368)*(M$65:M$70))</f>
        <v>0</v>
      </c>
      <c r="N173" s="81">
        <f ca="1">SUMPRODUCT((Work_Codes!$N$355:$Y$355=$E173)*(Work_Codes!$N$363:$Y$368)*(N$65:N$70))</f>
        <v>0</v>
      </c>
      <c r="O173" s="81">
        <f ca="1">SUMPRODUCT((Work_Codes!$N$355:$Y$355=$E173)*(Work_Codes!$N$363:$Y$368)*(O$65:O$70))</f>
        <v>0</v>
      </c>
      <c r="P173" s="81">
        <f ca="1">SUMPRODUCT((Work_Codes!$N$355:$Y$355=$E173)*(Work_Codes!$N$363:$Y$368)*(P$65:P$70))</f>
        <v>0</v>
      </c>
      <c r="Q173" s="81">
        <f ca="1">SUMPRODUCT((Work_Codes!$N$355:$Y$355=$E173)*(Work_Codes!$N$363:$Y$368)*(Q$65:Q$70))</f>
        <v>0</v>
      </c>
      <c r="R173" s="81">
        <f ca="1">SUMPRODUCT((Work_Codes!$N$355:$Y$355=$E173)*(Work_Codes!$N$363:$Y$368)*(R$65:R$70))</f>
        <v>0</v>
      </c>
      <c r="S173" s="81">
        <f ca="1">SUMPRODUCT((Work_Codes!$N$355:$Y$355=$E173)*(Work_Codes!$N$363:$Y$368)*(S$65:S$70))</f>
        <v>0</v>
      </c>
      <c r="T173" s="81">
        <f ca="1">SUMPRODUCT((Work_Codes!$N$355:$Y$355=$E173)*(Work_Codes!$N$363:$Y$368)*(T$65:T$70))</f>
        <v>0</v>
      </c>
    </row>
    <row r="174" spans="4:20" outlineLevel="2">
      <c r="E174" s="247" t="str">
        <f>GC!C44</f>
        <v>Supply Regulators / Valve Stations</v>
      </c>
      <c r="F174" s="247"/>
      <c r="G174" s="247"/>
      <c r="H174" s="247"/>
      <c r="I174" s="247"/>
      <c r="J174" s="81">
        <f ca="1">SUMPRODUCT((Work_Codes!$N$355:$Y$355=$E174)*(Work_Codes!$N$363:$Y$368)*(J$65:J$70))</f>
        <v>0</v>
      </c>
      <c r="K174" s="81">
        <f ca="1">SUMPRODUCT((Work_Codes!$N$355:$Y$355=$E174)*(Work_Codes!$N$363:$Y$368)*(K$65:K$70))</f>
        <v>0</v>
      </c>
      <c r="L174" s="81">
        <f ca="1">SUMPRODUCT((Work_Codes!$N$355:$Y$355=$E174)*(Work_Codes!$N$363:$Y$368)*(L$65:L$70))</f>
        <v>0</v>
      </c>
      <c r="M174" s="81">
        <f ca="1">SUMPRODUCT((Work_Codes!$N$355:$Y$355=$E174)*(Work_Codes!$N$363:$Y$368)*(M$65:M$70))</f>
        <v>0</v>
      </c>
      <c r="N174" s="81">
        <f ca="1">SUMPRODUCT((Work_Codes!$N$355:$Y$355=$E174)*(Work_Codes!$N$363:$Y$368)*(N$65:N$70))</f>
        <v>0</v>
      </c>
      <c r="O174" s="81">
        <f ca="1">SUMPRODUCT((Work_Codes!$N$355:$Y$355=$E174)*(Work_Codes!$N$363:$Y$368)*(O$65:O$70))</f>
        <v>0</v>
      </c>
      <c r="P174" s="81">
        <f ca="1">SUMPRODUCT((Work_Codes!$N$355:$Y$355=$E174)*(Work_Codes!$N$363:$Y$368)*(P$65:P$70))</f>
        <v>0</v>
      </c>
      <c r="Q174" s="81">
        <f ca="1">SUMPRODUCT((Work_Codes!$N$355:$Y$355=$E174)*(Work_Codes!$N$363:$Y$368)*(Q$65:Q$70))</f>
        <v>0</v>
      </c>
      <c r="R174" s="81">
        <f ca="1">SUMPRODUCT((Work_Codes!$N$355:$Y$355=$E174)*(Work_Codes!$N$363:$Y$368)*(R$65:R$70))</f>
        <v>0</v>
      </c>
      <c r="S174" s="81">
        <f ca="1">SUMPRODUCT((Work_Codes!$N$355:$Y$355=$E174)*(Work_Codes!$N$363:$Y$368)*(S$65:S$70))</f>
        <v>0</v>
      </c>
      <c r="T174" s="81">
        <f ca="1">SUMPRODUCT((Work_Codes!$N$355:$Y$355=$E174)*(Work_Codes!$N$363:$Y$368)*(T$65:T$70))</f>
        <v>0</v>
      </c>
    </row>
    <row r="175" spans="4:20" outlineLevel="2">
      <c r="E175" s="247" t="str">
        <f>GC!C45</f>
        <v>Meters</v>
      </c>
      <c r="F175" s="247"/>
      <c r="G175" s="247"/>
      <c r="H175" s="247"/>
      <c r="I175" s="247"/>
      <c r="J175" s="81">
        <f ca="1">SUMPRODUCT((Work_Codes!$N$355:$Y$355=$E175)*(Work_Codes!$N$363:$Y$368)*(J$65:J$70))</f>
        <v>0</v>
      </c>
      <c r="K175" s="81">
        <f ca="1">SUMPRODUCT((Work_Codes!$N$355:$Y$355=$E175)*(Work_Codes!$N$363:$Y$368)*(K$65:K$70))</f>
        <v>0</v>
      </c>
      <c r="L175" s="81">
        <f ca="1">SUMPRODUCT((Work_Codes!$N$355:$Y$355=$E175)*(Work_Codes!$N$363:$Y$368)*(L$65:L$70))</f>
        <v>0</v>
      </c>
      <c r="M175" s="81">
        <f ca="1">SUMPRODUCT((Work_Codes!$N$355:$Y$355=$E175)*(Work_Codes!$N$363:$Y$368)*(M$65:M$70))</f>
        <v>0</v>
      </c>
      <c r="N175" s="81">
        <f ca="1">SUMPRODUCT((Work_Codes!$N$355:$Y$355=$E175)*(Work_Codes!$N$363:$Y$368)*(N$65:N$70))</f>
        <v>-162637.18551700001</v>
      </c>
      <c r="O175" s="81">
        <f ca="1">SUMPRODUCT((Work_Codes!$N$355:$Y$355=$E175)*(Work_Codes!$N$363:$Y$368)*(O$65:O$70))</f>
        <v>-141287.41899999999</v>
      </c>
      <c r="P175" s="81">
        <f ca="1">SUMPRODUCT((Work_Codes!$N$355:$Y$355=$E175)*(Work_Codes!$N$363:$Y$368)*(P$65:P$70))</f>
        <v>-282574.83799999999</v>
      </c>
      <c r="Q175" s="81">
        <f ca="1">SUMPRODUCT((Work_Codes!$N$355:$Y$355=$E175)*(Work_Codes!$N$363:$Y$368)*(Q$65:Q$70))</f>
        <v>-291395.29900000006</v>
      </c>
      <c r="R175" s="81">
        <f ca="1">SUMPRODUCT((Work_Codes!$N$355:$Y$355=$E175)*(Work_Codes!$N$363:$Y$368)*(R$65:R$70))</f>
        <v>-300003.97899999999</v>
      </c>
      <c r="S175" s="81">
        <f ca="1">SUMPRODUCT((Work_Codes!$N$355:$Y$355=$E175)*(Work_Codes!$N$363:$Y$368)*(S$65:S$70))</f>
        <v>-292655.14799999999</v>
      </c>
      <c r="T175" s="81">
        <f ca="1">SUMPRODUCT((Work_Codes!$N$355:$Y$355=$E175)*(Work_Codes!$N$363:$Y$368)*(T$65:T$70))</f>
        <v>-285029.99400000001</v>
      </c>
    </row>
    <row r="176" spans="4:20" outlineLevel="2">
      <c r="E176" s="247" t="str">
        <f>GC!C46</f>
        <v>SCADA and remote control</v>
      </c>
      <c r="F176" s="247"/>
      <c r="G176" s="247"/>
      <c r="H176" s="247"/>
      <c r="I176" s="247"/>
      <c r="J176" s="81">
        <f ca="1">SUMPRODUCT((Work_Codes!$N$355:$Y$355=$E176)*(Work_Codes!$N$363:$Y$368)*(J$65:J$70))</f>
        <v>0</v>
      </c>
      <c r="K176" s="81">
        <f ca="1">SUMPRODUCT((Work_Codes!$N$355:$Y$355=$E176)*(Work_Codes!$N$363:$Y$368)*(K$65:K$70))</f>
        <v>0</v>
      </c>
      <c r="L176" s="81">
        <f ca="1">SUMPRODUCT((Work_Codes!$N$355:$Y$355=$E176)*(Work_Codes!$N$363:$Y$368)*(L$65:L$70))</f>
        <v>0</v>
      </c>
      <c r="M176" s="81">
        <f ca="1">SUMPRODUCT((Work_Codes!$N$355:$Y$355=$E176)*(Work_Codes!$N$363:$Y$368)*(M$65:M$70))</f>
        <v>0</v>
      </c>
      <c r="N176" s="81">
        <f ca="1">SUMPRODUCT((Work_Codes!$N$355:$Y$355=$E176)*(Work_Codes!$N$363:$Y$368)*(N$65:N$70))</f>
        <v>0</v>
      </c>
      <c r="O176" s="81">
        <f ca="1">SUMPRODUCT((Work_Codes!$N$355:$Y$355=$E176)*(Work_Codes!$N$363:$Y$368)*(O$65:O$70))</f>
        <v>0</v>
      </c>
      <c r="P176" s="81">
        <f ca="1">SUMPRODUCT((Work_Codes!$N$355:$Y$355=$E176)*(Work_Codes!$N$363:$Y$368)*(P$65:P$70))</f>
        <v>0</v>
      </c>
      <c r="Q176" s="81">
        <f ca="1">SUMPRODUCT((Work_Codes!$N$355:$Y$355=$E176)*(Work_Codes!$N$363:$Y$368)*(Q$65:Q$70))</f>
        <v>0</v>
      </c>
      <c r="R176" s="81">
        <f ca="1">SUMPRODUCT((Work_Codes!$N$355:$Y$355=$E176)*(Work_Codes!$N$363:$Y$368)*(R$65:R$70))</f>
        <v>0</v>
      </c>
      <c r="S176" s="81">
        <f ca="1">SUMPRODUCT((Work_Codes!$N$355:$Y$355=$E176)*(Work_Codes!$N$363:$Y$368)*(S$65:S$70))</f>
        <v>0</v>
      </c>
      <c r="T176" s="81">
        <f ca="1">SUMPRODUCT((Work_Codes!$N$355:$Y$355=$E176)*(Work_Codes!$N$363:$Y$368)*(T$65:T$70))</f>
        <v>0</v>
      </c>
    </row>
    <row r="177" spans="2:20" outlineLevel="2">
      <c r="E177" s="247" t="str">
        <f>GC!C47</f>
        <v>Buildings</v>
      </c>
      <c r="F177" s="247"/>
      <c r="G177" s="247"/>
      <c r="H177" s="247"/>
      <c r="I177" s="247"/>
      <c r="J177" s="81">
        <f ca="1">SUMPRODUCT((Work_Codes!$N$355:$Y$355=$E177)*(Work_Codes!$N$363:$Y$368)*(J$65:J$70))</f>
        <v>0</v>
      </c>
      <c r="K177" s="81">
        <f ca="1">SUMPRODUCT((Work_Codes!$N$355:$Y$355=$E177)*(Work_Codes!$N$363:$Y$368)*(K$65:K$70))</f>
        <v>0</v>
      </c>
      <c r="L177" s="81">
        <f ca="1">SUMPRODUCT((Work_Codes!$N$355:$Y$355=$E177)*(Work_Codes!$N$363:$Y$368)*(L$65:L$70))</f>
        <v>0</v>
      </c>
      <c r="M177" s="81">
        <f ca="1">SUMPRODUCT((Work_Codes!$N$355:$Y$355=$E177)*(Work_Codes!$N$363:$Y$368)*(M$65:M$70))</f>
        <v>0</v>
      </c>
      <c r="N177" s="81">
        <f ca="1">SUMPRODUCT((Work_Codes!$N$355:$Y$355=$E177)*(Work_Codes!$N$363:$Y$368)*(N$65:N$70))</f>
        <v>0</v>
      </c>
      <c r="O177" s="81">
        <f ca="1">SUMPRODUCT((Work_Codes!$N$355:$Y$355=$E177)*(Work_Codes!$N$363:$Y$368)*(O$65:O$70))</f>
        <v>0</v>
      </c>
      <c r="P177" s="81">
        <f ca="1">SUMPRODUCT((Work_Codes!$N$355:$Y$355=$E177)*(Work_Codes!$N$363:$Y$368)*(P$65:P$70))</f>
        <v>0</v>
      </c>
      <c r="Q177" s="81">
        <f ca="1">SUMPRODUCT((Work_Codes!$N$355:$Y$355=$E177)*(Work_Codes!$N$363:$Y$368)*(Q$65:Q$70))</f>
        <v>0</v>
      </c>
      <c r="R177" s="81">
        <f ca="1">SUMPRODUCT((Work_Codes!$N$355:$Y$355=$E177)*(Work_Codes!$N$363:$Y$368)*(R$65:R$70))</f>
        <v>0</v>
      </c>
      <c r="S177" s="81">
        <f ca="1">SUMPRODUCT((Work_Codes!$N$355:$Y$355=$E177)*(Work_Codes!$N$363:$Y$368)*(S$65:S$70))</f>
        <v>0</v>
      </c>
      <c r="T177" s="81">
        <f ca="1">SUMPRODUCT((Work_Codes!$N$355:$Y$355=$E177)*(Work_Codes!$N$363:$Y$368)*(T$65:T$70))</f>
        <v>0</v>
      </c>
    </row>
    <row r="178" spans="2:20" outlineLevel="2">
      <c r="E178" s="247" t="str">
        <f>GC!C48</f>
        <v>Other - IT</v>
      </c>
      <c r="F178" s="247"/>
      <c r="G178" s="247"/>
      <c r="H178" s="247"/>
      <c r="I178" s="247"/>
      <c r="J178" s="81">
        <f ca="1">SUMPRODUCT((Work_Codes!$N$355:$Y$355=$E178)*(Work_Codes!$N$363:$Y$368)*(J$65:J$70))</f>
        <v>0</v>
      </c>
      <c r="K178" s="81">
        <f ca="1">SUMPRODUCT((Work_Codes!$N$355:$Y$355=$E178)*(Work_Codes!$N$363:$Y$368)*(K$65:K$70))</f>
        <v>0</v>
      </c>
      <c r="L178" s="81">
        <f ca="1">SUMPRODUCT((Work_Codes!$N$355:$Y$355=$E178)*(Work_Codes!$N$363:$Y$368)*(L$65:L$70))</f>
        <v>0</v>
      </c>
      <c r="M178" s="81">
        <f ca="1">SUMPRODUCT((Work_Codes!$N$355:$Y$355=$E178)*(Work_Codes!$N$363:$Y$368)*(M$65:M$70))</f>
        <v>0</v>
      </c>
      <c r="N178" s="81">
        <f ca="1">SUMPRODUCT((Work_Codes!$N$355:$Y$355=$E178)*(Work_Codes!$N$363:$Y$368)*(N$65:N$70))</f>
        <v>0</v>
      </c>
      <c r="O178" s="81">
        <f ca="1">SUMPRODUCT((Work_Codes!$N$355:$Y$355=$E178)*(Work_Codes!$N$363:$Y$368)*(O$65:O$70))</f>
        <v>0</v>
      </c>
      <c r="P178" s="81">
        <f ca="1">SUMPRODUCT((Work_Codes!$N$355:$Y$355=$E178)*(Work_Codes!$N$363:$Y$368)*(P$65:P$70))</f>
        <v>0</v>
      </c>
      <c r="Q178" s="81">
        <f ca="1">SUMPRODUCT((Work_Codes!$N$355:$Y$355=$E178)*(Work_Codes!$N$363:$Y$368)*(Q$65:Q$70))</f>
        <v>0</v>
      </c>
      <c r="R178" s="81">
        <f ca="1">SUMPRODUCT((Work_Codes!$N$355:$Y$355=$E178)*(Work_Codes!$N$363:$Y$368)*(R$65:R$70))</f>
        <v>0</v>
      </c>
      <c r="S178" s="81">
        <f ca="1">SUMPRODUCT((Work_Codes!$N$355:$Y$355=$E178)*(Work_Codes!$N$363:$Y$368)*(S$65:S$70))</f>
        <v>0</v>
      </c>
      <c r="T178" s="81">
        <f ca="1">SUMPRODUCT((Work_Codes!$N$355:$Y$355=$E178)*(Work_Codes!$N$363:$Y$368)*(T$65:T$70))</f>
        <v>0</v>
      </c>
    </row>
    <row r="179" spans="2:20" outlineLevel="2">
      <c r="E179" s="247" t="str">
        <f>GC!C49</f>
        <v>Other - non IT</v>
      </c>
      <c r="F179" s="247"/>
      <c r="G179" s="247"/>
      <c r="H179" s="247"/>
      <c r="I179" s="247"/>
      <c r="J179" s="81">
        <f ca="1">SUMPRODUCT((Work_Codes!$N$355:$Y$355=$E179)*(Work_Codes!$N$363:$Y$368)*(J$65:J$70))</f>
        <v>0</v>
      </c>
      <c r="K179" s="81">
        <f ca="1">SUMPRODUCT((Work_Codes!$N$355:$Y$355=$E179)*(Work_Codes!$N$363:$Y$368)*(K$65:K$70))</f>
        <v>0</v>
      </c>
      <c r="L179" s="81">
        <f ca="1">SUMPRODUCT((Work_Codes!$N$355:$Y$355=$E179)*(Work_Codes!$N$363:$Y$368)*(L$65:L$70))</f>
        <v>0</v>
      </c>
      <c r="M179" s="81">
        <f ca="1">SUMPRODUCT((Work_Codes!$N$355:$Y$355=$E179)*(Work_Codes!$N$363:$Y$368)*(M$65:M$70))</f>
        <v>0</v>
      </c>
      <c r="N179" s="81">
        <f ca="1">SUMPRODUCT((Work_Codes!$N$355:$Y$355=$E179)*(Work_Codes!$N$363:$Y$368)*(N$65:N$70))</f>
        <v>0</v>
      </c>
      <c r="O179" s="81">
        <f ca="1">SUMPRODUCT((Work_Codes!$N$355:$Y$355=$E179)*(Work_Codes!$N$363:$Y$368)*(O$65:O$70))</f>
        <v>0</v>
      </c>
      <c r="P179" s="81">
        <f ca="1">SUMPRODUCT((Work_Codes!$N$355:$Y$355=$E179)*(Work_Codes!$N$363:$Y$368)*(P$65:P$70))</f>
        <v>0</v>
      </c>
      <c r="Q179" s="81">
        <f ca="1">SUMPRODUCT((Work_Codes!$N$355:$Y$355=$E179)*(Work_Codes!$N$363:$Y$368)*(Q$65:Q$70))</f>
        <v>0</v>
      </c>
      <c r="R179" s="81">
        <f ca="1">SUMPRODUCT((Work_Codes!$N$355:$Y$355=$E179)*(Work_Codes!$N$363:$Y$368)*(R$65:R$70))</f>
        <v>0</v>
      </c>
      <c r="S179" s="81">
        <f ca="1">SUMPRODUCT((Work_Codes!$N$355:$Y$355=$E179)*(Work_Codes!$N$363:$Y$368)*(S$65:S$70))</f>
        <v>0</v>
      </c>
      <c r="T179" s="81">
        <f ca="1">SUMPRODUCT((Work_Codes!$N$355:$Y$355=$E179)*(Work_Codes!$N$363:$Y$368)*(T$65:T$70))</f>
        <v>0</v>
      </c>
    </row>
    <row r="180" spans="2:20" outlineLevel="2">
      <c r="E180" s="247" t="str">
        <f>GC!C50</f>
        <v>Land</v>
      </c>
      <c r="F180" s="247"/>
      <c r="G180" s="247"/>
      <c r="H180" s="247"/>
      <c r="I180" s="247"/>
      <c r="J180" s="81">
        <f ca="1">SUMPRODUCT((Work_Codes!$N$355:$Y$355=$E180)*(Work_Codes!$N$363:$Y$368)*(J$65:J$70))</f>
        <v>0</v>
      </c>
      <c r="K180" s="81">
        <f ca="1">SUMPRODUCT((Work_Codes!$N$355:$Y$355=$E180)*(Work_Codes!$N$363:$Y$368)*(K$65:K$70))</f>
        <v>0</v>
      </c>
      <c r="L180" s="81">
        <f ca="1">SUMPRODUCT((Work_Codes!$N$355:$Y$355=$E180)*(Work_Codes!$N$363:$Y$368)*(L$65:L$70))</f>
        <v>0</v>
      </c>
      <c r="M180" s="81">
        <f ca="1">SUMPRODUCT((Work_Codes!$N$355:$Y$355=$E180)*(Work_Codes!$N$363:$Y$368)*(M$65:M$70))</f>
        <v>0</v>
      </c>
      <c r="N180" s="81">
        <f ca="1">SUMPRODUCT((Work_Codes!$N$355:$Y$355=$E180)*(Work_Codes!$N$363:$Y$368)*(N$65:N$70))</f>
        <v>0</v>
      </c>
      <c r="O180" s="81">
        <f ca="1">SUMPRODUCT((Work_Codes!$N$355:$Y$355=$E180)*(Work_Codes!$N$363:$Y$368)*(O$65:O$70))</f>
        <v>0</v>
      </c>
      <c r="P180" s="81">
        <f ca="1">SUMPRODUCT((Work_Codes!$N$355:$Y$355=$E180)*(Work_Codes!$N$363:$Y$368)*(P$65:P$70))</f>
        <v>0</v>
      </c>
      <c r="Q180" s="81">
        <f ca="1">SUMPRODUCT((Work_Codes!$N$355:$Y$355=$E180)*(Work_Codes!$N$363:$Y$368)*(Q$65:Q$70))</f>
        <v>0</v>
      </c>
      <c r="R180" s="81">
        <f ca="1">SUMPRODUCT((Work_Codes!$N$355:$Y$355=$E180)*(Work_Codes!$N$363:$Y$368)*(R$65:R$70))</f>
        <v>0</v>
      </c>
      <c r="S180" s="81">
        <f ca="1">SUMPRODUCT((Work_Codes!$N$355:$Y$355=$E180)*(Work_Codes!$N$363:$Y$368)*(S$65:S$70))</f>
        <v>0</v>
      </c>
      <c r="T180" s="81">
        <f ca="1">SUMPRODUCT((Work_Codes!$N$355:$Y$355=$E180)*(Work_Codes!$N$363:$Y$368)*(T$65:T$70))</f>
        <v>0</v>
      </c>
    </row>
    <row r="181" spans="2:20" outlineLevel="2">
      <c r="E181" s="247" t="str">
        <f>GC!C51</f>
        <v>Capitalised Leases</v>
      </c>
      <c r="F181" s="247"/>
      <c r="G181" s="247"/>
      <c r="H181" s="247"/>
      <c r="I181" s="247"/>
      <c r="J181" s="81">
        <f ca="1">SUMPRODUCT((Work_Codes!$N$355:$Y$355=$E181)*(Work_Codes!$N$363:$Y$368)*(J$65:J$70))</f>
        <v>0</v>
      </c>
      <c r="K181" s="81">
        <f ca="1">SUMPRODUCT((Work_Codes!$N$355:$Y$355=$E181)*(Work_Codes!$N$363:$Y$368)*(K$65:K$70))</f>
        <v>0</v>
      </c>
      <c r="L181" s="81">
        <f ca="1">SUMPRODUCT((Work_Codes!$N$355:$Y$355=$E181)*(Work_Codes!$N$363:$Y$368)*(L$65:L$70))</f>
        <v>0</v>
      </c>
      <c r="M181" s="81">
        <f ca="1">SUMPRODUCT((Work_Codes!$N$355:$Y$355=$E181)*(Work_Codes!$N$363:$Y$368)*(M$65:M$70))</f>
        <v>0</v>
      </c>
      <c r="N181" s="81">
        <f ca="1">SUMPRODUCT((Work_Codes!$N$355:$Y$355=$E181)*(Work_Codes!$N$363:$Y$368)*(N$65:N$70))</f>
        <v>0</v>
      </c>
      <c r="O181" s="81">
        <f ca="1">SUMPRODUCT((Work_Codes!$N$355:$Y$355=$E181)*(Work_Codes!$N$363:$Y$368)*(O$65:O$70))</f>
        <v>0</v>
      </c>
      <c r="P181" s="81">
        <f ca="1">SUMPRODUCT((Work_Codes!$N$355:$Y$355=$E181)*(Work_Codes!$N$363:$Y$368)*(P$65:P$70))</f>
        <v>0</v>
      </c>
      <c r="Q181" s="81">
        <f ca="1">SUMPRODUCT((Work_Codes!$N$355:$Y$355=$E181)*(Work_Codes!$N$363:$Y$368)*(Q$65:Q$70))</f>
        <v>0</v>
      </c>
      <c r="R181" s="81">
        <f ca="1">SUMPRODUCT((Work_Codes!$N$355:$Y$355=$E181)*(Work_Codes!$N$363:$Y$368)*(R$65:R$70))</f>
        <v>0</v>
      </c>
      <c r="S181" s="81">
        <f ca="1">SUMPRODUCT((Work_Codes!$N$355:$Y$355=$E181)*(Work_Codes!$N$363:$Y$368)*(S$65:S$70))</f>
        <v>0</v>
      </c>
      <c r="T181" s="81">
        <f ca="1">SUMPRODUCT((Work_Codes!$N$355:$Y$355=$E181)*(Work_Codes!$N$363:$Y$368)*(T$65:T$70))</f>
        <v>0</v>
      </c>
    </row>
    <row r="182" spans="2:20" outlineLevel="2">
      <c r="E182" s="247" t="str">
        <f>GC!C52</f>
        <v>Transmission pipelines - post 1998</v>
      </c>
      <c r="F182" s="247"/>
      <c r="G182" s="247"/>
      <c r="H182" s="247"/>
      <c r="I182" s="247"/>
      <c r="J182" s="81">
        <f ca="1">SUMPRODUCT((Work_Codes!$N$355:$Y$355=$E182)*(Work_Codes!$N$363:$Y$368)*(J$65:J$70))</f>
        <v>0</v>
      </c>
      <c r="K182" s="81">
        <f ca="1">SUMPRODUCT((Work_Codes!$N$355:$Y$355=$E182)*(Work_Codes!$N$363:$Y$368)*(K$65:K$70))</f>
        <v>0</v>
      </c>
      <c r="L182" s="81">
        <f ca="1">SUMPRODUCT((Work_Codes!$N$355:$Y$355=$E182)*(Work_Codes!$N$363:$Y$368)*(L$65:L$70))</f>
        <v>0</v>
      </c>
      <c r="M182" s="81">
        <f ca="1">SUMPRODUCT((Work_Codes!$N$355:$Y$355=$E182)*(Work_Codes!$N$363:$Y$368)*(M$65:M$70))</f>
        <v>0</v>
      </c>
      <c r="N182" s="81">
        <f ca="1">SUMPRODUCT((Work_Codes!$N$355:$Y$355=$E182)*(Work_Codes!$N$363:$Y$368)*(N$65:N$70))</f>
        <v>0</v>
      </c>
      <c r="O182" s="81">
        <f ca="1">SUMPRODUCT((Work_Codes!$N$355:$Y$355=$E182)*(Work_Codes!$N$363:$Y$368)*(O$65:O$70))</f>
        <v>0</v>
      </c>
      <c r="P182" s="81">
        <f ca="1">SUMPRODUCT((Work_Codes!$N$355:$Y$355=$E182)*(Work_Codes!$N$363:$Y$368)*(P$65:P$70))</f>
        <v>0</v>
      </c>
      <c r="Q182" s="81">
        <f ca="1">SUMPRODUCT((Work_Codes!$N$355:$Y$355=$E182)*(Work_Codes!$N$363:$Y$368)*(Q$65:Q$70))</f>
        <v>0</v>
      </c>
      <c r="R182" s="81">
        <f ca="1">SUMPRODUCT((Work_Codes!$N$355:$Y$355=$E182)*(Work_Codes!$N$363:$Y$368)*(R$65:R$70))</f>
        <v>0</v>
      </c>
      <c r="S182" s="81">
        <f ca="1">SUMPRODUCT((Work_Codes!$N$355:$Y$355=$E182)*(Work_Codes!$N$363:$Y$368)*(S$65:S$70))</f>
        <v>0</v>
      </c>
      <c r="T182" s="81">
        <f ca="1">SUMPRODUCT((Work_Codes!$N$355:$Y$355=$E182)*(Work_Codes!$N$363:$Y$368)*(T$65:T$70))</f>
        <v>0</v>
      </c>
    </row>
    <row r="183" spans="2:20" outlineLevel="2">
      <c r="E183" s="247" t="str">
        <f>GC!C53</f>
        <v>Distribution pipelines - post 1998</v>
      </c>
      <c r="F183" s="247"/>
      <c r="G183" s="247"/>
      <c r="H183" s="247"/>
      <c r="I183" s="247"/>
      <c r="J183" s="81">
        <f ca="1">SUMPRODUCT((Work_Codes!$N$355:$Y$355=$E183)*(Work_Codes!$N$363:$Y$368)*(J$65:J$70))</f>
        <v>0</v>
      </c>
      <c r="K183" s="81">
        <f ca="1">SUMPRODUCT((Work_Codes!$N$355:$Y$355=$E183)*(Work_Codes!$N$363:$Y$368)*(K$65:K$70))</f>
        <v>0</v>
      </c>
      <c r="L183" s="81">
        <f ca="1">SUMPRODUCT((Work_Codes!$N$355:$Y$355=$E183)*(Work_Codes!$N$363:$Y$368)*(L$65:L$70))</f>
        <v>0</v>
      </c>
      <c r="M183" s="81">
        <f ca="1">SUMPRODUCT((Work_Codes!$N$355:$Y$355=$E183)*(Work_Codes!$N$363:$Y$368)*(M$65:M$70))</f>
        <v>0</v>
      </c>
      <c r="N183" s="81">
        <f ca="1">SUMPRODUCT((Work_Codes!$N$355:$Y$355=$E183)*(Work_Codes!$N$363:$Y$368)*(N$65:N$70))</f>
        <v>-487911.55655099993</v>
      </c>
      <c r="O183" s="81">
        <f ca="1">SUMPRODUCT((Work_Codes!$N$355:$Y$355=$E183)*(Work_Codes!$N$363:$Y$368)*(O$65:O$70))</f>
        <v>-423862.25699999998</v>
      </c>
      <c r="P183" s="81">
        <f ca="1">SUMPRODUCT((Work_Codes!$N$355:$Y$355=$E183)*(Work_Codes!$N$363:$Y$368)*(P$65:P$70))</f>
        <v>-847724.51399999997</v>
      </c>
      <c r="Q183" s="81">
        <f ca="1">SUMPRODUCT((Work_Codes!$N$355:$Y$355=$E183)*(Work_Codes!$N$363:$Y$368)*(Q$65:Q$70))</f>
        <v>-874185.897</v>
      </c>
      <c r="R183" s="81">
        <f ca="1">SUMPRODUCT((Work_Codes!$N$355:$Y$355=$E183)*(Work_Codes!$N$363:$Y$368)*(R$65:R$70))</f>
        <v>-900011.93700000003</v>
      </c>
      <c r="S183" s="81">
        <f ca="1">SUMPRODUCT((Work_Codes!$N$355:$Y$355=$E183)*(Work_Codes!$N$363:$Y$368)*(S$65:S$70))</f>
        <v>-877965.44400000002</v>
      </c>
      <c r="T183" s="81">
        <f ca="1">SUMPRODUCT((Work_Codes!$N$355:$Y$355=$E183)*(Work_Codes!$N$363:$Y$368)*(T$65:T$70))</f>
        <v>-855089.98199999996</v>
      </c>
    </row>
    <row r="184" spans="2:20" outlineLevel="2">
      <c r="E184" s="247" t="str">
        <f>GC!C54</f>
        <v>Service pipes - post 1998</v>
      </c>
      <c r="F184" s="247"/>
      <c r="G184" s="247"/>
      <c r="H184" s="247"/>
      <c r="I184" s="247"/>
      <c r="J184" s="81">
        <f ca="1">SUMPRODUCT((Work_Codes!$N$355:$Y$355=$E184)*(Work_Codes!$N$363:$Y$368)*(J$65:J$70))</f>
        <v>0</v>
      </c>
      <c r="K184" s="81">
        <f ca="1">SUMPRODUCT((Work_Codes!$N$355:$Y$355=$E184)*(Work_Codes!$N$363:$Y$368)*(K$65:K$70))</f>
        <v>0</v>
      </c>
      <c r="L184" s="81">
        <f ca="1">SUMPRODUCT((Work_Codes!$N$355:$Y$355=$E184)*(Work_Codes!$N$363:$Y$368)*(L$65:L$70))</f>
        <v>0</v>
      </c>
      <c r="M184" s="81">
        <f ca="1">SUMPRODUCT((Work_Codes!$N$355:$Y$355=$E184)*(Work_Codes!$N$363:$Y$368)*(M$65:M$70))</f>
        <v>0</v>
      </c>
      <c r="N184" s="81">
        <f ca="1">SUMPRODUCT((Work_Codes!$N$355:$Y$355=$E184)*(Work_Codes!$N$363:$Y$368)*(N$65:N$70))</f>
        <v>-2260979.6069819997</v>
      </c>
      <c r="O184" s="81">
        <f ca="1">SUMPRODUCT((Work_Codes!$N$355:$Y$355=$E184)*(Work_Codes!$N$363:$Y$368)*(O$65:O$70))</f>
        <v>-1352322.439</v>
      </c>
      <c r="P184" s="81">
        <f ca="1">SUMPRODUCT((Work_Codes!$N$355:$Y$355=$E184)*(Work_Codes!$N$363:$Y$368)*(P$65:P$70))</f>
        <v>-2704644.878</v>
      </c>
      <c r="Q184" s="81">
        <f ca="1">SUMPRODUCT((Work_Codes!$N$355:$Y$355=$E184)*(Work_Codes!$N$363:$Y$368)*(Q$65:Q$70))</f>
        <v>-2789069.2939999998</v>
      </c>
      <c r="R184" s="81">
        <f ca="1">SUMPRODUCT((Work_Codes!$N$355:$Y$355=$E184)*(Work_Codes!$N$363:$Y$368)*(R$65:R$70))</f>
        <v>-2871466.6540000001</v>
      </c>
      <c r="S184" s="81">
        <f ca="1">SUMPRODUCT((Work_Codes!$N$355:$Y$355=$E184)*(Work_Codes!$N$363:$Y$368)*(S$65:S$70))</f>
        <v>-2801127.8480000002</v>
      </c>
      <c r="T184" s="81">
        <f ca="1">SUMPRODUCT((Work_Codes!$N$355:$Y$355=$E184)*(Work_Codes!$N$363:$Y$368)*(T$65:T$70))</f>
        <v>-2728144.2340000002</v>
      </c>
    </row>
    <row r="185" spans="2:20" outlineLevel="2">
      <c r="E185" s="247" t="str">
        <f>GC!C55</f>
        <v>Cathodic protection - post 1998</v>
      </c>
      <c r="F185" s="247"/>
      <c r="G185" s="247"/>
      <c r="H185" s="247"/>
      <c r="I185" s="247"/>
      <c r="J185" s="81">
        <f ca="1">SUMPRODUCT((Work_Codes!$N$355:$Y$355=$E185)*(Work_Codes!$N$363:$Y$368)*(J$65:J$70))</f>
        <v>0</v>
      </c>
      <c r="K185" s="81">
        <f ca="1">SUMPRODUCT((Work_Codes!$N$355:$Y$355=$E185)*(Work_Codes!$N$363:$Y$368)*(K$65:K$70))</f>
        <v>0</v>
      </c>
      <c r="L185" s="81">
        <f ca="1">SUMPRODUCT((Work_Codes!$N$355:$Y$355=$E185)*(Work_Codes!$N$363:$Y$368)*(L$65:L$70))</f>
        <v>0</v>
      </c>
      <c r="M185" s="81">
        <f ca="1">SUMPRODUCT((Work_Codes!$N$355:$Y$355=$E185)*(Work_Codes!$N$363:$Y$368)*(M$65:M$70))</f>
        <v>0</v>
      </c>
      <c r="N185" s="81">
        <f ca="1">SUMPRODUCT((Work_Codes!$N$355:$Y$355=$E185)*(Work_Codes!$N$363:$Y$368)*(N$65:N$70))</f>
        <v>0</v>
      </c>
      <c r="O185" s="81">
        <f ca="1">SUMPRODUCT((Work_Codes!$N$355:$Y$355=$E185)*(Work_Codes!$N$363:$Y$368)*(O$65:O$70))</f>
        <v>0</v>
      </c>
      <c r="P185" s="81">
        <f ca="1">SUMPRODUCT((Work_Codes!$N$355:$Y$355=$E185)*(Work_Codes!$N$363:$Y$368)*(P$65:P$70))</f>
        <v>0</v>
      </c>
      <c r="Q185" s="81">
        <f ca="1">SUMPRODUCT((Work_Codes!$N$355:$Y$355=$E185)*(Work_Codes!$N$363:$Y$368)*(Q$65:Q$70))</f>
        <v>0</v>
      </c>
      <c r="R185" s="81">
        <f ca="1">SUMPRODUCT((Work_Codes!$N$355:$Y$355=$E185)*(Work_Codes!$N$363:$Y$368)*(R$65:R$70))</f>
        <v>0</v>
      </c>
      <c r="S185" s="81">
        <f ca="1">SUMPRODUCT((Work_Codes!$N$355:$Y$355=$E185)*(Work_Codes!$N$363:$Y$368)*(S$65:S$70))</f>
        <v>0</v>
      </c>
      <c r="T185" s="81">
        <f ca="1">SUMPRODUCT((Work_Codes!$N$355:$Y$355=$E185)*(Work_Codes!$N$363:$Y$368)*(T$65:T$70))</f>
        <v>0</v>
      </c>
    </row>
    <row r="186" spans="2:20" outlineLevel="2">
      <c r="E186" s="249" t="str">
        <f>"Total "&amp;D168</f>
        <v>Total Customer Contributions</v>
      </c>
      <c r="F186" s="249"/>
      <c r="G186" s="249"/>
      <c r="H186" s="249"/>
      <c r="I186" s="249"/>
      <c r="J186" s="82">
        <f t="shared" ref="J186:T186" ca="1" si="19">SUM(J170:J185)</f>
        <v>0</v>
      </c>
      <c r="K186" s="82">
        <f t="shared" ca="1" si="19"/>
        <v>0</v>
      </c>
      <c r="L186" s="82">
        <f t="shared" ca="1" si="19"/>
        <v>0</v>
      </c>
      <c r="M186" s="82">
        <f t="shared" ca="1" si="19"/>
        <v>0</v>
      </c>
      <c r="N186" s="82">
        <f t="shared" ca="1" si="19"/>
        <v>-2911528.3490499994</v>
      </c>
      <c r="O186" s="82">
        <f t="shared" ca="1" si="19"/>
        <v>-1917472.115</v>
      </c>
      <c r="P186" s="82">
        <f t="shared" ca="1" si="19"/>
        <v>-3834944.23</v>
      </c>
      <c r="Q186" s="82">
        <f t="shared" ca="1" si="19"/>
        <v>-3954650.4899999998</v>
      </c>
      <c r="R186" s="82">
        <f t="shared" ca="1" si="19"/>
        <v>-4071482.5700000003</v>
      </c>
      <c r="S186" s="82">
        <f t="shared" ca="1" si="19"/>
        <v>-3971748.4400000004</v>
      </c>
      <c r="T186" s="82">
        <f t="shared" ca="1" si="19"/>
        <v>-3868264.21</v>
      </c>
    </row>
    <row r="187" spans="2:20" outlineLevel="1">
      <c r="B187" s="12"/>
      <c r="C187" s="12"/>
      <c r="D187" s="12"/>
      <c r="E187" s="12"/>
      <c r="F187" s="12"/>
      <c r="G187" s="12"/>
      <c r="H187" s="12"/>
      <c r="I187" s="12"/>
      <c r="J187" s="12"/>
      <c r="K187" s="12"/>
      <c r="L187" s="12"/>
      <c r="M187" s="12"/>
      <c r="N187" s="12"/>
      <c r="O187" s="12"/>
      <c r="P187" s="12"/>
      <c r="Q187" s="12"/>
      <c r="R187" s="12"/>
      <c r="S187" s="12"/>
      <c r="T187" s="12"/>
    </row>
    <row r="188" spans="2:20" outlineLevel="1"/>
    <row r="189" spans="2:20" outlineLevel="1">
      <c r="C189" s="37" t="s">
        <v>196</v>
      </c>
    </row>
    <row r="190" spans="2:20" ht="5.9" customHeight="1" outlineLevel="2"/>
    <row r="191" spans="2:20" outlineLevel="2">
      <c r="D191" s="37" t="s">
        <v>215</v>
      </c>
    </row>
    <row r="192" spans="2:20" ht="5.9" customHeight="1" outlineLevel="2"/>
    <row r="193" spans="5:20" ht="12" customHeight="1" outlineLevel="2">
      <c r="E193" s="247" t="str">
        <f>GC!C60</f>
        <v>Mains replacement</v>
      </c>
      <c r="F193" s="247"/>
      <c r="G193" s="247"/>
      <c r="H193" s="247"/>
      <c r="I193" s="247"/>
      <c r="J193" s="81">
        <f ca="1">SUMPRODUCT((Work_Codes!$AC$355:$AO$355=$E193)*(Work_Codes!$AC$358:$AO$359)*(J$100:J$101))</f>
        <v>0</v>
      </c>
      <c r="K193" s="81">
        <f ca="1">SUMPRODUCT((Work_Codes!$AC$355:$AO$355=$E193)*(Work_Codes!$AC$358:$AO$359)*(K$100:K$101))</f>
        <v>0</v>
      </c>
      <c r="L193" s="81">
        <f ca="1">SUMPRODUCT((Work_Codes!$AC$355:$AO$355=$E193)*(Work_Codes!$AC$358:$AO$359)*(L$100:L$101))</f>
        <v>0</v>
      </c>
      <c r="M193" s="81">
        <f ca="1">SUMPRODUCT((Work_Codes!$AC$355:$AO$355=$E193)*(Work_Codes!$AC$358:$AO$359)*(M$100:M$101))</f>
        <v>0</v>
      </c>
      <c r="N193" s="81">
        <f ca="1">SUMPRODUCT((Work_Codes!$AC$355:$AO$355=$E193)*(Work_Codes!$AC$358:$AO$359)*(N$100:N$101))</f>
        <v>0</v>
      </c>
      <c r="O193" s="81">
        <f ca="1">SUMPRODUCT((Work_Codes!$AC$355:$AO$355=$E193)*(Work_Codes!$AC$358:$AO$359)*(O$100:O$101))</f>
        <v>0</v>
      </c>
      <c r="P193" s="81">
        <f ca="1">SUMPRODUCT((Work_Codes!$AC$355:$AO$355=$E193)*(Work_Codes!$AC$358:$AO$359)*(P$100:P$101))</f>
        <v>0</v>
      </c>
      <c r="Q193" s="81">
        <f ca="1">SUMPRODUCT((Work_Codes!$AC$355:$AO$355=$E193)*(Work_Codes!$AC$358:$AO$359)*(Q$100:Q$101))</f>
        <v>0</v>
      </c>
      <c r="R193" s="81">
        <f ca="1">SUMPRODUCT((Work_Codes!$AC$355:$AO$355=$E193)*(Work_Codes!$AC$358:$AO$359)*(R$100:R$101))</f>
        <v>0</v>
      </c>
      <c r="S193" s="81">
        <f ca="1">SUMPRODUCT((Work_Codes!$AC$355:$AO$355=$E193)*(Work_Codes!$AC$358:$AO$359)*(S$100:S$101))</f>
        <v>0</v>
      </c>
      <c r="T193" s="81">
        <f ca="1">SUMPRODUCT((Work_Codes!$AC$355:$AO$355=$E193)*(Work_Codes!$AC$358:$AO$359)*(T$100:T$101))</f>
        <v>0</v>
      </c>
    </row>
    <row r="194" spans="5:20" ht="12" customHeight="1" outlineLevel="2">
      <c r="E194" s="247" t="str">
        <f>GC!C61</f>
        <v>Residential new customer connections</v>
      </c>
      <c r="F194" s="247"/>
      <c r="G194" s="247"/>
      <c r="H194" s="247"/>
      <c r="I194" s="247"/>
      <c r="J194" s="81">
        <f ca="1">SUMPRODUCT((Work_Codes!$AC$355:$AO$355=$E194)*(Work_Codes!$AC$358:$AO$359)*(J$100:J$101))</f>
        <v>0</v>
      </c>
      <c r="K194" s="81">
        <f ca="1">SUMPRODUCT((Work_Codes!$AC$355:$AO$355=$E194)*(Work_Codes!$AC$358:$AO$359)*(K$100:K$101))</f>
        <v>0</v>
      </c>
      <c r="L194" s="81">
        <f ca="1">SUMPRODUCT((Work_Codes!$AC$355:$AO$355=$E194)*(Work_Codes!$AC$358:$AO$359)*(L$100:L$101))</f>
        <v>0</v>
      </c>
      <c r="M194" s="81">
        <f ca="1">SUMPRODUCT((Work_Codes!$AC$355:$AO$355=$E194)*(Work_Codes!$AC$358:$AO$359)*(M$100:M$101))</f>
        <v>0</v>
      </c>
      <c r="N194" s="81">
        <f ca="1">SUMPRODUCT((Work_Codes!$AC$355:$AO$355=$E194)*(Work_Codes!$AC$358:$AO$359)*(N$100:N$101))</f>
        <v>47697854.9240655</v>
      </c>
      <c r="O194" s="81">
        <f ca="1">SUMPRODUCT((Work_Codes!$AC$355:$AO$355=$E194)*(Work_Codes!$AC$358:$AO$359)*(O$100:O$101))</f>
        <v>19772321.058783215</v>
      </c>
      <c r="P194" s="81">
        <f ca="1">SUMPRODUCT((Work_Codes!$AC$355:$AO$355=$E194)*(Work_Codes!$AC$358:$AO$359)*(P$100:P$101))</f>
        <v>36345917.480189726</v>
      </c>
      <c r="Q194" s="81">
        <f ca="1">SUMPRODUCT((Work_Codes!$AC$355:$AO$355=$E194)*(Work_Codes!$AC$358:$AO$359)*(Q$100:Q$101))</f>
        <v>37492245.521307103</v>
      </c>
      <c r="R194" s="81">
        <f ca="1">SUMPRODUCT((Work_Codes!$AC$355:$AO$355=$E194)*(Work_Codes!$AC$358:$AO$359)*(R$100:R$101))</f>
        <v>38617169.67660211</v>
      </c>
      <c r="S194" s="81">
        <f ca="1">SUMPRODUCT((Work_Codes!$AC$355:$AO$355=$E194)*(Work_Codes!$AC$358:$AO$359)*(S$100:S$101))</f>
        <v>37688266.438258238</v>
      </c>
      <c r="T194" s="81">
        <f ca="1">SUMPRODUCT((Work_Codes!$AC$355:$AO$355=$E194)*(Work_Codes!$AC$358:$AO$359)*(T$100:T$101))</f>
        <v>36723088.415284015</v>
      </c>
    </row>
    <row r="195" spans="5:20" ht="12" customHeight="1" outlineLevel="2">
      <c r="E195" s="247" t="str">
        <f>GC!C62</f>
        <v>Commercial and industrial new customer connections</v>
      </c>
      <c r="F195" s="247"/>
      <c r="G195" s="247"/>
      <c r="H195" s="247"/>
      <c r="I195" s="247"/>
      <c r="J195" s="81">
        <f ca="1">SUMPRODUCT((Work_Codes!$AC$355:$AO$355=$E195)*(Work_Codes!$AC$358:$AO$359)*(J$100:J$101))</f>
        <v>0</v>
      </c>
      <c r="K195" s="81">
        <f ca="1">SUMPRODUCT((Work_Codes!$AC$355:$AO$355=$E195)*(Work_Codes!$AC$358:$AO$359)*(K$100:K$101))</f>
        <v>0</v>
      </c>
      <c r="L195" s="81">
        <f ca="1">SUMPRODUCT((Work_Codes!$AC$355:$AO$355=$E195)*(Work_Codes!$AC$358:$AO$359)*(L$100:L$101))</f>
        <v>0</v>
      </c>
      <c r="M195" s="81">
        <f ca="1">SUMPRODUCT((Work_Codes!$AC$355:$AO$355=$E195)*(Work_Codes!$AC$358:$AO$359)*(M$100:M$101))</f>
        <v>0</v>
      </c>
      <c r="N195" s="81">
        <f ca="1">SUMPRODUCT((Work_Codes!$AC$355:$AO$355=$E195)*(Work_Codes!$AC$358:$AO$359)*(N$100:N$101))</f>
        <v>0</v>
      </c>
      <c r="O195" s="81">
        <f ca="1">SUMPRODUCT((Work_Codes!$AC$355:$AO$355=$E195)*(Work_Codes!$AC$358:$AO$359)*(O$100:O$101))</f>
        <v>0</v>
      </c>
      <c r="P195" s="81">
        <f ca="1">SUMPRODUCT((Work_Codes!$AC$355:$AO$355=$E195)*(Work_Codes!$AC$358:$AO$359)*(P$100:P$101))</f>
        <v>0</v>
      </c>
      <c r="Q195" s="81">
        <f ca="1">SUMPRODUCT((Work_Codes!$AC$355:$AO$355=$E195)*(Work_Codes!$AC$358:$AO$359)*(Q$100:Q$101))</f>
        <v>0</v>
      </c>
      <c r="R195" s="81">
        <f ca="1">SUMPRODUCT((Work_Codes!$AC$355:$AO$355=$E195)*(Work_Codes!$AC$358:$AO$359)*(R$100:R$101))</f>
        <v>0</v>
      </c>
      <c r="S195" s="81">
        <f ca="1">SUMPRODUCT((Work_Codes!$AC$355:$AO$355=$E195)*(Work_Codes!$AC$358:$AO$359)*(S$100:S$101))</f>
        <v>0</v>
      </c>
      <c r="T195" s="81">
        <f ca="1">SUMPRODUCT((Work_Codes!$AC$355:$AO$355=$E195)*(Work_Codes!$AC$358:$AO$359)*(T$100:T$101))</f>
        <v>0</v>
      </c>
    </row>
    <row r="196" spans="5:20" ht="12" customHeight="1" outlineLevel="2">
      <c r="E196" s="247" t="str">
        <f>GC!C63</f>
        <v>Residential meter replacement</v>
      </c>
      <c r="F196" s="247"/>
      <c r="G196" s="247"/>
      <c r="H196" s="247"/>
      <c r="I196" s="247"/>
      <c r="J196" s="81">
        <f ca="1">SUMPRODUCT((Work_Codes!$AC$355:$AO$355=$E196)*(Work_Codes!$AC$358:$AO$359)*(J$100:J$101))</f>
        <v>0</v>
      </c>
      <c r="K196" s="81">
        <f ca="1">SUMPRODUCT((Work_Codes!$AC$355:$AO$355=$E196)*(Work_Codes!$AC$358:$AO$359)*(K$100:K$101))</f>
        <v>0</v>
      </c>
      <c r="L196" s="81">
        <f ca="1">SUMPRODUCT((Work_Codes!$AC$355:$AO$355=$E196)*(Work_Codes!$AC$358:$AO$359)*(L$100:L$101))</f>
        <v>0</v>
      </c>
      <c r="M196" s="81">
        <f ca="1">SUMPRODUCT((Work_Codes!$AC$355:$AO$355=$E196)*(Work_Codes!$AC$358:$AO$359)*(M$100:M$101))</f>
        <v>0</v>
      </c>
      <c r="N196" s="81">
        <f ca="1">SUMPRODUCT((Work_Codes!$AC$355:$AO$355=$E196)*(Work_Codes!$AC$358:$AO$359)*(N$100:N$101))</f>
        <v>0</v>
      </c>
      <c r="O196" s="81">
        <f ca="1">SUMPRODUCT((Work_Codes!$AC$355:$AO$355=$E196)*(Work_Codes!$AC$358:$AO$359)*(O$100:O$101))</f>
        <v>0</v>
      </c>
      <c r="P196" s="81">
        <f ca="1">SUMPRODUCT((Work_Codes!$AC$355:$AO$355=$E196)*(Work_Codes!$AC$358:$AO$359)*(P$100:P$101))</f>
        <v>0</v>
      </c>
      <c r="Q196" s="81">
        <f ca="1">SUMPRODUCT((Work_Codes!$AC$355:$AO$355=$E196)*(Work_Codes!$AC$358:$AO$359)*(Q$100:Q$101))</f>
        <v>0</v>
      </c>
      <c r="R196" s="81">
        <f ca="1">SUMPRODUCT((Work_Codes!$AC$355:$AO$355=$E196)*(Work_Codes!$AC$358:$AO$359)*(R$100:R$101))</f>
        <v>0</v>
      </c>
      <c r="S196" s="81">
        <f ca="1">SUMPRODUCT((Work_Codes!$AC$355:$AO$355=$E196)*(Work_Codes!$AC$358:$AO$359)*(S$100:S$101))</f>
        <v>0</v>
      </c>
      <c r="T196" s="81">
        <f ca="1">SUMPRODUCT((Work_Codes!$AC$355:$AO$355=$E196)*(Work_Codes!$AC$358:$AO$359)*(T$100:T$101))</f>
        <v>0</v>
      </c>
    </row>
    <row r="197" spans="5:20" ht="12" customHeight="1" outlineLevel="2">
      <c r="E197" s="247" t="str">
        <f>GC!C64</f>
        <v>Commercial and industrial meter replacement</v>
      </c>
      <c r="F197" s="247"/>
      <c r="G197" s="247"/>
      <c r="H197" s="247"/>
      <c r="I197" s="247"/>
      <c r="J197" s="81">
        <f ca="1">SUMPRODUCT((Work_Codes!$AC$355:$AO$355=$E197)*(Work_Codes!$AC$358:$AO$359)*(J$100:J$101))</f>
        <v>0</v>
      </c>
      <c r="K197" s="81">
        <f ca="1">SUMPRODUCT((Work_Codes!$AC$355:$AO$355=$E197)*(Work_Codes!$AC$358:$AO$359)*(K$100:K$101))</f>
        <v>0</v>
      </c>
      <c r="L197" s="81">
        <f ca="1">SUMPRODUCT((Work_Codes!$AC$355:$AO$355=$E197)*(Work_Codes!$AC$358:$AO$359)*(L$100:L$101))</f>
        <v>0</v>
      </c>
      <c r="M197" s="81">
        <f ca="1">SUMPRODUCT((Work_Codes!$AC$355:$AO$355=$E197)*(Work_Codes!$AC$358:$AO$359)*(M$100:M$101))</f>
        <v>0</v>
      </c>
      <c r="N197" s="81">
        <f ca="1">SUMPRODUCT((Work_Codes!$AC$355:$AO$355=$E197)*(Work_Codes!$AC$358:$AO$359)*(N$100:N$101))</f>
        <v>0</v>
      </c>
      <c r="O197" s="81">
        <f ca="1">SUMPRODUCT((Work_Codes!$AC$355:$AO$355=$E197)*(Work_Codes!$AC$358:$AO$359)*(O$100:O$101))</f>
        <v>0</v>
      </c>
      <c r="P197" s="81">
        <f ca="1">SUMPRODUCT((Work_Codes!$AC$355:$AO$355=$E197)*(Work_Codes!$AC$358:$AO$359)*(P$100:P$101))</f>
        <v>0</v>
      </c>
      <c r="Q197" s="81">
        <f ca="1">SUMPRODUCT((Work_Codes!$AC$355:$AO$355=$E197)*(Work_Codes!$AC$358:$AO$359)*(Q$100:Q$101))</f>
        <v>0</v>
      </c>
      <c r="R197" s="81">
        <f ca="1">SUMPRODUCT((Work_Codes!$AC$355:$AO$355=$E197)*(Work_Codes!$AC$358:$AO$359)*(R$100:R$101))</f>
        <v>0</v>
      </c>
      <c r="S197" s="81">
        <f ca="1">SUMPRODUCT((Work_Codes!$AC$355:$AO$355=$E197)*(Work_Codes!$AC$358:$AO$359)*(S$100:S$101))</f>
        <v>0</v>
      </c>
      <c r="T197" s="81">
        <f ca="1">SUMPRODUCT((Work_Codes!$AC$355:$AO$355=$E197)*(Work_Codes!$AC$358:$AO$359)*(T$100:T$101))</f>
        <v>0</v>
      </c>
    </row>
    <row r="198" spans="5:20" ht="12" customHeight="1" outlineLevel="2">
      <c r="E198" s="247" t="str">
        <f>GC!C65</f>
        <v>Augmentation</v>
      </c>
      <c r="F198" s="247"/>
      <c r="G198" s="247"/>
      <c r="H198" s="247"/>
      <c r="I198" s="247"/>
      <c r="J198" s="81">
        <f ca="1">SUMPRODUCT((Work_Codes!$AC$355:$AO$355=$E198)*(Work_Codes!$AC$358:$AO$359)*(J$100:J$101))</f>
        <v>0</v>
      </c>
      <c r="K198" s="81">
        <f ca="1">SUMPRODUCT((Work_Codes!$AC$355:$AO$355=$E198)*(Work_Codes!$AC$358:$AO$359)*(K$100:K$101))</f>
        <v>0</v>
      </c>
      <c r="L198" s="81">
        <f ca="1">SUMPRODUCT((Work_Codes!$AC$355:$AO$355=$E198)*(Work_Codes!$AC$358:$AO$359)*(L$100:L$101))</f>
        <v>0</v>
      </c>
      <c r="M198" s="81">
        <f ca="1">SUMPRODUCT((Work_Codes!$AC$355:$AO$355=$E198)*(Work_Codes!$AC$358:$AO$359)*(M$100:M$101))</f>
        <v>0</v>
      </c>
      <c r="N198" s="81">
        <f ca="1">SUMPRODUCT((Work_Codes!$AC$355:$AO$355=$E198)*(Work_Codes!$AC$358:$AO$359)*(N$100:N$101))</f>
        <v>0</v>
      </c>
      <c r="O198" s="81">
        <f ca="1">SUMPRODUCT((Work_Codes!$AC$355:$AO$355=$E198)*(Work_Codes!$AC$358:$AO$359)*(O$100:O$101))</f>
        <v>0</v>
      </c>
      <c r="P198" s="81">
        <f ca="1">SUMPRODUCT((Work_Codes!$AC$355:$AO$355=$E198)*(Work_Codes!$AC$358:$AO$359)*(P$100:P$101))</f>
        <v>0</v>
      </c>
      <c r="Q198" s="81">
        <f ca="1">SUMPRODUCT((Work_Codes!$AC$355:$AO$355=$E198)*(Work_Codes!$AC$358:$AO$359)*(Q$100:Q$101))</f>
        <v>0</v>
      </c>
      <c r="R198" s="81">
        <f ca="1">SUMPRODUCT((Work_Codes!$AC$355:$AO$355=$E198)*(Work_Codes!$AC$358:$AO$359)*(R$100:R$101))</f>
        <v>0</v>
      </c>
      <c r="S198" s="81">
        <f ca="1">SUMPRODUCT((Work_Codes!$AC$355:$AO$355=$E198)*(Work_Codes!$AC$358:$AO$359)*(S$100:S$101))</f>
        <v>0</v>
      </c>
      <c r="T198" s="81">
        <f ca="1">SUMPRODUCT((Work_Codes!$AC$355:$AO$355=$E198)*(Work_Codes!$AC$358:$AO$359)*(T$100:T$101))</f>
        <v>0</v>
      </c>
    </row>
    <row r="199" spans="5:20" ht="12" customHeight="1" outlineLevel="2">
      <c r="E199" s="247" t="str">
        <f>GC!C66</f>
        <v>IT capex</v>
      </c>
      <c r="F199" s="247"/>
      <c r="G199" s="247"/>
      <c r="H199" s="247"/>
      <c r="I199" s="247"/>
      <c r="J199" s="81">
        <f ca="1">SUMPRODUCT((Work_Codes!$AC$355:$AO$355=$E199)*(Work_Codes!$AC$358:$AO$359)*(J$100:J$101))</f>
        <v>0</v>
      </c>
      <c r="K199" s="81">
        <f ca="1">SUMPRODUCT((Work_Codes!$AC$355:$AO$355=$E199)*(Work_Codes!$AC$358:$AO$359)*(K$100:K$101))</f>
        <v>0</v>
      </c>
      <c r="L199" s="81">
        <f ca="1">SUMPRODUCT((Work_Codes!$AC$355:$AO$355=$E199)*(Work_Codes!$AC$358:$AO$359)*(L$100:L$101))</f>
        <v>0</v>
      </c>
      <c r="M199" s="81">
        <f ca="1">SUMPRODUCT((Work_Codes!$AC$355:$AO$355=$E199)*(Work_Codes!$AC$358:$AO$359)*(M$100:M$101))</f>
        <v>0</v>
      </c>
      <c r="N199" s="81">
        <f ca="1">SUMPRODUCT((Work_Codes!$AC$355:$AO$355=$E199)*(Work_Codes!$AC$358:$AO$359)*(N$100:N$101))</f>
        <v>0</v>
      </c>
      <c r="O199" s="81">
        <f ca="1">SUMPRODUCT((Work_Codes!$AC$355:$AO$355=$E199)*(Work_Codes!$AC$358:$AO$359)*(O$100:O$101))</f>
        <v>0</v>
      </c>
      <c r="P199" s="81">
        <f ca="1">SUMPRODUCT((Work_Codes!$AC$355:$AO$355=$E199)*(Work_Codes!$AC$358:$AO$359)*(P$100:P$101))</f>
        <v>0</v>
      </c>
      <c r="Q199" s="81">
        <f ca="1">SUMPRODUCT((Work_Codes!$AC$355:$AO$355=$E199)*(Work_Codes!$AC$358:$AO$359)*(Q$100:Q$101))</f>
        <v>0</v>
      </c>
      <c r="R199" s="81">
        <f ca="1">SUMPRODUCT((Work_Codes!$AC$355:$AO$355=$E199)*(Work_Codes!$AC$358:$AO$359)*(R$100:R$101))</f>
        <v>0</v>
      </c>
      <c r="S199" s="81">
        <f ca="1">SUMPRODUCT((Work_Codes!$AC$355:$AO$355=$E199)*(Work_Codes!$AC$358:$AO$359)*(S$100:S$101))</f>
        <v>0</v>
      </c>
      <c r="T199" s="81">
        <f ca="1">SUMPRODUCT((Work_Codes!$AC$355:$AO$355=$E199)*(Work_Codes!$AC$358:$AO$359)*(T$100:T$101))</f>
        <v>0</v>
      </c>
    </row>
    <row r="200" spans="5:20" ht="12" customHeight="1" outlineLevel="2">
      <c r="E200" s="247" t="str">
        <f>GC!C67</f>
        <v>SCADA</v>
      </c>
      <c r="F200" s="247"/>
      <c r="G200" s="247"/>
      <c r="H200" s="247"/>
      <c r="I200" s="247"/>
      <c r="J200" s="81">
        <f ca="1">SUMPRODUCT((Work_Codes!$AC$355:$AO$355=$E200)*(Work_Codes!$AC$358:$AO$359)*(J$100:J$101))</f>
        <v>0</v>
      </c>
      <c r="K200" s="81">
        <f ca="1">SUMPRODUCT((Work_Codes!$AC$355:$AO$355=$E200)*(Work_Codes!$AC$358:$AO$359)*(K$100:K$101))</f>
        <v>0</v>
      </c>
      <c r="L200" s="81">
        <f ca="1">SUMPRODUCT((Work_Codes!$AC$355:$AO$355=$E200)*(Work_Codes!$AC$358:$AO$359)*(L$100:L$101))</f>
        <v>0</v>
      </c>
      <c r="M200" s="81">
        <f ca="1">SUMPRODUCT((Work_Codes!$AC$355:$AO$355=$E200)*(Work_Codes!$AC$358:$AO$359)*(M$100:M$101))</f>
        <v>0</v>
      </c>
      <c r="N200" s="81">
        <f ca="1">SUMPRODUCT((Work_Codes!$AC$355:$AO$355=$E200)*(Work_Codes!$AC$358:$AO$359)*(N$100:N$101))</f>
        <v>0</v>
      </c>
      <c r="O200" s="81">
        <f ca="1">SUMPRODUCT((Work_Codes!$AC$355:$AO$355=$E200)*(Work_Codes!$AC$358:$AO$359)*(O$100:O$101))</f>
        <v>0</v>
      </c>
      <c r="P200" s="81">
        <f ca="1">SUMPRODUCT((Work_Codes!$AC$355:$AO$355=$E200)*(Work_Codes!$AC$358:$AO$359)*(P$100:P$101))</f>
        <v>0</v>
      </c>
      <c r="Q200" s="81">
        <f ca="1">SUMPRODUCT((Work_Codes!$AC$355:$AO$355=$E200)*(Work_Codes!$AC$358:$AO$359)*(Q$100:Q$101))</f>
        <v>0</v>
      </c>
      <c r="R200" s="81">
        <f ca="1">SUMPRODUCT((Work_Codes!$AC$355:$AO$355=$E200)*(Work_Codes!$AC$358:$AO$359)*(R$100:R$101))</f>
        <v>0</v>
      </c>
      <c r="S200" s="81">
        <f ca="1">SUMPRODUCT((Work_Codes!$AC$355:$AO$355=$E200)*(Work_Codes!$AC$358:$AO$359)*(S$100:S$101))</f>
        <v>0</v>
      </c>
      <c r="T200" s="81">
        <f ca="1">SUMPRODUCT((Work_Codes!$AC$355:$AO$355=$E200)*(Work_Codes!$AC$358:$AO$359)*(T$100:T$101))</f>
        <v>0</v>
      </c>
    </row>
    <row r="201" spans="5:20" ht="12" customHeight="1" outlineLevel="2">
      <c r="E201" s="247" t="str">
        <f>GC!C68</f>
        <v>Other</v>
      </c>
      <c r="F201" s="247"/>
      <c r="G201" s="247"/>
      <c r="H201" s="247"/>
      <c r="I201" s="247"/>
      <c r="J201" s="81">
        <f ca="1">SUMPRODUCT((Work_Codes!$AC$355:$AO$355=$E201)*(Work_Codes!$AC$358:$AO$359)*(J$100:J$101))</f>
        <v>0</v>
      </c>
      <c r="K201" s="81">
        <f ca="1">SUMPRODUCT((Work_Codes!$AC$355:$AO$355=$E201)*(Work_Codes!$AC$358:$AO$359)*(K$100:K$101))</f>
        <v>0</v>
      </c>
      <c r="L201" s="81">
        <f ca="1">SUMPRODUCT((Work_Codes!$AC$355:$AO$355=$E201)*(Work_Codes!$AC$358:$AO$359)*(L$100:L$101))</f>
        <v>0</v>
      </c>
      <c r="M201" s="81">
        <f ca="1">SUMPRODUCT((Work_Codes!$AC$355:$AO$355=$E201)*(Work_Codes!$AC$358:$AO$359)*(M$100:M$101))</f>
        <v>0</v>
      </c>
      <c r="N201" s="81">
        <f ca="1">SUMPRODUCT((Work_Codes!$AC$355:$AO$355=$E201)*(Work_Codes!$AC$358:$AO$359)*(N$100:N$101))</f>
        <v>0</v>
      </c>
      <c r="O201" s="81">
        <f ca="1">SUMPRODUCT((Work_Codes!$AC$355:$AO$355=$E201)*(Work_Codes!$AC$358:$AO$359)*(O$100:O$101))</f>
        <v>0</v>
      </c>
      <c r="P201" s="81">
        <f ca="1">SUMPRODUCT((Work_Codes!$AC$355:$AO$355=$E201)*(Work_Codes!$AC$358:$AO$359)*(P$100:P$101))</f>
        <v>0</v>
      </c>
      <c r="Q201" s="81">
        <f ca="1">SUMPRODUCT((Work_Codes!$AC$355:$AO$355=$E201)*(Work_Codes!$AC$358:$AO$359)*(Q$100:Q$101))</f>
        <v>0</v>
      </c>
      <c r="R201" s="81">
        <f ca="1">SUMPRODUCT((Work_Codes!$AC$355:$AO$355=$E201)*(Work_Codes!$AC$358:$AO$359)*(R$100:R$101))</f>
        <v>0</v>
      </c>
      <c r="S201" s="81">
        <f ca="1">SUMPRODUCT((Work_Codes!$AC$355:$AO$355=$E201)*(Work_Codes!$AC$358:$AO$359)*(S$100:S$101))</f>
        <v>0</v>
      </c>
      <c r="T201" s="81">
        <f ca="1">SUMPRODUCT((Work_Codes!$AC$355:$AO$355=$E201)*(Work_Codes!$AC$358:$AO$359)*(T$100:T$101))</f>
        <v>0</v>
      </c>
    </row>
    <row r="202" spans="5:20" outlineLevel="2">
      <c r="E202" s="247" t="str">
        <f>GC!C69</f>
        <v>Capitalised Leases</v>
      </c>
      <c r="F202" s="247"/>
      <c r="G202" s="247"/>
      <c r="H202" s="247"/>
      <c r="I202" s="247"/>
      <c r="J202" s="81">
        <f ca="1">SUMPRODUCT((Work_Codes!$AC$355:$AO$355=$E202)*(Work_Codes!$AC$358:$AO$359)*(J$100:J$101))</f>
        <v>0</v>
      </c>
      <c r="K202" s="81">
        <f ca="1">SUMPRODUCT((Work_Codes!$AC$355:$AO$355=$E202)*(Work_Codes!$AC$358:$AO$359)*(K$100:K$101))</f>
        <v>0</v>
      </c>
      <c r="L202" s="81">
        <f ca="1">SUMPRODUCT((Work_Codes!$AC$355:$AO$355=$E202)*(Work_Codes!$AC$358:$AO$359)*(L$100:L$101))</f>
        <v>0</v>
      </c>
      <c r="M202" s="81">
        <f ca="1">SUMPRODUCT((Work_Codes!$AC$355:$AO$355=$E202)*(Work_Codes!$AC$358:$AO$359)*(M$100:M$101))</f>
        <v>0</v>
      </c>
      <c r="N202" s="81">
        <f ca="1">SUMPRODUCT((Work_Codes!$AC$355:$AO$355=$E202)*(Work_Codes!$AC$358:$AO$359)*(N$100:N$101))</f>
        <v>0</v>
      </c>
      <c r="O202" s="81">
        <f ca="1">SUMPRODUCT((Work_Codes!$AC$355:$AO$355=$E202)*(Work_Codes!$AC$358:$AO$359)*(O$100:O$101))</f>
        <v>0</v>
      </c>
      <c r="P202" s="81">
        <f ca="1">SUMPRODUCT((Work_Codes!$AC$355:$AO$355=$E202)*(Work_Codes!$AC$358:$AO$359)*(P$100:P$101))</f>
        <v>0</v>
      </c>
      <c r="Q202" s="81">
        <f ca="1">SUMPRODUCT((Work_Codes!$AC$355:$AO$355=$E202)*(Work_Codes!$AC$358:$AO$359)*(Q$100:Q$101))</f>
        <v>0</v>
      </c>
      <c r="R202" s="81">
        <f ca="1">SUMPRODUCT((Work_Codes!$AC$355:$AO$355=$E202)*(Work_Codes!$AC$358:$AO$359)*(R$100:R$101))</f>
        <v>0</v>
      </c>
      <c r="S202" s="81">
        <f ca="1">SUMPRODUCT((Work_Codes!$AC$355:$AO$355=$E202)*(Work_Codes!$AC$358:$AO$359)*(S$100:S$101))</f>
        <v>0</v>
      </c>
      <c r="T202" s="81">
        <f ca="1">SUMPRODUCT((Work_Codes!$AC$355:$AO$355=$E202)*(Work_Codes!$AC$358:$AO$359)*(T$100:T$101))</f>
        <v>0</v>
      </c>
    </row>
    <row r="203" spans="5:20" ht="12" customHeight="1" outlineLevel="2">
      <c r="E203" s="247" t="str">
        <f>GC!C70</f>
        <v>Gas Extensions - Energy for the Regions</v>
      </c>
      <c r="F203" s="247"/>
      <c r="G203" s="247"/>
      <c r="H203" s="247"/>
      <c r="I203" s="247"/>
      <c r="J203" s="81">
        <f ca="1">SUMPRODUCT((Work_Codes!$AC$355:$AO$355=$E203)*(Work_Codes!$AC$358:$AO$359)*(J$100:J$101))</f>
        <v>0</v>
      </c>
      <c r="K203" s="81">
        <f ca="1">SUMPRODUCT((Work_Codes!$AC$355:$AO$355=$E203)*(Work_Codes!$AC$358:$AO$359)*(K$100:K$101))</f>
        <v>0</v>
      </c>
      <c r="L203" s="81">
        <f ca="1">SUMPRODUCT((Work_Codes!$AC$355:$AO$355=$E203)*(Work_Codes!$AC$358:$AO$359)*(L$100:L$101))</f>
        <v>0</v>
      </c>
      <c r="M203" s="81">
        <f ca="1">SUMPRODUCT((Work_Codes!$AC$355:$AO$355=$E203)*(Work_Codes!$AC$358:$AO$359)*(M$100:M$101))</f>
        <v>0</v>
      </c>
      <c r="N203" s="81">
        <f ca="1">SUMPRODUCT((Work_Codes!$AC$355:$AO$355=$E203)*(Work_Codes!$AC$358:$AO$359)*(N$100:N$101))</f>
        <v>0</v>
      </c>
      <c r="O203" s="81">
        <f ca="1">SUMPRODUCT((Work_Codes!$AC$355:$AO$355=$E203)*(Work_Codes!$AC$358:$AO$359)*(O$100:O$101))</f>
        <v>0</v>
      </c>
      <c r="P203" s="81">
        <f ca="1">SUMPRODUCT((Work_Codes!$AC$355:$AO$355=$E203)*(Work_Codes!$AC$358:$AO$359)*(P$100:P$101))</f>
        <v>0</v>
      </c>
      <c r="Q203" s="81">
        <f ca="1">SUMPRODUCT((Work_Codes!$AC$355:$AO$355=$E203)*(Work_Codes!$AC$358:$AO$359)*(Q$100:Q$101))</f>
        <v>0</v>
      </c>
      <c r="R203" s="81">
        <f ca="1">SUMPRODUCT((Work_Codes!$AC$355:$AO$355=$E203)*(Work_Codes!$AC$358:$AO$359)*(R$100:R$101))</f>
        <v>0</v>
      </c>
      <c r="S203" s="81">
        <f ca="1">SUMPRODUCT((Work_Codes!$AC$355:$AO$355=$E203)*(Work_Codes!$AC$358:$AO$359)*(S$100:S$101))</f>
        <v>0</v>
      </c>
      <c r="T203" s="81">
        <f ca="1">SUMPRODUCT((Work_Codes!$AC$355:$AO$355=$E203)*(Work_Codes!$AC$358:$AO$359)*(T$100:T$101))</f>
        <v>0</v>
      </c>
    </row>
    <row r="204" spans="5:20" ht="12" customHeight="1" outlineLevel="2">
      <c r="E204" s="247" t="str">
        <f>GC!C71</f>
        <v>Gas Extensions - Other</v>
      </c>
      <c r="F204" s="247"/>
      <c r="G204" s="247"/>
      <c r="H204" s="247"/>
      <c r="I204" s="247"/>
      <c r="J204" s="81">
        <f ca="1">SUMPRODUCT((Work_Codes!$AC$355:$AO$355=$E204)*(Work_Codes!$AC$358:$AO$359)*(J$100:J$101))</f>
        <v>0</v>
      </c>
      <c r="K204" s="81">
        <f ca="1">SUMPRODUCT((Work_Codes!$AC$355:$AO$355=$E204)*(Work_Codes!$AC$358:$AO$359)*(K$100:K$101))</f>
        <v>0</v>
      </c>
      <c r="L204" s="81">
        <f ca="1">SUMPRODUCT((Work_Codes!$AC$355:$AO$355=$E204)*(Work_Codes!$AC$358:$AO$359)*(L$100:L$101))</f>
        <v>0</v>
      </c>
      <c r="M204" s="81">
        <f ca="1">SUMPRODUCT((Work_Codes!$AC$355:$AO$355=$E204)*(Work_Codes!$AC$358:$AO$359)*(M$100:M$101))</f>
        <v>0</v>
      </c>
      <c r="N204" s="81">
        <f ca="1">SUMPRODUCT((Work_Codes!$AC$355:$AO$355=$E204)*(Work_Codes!$AC$358:$AO$359)*(N$100:N$101))</f>
        <v>0</v>
      </c>
      <c r="O204" s="81">
        <f ca="1">SUMPRODUCT((Work_Codes!$AC$355:$AO$355=$E204)*(Work_Codes!$AC$358:$AO$359)*(O$100:O$101))</f>
        <v>0</v>
      </c>
      <c r="P204" s="81">
        <f ca="1">SUMPRODUCT((Work_Codes!$AC$355:$AO$355=$E204)*(Work_Codes!$AC$358:$AO$359)*(P$100:P$101))</f>
        <v>0</v>
      </c>
      <c r="Q204" s="81">
        <f ca="1">SUMPRODUCT((Work_Codes!$AC$355:$AO$355=$E204)*(Work_Codes!$AC$358:$AO$359)*(Q$100:Q$101))</f>
        <v>0</v>
      </c>
      <c r="R204" s="81">
        <f ca="1">SUMPRODUCT((Work_Codes!$AC$355:$AO$355=$E204)*(Work_Codes!$AC$358:$AO$359)*(R$100:R$101))</f>
        <v>0</v>
      </c>
      <c r="S204" s="81">
        <f ca="1">SUMPRODUCT((Work_Codes!$AC$355:$AO$355=$E204)*(Work_Codes!$AC$358:$AO$359)*(S$100:S$101))</f>
        <v>0</v>
      </c>
      <c r="T204" s="81">
        <f ca="1">SUMPRODUCT((Work_Codes!$AC$355:$AO$355=$E204)*(Work_Codes!$AC$358:$AO$359)*(T$100:T$101))</f>
        <v>0</v>
      </c>
    </row>
    <row r="205" spans="5:20" ht="12" customHeight="1" outlineLevel="2">
      <c r="E205" s="247" t="str">
        <f>GC!C72</f>
        <v>Customer contributions</v>
      </c>
      <c r="F205" s="247"/>
      <c r="G205" s="247"/>
      <c r="H205" s="247"/>
      <c r="I205" s="247"/>
      <c r="J205" s="81">
        <f ca="1">SUMPRODUCT((Work_Codes!$AC$355:$AO$355=$E205)*(Work_Codes!$AC$358:$AO$359)*(J$100:J$101))</f>
        <v>0</v>
      </c>
      <c r="K205" s="81">
        <f ca="1">SUMPRODUCT((Work_Codes!$AC$355:$AO$355=$E205)*(Work_Codes!$AC$358:$AO$359)*(K$100:K$101))</f>
        <v>0</v>
      </c>
      <c r="L205" s="81">
        <f ca="1">SUMPRODUCT((Work_Codes!$AC$355:$AO$355=$E205)*(Work_Codes!$AC$358:$AO$359)*(L$100:L$101))</f>
        <v>0</v>
      </c>
      <c r="M205" s="81">
        <f ca="1">SUMPRODUCT((Work_Codes!$AC$355:$AO$355=$E205)*(Work_Codes!$AC$358:$AO$359)*(M$100:M$101))</f>
        <v>0</v>
      </c>
      <c r="N205" s="81">
        <f ca="1">SUMPRODUCT((Work_Codes!$AC$355:$AO$355=$E205)*(Work_Codes!$AC$358:$AO$359)*(N$100:N$101))</f>
        <v>0</v>
      </c>
      <c r="O205" s="81">
        <f ca="1">SUMPRODUCT((Work_Codes!$AC$355:$AO$355=$E205)*(Work_Codes!$AC$358:$AO$359)*(O$100:O$101))</f>
        <v>0</v>
      </c>
      <c r="P205" s="81">
        <f ca="1">SUMPRODUCT((Work_Codes!$AC$355:$AO$355=$E205)*(Work_Codes!$AC$358:$AO$359)*(P$100:P$101))</f>
        <v>0</v>
      </c>
      <c r="Q205" s="81">
        <f ca="1">SUMPRODUCT((Work_Codes!$AC$355:$AO$355=$E205)*(Work_Codes!$AC$358:$AO$359)*(Q$100:Q$101))</f>
        <v>0</v>
      </c>
      <c r="R205" s="81">
        <f ca="1">SUMPRODUCT((Work_Codes!$AC$355:$AO$355=$E205)*(Work_Codes!$AC$358:$AO$359)*(R$100:R$101))</f>
        <v>0</v>
      </c>
      <c r="S205" s="81">
        <f ca="1">SUMPRODUCT((Work_Codes!$AC$355:$AO$355=$E205)*(Work_Codes!$AC$358:$AO$359)*(S$100:S$101))</f>
        <v>0</v>
      </c>
      <c r="T205" s="81">
        <f ca="1">SUMPRODUCT((Work_Codes!$AC$355:$AO$355=$E205)*(Work_Codes!$AC$358:$AO$359)*(T$100:T$101))</f>
        <v>0</v>
      </c>
    </row>
    <row r="206" spans="5:20" ht="12" customHeight="1" outlineLevel="2">
      <c r="E206" s="247" t="str">
        <f>GC!C73</f>
        <v>Government contributions</v>
      </c>
      <c r="F206" s="247"/>
      <c r="G206" s="247"/>
      <c r="H206" s="247"/>
      <c r="I206" s="247"/>
      <c r="J206" s="81">
        <f ca="1">SUMPRODUCT((Work_Codes!$AC$355:$AO$355=$E206)*(Work_Codes!$AC$358:$AO$359)*(J$100:J$101))</f>
        <v>0</v>
      </c>
      <c r="K206" s="81">
        <f ca="1">SUMPRODUCT((Work_Codes!$AC$355:$AO$355=$E206)*(Work_Codes!$AC$358:$AO$359)*(K$100:K$101))</f>
        <v>0</v>
      </c>
      <c r="L206" s="81">
        <f ca="1">SUMPRODUCT((Work_Codes!$AC$355:$AO$355=$E206)*(Work_Codes!$AC$358:$AO$359)*(L$100:L$101))</f>
        <v>0</v>
      </c>
      <c r="M206" s="81">
        <f ca="1">SUMPRODUCT((Work_Codes!$AC$355:$AO$355=$E206)*(Work_Codes!$AC$358:$AO$359)*(M$100:M$101))</f>
        <v>0</v>
      </c>
      <c r="N206" s="81">
        <f ca="1">SUMPRODUCT((Work_Codes!$AC$355:$AO$355=$E206)*(Work_Codes!$AC$358:$AO$359)*(N$100:N$101))</f>
        <v>0</v>
      </c>
      <c r="O206" s="81">
        <f ca="1">SUMPRODUCT((Work_Codes!$AC$355:$AO$355=$E206)*(Work_Codes!$AC$358:$AO$359)*(O$100:O$101))</f>
        <v>0</v>
      </c>
      <c r="P206" s="81">
        <f ca="1">SUMPRODUCT((Work_Codes!$AC$355:$AO$355=$E206)*(Work_Codes!$AC$358:$AO$359)*(P$100:P$101))</f>
        <v>0</v>
      </c>
      <c r="Q206" s="81">
        <f ca="1">SUMPRODUCT((Work_Codes!$AC$355:$AO$355=$E206)*(Work_Codes!$AC$358:$AO$359)*(Q$100:Q$101))</f>
        <v>0</v>
      </c>
      <c r="R206" s="81">
        <f ca="1">SUMPRODUCT((Work_Codes!$AC$355:$AO$355=$E206)*(Work_Codes!$AC$358:$AO$359)*(R$100:R$101))</f>
        <v>0</v>
      </c>
      <c r="S206" s="81">
        <f ca="1">SUMPRODUCT((Work_Codes!$AC$355:$AO$355=$E206)*(Work_Codes!$AC$358:$AO$359)*(S$100:S$101))</f>
        <v>0</v>
      </c>
      <c r="T206" s="81">
        <f ca="1">SUMPRODUCT((Work_Codes!$AC$355:$AO$355=$E206)*(Work_Codes!$AC$358:$AO$359)*(T$100:T$101))</f>
        <v>0</v>
      </c>
    </row>
    <row r="207" spans="5:20" ht="12" customHeight="1" outlineLevel="2">
      <c r="E207" s="249" t="str">
        <f>"Total "&amp;D191</f>
        <v>Total Direct Costs</v>
      </c>
      <c r="F207" s="249"/>
      <c r="G207" s="249"/>
      <c r="H207" s="249"/>
      <c r="I207" s="249"/>
      <c r="J207" s="82">
        <f t="shared" ref="J207:T207" ca="1" si="20">SUM(J193:J206)</f>
        <v>0</v>
      </c>
      <c r="K207" s="82">
        <f t="shared" ca="1" si="20"/>
        <v>0</v>
      </c>
      <c r="L207" s="82">
        <f t="shared" ca="1" si="20"/>
        <v>0</v>
      </c>
      <c r="M207" s="82">
        <f t="shared" ca="1" si="20"/>
        <v>0</v>
      </c>
      <c r="N207" s="82">
        <f t="shared" ca="1" si="20"/>
        <v>47697854.9240655</v>
      </c>
      <c r="O207" s="82">
        <f t="shared" ca="1" si="20"/>
        <v>19772321.058783215</v>
      </c>
      <c r="P207" s="82">
        <f t="shared" ca="1" si="20"/>
        <v>36345917.480189726</v>
      </c>
      <c r="Q207" s="82">
        <f t="shared" ca="1" si="20"/>
        <v>37492245.521307103</v>
      </c>
      <c r="R207" s="82">
        <f t="shared" ca="1" si="20"/>
        <v>38617169.67660211</v>
      </c>
      <c r="S207" s="82">
        <f t="shared" ca="1" si="20"/>
        <v>37688266.438258238</v>
      </c>
      <c r="T207" s="82">
        <f t="shared" ca="1" si="20"/>
        <v>36723088.415284015</v>
      </c>
    </row>
    <row r="208" spans="5:20" outlineLevel="2"/>
    <row r="209" spans="4:20" outlineLevel="2">
      <c r="D209" s="37" t="s">
        <v>216</v>
      </c>
    </row>
    <row r="210" spans="4:20" ht="5.9" customHeight="1" outlineLevel="2"/>
    <row r="211" spans="4:20" ht="12" customHeight="1" outlineLevel="2">
      <c r="E211" s="247" t="str">
        <f>GC!C60</f>
        <v>Mains replacement</v>
      </c>
      <c r="F211" s="247"/>
      <c r="G211" s="247"/>
      <c r="H211" s="247"/>
      <c r="I211" s="247"/>
      <c r="J211" s="81">
        <f ca="1">J193*(1+INDEX(J$35:J$37,MATCH(Work_Codes!$I$352,$D$35:$D$37,0)))</f>
        <v>0</v>
      </c>
      <c r="K211" s="81">
        <f ca="1">K193*(1+INDEX(K$35:K$37,MATCH(Work_Codes!$I$352,$D$35:$D$37,0)))</f>
        <v>0</v>
      </c>
      <c r="L211" s="81">
        <f ca="1">L193*(1+INDEX(L$35:L$37,MATCH(Work_Codes!$I$352,$D$35:$D$37,0)))</f>
        <v>0</v>
      </c>
      <c r="M211" s="81">
        <f ca="1">M193*(1+INDEX(M$35:M$37,MATCH(Work_Codes!$I$352,$D$35:$D$37,0)))</f>
        <v>0</v>
      </c>
      <c r="N211" s="81">
        <f ca="1">N193*(1+INDEX(N$35:N$37,MATCH(Work_Codes!$I$352,$D$35:$D$37,0)))</f>
        <v>0</v>
      </c>
      <c r="O211" s="81">
        <f ca="1">O193*(1+INDEX(O$35:O$37,MATCH(Work_Codes!$I$352,$D$35:$D$37,0)))</f>
        <v>0</v>
      </c>
      <c r="P211" s="81">
        <f ca="1">P193*(1+INDEX(P$35:P$37,MATCH(Work_Codes!$I$352,$D$35:$D$37,0)))</f>
        <v>0</v>
      </c>
      <c r="Q211" s="81">
        <f ca="1">Q193*(1+INDEX(Q$35:Q$37,MATCH(Work_Codes!$I$352,$D$35:$D$37,0)))</f>
        <v>0</v>
      </c>
      <c r="R211" s="81">
        <f ca="1">R193*(1+INDEX(R$35:R$37,MATCH(Work_Codes!$I$352,$D$35:$D$37,0)))</f>
        <v>0</v>
      </c>
      <c r="S211" s="81">
        <f ca="1">S193*(1+INDEX(S$35:S$37,MATCH(Work_Codes!$I$352,$D$35:$D$37,0)))</f>
        <v>0</v>
      </c>
      <c r="T211" s="81">
        <f ca="1">T193*(1+INDEX(T$35:T$37,MATCH(Work_Codes!$I$352,$D$35:$D$37,0)))</f>
        <v>0</v>
      </c>
    </row>
    <row r="212" spans="4:20" ht="12" customHeight="1" outlineLevel="2">
      <c r="E212" s="247" t="str">
        <f>GC!C61</f>
        <v>Residential new customer connections</v>
      </c>
      <c r="F212" s="247"/>
      <c r="G212" s="247"/>
      <c r="H212" s="247"/>
      <c r="I212" s="247"/>
      <c r="J212" s="81">
        <f ca="1">J194*(1+INDEX(J$35:J$37,MATCH(Work_Codes!$I$352,$D$35:$D$37,0)))</f>
        <v>0</v>
      </c>
      <c r="K212" s="81">
        <f ca="1">K194*(1+INDEX(K$35:K$37,MATCH(Work_Codes!$I$352,$D$35:$D$37,0)))</f>
        <v>0</v>
      </c>
      <c r="L212" s="81">
        <f ca="1">L194*(1+INDEX(L$35:L$37,MATCH(Work_Codes!$I$352,$D$35:$D$37,0)))</f>
        <v>0</v>
      </c>
      <c r="M212" s="81">
        <f ca="1">M194*(1+INDEX(M$35:M$37,MATCH(Work_Codes!$I$352,$D$35:$D$37,0)))</f>
        <v>0</v>
      </c>
      <c r="N212" s="81">
        <f ca="1">N194*(1+INDEX(N$35:N$37,MATCH(Work_Codes!$I$352,$D$35:$D$37,0)))</f>
        <v>49496589.083257191</v>
      </c>
      <c r="O212" s="81">
        <f ca="1">O194*(1+INDEX(O$35:O$37,MATCH(Work_Codes!$I$352,$D$35:$D$37,0)))</f>
        <v>20430422.381043483</v>
      </c>
      <c r="P212" s="81">
        <f ca="1">P194*(1+INDEX(P$35:P$37,MATCH(Work_Codes!$I$352,$D$35:$D$37,0)))</f>
        <v>37318267.471586943</v>
      </c>
      <c r="Q212" s="81">
        <f ca="1">Q194*(1+INDEX(Q$35:Q$37,MATCH(Work_Codes!$I$352,$D$35:$D$37,0)))</f>
        <v>38469315.460625052</v>
      </c>
      <c r="R212" s="81">
        <f ca="1">R194*(1+INDEX(R$35:R$37,MATCH(Work_Codes!$I$352,$D$35:$D$37,0)))</f>
        <v>39654929.10854511</v>
      </c>
      <c r="S212" s="81">
        <f ca="1">S194*(1+INDEX(S$35:S$37,MATCH(Work_Codes!$I$352,$D$35:$D$37,0)))</f>
        <v>38764122.435494818</v>
      </c>
      <c r="T212" s="81">
        <f ca="1">T194*(1+INDEX(T$35:T$37,MATCH(Work_Codes!$I$352,$D$35:$D$37,0)))</f>
        <v>37821857.10947673</v>
      </c>
    </row>
    <row r="213" spans="4:20" ht="12" customHeight="1" outlineLevel="2">
      <c r="E213" s="247" t="str">
        <f>GC!C62</f>
        <v>Commercial and industrial new customer connections</v>
      </c>
      <c r="F213" s="247"/>
      <c r="G213" s="247"/>
      <c r="H213" s="247"/>
      <c r="I213" s="247"/>
      <c r="J213" s="81">
        <f ca="1">J195*(1+INDEX(J$35:J$37,MATCH(Work_Codes!$I$352,$D$35:$D$37,0)))</f>
        <v>0</v>
      </c>
      <c r="K213" s="81">
        <f ca="1">K195*(1+INDEX(K$35:K$37,MATCH(Work_Codes!$I$352,$D$35:$D$37,0)))</f>
        <v>0</v>
      </c>
      <c r="L213" s="81">
        <f ca="1">L195*(1+INDEX(L$35:L$37,MATCH(Work_Codes!$I$352,$D$35:$D$37,0)))</f>
        <v>0</v>
      </c>
      <c r="M213" s="81">
        <f ca="1">M195*(1+INDEX(M$35:M$37,MATCH(Work_Codes!$I$352,$D$35:$D$37,0)))</f>
        <v>0</v>
      </c>
      <c r="N213" s="81">
        <f ca="1">N195*(1+INDEX(N$35:N$37,MATCH(Work_Codes!$I$352,$D$35:$D$37,0)))</f>
        <v>0</v>
      </c>
      <c r="O213" s="81">
        <f ca="1">O195*(1+INDEX(O$35:O$37,MATCH(Work_Codes!$I$352,$D$35:$D$37,0)))</f>
        <v>0</v>
      </c>
      <c r="P213" s="81">
        <f ca="1">P195*(1+INDEX(P$35:P$37,MATCH(Work_Codes!$I$352,$D$35:$D$37,0)))</f>
        <v>0</v>
      </c>
      <c r="Q213" s="81">
        <f ca="1">Q195*(1+INDEX(Q$35:Q$37,MATCH(Work_Codes!$I$352,$D$35:$D$37,0)))</f>
        <v>0</v>
      </c>
      <c r="R213" s="81">
        <f ca="1">R195*(1+INDEX(R$35:R$37,MATCH(Work_Codes!$I$352,$D$35:$D$37,0)))</f>
        <v>0</v>
      </c>
      <c r="S213" s="81">
        <f ca="1">S195*(1+INDEX(S$35:S$37,MATCH(Work_Codes!$I$352,$D$35:$D$37,0)))</f>
        <v>0</v>
      </c>
      <c r="T213" s="81">
        <f ca="1">T195*(1+INDEX(T$35:T$37,MATCH(Work_Codes!$I$352,$D$35:$D$37,0)))</f>
        <v>0</v>
      </c>
    </row>
    <row r="214" spans="4:20" ht="12" customHeight="1" outlineLevel="2">
      <c r="E214" s="247" t="str">
        <f>GC!C63</f>
        <v>Residential meter replacement</v>
      </c>
      <c r="F214" s="247"/>
      <c r="G214" s="247"/>
      <c r="H214" s="247"/>
      <c r="I214" s="247"/>
      <c r="J214" s="81">
        <f ca="1">J196*(1+INDEX(J$35:J$37,MATCH(Work_Codes!$I$352,$D$35:$D$37,0)))</f>
        <v>0</v>
      </c>
      <c r="K214" s="81">
        <f ca="1">K196*(1+INDEX(K$35:K$37,MATCH(Work_Codes!$I$352,$D$35:$D$37,0)))</f>
        <v>0</v>
      </c>
      <c r="L214" s="81">
        <f ca="1">L196*(1+INDEX(L$35:L$37,MATCH(Work_Codes!$I$352,$D$35:$D$37,0)))</f>
        <v>0</v>
      </c>
      <c r="M214" s="81">
        <f ca="1">M196*(1+INDEX(M$35:M$37,MATCH(Work_Codes!$I$352,$D$35:$D$37,0)))</f>
        <v>0</v>
      </c>
      <c r="N214" s="81">
        <f ca="1">N196*(1+INDEX(N$35:N$37,MATCH(Work_Codes!$I$352,$D$35:$D$37,0)))</f>
        <v>0</v>
      </c>
      <c r="O214" s="81">
        <f ca="1">O196*(1+INDEX(O$35:O$37,MATCH(Work_Codes!$I$352,$D$35:$D$37,0)))</f>
        <v>0</v>
      </c>
      <c r="P214" s="81">
        <f ca="1">P196*(1+INDEX(P$35:P$37,MATCH(Work_Codes!$I$352,$D$35:$D$37,0)))</f>
        <v>0</v>
      </c>
      <c r="Q214" s="81">
        <f ca="1">Q196*(1+INDEX(Q$35:Q$37,MATCH(Work_Codes!$I$352,$D$35:$D$37,0)))</f>
        <v>0</v>
      </c>
      <c r="R214" s="81">
        <f ca="1">R196*(1+INDEX(R$35:R$37,MATCH(Work_Codes!$I$352,$D$35:$D$37,0)))</f>
        <v>0</v>
      </c>
      <c r="S214" s="81">
        <f ca="1">S196*(1+INDEX(S$35:S$37,MATCH(Work_Codes!$I$352,$D$35:$D$37,0)))</f>
        <v>0</v>
      </c>
      <c r="T214" s="81">
        <f ca="1">T196*(1+INDEX(T$35:T$37,MATCH(Work_Codes!$I$352,$D$35:$D$37,0)))</f>
        <v>0</v>
      </c>
    </row>
    <row r="215" spans="4:20" ht="12" customHeight="1" outlineLevel="2">
      <c r="E215" s="247" t="str">
        <f>GC!C64</f>
        <v>Commercial and industrial meter replacement</v>
      </c>
      <c r="F215" s="247"/>
      <c r="G215" s="247"/>
      <c r="H215" s="247"/>
      <c r="I215" s="247"/>
      <c r="J215" s="81">
        <f ca="1">J197*(1+INDEX(J$35:J$37,MATCH(Work_Codes!$I$352,$D$35:$D$37,0)))</f>
        <v>0</v>
      </c>
      <c r="K215" s="81">
        <f ca="1">K197*(1+INDEX(K$35:K$37,MATCH(Work_Codes!$I$352,$D$35:$D$37,0)))</f>
        <v>0</v>
      </c>
      <c r="L215" s="81">
        <f ca="1">L197*(1+INDEX(L$35:L$37,MATCH(Work_Codes!$I$352,$D$35:$D$37,0)))</f>
        <v>0</v>
      </c>
      <c r="M215" s="81">
        <f ca="1">M197*(1+INDEX(M$35:M$37,MATCH(Work_Codes!$I$352,$D$35:$D$37,0)))</f>
        <v>0</v>
      </c>
      <c r="N215" s="81">
        <f ca="1">N197*(1+INDEX(N$35:N$37,MATCH(Work_Codes!$I$352,$D$35:$D$37,0)))</f>
        <v>0</v>
      </c>
      <c r="O215" s="81">
        <f ca="1">O197*(1+INDEX(O$35:O$37,MATCH(Work_Codes!$I$352,$D$35:$D$37,0)))</f>
        <v>0</v>
      </c>
      <c r="P215" s="81">
        <f ca="1">P197*(1+INDEX(P$35:P$37,MATCH(Work_Codes!$I$352,$D$35:$D$37,0)))</f>
        <v>0</v>
      </c>
      <c r="Q215" s="81">
        <f ca="1">Q197*(1+INDEX(Q$35:Q$37,MATCH(Work_Codes!$I$352,$D$35:$D$37,0)))</f>
        <v>0</v>
      </c>
      <c r="R215" s="81">
        <f ca="1">R197*(1+INDEX(R$35:R$37,MATCH(Work_Codes!$I$352,$D$35:$D$37,0)))</f>
        <v>0</v>
      </c>
      <c r="S215" s="81">
        <f ca="1">S197*(1+INDEX(S$35:S$37,MATCH(Work_Codes!$I$352,$D$35:$D$37,0)))</f>
        <v>0</v>
      </c>
      <c r="T215" s="81">
        <f ca="1">T197*(1+INDEX(T$35:T$37,MATCH(Work_Codes!$I$352,$D$35:$D$37,0)))</f>
        <v>0</v>
      </c>
    </row>
    <row r="216" spans="4:20" ht="12" customHeight="1" outlineLevel="2">
      <c r="E216" s="247" t="str">
        <f>GC!C65</f>
        <v>Augmentation</v>
      </c>
      <c r="F216" s="247"/>
      <c r="G216" s="247"/>
      <c r="H216" s="247"/>
      <c r="I216" s="247"/>
      <c r="J216" s="81">
        <f ca="1">J198*(1+INDEX(J$35:J$37,MATCH(Work_Codes!$I$352,$D$35:$D$37,0)))</f>
        <v>0</v>
      </c>
      <c r="K216" s="81">
        <f ca="1">K198*(1+INDEX(K$35:K$37,MATCH(Work_Codes!$I$352,$D$35:$D$37,0)))</f>
        <v>0</v>
      </c>
      <c r="L216" s="81">
        <f ca="1">L198*(1+INDEX(L$35:L$37,MATCH(Work_Codes!$I$352,$D$35:$D$37,0)))</f>
        <v>0</v>
      </c>
      <c r="M216" s="81">
        <f ca="1">M198*(1+INDEX(M$35:M$37,MATCH(Work_Codes!$I$352,$D$35:$D$37,0)))</f>
        <v>0</v>
      </c>
      <c r="N216" s="81">
        <f ca="1">N198*(1+INDEX(N$35:N$37,MATCH(Work_Codes!$I$352,$D$35:$D$37,0)))</f>
        <v>0</v>
      </c>
      <c r="O216" s="81">
        <f ca="1">O198*(1+INDEX(O$35:O$37,MATCH(Work_Codes!$I$352,$D$35:$D$37,0)))</f>
        <v>0</v>
      </c>
      <c r="P216" s="81">
        <f ca="1">P198*(1+INDEX(P$35:P$37,MATCH(Work_Codes!$I$352,$D$35:$D$37,0)))</f>
        <v>0</v>
      </c>
      <c r="Q216" s="81">
        <f ca="1">Q198*(1+INDEX(Q$35:Q$37,MATCH(Work_Codes!$I$352,$D$35:$D$37,0)))</f>
        <v>0</v>
      </c>
      <c r="R216" s="81">
        <f ca="1">R198*(1+INDEX(R$35:R$37,MATCH(Work_Codes!$I$352,$D$35:$D$37,0)))</f>
        <v>0</v>
      </c>
      <c r="S216" s="81">
        <f ca="1">S198*(1+INDEX(S$35:S$37,MATCH(Work_Codes!$I$352,$D$35:$D$37,0)))</f>
        <v>0</v>
      </c>
      <c r="T216" s="81">
        <f ca="1">T198*(1+INDEX(T$35:T$37,MATCH(Work_Codes!$I$352,$D$35:$D$37,0)))</f>
        <v>0</v>
      </c>
    </row>
    <row r="217" spans="4:20" ht="12" customHeight="1" outlineLevel="2">
      <c r="E217" s="247" t="str">
        <f>GC!C66</f>
        <v>IT capex</v>
      </c>
      <c r="F217" s="247"/>
      <c r="G217" s="247"/>
      <c r="H217" s="247"/>
      <c r="I217" s="247"/>
      <c r="J217" s="81">
        <f ca="1">J199*(1+INDEX(J$35:J$37,MATCH(Work_Codes!$I$352,$D$35:$D$37,0)))</f>
        <v>0</v>
      </c>
      <c r="K217" s="81">
        <f ca="1">K199*(1+INDEX(K$35:K$37,MATCH(Work_Codes!$I$352,$D$35:$D$37,0)))</f>
        <v>0</v>
      </c>
      <c r="L217" s="81">
        <f ca="1">L199*(1+INDEX(L$35:L$37,MATCH(Work_Codes!$I$352,$D$35:$D$37,0)))</f>
        <v>0</v>
      </c>
      <c r="M217" s="81">
        <f ca="1">M199*(1+INDEX(M$35:M$37,MATCH(Work_Codes!$I$352,$D$35:$D$37,0)))</f>
        <v>0</v>
      </c>
      <c r="N217" s="81">
        <f ca="1">N199*(1+INDEX(N$35:N$37,MATCH(Work_Codes!$I$352,$D$35:$D$37,0)))</f>
        <v>0</v>
      </c>
      <c r="O217" s="81">
        <f ca="1">O199*(1+INDEX(O$35:O$37,MATCH(Work_Codes!$I$352,$D$35:$D$37,0)))</f>
        <v>0</v>
      </c>
      <c r="P217" s="81">
        <f ca="1">P199*(1+INDEX(P$35:P$37,MATCH(Work_Codes!$I$352,$D$35:$D$37,0)))</f>
        <v>0</v>
      </c>
      <c r="Q217" s="81">
        <f ca="1">Q199*(1+INDEX(Q$35:Q$37,MATCH(Work_Codes!$I$352,$D$35:$D$37,0)))</f>
        <v>0</v>
      </c>
      <c r="R217" s="81">
        <f ca="1">R199*(1+INDEX(R$35:R$37,MATCH(Work_Codes!$I$352,$D$35:$D$37,0)))</f>
        <v>0</v>
      </c>
      <c r="S217" s="81">
        <f ca="1">S199*(1+INDEX(S$35:S$37,MATCH(Work_Codes!$I$352,$D$35:$D$37,0)))</f>
        <v>0</v>
      </c>
      <c r="T217" s="81">
        <f ca="1">T199*(1+INDEX(T$35:T$37,MATCH(Work_Codes!$I$352,$D$35:$D$37,0)))</f>
        <v>0</v>
      </c>
    </row>
    <row r="218" spans="4:20" ht="12" customHeight="1" outlineLevel="2">
      <c r="E218" s="247" t="str">
        <f>GC!C67</f>
        <v>SCADA</v>
      </c>
      <c r="F218" s="247"/>
      <c r="G218" s="247"/>
      <c r="H218" s="247"/>
      <c r="I218" s="247"/>
      <c r="J218" s="81">
        <f ca="1">J200*(1+INDEX(J$35:J$37,MATCH(Work_Codes!$I$352,$D$35:$D$37,0)))</f>
        <v>0</v>
      </c>
      <c r="K218" s="81">
        <f ca="1">K200*(1+INDEX(K$35:K$37,MATCH(Work_Codes!$I$352,$D$35:$D$37,0)))</f>
        <v>0</v>
      </c>
      <c r="L218" s="81">
        <f ca="1">L200*(1+INDEX(L$35:L$37,MATCH(Work_Codes!$I$352,$D$35:$D$37,0)))</f>
        <v>0</v>
      </c>
      <c r="M218" s="81">
        <f ca="1">M200*(1+INDEX(M$35:M$37,MATCH(Work_Codes!$I$352,$D$35:$D$37,0)))</f>
        <v>0</v>
      </c>
      <c r="N218" s="81">
        <f ca="1">N200*(1+INDEX(N$35:N$37,MATCH(Work_Codes!$I$352,$D$35:$D$37,0)))</f>
        <v>0</v>
      </c>
      <c r="O218" s="81">
        <f ca="1">O200*(1+INDEX(O$35:O$37,MATCH(Work_Codes!$I$352,$D$35:$D$37,0)))</f>
        <v>0</v>
      </c>
      <c r="P218" s="81">
        <f ca="1">P200*(1+INDEX(P$35:P$37,MATCH(Work_Codes!$I$352,$D$35:$D$37,0)))</f>
        <v>0</v>
      </c>
      <c r="Q218" s="81">
        <f ca="1">Q200*(1+INDEX(Q$35:Q$37,MATCH(Work_Codes!$I$352,$D$35:$D$37,0)))</f>
        <v>0</v>
      </c>
      <c r="R218" s="81">
        <f ca="1">R200*(1+INDEX(R$35:R$37,MATCH(Work_Codes!$I$352,$D$35:$D$37,0)))</f>
        <v>0</v>
      </c>
      <c r="S218" s="81">
        <f ca="1">S200*(1+INDEX(S$35:S$37,MATCH(Work_Codes!$I$352,$D$35:$D$37,0)))</f>
        <v>0</v>
      </c>
      <c r="T218" s="81">
        <f ca="1">T200*(1+INDEX(T$35:T$37,MATCH(Work_Codes!$I$352,$D$35:$D$37,0)))</f>
        <v>0</v>
      </c>
    </row>
    <row r="219" spans="4:20" ht="12" customHeight="1" outlineLevel="2">
      <c r="E219" s="247" t="str">
        <f>GC!C68</f>
        <v>Other</v>
      </c>
      <c r="F219" s="247"/>
      <c r="G219" s="247"/>
      <c r="H219" s="247"/>
      <c r="I219" s="247"/>
      <c r="J219" s="81">
        <f ca="1">J201*(1+INDEX(J$35:J$37,MATCH(Work_Codes!$I$352,$D$35:$D$37,0)))</f>
        <v>0</v>
      </c>
      <c r="K219" s="81">
        <f ca="1">K201*(1+INDEX(K$35:K$37,MATCH(Work_Codes!$I$352,$D$35:$D$37,0)))</f>
        <v>0</v>
      </c>
      <c r="L219" s="81">
        <f ca="1">L201*(1+INDEX(L$35:L$37,MATCH(Work_Codes!$I$352,$D$35:$D$37,0)))</f>
        <v>0</v>
      </c>
      <c r="M219" s="81">
        <f ca="1">M201*(1+INDEX(M$35:M$37,MATCH(Work_Codes!$I$352,$D$35:$D$37,0)))</f>
        <v>0</v>
      </c>
      <c r="N219" s="81">
        <f ca="1">N201*(1+INDEX(N$35:N$37,MATCH(Work_Codes!$I$352,$D$35:$D$37,0)))</f>
        <v>0</v>
      </c>
      <c r="O219" s="81">
        <f ca="1">O201*(1+INDEX(O$35:O$37,MATCH(Work_Codes!$I$352,$D$35:$D$37,0)))</f>
        <v>0</v>
      </c>
      <c r="P219" s="81">
        <f ca="1">P201*(1+INDEX(P$35:P$37,MATCH(Work_Codes!$I$352,$D$35:$D$37,0)))</f>
        <v>0</v>
      </c>
      <c r="Q219" s="81">
        <f ca="1">Q201*(1+INDEX(Q$35:Q$37,MATCH(Work_Codes!$I$352,$D$35:$D$37,0)))</f>
        <v>0</v>
      </c>
      <c r="R219" s="81">
        <f ca="1">R201*(1+INDEX(R$35:R$37,MATCH(Work_Codes!$I$352,$D$35:$D$37,0)))</f>
        <v>0</v>
      </c>
      <c r="S219" s="81">
        <f ca="1">S201*(1+INDEX(S$35:S$37,MATCH(Work_Codes!$I$352,$D$35:$D$37,0)))</f>
        <v>0</v>
      </c>
      <c r="T219" s="81">
        <f ca="1">T201*(1+INDEX(T$35:T$37,MATCH(Work_Codes!$I$352,$D$35:$D$37,0)))</f>
        <v>0</v>
      </c>
    </row>
    <row r="220" spans="4:20" outlineLevel="2">
      <c r="E220" s="247" t="str">
        <f>GC!C69</f>
        <v>Capitalised Leases</v>
      </c>
      <c r="F220" s="247"/>
      <c r="G220" s="247"/>
      <c r="H220" s="247"/>
      <c r="I220" s="247"/>
      <c r="J220" s="81">
        <f ca="1">J202*(1+INDEX(J$35:J$37,MATCH(Work_Codes!$I$352,$D$35:$D$37,0)))</f>
        <v>0</v>
      </c>
      <c r="K220" s="81">
        <f ca="1">K202*(1+INDEX(K$35:K$37,MATCH(Work_Codes!$I$352,$D$35:$D$37,0)))</f>
        <v>0</v>
      </c>
      <c r="L220" s="81">
        <f ca="1">L202*(1+INDEX(L$35:L$37,MATCH(Work_Codes!$I$352,$D$35:$D$37,0)))</f>
        <v>0</v>
      </c>
      <c r="M220" s="81">
        <f ca="1">M202*(1+INDEX(M$35:M$37,MATCH(Work_Codes!$I$352,$D$35:$D$37,0)))</f>
        <v>0</v>
      </c>
      <c r="N220" s="81">
        <f ca="1">N202*(1+INDEX(N$35:N$37,MATCH(Work_Codes!$I$352,$D$35:$D$37,0)))</f>
        <v>0</v>
      </c>
      <c r="O220" s="81">
        <f ca="1">O202*(1+INDEX(O$35:O$37,MATCH(Work_Codes!$I$352,$D$35:$D$37,0)))</f>
        <v>0</v>
      </c>
      <c r="P220" s="81">
        <f ca="1">P202*(1+INDEX(P$35:P$37,MATCH(Work_Codes!$I$352,$D$35:$D$37,0)))</f>
        <v>0</v>
      </c>
      <c r="Q220" s="81">
        <f ca="1">Q202*(1+INDEX(Q$35:Q$37,MATCH(Work_Codes!$I$352,$D$35:$D$37,0)))</f>
        <v>0</v>
      </c>
      <c r="R220" s="81">
        <f ca="1">R202*(1+INDEX(R$35:R$37,MATCH(Work_Codes!$I$352,$D$35:$D$37,0)))</f>
        <v>0</v>
      </c>
      <c r="S220" s="81">
        <f ca="1">S202*(1+INDEX(S$35:S$37,MATCH(Work_Codes!$I$352,$D$35:$D$37,0)))</f>
        <v>0</v>
      </c>
      <c r="T220" s="81">
        <f ca="1">T202*(1+INDEX(T$35:T$37,MATCH(Work_Codes!$I$352,$D$35:$D$37,0)))</f>
        <v>0</v>
      </c>
    </row>
    <row r="221" spans="4:20" ht="12" customHeight="1" outlineLevel="2">
      <c r="E221" s="247" t="str">
        <f>GC!C70</f>
        <v>Gas Extensions - Energy for the Regions</v>
      </c>
      <c r="F221" s="247"/>
      <c r="G221" s="247"/>
      <c r="H221" s="247"/>
      <c r="I221" s="247"/>
      <c r="J221" s="81">
        <f ca="1">J203*(1+INDEX(J$35:J$37,MATCH(Work_Codes!$I$352,$D$35:$D$37,0)))</f>
        <v>0</v>
      </c>
      <c r="K221" s="81">
        <f ca="1">K203*(1+INDEX(K$35:K$37,MATCH(Work_Codes!$I$352,$D$35:$D$37,0)))</f>
        <v>0</v>
      </c>
      <c r="L221" s="81">
        <f ca="1">L203*(1+INDEX(L$35:L$37,MATCH(Work_Codes!$I$352,$D$35:$D$37,0)))</f>
        <v>0</v>
      </c>
      <c r="M221" s="81">
        <f ca="1">M203*(1+INDEX(M$35:M$37,MATCH(Work_Codes!$I$352,$D$35:$D$37,0)))</f>
        <v>0</v>
      </c>
      <c r="N221" s="81">
        <f ca="1">N203*(1+INDEX(N$35:N$37,MATCH(Work_Codes!$I$352,$D$35:$D$37,0)))</f>
        <v>0</v>
      </c>
      <c r="O221" s="81">
        <f ca="1">O203*(1+INDEX(O$35:O$37,MATCH(Work_Codes!$I$352,$D$35:$D$37,0)))</f>
        <v>0</v>
      </c>
      <c r="P221" s="81">
        <f ca="1">P203*(1+INDEX(P$35:P$37,MATCH(Work_Codes!$I$352,$D$35:$D$37,0)))</f>
        <v>0</v>
      </c>
      <c r="Q221" s="81">
        <f ca="1">Q203*(1+INDEX(Q$35:Q$37,MATCH(Work_Codes!$I$352,$D$35:$D$37,0)))</f>
        <v>0</v>
      </c>
      <c r="R221" s="81">
        <f ca="1">R203*(1+INDEX(R$35:R$37,MATCH(Work_Codes!$I$352,$D$35:$D$37,0)))</f>
        <v>0</v>
      </c>
      <c r="S221" s="81">
        <f ca="1">S203*(1+INDEX(S$35:S$37,MATCH(Work_Codes!$I$352,$D$35:$D$37,0)))</f>
        <v>0</v>
      </c>
      <c r="T221" s="81">
        <f ca="1">T203*(1+INDEX(T$35:T$37,MATCH(Work_Codes!$I$352,$D$35:$D$37,0)))</f>
        <v>0</v>
      </c>
    </row>
    <row r="222" spans="4:20" ht="12" customHeight="1" outlineLevel="2">
      <c r="E222" s="247" t="str">
        <f>GC!C71</f>
        <v>Gas Extensions - Other</v>
      </c>
      <c r="F222" s="247"/>
      <c r="G222" s="247"/>
      <c r="H222" s="247"/>
      <c r="I222" s="247"/>
      <c r="J222" s="81">
        <f ca="1">J204*(1+INDEX(J$35:J$37,MATCH(Work_Codes!$I$352,$D$35:$D$37,0)))</f>
        <v>0</v>
      </c>
      <c r="K222" s="81">
        <f ca="1">K204*(1+INDEX(K$35:K$37,MATCH(Work_Codes!$I$352,$D$35:$D$37,0)))</f>
        <v>0</v>
      </c>
      <c r="L222" s="81">
        <f ca="1">L204*(1+INDEX(L$35:L$37,MATCH(Work_Codes!$I$352,$D$35:$D$37,0)))</f>
        <v>0</v>
      </c>
      <c r="M222" s="81">
        <f ca="1">M204*(1+INDEX(M$35:M$37,MATCH(Work_Codes!$I$352,$D$35:$D$37,0)))</f>
        <v>0</v>
      </c>
      <c r="N222" s="81">
        <f ca="1">N204*(1+INDEX(N$35:N$37,MATCH(Work_Codes!$I$352,$D$35:$D$37,0)))</f>
        <v>0</v>
      </c>
      <c r="O222" s="81">
        <f ca="1">O204*(1+INDEX(O$35:O$37,MATCH(Work_Codes!$I$352,$D$35:$D$37,0)))</f>
        <v>0</v>
      </c>
      <c r="P222" s="81">
        <f ca="1">P204*(1+INDEX(P$35:P$37,MATCH(Work_Codes!$I$352,$D$35:$D$37,0)))</f>
        <v>0</v>
      </c>
      <c r="Q222" s="81">
        <f ca="1">Q204*(1+INDEX(Q$35:Q$37,MATCH(Work_Codes!$I$352,$D$35:$D$37,0)))</f>
        <v>0</v>
      </c>
      <c r="R222" s="81">
        <f ca="1">R204*(1+INDEX(R$35:R$37,MATCH(Work_Codes!$I$352,$D$35:$D$37,0)))</f>
        <v>0</v>
      </c>
      <c r="S222" s="81">
        <f ca="1">S204*(1+INDEX(S$35:S$37,MATCH(Work_Codes!$I$352,$D$35:$D$37,0)))</f>
        <v>0</v>
      </c>
      <c r="T222" s="81">
        <f ca="1">T204*(1+INDEX(T$35:T$37,MATCH(Work_Codes!$I$352,$D$35:$D$37,0)))</f>
        <v>0</v>
      </c>
    </row>
    <row r="223" spans="4:20" ht="12" customHeight="1" outlineLevel="2">
      <c r="E223" s="247" t="str">
        <f>GC!C72</f>
        <v>Customer contributions</v>
      </c>
      <c r="F223" s="247"/>
      <c r="G223" s="247"/>
      <c r="H223" s="247"/>
      <c r="I223" s="247"/>
      <c r="J223" s="81">
        <f ca="1">J205*(1+INDEX(J$35:J$37,MATCH(Work_Codes!$I$352,$D$35:$D$37,0)))</f>
        <v>0</v>
      </c>
      <c r="K223" s="81">
        <f ca="1">K205*(1+INDEX(K$35:K$37,MATCH(Work_Codes!$I$352,$D$35:$D$37,0)))</f>
        <v>0</v>
      </c>
      <c r="L223" s="81">
        <f ca="1">L205*(1+INDEX(L$35:L$37,MATCH(Work_Codes!$I$352,$D$35:$D$37,0)))</f>
        <v>0</v>
      </c>
      <c r="M223" s="81">
        <f ca="1">M205*(1+INDEX(M$35:M$37,MATCH(Work_Codes!$I$352,$D$35:$D$37,0)))</f>
        <v>0</v>
      </c>
      <c r="N223" s="81">
        <f ca="1">N205*(1+INDEX(N$35:N$37,MATCH(Work_Codes!$I$352,$D$35:$D$37,0)))</f>
        <v>0</v>
      </c>
      <c r="O223" s="81">
        <f ca="1">O205*(1+INDEX(O$35:O$37,MATCH(Work_Codes!$I$352,$D$35:$D$37,0)))</f>
        <v>0</v>
      </c>
      <c r="P223" s="81">
        <f ca="1">P205*(1+INDEX(P$35:P$37,MATCH(Work_Codes!$I$352,$D$35:$D$37,0)))</f>
        <v>0</v>
      </c>
      <c r="Q223" s="81">
        <f ca="1">Q205*(1+INDEX(Q$35:Q$37,MATCH(Work_Codes!$I$352,$D$35:$D$37,0)))</f>
        <v>0</v>
      </c>
      <c r="R223" s="81">
        <f ca="1">R205*(1+INDEX(R$35:R$37,MATCH(Work_Codes!$I$352,$D$35:$D$37,0)))</f>
        <v>0</v>
      </c>
      <c r="S223" s="81">
        <f ca="1">S205*(1+INDEX(S$35:S$37,MATCH(Work_Codes!$I$352,$D$35:$D$37,0)))</f>
        <v>0</v>
      </c>
      <c r="T223" s="81">
        <f ca="1">T205*(1+INDEX(T$35:T$37,MATCH(Work_Codes!$I$352,$D$35:$D$37,0)))</f>
        <v>0</v>
      </c>
    </row>
    <row r="224" spans="4:20" ht="12" customHeight="1" outlineLevel="2">
      <c r="E224" s="247" t="str">
        <f>GC!C73</f>
        <v>Government contributions</v>
      </c>
      <c r="F224" s="247"/>
      <c r="G224" s="247"/>
      <c r="H224" s="247"/>
      <c r="I224" s="247"/>
      <c r="J224" s="81">
        <f ca="1">J206*(1+INDEX(J$35:J$37,MATCH(Work_Codes!$I$352,$D$35:$D$37,0)))</f>
        <v>0</v>
      </c>
      <c r="K224" s="81">
        <f ca="1">K206*(1+INDEX(K$35:K$37,MATCH(Work_Codes!$I$352,$D$35:$D$37,0)))</f>
        <v>0</v>
      </c>
      <c r="L224" s="81">
        <f ca="1">L206*(1+INDEX(L$35:L$37,MATCH(Work_Codes!$I$352,$D$35:$D$37,0)))</f>
        <v>0</v>
      </c>
      <c r="M224" s="81">
        <f ca="1">M206*(1+INDEX(M$35:M$37,MATCH(Work_Codes!$I$352,$D$35:$D$37,0)))</f>
        <v>0</v>
      </c>
      <c r="N224" s="81">
        <f ca="1">N206*(1+INDEX(N$35:N$37,MATCH(Work_Codes!$I$352,$D$35:$D$37,0)))</f>
        <v>0</v>
      </c>
      <c r="O224" s="81">
        <f ca="1">O206*(1+INDEX(O$35:O$37,MATCH(Work_Codes!$I$352,$D$35:$D$37,0)))</f>
        <v>0</v>
      </c>
      <c r="P224" s="81">
        <f ca="1">P206*(1+INDEX(P$35:P$37,MATCH(Work_Codes!$I$352,$D$35:$D$37,0)))</f>
        <v>0</v>
      </c>
      <c r="Q224" s="81">
        <f ca="1">Q206*(1+INDEX(Q$35:Q$37,MATCH(Work_Codes!$I$352,$D$35:$D$37,0)))</f>
        <v>0</v>
      </c>
      <c r="R224" s="81">
        <f ca="1">R206*(1+INDEX(R$35:R$37,MATCH(Work_Codes!$I$352,$D$35:$D$37,0)))</f>
        <v>0</v>
      </c>
      <c r="S224" s="81">
        <f ca="1">S206*(1+INDEX(S$35:S$37,MATCH(Work_Codes!$I$352,$D$35:$D$37,0)))</f>
        <v>0</v>
      </c>
      <c r="T224" s="81">
        <f ca="1">T206*(1+INDEX(T$35:T$37,MATCH(Work_Codes!$I$352,$D$35:$D$37,0)))</f>
        <v>0</v>
      </c>
    </row>
    <row r="225" spans="4:20" ht="12" customHeight="1" outlineLevel="2">
      <c r="E225" s="249" t="str">
        <f>"Total "&amp;D209</f>
        <v>Total Direct Costs + Overheads</v>
      </c>
      <c r="F225" s="249"/>
      <c r="G225" s="249"/>
      <c r="H225" s="249"/>
      <c r="I225" s="249"/>
      <c r="J225" s="82">
        <f t="shared" ref="J225:T225" ca="1" si="21">SUM(J211:J224)</f>
        <v>0</v>
      </c>
      <c r="K225" s="82">
        <f t="shared" ca="1" si="21"/>
        <v>0</v>
      </c>
      <c r="L225" s="82">
        <f t="shared" ca="1" si="21"/>
        <v>0</v>
      </c>
      <c r="M225" s="82">
        <f t="shared" ca="1" si="21"/>
        <v>0</v>
      </c>
      <c r="N225" s="82">
        <f t="shared" ca="1" si="21"/>
        <v>49496589.083257191</v>
      </c>
      <c r="O225" s="82">
        <f t="shared" ca="1" si="21"/>
        <v>20430422.381043483</v>
      </c>
      <c r="P225" s="82">
        <f t="shared" ca="1" si="21"/>
        <v>37318267.471586943</v>
      </c>
      <c r="Q225" s="82">
        <f t="shared" ca="1" si="21"/>
        <v>38469315.460625052</v>
      </c>
      <c r="R225" s="82">
        <f t="shared" ca="1" si="21"/>
        <v>39654929.10854511</v>
      </c>
      <c r="S225" s="82">
        <f t="shared" ca="1" si="21"/>
        <v>38764122.435494818</v>
      </c>
      <c r="T225" s="82">
        <f t="shared" ca="1" si="21"/>
        <v>37821857.10947673</v>
      </c>
    </row>
    <row r="226" spans="4:20" outlineLevel="2"/>
    <row r="227" spans="4:20" outlineLevel="2">
      <c r="D227" s="37" t="s">
        <v>367</v>
      </c>
    </row>
    <row r="228" spans="4:20" ht="5.75" customHeight="1" outlineLevel="2"/>
    <row r="229" spans="4:20" outlineLevel="2">
      <c r="E229" s="247" t="str">
        <f>GC!C60</f>
        <v>Mains replacement</v>
      </c>
      <c r="F229" s="247"/>
      <c r="G229" s="247"/>
      <c r="H229" s="247"/>
      <c r="I229" s="247"/>
      <c r="J229" s="81">
        <f ca="1">SUMPRODUCT((Work_Codes!$AC$355:$AO$355=$E229)*(Work_Codes!$AC$363:$AO$368)*(J$65:J$70))</f>
        <v>0</v>
      </c>
      <c r="K229" s="81">
        <f ca="1">SUMPRODUCT((Work_Codes!$AC$355:$AO$355=$E229)*(Work_Codes!$AC$363:$AO$368)*(K$65:K$70))</f>
        <v>0</v>
      </c>
      <c r="L229" s="81">
        <f ca="1">SUMPRODUCT((Work_Codes!$AC$355:$AO$355=$E229)*(Work_Codes!$AC$363:$AO$368)*(L$65:L$70))</f>
        <v>0</v>
      </c>
      <c r="M229" s="81">
        <f ca="1">SUMPRODUCT((Work_Codes!$AC$355:$AO$355=$E229)*(Work_Codes!$AC$363:$AO$368)*(M$65:M$70))</f>
        <v>0</v>
      </c>
      <c r="N229" s="81">
        <f ca="1">SUMPRODUCT((Work_Codes!$AC$355:$AO$355=$E229)*(Work_Codes!$AC$363:$AO$368)*(N$65:N$70))</f>
        <v>0</v>
      </c>
      <c r="O229" s="81">
        <f ca="1">SUMPRODUCT((Work_Codes!$AC$355:$AO$355=$E229)*(Work_Codes!$AC$363:$AO$368)*(O$65:O$70))</f>
        <v>0</v>
      </c>
      <c r="P229" s="81">
        <f ca="1">SUMPRODUCT((Work_Codes!$AC$355:$AO$355=$E229)*(Work_Codes!$AC$363:$AO$368)*(P$65:P$70))</f>
        <v>0</v>
      </c>
      <c r="Q229" s="81">
        <f ca="1">SUMPRODUCT((Work_Codes!$AC$355:$AO$355=$E229)*(Work_Codes!$AC$363:$AO$368)*(Q$65:Q$70))</f>
        <v>0</v>
      </c>
      <c r="R229" s="81">
        <f ca="1">SUMPRODUCT((Work_Codes!$AC$355:$AO$355=$E229)*(Work_Codes!$AC$363:$AO$368)*(R$65:R$70))</f>
        <v>0</v>
      </c>
      <c r="S229" s="81">
        <f ca="1">SUMPRODUCT((Work_Codes!$AC$355:$AO$355=$E229)*(Work_Codes!$AC$363:$AO$368)*(S$65:S$70))</f>
        <v>0</v>
      </c>
      <c r="T229" s="81">
        <f ca="1">SUMPRODUCT((Work_Codes!$AC$355:$AO$355=$E229)*(Work_Codes!$AC$363:$AO$368)*(T$65:T$70))</f>
        <v>0</v>
      </c>
    </row>
    <row r="230" spans="4:20" outlineLevel="2">
      <c r="E230" s="247" t="str">
        <f>GC!C61</f>
        <v>Residential new customer connections</v>
      </c>
      <c r="F230" s="247"/>
      <c r="G230" s="247"/>
      <c r="H230" s="247"/>
      <c r="I230" s="247"/>
      <c r="J230" s="81">
        <f ca="1">SUMPRODUCT((Work_Codes!$AC$355:$AO$355=$E230)*(Work_Codes!$AC$363:$AO$368)*(J$65:J$70))</f>
        <v>0</v>
      </c>
      <c r="K230" s="81">
        <f ca="1">SUMPRODUCT((Work_Codes!$AC$355:$AO$355=$E230)*(Work_Codes!$AC$363:$AO$368)*(K$65:K$70))</f>
        <v>0</v>
      </c>
      <c r="L230" s="81">
        <f ca="1">SUMPRODUCT((Work_Codes!$AC$355:$AO$355=$E230)*(Work_Codes!$AC$363:$AO$368)*(L$65:L$70))</f>
        <v>0</v>
      </c>
      <c r="M230" s="81">
        <f ca="1">SUMPRODUCT((Work_Codes!$AC$355:$AO$355=$E230)*(Work_Codes!$AC$363:$AO$368)*(M$65:M$70))</f>
        <v>0</v>
      </c>
      <c r="N230" s="81">
        <f ca="1">SUMPRODUCT((Work_Codes!$AC$355:$AO$355=$E230)*(Work_Codes!$AC$363:$AO$368)*(N$65:N$70))</f>
        <v>-2911528.3490499998</v>
      </c>
      <c r="O230" s="81">
        <f ca="1">SUMPRODUCT((Work_Codes!$AC$355:$AO$355=$E230)*(Work_Codes!$AC$363:$AO$368)*(O$65:O$70))</f>
        <v>-1917472.115</v>
      </c>
      <c r="P230" s="81">
        <f ca="1">SUMPRODUCT((Work_Codes!$AC$355:$AO$355=$E230)*(Work_Codes!$AC$363:$AO$368)*(P$65:P$70))</f>
        <v>-3834944.23</v>
      </c>
      <c r="Q230" s="81">
        <f ca="1">SUMPRODUCT((Work_Codes!$AC$355:$AO$355=$E230)*(Work_Codes!$AC$363:$AO$368)*(Q$65:Q$70))</f>
        <v>-3954650.49</v>
      </c>
      <c r="R230" s="81">
        <f ca="1">SUMPRODUCT((Work_Codes!$AC$355:$AO$355=$E230)*(Work_Codes!$AC$363:$AO$368)*(R$65:R$70))</f>
        <v>-4071482.5700000003</v>
      </c>
      <c r="S230" s="81">
        <f ca="1">SUMPRODUCT((Work_Codes!$AC$355:$AO$355=$E230)*(Work_Codes!$AC$363:$AO$368)*(S$65:S$70))</f>
        <v>-3971748.44</v>
      </c>
      <c r="T230" s="81">
        <f ca="1">SUMPRODUCT((Work_Codes!$AC$355:$AO$355=$E230)*(Work_Codes!$AC$363:$AO$368)*(T$65:T$70))</f>
        <v>-3868264.21</v>
      </c>
    </row>
    <row r="231" spans="4:20" outlineLevel="2">
      <c r="E231" s="247" t="str">
        <f>GC!C62</f>
        <v>Commercial and industrial new customer connections</v>
      </c>
      <c r="F231" s="247"/>
      <c r="G231" s="247"/>
      <c r="H231" s="247"/>
      <c r="I231" s="247"/>
      <c r="J231" s="81">
        <f ca="1">SUMPRODUCT((Work_Codes!$AC$355:$AO$355=$E231)*(Work_Codes!$AC$363:$AO$368)*(J$65:J$70))</f>
        <v>0</v>
      </c>
      <c r="K231" s="81">
        <f ca="1">SUMPRODUCT((Work_Codes!$AC$355:$AO$355=$E231)*(Work_Codes!$AC$363:$AO$368)*(K$65:K$70))</f>
        <v>0</v>
      </c>
      <c r="L231" s="81">
        <f ca="1">SUMPRODUCT((Work_Codes!$AC$355:$AO$355=$E231)*(Work_Codes!$AC$363:$AO$368)*(L$65:L$70))</f>
        <v>0</v>
      </c>
      <c r="M231" s="81">
        <f ca="1">SUMPRODUCT((Work_Codes!$AC$355:$AO$355=$E231)*(Work_Codes!$AC$363:$AO$368)*(M$65:M$70))</f>
        <v>0</v>
      </c>
      <c r="N231" s="81">
        <f ca="1">SUMPRODUCT((Work_Codes!$AC$355:$AO$355=$E231)*(Work_Codes!$AC$363:$AO$368)*(N$65:N$70))</f>
        <v>0</v>
      </c>
      <c r="O231" s="81">
        <f ca="1">SUMPRODUCT((Work_Codes!$AC$355:$AO$355=$E231)*(Work_Codes!$AC$363:$AO$368)*(O$65:O$70))</f>
        <v>0</v>
      </c>
      <c r="P231" s="81">
        <f ca="1">SUMPRODUCT((Work_Codes!$AC$355:$AO$355=$E231)*(Work_Codes!$AC$363:$AO$368)*(P$65:P$70))</f>
        <v>0</v>
      </c>
      <c r="Q231" s="81">
        <f ca="1">SUMPRODUCT((Work_Codes!$AC$355:$AO$355=$E231)*(Work_Codes!$AC$363:$AO$368)*(Q$65:Q$70))</f>
        <v>0</v>
      </c>
      <c r="R231" s="81">
        <f ca="1">SUMPRODUCT((Work_Codes!$AC$355:$AO$355=$E231)*(Work_Codes!$AC$363:$AO$368)*(R$65:R$70))</f>
        <v>0</v>
      </c>
      <c r="S231" s="81">
        <f ca="1">SUMPRODUCT((Work_Codes!$AC$355:$AO$355=$E231)*(Work_Codes!$AC$363:$AO$368)*(S$65:S$70))</f>
        <v>0</v>
      </c>
      <c r="T231" s="81">
        <f ca="1">SUMPRODUCT((Work_Codes!$AC$355:$AO$355=$E231)*(Work_Codes!$AC$363:$AO$368)*(T$65:T$70))</f>
        <v>0</v>
      </c>
    </row>
    <row r="232" spans="4:20" outlineLevel="2">
      <c r="E232" s="247" t="str">
        <f>GC!C63</f>
        <v>Residential meter replacement</v>
      </c>
      <c r="F232" s="247"/>
      <c r="G232" s="247"/>
      <c r="H232" s="247"/>
      <c r="I232" s="247"/>
      <c r="J232" s="81">
        <f ca="1">SUMPRODUCT((Work_Codes!$AC$355:$AO$355=$E232)*(Work_Codes!$AC$363:$AO$368)*(J$65:J$70))</f>
        <v>0</v>
      </c>
      <c r="K232" s="81">
        <f ca="1">SUMPRODUCT((Work_Codes!$AC$355:$AO$355=$E232)*(Work_Codes!$AC$363:$AO$368)*(K$65:K$70))</f>
        <v>0</v>
      </c>
      <c r="L232" s="81">
        <f ca="1">SUMPRODUCT((Work_Codes!$AC$355:$AO$355=$E232)*(Work_Codes!$AC$363:$AO$368)*(L$65:L$70))</f>
        <v>0</v>
      </c>
      <c r="M232" s="81">
        <f ca="1">SUMPRODUCT((Work_Codes!$AC$355:$AO$355=$E232)*(Work_Codes!$AC$363:$AO$368)*(M$65:M$70))</f>
        <v>0</v>
      </c>
      <c r="N232" s="81">
        <f ca="1">SUMPRODUCT((Work_Codes!$AC$355:$AO$355=$E232)*(Work_Codes!$AC$363:$AO$368)*(N$65:N$70))</f>
        <v>0</v>
      </c>
      <c r="O232" s="81">
        <f ca="1">SUMPRODUCT((Work_Codes!$AC$355:$AO$355=$E232)*(Work_Codes!$AC$363:$AO$368)*(O$65:O$70))</f>
        <v>0</v>
      </c>
      <c r="P232" s="81">
        <f ca="1">SUMPRODUCT((Work_Codes!$AC$355:$AO$355=$E232)*(Work_Codes!$AC$363:$AO$368)*(P$65:P$70))</f>
        <v>0</v>
      </c>
      <c r="Q232" s="81">
        <f ca="1">SUMPRODUCT((Work_Codes!$AC$355:$AO$355=$E232)*(Work_Codes!$AC$363:$AO$368)*(Q$65:Q$70))</f>
        <v>0</v>
      </c>
      <c r="R232" s="81">
        <f ca="1">SUMPRODUCT((Work_Codes!$AC$355:$AO$355=$E232)*(Work_Codes!$AC$363:$AO$368)*(R$65:R$70))</f>
        <v>0</v>
      </c>
      <c r="S232" s="81">
        <f ca="1">SUMPRODUCT((Work_Codes!$AC$355:$AO$355=$E232)*(Work_Codes!$AC$363:$AO$368)*(S$65:S$70))</f>
        <v>0</v>
      </c>
      <c r="T232" s="81">
        <f ca="1">SUMPRODUCT((Work_Codes!$AC$355:$AO$355=$E232)*(Work_Codes!$AC$363:$AO$368)*(T$65:T$70))</f>
        <v>0</v>
      </c>
    </row>
    <row r="233" spans="4:20" outlineLevel="2">
      <c r="E233" s="247" t="str">
        <f>GC!C64</f>
        <v>Commercial and industrial meter replacement</v>
      </c>
      <c r="F233" s="247"/>
      <c r="G233" s="247"/>
      <c r="H233" s="247"/>
      <c r="I233" s="247"/>
      <c r="J233" s="81">
        <f ca="1">SUMPRODUCT((Work_Codes!$AC$355:$AO$355=$E233)*(Work_Codes!$AC$363:$AO$368)*(J$65:J$70))</f>
        <v>0</v>
      </c>
      <c r="K233" s="81">
        <f ca="1">SUMPRODUCT((Work_Codes!$AC$355:$AO$355=$E233)*(Work_Codes!$AC$363:$AO$368)*(K$65:K$70))</f>
        <v>0</v>
      </c>
      <c r="L233" s="81">
        <f ca="1">SUMPRODUCT((Work_Codes!$AC$355:$AO$355=$E233)*(Work_Codes!$AC$363:$AO$368)*(L$65:L$70))</f>
        <v>0</v>
      </c>
      <c r="M233" s="81">
        <f ca="1">SUMPRODUCT((Work_Codes!$AC$355:$AO$355=$E233)*(Work_Codes!$AC$363:$AO$368)*(M$65:M$70))</f>
        <v>0</v>
      </c>
      <c r="N233" s="81">
        <f ca="1">SUMPRODUCT((Work_Codes!$AC$355:$AO$355=$E233)*(Work_Codes!$AC$363:$AO$368)*(N$65:N$70))</f>
        <v>0</v>
      </c>
      <c r="O233" s="81">
        <f ca="1">SUMPRODUCT((Work_Codes!$AC$355:$AO$355=$E233)*(Work_Codes!$AC$363:$AO$368)*(O$65:O$70))</f>
        <v>0</v>
      </c>
      <c r="P233" s="81">
        <f ca="1">SUMPRODUCT((Work_Codes!$AC$355:$AO$355=$E233)*(Work_Codes!$AC$363:$AO$368)*(P$65:P$70))</f>
        <v>0</v>
      </c>
      <c r="Q233" s="81">
        <f ca="1">SUMPRODUCT((Work_Codes!$AC$355:$AO$355=$E233)*(Work_Codes!$AC$363:$AO$368)*(Q$65:Q$70))</f>
        <v>0</v>
      </c>
      <c r="R233" s="81">
        <f ca="1">SUMPRODUCT((Work_Codes!$AC$355:$AO$355=$E233)*(Work_Codes!$AC$363:$AO$368)*(R$65:R$70))</f>
        <v>0</v>
      </c>
      <c r="S233" s="81">
        <f ca="1">SUMPRODUCT((Work_Codes!$AC$355:$AO$355=$E233)*(Work_Codes!$AC$363:$AO$368)*(S$65:S$70))</f>
        <v>0</v>
      </c>
      <c r="T233" s="81">
        <f ca="1">SUMPRODUCT((Work_Codes!$AC$355:$AO$355=$E233)*(Work_Codes!$AC$363:$AO$368)*(T$65:T$70))</f>
        <v>0</v>
      </c>
    </row>
    <row r="234" spans="4:20" outlineLevel="2">
      <c r="E234" s="247" t="str">
        <f>GC!C65</f>
        <v>Augmentation</v>
      </c>
      <c r="F234" s="247"/>
      <c r="G234" s="247"/>
      <c r="H234" s="247"/>
      <c r="I234" s="247"/>
      <c r="J234" s="81">
        <f ca="1">SUMPRODUCT((Work_Codes!$AC$355:$AO$355=$E234)*(Work_Codes!$AC$363:$AO$368)*(J$65:J$70))</f>
        <v>0</v>
      </c>
      <c r="K234" s="81">
        <f ca="1">SUMPRODUCT((Work_Codes!$AC$355:$AO$355=$E234)*(Work_Codes!$AC$363:$AO$368)*(K$65:K$70))</f>
        <v>0</v>
      </c>
      <c r="L234" s="81">
        <f ca="1">SUMPRODUCT((Work_Codes!$AC$355:$AO$355=$E234)*(Work_Codes!$AC$363:$AO$368)*(L$65:L$70))</f>
        <v>0</v>
      </c>
      <c r="M234" s="81">
        <f ca="1">SUMPRODUCT((Work_Codes!$AC$355:$AO$355=$E234)*(Work_Codes!$AC$363:$AO$368)*(M$65:M$70))</f>
        <v>0</v>
      </c>
      <c r="N234" s="81">
        <f ca="1">SUMPRODUCT((Work_Codes!$AC$355:$AO$355=$E234)*(Work_Codes!$AC$363:$AO$368)*(N$65:N$70))</f>
        <v>0</v>
      </c>
      <c r="O234" s="81">
        <f ca="1">SUMPRODUCT((Work_Codes!$AC$355:$AO$355=$E234)*(Work_Codes!$AC$363:$AO$368)*(O$65:O$70))</f>
        <v>0</v>
      </c>
      <c r="P234" s="81">
        <f ca="1">SUMPRODUCT((Work_Codes!$AC$355:$AO$355=$E234)*(Work_Codes!$AC$363:$AO$368)*(P$65:P$70))</f>
        <v>0</v>
      </c>
      <c r="Q234" s="81">
        <f ca="1">SUMPRODUCT((Work_Codes!$AC$355:$AO$355=$E234)*(Work_Codes!$AC$363:$AO$368)*(Q$65:Q$70))</f>
        <v>0</v>
      </c>
      <c r="R234" s="81">
        <f ca="1">SUMPRODUCT((Work_Codes!$AC$355:$AO$355=$E234)*(Work_Codes!$AC$363:$AO$368)*(R$65:R$70))</f>
        <v>0</v>
      </c>
      <c r="S234" s="81">
        <f ca="1">SUMPRODUCT((Work_Codes!$AC$355:$AO$355=$E234)*(Work_Codes!$AC$363:$AO$368)*(S$65:S$70))</f>
        <v>0</v>
      </c>
      <c r="T234" s="81">
        <f ca="1">SUMPRODUCT((Work_Codes!$AC$355:$AO$355=$E234)*(Work_Codes!$AC$363:$AO$368)*(T$65:T$70))</f>
        <v>0</v>
      </c>
    </row>
    <row r="235" spans="4:20" outlineLevel="2">
      <c r="E235" s="247" t="str">
        <f>GC!C66</f>
        <v>IT capex</v>
      </c>
      <c r="F235" s="247"/>
      <c r="G235" s="247"/>
      <c r="H235" s="247"/>
      <c r="I235" s="247"/>
      <c r="J235" s="81">
        <f ca="1">SUMPRODUCT((Work_Codes!$AC$355:$AO$355=$E235)*(Work_Codes!$AC$363:$AO$368)*(J$65:J$70))</f>
        <v>0</v>
      </c>
      <c r="K235" s="81">
        <f ca="1">SUMPRODUCT((Work_Codes!$AC$355:$AO$355=$E235)*(Work_Codes!$AC$363:$AO$368)*(K$65:K$70))</f>
        <v>0</v>
      </c>
      <c r="L235" s="81">
        <f ca="1">SUMPRODUCT((Work_Codes!$AC$355:$AO$355=$E235)*(Work_Codes!$AC$363:$AO$368)*(L$65:L$70))</f>
        <v>0</v>
      </c>
      <c r="M235" s="81">
        <f ca="1">SUMPRODUCT((Work_Codes!$AC$355:$AO$355=$E235)*(Work_Codes!$AC$363:$AO$368)*(M$65:M$70))</f>
        <v>0</v>
      </c>
      <c r="N235" s="81">
        <f ca="1">SUMPRODUCT((Work_Codes!$AC$355:$AO$355=$E235)*(Work_Codes!$AC$363:$AO$368)*(N$65:N$70))</f>
        <v>0</v>
      </c>
      <c r="O235" s="81">
        <f ca="1">SUMPRODUCT((Work_Codes!$AC$355:$AO$355=$E235)*(Work_Codes!$AC$363:$AO$368)*(O$65:O$70))</f>
        <v>0</v>
      </c>
      <c r="P235" s="81">
        <f ca="1">SUMPRODUCT((Work_Codes!$AC$355:$AO$355=$E235)*(Work_Codes!$AC$363:$AO$368)*(P$65:P$70))</f>
        <v>0</v>
      </c>
      <c r="Q235" s="81">
        <f ca="1">SUMPRODUCT((Work_Codes!$AC$355:$AO$355=$E235)*(Work_Codes!$AC$363:$AO$368)*(Q$65:Q$70))</f>
        <v>0</v>
      </c>
      <c r="R235" s="81">
        <f ca="1">SUMPRODUCT((Work_Codes!$AC$355:$AO$355=$E235)*(Work_Codes!$AC$363:$AO$368)*(R$65:R$70))</f>
        <v>0</v>
      </c>
      <c r="S235" s="81">
        <f ca="1">SUMPRODUCT((Work_Codes!$AC$355:$AO$355=$E235)*(Work_Codes!$AC$363:$AO$368)*(S$65:S$70))</f>
        <v>0</v>
      </c>
      <c r="T235" s="81">
        <f ca="1">SUMPRODUCT((Work_Codes!$AC$355:$AO$355=$E235)*(Work_Codes!$AC$363:$AO$368)*(T$65:T$70))</f>
        <v>0</v>
      </c>
    </row>
    <row r="236" spans="4:20" outlineLevel="2">
      <c r="E236" s="247" t="str">
        <f>GC!C67</f>
        <v>SCADA</v>
      </c>
      <c r="F236" s="247"/>
      <c r="G236" s="247"/>
      <c r="H236" s="247"/>
      <c r="I236" s="247"/>
      <c r="J236" s="81">
        <f ca="1">SUMPRODUCT((Work_Codes!$AC$355:$AO$355=$E236)*(Work_Codes!$AC$363:$AO$368)*(J$65:J$70))</f>
        <v>0</v>
      </c>
      <c r="K236" s="81">
        <f ca="1">SUMPRODUCT((Work_Codes!$AC$355:$AO$355=$E236)*(Work_Codes!$AC$363:$AO$368)*(K$65:K$70))</f>
        <v>0</v>
      </c>
      <c r="L236" s="81">
        <f ca="1">SUMPRODUCT((Work_Codes!$AC$355:$AO$355=$E236)*(Work_Codes!$AC$363:$AO$368)*(L$65:L$70))</f>
        <v>0</v>
      </c>
      <c r="M236" s="81">
        <f ca="1">SUMPRODUCT((Work_Codes!$AC$355:$AO$355=$E236)*(Work_Codes!$AC$363:$AO$368)*(M$65:M$70))</f>
        <v>0</v>
      </c>
      <c r="N236" s="81">
        <f ca="1">SUMPRODUCT((Work_Codes!$AC$355:$AO$355=$E236)*(Work_Codes!$AC$363:$AO$368)*(N$65:N$70))</f>
        <v>0</v>
      </c>
      <c r="O236" s="81">
        <f ca="1">SUMPRODUCT((Work_Codes!$AC$355:$AO$355=$E236)*(Work_Codes!$AC$363:$AO$368)*(O$65:O$70))</f>
        <v>0</v>
      </c>
      <c r="P236" s="81">
        <f ca="1">SUMPRODUCT((Work_Codes!$AC$355:$AO$355=$E236)*(Work_Codes!$AC$363:$AO$368)*(P$65:P$70))</f>
        <v>0</v>
      </c>
      <c r="Q236" s="81">
        <f ca="1">SUMPRODUCT((Work_Codes!$AC$355:$AO$355=$E236)*(Work_Codes!$AC$363:$AO$368)*(Q$65:Q$70))</f>
        <v>0</v>
      </c>
      <c r="R236" s="81">
        <f ca="1">SUMPRODUCT((Work_Codes!$AC$355:$AO$355=$E236)*(Work_Codes!$AC$363:$AO$368)*(R$65:R$70))</f>
        <v>0</v>
      </c>
      <c r="S236" s="81">
        <f ca="1">SUMPRODUCT((Work_Codes!$AC$355:$AO$355=$E236)*(Work_Codes!$AC$363:$AO$368)*(S$65:S$70))</f>
        <v>0</v>
      </c>
      <c r="T236" s="81">
        <f ca="1">SUMPRODUCT((Work_Codes!$AC$355:$AO$355=$E236)*(Work_Codes!$AC$363:$AO$368)*(T$65:T$70))</f>
        <v>0</v>
      </c>
    </row>
    <row r="237" spans="4:20" outlineLevel="2">
      <c r="E237" s="247" t="str">
        <f>GC!C68</f>
        <v>Other</v>
      </c>
      <c r="F237" s="247"/>
      <c r="G237" s="247"/>
      <c r="H237" s="247"/>
      <c r="I237" s="247"/>
      <c r="J237" s="81">
        <f ca="1">SUMPRODUCT((Work_Codes!$AC$355:$AO$355=$E237)*(Work_Codes!$AC$363:$AO$368)*(J$65:J$70))</f>
        <v>0</v>
      </c>
      <c r="K237" s="81">
        <f ca="1">SUMPRODUCT((Work_Codes!$AC$355:$AO$355=$E237)*(Work_Codes!$AC$363:$AO$368)*(K$65:K$70))</f>
        <v>0</v>
      </c>
      <c r="L237" s="81">
        <f ca="1">SUMPRODUCT((Work_Codes!$AC$355:$AO$355=$E237)*(Work_Codes!$AC$363:$AO$368)*(L$65:L$70))</f>
        <v>0</v>
      </c>
      <c r="M237" s="81">
        <f ca="1">SUMPRODUCT((Work_Codes!$AC$355:$AO$355=$E237)*(Work_Codes!$AC$363:$AO$368)*(M$65:M$70))</f>
        <v>0</v>
      </c>
      <c r="N237" s="81">
        <f ca="1">SUMPRODUCT((Work_Codes!$AC$355:$AO$355=$E237)*(Work_Codes!$AC$363:$AO$368)*(N$65:N$70))</f>
        <v>0</v>
      </c>
      <c r="O237" s="81">
        <f ca="1">SUMPRODUCT((Work_Codes!$AC$355:$AO$355=$E237)*(Work_Codes!$AC$363:$AO$368)*(O$65:O$70))</f>
        <v>0</v>
      </c>
      <c r="P237" s="81">
        <f ca="1">SUMPRODUCT((Work_Codes!$AC$355:$AO$355=$E237)*(Work_Codes!$AC$363:$AO$368)*(P$65:P$70))</f>
        <v>0</v>
      </c>
      <c r="Q237" s="81">
        <f ca="1">SUMPRODUCT((Work_Codes!$AC$355:$AO$355=$E237)*(Work_Codes!$AC$363:$AO$368)*(Q$65:Q$70))</f>
        <v>0</v>
      </c>
      <c r="R237" s="81">
        <f ca="1">SUMPRODUCT((Work_Codes!$AC$355:$AO$355=$E237)*(Work_Codes!$AC$363:$AO$368)*(R$65:R$70))</f>
        <v>0</v>
      </c>
      <c r="S237" s="81">
        <f ca="1">SUMPRODUCT((Work_Codes!$AC$355:$AO$355=$E237)*(Work_Codes!$AC$363:$AO$368)*(S$65:S$70))</f>
        <v>0</v>
      </c>
      <c r="T237" s="81">
        <f ca="1">SUMPRODUCT((Work_Codes!$AC$355:$AO$355=$E237)*(Work_Codes!$AC$363:$AO$368)*(T$65:T$70))</f>
        <v>0</v>
      </c>
    </row>
    <row r="238" spans="4:20" outlineLevel="2">
      <c r="E238" s="247" t="str">
        <f>GC!C69</f>
        <v>Capitalised Leases</v>
      </c>
      <c r="F238" s="247"/>
      <c r="G238" s="247"/>
      <c r="H238" s="247"/>
      <c r="I238" s="247"/>
      <c r="J238" s="81">
        <f ca="1">SUMPRODUCT((Work_Codes!$AC$355:$AO$355=$E238)*(Work_Codes!$AC$363:$AO$368)*(J$65:J$70))</f>
        <v>0</v>
      </c>
      <c r="K238" s="81">
        <f ca="1">SUMPRODUCT((Work_Codes!$AC$355:$AO$355=$E238)*(Work_Codes!$AC$363:$AO$368)*(K$65:K$70))</f>
        <v>0</v>
      </c>
      <c r="L238" s="81">
        <f ca="1">SUMPRODUCT((Work_Codes!$AC$355:$AO$355=$E238)*(Work_Codes!$AC$363:$AO$368)*(L$65:L$70))</f>
        <v>0</v>
      </c>
      <c r="M238" s="81">
        <f ca="1">SUMPRODUCT((Work_Codes!$AC$355:$AO$355=$E238)*(Work_Codes!$AC$363:$AO$368)*(M$65:M$70))</f>
        <v>0</v>
      </c>
      <c r="N238" s="81">
        <f ca="1">SUMPRODUCT((Work_Codes!$AC$355:$AO$355=$E238)*(Work_Codes!$AC$363:$AO$368)*(N$65:N$70))</f>
        <v>0</v>
      </c>
      <c r="O238" s="81">
        <f ca="1">SUMPRODUCT((Work_Codes!$AC$355:$AO$355=$E238)*(Work_Codes!$AC$363:$AO$368)*(O$65:O$70))</f>
        <v>0</v>
      </c>
      <c r="P238" s="81">
        <f ca="1">SUMPRODUCT((Work_Codes!$AC$355:$AO$355=$E238)*(Work_Codes!$AC$363:$AO$368)*(P$65:P$70))</f>
        <v>0</v>
      </c>
      <c r="Q238" s="81">
        <f ca="1">SUMPRODUCT((Work_Codes!$AC$355:$AO$355=$E238)*(Work_Codes!$AC$363:$AO$368)*(Q$65:Q$70))</f>
        <v>0</v>
      </c>
      <c r="R238" s="81">
        <f ca="1">SUMPRODUCT((Work_Codes!$AC$355:$AO$355=$E238)*(Work_Codes!$AC$363:$AO$368)*(R$65:R$70))</f>
        <v>0</v>
      </c>
      <c r="S238" s="81">
        <f ca="1">SUMPRODUCT((Work_Codes!$AC$355:$AO$355=$E238)*(Work_Codes!$AC$363:$AO$368)*(S$65:S$70))</f>
        <v>0</v>
      </c>
      <c r="T238" s="81">
        <f ca="1">SUMPRODUCT((Work_Codes!$AC$355:$AO$355=$E238)*(Work_Codes!$AC$363:$AO$368)*(T$65:T$70))</f>
        <v>0</v>
      </c>
    </row>
    <row r="239" spans="4:20" outlineLevel="2">
      <c r="E239" s="247" t="str">
        <f>GC!C70</f>
        <v>Gas Extensions - Energy for the Regions</v>
      </c>
      <c r="F239" s="247"/>
      <c r="G239" s="247"/>
      <c r="H239" s="247"/>
      <c r="I239" s="247"/>
      <c r="J239" s="81">
        <f ca="1">SUMPRODUCT((Work_Codes!$AC$355:$AO$355=$E239)*(Work_Codes!$AC$363:$AO$368)*(J$65:J$70))</f>
        <v>0</v>
      </c>
      <c r="K239" s="81">
        <f ca="1">SUMPRODUCT((Work_Codes!$AC$355:$AO$355=$E239)*(Work_Codes!$AC$363:$AO$368)*(K$65:K$70))</f>
        <v>0</v>
      </c>
      <c r="L239" s="81">
        <f ca="1">SUMPRODUCT((Work_Codes!$AC$355:$AO$355=$E239)*(Work_Codes!$AC$363:$AO$368)*(L$65:L$70))</f>
        <v>0</v>
      </c>
      <c r="M239" s="81">
        <f ca="1">SUMPRODUCT((Work_Codes!$AC$355:$AO$355=$E239)*(Work_Codes!$AC$363:$AO$368)*(M$65:M$70))</f>
        <v>0</v>
      </c>
      <c r="N239" s="81">
        <f ca="1">SUMPRODUCT((Work_Codes!$AC$355:$AO$355=$E239)*(Work_Codes!$AC$363:$AO$368)*(N$65:N$70))</f>
        <v>0</v>
      </c>
      <c r="O239" s="81">
        <f ca="1">SUMPRODUCT((Work_Codes!$AC$355:$AO$355=$E239)*(Work_Codes!$AC$363:$AO$368)*(O$65:O$70))</f>
        <v>0</v>
      </c>
      <c r="P239" s="81">
        <f ca="1">SUMPRODUCT((Work_Codes!$AC$355:$AO$355=$E239)*(Work_Codes!$AC$363:$AO$368)*(P$65:P$70))</f>
        <v>0</v>
      </c>
      <c r="Q239" s="81">
        <f ca="1">SUMPRODUCT((Work_Codes!$AC$355:$AO$355=$E239)*(Work_Codes!$AC$363:$AO$368)*(Q$65:Q$70))</f>
        <v>0</v>
      </c>
      <c r="R239" s="81">
        <f ca="1">SUMPRODUCT((Work_Codes!$AC$355:$AO$355=$E239)*(Work_Codes!$AC$363:$AO$368)*(R$65:R$70))</f>
        <v>0</v>
      </c>
      <c r="S239" s="81">
        <f ca="1">SUMPRODUCT((Work_Codes!$AC$355:$AO$355=$E239)*(Work_Codes!$AC$363:$AO$368)*(S$65:S$70))</f>
        <v>0</v>
      </c>
      <c r="T239" s="81">
        <f ca="1">SUMPRODUCT((Work_Codes!$AC$355:$AO$355=$E239)*(Work_Codes!$AC$363:$AO$368)*(T$65:T$70))</f>
        <v>0</v>
      </c>
    </row>
    <row r="240" spans="4:20" outlineLevel="2">
      <c r="E240" s="247" t="str">
        <f>GC!C71</f>
        <v>Gas Extensions - Other</v>
      </c>
      <c r="F240" s="247"/>
      <c r="G240" s="247"/>
      <c r="H240" s="247"/>
      <c r="I240" s="247"/>
      <c r="J240" s="81">
        <f ca="1">SUMPRODUCT((Work_Codes!$AC$355:$AO$355=$E240)*(Work_Codes!$AC$363:$AO$368)*(J$65:J$70))</f>
        <v>0</v>
      </c>
      <c r="K240" s="81">
        <f ca="1">SUMPRODUCT((Work_Codes!$AC$355:$AO$355=$E240)*(Work_Codes!$AC$363:$AO$368)*(K$65:K$70))</f>
        <v>0</v>
      </c>
      <c r="L240" s="81">
        <f ca="1">SUMPRODUCT((Work_Codes!$AC$355:$AO$355=$E240)*(Work_Codes!$AC$363:$AO$368)*(L$65:L$70))</f>
        <v>0</v>
      </c>
      <c r="M240" s="81">
        <f ca="1">SUMPRODUCT((Work_Codes!$AC$355:$AO$355=$E240)*(Work_Codes!$AC$363:$AO$368)*(M$65:M$70))</f>
        <v>0</v>
      </c>
      <c r="N240" s="81">
        <f ca="1">SUMPRODUCT((Work_Codes!$AC$355:$AO$355=$E240)*(Work_Codes!$AC$363:$AO$368)*(N$65:N$70))</f>
        <v>0</v>
      </c>
      <c r="O240" s="81">
        <f ca="1">SUMPRODUCT((Work_Codes!$AC$355:$AO$355=$E240)*(Work_Codes!$AC$363:$AO$368)*(O$65:O$70))</f>
        <v>0</v>
      </c>
      <c r="P240" s="81">
        <f ca="1">SUMPRODUCT((Work_Codes!$AC$355:$AO$355=$E240)*(Work_Codes!$AC$363:$AO$368)*(P$65:P$70))</f>
        <v>0</v>
      </c>
      <c r="Q240" s="81">
        <f ca="1">SUMPRODUCT((Work_Codes!$AC$355:$AO$355=$E240)*(Work_Codes!$AC$363:$AO$368)*(Q$65:Q$70))</f>
        <v>0</v>
      </c>
      <c r="R240" s="81">
        <f ca="1">SUMPRODUCT((Work_Codes!$AC$355:$AO$355=$E240)*(Work_Codes!$AC$363:$AO$368)*(R$65:R$70))</f>
        <v>0</v>
      </c>
      <c r="S240" s="81">
        <f ca="1">SUMPRODUCT((Work_Codes!$AC$355:$AO$355=$E240)*(Work_Codes!$AC$363:$AO$368)*(S$65:S$70))</f>
        <v>0</v>
      </c>
      <c r="T240" s="81">
        <f ca="1">SUMPRODUCT((Work_Codes!$AC$355:$AO$355=$E240)*(Work_Codes!$AC$363:$AO$368)*(T$65:T$70))</f>
        <v>0</v>
      </c>
    </row>
    <row r="241" spans="2:20" outlineLevel="2">
      <c r="E241" s="247" t="str">
        <f>GC!C72</f>
        <v>Customer contributions</v>
      </c>
      <c r="F241" s="247"/>
      <c r="G241" s="247"/>
      <c r="H241" s="247"/>
      <c r="I241" s="247"/>
      <c r="J241" s="81">
        <f ca="1">SUMPRODUCT((Work_Codes!$AC$355:$AO$355=$E241)*(Work_Codes!$AC$363:$AO$368)*(J$65:J$70))</f>
        <v>0</v>
      </c>
      <c r="K241" s="81">
        <f ca="1">SUMPRODUCT((Work_Codes!$AC$355:$AO$355=$E241)*(Work_Codes!$AC$363:$AO$368)*(K$65:K$70))</f>
        <v>0</v>
      </c>
      <c r="L241" s="81">
        <f ca="1">SUMPRODUCT((Work_Codes!$AC$355:$AO$355=$E241)*(Work_Codes!$AC$363:$AO$368)*(L$65:L$70))</f>
        <v>0</v>
      </c>
      <c r="M241" s="81">
        <f ca="1">SUMPRODUCT((Work_Codes!$AC$355:$AO$355=$E241)*(Work_Codes!$AC$363:$AO$368)*(M$65:M$70))</f>
        <v>0</v>
      </c>
      <c r="N241" s="81">
        <f ca="1">SUMPRODUCT((Work_Codes!$AC$355:$AO$355=$E241)*(Work_Codes!$AC$363:$AO$368)*(N$65:N$70))</f>
        <v>0</v>
      </c>
      <c r="O241" s="81">
        <f ca="1">SUMPRODUCT((Work_Codes!$AC$355:$AO$355=$E241)*(Work_Codes!$AC$363:$AO$368)*(O$65:O$70))</f>
        <v>0</v>
      </c>
      <c r="P241" s="81">
        <f ca="1">SUMPRODUCT((Work_Codes!$AC$355:$AO$355=$E241)*(Work_Codes!$AC$363:$AO$368)*(P$65:P$70))</f>
        <v>0</v>
      </c>
      <c r="Q241" s="81">
        <f ca="1">SUMPRODUCT((Work_Codes!$AC$355:$AO$355=$E241)*(Work_Codes!$AC$363:$AO$368)*(Q$65:Q$70))</f>
        <v>0</v>
      </c>
      <c r="R241" s="81">
        <f ca="1">SUMPRODUCT((Work_Codes!$AC$355:$AO$355=$E241)*(Work_Codes!$AC$363:$AO$368)*(R$65:R$70))</f>
        <v>0</v>
      </c>
      <c r="S241" s="81">
        <f ca="1">SUMPRODUCT((Work_Codes!$AC$355:$AO$355=$E241)*(Work_Codes!$AC$363:$AO$368)*(S$65:S$70))</f>
        <v>0</v>
      </c>
      <c r="T241" s="81">
        <f ca="1">SUMPRODUCT((Work_Codes!$AC$355:$AO$355=$E241)*(Work_Codes!$AC$363:$AO$368)*(T$65:T$70))</f>
        <v>0</v>
      </c>
    </row>
    <row r="242" spans="2:20" outlineLevel="2">
      <c r="E242" s="247" t="str">
        <f>GC!C73</f>
        <v>Government contributions</v>
      </c>
      <c r="F242" s="247"/>
      <c r="G242" s="247"/>
      <c r="H242" s="247"/>
      <c r="I242" s="247"/>
      <c r="J242" s="81">
        <f ca="1">SUMPRODUCT((Work_Codes!$AC$355:$AO$355=$E242)*(Work_Codes!$AC$363:$AO$368)*(J$65:J$70))</f>
        <v>0</v>
      </c>
      <c r="K242" s="81">
        <f ca="1">SUMPRODUCT((Work_Codes!$AC$355:$AO$355=$E242)*(Work_Codes!$AC$363:$AO$368)*(K$65:K$70))</f>
        <v>0</v>
      </c>
      <c r="L242" s="81">
        <f ca="1">SUMPRODUCT((Work_Codes!$AC$355:$AO$355=$E242)*(Work_Codes!$AC$363:$AO$368)*(L$65:L$70))</f>
        <v>0</v>
      </c>
      <c r="M242" s="81">
        <f ca="1">SUMPRODUCT((Work_Codes!$AC$355:$AO$355=$E242)*(Work_Codes!$AC$363:$AO$368)*(M$65:M$70))</f>
        <v>0</v>
      </c>
      <c r="N242" s="81">
        <f ca="1">SUMPRODUCT((Work_Codes!$AC$355:$AO$355=$E242)*(Work_Codes!$AC$363:$AO$368)*(N$65:N$70))</f>
        <v>0</v>
      </c>
      <c r="O242" s="81">
        <f ca="1">SUMPRODUCT((Work_Codes!$AC$355:$AO$355=$E242)*(Work_Codes!$AC$363:$AO$368)*(O$65:O$70))</f>
        <v>0</v>
      </c>
      <c r="P242" s="81">
        <f ca="1">SUMPRODUCT((Work_Codes!$AC$355:$AO$355=$E242)*(Work_Codes!$AC$363:$AO$368)*(P$65:P$70))</f>
        <v>0</v>
      </c>
      <c r="Q242" s="81">
        <f ca="1">SUMPRODUCT((Work_Codes!$AC$355:$AO$355=$E242)*(Work_Codes!$AC$363:$AO$368)*(Q$65:Q$70))</f>
        <v>0</v>
      </c>
      <c r="R242" s="81">
        <f ca="1">SUMPRODUCT((Work_Codes!$AC$355:$AO$355=$E242)*(Work_Codes!$AC$363:$AO$368)*(R$65:R$70))</f>
        <v>0</v>
      </c>
      <c r="S242" s="81">
        <f ca="1">SUMPRODUCT((Work_Codes!$AC$355:$AO$355=$E242)*(Work_Codes!$AC$363:$AO$368)*(S$65:S$70))</f>
        <v>0</v>
      </c>
      <c r="T242" s="81">
        <f ca="1">SUMPRODUCT((Work_Codes!$AC$355:$AO$355=$E242)*(Work_Codes!$AC$363:$AO$368)*(T$65:T$70))</f>
        <v>0</v>
      </c>
    </row>
    <row r="243" spans="2:20" outlineLevel="2">
      <c r="E243" s="249" t="str">
        <f t="shared" ref="E243" si="22">"Total "&amp;D227</f>
        <v>Total Customer Contributions</v>
      </c>
      <c r="F243" s="249"/>
      <c r="G243" s="249"/>
      <c r="H243" s="249"/>
      <c r="I243" s="249"/>
      <c r="J243" s="82">
        <f t="shared" ref="J243:T243" ca="1" si="23">SUM(J229:J242)</f>
        <v>0</v>
      </c>
      <c r="K243" s="82">
        <f t="shared" ca="1" si="23"/>
        <v>0</v>
      </c>
      <c r="L243" s="82">
        <f t="shared" ca="1" si="23"/>
        <v>0</v>
      </c>
      <c r="M243" s="82">
        <f t="shared" ca="1" si="23"/>
        <v>0</v>
      </c>
      <c r="N243" s="82">
        <f t="shared" ca="1" si="23"/>
        <v>-2911528.3490499998</v>
      </c>
      <c r="O243" s="82">
        <f t="shared" ca="1" si="23"/>
        <v>-1917472.115</v>
      </c>
      <c r="P243" s="82">
        <f t="shared" ca="1" si="23"/>
        <v>-3834944.23</v>
      </c>
      <c r="Q243" s="82">
        <f t="shared" ca="1" si="23"/>
        <v>-3954650.49</v>
      </c>
      <c r="R243" s="82">
        <f t="shared" ca="1" si="23"/>
        <v>-4071482.5700000003</v>
      </c>
      <c r="S243" s="82">
        <f t="shared" ca="1" si="23"/>
        <v>-3971748.44</v>
      </c>
      <c r="T243" s="82">
        <f t="shared" ca="1" si="23"/>
        <v>-3868264.21</v>
      </c>
    </row>
    <row r="244" spans="2:20" outlineLevel="2">
      <c r="B244" s="12"/>
      <c r="C244" s="12"/>
      <c r="D244" s="12"/>
      <c r="E244" s="12"/>
      <c r="F244" s="12"/>
      <c r="G244" s="12"/>
      <c r="H244" s="12"/>
      <c r="I244" s="12"/>
      <c r="J244" s="12"/>
      <c r="K244" s="12"/>
      <c r="L244" s="12"/>
      <c r="M244" s="12"/>
      <c r="N244" s="12"/>
      <c r="O244" s="12"/>
      <c r="P244" s="12"/>
      <c r="Q244" s="12"/>
      <c r="R244" s="12"/>
      <c r="S244" s="12"/>
      <c r="T244" s="12"/>
    </row>
    <row r="245" spans="2:20" outlineLevel="2"/>
    <row r="246" spans="2:20" outlineLevel="2">
      <c r="C246" s="37" t="s">
        <v>311</v>
      </c>
    </row>
    <row r="247" spans="2:20" ht="5.9" customHeight="1" outlineLevel="2"/>
    <row r="248" spans="2:20" outlineLevel="2">
      <c r="D248" s="37" t="s">
        <v>215</v>
      </c>
    </row>
    <row r="249" spans="2:20" ht="5.9" customHeight="1" outlineLevel="2"/>
    <row r="250" spans="2:20" outlineLevel="2">
      <c r="E250" s="247" t="str">
        <f>GC!C78</f>
        <v>Mains &amp; Services</v>
      </c>
      <c r="F250" s="247"/>
      <c r="G250" s="247"/>
      <c r="H250" s="247"/>
      <c r="I250" s="247"/>
      <c r="J250" s="81">
        <f ca="1">SUMPRODUCT((Work_Codes!$AR$355:$AX$355=$E250)*(Work_Codes!$AR$358:$AX$359)*(J$100:J$101))</f>
        <v>0</v>
      </c>
      <c r="K250" s="81">
        <f ca="1">SUMPRODUCT((Work_Codes!$AR$355:$AX$355=$E250)*(Work_Codes!$AR$358:$AX$359)*(K$100:K$101))</f>
        <v>0</v>
      </c>
      <c r="L250" s="81">
        <f ca="1">SUMPRODUCT((Work_Codes!$AR$355:$AX$355=$E250)*(Work_Codes!$AR$358:$AX$359)*(L$100:L$101))</f>
        <v>0</v>
      </c>
      <c r="M250" s="81">
        <f ca="1">SUMPRODUCT((Work_Codes!$AR$355:$AX$355=$E250)*(Work_Codes!$AR$358:$AX$359)*(M$100:M$101))</f>
        <v>0</v>
      </c>
      <c r="N250" s="81">
        <f ca="1">SUMPRODUCT((Work_Codes!$AR$355:$AX$355=$E250)*(Work_Codes!$AR$358:$AX$359)*(N$100:N$101))</f>
        <v>38158283.939252399</v>
      </c>
      <c r="O250" s="81">
        <f ca="1">SUMPRODUCT((Work_Codes!$AR$355:$AX$355=$E250)*(Work_Codes!$AR$358:$AX$359)*(O$100:O$101))</f>
        <v>15817856.847026572</v>
      </c>
      <c r="P250" s="81">
        <f ca="1">SUMPRODUCT((Work_Codes!$AR$355:$AX$355=$E250)*(Work_Codes!$AR$358:$AX$359)*(P$100:P$101))</f>
        <v>29076733.984151781</v>
      </c>
      <c r="Q250" s="81">
        <f ca="1">SUMPRODUCT((Work_Codes!$AR$355:$AX$355=$E250)*(Work_Codes!$AR$358:$AX$359)*(Q$100:Q$101))</f>
        <v>29993796.417045683</v>
      </c>
      <c r="R250" s="81">
        <f ca="1">SUMPRODUCT((Work_Codes!$AR$355:$AX$355=$E250)*(Work_Codes!$AR$358:$AX$359)*(R$100:R$101))</f>
        <v>30893735.741281688</v>
      </c>
      <c r="S250" s="81">
        <f ca="1">SUMPRODUCT((Work_Codes!$AR$355:$AX$355=$E250)*(Work_Codes!$AR$358:$AX$359)*(S$100:S$101))</f>
        <v>30150613.150606591</v>
      </c>
      <c r="T250" s="81">
        <f ca="1">SUMPRODUCT((Work_Codes!$AR$355:$AX$355=$E250)*(Work_Codes!$AR$358:$AX$359)*(T$100:T$101))</f>
        <v>29378470.732227214</v>
      </c>
    </row>
    <row r="251" spans="2:20" outlineLevel="2">
      <c r="E251" s="247" t="str">
        <f>GC!C79</f>
        <v>Meters Domestic</v>
      </c>
      <c r="F251" s="247"/>
      <c r="G251" s="247"/>
      <c r="H251" s="247"/>
      <c r="I251" s="247"/>
      <c r="J251" s="81">
        <f ca="1">SUMPRODUCT((Work_Codes!$AR$355:$AX$355=$E251)*(Work_Codes!$AR$358:$AX$359)*(J$100:J$101))</f>
        <v>0</v>
      </c>
      <c r="K251" s="81">
        <f ca="1">SUMPRODUCT((Work_Codes!$AR$355:$AX$355=$E251)*(Work_Codes!$AR$358:$AX$359)*(K$100:K$101))</f>
        <v>0</v>
      </c>
      <c r="L251" s="81">
        <f ca="1">SUMPRODUCT((Work_Codes!$AR$355:$AX$355=$E251)*(Work_Codes!$AR$358:$AX$359)*(L$100:L$101))</f>
        <v>0</v>
      </c>
      <c r="M251" s="81">
        <f ca="1">SUMPRODUCT((Work_Codes!$AR$355:$AX$355=$E251)*(Work_Codes!$AR$358:$AX$359)*(M$100:M$101))</f>
        <v>0</v>
      </c>
      <c r="N251" s="81">
        <f ca="1">SUMPRODUCT((Work_Codes!$AR$355:$AX$355=$E251)*(Work_Codes!$AR$358:$AX$359)*(N$100:N$101))</f>
        <v>9539570.9848130997</v>
      </c>
      <c r="O251" s="81">
        <f ca="1">SUMPRODUCT((Work_Codes!$AR$355:$AX$355=$E251)*(Work_Codes!$AR$358:$AX$359)*(O$100:O$101))</f>
        <v>3954464.2117566429</v>
      </c>
      <c r="P251" s="81">
        <f ca="1">SUMPRODUCT((Work_Codes!$AR$355:$AX$355=$E251)*(Work_Codes!$AR$358:$AX$359)*(P$100:P$101))</f>
        <v>7269183.4960379452</v>
      </c>
      <c r="Q251" s="81">
        <f ca="1">SUMPRODUCT((Work_Codes!$AR$355:$AX$355=$E251)*(Work_Codes!$AR$358:$AX$359)*(Q$100:Q$101))</f>
        <v>7498449.1042614207</v>
      </c>
      <c r="R251" s="81">
        <f ca="1">SUMPRODUCT((Work_Codes!$AR$355:$AX$355=$E251)*(Work_Codes!$AR$358:$AX$359)*(R$100:R$101))</f>
        <v>7723433.9353204221</v>
      </c>
      <c r="S251" s="81">
        <f ca="1">SUMPRODUCT((Work_Codes!$AR$355:$AX$355=$E251)*(Work_Codes!$AR$358:$AX$359)*(S$100:S$101))</f>
        <v>7537653.2876516478</v>
      </c>
      <c r="T251" s="81">
        <f ca="1">SUMPRODUCT((Work_Codes!$AR$355:$AX$355=$E251)*(Work_Codes!$AR$358:$AX$359)*(T$100:T$101))</f>
        <v>7344617.6830568034</v>
      </c>
    </row>
    <row r="252" spans="2:20" outlineLevel="2">
      <c r="E252" s="247" t="str">
        <f>GC!C80</f>
        <v>Meters Industrial &amp; Commercial</v>
      </c>
      <c r="F252" s="247"/>
      <c r="G252" s="247"/>
      <c r="H252" s="247"/>
      <c r="I252" s="247"/>
      <c r="J252" s="81">
        <f ca="1">SUMPRODUCT((Work_Codes!$AR$355:$AX$355=$E252)*(Work_Codes!$AR$358:$AX$359)*(J$100:J$101))</f>
        <v>0</v>
      </c>
      <c r="K252" s="81">
        <f ca="1">SUMPRODUCT((Work_Codes!$AR$355:$AX$355=$E252)*(Work_Codes!$AR$358:$AX$359)*(K$100:K$101))</f>
        <v>0</v>
      </c>
      <c r="L252" s="81">
        <f ca="1">SUMPRODUCT((Work_Codes!$AR$355:$AX$355=$E252)*(Work_Codes!$AR$358:$AX$359)*(L$100:L$101))</f>
        <v>0</v>
      </c>
      <c r="M252" s="81">
        <f ca="1">SUMPRODUCT((Work_Codes!$AR$355:$AX$355=$E252)*(Work_Codes!$AR$358:$AX$359)*(M$100:M$101))</f>
        <v>0</v>
      </c>
      <c r="N252" s="81">
        <f ca="1">SUMPRODUCT((Work_Codes!$AR$355:$AX$355=$E252)*(Work_Codes!$AR$358:$AX$359)*(N$100:N$101))</f>
        <v>0</v>
      </c>
      <c r="O252" s="81">
        <f ca="1">SUMPRODUCT((Work_Codes!$AR$355:$AX$355=$E252)*(Work_Codes!$AR$358:$AX$359)*(O$100:O$101))</f>
        <v>0</v>
      </c>
      <c r="P252" s="81">
        <f ca="1">SUMPRODUCT((Work_Codes!$AR$355:$AX$355=$E252)*(Work_Codes!$AR$358:$AX$359)*(P$100:P$101))</f>
        <v>0</v>
      </c>
      <c r="Q252" s="81">
        <f ca="1">SUMPRODUCT((Work_Codes!$AR$355:$AX$355=$E252)*(Work_Codes!$AR$358:$AX$359)*(Q$100:Q$101))</f>
        <v>0</v>
      </c>
      <c r="R252" s="81">
        <f ca="1">SUMPRODUCT((Work_Codes!$AR$355:$AX$355=$E252)*(Work_Codes!$AR$358:$AX$359)*(R$100:R$101))</f>
        <v>0</v>
      </c>
      <c r="S252" s="81">
        <f ca="1">SUMPRODUCT((Work_Codes!$AR$355:$AX$355=$E252)*(Work_Codes!$AR$358:$AX$359)*(S$100:S$101))</f>
        <v>0</v>
      </c>
      <c r="T252" s="81">
        <f ca="1">SUMPRODUCT((Work_Codes!$AR$355:$AX$355=$E252)*(Work_Codes!$AR$358:$AX$359)*(T$100:T$101))</f>
        <v>0</v>
      </c>
    </row>
    <row r="253" spans="2:20" outlineLevel="2">
      <c r="E253" s="247" t="str">
        <f>GC!C81</f>
        <v>Buildings</v>
      </c>
      <c r="F253" s="247"/>
      <c r="G253" s="247"/>
      <c r="H253" s="247"/>
      <c r="I253" s="247"/>
      <c r="J253" s="81">
        <f ca="1">SUMPRODUCT((Work_Codes!$AR$355:$AX$355=$E253)*(Work_Codes!$AR$358:$AX$359)*(J$100:J$101))</f>
        <v>0</v>
      </c>
      <c r="K253" s="81">
        <f ca="1">SUMPRODUCT((Work_Codes!$AR$355:$AX$355=$E253)*(Work_Codes!$AR$358:$AX$359)*(K$100:K$101))</f>
        <v>0</v>
      </c>
      <c r="L253" s="81">
        <f ca="1">SUMPRODUCT((Work_Codes!$AR$355:$AX$355=$E253)*(Work_Codes!$AR$358:$AX$359)*(L$100:L$101))</f>
        <v>0</v>
      </c>
      <c r="M253" s="81">
        <f ca="1">SUMPRODUCT((Work_Codes!$AR$355:$AX$355=$E253)*(Work_Codes!$AR$358:$AX$359)*(M$100:M$101))</f>
        <v>0</v>
      </c>
      <c r="N253" s="81">
        <f ca="1">SUMPRODUCT((Work_Codes!$AR$355:$AX$355=$E253)*(Work_Codes!$AR$358:$AX$359)*(N$100:N$101))</f>
        <v>0</v>
      </c>
      <c r="O253" s="81">
        <f ca="1">SUMPRODUCT((Work_Codes!$AR$355:$AX$355=$E253)*(Work_Codes!$AR$358:$AX$359)*(O$100:O$101))</f>
        <v>0</v>
      </c>
      <c r="P253" s="81">
        <f ca="1">SUMPRODUCT((Work_Codes!$AR$355:$AX$355=$E253)*(Work_Codes!$AR$358:$AX$359)*(P$100:P$101))</f>
        <v>0</v>
      </c>
      <c r="Q253" s="81">
        <f ca="1">SUMPRODUCT((Work_Codes!$AR$355:$AX$355=$E253)*(Work_Codes!$AR$358:$AX$359)*(Q$100:Q$101))</f>
        <v>0</v>
      </c>
      <c r="R253" s="81">
        <f ca="1">SUMPRODUCT((Work_Codes!$AR$355:$AX$355=$E253)*(Work_Codes!$AR$358:$AX$359)*(R$100:R$101))</f>
        <v>0</v>
      </c>
      <c r="S253" s="81">
        <f ca="1">SUMPRODUCT((Work_Codes!$AR$355:$AX$355=$E253)*(Work_Codes!$AR$358:$AX$359)*(S$100:S$101))</f>
        <v>0</v>
      </c>
      <c r="T253" s="81">
        <f ca="1">SUMPRODUCT((Work_Codes!$AR$355:$AX$355=$E253)*(Work_Codes!$AR$358:$AX$359)*(T$100:T$101))</f>
        <v>0</v>
      </c>
    </row>
    <row r="254" spans="2:20" outlineLevel="2">
      <c r="E254" s="247" t="str">
        <f>GC!C82</f>
        <v>Other Assets</v>
      </c>
      <c r="F254" s="247"/>
      <c r="G254" s="247"/>
      <c r="H254" s="247"/>
      <c r="I254" s="247"/>
      <c r="J254" s="81">
        <f ca="1">SUMPRODUCT((Work_Codes!$AR$355:$AX$355=$E254)*(Work_Codes!$AR$358:$AX$359)*(J$100:J$101))</f>
        <v>0</v>
      </c>
      <c r="K254" s="81">
        <f ca="1">SUMPRODUCT((Work_Codes!$AR$355:$AX$355=$E254)*(Work_Codes!$AR$358:$AX$359)*(K$100:K$101))</f>
        <v>0</v>
      </c>
      <c r="L254" s="81">
        <f ca="1">SUMPRODUCT((Work_Codes!$AR$355:$AX$355=$E254)*(Work_Codes!$AR$358:$AX$359)*(L$100:L$101))</f>
        <v>0</v>
      </c>
      <c r="M254" s="81">
        <f ca="1">SUMPRODUCT((Work_Codes!$AR$355:$AX$355=$E254)*(Work_Codes!$AR$358:$AX$359)*(M$100:M$101))</f>
        <v>0</v>
      </c>
      <c r="N254" s="81">
        <f ca="1">SUMPRODUCT((Work_Codes!$AR$355:$AX$355=$E254)*(Work_Codes!$AR$358:$AX$359)*(N$100:N$101))</f>
        <v>0</v>
      </c>
      <c r="O254" s="81">
        <f ca="1">SUMPRODUCT((Work_Codes!$AR$355:$AX$355=$E254)*(Work_Codes!$AR$358:$AX$359)*(O$100:O$101))</f>
        <v>0</v>
      </c>
      <c r="P254" s="81">
        <f ca="1">SUMPRODUCT((Work_Codes!$AR$355:$AX$355=$E254)*(Work_Codes!$AR$358:$AX$359)*(P$100:P$101))</f>
        <v>0</v>
      </c>
      <c r="Q254" s="81">
        <f ca="1">SUMPRODUCT((Work_Codes!$AR$355:$AX$355=$E254)*(Work_Codes!$AR$358:$AX$359)*(Q$100:Q$101))</f>
        <v>0</v>
      </c>
      <c r="R254" s="81">
        <f ca="1">SUMPRODUCT((Work_Codes!$AR$355:$AX$355=$E254)*(Work_Codes!$AR$358:$AX$359)*(R$100:R$101))</f>
        <v>0</v>
      </c>
      <c r="S254" s="81">
        <f ca="1">SUMPRODUCT((Work_Codes!$AR$355:$AX$355=$E254)*(Work_Codes!$AR$358:$AX$359)*(S$100:S$101))</f>
        <v>0</v>
      </c>
      <c r="T254" s="81">
        <f ca="1">SUMPRODUCT((Work_Codes!$AR$355:$AX$355=$E254)*(Work_Codes!$AR$358:$AX$359)*(T$100:T$101))</f>
        <v>0</v>
      </c>
    </row>
    <row r="255" spans="2:20" outlineLevel="2">
      <c r="E255" s="247" t="str">
        <f>GC!C83</f>
        <v>Repairs</v>
      </c>
      <c r="F255" s="247"/>
      <c r="G255" s="247"/>
      <c r="H255" s="247"/>
      <c r="I255" s="247"/>
      <c r="J255" s="81">
        <f ca="1">SUMPRODUCT((Work_Codes!$AR$355:$AX$355=$E255)*(Work_Codes!$AR$358:$AX$359)*(J$100:J$101))</f>
        <v>0</v>
      </c>
      <c r="K255" s="81">
        <f ca="1">SUMPRODUCT((Work_Codes!$AR$355:$AX$355=$E255)*(Work_Codes!$AR$358:$AX$359)*(K$100:K$101))</f>
        <v>0</v>
      </c>
      <c r="L255" s="81">
        <f ca="1">SUMPRODUCT((Work_Codes!$AR$355:$AX$355=$E255)*(Work_Codes!$AR$358:$AX$359)*(L$100:L$101))</f>
        <v>0</v>
      </c>
      <c r="M255" s="81">
        <f ca="1">SUMPRODUCT((Work_Codes!$AR$355:$AX$355=$E255)*(Work_Codes!$AR$358:$AX$359)*(M$100:M$101))</f>
        <v>0</v>
      </c>
      <c r="N255" s="81">
        <f ca="1">SUMPRODUCT((Work_Codes!$AR$355:$AX$355=$E255)*(Work_Codes!$AR$358:$AX$359)*(N$100:N$101))</f>
        <v>0</v>
      </c>
      <c r="O255" s="81">
        <f ca="1">SUMPRODUCT((Work_Codes!$AR$355:$AX$355=$E255)*(Work_Codes!$AR$358:$AX$359)*(O$100:O$101))</f>
        <v>0</v>
      </c>
      <c r="P255" s="81">
        <f ca="1">SUMPRODUCT((Work_Codes!$AR$355:$AX$355=$E255)*(Work_Codes!$AR$358:$AX$359)*(P$100:P$101))</f>
        <v>0</v>
      </c>
      <c r="Q255" s="81">
        <f ca="1">SUMPRODUCT((Work_Codes!$AR$355:$AX$355=$E255)*(Work_Codes!$AR$358:$AX$359)*(Q$100:Q$101))</f>
        <v>0</v>
      </c>
      <c r="R255" s="81">
        <f ca="1">SUMPRODUCT((Work_Codes!$AR$355:$AX$355=$E255)*(Work_Codes!$AR$358:$AX$359)*(R$100:R$101))</f>
        <v>0</v>
      </c>
      <c r="S255" s="81">
        <f ca="1">SUMPRODUCT((Work_Codes!$AR$355:$AX$355=$E255)*(Work_Codes!$AR$358:$AX$359)*(S$100:S$101))</f>
        <v>0</v>
      </c>
      <c r="T255" s="81">
        <f ca="1">SUMPRODUCT((Work_Codes!$AR$355:$AX$355=$E255)*(Work_Codes!$AR$358:$AX$359)*(T$100:T$101))</f>
        <v>0</v>
      </c>
    </row>
    <row r="256" spans="2:20" outlineLevel="2">
      <c r="E256" s="247" t="str">
        <f>GC!C84</f>
        <v>Land</v>
      </c>
      <c r="F256" s="247"/>
      <c r="G256" s="247"/>
      <c r="H256" s="247"/>
      <c r="I256" s="247"/>
      <c r="J256" s="81">
        <f ca="1">SUMPRODUCT((Work_Codes!$AR$355:$AX$355=$E256)*(Work_Codes!$AR$358:$AX$359)*(J$100:J$101))</f>
        <v>0</v>
      </c>
      <c r="K256" s="81">
        <f ca="1">SUMPRODUCT((Work_Codes!$AR$355:$AX$355=$E256)*(Work_Codes!$AR$358:$AX$359)*(K$100:K$101))</f>
        <v>0</v>
      </c>
      <c r="L256" s="81">
        <f ca="1">SUMPRODUCT((Work_Codes!$AR$355:$AX$355=$E256)*(Work_Codes!$AR$358:$AX$359)*(L$100:L$101))</f>
        <v>0</v>
      </c>
      <c r="M256" s="81">
        <f ca="1">SUMPRODUCT((Work_Codes!$AR$355:$AX$355=$E256)*(Work_Codes!$AR$358:$AX$359)*(M$100:M$101))</f>
        <v>0</v>
      </c>
      <c r="N256" s="81">
        <f ca="1">SUMPRODUCT((Work_Codes!$AR$355:$AX$355=$E256)*(Work_Codes!$AR$358:$AX$359)*(N$100:N$101))</f>
        <v>0</v>
      </c>
      <c r="O256" s="81">
        <f ca="1">SUMPRODUCT((Work_Codes!$AR$355:$AX$355=$E256)*(Work_Codes!$AR$358:$AX$359)*(O$100:O$101))</f>
        <v>0</v>
      </c>
      <c r="P256" s="81">
        <f ca="1">SUMPRODUCT((Work_Codes!$AR$355:$AX$355=$E256)*(Work_Codes!$AR$358:$AX$359)*(P$100:P$101))</f>
        <v>0</v>
      </c>
      <c r="Q256" s="81">
        <f ca="1">SUMPRODUCT((Work_Codes!$AR$355:$AX$355=$E256)*(Work_Codes!$AR$358:$AX$359)*(Q$100:Q$101))</f>
        <v>0</v>
      </c>
      <c r="R256" s="81">
        <f ca="1">SUMPRODUCT((Work_Codes!$AR$355:$AX$355=$E256)*(Work_Codes!$AR$358:$AX$359)*(R$100:R$101))</f>
        <v>0</v>
      </c>
      <c r="S256" s="81">
        <f ca="1">SUMPRODUCT((Work_Codes!$AR$355:$AX$355=$E256)*(Work_Codes!$AR$358:$AX$359)*(S$100:S$101))</f>
        <v>0</v>
      </c>
      <c r="T256" s="81">
        <f ca="1">SUMPRODUCT((Work_Codes!$AR$355:$AX$355=$E256)*(Work_Codes!$AR$358:$AX$359)*(T$100:T$101))</f>
        <v>0</v>
      </c>
    </row>
    <row r="257" spans="2:20" outlineLevel="2">
      <c r="E257" s="249" t="str">
        <f>"Total "&amp;D248</f>
        <v>Total Direct Costs</v>
      </c>
      <c r="F257" s="249"/>
      <c r="G257" s="249"/>
      <c r="H257" s="249"/>
      <c r="I257" s="249"/>
      <c r="J257" s="82">
        <f t="shared" ref="J257:T257" ca="1" si="24">SUM(J250:J256)</f>
        <v>0</v>
      </c>
      <c r="K257" s="82">
        <f t="shared" ca="1" si="24"/>
        <v>0</v>
      </c>
      <c r="L257" s="82">
        <f t="shared" ca="1" si="24"/>
        <v>0</v>
      </c>
      <c r="M257" s="82">
        <f t="shared" ca="1" si="24"/>
        <v>0</v>
      </c>
      <c r="N257" s="82">
        <f t="shared" ca="1" si="24"/>
        <v>47697854.9240655</v>
      </c>
      <c r="O257" s="82">
        <f t="shared" ca="1" si="24"/>
        <v>19772321.058783215</v>
      </c>
      <c r="P257" s="82">
        <f t="shared" ca="1" si="24"/>
        <v>36345917.480189726</v>
      </c>
      <c r="Q257" s="82">
        <f t="shared" ca="1" si="24"/>
        <v>37492245.521307103</v>
      </c>
      <c r="R257" s="82">
        <f t="shared" ca="1" si="24"/>
        <v>38617169.67660211</v>
      </c>
      <c r="S257" s="82">
        <f t="shared" ca="1" si="24"/>
        <v>37688266.438258238</v>
      </c>
      <c r="T257" s="82">
        <f t="shared" ca="1" si="24"/>
        <v>36723088.415284015</v>
      </c>
    </row>
    <row r="258" spans="2:20" outlineLevel="2"/>
    <row r="259" spans="2:20" outlineLevel="2">
      <c r="D259" s="37" t="s">
        <v>313</v>
      </c>
    </row>
    <row r="260" spans="2:20" ht="5.9" customHeight="1" outlineLevel="2"/>
    <row r="261" spans="2:20" outlineLevel="2">
      <c r="E261" s="247" t="str">
        <f>GC!C78</f>
        <v>Mains &amp; Services</v>
      </c>
      <c r="F261" s="247"/>
      <c r="G261" s="247"/>
      <c r="H261" s="247"/>
      <c r="I261" s="247"/>
      <c r="J261" s="81">
        <f ca="1">J250*(1+INDEX(J$35:J$37,MATCH(Work_Codes!$I$352,$D$35:$D$37,0)))</f>
        <v>0</v>
      </c>
      <c r="K261" s="81">
        <f ca="1">K250*(1+INDEX(K$35:K$37,MATCH(Work_Codes!$I$352,$D$35:$D$37,0)))</f>
        <v>0</v>
      </c>
      <c r="L261" s="81">
        <f ca="1">L250*(1+INDEX(L$35:L$37,MATCH(Work_Codes!$I$352,$D$35:$D$37,0)))</f>
        <v>0</v>
      </c>
      <c r="M261" s="81">
        <f ca="1">M250*(1+INDEX(M$35:M$37,MATCH(Work_Codes!$I$352,$D$35:$D$37,0)))</f>
        <v>0</v>
      </c>
      <c r="N261" s="81">
        <f ca="1">N250*(1+INDEX(N$35:N$37,MATCH(Work_Codes!$I$352,$D$35:$D$37,0)))</f>
        <v>39597271.26660575</v>
      </c>
      <c r="O261" s="81">
        <f ca="1">O250*(1+INDEX(O$35:O$37,MATCH(Work_Codes!$I$352,$D$35:$D$37,0)))</f>
        <v>16344337.904834786</v>
      </c>
      <c r="P261" s="81">
        <f ca="1">P250*(1+INDEX(P$35:P$37,MATCH(Work_Codes!$I$352,$D$35:$D$37,0)))</f>
        <v>29854613.977269553</v>
      </c>
      <c r="Q261" s="81">
        <f ca="1">Q250*(1+INDEX(Q$35:Q$37,MATCH(Work_Codes!$I$352,$D$35:$D$37,0)))</f>
        <v>30775452.368500039</v>
      </c>
      <c r="R261" s="81">
        <f ca="1">R250*(1+INDEX(R$35:R$37,MATCH(Work_Codes!$I$352,$D$35:$D$37,0)))</f>
        <v>31723943.286836088</v>
      </c>
      <c r="S261" s="81">
        <f ca="1">S250*(1+INDEX(S$35:S$37,MATCH(Work_Codes!$I$352,$D$35:$D$37,0)))</f>
        <v>31011297.948395856</v>
      </c>
      <c r="T261" s="81">
        <f ca="1">T250*(1+INDEX(T$35:T$37,MATCH(Work_Codes!$I$352,$D$35:$D$37,0)))</f>
        <v>30257485.687581386</v>
      </c>
    </row>
    <row r="262" spans="2:20" outlineLevel="2">
      <c r="E262" s="247" t="str">
        <f>GC!C79</f>
        <v>Meters Domestic</v>
      </c>
      <c r="F262" s="247"/>
      <c r="G262" s="247"/>
      <c r="H262" s="247"/>
      <c r="I262" s="247"/>
      <c r="J262" s="81">
        <f ca="1">J251*(1+INDEX(J$35:J$37,MATCH(Work_Codes!$I$352,$D$35:$D$37,0)))</f>
        <v>0</v>
      </c>
      <c r="K262" s="81">
        <f ca="1">K251*(1+INDEX(K$35:K$37,MATCH(Work_Codes!$I$352,$D$35:$D$37,0)))</f>
        <v>0</v>
      </c>
      <c r="L262" s="81">
        <f ca="1">L251*(1+INDEX(L$35:L$37,MATCH(Work_Codes!$I$352,$D$35:$D$37,0)))</f>
        <v>0</v>
      </c>
      <c r="M262" s="81">
        <f ca="1">M251*(1+INDEX(M$35:M$37,MATCH(Work_Codes!$I$352,$D$35:$D$37,0)))</f>
        <v>0</v>
      </c>
      <c r="N262" s="81">
        <f ca="1">N251*(1+INDEX(N$35:N$37,MATCH(Work_Codes!$I$352,$D$35:$D$37,0)))</f>
        <v>9899317.8166514374</v>
      </c>
      <c r="O262" s="81">
        <f ca="1">O251*(1+INDEX(O$35:O$37,MATCH(Work_Codes!$I$352,$D$35:$D$37,0)))</f>
        <v>4086084.4762086966</v>
      </c>
      <c r="P262" s="81">
        <f ca="1">P251*(1+INDEX(P$35:P$37,MATCH(Work_Codes!$I$352,$D$35:$D$37,0)))</f>
        <v>7463653.4943173882</v>
      </c>
      <c r="Q262" s="81">
        <f ca="1">Q251*(1+INDEX(Q$35:Q$37,MATCH(Work_Codes!$I$352,$D$35:$D$37,0)))</f>
        <v>7693863.0921250097</v>
      </c>
      <c r="R262" s="81">
        <f ca="1">R251*(1+INDEX(R$35:R$37,MATCH(Work_Codes!$I$352,$D$35:$D$37,0)))</f>
        <v>7930985.8217090219</v>
      </c>
      <c r="S262" s="81">
        <f ca="1">S251*(1+INDEX(S$35:S$37,MATCH(Work_Codes!$I$352,$D$35:$D$37,0)))</f>
        <v>7752824.4870989639</v>
      </c>
      <c r="T262" s="81">
        <f ca="1">T251*(1+INDEX(T$35:T$37,MATCH(Work_Codes!$I$352,$D$35:$D$37,0)))</f>
        <v>7564371.4218953466</v>
      </c>
    </row>
    <row r="263" spans="2:20" outlineLevel="2">
      <c r="E263" s="247" t="str">
        <f>GC!C80</f>
        <v>Meters Industrial &amp; Commercial</v>
      </c>
      <c r="F263" s="247"/>
      <c r="G263" s="247"/>
      <c r="H263" s="247"/>
      <c r="I263" s="247"/>
      <c r="J263" s="81">
        <f ca="1">J252*(1+INDEX(J$35:J$37,MATCH(Work_Codes!$I$352,$D$35:$D$37,0)))</f>
        <v>0</v>
      </c>
      <c r="K263" s="81">
        <f ca="1">K252*(1+INDEX(K$35:K$37,MATCH(Work_Codes!$I$352,$D$35:$D$37,0)))</f>
        <v>0</v>
      </c>
      <c r="L263" s="81">
        <f ca="1">L252*(1+INDEX(L$35:L$37,MATCH(Work_Codes!$I$352,$D$35:$D$37,0)))</f>
        <v>0</v>
      </c>
      <c r="M263" s="81">
        <f ca="1">M252*(1+INDEX(M$35:M$37,MATCH(Work_Codes!$I$352,$D$35:$D$37,0)))</f>
        <v>0</v>
      </c>
      <c r="N263" s="81">
        <f ca="1">N252*(1+INDEX(N$35:N$37,MATCH(Work_Codes!$I$352,$D$35:$D$37,0)))</f>
        <v>0</v>
      </c>
      <c r="O263" s="81">
        <f ca="1">O252*(1+INDEX(O$35:O$37,MATCH(Work_Codes!$I$352,$D$35:$D$37,0)))</f>
        <v>0</v>
      </c>
      <c r="P263" s="81">
        <f ca="1">P252*(1+INDEX(P$35:P$37,MATCH(Work_Codes!$I$352,$D$35:$D$37,0)))</f>
        <v>0</v>
      </c>
      <c r="Q263" s="81">
        <f ca="1">Q252*(1+INDEX(Q$35:Q$37,MATCH(Work_Codes!$I$352,$D$35:$D$37,0)))</f>
        <v>0</v>
      </c>
      <c r="R263" s="81">
        <f ca="1">R252*(1+INDEX(R$35:R$37,MATCH(Work_Codes!$I$352,$D$35:$D$37,0)))</f>
        <v>0</v>
      </c>
      <c r="S263" s="81">
        <f ca="1">S252*(1+INDEX(S$35:S$37,MATCH(Work_Codes!$I$352,$D$35:$D$37,0)))</f>
        <v>0</v>
      </c>
      <c r="T263" s="81">
        <f ca="1">T252*(1+INDEX(T$35:T$37,MATCH(Work_Codes!$I$352,$D$35:$D$37,0)))</f>
        <v>0</v>
      </c>
    </row>
    <row r="264" spans="2:20" outlineLevel="2">
      <c r="E264" s="247" t="str">
        <f>GC!C81</f>
        <v>Buildings</v>
      </c>
      <c r="F264" s="247"/>
      <c r="G264" s="247"/>
      <c r="H264" s="247"/>
      <c r="I264" s="247"/>
      <c r="J264" s="81">
        <f ca="1">J253*(1+INDEX(J$35:J$37,MATCH(Work_Codes!$I$352,$D$35:$D$37,0)))</f>
        <v>0</v>
      </c>
      <c r="K264" s="81">
        <f ca="1">K253*(1+INDEX(K$35:K$37,MATCH(Work_Codes!$I$352,$D$35:$D$37,0)))</f>
        <v>0</v>
      </c>
      <c r="L264" s="81">
        <f ca="1">L253*(1+INDEX(L$35:L$37,MATCH(Work_Codes!$I$352,$D$35:$D$37,0)))</f>
        <v>0</v>
      </c>
      <c r="M264" s="81">
        <f ca="1">M253*(1+INDEX(M$35:M$37,MATCH(Work_Codes!$I$352,$D$35:$D$37,0)))</f>
        <v>0</v>
      </c>
      <c r="N264" s="81">
        <f ca="1">N253*(1+INDEX(N$35:N$37,MATCH(Work_Codes!$I$352,$D$35:$D$37,0)))</f>
        <v>0</v>
      </c>
      <c r="O264" s="81">
        <f ca="1">O253*(1+INDEX(O$35:O$37,MATCH(Work_Codes!$I$352,$D$35:$D$37,0)))</f>
        <v>0</v>
      </c>
      <c r="P264" s="81">
        <f ca="1">P253*(1+INDEX(P$35:P$37,MATCH(Work_Codes!$I$352,$D$35:$D$37,0)))</f>
        <v>0</v>
      </c>
      <c r="Q264" s="81">
        <f ca="1">Q253*(1+INDEX(Q$35:Q$37,MATCH(Work_Codes!$I$352,$D$35:$D$37,0)))</f>
        <v>0</v>
      </c>
      <c r="R264" s="81">
        <f ca="1">R253*(1+INDEX(R$35:R$37,MATCH(Work_Codes!$I$352,$D$35:$D$37,0)))</f>
        <v>0</v>
      </c>
      <c r="S264" s="81">
        <f ca="1">S253*(1+INDEX(S$35:S$37,MATCH(Work_Codes!$I$352,$D$35:$D$37,0)))</f>
        <v>0</v>
      </c>
      <c r="T264" s="81">
        <f ca="1">T253*(1+INDEX(T$35:T$37,MATCH(Work_Codes!$I$352,$D$35:$D$37,0)))</f>
        <v>0</v>
      </c>
    </row>
    <row r="265" spans="2:20" outlineLevel="2">
      <c r="E265" s="247" t="str">
        <f>GC!C82</f>
        <v>Other Assets</v>
      </c>
      <c r="F265" s="247"/>
      <c r="G265" s="247"/>
      <c r="H265" s="247"/>
      <c r="I265" s="247"/>
      <c r="J265" s="81">
        <f ca="1">J254*(1+INDEX(J$35:J$37,MATCH(Work_Codes!$I$352,$D$35:$D$37,0)))</f>
        <v>0</v>
      </c>
      <c r="K265" s="81">
        <f ca="1">K254*(1+INDEX(K$35:K$37,MATCH(Work_Codes!$I$352,$D$35:$D$37,0)))</f>
        <v>0</v>
      </c>
      <c r="L265" s="81">
        <f ca="1">L254*(1+INDEX(L$35:L$37,MATCH(Work_Codes!$I$352,$D$35:$D$37,0)))</f>
        <v>0</v>
      </c>
      <c r="M265" s="81">
        <f ca="1">M254*(1+INDEX(M$35:M$37,MATCH(Work_Codes!$I$352,$D$35:$D$37,0)))</f>
        <v>0</v>
      </c>
      <c r="N265" s="81">
        <f ca="1">N254*(1+INDEX(N$35:N$37,MATCH(Work_Codes!$I$352,$D$35:$D$37,0)))</f>
        <v>0</v>
      </c>
      <c r="O265" s="81">
        <f ca="1">O254*(1+INDEX(O$35:O$37,MATCH(Work_Codes!$I$352,$D$35:$D$37,0)))</f>
        <v>0</v>
      </c>
      <c r="P265" s="81">
        <f ca="1">P254*(1+INDEX(P$35:P$37,MATCH(Work_Codes!$I$352,$D$35:$D$37,0)))</f>
        <v>0</v>
      </c>
      <c r="Q265" s="81">
        <f ca="1">Q254*(1+INDEX(Q$35:Q$37,MATCH(Work_Codes!$I$352,$D$35:$D$37,0)))</f>
        <v>0</v>
      </c>
      <c r="R265" s="81">
        <f ca="1">R254*(1+INDEX(R$35:R$37,MATCH(Work_Codes!$I$352,$D$35:$D$37,0)))</f>
        <v>0</v>
      </c>
      <c r="S265" s="81">
        <f ca="1">S254*(1+INDEX(S$35:S$37,MATCH(Work_Codes!$I$352,$D$35:$D$37,0)))</f>
        <v>0</v>
      </c>
      <c r="T265" s="81">
        <f ca="1">T254*(1+INDEX(T$35:T$37,MATCH(Work_Codes!$I$352,$D$35:$D$37,0)))</f>
        <v>0</v>
      </c>
    </row>
    <row r="266" spans="2:20" outlineLevel="2">
      <c r="E266" s="247" t="str">
        <f>GC!C83</f>
        <v>Repairs</v>
      </c>
      <c r="F266" s="247"/>
      <c r="G266" s="247"/>
      <c r="H266" s="247"/>
      <c r="I266" s="247"/>
      <c r="J266" s="81">
        <f ca="1">J255*(1+INDEX(J$35:J$37,MATCH(Work_Codes!$I$352,$D$35:$D$37,0)))</f>
        <v>0</v>
      </c>
      <c r="K266" s="81">
        <f ca="1">K255*(1+INDEX(K$35:K$37,MATCH(Work_Codes!$I$352,$D$35:$D$37,0)))</f>
        <v>0</v>
      </c>
      <c r="L266" s="81">
        <f ca="1">L255*(1+INDEX(L$35:L$37,MATCH(Work_Codes!$I$352,$D$35:$D$37,0)))</f>
        <v>0</v>
      </c>
      <c r="M266" s="81">
        <f ca="1">M255*(1+INDEX(M$35:M$37,MATCH(Work_Codes!$I$352,$D$35:$D$37,0)))</f>
        <v>0</v>
      </c>
      <c r="N266" s="81">
        <f ca="1">N255*(1+INDEX(N$35:N$37,MATCH(Work_Codes!$I$352,$D$35:$D$37,0)))</f>
        <v>0</v>
      </c>
      <c r="O266" s="81">
        <f ca="1">O255*(1+INDEX(O$35:O$37,MATCH(Work_Codes!$I$352,$D$35:$D$37,0)))</f>
        <v>0</v>
      </c>
      <c r="P266" s="81">
        <f ca="1">P255*(1+INDEX(P$35:P$37,MATCH(Work_Codes!$I$352,$D$35:$D$37,0)))</f>
        <v>0</v>
      </c>
      <c r="Q266" s="81">
        <f ca="1">Q255*(1+INDEX(Q$35:Q$37,MATCH(Work_Codes!$I$352,$D$35:$D$37,0)))</f>
        <v>0</v>
      </c>
      <c r="R266" s="81">
        <f ca="1">R255*(1+INDEX(R$35:R$37,MATCH(Work_Codes!$I$352,$D$35:$D$37,0)))</f>
        <v>0</v>
      </c>
      <c r="S266" s="81">
        <f ca="1">S255*(1+INDEX(S$35:S$37,MATCH(Work_Codes!$I$352,$D$35:$D$37,0)))</f>
        <v>0</v>
      </c>
      <c r="T266" s="81">
        <f ca="1">T255*(1+INDEX(T$35:T$37,MATCH(Work_Codes!$I$352,$D$35:$D$37,0)))</f>
        <v>0</v>
      </c>
    </row>
    <row r="267" spans="2:20" outlineLevel="2">
      <c r="E267" s="247" t="str">
        <f>GC!C84</f>
        <v>Land</v>
      </c>
      <c r="F267" s="247"/>
      <c r="G267" s="247"/>
      <c r="H267" s="247"/>
      <c r="I267" s="247"/>
      <c r="J267" s="81">
        <f ca="1">J256*(1+INDEX(J$35:J$37,MATCH(Work_Codes!$I$352,$D$35:$D$37,0)))</f>
        <v>0</v>
      </c>
      <c r="K267" s="81">
        <f ca="1">K256*(1+INDEX(K$35:K$37,MATCH(Work_Codes!$I$352,$D$35:$D$37,0)))</f>
        <v>0</v>
      </c>
      <c r="L267" s="81">
        <f ca="1">L256*(1+INDEX(L$35:L$37,MATCH(Work_Codes!$I$352,$D$35:$D$37,0)))</f>
        <v>0</v>
      </c>
      <c r="M267" s="81">
        <f ca="1">M256*(1+INDEX(M$35:M$37,MATCH(Work_Codes!$I$352,$D$35:$D$37,0)))</f>
        <v>0</v>
      </c>
      <c r="N267" s="81">
        <f ca="1">N256*(1+INDEX(N$35:N$37,MATCH(Work_Codes!$I$352,$D$35:$D$37,0)))</f>
        <v>0</v>
      </c>
      <c r="O267" s="81">
        <f ca="1">O256*(1+INDEX(O$35:O$37,MATCH(Work_Codes!$I$352,$D$35:$D$37,0)))</f>
        <v>0</v>
      </c>
      <c r="P267" s="81">
        <f ca="1">P256*(1+INDEX(P$35:P$37,MATCH(Work_Codes!$I$352,$D$35:$D$37,0)))</f>
        <v>0</v>
      </c>
      <c r="Q267" s="81">
        <f ca="1">Q256*(1+INDEX(Q$35:Q$37,MATCH(Work_Codes!$I$352,$D$35:$D$37,0)))</f>
        <v>0</v>
      </c>
      <c r="R267" s="81">
        <f ca="1">R256*(1+INDEX(R$35:R$37,MATCH(Work_Codes!$I$352,$D$35:$D$37,0)))</f>
        <v>0</v>
      </c>
      <c r="S267" s="81">
        <f ca="1">S256*(1+INDEX(S$35:S$37,MATCH(Work_Codes!$I$352,$D$35:$D$37,0)))</f>
        <v>0</v>
      </c>
      <c r="T267" s="81">
        <f ca="1">T256*(1+INDEX(T$35:T$37,MATCH(Work_Codes!$I$352,$D$35:$D$37,0)))</f>
        <v>0</v>
      </c>
    </row>
    <row r="268" spans="2:20" outlineLevel="2">
      <c r="E268" s="249" t="str">
        <f>"Total "&amp;D259</f>
        <v>Total Direct Costs +  Overheads</v>
      </c>
      <c r="F268" s="249"/>
      <c r="G268" s="249"/>
      <c r="H268" s="249"/>
      <c r="I268" s="249"/>
      <c r="J268" s="82">
        <f t="shared" ref="J268:T268" ca="1" si="25">SUM(J261:J267)</f>
        <v>0</v>
      </c>
      <c r="K268" s="82">
        <f t="shared" ca="1" si="25"/>
        <v>0</v>
      </c>
      <c r="L268" s="82">
        <f t="shared" ca="1" si="25"/>
        <v>0</v>
      </c>
      <c r="M268" s="82">
        <f t="shared" ca="1" si="25"/>
        <v>0</v>
      </c>
      <c r="N268" s="82">
        <f t="shared" ca="1" si="25"/>
        <v>49496589.083257183</v>
      </c>
      <c r="O268" s="82">
        <f t="shared" ca="1" si="25"/>
        <v>20430422.381043483</v>
      </c>
      <c r="P268" s="82">
        <f t="shared" ca="1" si="25"/>
        <v>37318267.471586943</v>
      </c>
      <c r="Q268" s="82">
        <f t="shared" ca="1" si="25"/>
        <v>38469315.460625052</v>
      </c>
      <c r="R268" s="82">
        <f t="shared" ca="1" si="25"/>
        <v>39654929.10854511</v>
      </c>
      <c r="S268" s="82">
        <f t="shared" ca="1" si="25"/>
        <v>38764122.435494818</v>
      </c>
      <c r="T268" s="82">
        <f t="shared" ca="1" si="25"/>
        <v>37821857.10947673</v>
      </c>
    </row>
    <row r="269" spans="2:20" outlineLevel="1">
      <c r="B269" s="12"/>
      <c r="C269" s="12"/>
      <c r="D269" s="12"/>
      <c r="E269" s="12"/>
      <c r="F269" s="12"/>
      <c r="G269" s="12"/>
      <c r="H269" s="12"/>
      <c r="I269" s="12"/>
      <c r="J269" s="12"/>
      <c r="K269" s="12"/>
      <c r="L269" s="12"/>
      <c r="M269" s="12"/>
      <c r="N269" s="12"/>
      <c r="O269" s="12"/>
      <c r="P269" s="12"/>
      <c r="Q269" s="12"/>
      <c r="R269" s="12"/>
      <c r="S269" s="12"/>
      <c r="T269" s="12"/>
    </row>
    <row r="270" spans="2:20" outlineLevel="1"/>
    <row r="271" spans="2:20" outlineLevel="1">
      <c r="C271" s="37" t="s">
        <v>19</v>
      </c>
    </row>
    <row r="272" spans="2:20" ht="5.9" customHeight="1" outlineLevel="1"/>
    <row r="273" spans="2:20" outlineLevel="1">
      <c r="F273" s="51" t="str">
        <f>$B$23&amp;" Work Code v RAB Category Direct Check"</f>
        <v>3019 - Inputs Work Code v RAB Category Direct Check</v>
      </c>
      <c r="I273" s="130">
        <f ca="1">IF(ISERROR(SUM(J273:T273)),1,MIN(SUM(J273:T273),1))</f>
        <v>0</v>
      </c>
      <c r="J273" s="81">
        <f t="shared" ref="J273:T273" ca="1" si="26">J103-J126</f>
        <v>0</v>
      </c>
      <c r="K273" s="81">
        <f t="shared" ca="1" si="26"/>
        <v>0</v>
      </c>
      <c r="L273" s="81">
        <f t="shared" ca="1" si="26"/>
        <v>0</v>
      </c>
      <c r="M273" s="81">
        <f t="shared" ca="1" si="26"/>
        <v>0</v>
      </c>
      <c r="N273" s="81">
        <f t="shared" ca="1" si="26"/>
        <v>0</v>
      </c>
      <c r="O273" s="81">
        <f t="shared" ca="1" si="26"/>
        <v>0</v>
      </c>
      <c r="P273" s="81">
        <f t="shared" ca="1" si="26"/>
        <v>0</v>
      </c>
      <c r="Q273" s="81">
        <f t="shared" ca="1" si="26"/>
        <v>0</v>
      </c>
      <c r="R273" s="81">
        <f t="shared" ca="1" si="26"/>
        <v>0</v>
      </c>
      <c r="S273" s="81">
        <f t="shared" ca="1" si="26"/>
        <v>0</v>
      </c>
      <c r="T273" s="81">
        <f t="shared" ca="1" si="26"/>
        <v>0</v>
      </c>
    </row>
    <row r="274" spans="2:20" outlineLevel="1">
      <c r="F274" s="51" t="str">
        <f>$B$23&amp;" Work Code v RIN Category Direct Check"</f>
        <v>3019 - Inputs Work Code v RIN Category Direct Check</v>
      </c>
      <c r="I274" s="130">
        <f ca="1">IF(ISERROR(SUM(J274:T274)),1,MIN(SUM(J274:T274),1))</f>
        <v>0</v>
      </c>
      <c r="J274" s="81">
        <f t="shared" ref="J274:T274" ca="1" si="27">J103-J207</f>
        <v>0</v>
      </c>
      <c r="K274" s="81">
        <f t="shared" ca="1" si="27"/>
        <v>0</v>
      </c>
      <c r="L274" s="81">
        <f t="shared" ca="1" si="27"/>
        <v>0</v>
      </c>
      <c r="M274" s="81">
        <f t="shared" ca="1" si="27"/>
        <v>0</v>
      </c>
      <c r="N274" s="81">
        <f t="shared" ca="1" si="27"/>
        <v>0</v>
      </c>
      <c r="O274" s="81">
        <f t="shared" ca="1" si="27"/>
        <v>0</v>
      </c>
      <c r="P274" s="81">
        <f t="shared" ca="1" si="27"/>
        <v>0</v>
      </c>
      <c r="Q274" s="81">
        <f t="shared" ca="1" si="27"/>
        <v>0</v>
      </c>
      <c r="R274" s="81">
        <f t="shared" ca="1" si="27"/>
        <v>0</v>
      </c>
      <c r="S274" s="81">
        <f t="shared" ca="1" si="27"/>
        <v>0</v>
      </c>
      <c r="T274" s="81">
        <f t="shared" ca="1" si="27"/>
        <v>0</v>
      </c>
    </row>
    <row r="275" spans="2:20" outlineLevel="1">
      <c r="F275" s="51" t="str">
        <f>$B$23&amp;" Work Code v Tax Category Direct Check"</f>
        <v>3019 - Inputs Work Code v Tax Category Direct Check</v>
      </c>
      <c r="I275" s="130">
        <f ca="1">IF(ISERROR(SUM(J275:T275)),1,MIN(SUM(J275:T275),1))</f>
        <v>0</v>
      </c>
      <c r="J275" s="81">
        <f t="shared" ref="J275:T275" ca="1" si="28">J103-J257</f>
        <v>0</v>
      </c>
      <c r="K275" s="81">
        <f t="shared" ca="1" si="28"/>
        <v>0</v>
      </c>
      <c r="L275" s="81">
        <f t="shared" ca="1" si="28"/>
        <v>0</v>
      </c>
      <c r="M275" s="81">
        <f t="shared" ca="1" si="28"/>
        <v>0</v>
      </c>
      <c r="N275" s="81">
        <f t="shared" ca="1" si="28"/>
        <v>0</v>
      </c>
      <c r="O275" s="81">
        <f t="shared" ca="1" si="28"/>
        <v>0</v>
      </c>
      <c r="P275" s="81">
        <f t="shared" ca="1" si="28"/>
        <v>0</v>
      </c>
      <c r="Q275" s="81">
        <f t="shared" ca="1" si="28"/>
        <v>0</v>
      </c>
      <c r="R275" s="81">
        <f t="shared" ca="1" si="28"/>
        <v>0</v>
      </c>
      <c r="S275" s="81">
        <f t="shared" ca="1" si="28"/>
        <v>0</v>
      </c>
      <c r="T275" s="81">
        <f t="shared" ca="1" si="28"/>
        <v>0</v>
      </c>
    </row>
    <row r="276" spans="2:20" outlineLevel="1">
      <c r="F276" s="51" t="str">
        <f>$B$23&amp;" Customer Contributions v RAB Category Direct Check"</f>
        <v>3019 - Inputs Customer Contributions v RAB Category Direct Check</v>
      </c>
      <c r="I276" s="130">
        <f ca="1">IF(ISERROR(SUM(J276:T276)),1,MIN(SUM(J276:T276),1))</f>
        <v>0</v>
      </c>
      <c r="J276" s="81">
        <f t="shared" ref="J276:T276" ca="1" si="29">J72-J186</f>
        <v>0</v>
      </c>
      <c r="K276" s="81">
        <f t="shared" ca="1" si="29"/>
        <v>0</v>
      </c>
      <c r="L276" s="81">
        <f t="shared" ca="1" si="29"/>
        <v>0</v>
      </c>
      <c r="M276" s="81">
        <f t="shared" ca="1" si="29"/>
        <v>0</v>
      </c>
      <c r="N276" s="81">
        <f t="shared" ca="1" si="29"/>
        <v>0</v>
      </c>
      <c r="O276" s="81">
        <f t="shared" ca="1" si="29"/>
        <v>0</v>
      </c>
      <c r="P276" s="81">
        <f t="shared" ca="1" si="29"/>
        <v>0</v>
      </c>
      <c r="Q276" s="81">
        <f t="shared" ca="1" si="29"/>
        <v>0</v>
      </c>
      <c r="R276" s="81">
        <f t="shared" ca="1" si="29"/>
        <v>0</v>
      </c>
      <c r="S276" s="81">
        <f t="shared" ca="1" si="29"/>
        <v>0</v>
      </c>
      <c r="T276" s="81">
        <f t="shared" ca="1" si="29"/>
        <v>0</v>
      </c>
    </row>
    <row r="277" spans="2:20" ht="5.9" customHeight="1" outlineLevel="1"/>
    <row r="278" spans="2:20" outlineLevel="1">
      <c r="F278" s="51" t="str">
        <f>$B$23&amp;" RAB v RIN Direct + Overhead Check"</f>
        <v>3019 - Inputs RAB v RIN Direct + Overhead Check</v>
      </c>
      <c r="I278" s="130">
        <f ca="1">IF(ISERROR(SUM(J278:T278)),1,MIN(SUM(J278:T278),1))</f>
        <v>0</v>
      </c>
      <c r="J278" s="81">
        <f t="shared" ref="J278:T278" ca="1" si="30">J166-J225</f>
        <v>0</v>
      </c>
      <c r="K278" s="81">
        <f t="shared" ca="1" si="30"/>
        <v>0</v>
      </c>
      <c r="L278" s="81">
        <f t="shared" ca="1" si="30"/>
        <v>0</v>
      </c>
      <c r="M278" s="81">
        <f t="shared" ca="1" si="30"/>
        <v>0</v>
      </c>
      <c r="N278" s="81">
        <f t="shared" ca="1" si="30"/>
        <v>0</v>
      </c>
      <c r="O278" s="81">
        <f t="shared" ca="1" si="30"/>
        <v>0</v>
      </c>
      <c r="P278" s="81">
        <f t="shared" ca="1" si="30"/>
        <v>0</v>
      </c>
      <c r="Q278" s="81">
        <f t="shared" ca="1" si="30"/>
        <v>0</v>
      </c>
      <c r="R278" s="81">
        <f t="shared" ca="1" si="30"/>
        <v>0</v>
      </c>
      <c r="S278" s="81">
        <f t="shared" ca="1" si="30"/>
        <v>0</v>
      </c>
      <c r="T278" s="81">
        <f t="shared" ca="1" si="30"/>
        <v>0</v>
      </c>
    </row>
    <row r="279" spans="2:20" outlineLevel="1">
      <c r="F279" s="51" t="str">
        <f>$B$23&amp;" RAB v Tax Direct + Overhead Check"</f>
        <v>3019 - Inputs RAB v Tax Direct + Overhead Check</v>
      </c>
      <c r="I279" s="130">
        <f ca="1">IF(ISERROR(SUM(J279:T279)),1,MIN(SUM(J279:T279),1))</f>
        <v>0</v>
      </c>
      <c r="J279" s="81">
        <f t="shared" ref="J279:T279" ca="1" si="31">J166-J268</f>
        <v>0</v>
      </c>
      <c r="K279" s="81">
        <f t="shared" ca="1" si="31"/>
        <v>0</v>
      </c>
      <c r="L279" s="81">
        <f t="shared" ca="1" si="31"/>
        <v>0</v>
      </c>
      <c r="M279" s="81">
        <f t="shared" ca="1" si="31"/>
        <v>0</v>
      </c>
      <c r="N279" s="81">
        <f t="shared" ca="1" si="31"/>
        <v>0</v>
      </c>
      <c r="O279" s="81">
        <f t="shared" ca="1" si="31"/>
        <v>0</v>
      </c>
      <c r="P279" s="81">
        <f t="shared" ca="1" si="31"/>
        <v>0</v>
      </c>
      <c r="Q279" s="81">
        <f t="shared" ca="1" si="31"/>
        <v>0</v>
      </c>
      <c r="R279" s="81">
        <f t="shared" ca="1" si="31"/>
        <v>0</v>
      </c>
      <c r="S279" s="81">
        <f t="shared" ca="1" si="31"/>
        <v>0</v>
      </c>
      <c r="T279" s="81">
        <f t="shared" ca="1" si="31"/>
        <v>0</v>
      </c>
    </row>
    <row r="280" spans="2:20" ht="12" outlineLevel="1" thickBot="1">
      <c r="B280" s="94"/>
      <c r="C280" s="94"/>
      <c r="D280" s="94"/>
      <c r="E280" s="94"/>
      <c r="F280" s="94"/>
      <c r="G280" s="94"/>
      <c r="H280" s="94"/>
      <c r="I280" s="94"/>
      <c r="J280" s="94"/>
      <c r="K280" s="94"/>
      <c r="L280" s="94"/>
      <c r="M280" s="94"/>
      <c r="N280" s="94"/>
      <c r="O280" s="94"/>
      <c r="P280" s="94"/>
      <c r="Q280" s="94"/>
      <c r="R280" s="94"/>
      <c r="S280" s="94"/>
      <c r="T280" s="94"/>
    </row>
    <row r="282" spans="2:20" ht="14">
      <c r="B282" s="110" t="s">
        <v>264</v>
      </c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</row>
    <row r="283" spans="2:20" ht="5.9" customHeight="1"/>
    <row r="284" spans="2:20" ht="14">
      <c r="B284" s="56" t="str">
        <f>GC!F27</f>
        <v>Industrial &amp; Commercial Connections</v>
      </c>
    </row>
    <row r="285" spans="2:20" ht="5.9" customHeight="1" outlineLevel="1"/>
    <row r="286" spans="2:20" hidden="1" outlineLevel="2">
      <c r="C286" s="37" t="s">
        <v>204</v>
      </c>
    </row>
    <row r="287" spans="2:20" ht="5.9" hidden="1" customHeight="1" outlineLevel="2"/>
    <row r="288" spans="2:20" hidden="1" outlineLevel="2">
      <c r="D288" s="51" t="s">
        <v>103</v>
      </c>
      <c r="J288" s="92">
        <f>Rates!J42</f>
        <v>1</v>
      </c>
      <c r="K288" s="92">
        <f>Rates!K42</f>
        <v>1</v>
      </c>
      <c r="L288" s="92">
        <f>Rates!L42</f>
        <v>1</v>
      </c>
      <c r="M288" s="92">
        <f>Rates!M42</f>
        <v>1</v>
      </c>
      <c r="N288" s="92">
        <f>Rates!N42</f>
        <v>1</v>
      </c>
      <c r="O288" s="92">
        <f>Rates!O42</f>
        <v>1.0051959235721353</v>
      </c>
      <c r="P288" s="92">
        <f>Rates!P42</f>
        <v>1.0102301741405761</v>
      </c>
      <c r="Q288" s="92">
        <f>Rates!Q42</f>
        <v>1.0181072873442809</v>
      </c>
      <c r="R288" s="92">
        <f>Rates!R42</f>
        <v>1.0293150686557422</v>
      </c>
      <c r="S288" s="92">
        <f>Rates!S42</f>
        <v>1.040646230246951</v>
      </c>
      <c r="T288" s="92">
        <f>Rates!T42</f>
        <v>1.0521021303433229</v>
      </c>
    </row>
    <row r="289" spans="3:20" hidden="1" outlineLevel="2">
      <c r="D289" s="51" t="s">
        <v>104</v>
      </c>
      <c r="J289" s="92">
        <f>Rates!J43</f>
        <v>1</v>
      </c>
      <c r="K289" s="92">
        <f>Rates!K43</f>
        <v>1</v>
      </c>
      <c r="L289" s="92">
        <f>Rates!L43</f>
        <v>1</v>
      </c>
      <c r="M289" s="92">
        <f>Rates!M43</f>
        <v>1</v>
      </c>
      <c r="N289" s="92">
        <f>Rates!N43</f>
        <v>1</v>
      </c>
      <c r="O289" s="92">
        <f>Rates!O43</f>
        <v>1</v>
      </c>
      <c r="P289" s="92">
        <f>Rates!P43</f>
        <v>1</v>
      </c>
      <c r="Q289" s="92">
        <f>Rates!Q43</f>
        <v>1</v>
      </c>
      <c r="R289" s="92">
        <f>Rates!R43</f>
        <v>1</v>
      </c>
      <c r="S289" s="92">
        <f>Rates!S43</f>
        <v>1</v>
      </c>
      <c r="T289" s="92">
        <f>Rates!T43</f>
        <v>1</v>
      </c>
    </row>
    <row r="290" spans="3:20" hidden="1" outlineLevel="2">
      <c r="D290" s="51" t="s">
        <v>130</v>
      </c>
      <c r="J290" s="92">
        <f>Rates!J45</f>
        <v>1</v>
      </c>
      <c r="K290" s="92">
        <f>Rates!K45</f>
        <v>1</v>
      </c>
      <c r="L290" s="92">
        <f>Rates!L45</f>
        <v>1</v>
      </c>
      <c r="M290" s="92">
        <f>Rates!M45</f>
        <v>1</v>
      </c>
      <c r="N290" s="92">
        <f>Rates!N45</f>
        <v>1</v>
      </c>
      <c r="O290" s="92">
        <f>Rates!O45</f>
        <v>1</v>
      </c>
      <c r="P290" s="92">
        <f>Rates!P45</f>
        <v>1</v>
      </c>
      <c r="Q290" s="92">
        <f>Rates!Q45</f>
        <v>1</v>
      </c>
      <c r="R290" s="92">
        <f>Rates!R45</f>
        <v>1</v>
      </c>
      <c r="S290" s="92">
        <f>Rates!S45</f>
        <v>1</v>
      </c>
      <c r="T290" s="92">
        <f>Rates!T45</f>
        <v>1</v>
      </c>
    </row>
    <row r="291" spans="3:20" ht="5.9" hidden="1" customHeight="1" outlineLevel="2"/>
    <row r="292" spans="3:20" hidden="1" outlineLevel="2">
      <c r="C292" s="37" t="s">
        <v>105</v>
      </c>
    </row>
    <row r="293" spans="3:20" ht="5.9" hidden="1" customHeight="1" outlineLevel="2"/>
    <row r="294" spans="3:20" hidden="1" outlineLevel="2">
      <c r="D294" s="51" t="s">
        <v>106</v>
      </c>
      <c r="J294" s="100">
        <f>Rates!J50</f>
        <v>6.9591273870889495E-2</v>
      </c>
      <c r="K294" s="100">
        <f>Rates!K50</f>
        <v>7.3934468928182201E-2</v>
      </c>
      <c r="L294" s="100">
        <f>Rates!L50</f>
        <v>7.5085976469407303E-2</v>
      </c>
      <c r="M294" s="100">
        <f>Rates!M50</f>
        <v>8.0103391005934096E-2</v>
      </c>
      <c r="N294" s="100">
        <f>Rates!N50</f>
        <v>3.7711007382937055E-2</v>
      </c>
      <c r="O294" s="100">
        <f>Rates!O50</f>
        <v>3.3283969054706777E-2</v>
      </c>
      <c r="P294" s="100">
        <f>Rates!P50</f>
        <v>2.6752660513445464E-2</v>
      </c>
      <c r="Q294" s="100">
        <f>Rates!Q50</f>
        <v>2.6060587348993774E-2</v>
      </c>
      <c r="R294" s="100">
        <f>Rates!R50</f>
        <v>2.6873005987587139E-2</v>
      </c>
      <c r="S294" s="100">
        <f>Rates!S50</f>
        <v>2.8546178928104012E-2</v>
      </c>
      <c r="T294" s="100">
        <f>Rates!T50</f>
        <v>2.9920378203686534E-2</v>
      </c>
    </row>
    <row r="295" spans="3:20" hidden="1" outlineLevel="2">
      <c r="D295" s="51" t="s">
        <v>107</v>
      </c>
      <c r="J295" s="100">
        <f>Rates!J51</f>
        <v>5.5842732834613398E-2</v>
      </c>
      <c r="K295" s="100">
        <f>Rates!K51</f>
        <v>5.16564294790849E-2</v>
      </c>
      <c r="L295" s="100">
        <f>Rates!L51</f>
        <v>6.0535031919173997E-2</v>
      </c>
      <c r="M295" s="100">
        <f>Rates!M51</f>
        <v>7.1630695797579302E-2</v>
      </c>
      <c r="N295" s="100">
        <f>Rates!N51</f>
        <v>7.4343858126268231E-2</v>
      </c>
      <c r="O295" s="100">
        <f>Rates!O51</f>
        <v>7.4059082290758096E-2</v>
      </c>
      <c r="P295" s="100">
        <f>Rates!P51</f>
        <v>2.4388539961794877E-2</v>
      </c>
      <c r="Q295" s="100">
        <f>Rates!Q51</f>
        <v>2.1171310758207256E-2</v>
      </c>
      <c r="R295" s="100">
        <f>Rates!R51</f>
        <v>2.0024144075344485E-2</v>
      </c>
      <c r="S295" s="100">
        <f>Rates!S51</f>
        <v>3.9620009613577346E-2</v>
      </c>
      <c r="T295" s="100">
        <f>Rates!T51</f>
        <v>5.404914337922874E-2</v>
      </c>
    </row>
    <row r="296" spans="3:20" hidden="1" outlineLevel="2">
      <c r="D296" s="51" t="s">
        <v>108</v>
      </c>
      <c r="J296" s="100">
        <f>Rates!J52</f>
        <v>0</v>
      </c>
      <c r="K296" s="100">
        <f>Rates!K52</f>
        <v>0</v>
      </c>
      <c r="L296" s="100">
        <f>Rates!L52</f>
        <v>0</v>
      </c>
      <c r="M296" s="100">
        <f>Rates!M52</f>
        <v>0</v>
      </c>
      <c r="N296" s="100">
        <f>Rates!N52</f>
        <v>0</v>
      </c>
      <c r="O296" s="100">
        <f>Rates!O52</f>
        <v>0</v>
      </c>
      <c r="P296" s="100">
        <f>Rates!P52</f>
        <v>0</v>
      </c>
      <c r="Q296" s="100">
        <f>Rates!Q52</f>
        <v>0</v>
      </c>
      <c r="R296" s="100">
        <f>Rates!R52</f>
        <v>0</v>
      </c>
      <c r="S296" s="100">
        <f>Rates!S52</f>
        <v>0</v>
      </c>
      <c r="T296" s="100">
        <f>Rates!T52</f>
        <v>0</v>
      </c>
    </row>
    <row r="297" spans="3:20" outlineLevel="1" collapsed="1"/>
    <row r="298" spans="3:20" ht="5.9" customHeight="1" outlineLevel="1"/>
    <row r="299" spans="3:20" outlineLevel="1">
      <c r="C299" s="37" t="s">
        <v>118</v>
      </c>
    </row>
    <row r="300" spans="3:20" ht="5.9" customHeight="1" outlineLevel="1"/>
    <row r="301" spans="3:20" outlineLevel="1">
      <c r="D301" s="37" t="s">
        <v>160</v>
      </c>
      <c r="H301" s="107" t="s">
        <v>192</v>
      </c>
    </row>
    <row r="302" spans="3:20" ht="5.9" customHeight="1" outlineLevel="1"/>
    <row r="303" spans="3:20" outlineLevel="1">
      <c r="D303" s="102" t="str">
        <f>Work_Codes!D378</f>
        <v>Industrial &amp; Commercial Connections</v>
      </c>
      <c r="H303" s="63"/>
      <c r="J303" s="125"/>
      <c r="K303" s="125"/>
      <c r="L303" s="125"/>
      <c r="M303" s="125"/>
      <c r="N303" s="211"/>
      <c r="O303" s="212"/>
      <c r="P303" s="212"/>
      <c r="Q303" s="212"/>
      <c r="R303" s="212"/>
      <c r="S303" s="212"/>
      <c r="T303" s="212"/>
    </row>
    <row r="304" spans="3:20" outlineLevel="1">
      <c r="D304" s="102" t="str">
        <f>Work_Codes!D379</f>
        <v>Capex Items Category 2</v>
      </c>
      <c r="H304" s="63"/>
      <c r="J304" s="125"/>
      <c r="K304" s="125"/>
      <c r="L304" s="125"/>
      <c r="M304" s="125"/>
      <c r="N304" s="212"/>
      <c r="O304" s="212"/>
      <c r="P304" s="212"/>
      <c r="Q304" s="212"/>
      <c r="R304" s="212"/>
      <c r="S304" s="212"/>
      <c r="T304" s="212"/>
    </row>
    <row r="305" spans="3:20" outlineLevel="1">
      <c r="D305" s="105"/>
      <c r="H305" s="58"/>
      <c r="J305" s="66"/>
      <c r="K305" s="66"/>
      <c r="L305" s="66"/>
      <c r="M305" s="66"/>
      <c r="N305" s="66"/>
      <c r="O305" s="66"/>
      <c r="P305" s="66"/>
      <c r="Q305" s="66"/>
      <c r="R305" s="66"/>
      <c r="S305" s="66"/>
      <c r="T305" s="66"/>
    </row>
    <row r="306" spans="3:20" outlineLevel="1">
      <c r="C306" s="37" t="s">
        <v>119</v>
      </c>
    </row>
    <row r="307" spans="3:20" ht="5.9" customHeight="1" outlineLevel="1"/>
    <row r="308" spans="3:20" outlineLevel="1">
      <c r="D308" s="37" t="str">
        <f>D301</f>
        <v>Capex Category</v>
      </c>
    </row>
    <row r="309" spans="3:20" ht="5.9" customHeight="1" outlineLevel="1"/>
    <row r="310" spans="3:20" outlineLevel="1">
      <c r="D310" s="102" t="str">
        <f>Work_Codes!D378</f>
        <v>Industrial &amp; Commercial Connections</v>
      </c>
      <c r="J310" s="163"/>
      <c r="K310" s="163"/>
      <c r="L310" s="163"/>
      <c r="M310" s="163"/>
      <c r="N310" s="213"/>
      <c r="O310" s="213"/>
      <c r="P310" s="213"/>
      <c r="Q310" s="213"/>
      <c r="R310" s="213"/>
      <c r="S310" s="213"/>
      <c r="T310" s="213"/>
    </row>
    <row r="311" spans="3:20" outlineLevel="1">
      <c r="D311" s="102" t="str">
        <f>Work_Codes!D379</f>
        <v>Capex Items Category 2</v>
      </c>
      <c r="J311" s="163"/>
      <c r="K311" s="163"/>
      <c r="L311" s="163"/>
      <c r="M311" s="163"/>
      <c r="N311" s="213"/>
      <c r="O311" s="213"/>
      <c r="P311" s="213"/>
      <c r="Q311" s="213"/>
      <c r="R311" s="213"/>
      <c r="S311" s="213"/>
      <c r="T311" s="213"/>
    </row>
    <row r="312" spans="3:20" outlineLevel="1"/>
    <row r="313" spans="3:20" outlineLevel="1">
      <c r="C313" s="37" t="s">
        <v>193</v>
      </c>
    </row>
    <row r="314" spans="3:20" ht="5.9" customHeight="1" outlineLevel="1"/>
    <row r="315" spans="3:20" outlineLevel="1">
      <c r="D315" s="37" t="str">
        <f>D301</f>
        <v>Capex Category</v>
      </c>
    </row>
    <row r="316" spans="3:20" ht="5.9" customHeight="1" outlineLevel="1"/>
    <row r="317" spans="3:20" outlineLevel="1">
      <c r="D317" s="102" t="str">
        <f>Work_Codes!D378</f>
        <v>Industrial &amp; Commercial Connections</v>
      </c>
      <c r="J317" s="81">
        <v>0</v>
      </c>
      <c r="K317" s="81">
        <v>0</v>
      </c>
      <c r="L317" s="81">
        <v>0</v>
      </c>
      <c r="M317" s="81">
        <v>0</v>
      </c>
      <c r="N317" s="81">
        <v>2699784.4687852166</v>
      </c>
      <c r="O317" s="81">
        <v>3577586.61</v>
      </c>
      <c r="P317" s="81">
        <v>4808330.7</v>
      </c>
      <c r="Q317" s="81">
        <v>4896418.38</v>
      </c>
      <c r="R317" s="81">
        <v>4982616.4000000004</v>
      </c>
      <c r="S317" s="81">
        <v>4916719.18</v>
      </c>
      <c r="T317" s="81">
        <v>4848055.43</v>
      </c>
    </row>
    <row r="318" spans="3:20" outlineLevel="1">
      <c r="D318" s="102" t="str">
        <f>Work_Codes!D379</f>
        <v>Capex Items Category 2</v>
      </c>
      <c r="J318" s="81">
        <v>0</v>
      </c>
      <c r="K318" s="81">
        <v>0</v>
      </c>
      <c r="L318" s="81">
        <v>0</v>
      </c>
      <c r="M318" s="81">
        <v>0</v>
      </c>
      <c r="N318" s="81">
        <v>0</v>
      </c>
      <c r="O318" s="81">
        <v>0</v>
      </c>
      <c r="P318" s="81">
        <v>0</v>
      </c>
      <c r="Q318" s="81">
        <v>0</v>
      </c>
      <c r="R318" s="81">
        <v>0</v>
      </c>
      <c r="S318" s="81">
        <v>0</v>
      </c>
      <c r="T318" s="81">
        <v>0</v>
      </c>
    </row>
    <row r="319" spans="3:20" ht="5.9" customHeight="1" outlineLevel="1">
      <c r="D319" s="37"/>
      <c r="J319" s="78"/>
      <c r="K319" s="78"/>
      <c r="L319" s="78"/>
      <c r="M319" s="78"/>
      <c r="N319" s="78"/>
      <c r="O319" s="78"/>
      <c r="P319" s="78"/>
      <c r="Q319" s="78"/>
      <c r="R319" s="78"/>
      <c r="S319" s="78"/>
      <c r="T319" s="78"/>
    </row>
    <row r="320" spans="3:20" outlineLevel="1">
      <c r="D320" s="249" t="str">
        <f>"Total "&amp;B284</f>
        <v>Total Industrial &amp; Commercial Connections</v>
      </c>
      <c r="E320" s="249"/>
      <c r="F320" s="249"/>
      <c r="G320" s="249"/>
      <c r="H320" s="249"/>
      <c r="I320" s="249"/>
      <c r="J320" s="82">
        <f t="shared" ref="J320:T320" si="32">SUM(J317:J319)</f>
        <v>0</v>
      </c>
      <c r="K320" s="82">
        <f t="shared" si="32"/>
        <v>0</v>
      </c>
      <c r="L320" s="82">
        <f t="shared" si="32"/>
        <v>0</v>
      </c>
      <c r="M320" s="82">
        <f t="shared" si="32"/>
        <v>0</v>
      </c>
      <c r="N320" s="82">
        <f t="shared" si="32"/>
        <v>2699784.4687852166</v>
      </c>
      <c r="O320" s="82">
        <f t="shared" si="32"/>
        <v>3577586.61</v>
      </c>
      <c r="P320" s="82">
        <f t="shared" si="32"/>
        <v>4808330.7</v>
      </c>
      <c r="Q320" s="82">
        <f t="shared" si="32"/>
        <v>4896418.38</v>
      </c>
      <c r="R320" s="82">
        <f t="shared" si="32"/>
        <v>4982616.4000000004</v>
      </c>
      <c r="S320" s="82">
        <f t="shared" si="32"/>
        <v>4916719.18</v>
      </c>
      <c r="T320" s="82">
        <f t="shared" si="32"/>
        <v>4848055.43</v>
      </c>
    </row>
    <row r="321" spans="3:20" outlineLevel="1"/>
    <row r="322" spans="3:20" outlineLevel="1">
      <c r="C322" s="37" t="s">
        <v>286</v>
      </c>
    </row>
    <row r="323" spans="3:20" ht="5.9" customHeight="1" outlineLevel="1"/>
    <row r="324" spans="3:20" outlineLevel="1">
      <c r="D324" s="143" t="str">
        <f>Work_Codes!D383</f>
        <v>Shippers: Industrial &amp; Commercial FY21-</v>
      </c>
      <c r="J324" s="148">
        <v>0</v>
      </c>
      <c r="K324" s="148">
        <v>0</v>
      </c>
      <c r="L324" s="148">
        <v>0</v>
      </c>
      <c r="M324" s="148">
        <v>0</v>
      </c>
      <c r="N324" s="148">
        <v>-1503488.9465599998</v>
      </c>
      <c r="O324" s="185">
        <f>P324/2</f>
        <v>-535097.73</v>
      </c>
      <c r="P324" s="148">
        <v>-1070195.46</v>
      </c>
      <c r="Q324" s="148">
        <v>-1085155.46</v>
      </c>
      <c r="R324" s="148">
        <v>-1099823.3</v>
      </c>
      <c r="S324" s="148">
        <v>-1089588.6399999999</v>
      </c>
      <c r="T324" s="148">
        <v>-1078883.25</v>
      </c>
    </row>
    <row r="325" spans="3:20" outlineLevel="1">
      <c r="D325" s="143" t="str">
        <f>Work_Codes!D384</f>
        <v>Shippers: Industrial and Commercial</v>
      </c>
      <c r="J325" s="148">
        <v>0</v>
      </c>
      <c r="K325" s="148">
        <v>0</v>
      </c>
      <c r="L325" s="148">
        <v>0</v>
      </c>
      <c r="M325" s="148">
        <v>0</v>
      </c>
      <c r="N325" s="148">
        <v>0</v>
      </c>
      <c r="O325" s="148">
        <v>0</v>
      </c>
      <c r="P325" s="148">
        <v>0</v>
      </c>
      <c r="Q325" s="148">
        <v>0</v>
      </c>
      <c r="R325" s="148">
        <v>0</v>
      </c>
      <c r="S325" s="148">
        <v>0</v>
      </c>
      <c r="T325" s="148">
        <v>0</v>
      </c>
    </row>
    <row r="326" spans="3:20" outlineLevel="1">
      <c r="D326" s="143" t="str">
        <f>Work_Codes!D385</f>
        <v>New Estates I&amp;C</v>
      </c>
      <c r="J326" s="148">
        <v>0</v>
      </c>
      <c r="K326" s="148">
        <v>0</v>
      </c>
      <c r="L326" s="148">
        <v>0</v>
      </c>
      <c r="M326" s="148">
        <v>0</v>
      </c>
      <c r="N326" s="148">
        <v>-439682.0074</v>
      </c>
      <c r="O326" s="148">
        <f>P326/2</f>
        <v>-269797.17499999999</v>
      </c>
      <c r="P326" s="148">
        <v>-539594.35</v>
      </c>
      <c r="Q326" s="148">
        <v>-547137.21</v>
      </c>
      <c r="R326" s="148">
        <v>-554532.76</v>
      </c>
      <c r="S326" s="148">
        <v>-549372.42000000004</v>
      </c>
      <c r="T326" s="148">
        <v>-543974.75</v>
      </c>
    </row>
    <row r="327" spans="3:20" outlineLevel="1">
      <c r="D327" s="143" t="str">
        <f>Work_Codes!D386</f>
        <v>New Estates - Industrial &amp; Commercial</v>
      </c>
      <c r="J327" s="148">
        <v>0</v>
      </c>
      <c r="K327" s="148">
        <v>0</v>
      </c>
      <c r="L327" s="148">
        <v>0</v>
      </c>
      <c r="M327" s="148">
        <v>0</v>
      </c>
      <c r="N327" s="148">
        <v>0</v>
      </c>
      <c r="O327" s="148">
        <v>0</v>
      </c>
      <c r="P327" s="148">
        <v>0</v>
      </c>
      <c r="Q327" s="148">
        <v>0</v>
      </c>
      <c r="R327" s="148">
        <v>0</v>
      </c>
      <c r="S327" s="148">
        <v>0</v>
      </c>
      <c r="T327" s="148">
        <v>0</v>
      </c>
    </row>
    <row r="328" spans="3:20" ht="5.9" customHeight="1" outlineLevel="1"/>
    <row r="329" spans="3:20" outlineLevel="1">
      <c r="D329" s="249" t="str">
        <f>"Total "&amp;C322</f>
        <v>Total Customer Connections</v>
      </c>
      <c r="E329" s="249"/>
      <c r="F329" s="249"/>
      <c r="G329" s="249"/>
      <c r="H329" s="249"/>
      <c r="I329" s="249"/>
      <c r="J329" s="82">
        <f t="shared" ref="J329:T329" si="33">SUM(J324:J328)</f>
        <v>0</v>
      </c>
      <c r="K329" s="82">
        <f t="shared" si="33"/>
        <v>0</v>
      </c>
      <c r="L329" s="82">
        <f t="shared" si="33"/>
        <v>0</v>
      </c>
      <c r="M329" s="82">
        <f t="shared" si="33"/>
        <v>0</v>
      </c>
      <c r="N329" s="82">
        <f t="shared" si="33"/>
        <v>-1943170.9539599998</v>
      </c>
      <c r="O329" s="82">
        <f t="shared" si="33"/>
        <v>-804894.90500000003</v>
      </c>
      <c r="P329" s="82">
        <f t="shared" si="33"/>
        <v>-1609789.81</v>
      </c>
      <c r="Q329" s="82">
        <f t="shared" si="33"/>
        <v>-1632292.67</v>
      </c>
      <c r="R329" s="82">
        <f t="shared" si="33"/>
        <v>-1654356.06</v>
      </c>
      <c r="S329" s="82">
        <f t="shared" si="33"/>
        <v>-1638961.06</v>
      </c>
      <c r="T329" s="82">
        <f t="shared" si="33"/>
        <v>-1622858</v>
      </c>
    </row>
    <row r="330" spans="3:20" outlineLevel="1">
      <c r="C330" s="12"/>
      <c r="D330" s="12"/>
      <c r="E330" s="12"/>
      <c r="F330" s="12"/>
      <c r="G330" s="12"/>
      <c r="H330" s="12"/>
      <c r="I330" s="12"/>
      <c r="J330" s="12"/>
      <c r="K330" s="12"/>
      <c r="L330" s="12"/>
      <c r="M330" s="12"/>
      <c r="N330" s="12"/>
      <c r="O330" s="12"/>
      <c r="P330" s="12"/>
      <c r="Q330" s="12"/>
      <c r="R330" s="12"/>
      <c r="S330" s="12"/>
      <c r="T330" s="12"/>
    </row>
    <row r="331" spans="3:20" outlineLevel="1"/>
    <row r="332" spans="3:20" outlineLevel="1">
      <c r="C332" s="37" t="s">
        <v>213</v>
      </c>
    </row>
    <row r="333" spans="3:20" ht="5.9" hidden="1" customHeight="1" outlineLevel="2"/>
    <row r="334" spans="3:20" hidden="1" outlineLevel="2">
      <c r="C334" s="37" t="s">
        <v>128</v>
      </c>
    </row>
    <row r="335" spans="3:20" ht="5.9" hidden="1" customHeight="1" outlineLevel="2"/>
    <row r="336" spans="3:20" hidden="1" outlineLevel="2">
      <c r="D336" s="102" t="str">
        <f>Work_Codes!D378</f>
        <v>Industrial &amp; Commercial Connections</v>
      </c>
      <c r="J336" s="81">
        <f>Work_Codes!$I378*J317*J$288</f>
        <v>0</v>
      </c>
      <c r="K336" s="81">
        <f>Work_Codes!$I378*K317*K$288</f>
        <v>0</v>
      </c>
      <c r="L336" s="81">
        <f>Work_Codes!$I378*L317*L$288</f>
        <v>0</v>
      </c>
      <c r="M336" s="81">
        <f>Work_Codes!$I378*M317*M$288</f>
        <v>0</v>
      </c>
      <c r="N336" s="81">
        <f>Work_Codes!$I378*N317*N$288</f>
        <v>107991.37875140866</v>
      </c>
      <c r="O336" s="81">
        <f>Work_Codes!$I378*O317*O$288</f>
        <v>143847.01906393017</v>
      </c>
      <c r="P336" s="81">
        <f>Work_Codes!$I378*P317*P$288</f>
        <v>194300.83041545915</v>
      </c>
      <c r="Q336" s="81">
        <f>Work_Codes!$I378*Q317*Q$288</f>
        <v>199403.16938257913</v>
      </c>
      <c r="R336" s="81">
        <f>Work_Codes!$I378*R317*R$288</f>
        <v>205147.28567404908</v>
      </c>
      <c r="S336" s="81">
        <f>Work_Codes!$I378*S317*S$288</f>
        <v>204662.61119399522</v>
      </c>
      <c r="T336" s="81">
        <f>Work_Codes!$I378*T317*T$288</f>
        <v>204025.97783702056</v>
      </c>
    </row>
    <row r="337" spans="3:20" hidden="1" outlineLevel="2">
      <c r="D337" s="102" t="str">
        <f>Work_Codes!D379</f>
        <v>Capex Items Category 2</v>
      </c>
      <c r="J337" s="81">
        <f>Work_Codes!$I379*J318*J$288</f>
        <v>0</v>
      </c>
      <c r="K337" s="81">
        <f>Work_Codes!$I379*K318*K$288</f>
        <v>0</v>
      </c>
      <c r="L337" s="81">
        <f>Work_Codes!$I379*L318*L$288</f>
        <v>0</v>
      </c>
      <c r="M337" s="81">
        <f>Work_Codes!$I379*M318*M$288</f>
        <v>0</v>
      </c>
      <c r="N337" s="81">
        <f>Work_Codes!$I379*N318*N$288</f>
        <v>0</v>
      </c>
      <c r="O337" s="81">
        <f>Work_Codes!$I379*O318*O$288</f>
        <v>0</v>
      </c>
      <c r="P337" s="81">
        <f>Work_Codes!$I379*P318*P$288</f>
        <v>0</v>
      </c>
      <c r="Q337" s="81">
        <f>Work_Codes!$I379*Q318*Q$288</f>
        <v>0</v>
      </c>
      <c r="R337" s="81">
        <f>Work_Codes!$I379*R318*R$288</f>
        <v>0</v>
      </c>
      <c r="S337" s="81">
        <f>Work_Codes!$I379*S318*S$288</f>
        <v>0</v>
      </c>
      <c r="T337" s="81">
        <f>Work_Codes!$I379*T318*T$288</f>
        <v>0</v>
      </c>
    </row>
    <row r="338" spans="3:20" ht="5.9" hidden="1" customHeight="1" outlineLevel="2"/>
    <row r="339" spans="3:20" hidden="1" outlineLevel="2">
      <c r="D339" s="249" t="str">
        <f>"Total "&amp;C334</f>
        <v>Total Internal Labour</v>
      </c>
      <c r="E339" s="249"/>
      <c r="F339" s="249"/>
      <c r="G339" s="249"/>
      <c r="H339" s="249"/>
      <c r="I339" s="249"/>
      <c r="J339" s="82">
        <f t="shared" ref="J339:T339" si="34">SUM(J336:J338)</f>
        <v>0</v>
      </c>
      <c r="K339" s="82">
        <f t="shared" si="34"/>
        <v>0</v>
      </c>
      <c r="L339" s="82">
        <f t="shared" si="34"/>
        <v>0</v>
      </c>
      <c r="M339" s="82">
        <f t="shared" si="34"/>
        <v>0</v>
      </c>
      <c r="N339" s="82">
        <f t="shared" si="34"/>
        <v>107991.37875140866</v>
      </c>
      <c r="O339" s="82">
        <f t="shared" si="34"/>
        <v>143847.01906393017</v>
      </c>
      <c r="P339" s="82">
        <f t="shared" si="34"/>
        <v>194300.83041545915</v>
      </c>
      <c r="Q339" s="82">
        <f t="shared" si="34"/>
        <v>199403.16938257913</v>
      </c>
      <c r="R339" s="82">
        <f t="shared" si="34"/>
        <v>205147.28567404908</v>
      </c>
      <c r="S339" s="82">
        <f t="shared" si="34"/>
        <v>204662.61119399522</v>
      </c>
      <c r="T339" s="82">
        <f t="shared" si="34"/>
        <v>204025.97783702056</v>
      </c>
    </row>
    <row r="340" spans="3:20" hidden="1" outlineLevel="2"/>
    <row r="341" spans="3:20" hidden="1" outlineLevel="2">
      <c r="C341" s="37" t="s">
        <v>129</v>
      </c>
    </row>
    <row r="342" spans="3:20" ht="5.9" hidden="1" customHeight="1" outlineLevel="2"/>
    <row r="343" spans="3:20" hidden="1" outlineLevel="2">
      <c r="D343" s="102" t="str">
        <f>Work_Codes!D378</f>
        <v>Industrial &amp; Commercial Connections</v>
      </c>
      <c r="J343" s="81">
        <f>Work_Codes!$J378*J317*J$289</f>
        <v>0</v>
      </c>
      <c r="K343" s="81">
        <f>Work_Codes!$J378*K317*K$289</f>
        <v>0</v>
      </c>
      <c r="L343" s="81">
        <f>Work_Codes!$J378*L317*L$289</f>
        <v>0</v>
      </c>
      <c r="M343" s="81">
        <f>Work_Codes!$J378*M317*M$289</f>
        <v>0</v>
      </c>
      <c r="N343" s="81">
        <f>Work_Codes!$J378*N317*N$289</f>
        <v>2051836.1962767646</v>
      </c>
      <c r="O343" s="81">
        <f>Work_Codes!$J378*O317*O$289</f>
        <v>2718965.8235999998</v>
      </c>
      <c r="P343" s="81">
        <f>Work_Codes!$J378*P317*P$289</f>
        <v>3654331.3320000004</v>
      </c>
      <c r="Q343" s="81">
        <f>Work_Codes!$J378*Q317*Q$289</f>
        <v>3721277.9687999999</v>
      </c>
      <c r="R343" s="81">
        <f>Work_Codes!$J378*R317*R$289</f>
        <v>3786788.4640000002</v>
      </c>
      <c r="S343" s="81">
        <f>Work_Codes!$J378*S317*S$289</f>
        <v>3736706.5767999999</v>
      </c>
      <c r="T343" s="81">
        <f>Work_Codes!$J378*T317*T$289</f>
        <v>3684522.1267999997</v>
      </c>
    </row>
    <row r="344" spans="3:20" hidden="1" outlineLevel="2">
      <c r="D344" s="102" t="str">
        <f>Work_Codes!D379</f>
        <v>Capex Items Category 2</v>
      </c>
      <c r="J344" s="81">
        <f>Work_Codes!$J379*J318*J$289</f>
        <v>0</v>
      </c>
      <c r="K344" s="81">
        <f>Work_Codes!$J379*K318*K$289</f>
        <v>0</v>
      </c>
      <c r="L344" s="81">
        <f>Work_Codes!$J379*L318*L$289</f>
        <v>0</v>
      </c>
      <c r="M344" s="81">
        <f>Work_Codes!$J379*M318*M$289</f>
        <v>0</v>
      </c>
      <c r="N344" s="81">
        <f>Work_Codes!$J379*N318*N$289</f>
        <v>0</v>
      </c>
      <c r="O344" s="81">
        <f>Work_Codes!$J379*O318*O$289</f>
        <v>0</v>
      </c>
      <c r="P344" s="81">
        <f>Work_Codes!$J379*P318*P$289</f>
        <v>0</v>
      </c>
      <c r="Q344" s="81">
        <f>Work_Codes!$J379*Q318*Q$289</f>
        <v>0</v>
      </c>
      <c r="R344" s="81">
        <f>Work_Codes!$J379*R318*R$289</f>
        <v>0</v>
      </c>
      <c r="S344" s="81">
        <f>Work_Codes!$J379*S318*S$289</f>
        <v>0</v>
      </c>
      <c r="T344" s="81">
        <f>Work_Codes!$J379*T318*T$289</f>
        <v>0</v>
      </c>
    </row>
    <row r="345" spans="3:20" ht="5.9" hidden="1" customHeight="1" outlineLevel="2"/>
    <row r="346" spans="3:20" hidden="1" outlineLevel="2">
      <c r="D346" s="249" t="str">
        <f>"Total "&amp;C341</f>
        <v>Total External Labour</v>
      </c>
      <c r="E346" s="249"/>
      <c r="F346" s="249"/>
      <c r="G346" s="249"/>
      <c r="H346" s="249"/>
      <c r="I346" s="249"/>
      <c r="J346" s="82">
        <f t="shared" ref="J346:T346" si="35">SUM(J343:J345)</f>
        <v>0</v>
      </c>
      <c r="K346" s="82">
        <f t="shared" si="35"/>
        <v>0</v>
      </c>
      <c r="L346" s="82">
        <f t="shared" si="35"/>
        <v>0</v>
      </c>
      <c r="M346" s="82">
        <f t="shared" si="35"/>
        <v>0</v>
      </c>
      <c r="N346" s="82">
        <f t="shared" si="35"/>
        <v>2051836.1962767646</v>
      </c>
      <c r="O346" s="82">
        <f t="shared" si="35"/>
        <v>2718965.8235999998</v>
      </c>
      <c r="P346" s="82">
        <f t="shared" si="35"/>
        <v>3654331.3320000004</v>
      </c>
      <c r="Q346" s="82">
        <f t="shared" si="35"/>
        <v>3721277.9687999999</v>
      </c>
      <c r="R346" s="82">
        <f t="shared" si="35"/>
        <v>3786788.4640000002</v>
      </c>
      <c r="S346" s="82">
        <f t="shared" si="35"/>
        <v>3736706.5767999999</v>
      </c>
      <c r="T346" s="82">
        <f t="shared" si="35"/>
        <v>3684522.1267999997</v>
      </c>
    </row>
    <row r="347" spans="3:20" hidden="1" outlineLevel="2"/>
    <row r="348" spans="3:20" hidden="1" outlineLevel="2">
      <c r="C348" s="37" t="s">
        <v>130</v>
      </c>
    </row>
    <row r="349" spans="3:20" ht="5.9" hidden="1" customHeight="1" outlineLevel="2"/>
    <row r="350" spans="3:20" hidden="1" outlineLevel="2">
      <c r="D350" s="102" t="str">
        <f>Work_Codes!D378</f>
        <v>Industrial &amp; Commercial Connections</v>
      </c>
      <c r="J350" s="81">
        <f>Work_Codes!$K378*J317*J$290</f>
        <v>0</v>
      </c>
      <c r="K350" s="81">
        <f>Work_Codes!$K378*K317*K$290</f>
        <v>0</v>
      </c>
      <c r="L350" s="81">
        <f>Work_Codes!$K378*L317*L$290</f>
        <v>0</v>
      </c>
      <c r="M350" s="81">
        <f>Work_Codes!$K378*M317*M$290</f>
        <v>0</v>
      </c>
      <c r="N350" s="81">
        <f>Work_Codes!$K378*N317*N$290</f>
        <v>539956.89375704317</v>
      </c>
      <c r="O350" s="81">
        <f>Work_Codes!$K378*O317*O$290</f>
        <v>715517.32199999981</v>
      </c>
      <c r="P350" s="81">
        <f>Work_Codes!$K378*P317*P$290</f>
        <v>961666.13999999978</v>
      </c>
      <c r="Q350" s="81">
        <f>Work_Codes!$K378*Q317*Q$290</f>
        <v>979283.67599999974</v>
      </c>
      <c r="R350" s="81">
        <f>Work_Codes!$K378*R317*R$290</f>
        <v>996523.2799999998</v>
      </c>
      <c r="S350" s="81">
        <f>Work_Codes!$K378*S317*S$290</f>
        <v>983343.83599999978</v>
      </c>
      <c r="T350" s="81">
        <f>Work_Codes!$K378*T317*T$290</f>
        <v>969611.08599999978</v>
      </c>
    </row>
    <row r="351" spans="3:20" hidden="1" outlineLevel="2">
      <c r="D351" s="102" t="str">
        <f>Work_Codes!D379</f>
        <v>Capex Items Category 2</v>
      </c>
      <c r="J351" s="81">
        <f>Work_Codes!$K379*J318*J$290</f>
        <v>0</v>
      </c>
      <c r="K351" s="81">
        <f>Work_Codes!$K379*K318*K$290</f>
        <v>0</v>
      </c>
      <c r="L351" s="81">
        <f>Work_Codes!$K379*L318*L$290</f>
        <v>0</v>
      </c>
      <c r="M351" s="81">
        <f>Work_Codes!$K379*M318*M$290</f>
        <v>0</v>
      </c>
      <c r="N351" s="81">
        <f>Work_Codes!$K379*N318*N$290</f>
        <v>0</v>
      </c>
      <c r="O351" s="81">
        <f>Work_Codes!$K379*O318*O$290</f>
        <v>0</v>
      </c>
      <c r="P351" s="81">
        <f>Work_Codes!$K379*P318*P$290</f>
        <v>0</v>
      </c>
      <c r="Q351" s="81">
        <f>Work_Codes!$K379*Q318*Q$290</f>
        <v>0</v>
      </c>
      <c r="R351" s="81">
        <f>Work_Codes!$K379*R318*R$290</f>
        <v>0</v>
      </c>
      <c r="S351" s="81">
        <f>Work_Codes!$K379*S318*S$290</f>
        <v>0</v>
      </c>
      <c r="T351" s="81">
        <f>Work_Codes!$K379*T318*T$290</f>
        <v>0</v>
      </c>
    </row>
    <row r="352" spans="3:20" ht="5.9" hidden="1" customHeight="1" outlineLevel="2"/>
    <row r="353" spans="2:20" hidden="1" outlineLevel="2">
      <c r="D353" s="249" t="str">
        <f>"Total "&amp;C348</f>
        <v>Total Materials</v>
      </c>
      <c r="E353" s="249"/>
      <c r="F353" s="249"/>
      <c r="G353" s="249"/>
      <c r="H353" s="249"/>
      <c r="I353" s="249"/>
      <c r="J353" s="82">
        <f t="shared" ref="J353:T353" si="36">SUM(J350:J352)</f>
        <v>0</v>
      </c>
      <c r="K353" s="82">
        <f t="shared" si="36"/>
        <v>0</v>
      </c>
      <c r="L353" s="82">
        <f t="shared" si="36"/>
        <v>0</v>
      </c>
      <c r="M353" s="82">
        <f t="shared" si="36"/>
        <v>0</v>
      </c>
      <c r="N353" s="82">
        <f t="shared" si="36"/>
        <v>539956.89375704317</v>
      </c>
      <c r="O353" s="82">
        <f t="shared" si="36"/>
        <v>715517.32199999981</v>
      </c>
      <c r="P353" s="82">
        <f t="shared" si="36"/>
        <v>961666.13999999978</v>
      </c>
      <c r="Q353" s="82">
        <f t="shared" si="36"/>
        <v>979283.67599999974</v>
      </c>
      <c r="R353" s="82">
        <f t="shared" si="36"/>
        <v>996523.2799999998</v>
      </c>
      <c r="S353" s="82">
        <f t="shared" si="36"/>
        <v>983343.83599999978</v>
      </c>
      <c r="T353" s="82">
        <f t="shared" si="36"/>
        <v>969611.08599999978</v>
      </c>
    </row>
    <row r="354" spans="2:20" outlineLevel="1" collapsed="1"/>
    <row r="355" spans="2:20" outlineLevel="1">
      <c r="C355" s="37" t="s">
        <v>217</v>
      </c>
    </row>
    <row r="356" spans="2:20" ht="5.9" customHeight="1" outlineLevel="1"/>
    <row r="357" spans="2:20" outlineLevel="1">
      <c r="D357" s="102" t="str">
        <f>Work_Codes!D378</f>
        <v>Industrial &amp; Commercial Connections</v>
      </c>
      <c r="J357" s="81">
        <f t="shared" ref="J357:T357" si="37">J336+J343+J350</f>
        <v>0</v>
      </c>
      <c r="K357" s="81">
        <f t="shared" si="37"/>
        <v>0</v>
      </c>
      <c r="L357" s="81">
        <f t="shared" si="37"/>
        <v>0</v>
      </c>
      <c r="M357" s="81">
        <f t="shared" si="37"/>
        <v>0</v>
      </c>
      <c r="N357" s="81">
        <f t="shared" si="37"/>
        <v>2699784.4687852161</v>
      </c>
      <c r="O357" s="81">
        <f t="shared" si="37"/>
        <v>3578330.1646639295</v>
      </c>
      <c r="P357" s="81">
        <f t="shared" si="37"/>
        <v>4810298.3024154594</v>
      </c>
      <c r="Q357" s="81">
        <f t="shared" si="37"/>
        <v>4899964.8141825786</v>
      </c>
      <c r="R357" s="81">
        <f t="shared" si="37"/>
        <v>4988459.0296740495</v>
      </c>
      <c r="S357" s="81">
        <f t="shared" si="37"/>
        <v>4924713.023993995</v>
      </c>
      <c r="T357" s="81">
        <f t="shared" si="37"/>
        <v>4858159.1906370204</v>
      </c>
    </row>
    <row r="358" spans="2:20" outlineLevel="1">
      <c r="D358" s="102" t="str">
        <f>Work_Codes!D379</f>
        <v>Capex Items Category 2</v>
      </c>
      <c r="J358" s="81">
        <f t="shared" ref="J358:T358" si="38">J337+J344+J351</f>
        <v>0</v>
      </c>
      <c r="K358" s="81">
        <f t="shared" si="38"/>
        <v>0</v>
      </c>
      <c r="L358" s="81">
        <f t="shared" si="38"/>
        <v>0</v>
      </c>
      <c r="M358" s="81">
        <f t="shared" si="38"/>
        <v>0</v>
      </c>
      <c r="N358" s="81">
        <f t="shared" si="38"/>
        <v>0</v>
      </c>
      <c r="O358" s="81">
        <f t="shared" si="38"/>
        <v>0</v>
      </c>
      <c r="P358" s="81">
        <f t="shared" si="38"/>
        <v>0</v>
      </c>
      <c r="Q358" s="81">
        <f t="shared" si="38"/>
        <v>0</v>
      </c>
      <c r="R358" s="81">
        <f t="shared" si="38"/>
        <v>0</v>
      </c>
      <c r="S358" s="81">
        <f t="shared" si="38"/>
        <v>0</v>
      </c>
      <c r="T358" s="81">
        <f t="shared" si="38"/>
        <v>0</v>
      </c>
    </row>
    <row r="359" spans="2:20" ht="5.9" customHeight="1" outlineLevel="1"/>
    <row r="360" spans="2:20" outlineLevel="1">
      <c r="D360" s="249" t="str">
        <f>C355</f>
        <v>Total Direct Capex including Escalation (Non CPI)</v>
      </c>
      <c r="E360" s="249"/>
      <c r="F360" s="249"/>
      <c r="G360" s="249"/>
      <c r="H360" s="249"/>
      <c r="I360" s="249"/>
      <c r="J360" s="82">
        <f t="shared" ref="J360:T360" si="39">SUM(J357:J359)</f>
        <v>0</v>
      </c>
      <c r="K360" s="82">
        <f t="shared" si="39"/>
        <v>0</v>
      </c>
      <c r="L360" s="82">
        <f t="shared" si="39"/>
        <v>0</v>
      </c>
      <c r="M360" s="82">
        <f t="shared" si="39"/>
        <v>0</v>
      </c>
      <c r="N360" s="82">
        <f t="shared" si="39"/>
        <v>2699784.4687852161</v>
      </c>
      <c r="O360" s="82">
        <f t="shared" si="39"/>
        <v>3578330.1646639295</v>
      </c>
      <c r="P360" s="82">
        <f t="shared" si="39"/>
        <v>4810298.3024154594</v>
      </c>
      <c r="Q360" s="82">
        <f t="shared" si="39"/>
        <v>4899964.8141825786</v>
      </c>
      <c r="R360" s="82">
        <f t="shared" si="39"/>
        <v>4988459.0296740495</v>
      </c>
      <c r="S360" s="82">
        <f t="shared" si="39"/>
        <v>4924713.023993995</v>
      </c>
      <c r="T360" s="82">
        <f t="shared" si="39"/>
        <v>4858159.1906370204</v>
      </c>
    </row>
    <row r="361" spans="2:20" outlineLevel="1">
      <c r="B361" s="12"/>
      <c r="C361" s="12"/>
      <c r="D361" s="12"/>
      <c r="E361" s="12"/>
      <c r="F361" s="12"/>
      <c r="G361" s="12"/>
      <c r="H361" s="12"/>
      <c r="I361" s="12"/>
      <c r="J361" s="12"/>
      <c r="K361" s="12"/>
      <c r="L361" s="12"/>
      <c r="M361" s="12"/>
      <c r="N361" s="12"/>
      <c r="O361" s="12"/>
      <c r="P361" s="12"/>
      <c r="Q361" s="12"/>
      <c r="R361" s="12"/>
      <c r="S361" s="12"/>
      <c r="T361" s="12"/>
    </row>
    <row r="362" spans="2:20" outlineLevel="1"/>
    <row r="363" spans="2:20" outlineLevel="1">
      <c r="C363" s="37" t="s">
        <v>195</v>
      </c>
    </row>
    <row r="364" spans="2:20" ht="5.9" customHeight="1" outlineLevel="2"/>
    <row r="365" spans="2:20" outlineLevel="2">
      <c r="D365" s="37" t="s">
        <v>215</v>
      </c>
    </row>
    <row r="366" spans="2:20" ht="5.9" customHeight="1" outlineLevel="2"/>
    <row r="367" spans="2:20" ht="11.5" customHeight="1" outlineLevel="2">
      <c r="E367" s="247" t="str">
        <f>GC!C40</f>
        <v>Transmission pipelines</v>
      </c>
      <c r="F367" s="247"/>
      <c r="G367" s="247"/>
      <c r="H367" s="247"/>
      <c r="I367" s="247"/>
      <c r="J367" s="81">
        <f ca="1">SUMPRODUCT((Work_Codes!$N$375:$Y$375=$E367)*(Work_Codes!$N$378:$Y$379)*(J$357:J$358))</f>
        <v>0</v>
      </c>
      <c r="K367" s="81">
        <f ca="1">SUMPRODUCT((Work_Codes!$N$375:$Y$375=$E367)*(Work_Codes!$N$378:$Y$379)*(K$357:K$358))</f>
        <v>0</v>
      </c>
      <c r="L367" s="81">
        <f ca="1">SUMPRODUCT((Work_Codes!$N$375:$Y$375=$E367)*(Work_Codes!$N$378:$Y$379)*(L$357:L$358))</f>
        <v>0</v>
      </c>
      <c r="M367" s="81">
        <f ca="1">SUMPRODUCT((Work_Codes!$N$375:$Y$375=$E367)*(Work_Codes!$N$378:$Y$379)*(M$357:M$358))</f>
        <v>0</v>
      </c>
      <c r="N367" s="81">
        <f ca="1">SUMPRODUCT((Work_Codes!$N$375:$Y$375=$E367)*(Work_Codes!$N$378:$Y$379)*(N$357:N$358))</f>
        <v>0</v>
      </c>
      <c r="O367" s="81">
        <f ca="1">SUMPRODUCT((Work_Codes!$N$375:$Y$375=$E367)*(Work_Codes!$N$378:$Y$379)*(O$357:O$358))</f>
        <v>0</v>
      </c>
      <c r="P367" s="81">
        <f ca="1">SUMPRODUCT((Work_Codes!$N$375:$Y$375=$E367)*(Work_Codes!$N$378:$Y$379)*(P$357:P$358))</f>
        <v>0</v>
      </c>
      <c r="Q367" s="81">
        <f ca="1">SUMPRODUCT((Work_Codes!$N$375:$Y$375=$E367)*(Work_Codes!$N$378:$Y$379)*(Q$357:Q$358))</f>
        <v>0</v>
      </c>
      <c r="R367" s="81">
        <f ca="1">SUMPRODUCT((Work_Codes!$N$375:$Y$375=$E367)*(Work_Codes!$N$378:$Y$379)*(R$357:R$358))</f>
        <v>0</v>
      </c>
      <c r="S367" s="81">
        <f ca="1">SUMPRODUCT((Work_Codes!$N$375:$Y$375=$E367)*(Work_Codes!$N$378:$Y$379)*(S$357:S$358))</f>
        <v>0</v>
      </c>
      <c r="T367" s="81">
        <f ca="1">SUMPRODUCT((Work_Codes!$N$375:$Y$375=$E367)*(Work_Codes!$N$378:$Y$379)*(T$357:T$358))</f>
        <v>0</v>
      </c>
    </row>
    <row r="368" spans="2:20" ht="11.5" customHeight="1" outlineLevel="2">
      <c r="E368" s="247" t="str">
        <f>GC!C41</f>
        <v>Distribution pipelines</v>
      </c>
      <c r="F368" s="247"/>
      <c r="G368" s="247"/>
      <c r="H368" s="247"/>
      <c r="I368" s="247"/>
      <c r="J368" s="81">
        <f ca="1">SUMPRODUCT((Work_Codes!$N$375:$Y$375=$E368)*(Work_Codes!$N$378:$Y$379)*(J$357:J$358))</f>
        <v>0</v>
      </c>
      <c r="K368" s="81">
        <f ca="1">SUMPRODUCT((Work_Codes!$N$375:$Y$375=$E368)*(Work_Codes!$N$378:$Y$379)*(K$357:K$358))</f>
        <v>0</v>
      </c>
      <c r="L368" s="81">
        <f ca="1">SUMPRODUCT((Work_Codes!$N$375:$Y$375=$E368)*(Work_Codes!$N$378:$Y$379)*(L$357:L$358))</f>
        <v>0</v>
      </c>
      <c r="M368" s="81">
        <f ca="1">SUMPRODUCT((Work_Codes!$N$375:$Y$375=$E368)*(Work_Codes!$N$378:$Y$379)*(M$357:M$358))</f>
        <v>0</v>
      </c>
      <c r="N368" s="81">
        <f ca="1">SUMPRODUCT((Work_Codes!$N$375:$Y$375=$E368)*(Work_Codes!$N$378:$Y$379)*(N$357:N$358))</f>
        <v>0</v>
      </c>
      <c r="O368" s="81">
        <f ca="1">SUMPRODUCT((Work_Codes!$N$375:$Y$375=$E368)*(Work_Codes!$N$378:$Y$379)*(O$357:O$358))</f>
        <v>0</v>
      </c>
      <c r="P368" s="81">
        <f ca="1">SUMPRODUCT((Work_Codes!$N$375:$Y$375=$E368)*(Work_Codes!$N$378:$Y$379)*(P$357:P$358))</f>
        <v>0</v>
      </c>
      <c r="Q368" s="81">
        <f ca="1">SUMPRODUCT((Work_Codes!$N$375:$Y$375=$E368)*(Work_Codes!$N$378:$Y$379)*(Q$357:Q$358))</f>
        <v>0</v>
      </c>
      <c r="R368" s="81">
        <f ca="1">SUMPRODUCT((Work_Codes!$N$375:$Y$375=$E368)*(Work_Codes!$N$378:$Y$379)*(R$357:R$358))</f>
        <v>0</v>
      </c>
      <c r="S368" s="81">
        <f ca="1">SUMPRODUCT((Work_Codes!$N$375:$Y$375=$E368)*(Work_Codes!$N$378:$Y$379)*(S$357:S$358))</f>
        <v>0</v>
      </c>
      <c r="T368" s="81">
        <f ca="1">SUMPRODUCT((Work_Codes!$N$375:$Y$375=$E368)*(Work_Codes!$N$378:$Y$379)*(T$357:T$358))</f>
        <v>0</v>
      </c>
    </row>
    <row r="369" spans="5:20" ht="11.5" customHeight="1" outlineLevel="2">
      <c r="E369" s="247" t="str">
        <f>GC!C42</f>
        <v>Service pipes</v>
      </c>
      <c r="F369" s="247"/>
      <c r="G369" s="247"/>
      <c r="H369" s="247"/>
      <c r="I369" s="247"/>
      <c r="J369" s="81">
        <f ca="1">SUMPRODUCT((Work_Codes!$N$375:$Y$375=$E369)*(Work_Codes!$N$378:$Y$379)*(J$357:J$358))</f>
        <v>0</v>
      </c>
      <c r="K369" s="81">
        <f ca="1">SUMPRODUCT((Work_Codes!$N$375:$Y$375=$E369)*(Work_Codes!$N$378:$Y$379)*(K$357:K$358))</f>
        <v>0</v>
      </c>
      <c r="L369" s="81">
        <f ca="1">SUMPRODUCT((Work_Codes!$N$375:$Y$375=$E369)*(Work_Codes!$N$378:$Y$379)*(L$357:L$358))</f>
        <v>0</v>
      </c>
      <c r="M369" s="81">
        <f ca="1">SUMPRODUCT((Work_Codes!$N$375:$Y$375=$E369)*(Work_Codes!$N$378:$Y$379)*(M$357:M$358))</f>
        <v>0</v>
      </c>
      <c r="N369" s="81">
        <f ca="1">SUMPRODUCT((Work_Codes!$N$375:$Y$375=$E369)*(Work_Codes!$N$378:$Y$379)*(N$357:N$358))</f>
        <v>0</v>
      </c>
      <c r="O369" s="81">
        <f ca="1">SUMPRODUCT((Work_Codes!$N$375:$Y$375=$E369)*(Work_Codes!$N$378:$Y$379)*(O$357:O$358))</f>
        <v>0</v>
      </c>
      <c r="P369" s="81">
        <f ca="1">SUMPRODUCT((Work_Codes!$N$375:$Y$375=$E369)*(Work_Codes!$N$378:$Y$379)*(P$357:P$358))</f>
        <v>0</v>
      </c>
      <c r="Q369" s="81">
        <f ca="1">SUMPRODUCT((Work_Codes!$N$375:$Y$375=$E369)*(Work_Codes!$N$378:$Y$379)*(Q$357:Q$358))</f>
        <v>0</v>
      </c>
      <c r="R369" s="81">
        <f ca="1">SUMPRODUCT((Work_Codes!$N$375:$Y$375=$E369)*(Work_Codes!$N$378:$Y$379)*(R$357:R$358))</f>
        <v>0</v>
      </c>
      <c r="S369" s="81">
        <f ca="1">SUMPRODUCT((Work_Codes!$N$375:$Y$375=$E369)*(Work_Codes!$N$378:$Y$379)*(S$357:S$358))</f>
        <v>0</v>
      </c>
      <c r="T369" s="81">
        <f ca="1">SUMPRODUCT((Work_Codes!$N$375:$Y$375=$E369)*(Work_Codes!$N$378:$Y$379)*(T$357:T$358))</f>
        <v>0</v>
      </c>
    </row>
    <row r="370" spans="5:20" ht="11.5" customHeight="1" outlineLevel="2">
      <c r="E370" s="247" t="str">
        <f>GC!C43</f>
        <v>Cathodic protection</v>
      </c>
      <c r="F370" s="247"/>
      <c r="G370" s="247"/>
      <c r="H370" s="247"/>
      <c r="I370" s="247"/>
      <c r="J370" s="81">
        <f ca="1">SUMPRODUCT((Work_Codes!$N$375:$Y$375=$E370)*(Work_Codes!$N$378:$Y$379)*(J$357:J$358))</f>
        <v>0</v>
      </c>
      <c r="K370" s="81">
        <f ca="1">SUMPRODUCT((Work_Codes!$N$375:$Y$375=$E370)*(Work_Codes!$N$378:$Y$379)*(K$357:K$358))</f>
        <v>0</v>
      </c>
      <c r="L370" s="81">
        <f ca="1">SUMPRODUCT((Work_Codes!$N$375:$Y$375=$E370)*(Work_Codes!$N$378:$Y$379)*(L$357:L$358))</f>
        <v>0</v>
      </c>
      <c r="M370" s="81">
        <f ca="1">SUMPRODUCT((Work_Codes!$N$375:$Y$375=$E370)*(Work_Codes!$N$378:$Y$379)*(M$357:M$358))</f>
        <v>0</v>
      </c>
      <c r="N370" s="81">
        <f ca="1">SUMPRODUCT((Work_Codes!$N$375:$Y$375=$E370)*(Work_Codes!$N$378:$Y$379)*(N$357:N$358))</f>
        <v>0</v>
      </c>
      <c r="O370" s="81">
        <f ca="1">SUMPRODUCT((Work_Codes!$N$375:$Y$375=$E370)*(Work_Codes!$N$378:$Y$379)*(O$357:O$358))</f>
        <v>0</v>
      </c>
      <c r="P370" s="81">
        <f ca="1">SUMPRODUCT((Work_Codes!$N$375:$Y$375=$E370)*(Work_Codes!$N$378:$Y$379)*(P$357:P$358))</f>
        <v>0</v>
      </c>
      <c r="Q370" s="81">
        <f ca="1">SUMPRODUCT((Work_Codes!$N$375:$Y$375=$E370)*(Work_Codes!$N$378:$Y$379)*(Q$357:Q$358))</f>
        <v>0</v>
      </c>
      <c r="R370" s="81">
        <f ca="1">SUMPRODUCT((Work_Codes!$N$375:$Y$375=$E370)*(Work_Codes!$N$378:$Y$379)*(R$357:R$358))</f>
        <v>0</v>
      </c>
      <c r="S370" s="81">
        <f ca="1">SUMPRODUCT((Work_Codes!$N$375:$Y$375=$E370)*(Work_Codes!$N$378:$Y$379)*(S$357:S$358))</f>
        <v>0</v>
      </c>
      <c r="T370" s="81">
        <f ca="1">SUMPRODUCT((Work_Codes!$N$375:$Y$375=$E370)*(Work_Codes!$N$378:$Y$379)*(T$357:T$358))</f>
        <v>0</v>
      </c>
    </row>
    <row r="371" spans="5:20" ht="11.5" customHeight="1" outlineLevel="2">
      <c r="E371" s="247" t="str">
        <f>GC!C44</f>
        <v>Supply Regulators / Valve Stations</v>
      </c>
      <c r="F371" s="247"/>
      <c r="G371" s="247"/>
      <c r="H371" s="247"/>
      <c r="I371" s="247"/>
      <c r="J371" s="81">
        <f ca="1">SUMPRODUCT((Work_Codes!$N$375:$Y$375=$E371)*(Work_Codes!$N$378:$Y$379)*(J$357:J$358))</f>
        <v>0</v>
      </c>
      <c r="K371" s="81">
        <f ca="1">SUMPRODUCT((Work_Codes!$N$375:$Y$375=$E371)*(Work_Codes!$N$378:$Y$379)*(K$357:K$358))</f>
        <v>0</v>
      </c>
      <c r="L371" s="81">
        <f ca="1">SUMPRODUCT((Work_Codes!$N$375:$Y$375=$E371)*(Work_Codes!$N$378:$Y$379)*(L$357:L$358))</f>
        <v>0</v>
      </c>
      <c r="M371" s="81">
        <f ca="1">SUMPRODUCT((Work_Codes!$N$375:$Y$375=$E371)*(Work_Codes!$N$378:$Y$379)*(M$357:M$358))</f>
        <v>0</v>
      </c>
      <c r="N371" s="81">
        <f ca="1">SUMPRODUCT((Work_Codes!$N$375:$Y$375=$E371)*(Work_Codes!$N$378:$Y$379)*(N$357:N$358))</f>
        <v>0</v>
      </c>
      <c r="O371" s="81">
        <f ca="1">SUMPRODUCT((Work_Codes!$N$375:$Y$375=$E371)*(Work_Codes!$N$378:$Y$379)*(O$357:O$358))</f>
        <v>0</v>
      </c>
      <c r="P371" s="81">
        <f ca="1">SUMPRODUCT((Work_Codes!$N$375:$Y$375=$E371)*(Work_Codes!$N$378:$Y$379)*(P$357:P$358))</f>
        <v>0</v>
      </c>
      <c r="Q371" s="81">
        <f ca="1">SUMPRODUCT((Work_Codes!$N$375:$Y$375=$E371)*(Work_Codes!$N$378:$Y$379)*(Q$357:Q$358))</f>
        <v>0</v>
      </c>
      <c r="R371" s="81">
        <f ca="1">SUMPRODUCT((Work_Codes!$N$375:$Y$375=$E371)*(Work_Codes!$N$378:$Y$379)*(R$357:R$358))</f>
        <v>0</v>
      </c>
      <c r="S371" s="81">
        <f ca="1">SUMPRODUCT((Work_Codes!$N$375:$Y$375=$E371)*(Work_Codes!$N$378:$Y$379)*(S$357:S$358))</f>
        <v>0</v>
      </c>
      <c r="T371" s="81">
        <f ca="1">SUMPRODUCT((Work_Codes!$N$375:$Y$375=$E371)*(Work_Codes!$N$378:$Y$379)*(T$357:T$358))</f>
        <v>0</v>
      </c>
    </row>
    <row r="372" spans="5:20" ht="11.5" customHeight="1" outlineLevel="2">
      <c r="E372" s="247" t="str">
        <f>GC!C45</f>
        <v>Meters</v>
      </c>
      <c r="F372" s="247"/>
      <c r="G372" s="247"/>
      <c r="H372" s="247"/>
      <c r="I372" s="247"/>
      <c r="J372" s="81">
        <f ca="1">SUMPRODUCT((Work_Codes!$N$375:$Y$375=$E372)*(Work_Codes!$N$378:$Y$379)*(J$357:J$358))</f>
        <v>0</v>
      </c>
      <c r="K372" s="81">
        <f ca="1">SUMPRODUCT((Work_Codes!$N$375:$Y$375=$E372)*(Work_Codes!$N$378:$Y$379)*(K$357:K$358))</f>
        <v>0</v>
      </c>
      <c r="L372" s="81">
        <f ca="1">SUMPRODUCT((Work_Codes!$N$375:$Y$375=$E372)*(Work_Codes!$N$378:$Y$379)*(L$357:L$358))</f>
        <v>0</v>
      </c>
      <c r="M372" s="81">
        <f ca="1">SUMPRODUCT((Work_Codes!$N$375:$Y$375=$E372)*(Work_Codes!$N$378:$Y$379)*(M$357:M$358))</f>
        <v>0</v>
      </c>
      <c r="N372" s="81">
        <f ca="1">SUMPRODUCT((Work_Codes!$N$375:$Y$375=$E372)*(Work_Codes!$N$378:$Y$379)*(N$357:N$358))</f>
        <v>674946.11719630403</v>
      </c>
      <c r="O372" s="81">
        <f ca="1">SUMPRODUCT((Work_Codes!$N$375:$Y$375=$E372)*(Work_Codes!$N$378:$Y$379)*(O$357:O$358))</f>
        <v>894582.54116598237</v>
      </c>
      <c r="P372" s="81">
        <f ca="1">SUMPRODUCT((Work_Codes!$N$375:$Y$375=$E372)*(Work_Codes!$N$378:$Y$379)*(P$357:P$358))</f>
        <v>1202574.5756038649</v>
      </c>
      <c r="Q372" s="81">
        <f ca="1">SUMPRODUCT((Work_Codes!$N$375:$Y$375=$E372)*(Work_Codes!$N$378:$Y$379)*(Q$357:Q$358))</f>
        <v>1224991.2035456446</v>
      </c>
      <c r="R372" s="81">
        <f ca="1">SUMPRODUCT((Work_Codes!$N$375:$Y$375=$E372)*(Work_Codes!$N$378:$Y$379)*(R$357:R$358))</f>
        <v>1247114.7574185124</v>
      </c>
      <c r="S372" s="81">
        <f ca="1">SUMPRODUCT((Work_Codes!$N$375:$Y$375=$E372)*(Work_Codes!$N$378:$Y$379)*(S$357:S$358))</f>
        <v>1231178.2559984988</v>
      </c>
      <c r="T372" s="81">
        <f ca="1">SUMPRODUCT((Work_Codes!$N$375:$Y$375=$E372)*(Work_Codes!$N$378:$Y$379)*(T$357:T$358))</f>
        <v>1214539.7976592551</v>
      </c>
    </row>
    <row r="373" spans="5:20" ht="11.5" customHeight="1" outlineLevel="2">
      <c r="E373" s="247" t="str">
        <f>GC!C46</f>
        <v>SCADA and remote control</v>
      </c>
      <c r="F373" s="247"/>
      <c r="G373" s="247"/>
      <c r="H373" s="247"/>
      <c r="I373" s="247"/>
      <c r="J373" s="81">
        <f ca="1">SUMPRODUCT((Work_Codes!$N$375:$Y$375=$E373)*(Work_Codes!$N$378:$Y$379)*(J$357:J$358))</f>
        <v>0</v>
      </c>
      <c r="K373" s="81">
        <f ca="1">SUMPRODUCT((Work_Codes!$N$375:$Y$375=$E373)*(Work_Codes!$N$378:$Y$379)*(K$357:K$358))</f>
        <v>0</v>
      </c>
      <c r="L373" s="81">
        <f ca="1">SUMPRODUCT((Work_Codes!$N$375:$Y$375=$E373)*(Work_Codes!$N$378:$Y$379)*(L$357:L$358))</f>
        <v>0</v>
      </c>
      <c r="M373" s="81">
        <f ca="1">SUMPRODUCT((Work_Codes!$N$375:$Y$375=$E373)*(Work_Codes!$N$378:$Y$379)*(M$357:M$358))</f>
        <v>0</v>
      </c>
      <c r="N373" s="81">
        <f ca="1">SUMPRODUCT((Work_Codes!$N$375:$Y$375=$E373)*(Work_Codes!$N$378:$Y$379)*(N$357:N$358))</f>
        <v>0</v>
      </c>
      <c r="O373" s="81">
        <f ca="1">SUMPRODUCT((Work_Codes!$N$375:$Y$375=$E373)*(Work_Codes!$N$378:$Y$379)*(O$357:O$358))</f>
        <v>0</v>
      </c>
      <c r="P373" s="81">
        <f ca="1">SUMPRODUCT((Work_Codes!$N$375:$Y$375=$E373)*(Work_Codes!$N$378:$Y$379)*(P$357:P$358))</f>
        <v>0</v>
      </c>
      <c r="Q373" s="81">
        <f ca="1">SUMPRODUCT((Work_Codes!$N$375:$Y$375=$E373)*(Work_Codes!$N$378:$Y$379)*(Q$357:Q$358))</f>
        <v>0</v>
      </c>
      <c r="R373" s="81">
        <f ca="1">SUMPRODUCT((Work_Codes!$N$375:$Y$375=$E373)*(Work_Codes!$N$378:$Y$379)*(R$357:R$358))</f>
        <v>0</v>
      </c>
      <c r="S373" s="81">
        <f ca="1">SUMPRODUCT((Work_Codes!$N$375:$Y$375=$E373)*(Work_Codes!$N$378:$Y$379)*(S$357:S$358))</f>
        <v>0</v>
      </c>
      <c r="T373" s="81">
        <f ca="1">SUMPRODUCT((Work_Codes!$N$375:$Y$375=$E373)*(Work_Codes!$N$378:$Y$379)*(T$357:T$358))</f>
        <v>0</v>
      </c>
    </row>
    <row r="374" spans="5:20" ht="11.5" customHeight="1" outlineLevel="2">
      <c r="E374" s="247" t="str">
        <f>GC!C47</f>
        <v>Buildings</v>
      </c>
      <c r="F374" s="247"/>
      <c r="G374" s="247"/>
      <c r="H374" s="247"/>
      <c r="I374" s="247"/>
      <c r="J374" s="81">
        <f ca="1">SUMPRODUCT((Work_Codes!$N$375:$Y$375=$E374)*(Work_Codes!$N$378:$Y$379)*(J$357:J$358))</f>
        <v>0</v>
      </c>
      <c r="K374" s="81">
        <f ca="1">SUMPRODUCT((Work_Codes!$N$375:$Y$375=$E374)*(Work_Codes!$N$378:$Y$379)*(K$357:K$358))</f>
        <v>0</v>
      </c>
      <c r="L374" s="81">
        <f ca="1">SUMPRODUCT((Work_Codes!$N$375:$Y$375=$E374)*(Work_Codes!$N$378:$Y$379)*(L$357:L$358))</f>
        <v>0</v>
      </c>
      <c r="M374" s="81">
        <f ca="1">SUMPRODUCT((Work_Codes!$N$375:$Y$375=$E374)*(Work_Codes!$N$378:$Y$379)*(M$357:M$358))</f>
        <v>0</v>
      </c>
      <c r="N374" s="81">
        <f ca="1">SUMPRODUCT((Work_Codes!$N$375:$Y$375=$E374)*(Work_Codes!$N$378:$Y$379)*(N$357:N$358))</f>
        <v>0</v>
      </c>
      <c r="O374" s="81">
        <f ca="1">SUMPRODUCT((Work_Codes!$N$375:$Y$375=$E374)*(Work_Codes!$N$378:$Y$379)*(O$357:O$358))</f>
        <v>0</v>
      </c>
      <c r="P374" s="81">
        <f ca="1">SUMPRODUCT((Work_Codes!$N$375:$Y$375=$E374)*(Work_Codes!$N$378:$Y$379)*(P$357:P$358))</f>
        <v>0</v>
      </c>
      <c r="Q374" s="81">
        <f ca="1">SUMPRODUCT((Work_Codes!$N$375:$Y$375=$E374)*(Work_Codes!$N$378:$Y$379)*(Q$357:Q$358))</f>
        <v>0</v>
      </c>
      <c r="R374" s="81">
        <f ca="1">SUMPRODUCT((Work_Codes!$N$375:$Y$375=$E374)*(Work_Codes!$N$378:$Y$379)*(R$357:R$358))</f>
        <v>0</v>
      </c>
      <c r="S374" s="81">
        <f ca="1">SUMPRODUCT((Work_Codes!$N$375:$Y$375=$E374)*(Work_Codes!$N$378:$Y$379)*(S$357:S$358))</f>
        <v>0</v>
      </c>
      <c r="T374" s="81">
        <f ca="1">SUMPRODUCT((Work_Codes!$N$375:$Y$375=$E374)*(Work_Codes!$N$378:$Y$379)*(T$357:T$358))</f>
        <v>0</v>
      </c>
    </row>
    <row r="375" spans="5:20" ht="11.5" customHeight="1" outlineLevel="2">
      <c r="E375" s="247" t="str">
        <f>GC!C48</f>
        <v>Other - IT</v>
      </c>
      <c r="F375" s="247"/>
      <c r="G375" s="247"/>
      <c r="H375" s="247"/>
      <c r="I375" s="247"/>
      <c r="J375" s="81">
        <f ca="1">SUMPRODUCT((Work_Codes!$N$375:$Y$375=$E375)*(Work_Codes!$N$378:$Y$379)*(J$357:J$358))</f>
        <v>0</v>
      </c>
      <c r="K375" s="81">
        <f ca="1">SUMPRODUCT((Work_Codes!$N$375:$Y$375=$E375)*(Work_Codes!$N$378:$Y$379)*(K$357:K$358))</f>
        <v>0</v>
      </c>
      <c r="L375" s="81">
        <f ca="1">SUMPRODUCT((Work_Codes!$N$375:$Y$375=$E375)*(Work_Codes!$N$378:$Y$379)*(L$357:L$358))</f>
        <v>0</v>
      </c>
      <c r="M375" s="81">
        <f ca="1">SUMPRODUCT((Work_Codes!$N$375:$Y$375=$E375)*(Work_Codes!$N$378:$Y$379)*(M$357:M$358))</f>
        <v>0</v>
      </c>
      <c r="N375" s="81">
        <f ca="1">SUMPRODUCT((Work_Codes!$N$375:$Y$375=$E375)*(Work_Codes!$N$378:$Y$379)*(N$357:N$358))</f>
        <v>0</v>
      </c>
      <c r="O375" s="81">
        <f ca="1">SUMPRODUCT((Work_Codes!$N$375:$Y$375=$E375)*(Work_Codes!$N$378:$Y$379)*(O$357:O$358))</f>
        <v>0</v>
      </c>
      <c r="P375" s="81">
        <f ca="1">SUMPRODUCT((Work_Codes!$N$375:$Y$375=$E375)*(Work_Codes!$N$378:$Y$379)*(P$357:P$358))</f>
        <v>0</v>
      </c>
      <c r="Q375" s="81">
        <f ca="1">SUMPRODUCT((Work_Codes!$N$375:$Y$375=$E375)*(Work_Codes!$N$378:$Y$379)*(Q$357:Q$358))</f>
        <v>0</v>
      </c>
      <c r="R375" s="81">
        <f ca="1">SUMPRODUCT((Work_Codes!$N$375:$Y$375=$E375)*(Work_Codes!$N$378:$Y$379)*(R$357:R$358))</f>
        <v>0</v>
      </c>
      <c r="S375" s="81">
        <f ca="1">SUMPRODUCT((Work_Codes!$N$375:$Y$375=$E375)*(Work_Codes!$N$378:$Y$379)*(S$357:S$358))</f>
        <v>0</v>
      </c>
      <c r="T375" s="81">
        <f ca="1">SUMPRODUCT((Work_Codes!$N$375:$Y$375=$E375)*(Work_Codes!$N$378:$Y$379)*(T$357:T$358))</f>
        <v>0</v>
      </c>
    </row>
    <row r="376" spans="5:20" ht="11.5" customHeight="1" outlineLevel="2">
      <c r="E376" s="247" t="str">
        <f>GC!C49</f>
        <v>Other - non IT</v>
      </c>
      <c r="F376" s="247"/>
      <c r="G376" s="247"/>
      <c r="H376" s="247"/>
      <c r="I376" s="247"/>
      <c r="J376" s="81">
        <f ca="1">SUMPRODUCT((Work_Codes!$N$375:$Y$375=$E376)*(Work_Codes!$N$378:$Y$379)*(J$357:J$358))</f>
        <v>0</v>
      </c>
      <c r="K376" s="81">
        <f ca="1">SUMPRODUCT((Work_Codes!$N$375:$Y$375=$E376)*(Work_Codes!$N$378:$Y$379)*(K$357:K$358))</f>
        <v>0</v>
      </c>
      <c r="L376" s="81">
        <f ca="1">SUMPRODUCT((Work_Codes!$N$375:$Y$375=$E376)*(Work_Codes!$N$378:$Y$379)*(L$357:L$358))</f>
        <v>0</v>
      </c>
      <c r="M376" s="81">
        <f ca="1">SUMPRODUCT((Work_Codes!$N$375:$Y$375=$E376)*(Work_Codes!$N$378:$Y$379)*(M$357:M$358))</f>
        <v>0</v>
      </c>
      <c r="N376" s="81">
        <f ca="1">SUMPRODUCT((Work_Codes!$N$375:$Y$375=$E376)*(Work_Codes!$N$378:$Y$379)*(N$357:N$358))</f>
        <v>0</v>
      </c>
      <c r="O376" s="81">
        <f ca="1">SUMPRODUCT((Work_Codes!$N$375:$Y$375=$E376)*(Work_Codes!$N$378:$Y$379)*(O$357:O$358))</f>
        <v>0</v>
      </c>
      <c r="P376" s="81">
        <f ca="1">SUMPRODUCT((Work_Codes!$N$375:$Y$375=$E376)*(Work_Codes!$N$378:$Y$379)*(P$357:P$358))</f>
        <v>0</v>
      </c>
      <c r="Q376" s="81">
        <f ca="1">SUMPRODUCT((Work_Codes!$N$375:$Y$375=$E376)*(Work_Codes!$N$378:$Y$379)*(Q$357:Q$358))</f>
        <v>0</v>
      </c>
      <c r="R376" s="81">
        <f ca="1">SUMPRODUCT((Work_Codes!$N$375:$Y$375=$E376)*(Work_Codes!$N$378:$Y$379)*(R$357:R$358))</f>
        <v>0</v>
      </c>
      <c r="S376" s="81">
        <f ca="1">SUMPRODUCT((Work_Codes!$N$375:$Y$375=$E376)*(Work_Codes!$N$378:$Y$379)*(S$357:S$358))</f>
        <v>0</v>
      </c>
      <c r="T376" s="81">
        <f ca="1">SUMPRODUCT((Work_Codes!$N$375:$Y$375=$E376)*(Work_Codes!$N$378:$Y$379)*(T$357:T$358))</f>
        <v>0</v>
      </c>
    </row>
    <row r="377" spans="5:20" ht="11.5" customHeight="1" outlineLevel="2">
      <c r="E377" s="247" t="str">
        <f>GC!C50</f>
        <v>Land</v>
      </c>
      <c r="F377" s="247"/>
      <c r="G377" s="247"/>
      <c r="H377" s="247"/>
      <c r="I377" s="247"/>
      <c r="J377" s="81">
        <f ca="1">SUMPRODUCT((Work_Codes!$N$375:$Y$375=$E377)*(Work_Codes!$N$378:$Y$379)*(J$357:J$358))</f>
        <v>0</v>
      </c>
      <c r="K377" s="81">
        <f ca="1">SUMPRODUCT((Work_Codes!$N$375:$Y$375=$E377)*(Work_Codes!$N$378:$Y$379)*(K$357:K$358))</f>
        <v>0</v>
      </c>
      <c r="L377" s="81">
        <f ca="1">SUMPRODUCT((Work_Codes!$N$375:$Y$375=$E377)*(Work_Codes!$N$378:$Y$379)*(L$357:L$358))</f>
        <v>0</v>
      </c>
      <c r="M377" s="81">
        <f ca="1">SUMPRODUCT((Work_Codes!$N$375:$Y$375=$E377)*(Work_Codes!$N$378:$Y$379)*(M$357:M$358))</f>
        <v>0</v>
      </c>
      <c r="N377" s="81">
        <f ca="1">SUMPRODUCT((Work_Codes!$N$375:$Y$375=$E377)*(Work_Codes!$N$378:$Y$379)*(N$357:N$358))</f>
        <v>0</v>
      </c>
      <c r="O377" s="81">
        <f ca="1">SUMPRODUCT((Work_Codes!$N$375:$Y$375=$E377)*(Work_Codes!$N$378:$Y$379)*(O$357:O$358))</f>
        <v>0</v>
      </c>
      <c r="P377" s="81">
        <f ca="1">SUMPRODUCT((Work_Codes!$N$375:$Y$375=$E377)*(Work_Codes!$N$378:$Y$379)*(P$357:P$358))</f>
        <v>0</v>
      </c>
      <c r="Q377" s="81">
        <f ca="1">SUMPRODUCT((Work_Codes!$N$375:$Y$375=$E377)*(Work_Codes!$N$378:$Y$379)*(Q$357:Q$358))</f>
        <v>0</v>
      </c>
      <c r="R377" s="81">
        <f ca="1">SUMPRODUCT((Work_Codes!$N$375:$Y$375=$E377)*(Work_Codes!$N$378:$Y$379)*(R$357:R$358))</f>
        <v>0</v>
      </c>
      <c r="S377" s="81">
        <f ca="1">SUMPRODUCT((Work_Codes!$N$375:$Y$375=$E377)*(Work_Codes!$N$378:$Y$379)*(S$357:S$358))</f>
        <v>0</v>
      </c>
      <c r="T377" s="81">
        <f ca="1">SUMPRODUCT((Work_Codes!$N$375:$Y$375=$E377)*(Work_Codes!$N$378:$Y$379)*(T$357:T$358))</f>
        <v>0</v>
      </c>
    </row>
    <row r="378" spans="5:20" outlineLevel="2">
      <c r="E378" s="247" t="str">
        <f>GC!C51</f>
        <v>Capitalised Leases</v>
      </c>
      <c r="F378" s="247"/>
      <c r="G378" s="247"/>
      <c r="H378" s="247"/>
      <c r="I378" s="247"/>
      <c r="J378" s="81">
        <f ca="1">SUMPRODUCT((Work_Codes!$N$375:$Y$375=$E378)*(Work_Codes!$N$378:$Y$379)*(J$357:J$358))</f>
        <v>0</v>
      </c>
      <c r="K378" s="81">
        <f ca="1">SUMPRODUCT((Work_Codes!$N$375:$Y$375=$E378)*(Work_Codes!$N$378:$Y$379)*(K$357:K$358))</f>
        <v>0</v>
      </c>
      <c r="L378" s="81">
        <f ca="1">SUMPRODUCT((Work_Codes!$N$375:$Y$375=$E378)*(Work_Codes!$N$378:$Y$379)*(L$357:L$358))</f>
        <v>0</v>
      </c>
      <c r="M378" s="81">
        <f ca="1">SUMPRODUCT((Work_Codes!$N$375:$Y$375=$E378)*(Work_Codes!$N$378:$Y$379)*(M$357:M$358))</f>
        <v>0</v>
      </c>
      <c r="N378" s="81">
        <f ca="1">SUMPRODUCT((Work_Codes!$N$375:$Y$375=$E378)*(Work_Codes!$N$378:$Y$379)*(N$357:N$358))</f>
        <v>0</v>
      </c>
      <c r="O378" s="81">
        <f ca="1">SUMPRODUCT((Work_Codes!$N$375:$Y$375=$E378)*(Work_Codes!$N$378:$Y$379)*(O$357:O$358))</f>
        <v>0</v>
      </c>
      <c r="P378" s="81">
        <f ca="1">SUMPRODUCT((Work_Codes!$N$375:$Y$375=$E378)*(Work_Codes!$N$378:$Y$379)*(P$357:P$358))</f>
        <v>0</v>
      </c>
      <c r="Q378" s="81">
        <f ca="1">SUMPRODUCT((Work_Codes!$N$375:$Y$375=$E378)*(Work_Codes!$N$378:$Y$379)*(Q$357:Q$358))</f>
        <v>0</v>
      </c>
      <c r="R378" s="81">
        <f ca="1">SUMPRODUCT((Work_Codes!$N$375:$Y$375=$E378)*(Work_Codes!$N$378:$Y$379)*(R$357:R$358))</f>
        <v>0</v>
      </c>
      <c r="S378" s="81">
        <f ca="1">SUMPRODUCT((Work_Codes!$N$375:$Y$375=$E378)*(Work_Codes!$N$378:$Y$379)*(S$357:S$358))</f>
        <v>0</v>
      </c>
      <c r="T378" s="81">
        <f ca="1">SUMPRODUCT((Work_Codes!$N$375:$Y$375=$E378)*(Work_Codes!$N$378:$Y$379)*(T$357:T$358))</f>
        <v>0</v>
      </c>
    </row>
    <row r="379" spans="5:20" outlineLevel="2">
      <c r="E379" s="247" t="str">
        <f>GC!C52</f>
        <v>Transmission pipelines - post 1998</v>
      </c>
      <c r="F379" s="247"/>
      <c r="G379" s="247"/>
      <c r="H379" s="247"/>
      <c r="I379" s="247"/>
      <c r="J379" s="81">
        <f ca="1">SUMPRODUCT((Work_Codes!$N$375:$Y$375=$E379)*(Work_Codes!$N$378:$Y$379)*(J$357:J$358))</f>
        <v>0</v>
      </c>
      <c r="K379" s="81">
        <f ca="1">SUMPRODUCT((Work_Codes!$N$375:$Y$375=$E379)*(Work_Codes!$N$378:$Y$379)*(K$357:K$358))</f>
        <v>0</v>
      </c>
      <c r="L379" s="81">
        <f ca="1">SUMPRODUCT((Work_Codes!$N$375:$Y$375=$E379)*(Work_Codes!$N$378:$Y$379)*(L$357:L$358))</f>
        <v>0</v>
      </c>
      <c r="M379" s="81">
        <f ca="1">SUMPRODUCT((Work_Codes!$N$375:$Y$375=$E379)*(Work_Codes!$N$378:$Y$379)*(M$357:M$358))</f>
        <v>0</v>
      </c>
      <c r="N379" s="81">
        <f ca="1">SUMPRODUCT((Work_Codes!$N$375:$Y$375=$E379)*(Work_Codes!$N$378:$Y$379)*(N$357:N$358))</f>
        <v>0</v>
      </c>
      <c r="O379" s="81">
        <f ca="1">SUMPRODUCT((Work_Codes!$N$375:$Y$375=$E379)*(Work_Codes!$N$378:$Y$379)*(O$357:O$358))</f>
        <v>0</v>
      </c>
      <c r="P379" s="81">
        <f ca="1">SUMPRODUCT((Work_Codes!$N$375:$Y$375=$E379)*(Work_Codes!$N$378:$Y$379)*(P$357:P$358))</f>
        <v>0</v>
      </c>
      <c r="Q379" s="81">
        <f ca="1">SUMPRODUCT((Work_Codes!$N$375:$Y$375=$E379)*(Work_Codes!$N$378:$Y$379)*(Q$357:Q$358))</f>
        <v>0</v>
      </c>
      <c r="R379" s="81">
        <f ca="1">SUMPRODUCT((Work_Codes!$N$375:$Y$375=$E379)*(Work_Codes!$N$378:$Y$379)*(R$357:R$358))</f>
        <v>0</v>
      </c>
      <c r="S379" s="81">
        <f ca="1">SUMPRODUCT((Work_Codes!$N$375:$Y$375=$E379)*(Work_Codes!$N$378:$Y$379)*(S$357:S$358))</f>
        <v>0</v>
      </c>
      <c r="T379" s="81">
        <f ca="1">SUMPRODUCT((Work_Codes!$N$375:$Y$375=$E379)*(Work_Codes!$N$378:$Y$379)*(T$357:T$358))</f>
        <v>0</v>
      </c>
    </row>
    <row r="380" spans="5:20" outlineLevel="2">
      <c r="E380" s="247" t="str">
        <f>GC!C53</f>
        <v>Distribution pipelines - post 1998</v>
      </c>
      <c r="F380" s="247"/>
      <c r="G380" s="247"/>
      <c r="H380" s="247"/>
      <c r="I380" s="247"/>
      <c r="J380" s="81">
        <f ca="1">SUMPRODUCT((Work_Codes!$N$375:$Y$375=$E380)*(Work_Codes!$N$378:$Y$379)*(J$357:J$358))</f>
        <v>0</v>
      </c>
      <c r="K380" s="81">
        <f ca="1">SUMPRODUCT((Work_Codes!$N$375:$Y$375=$E380)*(Work_Codes!$N$378:$Y$379)*(K$357:K$358))</f>
        <v>0</v>
      </c>
      <c r="L380" s="81">
        <f ca="1">SUMPRODUCT((Work_Codes!$N$375:$Y$375=$E380)*(Work_Codes!$N$378:$Y$379)*(L$357:L$358))</f>
        <v>0</v>
      </c>
      <c r="M380" s="81">
        <f ca="1">SUMPRODUCT((Work_Codes!$N$375:$Y$375=$E380)*(Work_Codes!$N$378:$Y$379)*(M$357:M$358))</f>
        <v>0</v>
      </c>
      <c r="N380" s="81">
        <f ca="1">SUMPRODUCT((Work_Codes!$N$375:$Y$375=$E380)*(Work_Codes!$N$378:$Y$379)*(N$357:N$358))</f>
        <v>809935.34063556476</v>
      </c>
      <c r="O380" s="81">
        <f ca="1">SUMPRODUCT((Work_Codes!$N$375:$Y$375=$E380)*(Work_Codes!$N$378:$Y$379)*(O$357:O$358))</f>
        <v>1073499.0493991787</v>
      </c>
      <c r="P380" s="81">
        <f ca="1">SUMPRODUCT((Work_Codes!$N$375:$Y$375=$E380)*(Work_Codes!$N$378:$Y$379)*(P$357:P$358))</f>
        <v>1443089.4907246379</v>
      </c>
      <c r="Q380" s="81">
        <f ca="1">SUMPRODUCT((Work_Codes!$N$375:$Y$375=$E380)*(Work_Codes!$N$378:$Y$379)*(Q$357:Q$358))</f>
        <v>1469989.4442547734</v>
      </c>
      <c r="R380" s="81">
        <f ca="1">SUMPRODUCT((Work_Codes!$N$375:$Y$375=$E380)*(Work_Codes!$N$378:$Y$379)*(R$357:R$358))</f>
        <v>1496537.7089022149</v>
      </c>
      <c r="S380" s="81">
        <f ca="1">SUMPRODUCT((Work_Codes!$N$375:$Y$375=$E380)*(Work_Codes!$N$378:$Y$379)*(S$357:S$358))</f>
        <v>1477413.9071981984</v>
      </c>
      <c r="T380" s="81">
        <f ca="1">SUMPRODUCT((Work_Codes!$N$375:$Y$375=$E380)*(Work_Codes!$N$378:$Y$379)*(T$357:T$358))</f>
        <v>1457447.757191106</v>
      </c>
    </row>
    <row r="381" spans="5:20" outlineLevel="2">
      <c r="E381" s="247" t="str">
        <f>GC!C54</f>
        <v>Service pipes - post 1998</v>
      </c>
      <c r="F381" s="247"/>
      <c r="G381" s="247"/>
      <c r="H381" s="247"/>
      <c r="I381" s="247"/>
      <c r="J381" s="81">
        <f ca="1">SUMPRODUCT((Work_Codes!$N$375:$Y$375=$E381)*(Work_Codes!$N$378:$Y$379)*(J$357:J$358))</f>
        <v>0</v>
      </c>
      <c r="K381" s="81">
        <f ca="1">SUMPRODUCT((Work_Codes!$N$375:$Y$375=$E381)*(Work_Codes!$N$378:$Y$379)*(K$357:K$358))</f>
        <v>0</v>
      </c>
      <c r="L381" s="81">
        <f ca="1">SUMPRODUCT((Work_Codes!$N$375:$Y$375=$E381)*(Work_Codes!$N$378:$Y$379)*(L$357:L$358))</f>
        <v>0</v>
      </c>
      <c r="M381" s="81">
        <f ca="1">SUMPRODUCT((Work_Codes!$N$375:$Y$375=$E381)*(Work_Codes!$N$378:$Y$379)*(M$357:M$358))</f>
        <v>0</v>
      </c>
      <c r="N381" s="81">
        <f ca="1">SUMPRODUCT((Work_Codes!$N$375:$Y$375=$E381)*(Work_Codes!$N$378:$Y$379)*(N$357:N$358))</f>
        <v>1214903.0109533472</v>
      </c>
      <c r="O381" s="81">
        <f ca="1">SUMPRODUCT((Work_Codes!$N$375:$Y$375=$E381)*(Work_Codes!$N$378:$Y$379)*(O$357:O$358))</f>
        <v>1610248.5740987684</v>
      </c>
      <c r="P381" s="81">
        <f ca="1">SUMPRODUCT((Work_Codes!$N$375:$Y$375=$E381)*(Work_Codes!$N$378:$Y$379)*(P$357:P$358))</f>
        <v>2164634.2360869567</v>
      </c>
      <c r="Q381" s="81">
        <f ca="1">SUMPRODUCT((Work_Codes!$N$375:$Y$375=$E381)*(Work_Codes!$N$378:$Y$379)*(Q$357:Q$358))</f>
        <v>2204984.1663821605</v>
      </c>
      <c r="R381" s="81">
        <f ca="1">SUMPRODUCT((Work_Codes!$N$375:$Y$375=$E381)*(Work_Codes!$N$378:$Y$379)*(R$357:R$358))</f>
        <v>2244806.5633533224</v>
      </c>
      <c r="S381" s="81">
        <f ca="1">SUMPRODUCT((Work_Codes!$N$375:$Y$375=$E381)*(Work_Codes!$N$378:$Y$379)*(S$357:S$358))</f>
        <v>2216120.8607972977</v>
      </c>
      <c r="T381" s="81">
        <f ca="1">SUMPRODUCT((Work_Codes!$N$375:$Y$375=$E381)*(Work_Codes!$N$378:$Y$379)*(T$357:T$358))</f>
        <v>2186171.6357866591</v>
      </c>
    </row>
    <row r="382" spans="5:20" outlineLevel="2">
      <c r="E382" s="247" t="str">
        <f>GC!C55</f>
        <v>Cathodic protection - post 1998</v>
      </c>
      <c r="F382" s="247"/>
      <c r="G382" s="247"/>
      <c r="H382" s="247"/>
      <c r="I382" s="247"/>
      <c r="J382" s="81">
        <f ca="1">SUMPRODUCT((Work_Codes!$N$375:$Y$375=$E382)*(Work_Codes!$N$378:$Y$379)*(J$357:J$358))</f>
        <v>0</v>
      </c>
      <c r="K382" s="81">
        <f ca="1">SUMPRODUCT((Work_Codes!$N$375:$Y$375=$E382)*(Work_Codes!$N$378:$Y$379)*(K$357:K$358))</f>
        <v>0</v>
      </c>
      <c r="L382" s="81">
        <f ca="1">SUMPRODUCT((Work_Codes!$N$375:$Y$375=$E382)*(Work_Codes!$N$378:$Y$379)*(L$357:L$358))</f>
        <v>0</v>
      </c>
      <c r="M382" s="81">
        <f ca="1">SUMPRODUCT((Work_Codes!$N$375:$Y$375=$E382)*(Work_Codes!$N$378:$Y$379)*(M$357:M$358))</f>
        <v>0</v>
      </c>
      <c r="N382" s="81">
        <f ca="1">SUMPRODUCT((Work_Codes!$N$375:$Y$375=$E382)*(Work_Codes!$N$378:$Y$379)*(N$357:N$358))</f>
        <v>0</v>
      </c>
      <c r="O382" s="81">
        <f ca="1">SUMPRODUCT((Work_Codes!$N$375:$Y$375=$E382)*(Work_Codes!$N$378:$Y$379)*(O$357:O$358))</f>
        <v>0</v>
      </c>
      <c r="P382" s="81">
        <f ca="1">SUMPRODUCT((Work_Codes!$N$375:$Y$375=$E382)*(Work_Codes!$N$378:$Y$379)*(P$357:P$358))</f>
        <v>0</v>
      </c>
      <c r="Q382" s="81">
        <f ca="1">SUMPRODUCT((Work_Codes!$N$375:$Y$375=$E382)*(Work_Codes!$N$378:$Y$379)*(Q$357:Q$358))</f>
        <v>0</v>
      </c>
      <c r="R382" s="81">
        <f ca="1">SUMPRODUCT((Work_Codes!$N$375:$Y$375=$E382)*(Work_Codes!$N$378:$Y$379)*(R$357:R$358))</f>
        <v>0</v>
      </c>
      <c r="S382" s="81">
        <f ca="1">SUMPRODUCT((Work_Codes!$N$375:$Y$375=$E382)*(Work_Codes!$N$378:$Y$379)*(S$357:S$358))</f>
        <v>0</v>
      </c>
      <c r="T382" s="81">
        <f ca="1">SUMPRODUCT((Work_Codes!$N$375:$Y$375=$E382)*(Work_Codes!$N$378:$Y$379)*(T$357:T$358))</f>
        <v>0</v>
      </c>
    </row>
    <row r="383" spans="5:20" ht="12" customHeight="1" outlineLevel="2">
      <c r="E383" s="249" t="str">
        <f>"Total "&amp;D365</f>
        <v>Total Direct Costs</v>
      </c>
      <c r="F383" s="249"/>
      <c r="G383" s="249"/>
      <c r="H383" s="249"/>
      <c r="I383" s="249"/>
      <c r="J383" s="82">
        <f t="shared" ref="J383:T383" ca="1" si="40">SUM(J367:J382)</f>
        <v>0</v>
      </c>
      <c r="K383" s="82">
        <f t="shared" ca="1" si="40"/>
        <v>0</v>
      </c>
      <c r="L383" s="82">
        <f t="shared" ca="1" si="40"/>
        <v>0</v>
      </c>
      <c r="M383" s="82">
        <f t="shared" ca="1" si="40"/>
        <v>0</v>
      </c>
      <c r="N383" s="82">
        <f t="shared" ca="1" si="40"/>
        <v>2699784.4687852161</v>
      </c>
      <c r="O383" s="82">
        <f t="shared" ca="1" si="40"/>
        <v>3578330.1646639295</v>
      </c>
      <c r="P383" s="82">
        <f t="shared" ca="1" si="40"/>
        <v>4810298.3024154594</v>
      </c>
      <c r="Q383" s="82">
        <f t="shared" ca="1" si="40"/>
        <v>4899964.8141825786</v>
      </c>
      <c r="R383" s="82">
        <f t="shared" ca="1" si="40"/>
        <v>4988459.0296740495</v>
      </c>
      <c r="S383" s="82">
        <f t="shared" ca="1" si="40"/>
        <v>4924713.023993995</v>
      </c>
      <c r="T383" s="82">
        <f t="shared" ca="1" si="40"/>
        <v>4858159.1906370204</v>
      </c>
    </row>
    <row r="384" spans="5:20" outlineLevel="2"/>
    <row r="385" spans="4:20" outlineLevel="2">
      <c r="D385" s="37" t="s">
        <v>364</v>
      </c>
    </row>
    <row r="386" spans="4:20" ht="5.9" customHeight="1" outlineLevel="2"/>
    <row r="387" spans="4:20" outlineLevel="2">
      <c r="E387" s="247" t="str">
        <f>GC!C40</f>
        <v>Transmission pipelines</v>
      </c>
      <c r="F387" s="247"/>
      <c r="G387" s="247"/>
      <c r="H387" s="247"/>
      <c r="I387" s="247"/>
      <c r="J387" s="81">
        <f ca="1">J367*(INDEX(J$294:J$296,MATCH(Work_Codes!$I$372,$D$294:$D$296,0)))</f>
        <v>0</v>
      </c>
      <c r="K387" s="81">
        <f ca="1">K367*(INDEX(K$294:K$296,MATCH(Work_Codes!$I$372,$D$294:$D$296,0)))</f>
        <v>0</v>
      </c>
      <c r="L387" s="81">
        <f ca="1">L367*(INDEX(L$294:L$296,MATCH(Work_Codes!$I$372,$D$294:$D$296,0)))</f>
        <v>0</v>
      </c>
      <c r="M387" s="81">
        <f ca="1">M367*(INDEX(M$294:M$296,MATCH(Work_Codes!$I$372,$D$294:$D$296,0)))</f>
        <v>0</v>
      </c>
      <c r="N387" s="81">
        <f ca="1">N367*(INDEX(N$294:N$296,MATCH(Work_Codes!$I$372,$D$294:$D$296,0)))</f>
        <v>0</v>
      </c>
      <c r="O387" s="81">
        <f ca="1">O367*(INDEX(O$294:O$296,MATCH(Work_Codes!$I$372,$D$294:$D$296,0)))</f>
        <v>0</v>
      </c>
      <c r="P387" s="81">
        <f ca="1">P367*(INDEX(P$294:P$296,MATCH(Work_Codes!$I$372,$D$294:$D$296,0)))</f>
        <v>0</v>
      </c>
      <c r="Q387" s="81">
        <f ca="1">Q367*(INDEX(Q$294:Q$296,MATCH(Work_Codes!$I$372,$D$294:$D$296,0)))</f>
        <v>0</v>
      </c>
      <c r="R387" s="81">
        <f ca="1">R367*(INDEX(R$294:R$296,MATCH(Work_Codes!$I$372,$D$294:$D$296,0)))</f>
        <v>0</v>
      </c>
      <c r="S387" s="81">
        <f ca="1">S367*(INDEX(S$294:S$296,MATCH(Work_Codes!$I$372,$D$294:$D$296,0)))</f>
        <v>0</v>
      </c>
      <c r="T387" s="81">
        <f ca="1">T367*(INDEX(T$294:T$296,MATCH(Work_Codes!$I$372,$D$294:$D$296,0)))</f>
        <v>0</v>
      </c>
    </row>
    <row r="388" spans="4:20" outlineLevel="2">
      <c r="E388" s="247" t="str">
        <f>GC!C41</f>
        <v>Distribution pipelines</v>
      </c>
      <c r="F388" s="247"/>
      <c r="G388" s="247"/>
      <c r="H388" s="247"/>
      <c r="I388" s="247"/>
      <c r="J388" s="81">
        <f ca="1">J368*(INDEX(J$294:J$296,MATCH(Work_Codes!$I$372,$D$294:$D$296,0)))</f>
        <v>0</v>
      </c>
      <c r="K388" s="81">
        <f ca="1">K368*(INDEX(K$294:K$296,MATCH(Work_Codes!$I$372,$D$294:$D$296,0)))</f>
        <v>0</v>
      </c>
      <c r="L388" s="81">
        <f ca="1">L368*(INDEX(L$294:L$296,MATCH(Work_Codes!$I$372,$D$294:$D$296,0)))</f>
        <v>0</v>
      </c>
      <c r="M388" s="81">
        <f ca="1">M368*(INDEX(M$294:M$296,MATCH(Work_Codes!$I$372,$D$294:$D$296,0)))</f>
        <v>0</v>
      </c>
      <c r="N388" s="81">
        <f ca="1">N368*(INDEX(N$294:N$296,MATCH(Work_Codes!$I$372,$D$294:$D$296,0)))</f>
        <v>0</v>
      </c>
      <c r="O388" s="81">
        <f ca="1">O368*(INDEX(O$294:O$296,MATCH(Work_Codes!$I$372,$D$294:$D$296,0)))</f>
        <v>0</v>
      </c>
      <c r="P388" s="81">
        <f ca="1">P368*(INDEX(P$294:P$296,MATCH(Work_Codes!$I$372,$D$294:$D$296,0)))</f>
        <v>0</v>
      </c>
      <c r="Q388" s="81">
        <f ca="1">Q368*(INDEX(Q$294:Q$296,MATCH(Work_Codes!$I$372,$D$294:$D$296,0)))</f>
        <v>0</v>
      </c>
      <c r="R388" s="81">
        <f ca="1">R368*(INDEX(R$294:R$296,MATCH(Work_Codes!$I$372,$D$294:$D$296,0)))</f>
        <v>0</v>
      </c>
      <c r="S388" s="81">
        <f ca="1">S368*(INDEX(S$294:S$296,MATCH(Work_Codes!$I$372,$D$294:$D$296,0)))</f>
        <v>0</v>
      </c>
      <c r="T388" s="81">
        <f ca="1">T368*(INDEX(T$294:T$296,MATCH(Work_Codes!$I$372,$D$294:$D$296,0)))</f>
        <v>0</v>
      </c>
    </row>
    <row r="389" spans="4:20" outlineLevel="2">
      <c r="E389" s="247" t="str">
        <f>GC!C42</f>
        <v>Service pipes</v>
      </c>
      <c r="F389" s="247"/>
      <c r="G389" s="247"/>
      <c r="H389" s="247"/>
      <c r="I389" s="247"/>
      <c r="J389" s="81">
        <f ca="1">J369*(INDEX(J$294:J$296,MATCH(Work_Codes!$I$372,$D$294:$D$296,0)))</f>
        <v>0</v>
      </c>
      <c r="K389" s="81">
        <f ca="1">K369*(INDEX(K$294:K$296,MATCH(Work_Codes!$I$372,$D$294:$D$296,0)))</f>
        <v>0</v>
      </c>
      <c r="L389" s="81">
        <f ca="1">L369*(INDEX(L$294:L$296,MATCH(Work_Codes!$I$372,$D$294:$D$296,0)))</f>
        <v>0</v>
      </c>
      <c r="M389" s="81">
        <f ca="1">M369*(INDEX(M$294:M$296,MATCH(Work_Codes!$I$372,$D$294:$D$296,0)))</f>
        <v>0</v>
      </c>
      <c r="N389" s="81">
        <f ca="1">N369*(INDEX(N$294:N$296,MATCH(Work_Codes!$I$372,$D$294:$D$296,0)))</f>
        <v>0</v>
      </c>
      <c r="O389" s="81">
        <f ca="1">O369*(INDEX(O$294:O$296,MATCH(Work_Codes!$I$372,$D$294:$D$296,0)))</f>
        <v>0</v>
      </c>
      <c r="P389" s="81">
        <f ca="1">P369*(INDEX(P$294:P$296,MATCH(Work_Codes!$I$372,$D$294:$D$296,0)))</f>
        <v>0</v>
      </c>
      <c r="Q389" s="81">
        <f ca="1">Q369*(INDEX(Q$294:Q$296,MATCH(Work_Codes!$I$372,$D$294:$D$296,0)))</f>
        <v>0</v>
      </c>
      <c r="R389" s="81">
        <f ca="1">R369*(INDEX(R$294:R$296,MATCH(Work_Codes!$I$372,$D$294:$D$296,0)))</f>
        <v>0</v>
      </c>
      <c r="S389" s="81">
        <f ca="1">S369*(INDEX(S$294:S$296,MATCH(Work_Codes!$I$372,$D$294:$D$296,0)))</f>
        <v>0</v>
      </c>
      <c r="T389" s="81">
        <f ca="1">T369*(INDEX(T$294:T$296,MATCH(Work_Codes!$I$372,$D$294:$D$296,0)))</f>
        <v>0</v>
      </c>
    </row>
    <row r="390" spans="4:20" outlineLevel="2">
      <c r="E390" s="247" t="str">
        <f>GC!C43</f>
        <v>Cathodic protection</v>
      </c>
      <c r="F390" s="247"/>
      <c r="G390" s="247"/>
      <c r="H390" s="247"/>
      <c r="I390" s="247"/>
      <c r="J390" s="81">
        <f ca="1">J370*(INDEX(J$294:J$296,MATCH(Work_Codes!$I$372,$D$294:$D$296,0)))</f>
        <v>0</v>
      </c>
      <c r="K390" s="81">
        <f ca="1">K370*(INDEX(K$294:K$296,MATCH(Work_Codes!$I$372,$D$294:$D$296,0)))</f>
        <v>0</v>
      </c>
      <c r="L390" s="81">
        <f ca="1">L370*(INDEX(L$294:L$296,MATCH(Work_Codes!$I$372,$D$294:$D$296,0)))</f>
        <v>0</v>
      </c>
      <c r="M390" s="81">
        <f ca="1">M370*(INDEX(M$294:M$296,MATCH(Work_Codes!$I$372,$D$294:$D$296,0)))</f>
        <v>0</v>
      </c>
      <c r="N390" s="81">
        <f ca="1">N370*(INDEX(N$294:N$296,MATCH(Work_Codes!$I$372,$D$294:$D$296,0)))</f>
        <v>0</v>
      </c>
      <c r="O390" s="81">
        <f ca="1">O370*(INDEX(O$294:O$296,MATCH(Work_Codes!$I$372,$D$294:$D$296,0)))</f>
        <v>0</v>
      </c>
      <c r="P390" s="81">
        <f ca="1">P370*(INDEX(P$294:P$296,MATCH(Work_Codes!$I$372,$D$294:$D$296,0)))</f>
        <v>0</v>
      </c>
      <c r="Q390" s="81">
        <f ca="1">Q370*(INDEX(Q$294:Q$296,MATCH(Work_Codes!$I$372,$D$294:$D$296,0)))</f>
        <v>0</v>
      </c>
      <c r="R390" s="81">
        <f ca="1">R370*(INDEX(R$294:R$296,MATCH(Work_Codes!$I$372,$D$294:$D$296,0)))</f>
        <v>0</v>
      </c>
      <c r="S390" s="81">
        <f ca="1">S370*(INDEX(S$294:S$296,MATCH(Work_Codes!$I$372,$D$294:$D$296,0)))</f>
        <v>0</v>
      </c>
      <c r="T390" s="81">
        <f ca="1">T370*(INDEX(T$294:T$296,MATCH(Work_Codes!$I$372,$D$294:$D$296,0)))</f>
        <v>0</v>
      </c>
    </row>
    <row r="391" spans="4:20" outlineLevel="2">
      <c r="E391" s="247" t="str">
        <f>GC!C44</f>
        <v>Supply Regulators / Valve Stations</v>
      </c>
      <c r="F391" s="247"/>
      <c r="G391" s="247"/>
      <c r="H391" s="247"/>
      <c r="I391" s="247"/>
      <c r="J391" s="81">
        <f ca="1">J371*(INDEX(J$294:J$296,MATCH(Work_Codes!$I$372,$D$294:$D$296,0)))</f>
        <v>0</v>
      </c>
      <c r="K391" s="81">
        <f ca="1">K371*(INDEX(K$294:K$296,MATCH(Work_Codes!$I$372,$D$294:$D$296,0)))</f>
        <v>0</v>
      </c>
      <c r="L391" s="81">
        <f ca="1">L371*(INDEX(L$294:L$296,MATCH(Work_Codes!$I$372,$D$294:$D$296,0)))</f>
        <v>0</v>
      </c>
      <c r="M391" s="81">
        <f ca="1">M371*(INDEX(M$294:M$296,MATCH(Work_Codes!$I$372,$D$294:$D$296,0)))</f>
        <v>0</v>
      </c>
      <c r="N391" s="81">
        <f ca="1">N371*(INDEX(N$294:N$296,MATCH(Work_Codes!$I$372,$D$294:$D$296,0)))</f>
        <v>0</v>
      </c>
      <c r="O391" s="81">
        <f ca="1">O371*(INDEX(O$294:O$296,MATCH(Work_Codes!$I$372,$D$294:$D$296,0)))</f>
        <v>0</v>
      </c>
      <c r="P391" s="81">
        <f ca="1">P371*(INDEX(P$294:P$296,MATCH(Work_Codes!$I$372,$D$294:$D$296,0)))</f>
        <v>0</v>
      </c>
      <c r="Q391" s="81">
        <f ca="1">Q371*(INDEX(Q$294:Q$296,MATCH(Work_Codes!$I$372,$D$294:$D$296,0)))</f>
        <v>0</v>
      </c>
      <c r="R391" s="81">
        <f ca="1">R371*(INDEX(R$294:R$296,MATCH(Work_Codes!$I$372,$D$294:$D$296,0)))</f>
        <v>0</v>
      </c>
      <c r="S391" s="81">
        <f ca="1">S371*(INDEX(S$294:S$296,MATCH(Work_Codes!$I$372,$D$294:$D$296,0)))</f>
        <v>0</v>
      </c>
      <c r="T391" s="81">
        <f ca="1">T371*(INDEX(T$294:T$296,MATCH(Work_Codes!$I$372,$D$294:$D$296,0)))</f>
        <v>0</v>
      </c>
    </row>
    <row r="392" spans="4:20" outlineLevel="2">
      <c r="E392" s="247" t="str">
        <f>GC!C45</f>
        <v>Meters</v>
      </c>
      <c r="F392" s="247"/>
      <c r="G392" s="247"/>
      <c r="H392" s="247"/>
      <c r="I392" s="247"/>
      <c r="J392" s="81">
        <f ca="1">J372*(INDEX(J$294:J$296,MATCH(Work_Codes!$I$372,$D$294:$D$296,0)))</f>
        <v>0</v>
      </c>
      <c r="K392" s="81">
        <f ca="1">K372*(INDEX(K$294:K$296,MATCH(Work_Codes!$I$372,$D$294:$D$296,0)))</f>
        <v>0</v>
      </c>
      <c r="L392" s="81">
        <f ca="1">L372*(INDEX(L$294:L$296,MATCH(Work_Codes!$I$372,$D$294:$D$296,0)))</f>
        <v>0</v>
      </c>
      <c r="M392" s="81">
        <f ca="1">M372*(INDEX(M$294:M$296,MATCH(Work_Codes!$I$372,$D$294:$D$296,0)))</f>
        <v>0</v>
      </c>
      <c r="N392" s="81">
        <f ca="1">N372*(INDEX(N$294:N$296,MATCH(Work_Codes!$I$372,$D$294:$D$296,0)))</f>
        <v>25452.898008674521</v>
      </c>
      <c r="O392" s="81">
        <f ca="1">O372*(INDEX(O$294:O$296,MATCH(Work_Codes!$I$372,$D$294:$D$296,0)))</f>
        <v>29775.257617049509</v>
      </c>
      <c r="P392" s="81">
        <f ca="1">P372*(INDEX(P$294:P$296,MATCH(Work_Codes!$I$372,$D$294:$D$296,0)))</f>
        <v>32172.069363230952</v>
      </c>
      <c r="Q392" s="81">
        <f ca="1">Q372*(INDEX(Q$294:Q$296,MATCH(Work_Codes!$I$372,$D$294:$D$296,0)))</f>
        <v>31923.990261750285</v>
      </c>
      <c r="R392" s="81">
        <f ca="1">R372*(INDEX(R$294:R$296,MATCH(Work_Codes!$I$372,$D$294:$D$296,0)))</f>
        <v>33513.722343315967</v>
      </c>
      <c r="S392" s="81">
        <f ca="1">S372*(INDEX(S$294:S$296,MATCH(Work_Codes!$I$372,$D$294:$D$296,0)))</f>
        <v>35145.434788124192</v>
      </c>
      <c r="T392" s="81">
        <f ca="1">T372*(INDEX(T$294:T$296,MATCH(Work_Codes!$I$372,$D$294:$D$296,0)))</f>
        <v>36339.490089393832</v>
      </c>
    </row>
    <row r="393" spans="4:20" outlineLevel="2">
      <c r="E393" s="247" t="str">
        <f>GC!C46</f>
        <v>SCADA and remote control</v>
      </c>
      <c r="F393" s="247"/>
      <c r="G393" s="247"/>
      <c r="H393" s="247"/>
      <c r="I393" s="247"/>
      <c r="J393" s="81">
        <f ca="1">J373*(INDEX(J$294:J$296,MATCH(Work_Codes!$I$372,$D$294:$D$296,0)))</f>
        <v>0</v>
      </c>
      <c r="K393" s="81">
        <f ca="1">K373*(INDEX(K$294:K$296,MATCH(Work_Codes!$I$372,$D$294:$D$296,0)))</f>
        <v>0</v>
      </c>
      <c r="L393" s="81">
        <f ca="1">L373*(INDEX(L$294:L$296,MATCH(Work_Codes!$I$372,$D$294:$D$296,0)))</f>
        <v>0</v>
      </c>
      <c r="M393" s="81">
        <f ca="1">M373*(INDEX(M$294:M$296,MATCH(Work_Codes!$I$372,$D$294:$D$296,0)))</f>
        <v>0</v>
      </c>
      <c r="N393" s="81">
        <f ca="1">N373*(INDEX(N$294:N$296,MATCH(Work_Codes!$I$372,$D$294:$D$296,0)))</f>
        <v>0</v>
      </c>
      <c r="O393" s="81">
        <f ca="1">O373*(INDEX(O$294:O$296,MATCH(Work_Codes!$I$372,$D$294:$D$296,0)))</f>
        <v>0</v>
      </c>
      <c r="P393" s="81">
        <f ca="1">P373*(INDEX(P$294:P$296,MATCH(Work_Codes!$I$372,$D$294:$D$296,0)))</f>
        <v>0</v>
      </c>
      <c r="Q393" s="81">
        <f ca="1">Q373*(INDEX(Q$294:Q$296,MATCH(Work_Codes!$I$372,$D$294:$D$296,0)))</f>
        <v>0</v>
      </c>
      <c r="R393" s="81">
        <f ca="1">R373*(INDEX(R$294:R$296,MATCH(Work_Codes!$I$372,$D$294:$D$296,0)))</f>
        <v>0</v>
      </c>
      <c r="S393" s="81">
        <f ca="1">S373*(INDEX(S$294:S$296,MATCH(Work_Codes!$I$372,$D$294:$D$296,0)))</f>
        <v>0</v>
      </c>
      <c r="T393" s="81">
        <f ca="1">T373*(INDEX(T$294:T$296,MATCH(Work_Codes!$I$372,$D$294:$D$296,0)))</f>
        <v>0</v>
      </c>
    </row>
    <row r="394" spans="4:20" outlineLevel="2">
      <c r="E394" s="247" t="str">
        <f>GC!C47</f>
        <v>Buildings</v>
      </c>
      <c r="F394" s="247"/>
      <c r="G394" s="247"/>
      <c r="H394" s="247"/>
      <c r="I394" s="247"/>
      <c r="J394" s="81">
        <f ca="1">J374*(INDEX(J$294:J$296,MATCH(Work_Codes!$I$372,$D$294:$D$296,0)))</f>
        <v>0</v>
      </c>
      <c r="K394" s="81">
        <f ca="1">K374*(INDEX(K$294:K$296,MATCH(Work_Codes!$I$372,$D$294:$D$296,0)))</f>
        <v>0</v>
      </c>
      <c r="L394" s="81">
        <f ca="1">L374*(INDEX(L$294:L$296,MATCH(Work_Codes!$I$372,$D$294:$D$296,0)))</f>
        <v>0</v>
      </c>
      <c r="M394" s="81">
        <f ca="1">M374*(INDEX(M$294:M$296,MATCH(Work_Codes!$I$372,$D$294:$D$296,0)))</f>
        <v>0</v>
      </c>
      <c r="N394" s="81">
        <f ca="1">N374*(INDEX(N$294:N$296,MATCH(Work_Codes!$I$372,$D$294:$D$296,0)))</f>
        <v>0</v>
      </c>
      <c r="O394" s="81">
        <f ca="1">O374*(INDEX(O$294:O$296,MATCH(Work_Codes!$I$372,$D$294:$D$296,0)))</f>
        <v>0</v>
      </c>
      <c r="P394" s="81">
        <f ca="1">P374*(INDEX(P$294:P$296,MATCH(Work_Codes!$I$372,$D$294:$D$296,0)))</f>
        <v>0</v>
      </c>
      <c r="Q394" s="81">
        <f ca="1">Q374*(INDEX(Q$294:Q$296,MATCH(Work_Codes!$I$372,$D$294:$D$296,0)))</f>
        <v>0</v>
      </c>
      <c r="R394" s="81">
        <f ca="1">R374*(INDEX(R$294:R$296,MATCH(Work_Codes!$I$372,$D$294:$D$296,0)))</f>
        <v>0</v>
      </c>
      <c r="S394" s="81">
        <f ca="1">S374*(INDEX(S$294:S$296,MATCH(Work_Codes!$I$372,$D$294:$D$296,0)))</f>
        <v>0</v>
      </c>
      <c r="T394" s="81">
        <f ca="1">T374*(INDEX(T$294:T$296,MATCH(Work_Codes!$I$372,$D$294:$D$296,0)))</f>
        <v>0</v>
      </c>
    </row>
    <row r="395" spans="4:20" outlineLevel="2">
      <c r="E395" s="247" t="str">
        <f>GC!C48</f>
        <v>Other - IT</v>
      </c>
      <c r="F395" s="247"/>
      <c r="G395" s="247"/>
      <c r="H395" s="247"/>
      <c r="I395" s="247"/>
      <c r="J395" s="81">
        <f ca="1">J375*(INDEX(J$294:J$296,MATCH(Work_Codes!$I$372,$D$294:$D$296,0)))</f>
        <v>0</v>
      </c>
      <c r="K395" s="81">
        <f ca="1">K375*(INDEX(K$294:K$296,MATCH(Work_Codes!$I$372,$D$294:$D$296,0)))</f>
        <v>0</v>
      </c>
      <c r="L395" s="81">
        <f ca="1">L375*(INDEX(L$294:L$296,MATCH(Work_Codes!$I$372,$D$294:$D$296,0)))</f>
        <v>0</v>
      </c>
      <c r="M395" s="81">
        <f ca="1">M375*(INDEX(M$294:M$296,MATCH(Work_Codes!$I$372,$D$294:$D$296,0)))</f>
        <v>0</v>
      </c>
      <c r="N395" s="81">
        <f ca="1">N375*(INDEX(N$294:N$296,MATCH(Work_Codes!$I$372,$D$294:$D$296,0)))</f>
        <v>0</v>
      </c>
      <c r="O395" s="81">
        <f ca="1">O375*(INDEX(O$294:O$296,MATCH(Work_Codes!$I$372,$D$294:$D$296,0)))</f>
        <v>0</v>
      </c>
      <c r="P395" s="81">
        <f ca="1">P375*(INDEX(P$294:P$296,MATCH(Work_Codes!$I$372,$D$294:$D$296,0)))</f>
        <v>0</v>
      </c>
      <c r="Q395" s="81">
        <f ca="1">Q375*(INDEX(Q$294:Q$296,MATCH(Work_Codes!$I$372,$D$294:$D$296,0)))</f>
        <v>0</v>
      </c>
      <c r="R395" s="81">
        <f ca="1">R375*(INDEX(R$294:R$296,MATCH(Work_Codes!$I$372,$D$294:$D$296,0)))</f>
        <v>0</v>
      </c>
      <c r="S395" s="81">
        <f ca="1">S375*(INDEX(S$294:S$296,MATCH(Work_Codes!$I$372,$D$294:$D$296,0)))</f>
        <v>0</v>
      </c>
      <c r="T395" s="81">
        <f ca="1">T375*(INDEX(T$294:T$296,MATCH(Work_Codes!$I$372,$D$294:$D$296,0)))</f>
        <v>0</v>
      </c>
    </row>
    <row r="396" spans="4:20" outlineLevel="2">
      <c r="E396" s="247" t="str">
        <f>GC!C49</f>
        <v>Other - non IT</v>
      </c>
      <c r="F396" s="247"/>
      <c r="G396" s="247"/>
      <c r="H396" s="247"/>
      <c r="I396" s="247"/>
      <c r="J396" s="81">
        <f ca="1">J376*(INDEX(J$294:J$296,MATCH(Work_Codes!$I$372,$D$294:$D$296,0)))</f>
        <v>0</v>
      </c>
      <c r="K396" s="81">
        <f ca="1">K376*(INDEX(K$294:K$296,MATCH(Work_Codes!$I$372,$D$294:$D$296,0)))</f>
        <v>0</v>
      </c>
      <c r="L396" s="81">
        <f ca="1">L376*(INDEX(L$294:L$296,MATCH(Work_Codes!$I$372,$D$294:$D$296,0)))</f>
        <v>0</v>
      </c>
      <c r="M396" s="81">
        <f ca="1">M376*(INDEX(M$294:M$296,MATCH(Work_Codes!$I$372,$D$294:$D$296,0)))</f>
        <v>0</v>
      </c>
      <c r="N396" s="81">
        <f ca="1">N376*(INDEX(N$294:N$296,MATCH(Work_Codes!$I$372,$D$294:$D$296,0)))</f>
        <v>0</v>
      </c>
      <c r="O396" s="81">
        <f ca="1">O376*(INDEX(O$294:O$296,MATCH(Work_Codes!$I$372,$D$294:$D$296,0)))</f>
        <v>0</v>
      </c>
      <c r="P396" s="81">
        <f ca="1">P376*(INDEX(P$294:P$296,MATCH(Work_Codes!$I$372,$D$294:$D$296,0)))</f>
        <v>0</v>
      </c>
      <c r="Q396" s="81">
        <f ca="1">Q376*(INDEX(Q$294:Q$296,MATCH(Work_Codes!$I$372,$D$294:$D$296,0)))</f>
        <v>0</v>
      </c>
      <c r="R396" s="81">
        <f ca="1">R376*(INDEX(R$294:R$296,MATCH(Work_Codes!$I$372,$D$294:$D$296,0)))</f>
        <v>0</v>
      </c>
      <c r="S396" s="81">
        <f ca="1">S376*(INDEX(S$294:S$296,MATCH(Work_Codes!$I$372,$D$294:$D$296,0)))</f>
        <v>0</v>
      </c>
      <c r="T396" s="81">
        <f ca="1">T376*(INDEX(T$294:T$296,MATCH(Work_Codes!$I$372,$D$294:$D$296,0)))</f>
        <v>0</v>
      </c>
    </row>
    <row r="397" spans="4:20" outlineLevel="2">
      <c r="E397" s="247" t="str">
        <f>GC!C50</f>
        <v>Land</v>
      </c>
      <c r="F397" s="247"/>
      <c r="G397" s="247"/>
      <c r="H397" s="247"/>
      <c r="I397" s="247"/>
      <c r="J397" s="81">
        <f ca="1">J377*(INDEX(J$294:J$296,MATCH(Work_Codes!$I$372,$D$294:$D$296,0)))</f>
        <v>0</v>
      </c>
      <c r="K397" s="81">
        <f ca="1">K377*(INDEX(K$294:K$296,MATCH(Work_Codes!$I$372,$D$294:$D$296,0)))</f>
        <v>0</v>
      </c>
      <c r="L397" s="81">
        <f ca="1">L377*(INDEX(L$294:L$296,MATCH(Work_Codes!$I$372,$D$294:$D$296,0)))</f>
        <v>0</v>
      </c>
      <c r="M397" s="81">
        <f ca="1">M377*(INDEX(M$294:M$296,MATCH(Work_Codes!$I$372,$D$294:$D$296,0)))</f>
        <v>0</v>
      </c>
      <c r="N397" s="81">
        <f ca="1">N377*(INDEX(N$294:N$296,MATCH(Work_Codes!$I$372,$D$294:$D$296,0)))</f>
        <v>0</v>
      </c>
      <c r="O397" s="81">
        <f ca="1">O377*(INDEX(O$294:O$296,MATCH(Work_Codes!$I$372,$D$294:$D$296,0)))</f>
        <v>0</v>
      </c>
      <c r="P397" s="81">
        <f ca="1">P377*(INDEX(P$294:P$296,MATCH(Work_Codes!$I$372,$D$294:$D$296,0)))</f>
        <v>0</v>
      </c>
      <c r="Q397" s="81">
        <f ca="1">Q377*(INDEX(Q$294:Q$296,MATCH(Work_Codes!$I$372,$D$294:$D$296,0)))</f>
        <v>0</v>
      </c>
      <c r="R397" s="81">
        <f ca="1">R377*(INDEX(R$294:R$296,MATCH(Work_Codes!$I$372,$D$294:$D$296,0)))</f>
        <v>0</v>
      </c>
      <c r="S397" s="81">
        <f ca="1">S377*(INDEX(S$294:S$296,MATCH(Work_Codes!$I$372,$D$294:$D$296,0)))</f>
        <v>0</v>
      </c>
      <c r="T397" s="81">
        <f ca="1">T377*(INDEX(T$294:T$296,MATCH(Work_Codes!$I$372,$D$294:$D$296,0)))</f>
        <v>0</v>
      </c>
    </row>
    <row r="398" spans="4:20" outlineLevel="2">
      <c r="E398" s="247" t="str">
        <f>GC!C51</f>
        <v>Capitalised Leases</v>
      </c>
      <c r="F398" s="247"/>
      <c r="G398" s="247"/>
      <c r="H398" s="247"/>
      <c r="I398" s="247"/>
      <c r="J398" s="81">
        <f ca="1">J378*(INDEX(J$294:J$296,MATCH(Work_Codes!$I$372,$D$294:$D$296,0)))</f>
        <v>0</v>
      </c>
      <c r="K398" s="81">
        <f ca="1">K378*(INDEX(K$294:K$296,MATCH(Work_Codes!$I$372,$D$294:$D$296,0)))</f>
        <v>0</v>
      </c>
      <c r="L398" s="81">
        <f ca="1">L378*(INDEX(L$294:L$296,MATCH(Work_Codes!$I$372,$D$294:$D$296,0)))</f>
        <v>0</v>
      </c>
      <c r="M398" s="81">
        <f ca="1">M378*(INDEX(M$294:M$296,MATCH(Work_Codes!$I$372,$D$294:$D$296,0)))</f>
        <v>0</v>
      </c>
      <c r="N398" s="81">
        <f ca="1">N378*(INDEX(N$294:N$296,MATCH(Work_Codes!$I$372,$D$294:$D$296,0)))</f>
        <v>0</v>
      </c>
      <c r="O398" s="81">
        <f ca="1">O378*(INDEX(O$294:O$296,MATCH(Work_Codes!$I$372,$D$294:$D$296,0)))</f>
        <v>0</v>
      </c>
      <c r="P398" s="81">
        <f ca="1">P378*(INDEX(P$294:P$296,MATCH(Work_Codes!$I$372,$D$294:$D$296,0)))</f>
        <v>0</v>
      </c>
      <c r="Q398" s="81">
        <f ca="1">Q378*(INDEX(Q$294:Q$296,MATCH(Work_Codes!$I$372,$D$294:$D$296,0)))</f>
        <v>0</v>
      </c>
      <c r="R398" s="81">
        <f ca="1">R378*(INDEX(R$294:R$296,MATCH(Work_Codes!$I$372,$D$294:$D$296,0)))</f>
        <v>0</v>
      </c>
      <c r="S398" s="81">
        <f ca="1">S378*(INDEX(S$294:S$296,MATCH(Work_Codes!$I$372,$D$294:$D$296,0)))</f>
        <v>0</v>
      </c>
      <c r="T398" s="81">
        <f ca="1">T378*(INDEX(T$294:T$296,MATCH(Work_Codes!$I$372,$D$294:$D$296,0)))</f>
        <v>0</v>
      </c>
    </row>
    <row r="399" spans="4:20" outlineLevel="2">
      <c r="E399" s="247" t="str">
        <f>GC!C52</f>
        <v>Transmission pipelines - post 1998</v>
      </c>
      <c r="F399" s="247"/>
      <c r="G399" s="247"/>
      <c r="H399" s="247"/>
      <c r="I399" s="247"/>
      <c r="J399" s="81">
        <f ca="1">J379*(INDEX(J$294:J$296,MATCH(Work_Codes!$I$372,$D$294:$D$296,0)))</f>
        <v>0</v>
      </c>
      <c r="K399" s="81">
        <f ca="1">K379*(INDEX(K$294:K$296,MATCH(Work_Codes!$I$372,$D$294:$D$296,0)))</f>
        <v>0</v>
      </c>
      <c r="L399" s="81">
        <f ca="1">L379*(INDEX(L$294:L$296,MATCH(Work_Codes!$I$372,$D$294:$D$296,0)))</f>
        <v>0</v>
      </c>
      <c r="M399" s="81">
        <f ca="1">M379*(INDEX(M$294:M$296,MATCH(Work_Codes!$I$372,$D$294:$D$296,0)))</f>
        <v>0</v>
      </c>
      <c r="N399" s="81">
        <f ca="1">N379*(INDEX(N$294:N$296,MATCH(Work_Codes!$I$372,$D$294:$D$296,0)))</f>
        <v>0</v>
      </c>
      <c r="O399" s="81">
        <f ca="1">O379*(INDEX(O$294:O$296,MATCH(Work_Codes!$I$372,$D$294:$D$296,0)))</f>
        <v>0</v>
      </c>
      <c r="P399" s="81">
        <f ca="1">P379*(INDEX(P$294:P$296,MATCH(Work_Codes!$I$372,$D$294:$D$296,0)))</f>
        <v>0</v>
      </c>
      <c r="Q399" s="81">
        <f ca="1">Q379*(INDEX(Q$294:Q$296,MATCH(Work_Codes!$I$372,$D$294:$D$296,0)))</f>
        <v>0</v>
      </c>
      <c r="R399" s="81">
        <f ca="1">R379*(INDEX(R$294:R$296,MATCH(Work_Codes!$I$372,$D$294:$D$296,0)))</f>
        <v>0</v>
      </c>
      <c r="S399" s="81">
        <f ca="1">S379*(INDEX(S$294:S$296,MATCH(Work_Codes!$I$372,$D$294:$D$296,0)))</f>
        <v>0</v>
      </c>
      <c r="T399" s="81">
        <f ca="1">T379*(INDEX(T$294:T$296,MATCH(Work_Codes!$I$372,$D$294:$D$296,0)))</f>
        <v>0</v>
      </c>
    </row>
    <row r="400" spans="4:20" outlineLevel="2">
      <c r="E400" s="247" t="str">
        <f>GC!C53</f>
        <v>Distribution pipelines - post 1998</v>
      </c>
      <c r="F400" s="247"/>
      <c r="G400" s="247"/>
      <c r="H400" s="247"/>
      <c r="I400" s="247"/>
      <c r="J400" s="81">
        <f ca="1">J380*(INDEX(J$294:J$296,MATCH(Work_Codes!$I$372,$D$294:$D$296,0)))</f>
        <v>0</v>
      </c>
      <c r="K400" s="81">
        <f ca="1">K380*(INDEX(K$294:K$296,MATCH(Work_Codes!$I$372,$D$294:$D$296,0)))</f>
        <v>0</v>
      </c>
      <c r="L400" s="81">
        <f ca="1">L380*(INDEX(L$294:L$296,MATCH(Work_Codes!$I$372,$D$294:$D$296,0)))</f>
        <v>0</v>
      </c>
      <c r="M400" s="81">
        <f ca="1">M380*(INDEX(M$294:M$296,MATCH(Work_Codes!$I$372,$D$294:$D$296,0)))</f>
        <v>0</v>
      </c>
      <c r="N400" s="81">
        <f ca="1">N380*(INDEX(N$294:N$296,MATCH(Work_Codes!$I$372,$D$294:$D$296,0)))</f>
        <v>30543.47761040942</v>
      </c>
      <c r="O400" s="81">
        <f ca="1">O380*(INDEX(O$294:O$296,MATCH(Work_Codes!$I$372,$D$294:$D$296,0)))</f>
        <v>35730.309140459409</v>
      </c>
      <c r="P400" s="81">
        <f ca="1">P380*(INDEX(P$294:P$296,MATCH(Work_Codes!$I$372,$D$294:$D$296,0)))</f>
        <v>38606.483235877145</v>
      </c>
      <c r="Q400" s="81">
        <f ca="1">Q380*(INDEX(Q$294:Q$296,MATCH(Work_Codes!$I$372,$D$294:$D$296,0)))</f>
        <v>38308.78831410034</v>
      </c>
      <c r="R400" s="81">
        <f ca="1">R380*(INDEX(R$294:R$296,MATCH(Work_Codes!$I$372,$D$294:$D$296,0)))</f>
        <v>40216.46681197916</v>
      </c>
      <c r="S400" s="81">
        <f ca="1">S380*(INDEX(S$294:S$296,MATCH(Work_Codes!$I$372,$D$294:$D$296,0)))</f>
        <v>42174.521745749029</v>
      </c>
      <c r="T400" s="81">
        <f ca="1">T380*(INDEX(T$294:T$296,MATCH(Work_Codes!$I$372,$D$294:$D$296,0)))</f>
        <v>43607.388107272593</v>
      </c>
    </row>
    <row r="401" spans="4:20" outlineLevel="2">
      <c r="E401" s="247" t="str">
        <f>GC!C54</f>
        <v>Service pipes - post 1998</v>
      </c>
      <c r="F401" s="247"/>
      <c r="G401" s="247"/>
      <c r="H401" s="247"/>
      <c r="I401" s="247"/>
      <c r="J401" s="81">
        <f ca="1">J381*(INDEX(J$294:J$296,MATCH(Work_Codes!$I$372,$D$294:$D$296,0)))</f>
        <v>0</v>
      </c>
      <c r="K401" s="81">
        <f ca="1">K381*(INDEX(K$294:K$296,MATCH(Work_Codes!$I$372,$D$294:$D$296,0)))</f>
        <v>0</v>
      </c>
      <c r="L401" s="81">
        <f ca="1">L381*(INDEX(L$294:L$296,MATCH(Work_Codes!$I$372,$D$294:$D$296,0)))</f>
        <v>0</v>
      </c>
      <c r="M401" s="81">
        <f ca="1">M381*(INDEX(M$294:M$296,MATCH(Work_Codes!$I$372,$D$294:$D$296,0)))</f>
        <v>0</v>
      </c>
      <c r="N401" s="81">
        <f ca="1">N381*(INDEX(N$294:N$296,MATCH(Work_Codes!$I$372,$D$294:$D$296,0)))</f>
        <v>45815.216415614137</v>
      </c>
      <c r="O401" s="81">
        <f ca="1">O381*(INDEX(O$294:O$296,MATCH(Work_Codes!$I$372,$D$294:$D$296,0)))</f>
        <v>53595.463710689124</v>
      </c>
      <c r="P401" s="81">
        <f ca="1">P381*(INDEX(P$294:P$296,MATCH(Work_Codes!$I$372,$D$294:$D$296,0)))</f>
        <v>57909.724853815715</v>
      </c>
      <c r="Q401" s="81">
        <f ca="1">Q381*(INDEX(Q$294:Q$296,MATCH(Work_Codes!$I$372,$D$294:$D$296,0)))</f>
        <v>57463.182471150518</v>
      </c>
      <c r="R401" s="81">
        <f ca="1">R381*(INDEX(R$294:R$296,MATCH(Work_Codes!$I$372,$D$294:$D$296,0)))</f>
        <v>60324.700217968741</v>
      </c>
      <c r="S401" s="81">
        <f ca="1">S381*(INDEX(S$294:S$296,MATCH(Work_Codes!$I$372,$D$294:$D$296,0)))</f>
        <v>63261.782618623547</v>
      </c>
      <c r="T401" s="81">
        <f ca="1">T381*(INDEX(T$294:T$296,MATCH(Work_Codes!$I$372,$D$294:$D$296,0)))</f>
        <v>65411.082160908889</v>
      </c>
    </row>
    <row r="402" spans="4:20" outlineLevel="2">
      <c r="E402" s="247" t="str">
        <f>GC!C55</f>
        <v>Cathodic protection - post 1998</v>
      </c>
      <c r="F402" s="247"/>
      <c r="G402" s="247"/>
      <c r="H402" s="247"/>
      <c r="I402" s="247"/>
      <c r="J402" s="81">
        <f ca="1">J382*(INDEX(J$294:J$296,MATCH(Work_Codes!$I$372,$D$294:$D$296,0)))</f>
        <v>0</v>
      </c>
      <c r="K402" s="81">
        <f ca="1">K382*(INDEX(K$294:K$296,MATCH(Work_Codes!$I$372,$D$294:$D$296,0)))</f>
        <v>0</v>
      </c>
      <c r="L402" s="81">
        <f ca="1">L382*(INDEX(L$294:L$296,MATCH(Work_Codes!$I$372,$D$294:$D$296,0)))</f>
        <v>0</v>
      </c>
      <c r="M402" s="81">
        <f ca="1">M382*(INDEX(M$294:M$296,MATCH(Work_Codes!$I$372,$D$294:$D$296,0)))</f>
        <v>0</v>
      </c>
      <c r="N402" s="81">
        <f ca="1">N382*(INDEX(N$294:N$296,MATCH(Work_Codes!$I$372,$D$294:$D$296,0)))</f>
        <v>0</v>
      </c>
      <c r="O402" s="81">
        <f ca="1">O382*(INDEX(O$294:O$296,MATCH(Work_Codes!$I$372,$D$294:$D$296,0)))</f>
        <v>0</v>
      </c>
      <c r="P402" s="81">
        <f ca="1">P382*(INDEX(P$294:P$296,MATCH(Work_Codes!$I$372,$D$294:$D$296,0)))</f>
        <v>0</v>
      </c>
      <c r="Q402" s="81">
        <f ca="1">Q382*(INDEX(Q$294:Q$296,MATCH(Work_Codes!$I$372,$D$294:$D$296,0)))</f>
        <v>0</v>
      </c>
      <c r="R402" s="81">
        <f ca="1">R382*(INDEX(R$294:R$296,MATCH(Work_Codes!$I$372,$D$294:$D$296,0)))</f>
        <v>0</v>
      </c>
      <c r="S402" s="81">
        <f ca="1">S382*(INDEX(S$294:S$296,MATCH(Work_Codes!$I$372,$D$294:$D$296,0)))</f>
        <v>0</v>
      </c>
      <c r="T402" s="81">
        <f ca="1">T382*(INDEX(T$294:T$296,MATCH(Work_Codes!$I$372,$D$294:$D$296,0)))</f>
        <v>0</v>
      </c>
    </row>
    <row r="403" spans="4:20" outlineLevel="2">
      <c r="E403" s="249" t="str">
        <f>"Total "&amp;D385</f>
        <v>Total Overheads</v>
      </c>
      <c r="F403" s="249"/>
      <c r="G403" s="249"/>
      <c r="H403" s="249"/>
      <c r="I403" s="249"/>
      <c r="J403" s="82">
        <f t="shared" ref="J403:T403" ca="1" si="41">SUM(J387:J402)</f>
        <v>0</v>
      </c>
      <c r="K403" s="82">
        <f t="shared" ca="1" si="41"/>
        <v>0</v>
      </c>
      <c r="L403" s="82">
        <f t="shared" ca="1" si="41"/>
        <v>0</v>
      </c>
      <c r="M403" s="82">
        <f t="shared" ca="1" si="41"/>
        <v>0</v>
      </c>
      <c r="N403" s="82">
        <f t="shared" ca="1" si="41"/>
        <v>101811.59203469809</v>
      </c>
      <c r="O403" s="82">
        <f t="shared" ca="1" si="41"/>
        <v>119101.03046819803</v>
      </c>
      <c r="P403" s="82">
        <f t="shared" ca="1" si="41"/>
        <v>128688.27745292381</v>
      </c>
      <c r="Q403" s="82">
        <f t="shared" ca="1" si="41"/>
        <v>127695.96104700114</v>
      </c>
      <c r="R403" s="82">
        <f t="shared" ca="1" si="41"/>
        <v>134054.88937326387</v>
      </c>
      <c r="S403" s="82">
        <f t="shared" ca="1" si="41"/>
        <v>140581.73915249677</v>
      </c>
      <c r="T403" s="82">
        <f t="shared" ca="1" si="41"/>
        <v>145357.96035757533</v>
      </c>
    </row>
    <row r="404" spans="4:20" outlineLevel="2"/>
    <row r="405" spans="4:20" outlineLevel="2">
      <c r="D405" s="37" t="s">
        <v>216</v>
      </c>
    </row>
    <row r="406" spans="4:20" ht="5.9" customHeight="1" outlineLevel="2"/>
    <row r="407" spans="4:20" ht="11.5" customHeight="1" outlineLevel="2">
      <c r="E407" s="247" t="str">
        <f>GC!C40</f>
        <v>Transmission pipelines</v>
      </c>
      <c r="F407" s="247"/>
      <c r="G407" s="247"/>
      <c r="H407" s="247"/>
      <c r="I407" s="247"/>
      <c r="J407" s="81">
        <f ca="1">J367*(1+INDEX(J$294:J$296,MATCH(Work_Codes!$I$372,$D$294:$D$296,0)))</f>
        <v>0</v>
      </c>
      <c r="K407" s="81">
        <f ca="1">K367*(1+INDEX(K$294:K$296,MATCH(Work_Codes!$I$372,$D$294:$D$296,0)))</f>
        <v>0</v>
      </c>
      <c r="L407" s="81">
        <f ca="1">L367*(1+INDEX(L$294:L$296,MATCH(Work_Codes!$I$372,$D$294:$D$296,0)))</f>
        <v>0</v>
      </c>
      <c r="M407" s="81">
        <f ca="1">M367*(1+INDEX(M$294:M$296,MATCH(Work_Codes!$I$372,$D$294:$D$296,0)))</f>
        <v>0</v>
      </c>
      <c r="N407" s="81">
        <f ca="1">N367*(1+INDEX(N$294:N$296,MATCH(Work_Codes!$I$372,$D$294:$D$296,0)))</f>
        <v>0</v>
      </c>
      <c r="O407" s="81">
        <f ca="1">O367*(1+INDEX(O$294:O$296,MATCH(Work_Codes!$I$372,$D$294:$D$296,0)))</f>
        <v>0</v>
      </c>
      <c r="P407" s="81">
        <f ca="1">P367*(1+INDEX(P$294:P$296,MATCH(Work_Codes!$I$372,$D$294:$D$296,0)))</f>
        <v>0</v>
      </c>
      <c r="Q407" s="81">
        <f ca="1">Q367*(1+INDEX(Q$294:Q$296,MATCH(Work_Codes!$I$372,$D$294:$D$296,0)))</f>
        <v>0</v>
      </c>
      <c r="R407" s="81">
        <f ca="1">R367*(1+INDEX(R$294:R$296,MATCH(Work_Codes!$I$372,$D$294:$D$296,0)))</f>
        <v>0</v>
      </c>
      <c r="S407" s="81">
        <f ca="1">S367*(1+INDEX(S$294:S$296,MATCH(Work_Codes!$I$372,$D$294:$D$296,0)))</f>
        <v>0</v>
      </c>
      <c r="T407" s="81">
        <f ca="1">T367*(1+INDEX(T$294:T$296,MATCH(Work_Codes!$I$372,$D$294:$D$296,0)))</f>
        <v>0</v>
      </c>
    </row>
    <row r="408" spans="4:20" ht="11.5" customHeight="1" outlineLevel="2">
      <c r="E408" s="247" t="str">
        <f>GC!C41</f>
        <v>Distribution pipelines</v>
      </c>
      <c r="F408" s="247"/>
      <c r="G408" s="247"/>
      <c r="H408" s="247"/>
      <c r="I408" s="247"/>
      <c r="J408" s="81">
        <f ca="1">J368*(1+INDEX(J$294:J$296,MATCH(Work_Codes!$I$372,$D$294:$D$296,0)))</f>
        <v>0</v>
      </c>
      <c r="K408" s="81">
        <f ca="1">K368*(1+INDEX(K$294:K$296,MATCH(Work_Codes!$I$372,$D$294:$D$296,0)))</f>
        <v>0</v>
      </c>
      <c r="L408" s="81">
        <f ca="1">L368*(1+INDEX(L$294:L$296,MATCH(Work_Codes!$I$372,$D$294:$D$296,0)))</f>
        <v>0</v>
      </c>
      <c r="M408" s="81">
        <f ca="1">M368*(1+INDEX(M$294:M$296,MATCH(Work_Codes!$I$372,$D$294:$D$296,0)))</f>
        <v>0</v>
      </c>
      <c r="N408" s="81">
        <f ca="1">N368*(1+INDEX(N$294:N$296,MATCH(Work_Codes!$I$372,$D$294:$D$296,0)))</f>
        <v>0</v>
      </c>
      <c r="O408" s="81">
        <f ca="1">O368*(1+INDEX(O$294:O$296,MATCH(Work_Codes!$I$372,$D$294:$D$296,0)))</f>
        <v>0</v>
      </c>
      <c r="P408" s="81">
        <f ca="1">P368*(1+INDEX(P$294:P$296,MATCH(Work_Codes!$I$372,$D$294:$D$296,0)))</f>
        <v>0</v>
      </c>
      <c r="Q408" s="81">
        <f ca="1">Q368*(1+INDEX(Q$294:Q$296,MATCH(Work_Codes!$I$372,$D$294:$D$296,0)))</f>
        <v>0</v>
      </c>
      <c r="R408" s="81">
        <f ca="1">R368*(1+INDEX(R$294:R$296,MATCH(Work_Codes!$I$372,$D$294:$D$296,0)))</f>
        <v>0</v>
      </c>
      <c r="S408" s="81">
        <f ca="1">S368*(1+INDEX(S$294:S$296,MATCH(Work_Codes!$I$372,$D$294:$D$296,0)))</f>
        <v>0</v>
      </c>
      <c r="T408" s="81">
        <f ca="1">T368*(1+INDEX(T$294:T$296,MATCH(Work_Codes!$I$372,$D$294:$D$296,0)))</f>
        <v>0</v>
      </c>
    </row>
    <row r="409" spans="4:20" ht="11.5" customHeight="1" outlineLevel="2">
      <c r="E409" s="247" t="str">
        <f>GC!C42</f>
        <v>Service pipes</v>
      </c>
      <c r="F409" s="247"/>
      <c r="G409" s="247"/>
      <c r="H409" s="247"/>
      <c r="I409" s="247"/>
      <c r="J409" s="81">
        <f ca="1">J369*(1+INDEX(J$294:J$296,MATCH(Work_Codes!$I$372,$D$294:$D$296,0)))</f>
        <v>0</v>
      </c>
      <c r="K409" s="81">
        <f ca="1">K369*(1+INDEX(K$294:K$296,MATCH(Work_Codes!$I$372,$D$294:$D$296,0)))</f>
        <v>0</v>
      </c>
      <c r="L409" s="81">
        <f ca="1">L369*(1+INDEX(L$294:L$296,MATCH(Work_Codes!$I$372,$D$294:$D$296,0)))</f>
        <v>0</v>
      </c>
      <c r="M409" s="81">
        <f ca="1">M369*(1+INDEX(M$294:M$296,MATCH(Work_Codes!$I$372,$D$294:$D$296,0)))</f>
        <v>0</v>
      </c>
      <c r="N409" s="81">
        <f ca="1">N369*(1+INDEX(N$294:N$296,MATCH(Work_Codes!$I$372,$D$294:$D$296,0)))</f>
        <v>0</v>
      </c>
      <c r="O409" s="81">
        <f ca="1">O369*(1+INDEX(O$294:O$296,MATCH(Work_Codes!$I$372,$D$294:$D$296,0)))</f>
        <v>0</v>
      </c>
      <c r="P409" s="81">
        <f ca="1">P369*(1+INDEX(P$294:P$296,MATCH(Work_Codes!$I$372,$D$294:$D$296,0)))</f>
        <v>0</v>
      </c>
      <c r="Q409" s="81">
        <f ca="1">Q369*(1+INDEX(Q$294:Q$296,MATCH(Work_Codes!$I$372,$D$294:$D$296,0)))</f>
        <v>0</v>
      </c>
      <c r="R409" s="81">
        <f ca="1">R369*(1+INDEX(R$294:R$296,MATCH(Work_Codes!$I$372,$D$294:$D$296,0)))</f>
        <v>0</v>
      </c>
      <c r="S409" s="81">
        <f ca="1">S369*(1+INDEX(S$294:S$296,MATCH(Work_Codes!$I$372,$D$294:$D$296,0)))</f>
        <v>0</v>
      </c>
      <c r="T409" s="81">
        <f ca="1">T369*(1+INDEX(T$294:T$296,MATCH(Work_Codes!$I$372,$D$294:$D$296,0)))</f>
        <v>0</v>
      </c>
    </row>
    <row r="410" spans="4:20" ht="11.5" customHeight="1" outlineLevel="2">
      <c r="E410" s="247" t="str">
        <f>GC!C43</f>
        <v>Cathodic protection</v>
      </c>
      <c r="F410" s="247"/>
      <c r="G410" s="247"/>
      <c r="H410" s="247"/>
      <c r="I410" s="247"/>
      <c r="J410" s="81">
        <f ca="1">J370*(1+INDEX(J$294:J$296,MATCH(Work_Codes!$I$372,$D$294:$D$296,0)))</f>
        <v>0</v>
      </c>
      <c r="K410" s="81">
        <f ca="1">K370*(1+INDEX(K$294:K$296,MATCH(Work_Codes!$I$372,$D$294:$D$296,0)))</f>
        <v>0</v>
      </c>
      <c r="L410" s="81">
        <f ca="1">L370*(1+INDEX(L$294:L$296,MATCH(Work_Codes!$I$372,$D$294:$D$296,0)))</f>
        <v>0</v>
      </c>
      <c r="M410" s="81">
        <f ca="1">M370*(1+INDEX(M$294:M$296,MATCH(Work_Codes!$I$372,$D$294:$D$296,0)))</f>
        <v>0</v>
      </c>
      <c r="N410" s="81">
        <f ca="1">N370*(1+INDEX(N$294:N$296,MATCH(Work_Codes!$I$372,$D$294:$D$296,0)))</f>
        <v>0</v>
      </c>
      <c r="O410" s="81">
        <f ca="1">O370*(1+INDEX(O$294:O$296,MATCH(Work_Codes!$I$372,$D$294:$D$296,0)))</f>
        <v>0</v>
      </c>
      <c r="P410" s="81">
        <f ca="1">P370*(1+INDEX(P$294:P$296,MATCH(Work_Codes!$I$372,$D$294:$D$296,0)))</f>
        <v>0</v>
      </c>
      <c r="Q410" s="81">
        <f ca="1">Q370*(1+INDEX(Q$294:Q$296,MATCH(Work_Codes!$I$372,$D$294:$D$296,0)))</f>
        <v>0</v>
      </c>
      <c r="R410" s="81">
        <f ca="1">R370*(1+INDEX(R$294:R$296,MATCH(Work_Codes!$I$372,$D$294:$D$296,0)))</f>
        <v>0</v>
      </c>
      <c r="S410" s="81">
        <f ca="1">S370*(1+INDEX(S$294:S$296,MATCH(Work_Codes!$I$372,$D$294:$D$296,0)))</f>
        <v>0</v>
      </c>
      <c r="T410" s="81">
        <f ca="1">T370*(1+INDEX(T$294:T$296,MATCH(Work_Codes!$I$372,$D$294:$D$296,0)))</f>
        <v>0</v>
      </c>
    </row>
    <row r="411" spans="4:20" ht="11.5" customHeight="1" outlineLevel="2">
      <c r="E411" s="247" t="str">
        <f>GC!C44</f>
        <v>Supply Regulators / Valve Stations</v>
      </c>
      <c r="F411" s="247"/>
      <c r="G411" s="247"/>
      <c r="H411" s="247"/>
      <c r="I411" s="247"/>
      <c r="J411" s="81">
        <f ca="1">J371*(1+INDEX(J$294:J$296,MATCH(Work_Codes!$I$372,$D$294:$D$296,0)))</f>
        <v>0</v>
      </c>
      <c r="K411" s="81">
        <f ca="1">K371*(1+INDEX(K$294:K$296,MATCH(Work_Codes!$I$372,$D$294:$D$296,0)))</f>
        <v>0</v>
      </c>
      <c r="L411" s="81">
        <f ca="1">L371*(1+INDEX(L$294:L$296,MATCH(Work_Codes!$I$372,$D$294:$D$296,0)))</f>
        <v>0</v>
      </c>
      <c r="M411" s="81">
        <f ca="1">M371*(1+INDEX(M$294:M$296,MATCH(Work_Codes!$I$372,$D$294:$D$296,0)))</f>
        <v>0</v>
      </c>
      <c r="N411" s="81">
        <f ca="1">N371*(1+INDEX(N$294:N$296,MATCH(Work_Codes!$I$372,$D$294:$D$296,0)))</f>
        <v>0</v>
      </c>
      <c r="O411" s="81">
        <f ca="1">O371*(1+INDEX(O$294:O$296,MATCH(Work_Codes!$I$372,$D$294:$D$296,0)))</f>
        <v>0</v>
      </c>
      <c r="P411" s="81">
        <f ca="1">P371*(1+INDEX(P$294:P$296,MATCH(Work_Codes!$I$372,$D$294:$D$296,0)))</f>
        <v>0</v>
      </c>
      <c r="Q411" s="81">
        <f ca="1">Q371*(1+INDEX(Q$294:Q$296,MATCH(Work_Codes!$I$372,$D$294:$D$296,0)))</f>
        <v>0</v>
      </c>
      <c r="R411" s="81">
        <f ca="1">R371*(1+INDEX(R$294:R$296,MATCH(Work_Codes!$I$372,$D$294:$D$296,0)))</f>
        <v>0</v>
      </c>
      <c r="S411" s="81">
        <f ca="1">S371*(1+INDEX(S$294:S$296,MATCH(Work_Codes!$I$372,$D$294:$D$296,0)))</f>
        <v>0</v>
      </c>
      <c r="T411" s="81">
        <f ca="1">T371*(1+INDEX(T$294:T$296,MATCH(Work_Codes!$I$372,$D$294:$D$296,0)))</f>
        <v>0</v>
      </c>
    </row>
    <row r="412" spans="4:20" ht="11.5" customHeight="1" outlineLevel="2">
      <c r="E412" s="247" t="str">
        <f>GC!C45</f>
        <v>Meters</v>
      </c>
      <c r="F412" s="247"/>
      <c r="G412" s="247"/>
      <c r="H412" s="247"/>
      <c r="I412" s="247"/>
      <c r="J412" s="81">
        <f ca="1">J372*(1+INDEX(J$294:J$296,MATCH(Work_Codes!$I$372,$D$294:$D$296,0)))</f>
        <v>0</v>
      </c>
      <c r="K412" s="81">
        <f ca="1">K372*(1+INDEX(K$294:K$296,MATCH(Work_Codes!$I$372,$D$294:$D$296,0)))</f>
        <v>0</v>
      </c>
      <c r="L412" s="81">
        <f ca="1">L372*(1+INDEX(L$294:L$296,MATCH(Work_Codes!$I$372,$D$294:$D$296,0)))</f>
        <v>0</v>
      </c>
      <c r="M412" s="81">
        <f ca="1">M372*(1+INDEX(M$294:M$296,MATCH(Work_Codes!$I$372,$D$294:$D$296,0)))</f>
        <v>0</v>
      </c>
      <c r="N412" s="81">
        <f ca="1">N372*(1+INDEX(N$294:N$296,MATCH(Work_Codes!$I$372,$D$294:$D$296,0)))</f>
        <v>700399.01520497852</v>
      </c>
      <c r="O412" s="81">
        <f ca="1">O372*(1+INDEX(O$294:O$296,MATCH(Work_Codes!$I$372,$D$294:$D$296,0)))</f>
        <v>924357.79878303199</v>
      </c>
      <c r="P412" s="81">
        <f ca="1">P372*(1+INDEX(P$294:P$296,MATCH(Work_Codes!$I$372,$D$294:$D$296,0)))</f>
        <v>1234746.6449670957</v>
      </c>
      <c r="Q412" s="81">
        <f ca="1">Q372*(1+INDEX(Q$294:Q$296,MATCH(Work_Codes!$I$372,$D$294:$D$296,0)))</f>
        <v>1256915.1938073949</v>
      </c>
      <c r="R412" s="81">
        <f ca="1">R372*(1+INDEX(R$294:R$296,MATCH(Work_Codes!$I$372,$D$294:$D$296,0)))</f>
        <v>1280628.4797618284</v>
      </c>
      <c r="S412" s="81">
        <f ca="1">S372*(1+INDEX(S$294:S$296,MATCH(Work_Codes!$I$372,$D$294:$D$296,0)))</f>
        <v>1266323.6907866229</v>
      </c>
      <c r="T412" s="81">
        <f ca="1">T372*(1+INDEX(T$294:T$296,MATCH(Work_Codes!$I$372,$D$294:$D$296,0)))</f>
        <v>1250879.287748649</v>
      </c>
    </row>
    <row r="413" spans="4:20" ht="11.5" customHeight="1" outlineLevel="2">
      <c r="E413" s="247" t="str">
        <f>GC!C46</f>
        <v>SCADA and remote control</v>
      </c>
      <c r="F413" s="247"/>
      <c r="G413" s="247"/>
      <c r="H413" s="247"/>
      <c r="I413" s="247"/>
      <c r="J413" s="81">
        <f ca="1">J373*(1+INDEX(J$294:J$296,MATCH(Work_Codes!$I$372,$D$294:$D$296,0)))</f>
        <v>0</v>
      </c>
      <c r="K413" s="81">
        <f ca="1">K373*(1+INDEX(K$294:K$296,MATCH(Work_Codes!$I$372,$D$294:$D$296,0)))</f>
        <v>0</v>
      </c>
      <c r="L413" s="81">
        <f ca="1">L373*(1+INDEX(L$294:L$296,MATCH(Work_Codes!$I$372,$D$294:$D$296,0)))</f>
        <v>0</v>
      </c>
      <c r="M413" s="81">
        <f ca="1">M373*(1+INDEX(M$294:M$296,MATCH(Work_Codes!$I$372,$D$294:$D$296,0)))</f>
        <v>0</v>
      </c>
      <c r="N413" s="81">
        <f ca="1">N373*(1+INDEX(N$294:N$296,MATCH(Work_Codes!$I$372,$D$294:$D$296,0)))</f>
        <v>0</v>
      </c>
      <c r="O413" s="81">
        <f ca="1">O373*(1+INDEX(O$294:O$296,MATCH(Work_Codes!$I$372,$D$294:$D$296,0)))</f>
        <v>0</v>
      </c>
      <c r="P413" s="81">
        <f ca="1">P373*(1+INDEX(P$294:P$296,MATCH(Work_Codes!$I$372,$D$294:$D$296,0)))</f>
        <v>0</v>
      </c>
      <c r="Q413" s="81">
        <f ca="1">Q373*(1+INDEX(Q$294:Q$296,MATCH(Work_Codes!$I$372,$D$294:$D$296,0)))</f>
        <v>0</v>
      </c>
      <c r="R413" s="81">
        <f ca="1">R373*(1+INDEX(R$294:R$296,MATCH(Work_Codes!$I$372,$D$294:$D$296,0)))</f>
        <v>0</v>
      </c>
      <c r="S413" s="81">
        <f ca="1">S373*(1+INDEX(S$294:S$296,MATCH(Work_Codes!$I$372,$D$294:$D$296,0)))</f>
        <v>0</v>
      </c>
      <c r="T413" s="81">
        <f ca="1">T373*(1+INDEX(T$294:T$296,MATCH(Work_Codes!$I$372,$D$294:$D$296,0)))</f>
        <v>0</v>
      </c>
    </row>
    <row r="414" spans="4:20" ht="11.5" customHeight="1" outlineLevel="2">
      <c r="E414" s="247" t="str">
        <f>GC!C47</f>
        <v>Buildings</v>
      </c>
      <c r="F414" s="247"/>
      <c r="G414" s="247"/>
      <c r="H414" s="247"/>
      <c r="I414" s="247"/>
      <c r="J414" s="81">
        <f ca="1">J374*(1+INDEX(J$294:J$296,MATCH(Work_Codes!$I$372,$D$294:$D$296,0)))</f>
        <v>0</v>
      </c>
      <c r="K414" s="81">
        <f ca="1">K374*(1+INDEX(K$294:K$296,MATCH(Work_Codes!$I$372,$D$294:$D$296,0)))</f>
        <v>0</v>
      </c>
      <c r="L414" s="81">
        <f ca="1">L374*(1+INDEX(L$294:L$296,MATCH(Work_Codes!$I$372,$D$294:$D$296,0)))</f>
        <v>0</v>
      </c>
      <c r="M414" s="81">
        <f ca="1">M374*(1+INDEX(M$294:M$296,MATCH(Work_Codes!$I$372,$D$294:$D$296,0)))</f>
        <v>0</v>
      </c>
      <c r="N414" s="81">
        <f ca="1">N374*(1+INDEX(N$294:N$296,MATCH(Work_Codes!$I$372,$D$294:$D$296,0)))</f>
        <v>0</v>
      </c>
      <c r="O414" s="81">
        <f ca="1">O374*(1+INDEX(O$294:O$296,MATCH(Work_Codes!$I$372,$D$294:$D$296,0)))</f>
        <v>0</v>
      </c>
      <c r="P414" s="81">
        <f ca="1">P374*(1+INDEX(P$294:P$296,MATCH(Work_Codes!$I$372,$D$294:$D$296,0)))</f>
        <v>0</v>
      </c>
      <c r="Q414" s="81">
        <f ca="1">Q374*(1+INDEX(Q$294:Q$296,MATCH(Work_Codes!$I$372,$D$294:$D$296,0)))</f>
        <v>0</v>
      </c>
      <c r="R414" s="81">
        <f ca="1">R374*(1+INDEX(R$294:R$296,MATCH(Work_Codes!$I$372,$D$294:$D$296,0)))</f>
        <v>0</v>
      </c>
      <c r="S414" s="81">
        <f ca="1">S374*(1+INDEX(S$294:S$296,MATCH(Work_Codes!$I$372,$D$294:$D$296,0)))</f>
        <v>0</v>
      </c>
      <c r="T414" s="81">
        <f ca="1">T374*(1+INDEX(T$294:T$296,MATCH(Work_Codes!$I$372,$D$294:$D$296,0)))</f>
        <v>0</v>
      </c>
    </row>
    <row r="415" spans="4:20" ht="11.5" customHeight="1" outlineLevel="2">
      <c r="E415" s="247" t="str">
        <f>GC!C48</f>
        <v>Other - IT</v>
      </c>
      <c r="F415" s="247"/>
      <c r="G415" s="247"/>
      <c r="H415" s="247"/>
      <c r="I415" s="247"/>
      <c r="J415" s="81">
        <f ca="1">J375*(1+INDEX(J$294:J$296,MATCH(Work_Codes!$I$372,$D$294:$D$296,0)))</f>
        <v>0</v>
      </c>
      <c r="K415" s="81">
        <f ca="1">K375*(1+INDEX(K$294:K$296,MATCH(Work_Codes!$I$372,$D$294:$D$296,0)))</f>
        <v>0</v>
      </c>
      <c r="L415" s="81">
        <f ca="1">L375*(1+INDEX(L$294:L$296,MATCH(Work_Codes!$I$372,$D$294:$D$296,0)))</f>
        <v>0</v>
      </c>
      <c r="M415" s="81">
        <f ca="1">M375*(1+INDEX(M$294:M$296,MATCH(Work_Codes!$I$372,$D$294:$D$296,0)))</f>
        <v>0</v>
      </c>
      <c r="N415" s="81">
        <f ca="1">N375*(1+INDEX(N$294:N$296,MATCH(Work_Codes!$I$372,$D$294:$D$296,0)))</f>
        <v>0</v>
      </c>
      <c r="O415" s="81">
        <f ca="1">O375*(1+INDEX(O$294:O$296,MATCH(Work_Codes!$I$372,$D$294:$D$296,0)))</f>
        <v>0</v>
      </c>
      <c r="P415" s="81">
        <f ca="1">P375*(1+INDEX(P$294:P$296,MATCH(Work_Codes!$I$372,$D$294:$D$296,0)))</f>
        <v>0</v>
      </c>
      <c r="Q415" s="81">
        <f ca="1">Q375*(1+INDEX(Q$294:Q$296,MATCH(Work_Codes!$I$372,$D$294:$D$296,0)))</f>
        <v>0</v>
      </c>
      <c r="R415" s="81">
        <f ca="1">R375*(1+INDEX(R$294:R$296,MATCH(Work_Codes!$I$372,$D$294:$D$296,0)))</f>
        <v>0</v>
      </c>
      <c r="S415" s="81">
        <f ca="1">S375*(1+INDEX(S$294:S$296,MATCH(Work_Codes!$I$372,$D$294:$D$296,0)))</f>
        <v>0</v>
      </c>
      <c r="T415" s="81">
        <f ca="1">T375*(1+INDEX(T$294:T$296,MATCH(Work_Codes!$I$372,$D$294:$D$296,0)))</f>
        <v>0</v>
      </c>
    </row>
    <row r="416" spans="4:20" ht="11.5" customHeight="1" outlineLevel="2">
      <c r="E416" s="247" t="str">
        <f>GC!C49</f>
        <v>Other - non IT</v>
      </c>
      <c r="F416" s="247"/>
      <c r="G416" s="247"/>
      <c r="H416" s="247"/>
      <c r="I416" s="247"/>
      <c r="J416" s="81">
        <f ca="1">J376*(1+INDEX(J$294:J$296,MATCH(Work_Codes!$I$372,$D$294:$D$296,0)))</f>
        <v>0</v>
      </c>
      <c r="K416" s="81">
        <f ca="1">K376*(1+INDEX(K$294:K$296,MATCH(Work_Codes!$I$372,$D$294:$D$296,0)))</f>
        <v>0</v>
      </c>
      <c r="L416" s="81">
        <f ca="1">L376*(1+INDEX(L$294:L$296,MATCH(Work_Codes!$I$372,$D$294:$D$296,0)))</f>
        <v>0</v>
      </c>
      <c r="M416" s="81">
        <f ca="1">M376*(1+INDEX(M$294:M$296,MATCH(Work_Codes!$I$372,$D$294:$D$296,0)))</f>
        <v>0</v>
      </c>
      <c r="N416" s="81">
        <f ca="1">N376*(1+INDEX(N$294:N$296,MATCH(Work_Codes!$I$372,$D$294:$D$296,0)))</f>
        <v>0</v>
      </c>
      <c r="O416" s="81">
        <f ca="1">O376*(1+INDEX(O$294:O$296,MATCH(Work_Codes!$I$372,$D$294:$D$296,0)))</f>
        <v>0</v>
      </c>
      <c r="P416" s="81">
        <f ca="1">P376*(1+INDEX(P$294:P$296,MATCH(Work_Codes!$I$372,$D$294:$D$296,0)))</f>
        <v>0</v>
      </c>
      <c r="Q416" s="81">
        <f ca="1">Q376*(1+INDEX(Q$294:Q$296,MATCH(Work_Codes!$I$372,$D$294:$D$296,0)))</f>
        <v>0</v>
      </c>
      <c r="R416" s="81">
        <f ca="1">R376*(1+INDEX(R$294:R$296,MATCH(Work_Codes!$I$372,$D$294:$D$296,0)))</f>
        <v>0</v>
      </c>
      <c r="S416" s="81">
        <f ca="1">S376*(1+INDEX(S$294:S$296,MATCH(Work_Codes!$I$372,$D$294:$D$296,0)))</f>
        <v>0</v>
      </c>
      <c r="T416" s="81">
        <f ca="1">T376*(1+INDEX(T$294:T$296,MATCH(Work_Codes!$I$372,$D$294:$D$296,0)))</f>
        <v>0</v>
      </c>
    </row>
    <row r="417" spans="4:20" ht="11.5" customHeight="1" outlineLevel="2">
      <c r="E417" s="247" t="str">
        <f>GC!C50</f>
        <v>Land</v>
      </c>
      <c r="F417" s="247"/>
      <c r="G417" s="247"/>
      <c r="H417" s="247"/>
      <c r="I417" s="247"/>
      <c r="J417" s="81">
        <f ca="1">J377*(1+INDEX(J$294:J$296,MATCH(Work_Codes!$I$372,$D$294:$D$296,0)))</f>
        <v>0</v>
      </c>
      <c r="K417" s="81">
        <f ca="1">K377*(1+INDEX(K$294:K$296,MATCH(Work_Codes!$I$372,$D$294:$D$296,0)))</f>
        <v>0</v>
      </c>
      <c r="L417" s="81">
        <f ca="1">L377*(1+INDEX(L$294:L$296,MATCH(Work_Codes!$I$372,$D$294:$D$296,0)))</f>
        <v>0</v>
      </c>
      <c r="M417" s="81">
        <f ca="1">M377*(1+INDEX(M$294:M$296,MATCH(Work_Codes!$I$372,$D$294:$D$296,0)))</f>
        <v>0</v>
      </c>
      <c r="N417" s="81">
        <f ca="1">N377*(1+INDEX(N$294:N$296,MATCH(Work_Codes!$I$372,$D$294:$D$296,0)))</f>
        <v>0</v>
      </c>
      <c r="O417" s="81">
        <f ca="1">O377*(1+INDEX(O$294:O$296,MATCH(Work_Codes!$I$372,$D$294:$D$296,0)))</f>
        <v>0</v>
      </c>
      <c r="P417" s="81">
        <f ca="1">P377*(1+INDEX(P$294:P$296,MATCH(Work_Codes!$I$372,$D$294:$D$296,0)))</f>
        <v>0</v>
      </c>
      <c r="Q417" s="81">
        <f ca="1">Q377*(1+INDEX(Q$294:Q$296,MATCH(Work_Codes!$I$372,$D$294:$D$296,0)))</f>
        <v>0</v>
      </c>
      <c r="R417" s="81">
        <f ca="1">R377*(1+INDEX(R$294:R$296,MATCH(Work_Codes!$I$372,$D$294:$D$296,0)))</f>
        <v>0</v>
      </c>
      <c r="S417" s="81">
        <f ca="1">S377*(1+INDEX(S$294:S$296,MATCH(Work_Codes!$I$372,$D$294:$D$296,0)))</f>
        <v>0</v>
      </c>
      <c r="T417" s="81">
        <f ca="1">T377*(1+INDEX(T$294:T$296,MATCH(Work_Codes!$I$372,$D$294:$D$296,0)))</f>
        <v>0</v>
      </c>
    </row>
    <row r="418" spans="4:20" outlineLevel="2">
      <c r="E418" s="247" t="str">
        <f>GC!C51</f>
        <v>Capitalised Leases</v>
      </c>
      <c r="F418" s="247"/>
      <c r="G418" s="247"/>
      <c r="H418" s="247"/>
      <c r="I418" s="247"/>
      <c r="J418" s="81">
        <f ca="1">J378*(1+INDEX(J$294:J$296,MATCH(Work_Codes!$I$372,$D$294:$D$296,0)))</f>
        <v>0</v>
      </c>
      <c r="K418" s="81">
        <f ca="1">K378*(1+INDEX(K$294:K$296,MATCH(Work_Codes!$I$372,$D$294:$D$296,0)))</f>
        <v>0</v>
      </c>
      <c r="L418" s="81">
        <f ca="1">L378*(1+INDEX(L$294:L$296,MATCH(Work_Codes!$I$372,$D$294:$D$296,0)))</f>
        <v>0</v>
      </c>
      <c r="M418" s="81">
        <f ca="1">M378*(1+INDEX(M$294:M$296,MATCH(Work_Codes!$I$372,$D$294:$D$296,0)))</f>
        <v>0</v>
      </c>
      <c r="N418" s="81">
        <f ca="1">N378*(1+INDEX(N$294:N$296,MATCH(Work_Codes!$I$372,$D$294:$D$296,0)))</f>
        <v>0</v>
      </c>
      <c r="O418" s="81">
        <f ca="1">O378*(1+INDEX(O$294:O$296,MATCH(Work_Codes!$I$372,$D$294:$D$296,0)))</f>
        <v>0</v>
      </c>
      <c r="P418" s="81">
        <f ca="1">P378*(1+INDEX(P$294:P$296,MATCH(Work_Codes!$I$372,$D$294:$D$296,0)))</f>
        <v>0</v>
      </c>
      <c r="Q418" s="81">
        <f ca="1">Q378*(1+INDEX(Q$294:Q$296,MATCH(Work_Codes!$I$372,$D$294:$D$296,0)))</f>
        <v>0</v>
      </c>
      <c r="R418" s="81">
        <f ca="1">R378*(1+INDEX(R$294:R$296,MATCH(Work_Codes!$I$372,$D$294:$D$296,0)))</f>
        <v>0</v>
      </c>
      <c r="S418" s="81">
        <f ca="1">S378*(1+INDEX(S$294:S$296,MATCH(Work_Codes!$I$372,$D$294:$D$296,0)))</f>
        <v>0</v>
      </c>
      <c r="T418" s="81">
        <f ca="1">T378*(1+INDEX(T$294:T$296,MATCH(Work_Codes!$I$372,$D$294:$D$296,0)))</f>
        <v>0</v>
      </c>
    </row>
    <row r="419" spans="4:20" outlineLevel="2">
      <c r="E419" s="247" t="str">
        <f>GC!C52</f>
        <v>Transmission pipelines - post 1998</v>
      </c>
      <c r="F419" s="247"/>
      <c r="G419" s="247"/>
      <c r="H419" s="247"/>
      <c r="I419" s="247"/>
      <c r="J419" s="81">
        <f ca="1">J379*(1+INDEX(J$294:J$296,MATCH(Work_Codes!$I$372,$D$294:$D$296,0)))</f>
        <v>0</v>
      </c>
      <c r="K419" s="81">
        <f ca="1">K379*(1+INDEX(K$294:K$296,MATCH(Work_Codes!$I$372,$D$294:$D$296,0)))</f>
        <v>0</v>
      </c>
      <c r="L419" s="81">
        <f ca="1">L379*(1+INDEX(L$294:L$296,MATCH(Work_Codes!$I$372,$D$294:$D$296,0)))</f>
        <v>0</v>
      </c>
      <c r="M419" s="81">
        <f ca="1">M379*(1+INDEX(M$294:M$296,MATCH(Work_Codes!$I$372,$D$294:$D$296,0)))</f>
        <v>0</v>
      </c>
      <c r="N419" s="81">
        <f ca="1">N379*(1+INDEX(N$294:N$296,MATCH(Work_Codes!$I$372,$D$294:$D$296,0)))</f>
        <v>0</v>
      </c>
      <c r="O419" s="81">
        <f ca="1">O379*(1+INDEX(O$294:O$296,MATCH(Work_Codes!$I$372,$D$294:$D$296,0)))</f>
        <v>0</v>
      </c>
      <c r="P419" s="81">
        <f ca="1">P379*(1+INDEX(P$294:P$296,MATCH(Work_Codes!$I$372,$D$294:$D$296,0)))</f>
        <v>0</v>
      </c>
      <c r="Q419" s="81">
        <f ca="1">Q379*(1+INDEX(Q$294:Q$296,MATCH(Work_Codes!$I$372,$D$294:$D$296,0)))</f>
        <v>0</v>
      </c>
      <c r="R419" s="81">
        <f ca="1">R379*(1+INDEX(R$294:R$296,MATCH(Work_Codes!$I$372,$D$294:$D$296,0)))</f>
        <v>0</v>
      </c>
      <c r="S419" s="81">
        <f ca="1">S379*(1+INDEX(S$294:S$296,MATCH(Work_Codes!$I$372,$D$294:$D$296,0)))</f>
        <v>0</v>
      </c>
      <c r="T419" s="81">
        <f ca="1">T379*(1+INDEX(T$294:T$296,MATCH(Work_Codes!$I$372,$D$294:$D$296,0)))</f>
        <v>0</v>
      </c>
    </row>
    <row r="420" spans="4:20" outlineLevel="2">
      <c r="E420" s="247" t="str">
        <f>GC!C53</f>
        <v>Distribution pipelines - post 1998</v>
      </c>
      <c r="F420" s="247"/>
      <c r="G420" s="247"/>
      <c r="H420" s="247"/>
      <c r="I420" s="247"/>
      <c r="J420" s="81">
        <f ca="1">J380*(1+INDEX(J$294:J$296,MATCH(Work_Codes!$I$372,$D$294:$D$296,0)))</f>
        <v>0</v>
      </c>
      <c r="K420" s="81">
        <f ca="1">K380*(1+INDEX(K$294:K$296,MATCH(Work_Codes!$I$372,$D$294:$D$296,0)))</f>
        <v>0</v>
      </c>
      <c r="L420" s="81">
        <f ca="1">L380*(1+INDEX(L$294:L$296,MATCH(Work_Codes!$I$372,$D$294:$D$296,0)))</f>
        <v>0</v>
      </c>
      <c r="M420" s="81">
        <f ca="1">M380*(1+INDEX(M$294:M$296,MATCH(Work_Codes!$I$372,$D$294:$D$296,0)))</f>
        <v>0</v>
      </c>
      <c r="N420" s="81">
        <f ca="1">N380*(1+INDEX(N$294:N$296,MATCH(Work_Codes!$I$372,$D$294:$D$296,0)))</f>
        <v>840478.81824597414</v>
      </c>
      <c r="O420" s="81">
        <f ca="1">O380*(1+INDEX(O$294:O$296,MATCH(Work_Codes!$I$372,$D$294:$D$296,0)))</f>
        <v>1109229.3585396381</v>
      </c>
      <c r="P420" s="81">
        <f ca="1">P380*(1+INDEX(P$294:P$296,MATCH(Work_Codes!$I$372,$D$294:$D$296,0)))</f>
        <v>1481695.9739605149</v>
      </c>
      <c r="Q420" s="81">
        <f ca="1">Q380*(1+INDEX(Q$294:Q$296,MATCH(Work_Codes!$I$372,$D$294:$D$296,0)))</f>
        <v>1508298.2325688738</v>
      </c>
      <c r="R420" s="81">
        <f ca="1">R380*(1+INDEX(R$294:R$296,MATCH(Work_Codes!$I$372,$D$294:$D$296,0)))</f>
        <v>1536754.1757141943</v>
      </c>
      <c r="S420" s="81">
        <f ca="1">S380*(1+INDEX(S$294:S$296,MATCH(Work_Codes!$I$372,$D$294:$D$296,0)))</f>
        <v>1519588.4289439474</v>
      </c>
      <c r="T420" s="81">
        <f ca="1">T380*(1+INDEX(T$294:T$296,MATCH(Work_Codes!$I$372,$D$294:$D$296,0)))</f>
        <v>1501055.1452983785</v>
      </c>
    </row>
    <row r="421" spans="4:20" outlineLevel="2">
      <c r="E421" s="247" t="str">
        <f>GC!C54</f>
        <v>Service pipes - post 1998</v>
      </c>
      <c r="F421" s="247"/>
      <c r="G421" s="247"/>
      <c r="H421" s="247"/>
      <c r="I421" s="247"/>
      <c r="J421" s="81">
        <f ca="1">J381*(1+INDEX(J$294:J$296,MATCH(Work_Codes!$I$372,$D$294:$D$296,0)))</f>
        <v>0</v>
      </c>
      <c r="K421" s="81">
        <f ca="1">K381*(1+INDEX(K$294:K$296,MATCH(Work_Codes!$I$372,$D$294:$D$296,0)))</f>
        <v>0</v>
      </c>
      <c r="L421" s="81">
        <f ca="1">L381*(1+INDEX(L$294:L$296,MATCH(Work_Codes!$I$372,$D$294:$D$296,0)))</f>
        <v>0</v>
      </c>
      <c r="M421" s="81">
        <f ca="1">M381*(1+INDEX(M$294:M$296,MATCH(Work_Codes!$I$372,$D$294:$D$296,0)))</f>
        <v>0</v>
      </c>
      <c r="N421" s="81">
        <f ca="1">N381*(1+INDEX(N$294:N$296,MATCH(Work_Codes!$I$372,$D$294:$D$296,0)))</f>
        <v>1260718.2273689613</v>
      </c>
      <c r="O421" s="81">
        <f ca="1">O381*(1+INDEX(O$294:O$296,MATCH(Work_Codes!$I$372,$D$294:$D$296,0)))</f>
        <v>1663844.0378094576</v>
      </c>
      <c r="P421" s="81">
        <f ca="1">P381*(1+INDEX(P$294:P$296,MATCH(Work_Codes!$I$372,$D$294:$D$296,0)))</f>
        <v>2222543.9609407722</v>
      </c>
      <c r="Q421" s="81">
        <f ca="1">Q381*(1+INDEX(Q$294:Q$296,MATCH(Work_Codes!$I$372,$D$294:$D$296,0)))</f>
        <v>2262447.348853311</v>
      </c>
      <c r="R421" s="81">
        <f ca="1">R381*(1+INDEX(R$294:R$296,MATCH(Work_Codes!$I$372,$D$294:$D$296,0)))</f>
        <v>2305131.2635712912</v>
      </c>
      <c r="S421" s="81">
        <f ca="1">S381*(1+INDEX(S$294:S$296,MATCH(Work_Codes!$I$372,$D$294:$D$296,0)))</f>
        <v>2279382.6434159214</v>
      </c>
      <c r="T421" s="81">
        <f ca="1">T381*(1+INDEX(T$294:T$296,MATCH(Work_Codes!$I$372,$D$294:$D$296,0)))</f>
        <v>2251582.7179475678</v>
      </c>
    </row>
    <row r="422" spans="4:20" outlineLevel="2">
      <c r="E422" s="247" t="str">
        <f>GC!C55</f>
        <v>Cathodic protection - post 1998</v>
      </c>
      <c r="F422" s="247"/>
      <c r="G422" s="247"/>
      <c r="H422" s="247"/>
      <c r="I422" s="247"/>
      <c r="J422" s="81">
        <f ca="1">J382*(1+INDEX(J$294:J$296,MATCH(Work_Codes!$I$372,$D$294:$D$296,0)))</f>
        <v>0</v>
      </c>
      <c r="K422" s="81">
        <f ca="1">K382*(1+INDEX(K$294:K$296,MATCH(Work_Codes!$I$372,$D$294:$D$296,0)))</f>
        <v>0</v>
      </c>
      <c r="L422" s="81">
        <f ca="1">L382*(1+INDEX(L$294:L$296,MATCH(Work_Codes!$I$372,$D$294:$D$296,0)))</f>
        <v>0</v>
      </c>
      <c r="M422" s="81">
        <f ca="1">M382*(1+INDEX(M$294:M$296,MATCH(Work_Codes!$I$372,$D$294:$D$296,0)))</f>
        <v>0</v>
      </c>
      <c r="N422" s="81">
        <f ca="1">N382*(1+INDEX(N$294:N$296,MATCH(Work_Codes!$I$372,$D$294:$D$296,0)))</f>
        <v>0</v>
      </c>
      <c r="O422" s="81">
        <f ca="1">O382*(1+INDEX(O$294:O$296,MATCH(Work_Codes!$I$372,$D$294:$D$296,0)))</f>
        <v>0</v>
      </c>
      <c r="P422" s="81">
        <f ca="1">P382*(1+INDEX(P$294:P$296,MATCH(Work_Codes!$I$372,$D$294:$D$296,0)))</f>
        <v>0</v>
      </c>
      <c r="Q422" s="81">
        <f ca="1">Q382*(1+INDEX(Q$294:Q$296,MATCH(Work_Codes!$I$372,$D$294:$D$296,0)))</f>
        <v>0</v>
      </c>
      <c r="R422" s="81">
        <f ca="1">R382*(1+INDEX(R$294:R$296,MATCH(Work_Codes!$I$372,$D$294:$D$296,0)))</f>
        <v>0</v>
      </c>
      <c r="S422" s="81">
        <f ca="1">S382*(1+INDEX(S$294:S$296,MATCH(Work_Codes!$I$372,$D$294:$D$296,0)))</f>
        <v>0</v>
      </c>
      <c r="T422" s="81">
        <f ca="1">T382*(1+INDEX(T$294:T$296,MATCH(Work_Codes!$I$372,$D$294:$D$296,0)))</f>
        <v>0</v>
      </c>
    </row>
    <row r="423" spans="4:20" ht="12" customHeight="1" outlineLevel="2">
      <c r="E423" s="249" t="str">
        <f>"Total "&amp;D405</f>
        <v>Total Direct Costs + Overheads</v>
      </c>
      <c r="F423" s="249"/>
      <c r="G423" s="249"/>
      <c r="H423" s="249"/>
      <c r="I423" s="249"/>
      <c r="J423" s="82">
        <f t="shared" ref="J423:T423" ca="1" si="42">SUM(J407:J422)</f>
        <v>0</v>
      </c>
      <c r="K423" s="82">
        <f t="shared" ca="1" si="42"/>
        <v>0</v>
      </c>
      <c r="L423" s="82">
        <f t="shared" ca="1" si="42"/>
        <v>0</v>
      </c>
      <c r="M423" s="82">
        <f t="shared" ca="1" si="42"/>
        <v>0</v>
      </c>
      <c r="N423" s="82">
        <f t="shared" ca="1" si="42"/>
        <v>2801596.0608199136</v>
      </c>
      <c r="O423" s="82">
        <f t="shared" ca="1" si="42"/>
        <v>3697431.195132128</v>
      </c>
      <c r="P423" s="82">
        <f t="shared" ca="1" si="42"/>
        <v>4938986.5798683828</v>
      </c>
      <c r="Q423" s="82">
        <f t="shared" ca="1" si="42"/>
        <v>5027660.7752295798</v>
      </c>
      <c r="R423" s="82">
        <f t="shared" ca="1" si="42"/>
        <v>5122513.9190473137</v>
      </c>
      <c r="S423" s="82">
        <f t="shared" ca="1" si="42"/>
        <v>5065294.7631464917</v>
      </c>
      <c r="T423" s="82">
        <f t="shared" ca="1" si="42"/>
        <v>5003517.1509945951</v>
      </c>
    </row>
    <row r="424" spans="4:20" outlineLevel="2"/>
    <row r="425" spans="4:20" outlineLevel="2">
      <c r="D425" s="37" t="s">
        <v>367</v>
      </c>
    </row>
    <row r="426" spans="4:20" ht="5.9" customHeight="1" outlineLevel="2"/>
    <row r="427" spans="4:20" outlineLevel="2">
      <c r="E427" s="247" t="str">
        <f>GC!C40</f>
        <v>Transmission pipelines</v>
      </c>
      <c r="F427" s="247"/>
      <c r="G427" s="247"/>
      <c r="H427" s="247"/>
      <c r="I427" s="247"/>
      <c r="J427" s="81">
        <f ca="1">SUMPRODUCT((Work_Codes!$N$375:$Y$375=$E427)*(Work_Codes!$N$383:$Y$386)*(J$324:J$327))</f>
        <v>0</v>
      </c>
      <c r="K427" s="81">
        <f ca="1">SUMPRODUCT((Work_Codes!$N$375:$Y$375=$E427)*(Work_Codes!$N$383:$Y$386)*(K$324:K$327))</f>
        <v>0</v>
      </c>
      <c r="L427" s="81">
        <f ca="1">SUMPRODUCT((Work_Codes!$N$375:$Y$375=$E427)*(Work_Codes!$N$383:$Y$386)*(L$324:L$327))</f>
        <v>0</v>
      </c>
      <c r="M427" s="81">
        <f ca="1">SUMPRODUCT((Work_Codes!$N$375:$Y$375=$E427)*(Work_Codes!$N$383:$Y$386)*(M$324:M$327))</f>
        <v>0</v>
      </c>
      <c r="N427" s="81">
        <f ca="1">SUMPRODUCT((Work_Codes!$N$375:$Y$375=$E427)*(Work_Codes!$N$383:$Y$386)*(N$324:N$327))</f>
        <v>0</v>
      </c>
      <c r="O427" s="81">
        <f ca="1">SUMPRODUCT((Work_Codes!$N$375:$Y$375=$E427)*(Work_Codes!$N$383:$Y$386)*(O$324:O$327))</f>
        <v>0</v>
      </c>
      <c r="P427" s="81">
        <f ca="1">SUMPRODUCT((Work_Codes!$N$375:$Y$375=$E427)*(Work_Codes!$N$383:$Y$386)*(P$324:P$327))</f>
        <v>0</v>
      </c>
      <c r="Q427" s="81">
        <f ca="1">SUMPRODUCT((Work_Codes!$N$375:$Y$375=$E427)*(Work_Codes!$N$383:$Y$386)*(Q$324:Q$327))</f>
        <v>0</v>
      </c>
      <c r="R427" s="81">
        <f ca="1">SUMPRODUCT((Work_Codes!$N$375:$Y$375=$E427)*(Work_Codes!$N$383:$Y$386)*(R$324:R$327))</f>
        <v>0</v>
      </c>
      <c r="S427" s="81">
        <f ca="1">SUMPRODUCT((Work_Codes!$N$375:$Y$375=$E427)*(Work_Codes!$N$383:$Y$386)*(S$324:S$327))</f>
        <v>0</v>
      </c>
      <c r="T427" s="81">
        <f ca="1">SUMPRODUCT((Work_Codes!$N$375:$Y$375=$E427)*(Work_Codes!$N$383:$Y$386)*(T$324:T$327))</f>
        <v>0</v>
      </c>
    </row>
    <row r="428" spans="4:20" outlineLevel="2">
      <c r="E428" s="247" t="str">
        <f>GC!C41</f>
        <v>Distribution pipelines</v>
      </c>
      <c r="F428" s="247"/>
      <c r="G428" s="247"/>
      <c r="H428" s="247"/>
      <c r="I428" s="247"/>
      <c r="J428" s="81">
        <f ca="1">SUMPRODUCT((Work_Codes!$N$375:$Y$375=$E428)*(Work_Codes!$N$383:$Y$386)*(J$324:J$327))</f>
        <v>0</v>
      </c>
      <c r="K428" s="81">
        <f ca="1">SUMPRODUCT((Work_Codes!$N$375:$Y$375=$E428)*(Work_Codes!$N$383:$Y$386)*(K$324:K$327))</f>
        <v>0</v>
      </c>
      <c r="L428" s="81">
        <f ca="1">SUMPRODUCT((Work_Codes!$N$375:$Y$375=$E428)*(Work_Codes!$N$383:$Y$386)*(L$324:L$327))</f>
        <v>0</v>
      </c>
      <c r="M428" s="81">
        <f ca="1">SUMPRODUCT((Work_Codes!$N$375:$Y$375=$E428)*(Work_Codes!$N$383:$Y$386)*(M$324:M$327))</f>
        <v>0</v>
      </c>
      <c r="N428" s="81">
        <f ca="1">SUMPRODUCT((Work_Codes!$N$375:$Y$375=$E428)*(Work_Codes!$N$383:$Y$386)*(N$324:N$327))</f>
        <v>0</v>
      </c>
      <c r="O428" s="81">
        <f ca="1">SUMPRODUCT((Work_Codes!$N$375:$Y$375=$E428)*(Work_Codes!$N$383:$Y$386)*(O$324:O$327))</f>
        <v>0</v>
      </c>
      <c r="P428" s="81">
        <f ca="1">SUMPRODUCT((Work_Codes!$N$375:$Y$375=$E428)*(Work_Codes!$N$383:$Y$386)*(P$324:P$327))</f>
        <v>0</v>
      </c>
      <c r="Q428" s="81">
        <f ca="1">SUMPRODUCT((Work_Codes!$N$375:$Y$375=$E428)*(Work_Codes!$N$383:$Y$386)*(Q$324:Q$327))</f>
        <v>0</v>
      </c>
      <c r="R428" s="81">
        <f ca="1">SUMPRODUCT((Work_Codes!$N$375:$Y$375=$E428)*(Work_Codes!$N$383:$Y$386)*(R$324:R$327))</f>
        <v>0</v>
      </c>
      <c r="S428" s="81">
        <f ca="1">SUMPRODUCT((Work_Codes!$N$375:$Y$375=$E428)*(Work_Codes!$N$383:$Y$386)*(S$324:S$327))</f>
        <v>0</v>
      </c>
      <c r="T428" s="81">
        <f ca="1">SUMPRODUCT((Work_Codes!$N$375:$Y$375=$E428)*(Work_Codes!$N$383:$Y$386)*(T$324:T$327))</f>
        <v>0</v>
      </c>
    </row>
    <row r="429" spans="4:20" outlineLevel="2">
      <c r="E429" s="247" t="str">
        <f>GC!C42</f>
        <v>Service pipes</v>
      </c>
      <c r="F429" s="247"/>
      <c r="G429" s="247"/>
      <c r="H429" s="247"/>
      <c r="I429" s="247"/>
      <c r="J429" s="81">
        <f ca="1">SUMPRODUCT((Work_Codes!$N$375:$Y$375=$E429)*(Work_Codes!$N$383:$Y$386)*(J$324:J$327))</f>
        <v>0</v>
      </c>
      <c r="K429" s="81">
        <f ca="1">SUMPRODUCT((Work_Codes!$N$375:$Y$375=$E429)*(Work_Codes!$N$383:$Y$386)*(K$324:K$327))</f>
        <v>0</v>
      </c>
      <c r="L429" s="81">
        <f ca="1">SUMPRODUCT((Work_Codes!$N$375:$Y$375=$E429)*(Work_Codes!$N$383:$Y$386)*(L$324:L$327))</f>
        <v>0</v>
      </c>
      <c r="M429" s="81">
        <f ca="1">SUMPRODUCT((Work_Codes!$N$375:$Y$375=$E429)*(Work_Codes!$N$383:$Y$386)*(M$324:M$327))</f>
        <v>0</v>
      </c>
      <c r="N429" s="81">
        <f ca="1">SUMPRODUCT((Work_Codes!$N$375:$Y$375=$E429)*(Work_Codes!$N$383:$Y$386)*(N$324:N$327))</f>
        <v>0</v>
      </c>
      <c r="O429" s="81">
        <f ca="1">SUMPRODUCT((Work_Codes!$N$375:$Y$375=$E429)*(Work_Codes!$N$383:$Y$386)*(O$324:O$327))</f>
        <v>0</v>
      </c>
      <c r="P429" s="81">
        <f ca="1">SUMPRODUCT((Work_Codes!$N$375:$Y$375=$E429)*(Work_Codes!$N$383:$Y$386)*(P$324:P$327))</f>
        <v>0</v>
      </c>
      <c r="Q429" s="81">
        <f ca="1">SUMPRODUCT((Work_Codes!$N$375:$Y$375=$E429)*(Work_Codes!$N$383:$Y$386)*(Q$324:Q$327))</f>
        <v>0</v>
      </c>
      <c r="R429" s="81">
        <f ca="1">SUMPRODUCT((Work_Codes!$N$375:$Y$375=$E429)*(Work_Codes!$N$383:$Y$386)*(R$324:R$327))</f>
        <v>0</v>
      </c>
      <c r="S429" s="81">
        <f ca="1">SUMPRODUCT((Work_Codes!$N$375:$Y$375=$E429)*(Work_Codes!$N$383:$Y$386)*(S$324:S$327))</f>
        <v>0</v>
      </c>
      <c r="T429" s="81">
        <f ca="1">SUMPRODUCT((Work_Codes!$N$375:$Y$375=$E429)*(Work_Codes!$N$383:$Y$386)*(T$324:T$327))</f>
        <v>0</v>
      </c>
    </row>
    <row r="430" spans="4:20" outlineLevel="2">
      <c r="E430" s="247" t="str">
        <f>GC!C43</f>
        <v>Cathodic protection</v>
      </c>
      <c r="F430" s="247"/>
      <c r="G430" s="247"/>
      <c r="H430" s="247"/>
      <c r="I430" s="247"/>
      <c r="J430" s="81">
        <f ca="1">SUMPRODUCT((Work_Codes!$N$375:$Y$375=$E430)*(Work_Codes!$N$383:$Y$386)*(J$324:J$327))</f>
        <v>0</v>
      </c>
      <c r="K430" s="81">
        <f ca="1">SUMPRODUCT((Work_Codes!$N$375:$Y$375=$E430)*(Work_Codes!$N$383:$Y$386)*(K$324:K$327))</f>
        <v>0</v>
      </c>
      <c r="L430" s="81">
        <f ca="1">SUMPRODUCT((Work_Codes!$N$375:$Y$375=$E430)*(Work_Codes!$N$383:$Y$386)*(L$324:L$327))</f>
        <v>0</v>
      </c>
      <c r="M430" s="81">
        <f ca="1">SUMPRODUCT((Work_Codes!$N$375:$Y$375=$E430)*(Work_Codes!$N$383:$Y$386)*(M$324:M$327))</f>
        <v>0</v>
      </c>
      <c r="N430" s="81">
        <f ca="1">SUMPRODUCT((Work_Codes!$N$375:$Y$375=$E430)*(Work_Codes!$N$383:$Y$386)*(N$324:N$327))</f>
        <v>0</v>
      </c>
      <c r="O430" s="81">
        <f ca="1">SUMPRODUCT((Work_Codes!$N$375:$Y$375=$E430)*(Work_Codes!$N$383:$Y$386)*(O$324:O$327))</f>
        <v>0</v>
      </c>
      <c r="P430" s="81">
        <f ca="1">SUMPRODUCT((Work_Codes!$N$375:$Y$375=$E430)*(Work_Codes!$N$383:$Y$386)*(P$324:P$327))</f>
        <v>0</v>
      </c>
      <c r="Q430" s="81">
        <f ca="1">SUMPRODUCT((Work_Codes!$N$375:$Y$375=$E430)*(Work_Codes!$N$383:$Y$386)*(Q$324:Q$327))</f>
        <v>0</v>
      </c>
      <c r="R430" s="81">
        <f ca="1">SUMPRODUCT((Work_Codes!$N$375:$Y$375=$E430)*(Work_Codes!$N$383:$Y$386)*(R$324:R$327))</f>
        <v>0</v>
      </c>
      <c r="S430" s="81">
        <f ca="1">SUMPRODUCT((Work_Codes!$N$375:$Y$375=$E430)*(Work_Codes!$N$383:$Y$386)*(S$324:S$327))</f>
        <v>0</v>
      </c>
      <c r="T430" s="81">
        <f ca="1">SUMPRODUCT((Work_Codes!$N$375:$Y$375=$E430)*(Work_Codes!$N$383:$Y$386)*(T$324:T$327))</f>
        <v>0</v>
      </c>
    </row>
    <row r="431" spans="4:20" outlineLevel="2">
      <c r="E431" s="247" t="str">
        <f>GC!C44</f>
        <v>Supply Regulators / Valve Stations</v>
      </c>
      <c r="F431" s="247"/>
      <c r="G431" s="247"/>
      <c r="H431" s="247"/>
      <c r="I431" s="247"/>
      <c r="J431" s="81">
        <f ca="1">SUMPRODUCT((Work_Codes!$N$375:$Y$375=$E431)*(Work_Codes!$N$383:$Y$386)*(J$324:J$327))</f>
        <v>0</v>
      </c>
      <c r="K431" s="81">
        <f ca="1">SUMPRODUCT((Work_Codes!$N$375:$Y$375=$E431)*(Work_Codes!$N$383:$Y$386)*(K$324:K$327))</f>
        <v>0</v>
      </c>
      <c r="L431" s="81">
        <f ca="1">SUMPRODUCT((Work_Codes!$N$375:$Y$375=$E431)*(Work_Codes!$N$383:$Y$386)*(L$324:L$327))</f>
        <v>0</v>
      </c>
      <c r="M431" s="81">
        <f ca="1">SUMPRODUCT((Work_Codes!$N$375:$Y$375=$E431)*(Work_Codes!$N$383:$Y$386)*(M$324:M$327))</f>
        <v>0</v>
      </c>
      <c r="N431" s="81">
        <f ca="1">SUMPRODUCT((Work_Codes!$N$375:$Y$375=$E431)*(Work_Codes!$N$383:$Y$386)*(N$324:N$327))</f>
        <v>0</v>
      </c>
      <c r="O431" s="81">
        <f ca="1">SUMPRODUCT((Work_Codes!$N$375:$Y$375=$E431)*(Work_Codes!$N$383:$Y$386)*(O$324:O$327))</f>
        <v>0</v>
      </c>
      <c r="P431" s="81">
        <f ca="1">SUMPRODUCT((Work_Codes!$N$375:$Y$375=$E431)*(Work_Codes!$N$383:$Y$386)*(P$324:P$327))</f>
        <v>0</v>
      </c>
      <c r="Q431" s="81">
        <f ca="1">SUMPRODUCT((Work_Codes!$N$375:$Y$375=$E431)*(Work_Codes!$N$383:$Y$386)*(Q$324:Q$327))</f>
        <v>0</v>
      </c>
      <c r="R431" s="81">
        <f ca="1">SUMPRODUCT((Work_Codes!$N$375:$Y$375=$E431)*(Work_Codes!$N$383:$Y$386)*(R$324:R$327))</f>
        <v>0</v>
      </c>
      <c r="S431" s="81">
        <f ca="1">SUMPRODUCT((Work_Codes!$N$375:$Y$375=$E431)*(Work_Codes!$N$383:$Y$386)*(S$324:S$327))</f>
        <v>0</v>
      </c>
      <c r="T431" s="81">
        <f ca="1">SUMPRODUCT((Work_Codes!$N$375:$Y$375=$E431)*(Work_Codes!$N$383:$Y$386)*(T$324:T$327))</f>
        <v>0</v>
      </c>
    </row>
    <row r="432" spans="4:20" outlineLevel="2">
      <c r="E432" s="247" t="str">
        <f>GC!C45</f>
        <v>Meters</v>
      </c>
      <c r="F432" s="247"/>
      <c r="G432" s="247"/>
      <c r="H432" s="247"/>
      <c r="I432" s="247"/>
      <c r="J432" s="81">
        <f ca="1">SUMPRODUCT((Work_Codes!$N$375:$Y$375=$E432)*(Work_Codes!$N$383:$Y$386)*(J$324:J$327))</f>
        <v>0</v>
      </c>
      <c r="K432" s="81">
        <f ca="1">SUMPRODUCT((Work_Codes!$N$375:$Y$375=$E432)*(Work_Codes!$N$383:$Y$386)*(K$324:K$327))</f>
        <v>0</v>
      </c>
      <c r="L432" s="81">
        <f ca="1">SUMPRODUCT((Work_Codes!$N$375:$Y$375=$E432)*(Work_Codes!$N$383:$Y$386)*(L$324:L$327))</f>
        <v>0</v>
      </c>
      <c r="M432" s="81">
        <f ca="1">SUMPRODUCT((Work_Codes!$N$375:$Y$375=$E432)*(Work_Codes!$N$383:$Y$386)*(M$324:M$327))</f>
        <v>0</v>
      </c>
      <c r="N432" s="81">
        <f ca="1">SUMPRODUCT((Work_Codes!$N$375:$Y$375=$E432)*(Work_Codes!$N$383:$Y$386)*(N$324:N$327))</f>
        <v>-601395.57862399996</v>
      </c>
      <c r="O432" s="81">
        <f ca="1">SUMPRODUCT((Work_Codes!$N$375:$Y$375=$E432)*(Work_Codes!$N$383:$Y$386)*(O$324:O$327))</f>
        <v>-214039.092</v>
      </c>
      <c r="P432" s="81">
        <f ca="1">SUMPRODUCT((Work_Codes!$N$375:$Y$375=$E432)*(Work_Codes!$N$383:$Y$386)*(P$324:P$327))</f>
        <v>-428078.18400000001</v>
      </c>
      <c r="Q432" s="81">
        <f ca="1">SUMPRODUCT((Work_Codes!$N$375:$Y$375=$E432)*(Work_Codes!$N$383:$Y$386)*(Q$324:Q$327))</f>
        <v>-434062.18400000001</v>
      </c>
      <c r="R432" s="81">
        <f ca="1">SUMPRODUCT((Work_Codes!$N$375:$Y$375=$E432)*(Work_Codes!$N$383:$Y$386)*(R$324:R$327))</f>
        <v>-439929.32000000007</v>
      </c>
      <c r="S432" s="81">
        <f ca="1">SUMPRODUCT((Work_Codes!$N$375:$Y$375=$E432)*(Work_Codes!$N$383:$Y$386)*(S$324:S$327))</f>
        <v>-435835.45600000001</v>
      </c>
      <c r="T432" s="81">
        <f ca="1">SUMPRODUCT((Work_Codes!$N$375:$Y$375=$E432)*(Work_Codes!$N$383:$Y$386)*(T$324:T$327))</f>
        <v>-431553.30000000005</v>
      </c>
    </row>
    <row r="433" spans="2:20" outlineLevel="2">
      <c r="E433" s="247" t="str">
        <f>GC!C46</f>
        <v>SCADA and remote control</v>
      </c>
      <c r="F433" s="247"/>
      <c r="G433" s="247"/>
      <c r="H433" s="247"/>
      <c r="I433" s="247"/>
      <c r="J433" s="81">
        <f ca="1">SUMPRODUCT((Work_Codes!$N$375:$Y$375=$E433)*(Work_Codes!$N$383:$Y$386)*(J$324:J$327))</f>
        <v>0</v>
      </c>
      <c r="K433" s="81">
        <f ca="1">SUMPRODUCT((Work_Codes!$N$375:$Y$375=$E433)*(Work_Codes!$N$383:$Y$386)*(K$324:K$327))</f>
        <v>0</v>
      </c>
      <c r="L433" s="81">
        <f ca="1">SUMPRODUCT((Work_Codes!$N$375:$Y$375=$E433)*(Work_Codes!$N$383:$Y$386)*(L$324:L$327))</f>
        <v>0</v>
      </c>
      <c r="M433" s="81">
        <f ca="1">SUMPRODUCT((Work_Codes!$N$375:$Y$375=$E433)*(Work_Codes!$N$383:$Y$386)*(M$324:M$327))</f>
        <v>0</v>
      </c>
      <c r="N433" s="81">
        <f ca="1">SUMPRODUCT((Work_Codes!$N$375:$Y$375=$E433)*(Work_Codes!$N$383:$Y$386)*(N$324:N$327))</f>
        <v>0</v>
      </c>
      <c r="O433" s="81">
        <f ca="1">SUMPRODUCT((Work_Codes!$N$375:$Y$375=$E433)*(Work_Codes!$N$383:$Y$386)*(O$324:O$327))</f>
        <v>0</v>
      </c>
      <c r="P433" s="81">
        <f ca="1">SUMPRODUCT((Work_Codes!$N$375:$Y$375=$E433)*(Work_Codes!$N$383:$Y$386)*(P$324:P$327))</f>
        <v>0</v>
      </c>
      <c r="Q433" s="81">
        <f ca="1">SUMPRODUCT((Work_Codes!$N$375:$Y$375=$E433)*(Work_Codes!$N$383:$Y$386)*(Q$324:Q$327))</f>
        <v>0</v>
      </c>
      <c r="R433" s="81">
        <f ca="1">SUMPRODUCT((Work_Codes!$N$375:$Y$375=$E433)*(Work_Codes!$N$383:$Y$386)*(R$324:R$327))</f>
        <v>0</v>
      </c>
      <c r="S433" s="81">
        <f ca="1">SUMPRODUCT((Work_Codes!$N$375:$Y$375=$E433)*(Work_Codes!$N$383:$Y$386)*(S$324:S$327))</f>
        <v>0</v>
      </c>
      <c r="T433" s="81">
        <f ca="1">SUMPRODUCT((Work_Codes!$N$375:$Y$375=$E433)*(Work_Codes!$N$383:$Y$386)*(T$324:T$327))</f>
        <v>0</v>
      </c>
    </row>
    <row r="434" spans="2:20" outlineLevel="2">
      <c r="E434" s="247" t="str">
        <f>GC!C47</f>
        <v>Buildings</v>
      </c>
      <c r="F434" s="247"/>
      <c r="G434" s="247"/>
      <c r="H434" s="247"/>
      <c r="I434" s="247"/>
      <c r="J434" s="81">
        <f ca="1">SUMPRODUCT((Work_Codes!$N$375:$Y$375=$E434)*(Work_Codes!$N$383:$Y$386)*(J$324:J$327))</f>
        <v>0</v>
      </c>
      <c r="K434" s="81">
        <f ca="1">SUMPRODUCT((Work_Codes!$N$375:$Y$375=$E434)*(Work_Codes!$N$383:$Y$386)*(K$324:K$327))</f>
        <v>0</v>
      </c>
      <c r="L434" s="81">
        <f ca="1">SUMPRODUCT((Work_Codes!$N$375:$Y$375=$E434)*(Work_Codes!$N$383:$Y$386)*(L$324:L$327))</f>
        <v>0</v>
      </c>
      <c r="M434" s="81">
        <f ca="1">SUMPRODUCT((Work_Codes!$N$375:$Y$375=$E434)*(Work_Codes!$N$383:$Y$386)*(M$324:M$327))</f>
        <v>0</v>
      </c>
      <c r="N434" s="81">
        <f ca="1">SUMPRODUCT((Work_Codes!$N$375:$Y$375=$E434)*(Work_Codes!$N$383:$Y$386)*(N$324:N$327))</f>
        <v>0</v>
      </c>
      <c r="O434" s="81">
        <f ca="1">SUMPRODUCT((Work_Codes!$N$375:$Y$375=$E434)*(Work_Codes!$N$383:$Y$386)*(O$324:O$327))</f>
        <v>0</v>
      </c>
      <c r="P434" s="81">
        <f ca="1">SUMPRODUCT((Work_Codes!$N$375:$Y$375=$E434)*(Work_Codes!$N$383:$Y$386)*(P$324:P$327))</f>
        <v>0</v>
      </c>
      <c r="Q434" s="81">
        <f ca="1">SUMPRODUCT((Work_Codes!$N$375:$Y$375=$E434)*(Work_Codes!$N$383:$Y$386)*(Q$324:Q$327))</f>
        <v>0</v>
      </c>
      <c r="R434" s="81">
        <f ca="1">SUMPRODUCT((Work_Codes!$N$375:$Y$375=$E434)*(Work_Codes!$N$383:$Y$386)*(R$324:R$327))</f>
        <v>0</v>
      </c>
      <c r="S434" s="81">
        <f ca="1">SUMPRODUCT((Work_Codes!$N$375:$Y$375=$E434)*(Work_Codes!$N$383:$Y$386)*(S$324:S$327))</f>
        <v>0</v>
      </c>
      <c r="T434" s="81">
        <f ca="1">SUMPRODUCT((Work_Codes!$N$375:$Y$375=$E434)*(Work_Codes!$N$383:$Y$386)*(T$324:T$327))</f>
        <v>0</v>
      </c>
    </row>
    <row r="435" spans="2:20" outlineLevel="2">
      <c r="E435" s="247" t="str">
        <f>GC!C48</f>
        <v>Other - IT</v>
      </c>
      <c r="F435" s="247"/>
      <c r="G435" s="247"/>
      <c r="H435" s="247"/>
      <c r="I435" s="247"/>
      <c r="J435" s="81">
        <f ca="1">SUMPRODUCT((Work_Codes!$N$375:$Y$375=$E435)*(Work_Codes!$N$383:$Y$386)*(J$324:J$327))</f>
        <v>0</v>
      </c>
      <c r="K435" s="81">
        <f ca="1">SUMPRODUCT((Work_Codes!$N$375:$Y$375=$E435)*(Work_Codes!$N$383:$Y$386)*(K$324:K$327))</f>
        <v>0</v>
      </c>
      <c r="L435" s="81">
        <f ca="1">SUMPRODUCT((Work_Codes!$N$375:$Y$375=$E435)*(Work_Codes!$N$383:$Y$386)*(L$324:L$327))</f>
        <v>0</v>
      </c>
      <c r="M435" s="81">
        <f ca="1">SUMPRODUCT((Work_Codes!$N$375:$Y$375=$E435)*(Work_Codes!$N$383:$Y$386)*(M$324:M$327))</f>
        <v>0</v>
      </c>
      <c r="N435" s="81">
        <f ca="1">SUMPRODUCT((Work_Codes!$N$375:$Y$375=$E435)*(Work_Codes!$N$383:$Y$386)*(N$324:N$327))</f>
        <v>0</v>
      </c>
      <c r="O435" s="81">
        <f ca="1">SUMPRODUCT((Work_Codes!$N$375:$Y$375=$E435)*(Work_Codes!$N$383:$Y$386)*(O$324:O$327))</f>
        <v>0</v>
      </c>
      <c r="P435" s="81">
        <f ca="1">SUMPRODUCT((Work_Codes!$N$375:$Y$375=$E435)*(Work_Codes!$N$383:$Y$386)*(P$324:P$327))</f>
        <v>0</v>
      </c>
      <c r="Q435" s="81">
        <f ca="1">SUMPRODUCT((Work_Codes!$N$375:$Y$375=$E435)*(Work_Codes!$N$383:$Y$386)*(Q$324:Q$327))</f>
        <v>0</v>
      </c>
      <c r="R435" s="81">
        <f ca="1">SUMPRODUCT((Work_Codes!$N$375:$Y$375=$E435)*(Work_Codes!$N$383:$Y$386)*(R$324:R$327))</f>
        <v>0</v>
      </c>
      <c r="S435" s="81">
        <f ca="1">SUMPRODUCT((Work_Codes!$N$375:$Y$375=$E435)*(Work_Codes!$N$383:$Y$386)*(S$324:S$327))</f>
        <v>0</v>
      </c>
      <c r="T435" s="81">
        <f ca="1">SUMPRODUCT((Work_Codes!$N$375:$Y$375=$E435)*(Work_Codes!$N$383:$Y$386)*(T$324:T$327))</f>
        <v>0</v>
      </c>
    </row>
    <row r="436" spans="2:20" outlineLevel="2">
      <c r="E436" s="247" t="str">
        <f>GC!C49</f>
        <v>Other - non IT</v>
      </c>
      <c r="F436" s="247"/>
      <c r="G436" s="247"/>
      <c r="H436" s="247"/>
      <c r="I436" s="247"/>
      <c r="J436" s="81">
        <f ca="1">SUMPRODUCT((Work_Codes!$N$375:$Y$375=$E436)*(Work_Codes!$N$383:$Y$386)*(J$324:J$327))</f>
        <v>0</v>
      </c>
      <c r="K436" s="81">
        <f ca="1">SUMPRODUCT((Work_Codes!$N$375:$Y$375=$E436)*(Work_Codes!$N$383:$Y$386)*(K$324:K$327))</f>
        <v>0</v>
      </c>
      <c r="L436" s="81">
        <f ca="1">SUMPRODUCT((Work_Codes!$N$375:$Y$375=$E436)*(Work_Codes!$N$383:$Y$386)*(L$324:L$327))</f>
        <v>0</v>
      </c>
      <c r="M436" s="81">
        <f ca="1">SUMPRODUCT((Work_Codes!$N$375:$Y$375=$E436)*(Work_Codes!$N$383:$Y$386)*(M$324:M$327))</f>
        <v>0</v>
      </c>
      <c r="N436" s="81">
        <f ca="1">SUMPRODUCT((Work_Codes!$N$375:$Y$375=$E436)*(Work_Codes!$N$383:$Y$386)*(N$324:N$327))</f>
        <v>0</v>
      </c>
      <c r="O436" s="81">
        <f ca="1">SUMPRODUCT((Work_Codes!$N$375:$Y$375=$E436)*(Work_Codes!$N$383:$Y$386)*(O$324:O$327))</f>
        <v>0</v>
      </c>
      <c r="P436" s="81">
        <f ca="1">SUMPRODUCT((Work_Codes!$N$375:$Y$375=$E436)*(Work_Codes!$N$383:$Y$386)*(P$324:P$327))</f>
        <v>0</v>
      </c>
      <c r="Q436" s="81">
        <f ca="1">SUMPRODUCT((Work_Codes!$N$375:$Y$375=$E436)*(Work_Codes!$N$383:$Y$386)*(Q$324:Q$327))</f>
        <v>0</v>
      </c>
      <c r="R436" s="81">
        <f ca="1">SUMPRODUCT((Work_Codes!$N$375:$Y$375=$E436)*(Work_Codes!$N$383:$Y$386)*(R$324:R$327))</f>
        <v>0</v>
      </c>
      <c r="S436" s="81">
        <f ca="1">SUMPRODUCT((Work_Codes!$N$375:$Y$375=$E436)*(Work_Codes!$N$383:$Y$386)*(S$324:S$327))</f>
        <v>0</v>
      </c>
      <c r="T436" s="81">
        <f ca="1">SUMPRODUCT((Work_Codes!$N$375:$Y$375=$E436)*(Work_Codes!$N$383:$Y$386)*(T$324:T$327))</f>
        <v>0</v>
      </c>
    </row>
    <row r="437" spans="2:20" outlineLevel="2">
      <c r="E437" s="247" t="str">
        <f>GC!C50</f>
        <v>Land</v>
      </c>
      <c r="F437" s="247"/>
      <c r="G437" s="247"/>
      <c r="H437" s="247"/>
      <c r="I437" s="247"/>
      <c r="J437" s="81">
        <f ca="1">SUMPRODUCT((Work_Codes!$N$375:$Y$375=$E437)*(Work_Codes!$N$383:$Y$386)*(J$324:J$327))</f>
        <v>0</v>
      </c>
      <c r="K437" s="81">
        <f ca="1">SUMPRODUCT((Work_Codes!$N$375:$Y$375=$E437)*(Work_Codes!$N$383:$Y$386)*(K$324:K$327))</f>
        <v>0</v>
      </c>
      <c r="L437" s="81">
        <f ca="1">SUMPRODUCT((Work_Codes!$N$375:$Y$375=$E437)*(Work_Codes!$N$383:$Y$386)*(L$324:L$327))</f>
        <v>0</v>
      </c>
      <c r="M437" s="81">
        <f ca="1">SUMPRODUCT((Work_Codes!$N$375:$Y$375=$E437)*(Work_Codes!$N$383:$Y$386)*(M$324:M$327))</f>
        <v>0</v>
      </c>
      <c r="N437" s="81">
        <f ca="1">SUMPRODUCT((Work_Codes!$N$375:$Y$375=$E437)*(Work_Codes!$N$383:$Y$386)*(N$324:N$327))</f>
        <v>0</v>
      </c>
      <c r="O437" s="81">
        <f ca="1">SUMPRODUCT((Work_Codes!$N$375:$Y$375=$E437)*(Work_Codes!$N$383:$Y$386)*(O$324:O$327))</f>
        <v>0</v>
      </c>
      <c r="P437" s="81">
        <f ca="1">SUMPRODUCT((Work_Codes!$N$375:$Y$375=$E437)*(Work_Codes!$N$383:$Y$386)*(P$324:P$327))</f>
        <v>0</v>
      </c>
      <c r="Q437" s="81">
        <f ca="1">SUMPRODUCT((Work_Codes!$N$375:$Y$375=$E437)*(Work_Codes!$N$383:$Y$386)*(Q$324:Q$327))</f>
        <v>0</v>
      </c>
      <c r="R437" s="81">
        <f ca="1">SUMPRODUCT((Work_Codes!$N$375:$Y$375=$E437)*(Work_Codes!$N$383:$Y$386)*(R$324:R$327))</f>
        <v>0</v>
      </c>
      <c r="S437" s="81">
        <f ca="1">SUMPRODUCT((Work_Codes!$N$375:$Y$375=$E437)*(Work_Codes!$N$383:$Y$386)*(S$324:S$327))</f>
        <v>0</v>
      </c>
      <c r="T437" s="81">
        <f ca="1">SUMPRODUCT((Work_Codes!$N$375:$Y$375=$E437)*(Work_Codes!$N$383:$Y$386)*(T$324:T$327))</f>
        <v>0</v>
      </c>
    </row>
    <row r="438" spans="2:20" outlineLevel="2">
      <c r="E438" s="247" t="str">
        <f>GC!C51</f>
        <v>Capitalised Leases</v>
      </c>
      <c r="F438" s="247"/>
      <c r="G438" s="247"/>
      <c r="H438" s="247"/>
      <c r="I438" s="247"/>
      <c r="J438" s="81">
        <f ca="1">SUMPRODUCT((Work_Codes!$N$375:$Y$375=$E438)*(Work_Codes!$N$383:$Y$386)*(J$324:J$327))</f>
        <v>0</v>
      </c>
      <c r="K438" s="81">
        <f ca="1">SUMPRODUCT((Work_Codes!$N$375:$Y$375=$E438)*(Work_Codes!$N$383:$Y$386)*(K$324:K$327))</f>
        <v>0</v>
      </c>
      <c r="L438" s="81">
        <f ca="1">SUMPRODUCT((Work_Codes!$N$375:$Y$375=$E438)*(Work_Codes!$N$383:$Y$386)*(L$324:L$327))</f>
        <v>0</v>
      </c>
      <c r="M438" s="81">
        <f ca="1">SUMPRODUCT((Work_Codes!$N$375:$Y$375=$E438)*(Work_Codes!$N$383:$Y$386)*(M$324:M$327))</f>
        <v>0</v>
      </c>
      <c r="N438" s="81">
        <f ca="1">SUMPRODUCT((Work_Codes!$N$375:$Y$375=$E438)*(Work_Codes!$N$383:$Y$386)*(N$324:N$327))</f>
        <v>0</v>
      </c>
      <c r="O438" s="81">
        <f ca="1">SUMPRODUCT((Work_Codes!$N$375:$Y$375=$E438)*(Work_Codes!$N$383:$Y$386)*(O$324:O$327))</f>
        <v>0</v>
      </c>
      <c r="P438" s="81">
        <f ca="1">SUMPRODUCT((Work_Codes!$N$375:$Y$375=$E438)*(Work_Codes!$N$383:$Y$386)*(P$324:P$327))</f>
        <v>0</v>
      </c>
      <c r="Q438" s="81">
        <f ca="1">SUMPRODUCT((Work_Codes!$N$375:$Y$375=$E438)*(Work_Codes!$N$383:$Y$386)*(Q$324:Q$327))</f>
        <v>0</v>
      </c>
      <c r="R438" s="81">
        <f ca="1">SUMPRODUCT((Work_Codes!$N$375:$Y$375=$E438)*(Work_Codes!$N$383:$Y$386)*(R$324:R$327))</f>
        <v>0</v>
      </c>
      <c r="S438" s="81">
        <f ca="1">SUMPRODUCT((Work_Codes!$N$375:$Y$375=$E438)*(Work_Codes!$N$383:$Y$386)*(S$324:S$327))</f>
        <v>0</v>
      </c>
      <c r="T438" s="81">
        <f ca="1">SUMPRODUCT((Work_Codes!$N$375:$Y$375=$E438)*(Work_Codes!$N$383:$Y$386)*(T$324:T$327))</f>
        <v>0</v>
      </c>
    </row>
    <row r="439" spans="2:20" outlineLevel="2">
      <c r="E439" s="247" t="str">
        <f>GC!C52</f>
        <v>Transmission pipelines - post 1998</v>
      </c>
      <c r="F439" s="247"/>
      <c r="G439" s="247"/>
      <c r="H439" s="247"/>
      <c r="I439" s="247"/>
      <c r="J439" s="81">
        <f ca="1">SUMPRODUCT((Work_Codes!$N$375:$Y$375=$E439)*(Work_Codes!$N$383:$Y$386)*(J$324:J$327))</f>
        <v>0</v>
      </c>
      <c r="K439" s="81">
        <f ca="1">SUMPRODUCT((Work_Codes!$N$375:$Y$375=$E439)*(Work_Codes!$N$383:$Y$386)*(K$324:K$327))</f>
        <v>0</v>
      </c>
      <c r="L439" s="81">
        <f ca="1">SUMPRODUCT((Work_Codes!$N$375:$Y$375=$E439)*(Work_Codes!$N$383:$Y$386)*(L$324:L$327))</f>
        <v>0</v>
      </c>
      <c r="M439" s="81">
        <f ca="1">SUMPRODUCT((Work_Codes!$N$375:$Y$375=$E439)*(Work_Codes!$N$383:$Y$386)*(M$324:M$327))</f>
        <v>0</v>
      </c>
      <c r="N439" s="81">
        <f ca="1">SUMPRODUCT((Work_Codes!$N$375:$Y$375=$E439)*(Work_Codes!$N$383:$Y$386)*(N$324:N$327))</f>
        <v>0</v>
      </c>
      <c r="O439" s="81">
        <f ca="1">SUMPRODUCT((Work_Codes!$N$375:$Y$375=$E439)*(Work_Codes!$N$383:$Y$386)*(O$324:O$327))</f>
        <v>0</v>
      </c>
      <c r="P439" s="81">
        <f ca="1">SUMPRODUCT((Work_Codes!$N$375:$Y$375=$E439)*(Work_Codes!$N$383:$Y$386)*(P$324:P$327))</f>
        <v>0</v>
      </c>
      <c r="Q439" s="81">
        <f ca="1">SUMPRODUCT((Work_Codes!$N$375:$Y$375=$E439)*(Work_Codes!$N$383:$Y$386)*(Q$324:Q$327))</f>
        <v>0</v>
      </c>
      <c r="R439" s="81">
        <f ca="1">SUMPRODUCT((Work_Codes!$N$375:$Y$375=$E439)*(Work_Codes!$N$383:$Y$386)*(R$324:R$327))</f>
        <v>0</v>
      </c>
      <c r="S439" s="81">
        <f ca="1">SUMPRODUCT((Work_Codes!$N$375:$Y$375=$E439)*(Work_Codes!$N$383:$Y$386)*(S$324:S$327))</f>
        <v>0</v>
      </c>
      <c r="T439" s="81">
        <f ca="1">SUMPRODUCT((Work_Codes!$N$375:$Y$375=$E439)*(Work_Codes!$N$383:$Y$386)*(T$324:T$327))</f>
        <v>0</v>
      </c>
    </row>
    <row r="440" spans="2:20" outlineLevel="2">
      <c r="E440" s="247" t="str">
        <f>GC!C53</f>
        <v>Distribution pipelines - post 1998</v>
      </c>
      <c r="F440" s="247"/>
      <c r="G440" s="247"/>
      <c r="H440" s="247"/>
      <c r="I440" s="247"/>
      <c r="J440" s="81">
        <f ca="1">SUMPRODUCT((Work_Codes!$N$375:$Y$375=$E440)*(Work_Codes!$N$383:$Y$386)*(J$324:J$327))</f>
        <v>0</v>
      </c>
      <c r="K440" s="81">
        <f ca="1">SUMPRODUCT((Work_Codes!$N$375:$Y$375=$E440)*(Work_Codes!$N$383:$Y$386)*(K$324:K$327))</f>
        <v>0</v>
      </c>
      <c r="L440" s="81">
        <f ca="1">SUMPRODUCT((Work_Codes!$N$375:$Y$375=$E440)*(Work_Codes!$N$383:$Y$386)*(L$324:L$327))</f>
        <v>0</v>
      </c>
      <c r="M440" s="81">
        <f ca="1">SUMPRODUCT((Work_Codes!$N$375:$Y$375=$E440)*(Work_Codes!$N$383:$Y$386)*(M$324:M$327))</f>
        <v>0</v>
      </c>
      <c r="N440" s="81">
        <f ca="1">SUMPRODUCT((Work_Codes!$N$375:$Y$375=$E440)*(Work_Codes!$N$383:$Y$386)*(N$324:N$327))</f>
        <v>-590030.90205599996</v>
      </c>
      <c r="O440" s="81">
        <f ca="1">SUMPRODUCT((Work_Codes!$N$375:$Y$375=$E440)*(Work_Codes!$N$383:$Y$386)*(O$324:O$327))</f>
        <v>-323306.94799999997</v>
      </c>
      <c r="P440" s="81">
        <f ca="1">SUMPRODUCT((Work_Codes!$N$375:$Y$375=$E440)*(Work_Codes!$N$383:$Y$386)*(P$324:P$327))</f>
        <v>-646613.89599999995</v>
      </c>
      <c r="Q440" s="81">
        <f ca="1">SUMPRODUCT((Work_Codes!$N$375:$Y$375=$E440)*(Work_Codes!$N$383:$Y$386)*(Q$324:Q$327))</f>
        <v>-655652.75599999994</v>
      </c>
      <c r="R440" s="81">
        <f ca="1">SUMPRODUCT((Work_Codes!$N$375:$Y$375=$E440)*(Work_Codes!$N$383:$Y$386)*(R$324:R$327))</f>
        <v>-664515.09000000008</v>
      </c>
      <c r="S440" s="81">
        <f ca="1">SUMPRODUCT((Work_Codes!$N$375:$Y$375=$E440)*(Work_Codes!$N$383:$Y$386)*(S$324:S$327))</f>
        <v>-658331.28399999999</v>
      </c>
      <c r="T440" s="81">
        <f ca="1">SUMPRODUCT((Work_Codes!$N$375:$Y$375=$E440)*(Work_Codes!$N$383:$Y$386)*(T$324:T$327))</f>
        <v>-651863.07499999995</v>
      </c>
    </row>
    <row r="441" spans="2:20" outlineLevel="2">
      <c r="E441" s="247" t="str">
        <f>GC!C54</f>
        <v>Service pipes - post 1998</v>
      </c>
      <c r="F441" s="247"/>
      <c r="G441" s="247"/>
      <c r="H441" s="247"/>
      <c r="I441" s="247"/>
      <c r="J441" s="81">
        <f ca="1">SUMPRODUCT((Work_Codes!$N$375:$Y$375=$E441)*(Work_Codes!$N$383:$Y$386)*(J$324:J$327))</f>
        <v>0</v>
      </c>
      <c r="K441" s="81">
        <f ca="1">SUMPRODUCT((Work_Codes!$N$375:$Y$375=$E441)*(Work_Codes!$N$383:$Y$386)*(K$324:K$327))</f>
        <v>0</v>
      </c>
      <c r="L441" s="81">
        <f ca="1">SUMPRODUCT((Work_Codes!$N$375:$Y$375=$E441)*(Work_Codes!$N$383:$Y$386)*(L$324:L$327))</f>
        <v>0</v>
      </c>
      <c r="M441" s="81">
        <f ca="1">SUMPRODUCT((Work_Codes!$N$375:$Y$375=$E441)*(Work_Codes!$N$383:$Y$386)*(M$324:M$327))</f>
        <v>0</v>
      </c>
      <c r="N441" s="81">
        <f ca="1">SUMPRODUCT((Work_Codes!$N$375:$Y$375=$E441)*(Work_Codes!$N$383:$Y$386)*(N$324:N$327))</f>
        <v>-751744.47327999992</v>
      </c>
      <c r="O441" s="81">
        <f ca="1">SUMPRODUCT((Work_Codes!$N$375:$Y$375=$E441)*(Work_Codes!$N$383:$Y$386)*(O$324:O$327))</f>
        <v>-267548.86499999999</v>
      </c>
      <c r="P441" s="81">
        <f ca="1">SUMPRODUCT((Work_Codes!$N$375:$Y$375=$E441)*(Work_Codes!$N$383:$Y$386)*(P$324:P$327))</f>
        <v>-535097.73</v>
      </c>
      <c r="Q441" s="81">
        <f ca="1">SUMPRODUCT((Work_Codes!$N$375:$Y$375=$E441)*(Work_Codes!$N$383:$Y$386)*(Q$324:Q$327))</f>
        <v>-542577.73</v>
      </c>
      <c r="R441" s="81">
        <f ca="1">SUMPRODUCT((Work_Codes!$N$375:$Y$375=$E441)*(Work_Codes!$N$383:$Y$386)*(R$324:R$327))</f>
        <v>-549911.65</v>
      </c>
      <c r="S441" s="81">
        <f ca="1">SUMPRODUCT((Work_Codes!$N$375:$Y$375=$E441)*(Work_Codes!$N$383:$Y$386)*(S$324:S$327))</f>
        <v>-544794.31999999995</v>
      </c>
      <c r="T441" s="81">
        <f ca="1">SUMPRODUCT((Work_Codes!$N$375:$Y$375=$E441)*(Work_Codes!$N$383:$Y$386)*(T$324:T$327))</f>
        <v>-539441.625</v>
      </c>
    </row>
    <row r="442" spans="2:20" outlineLevel="2">
      <c r="E442" s="247" t="str">
        <f>GC!C55</f>
        <v>Cathodic protection - post 1998</v>
      </c>
      <c r="F442" s="247"/>
      <c r="G442" s="247"/>
      <c r="H442" s="247"/>
      <c r="I442" s="247"/>
      <c r="J442" s="81">
        <f ca="1">SUMPRODUCT((Work_Codes!$N$375:$Y$375=$E442)*(Work_Codes!$N$383:$Y$386)*(J$324:J$327))</f>
        <v>0</v>
      </c>
      <c r="K442" s="81">
        <f ca="1">SUMPRODUCT((Work_Codes!$N$375:$Y$375=$E442)*(Work_Codes!$N$383:$Y$386)*(K$324:K$327))</f>
        <v>0</v>
      </c>
      <c r="L442" s="81">
        <f ca="1">SUMPRODUCT((Work_Codes!$N$375:$Y$375=$E442)*(Work_Codes!$N$383:$Y$386)*(L$324:L$327))</f>
        <v>0</v>
      </c>
      <c r="M442" s="81">
        <f ca="1">SUMPRODUCT((Work_Codes!$N$375:$Y$375=$E442)*(Work_Codes!$N$383:$Y$386)*(M$324:M$327))</f>
        <v>0</v>
      </c>
      <c r="N442" s="81">
        <f ca="1">SUMPRODUCT((Work_Codes!$N$375:$Y$375=$E442)*(Work_Codes!$N$383:$Y$386)*(N$324:N$327))</f>
        <v>0</v>
      </c>
      <c r="O442" s="81">
        <f ca="1">SUMPRODUCT((Work_Codes!$N$375:$Y$375=$E442)*(Work_Codes!$N$383:$Y$386)*(O$324:O$327))</f>
        <v>0</v>
      </c>
      <c r="P442" s="81">
        <f ca="1">SUMPRODUCT((Work_Codes!$N$375:$Y$375=$E442)*(Work_Codes!$N$383:$Y$386)*(P$324:P$327))</f>
        <v>0</v>
      </c>
      <c r="Q442" s="81">
        <f ca="1">SUMPRODUCT((Work_Codes!$N$375:$Y$375=$E442)*(Work_Codes!$N$383:$Y$386)*(Q$324:Q$327))</f>
        <v>0</v>
      </c>
      <c r="R442" s="81">
        <f ca="1">SUMPRODUCT((Work_Codes!$N$375:$Y$375=$E442)*(Work_Codes!$N$383:$Y$386)*(R$324:R$327))</f>
        <v>0</v>
      </c>
      <c r="S442" s="81">
        <f ca="1">SUMPRODUCT((Work_Codes!$N$375:$Y$375=$E442)*(Work_Codes!$N$383:$Y$386)*(S$324:S$327))</f>
        <v>0</v>
      </c>
      <c r="T442" s="81">
        <f ca="1">SUMPRODUCT((Work_Codes!$N$375:$Y$375=$E442)*(Work_Codes!$N$383:$Y$386)*(T$324:T$327))</f>
        <v>0</v>
      </c>
    </row>
    <row r="443" spans="2:20" outlineLevel="2">
      <c r="E443" s="249" t="str">
        <f>"Total "&amp;D425</f>
        <v>Total Customer Contributions</v>
      </c>
      <c r="F443" s="249"/>
      <c r="G443" s="249"/>
      <c r="H443" s="249"/>
      <c r="I443" s="249"/>
      <c r="J443" s="82">
        <f t="shared" ref="J443:T443" ca="1" si="43">SUM(J427:J442)</f>
        <v>0</v>
      </c>
      <c r="K443" s="82">
        <f t="shared" ca="1" si="43"/>
        <v>0</v>
      </c>
      <c r="L443" s="82">
        <f t="shared" ca="1" si="43"/>
        <v>0</v>
      </c>
      <c r="M443" s="82">
        <f t="shared" ca="1" si="43"/>
        <v>0</v>
      </c>
      <c r="N443" s="82">
        <f t="shared" ca="1" si="43"/>
        <v>-1943170.9539600001</v>
      </c>
      <c r="O443" s="82">
        <f t="shared" ca="1" si="43"/>
        <v>-804894.90500000003</v>
      </c>
      <c r="P443" s="82">
        <f t="shared" ca="1" si="43"/>
        <v>-1609789.81</v>
      </c>
      <c r="Q443" s="82">
        <f t="shared" ca="1" si="43"/>
        <v>-1632292.67</v>
      </c>
      <c r="R443" s="82">
        <f t="shared" ca="1" si="43"/>
        <v>-1654356.06</v>
      </c>
      <c r="S443" s="82">
        <f t="shared" ca="1" si="43"/>
        <v>-1638961.06</v>
      </c>
      <c r="T443" s="82">
        <f t="shared" ca="1" si="43"/>
        <v>-1622858</v>
      </c>
    </row>
    <row r="444" spans="2:20" outlineLevel="1">
      <c r="B444" s="12"/>
      <c r="C444" s="12"/>
      <c r="D444" s="12"/>
      <c r="E444" s="12"/>
      <c r="F444" s="12"/>
      <c r="G444" s="12"/>
      <c r="H444" s="12"/>
      <c r="I444" s="12"/>
      <c r="J444" s="12"/>
      <c r="K444" s="12"/>
      <c r="L444" s="12"/>
      <c r="M444" s="12"/>
      <c r="N444" s="12"/>
      <c r="O444" s="12"/>
      <c r="P444" s="12"/>
      <c r="Q444" s="12"/>
      <c r="R444" s="12"/>
      <c r="S444" s="12"/>
      <c r="T444" s="12"/>
    </row>
    <row r="445" spans="2:20" outlineLevel="1"/>
    <row r="446" spans="2:20" outlineLevel="1">
      <c r="C446" s="37" t="s">
        <v>196</v>
      </c>
    </row>
    <row r="447" spans="2:20" ht="5.9" customHeight="1" outlineLevel="2"/>
    <row r="448" spans="2:20" outlineLevel="2">
      <c r="D448" s="37" t="s">
        <v>215</v>
      </c>
    </row>
    <row r="449" spans="5:20" ht="5.9" customHeight="1" outlineLevel="2"/>
    <row r="450" spans="5:20" ht="12" customHeight="1" outlineLevel="2">
      <c r="E450" s="247" t="str">
        <f>GC!C60</f>
        <v>Mains replacement</v>
      </c>
      <c r="F450" s="247"/>
      <c r="G450" s="247"/>
      <c r="H450" s="247"/>
      <c r="I450" s="247"/>
      <c r="J450" s="81">
        <f ca="1">SUMPRODUCT((Work_Codes!$AC$375:$AO$375=$E450)*(Work_Codes!$AC$378:$AO$379)*(J$357:J$358))</f>
        <v>0</v>
      </c>
      <c r="K450" s="81">
        <f ca="1">SUMPRODUCT((Work_Codes!$AC$375:$AO$375=$E450)*(Work_Codes!$AC$378:$AO$379)*(K$357:K$358))</f>
        <v>0</v>
      </c>
      <c r="L450" s="81">
        <f ca="1">SUMPRODUCT((Work_Codes!$AC$375:$AO$375=$E450)*(Work_Codes!$AC$378:$AO$379)*(L$357:L$358))</f>
        <v>0</v>
      </c>
      <c r="M450" s="81">
        <f ca="1">SUMPRODUCT((Work_Codes!$AC$375:$AO$375=$E450)*(Work_Codes!$AC$378:$AO$379)*(M$357:M$358))</f>
        <v>0</v>
      </c>
      <c r="N450" s="81">
        <f ca="1">SUMPRODUCT((Work_Codes!$AC$375:$AO$375=$E450)*(Work_Codes!$AC$378:$AO$379)*(N$357:N$358))</f>
        <v>0</v>
      </c>
      <c r="O450" s="81">
        <f ca="1">SUMPRODUCT((Work_Codes!$AC$375:$AO$375=$E450)*(Work_Codes!$AC$378:$AO$379)*(O$357:O$358))</f>
        <v>0</v>
      </c>
      <c r="P450" s="81">
        <f ca="1">SUMPRODUCT((Work_Codes!$AC$375:$AO$375=$E450)*(Work_Codes!$AC$378:$AO$379)*(P$357:P$358))</f>
        <v>0</v>
      </c>
      <c r="Q450" s="81">
        <f ca="1">SUMPRODUCT((Work_Codes!$AC$375:$AO$375=$E450)*(Work_Codes!$AC$378:$AO$379)*(Q$357:Q$358))</f>
        <v>0</v>
      </c>
      <c r="R450" s="81">
        <f ca="1">SUMPRODUCT((Work_Codes!$AC$375:$AO$375=$E450)*(Work_Codes!$AC$378:$AO$379)*(R$357:R$358))</f>
        <v>0</v>
      </c>
      <c r="S450" s="81">
        <f ca="1">SUMPRODUCT((Work_Codes!$AC$375:$AO$375=$E450)*(Work_Codes!$AC$378:$AO$379)*(S$357:S$358))</f>
        <v>0</v>
      </c>
      <c r="T450" s="81">
        <f ca="1">SUMPRODUCT((Work_Codes!$AC$375:$AO$375=$E450)*(Work_Codes!$AC$378:$AO$379)*(T$357:T$358))</f>
        <v>0</v>
      </c>
    </row>
    <row r="451" spans="5:20" ht="12" customHeight="1" outlineLevel="2">
      <c r="E451" s="247" t="str">
        <f>GC!C61</f>
        <v>Residential new customer connections</v>
      </c>
      <c r="F451" s="247"/>
      <c r="G451" s="247"/>
      <c r="H451" s="247"/>
      <c r="I451" s="247"/>
      <c r="J451" s="81">
        <f ca="1">SUMPRODUCT((Work_Codes!$AC$375:$AO$375=$E451)*(Work_Codes!$AC$378:$AO$379)*(J$357:J$358))</f>
        <v>0</v>
      </c>
      <c r="K451" s="81">
        <f ca="1">SUMPRODUCT((Work_Codes!$AC$375:$AO$375=$E451)*(Work_Codes!$AC$378:$AO$379)*(K$357:K$358))</f>
        <v>0</v>
      </c>
      <c r="L451" s="81">
        <f ca="1">SUMPRODUCT((Work_Codes!$AC$375:$AO$375=$E451)*(Work_Codes!$AC$378:$AO$379)*(L$357:L$358))</f>
        <v>0</v>
      </c>
      <c r="M451" s="81">
        <f ca="1">SUMPRODUCT((Work_Codes!$AC$375:$AO$375=$E451)*(Work_Codes!$AC$378:$AO$379)*(M$357:M$358))</f>
        <v>0</v>
      </c>
      <c r="N451" s="81">
        <f ca="1">SUMPRODUCT((Work_Codes!$AC$375:$AO$375=$E451)*(Work_Codes!$AC$378:$AO$379)*(N$357:N$358))</f>
        <v>0</v>
      </c>
      <c r="O451" s="81">
        <f ca="1">SUMPRODUCT((Work_Codes!$AC$375:$AO$375=$E451)*(Work_Codes!$AC$378:$AO$379)*(O$357:O$358))</f>
        <v>0</v>
      </c>
      <c r="P451" s="81">
        <f ca="1">SUMPRODUCT((Work_Codes!$AC$375:$AO$375=$E451)*(Work_Codes!$AC$378:$AO$379)*(P$357:P$358))</f>
        <v>0</v>
      </c>
      <c r="Q451" s="81">
        <f ca="1">SUMPRODUCT((Work_Codes!$AC$375:$AO$375=$E451)*(Work_Codes!$AC$378:$AO$379)*(Q$357:Q$358))</f>
        <v>0</v>
      </c>
      <c r="R451" s="81">
        <f ca="1">SUMPRODUCT((Work_Codes!$AC$375:$AO$375=$E451)*(Work_Codes!$AC$378:$AO$379)*(R$357:R$358))</f>
        <v>0</v>
      </c>
      <c r="S451" s="81">
        <f ca="1">SUMPRODUCT((Work_Codes!$AC$375:$AO$375=$E451)*(Work_Codes!$AC$378:$AO$379)*(S$357:S$358))</f>
        <v>0</v>
      </c>
      <c r="T451" s="81">
        <f ca="1">SUMPRODUCT((Work_Codes!$AC$375:$AO$375=$E451)*(Work_Codes!$AC$378:$AO$379)*(T$357:T$358))</f>
        <v>0</v>
      </c>
    </row>
    <row r="452" spans="5:20" ht="12" customHeight="1" outlineLevel="2">
      <c r="E452" s="247" t="str">
        <f>GC!C62</f>
        <v>Commercial and industrial new customer connections</v>
      </c>
      <c r="F452" s="247"/>
      <c r="G452" s="247"/>
      <c r="H452" s="247"/>
      <c r="I452" s="247"/>
      <c r="J452" s="81">
        <f ca="1">SUMPRODUCT((Work_Codes!$AC$375:$AO$375=$E452)*(Work_Codes!$AC$378:$AO$379)*(J$357:J$358))</f>
        <v>0</v>
      </c>
      <c r="K452" s="81">
        <f ca="1">SUMPRODUCT((Work_Codes!$AC$375:$AO$375=$E452)*(Work_Codes!$AC$378:$AO$379)*(K$357:K$358))</f>
        <v>0</v>
      </c>
      <c r="L452" s="81">
        <f ca="1">SUMPRODUCT((Work_Codes!$AC$375:$AO$375=$E452)*(Work_Codes!$AC$378:$AO$379)*(L$357:L$358))</f>
        <v>0</v>
      </c>
      <c r="M452" s="81">
        <f ca="1">SUMPRODUCT((Work_Codes!$AC$375:$AO$375=$E452)*(Work_Codes!$AC$378:$AO$379)*(M$357:M$358))</f>
        <v>0</v>
      </c>
      <c r="N452" s="81">
        <f ca="1">SUMPRODUCT((Work_Codes!$AC$375:$AO$375=$E452)*(Work_Codes!$AC$378:$AO$379)*(N$357:N$358))</f>
        <v>2699784.4687852161</v>
      </c>
      <c r="O452" s="81">
        <f ca="1">SUMPRODUCT((Work_Codes!$AC$375:$AO$375=$E452)*(Work_Codes!$AC$378:$AO$379)*(O$357:O$358))</f>
        <v>3578330.1646639295</v>
      </c>
      <c r="P452" s="81">
        <f ca="1">SUMPRODUCT((Work_Codes!$AC$375:$AO$375=$E452)*(Work_Codes!$AC$378:$AO$379)*(P$357:P$358))</f>
        <v>4810298.3024154594</v>
      </c>
      <c r="Q452" s="81">
        <f ca="1">SUMPRODUCT((Work_Codes!$AC$375:$AO$375=$E452)*(Work_Codes!$AC$378:$AO$379)*(Q$357:Q$358))</f>
        <v>4899964.8141825786</v>
      </c>
      <c r="R452" s="81">
        <f ca="1">SUMPRODUCT((Work_Codes!$AC$375:$AO$375=$E452)*(Work_Codes!$AC$378:$AO$379)*(R$357:R$358))</f>
        <v>4988459.0296740495</v>
      </c>
      <c r="S452" s="81">
        <f ca="1">SUMPRODUCT((Work_Codes!$AC$375:$AO$375=$E452)*(Work_Codes!$AC$378:$AO$379)*(S$357:S$358))</f>
        <v>4924713.023993995</v>
      </c>
      <c r="T452" s="81">
        <f ca="1">SUMPRODUCT((Work_Codes!$AC$375:$AO$375=$E452)*(Work_Codes!$AC$378:$AO$379)*(T$357:T$358))</f>
        <v>4858159.1906370204</v>
      </c>
    </row>
    <row r="453" spans="5:20" ht="12" customHeight="1" outlineLevel="2">
      <c r="E453" s="247" t="str">
        <f>GC!C63</f>
        <v>Residential meter replacement</v>
      </c>
      <c r="F453" s="247"/>
      <c r="G453" s="247"/>
      <c r="H453" s="247"/>
      <c r="I453" s="247"/>
      <c r="J453" s="81">
        <f ca="1">SUMPRODUCT((Work_Codes!$AC$375:$AO$375=$E453)*(Work_Codes!$AC$378:$AO$379)*(J$357:J$358))</f>
        <v>0</v>
      </c>
      <c r="K453" s="81">
        <f ca="1">SUMPRODUCT((Work_Codes!$AC$375:$AO$375=$E453)*(Work_Codes!$AC$378:$AO$379)*(K$357:K$358))</f>
        <v>0</v>
      </c>
      <c r="L453" s="81">
        <f ca="1">SUMPRODUCT((Work_Codes!$AC$375:$AO$375=$E453)*(Work_Codes!$AC$378:$AO$379)*(L$357:L$358))</f>
        <v>0</v>
      </c>
      <c r="M453" s="81">
        <f ca="1">SUMPRODUCT((Work_Codes!$AC$375:$AO$375=$E453)*(Work_Codes!$AC$378:$AO$379)*(M$357:M$358))</f>
        <v>0</v>
      </c>
      <c r="N453" s="81">
        <f ca="1">SUMPRODUCT((Work_Codes!$AC$375:$AO$375=$E453)*(Work_Codes!$AC$378:$AO$379)*(N$357:N$358))</f>
        <v>0</v>
      </c>
      <c r="O453" s="81">
        <f ca="1">SUMPRODUCT((Work_Codes!$AC$375:$AO$375=$E453)*(Work_Codes!$AC$378:$AO$379)*(O$357:O$358))</f>
        <v>0</v>
      </c>
      <c r="P453" s="81">
        <f ca="1">SUMPRODUCT((Work_Codes!$AC$375:$AO$375=$E453)*(Work_Codes!$AC$378:$AO$379)*(P$357:P$358))</f>
        <v>0</v>
      </c>
      <c r="Q453" s="81">
        <f ca="1">SUMPRODUCT((Work_Codes!$AC$375:$AO$375=$E453)*(Work_Codes!$AC$378:$AO$379)*(Q$357:Q$358))</f>
        <v>0</v>
      </c>
      <c r="R453" s="81">
        <f ca="1">SUMPRODUCT((Work_Codes!$AC$375:$AO$375=$E453)*(Work_Codes!$AC$378:$AO$379)*(R$357:R$358))</f>
        <v>0</v>
      </c>
      <c r="S453" s="81">
        <f ca="1">SUMPRODUCT((Work_Codes!$AC$375:$AO$375=$E453)*(Work_Codes!$AC$378:$AO$379)*(S$357:S$358))</f>
        <v>0</v>
      </c>
      <c r="T453" s="81">
        <f ca="1">SUMPRODUCT((Work_Codes!$AC$375:$AO$375=$E453)*(Work_Codes!$AC$378:$AO$379)*(T$357:T$358))</f>
        <v>0</v>
      </c>
    </row>
    <row r="454" spans="5:20" ht="12" customHeight="1" outlineLevel="2">
      <c r="E454" s="247" t="str">
        <f>GC!C64</f>
        <v>Commercial and industrial meter replacement</v>
      </c>
      <c r="F454" s="247"/>
      <c r="G454" s="247"/>
      <c r="H454" s="247"/>
      <c r="I454" s="247"/>
      <c r="J454" s="81">
        <f ca="1">SUMPRODUCT((Work_Codes!$AC$375:$AO$375=$E454)*(Work_Codes!$AC$378:$AO$379)*(J$357:J$358))</f>
        <v>0</v>
      </c>
      <c r="K454" s="81">
        <f ca="1">SUMPRODUCT((Work_Codes!$AC$375:$AO$375=$E454)*(Work_Codes!$AC$378:$AO$379)*(K$357:K$358))</f>
        <v>0</v>
      </c>
      <c r="L454" s="81">
        <f ca="1">SUMPRODUCT((Work_Codes!$AC$375:$AO$375=$E454)*(Work_Codes!$AC$378:$AO$379)*(L$357:L$358))</f>
        <v>0</v>
      </c>
      <c r="M454" s="81">
        <f ca="1">SUMPRODUCT((Work_Codes!$AC$375:$AO$375=$E454)*(Work_Codes!$AC$378:$AO$379)*(M$357:M$358))</f>
        <v>0</v>
      </c>
      <c r="N454" s="81">
        <f ca="1">SUMPRODUCT((Work_Codes!$AC$375:$AO$375=$E454)*(Work_Codes!$AC$378:$AO$379)*(N$357:N$358))</f>
        <v>0</v>
      </c>
      <c r="O454" s="81">
        <f ca="1">SUMPRODUCT((Work_Codes!$AC$375:$AO$375=$E454)*(Work_Codes!$AC$378:$AO$379)*(O$357:O$358))</f>
        <v>0</v>
      </c>
      <c r="P454" s="81">
        <f ca="1">SUMPRODUCT((Work_Codes!$AC$375:$AO$375=$E454)*(Work_Codes!$AC$378:$AO$379)*(P$357:P$358))</f>
        <v>0</v>
      </c>
      <c r="Q454" s="81">
        <f ca="1">SUMPRODUCT((Work_Codes!$AC$375:$AO$375=$E454)*(Work_Codes!$AC$378:$AO$379)*(Q$357:Q$358))</f>
        <v>0</v>
      </c>
      <c r="R454" s="81">
        <f ca="1">SUMPRODUCT((Work_Codes!$AC$375:$AO$375=$E454)*(Work_Codes!$AC$378:$AO$379)*(R$357:R$358))</f>
        <v>0</v>
      </c>
      <c r="S454" s="81">
        <f ca="1">SUMPRODUCT((Work_Codes!$AC$375:$AO$375=$E454)*(Work_Codes!$AC$378:$AO$379)*(S$357:S$358))</f>
        <v>0</v>
      </c>
      <c r="T454" s="81">
        <f ca="1">SUMPRODUCT((Work_Codes!$AC$375:$AO$375=$E454)*(Work_Codes!$AC$378:$AO$379)*(T$357:T$358))</f>
        <v>0</v>
      </c>
    </row>
    <row r="455" spans="5:20" ht="12" customHeight="1" outlineLevel="2">
      <c r="E455" s="247" t="str">
        <f>GC!C65</f>
        <v>Augmentation</v>
      </c>
      <c r="F455" s="247"/>
      <c r="G455" s="247"/>
      <c r="H455" s="247"/>
      <c r="I455" s="247"/>
      <c r="J455" s="81">
        <f ca="1">SUMPRODUCT((Work_Codes!$AC$375:$AO$375=$E455)*(Work_Codes!$AC$378:$AO$379)*(J$357:J$358))</f>
        <v>0</v>
      </c>
      <c r="K455" s="81">
        <f ca="1">SUMPRODUCT((Work_Codes!$AC$375:$AO$375=$E455)*(Work_Codes!$AC$378:$AO$379)*(K$357:K$358))</f>
        <v>0</v>
      </c>
      <c r="L455" s="81">
        <f ca="1">SUMPRODUCT((Work_Codes!$AC$375:$AO$375=$E455)*(Work_Codes!$AC$378:$AO$379)*(L$357:L$358))</f>
        <v>0</v>
      </c>
      <c r="M455" s="81">
        <f ca="1">SUMPRODUCT((Work_Codes!$AC$375:$AO$375=$E455)*(Work_Codes!$AC$378:$AO$379)*(M$357:M$358))</f>
        <v>0</v>
      </c>
      <c r="N455" s="81">
        <f ca="1">SUMPRODUCT((Work_Codes!$AC$375:$AO$375=$E455)*(Work_Codes!$AC$378:$AO$379)*(N$357:N$358))</f>
        <v>0</v>
      </c>
      <c r="O455" s="81">
        <f ca="1">SUMPRODUCT((Work_Codes!$AC$375:$AO$375=$E455)*(Work_Codes!$AC$378:$AO$379)*(O$357:O$358))</f>
        <v>0</v>
      </c>
      <c r="P455" s="81">
        <f ca="1">SUMPRODUCT((Work_Codes!$AC$375:$AO$375=$E455)*(Work_Codes!$AC$378:$AO$379)*(P$357:P$358))</f>
        <v>0</v>
      </c>
      <c r="Q455" s="81">
        <f ca="1">SUMPRODUCT((Work_Codes!$AC$375:$AO$375=$E455)*(Work_Codes!$AC$378:$AO$379)*(Q$357:Q$358))</f>
        <v>0</v>
      </c>
      <c r="R455" s="81">
        <f ca="1">SUMPRODUCT((Work_Codes!$AC$375:$AO$375=$E455)*(Work_Codes!$AC$378:$AO$379)*(R$357:R$358))</f>
        <v>0</v>
      </c>
      <c r="S455" s="81">
        <f ca="1">SUMPRODUCT((Work_Codes!$AC$375:$AO$375=$E455)*(Work_Codes!$AC$378:$AO$379)*(S$357:S$358))</f>
        <v>0</v>
      </c>
      <c r="T455" s="81">
        <f ca="1">SUMPRODUCT((Work_Codes!$AC$375:$AO$375=$E455)*(Work_Codes!$AC$378:$AO$379)*(T$357:T$358))</f>
        <v>0</v>
      </c>
    </row>
    <row r="456" spans="5:20" ht="12" customHeight="1" outlineLevel="2">
      <c r="E456" s="247" t="str">
        <f>GC!C66</f>
        <v>IT capex</v>
      </c>
      <c r="F456" s="247"/>
      <c r="G456" s="247"/>
      <c r="H456" s="247"/>
      <c r="I456" s="247"/>
      <c r="J456" s="81">
        <f ca="1">SUMPRODUCT((Work_Codes!$AC$375:$AO$375=$E456)*(Work_Codes!$AC$378:$AO$379)*(J$357:J$358))</f>
        <v>0</v>
      </c>
      <c r="K456" s="81">
        <f ca="1">SUMPRODUCT((Work_Codes!$AC$375:$AO$375=$E456)*(Work_Codes!$AC$378:$AO$379)*(K$357:K$358))</f>
        <v>0</v>
      </c>
      <c r="L456" s="81">
        <f ca="1">SUMPRODUCT((Work_Codes!$AC$375:$AO$375=$E456)*(Work_Codes!$AC$378:$AO$379)*(L$357:L$358))</f>
        <v>0</v>
      </c>
      <c r="M456" s="81">
        <f ca="1">SUMPRODUCT((Work_Codes!$AC$375:$AO$375=$E456)*(Work_Codes!$AC$378:$AO$379)*(M$357:M$358))</f>
        <v>0</v>
      </c>
      <c r="N456" s="81">
        <f ca="1">SUMPRODUCT((Work_Codes!$AC$375:$AO$375=$E456)*(Work_Codes!$AC$378:$AO$379)*(N$357:N$358))</f>
        <v>0</v>
      </c>
      <c r="O456" s="81">
        <f ca="1">SUMPRODUCT((Work_Codes!$AC$375:$AO$375=$E456)*(Work_Codes!$AC$378:$AO$379)*(O$357:O$358))</f>
        <v>0</v>
      </c>
      <c r="P456" s="81">
        <f ca="1">SUMPRODUCT((Work_Codes!$AC$375:$AO$375=$E456)*(Work_Codes!$AC$378:$AO$379)*(P$357:P$358))</f>
        <v>0</v>
      </c>
      <c r="Q456" s="81">
        <f ca="1">SUMPRODUCT((Work_Codes!$AC$375:$AO$375=$E456)*(Work_Codes!$AC$378:$AO$379)*(Q$357:Q$358))</f>
        <v>0</v>
      </c>
      <c r="R456" s="81">
        <f ca="1">SUMPRODUCT((Work_Codes!$AC$375:$AO$375=$E456)*(Work_Codes!$AC$378:$AO$379)*(R$357:R$358))</f>
        <v>0</v>
      </c>
      <c r="S456" s="81">
        <f ca="1">SUMPRODUCT((Work_Codes!$AC$375:$AO$375=$E456)*(Work_Codes!$AC$378:$AO$379)*(S$357:S$358))</f>
        <v>0</v>
      </c>
      <c r="T456" s="81">
        <f ca="1">SUMPRODUCT((Work_Codes!$AC$375:$AO$375=$E456)*(Work_Codes!$AC$378:$AO$379)*(T$357:T$358))</f>
        <v>0</v>
      </c>
    </row>
    <row r="457" spans="5:20" ht="12" customHeight="1" outlineLevel="2">
      <c r="E457" s="247" t="str">
        <f>GC!C67</f>
        <v>SCADA</v>
      </c>
      <c r="F457" s="247"/>
      <c r="G457" s="247"/>
      <c r="H457" s="247"/>
      <c r="I457" s="247"/>
      <c r="J457" s="81">
        <f ca="1">SUMPRODUCT((Work_Codes!$AC$375:$AO$375=$E457)*(Work_Codes!$AC$378:$AO$379)*(J$357:J$358))</f>
        <v>0</v>
      </c>
      <c r="K457" s="81">
        <f ca="1">SUMPRODUCT((Work_Codes!$AC$375:$AO$375=$E457)*(Work_Codes!$AC$378:$AO$379)*(K$357:K$358))</f>
        <v>0</v>
      </c>
      <c r="L457" s="81">
        <f ca="1">SUMPRODUCT((Work_Codes!$AC$375:$AO$375=$E457)*(Work_Codes!$AC$378:$AO$379)*(L$357:L$358))</f>
        <v>0</v>
      </c>
      <c r="M457" s="81">
        <f ca="1">SUMPRODUCT((Work_Codes!$AC$375:$AO$375=$E457)*(Work_Codes!$AC$378:$AO$379)*(M$357:M$358))</f>
        <v>0</v>
      </c>
      <c r="N457" s="81">
        <f ca="1">SUMPRODUCT((Work_Codes!$AC$375:$AO$375=$E457)*(Work_Codes!$AC$378:$AO$379)*(N$357:N$358))</f>
        <v>0</v>
      </c>
      <c r="O457" s="81">
        <f ca="1">SUMPRODUCT((Work_Codes!$AC$375:$AO$375=$E457)*(Work_Codes!$AC$378:$AO$379)*(O$357:O$358))</f>
        <v>0</v>
      </c>
      <c r="P457" s="81">
        <f ca="1">SUMPRODUCT((Work_Codes!$AC$375:$AO$375=$E457)*(Work_Codes!$AC$378:$AO$379)*(P$357:P$358))</f>
        <v>0</v>
      </c>
      <c r="Q457" s="81">
        <f ca="1">SUMPRODUCT((Work_Codes!$AC$375:$AO$375=$E457)*(Work_Codes!$AC$378:$AO$379)*(Q$357:Q$358))</f>
        <v>0</v>
      </c>
      <c r="R457" s="81">
        <f ca="1">SUMPRODUCT((Work_Codes!$AC$375:$AO$375=$E457)*(Work_Codes!$AC$378:$AO$379)*(R$357:R$358))</f>
        <v>0</v>
      </c>
      <c r="S457" s="81">
        <f ca="1">SUMPRODUCT((Work_Codes!$AC$375:$AO$375=$E457)*(Work_Codes!$AC$378:$AO$379)*(S$357:S$358))</f>
        <v>0</v>
      </c>
      <c r="T457" s="81">
        <f ca="1">SUMPRODUCT((Work_Codes!$AC$375:$AO$375=$E457)*(Work_Codes!$AC$378:$AO$379)*(T$357:T$358))</f>
        <v>0</v>
      </c>
    </row>
    <row r="458" spans="5:20" ht="12" customHeight="1" outlineLevel="2">
      <c r="E458" s="247" t="str">
        <f>GC!C68</f>
        <v>Other</v>
      </c>
      <c r="F458" s="247"/>
      <c r="G458" s="247"/>
      <c r="H458" s="247"/>
      <c r="I458" s="247"/>
      <c r="J458" s="81">
        <f ca="1">SUMPRODUCT((Work_Codes!$AC$375:$AO$375=$E458)*(Work_Codes!$AC$378:$AO$379)*(J$357:J$358))</f>
        <v>0</v>
      </c>
      <c r="K458" s="81">
        <f ca="1">SUMPRODUCT((Work_Codes!$AC$375:$AO$375=$E458)*(Work_Codes!$AC$378:$AO$379)*(K$357:K$358))</f>
        <v>0</v>
      </c>
      <c r="L458" s="81">
        <f ca="1">SUMPRODUCT((Work_Codes!$AC$375:$AO$375=$E458)*(Work_Codes!$AC$378:$AO$379)*(L$357:L$358))</f>
        <v>0</v>
      </c>
      <c r="M458" s="81">
        <f ca="1">SUMPRODUCT((Work_Codes!$AC$375:$AO$375=$E458)*(Work_Codes!$AC$378:$AO$379)*(M$357:M$358))</f>
        <v>0</v>
      </c>
      <c r="N458" s="81">
        <f ca="1">SUMPRODUCT((Work_Codes!$AC$375:$AO$375=$E458)*(Work_Codes!$AC$378:$AO$379)*(N$357:N$358))</f>
        <v>0</v>
      </c>
      <c r="O458" s="81">
        <f ca="1">SUMPRODUCT((Work_Codes!$AC$375:$AO$375=$E458)*(Work_Codes!$AC$378:$AO$379)*(O$357:O$358))</f>
        <v>0</v>
      </c>
      <c r="P458" s="81">
        <f ca="1">SUMPRODUCT((Work_Codes!$AC$375:$AO$375=$E458)*(Work_Codes!$AC$378:$AO$379)*(P$357:P$358))</f>
        <v>0</v>
      </c>
      <c r="Q458" s="81">
        <f ca="1">SUMPRODUCT((Work_Codes!$AC$375:$AO$375=$E458)*(Work_Codes!$AC$378:$AO$379)*(Q$357:Q$358))</f>
        <v>0</v>
      </c>
      <c r="R458" s="81">
        <f ca="1">SUMPRODUCT((Work_Codes!$AC$375:$AO$375=$E458)*(Work_Codes!$AC$378:$AO$379)*(R$357:R$358))</f>
        <v>0</v>
      </c>
      <c r="S458" s="81">
        <f ca="1">SUMPRODUCT((Work_Codes!$AC$375:$AO$375=$E458)*(Work_Codes!$AC$378:$AO$379)*(S$357:S$358))</f>
        <v>0</v>
      </c>
      <c r="T458" s="81">
        <f ca="1">SUMPRODUCT((Work_Codes!$AC$375:$AO$375=$E458)*(Work_Codes!$AC$378:$AO$379)*(T$357:T$358))</f>
        <v>0</v>
      </c>
    </row>
    <row r="459" spans="5:20" outlineLevel="2">
      <c r="E459" s="247" t="str">
        <f>GC!C69</f>
        <v>Capitalised Leases</v>
      </c>
      <c r="F459" s="247"/>
      <c r="G459" s="247"/>
      <c r="H459" s="247"/>
      <c r="I459" s="247"/>
      <c r="J459" s="81">
        <f ca="1">SUMPRODUCT((Work_Codes!$AC$375:$AO$375=$E459)*(Work_Codes!$AC$378:$AO$379)*(J$357:J$358))</f>
        <v>0</v>
      </c>
      <c r="K459" s="81">
        <f ca="1">SUMPRODUCT((Work_Codes!$AC$375:$AO$375=$E459)*(Work_Codes!$AC$378:$AO$379)*(K$357:K$358))</f>
        <v>0</v>
      </c>
      <c r="L459" s="81">
        <f ca="1">SUMPRODUCT((Work_Codes!$AC$375:$AO$375=$E459)*(Work_Codes!$AC$378:$AO$379)*(L$357:L$358))</f>
        <v>0</v>
      </c>
      <c r="M459" s="81">
        <f ca="1">SUMPRODUCT((Work_Codes!$AC$375:$AO$375=$E459)*(Work_Codes!$AC$378:$AO$379)*(M$357:M$358))</f>
        <v>0</v>
      </c>
      <c r="N459" s="81">
        <f ca="1">SUMPRODUCT((Work_Codes!$AC$375:$AO$375=$E459)*(Work_Codes!$AC$378:$AO$379)*(N$357:N$358))</f>
        <v>0</v>
      </c>
      <c r="O459" s="81">
        <f ca="1">SUMPRODUCT((Work_Codes!$AC$375:$AO$375=$E459)*(Work_Codes!$AC$378:$AO$379)*(O$357:O$358))</f>
        <v>0</v>
      </c>
      <c r="P459" s="81">
        <f ca="1">SUMPRODUCT((Work_Codes!$AC$375:$AO$375=$E459)*(Work_Codes!$AC$378:$AO$379)*(P$357:P$358))</f>
        <v>0</v>
      </c>
      <c r="Q459" s="81">
        <f ca="1">SUMPRODUCT((Work_Codes!$AC$375:$AO$375=$E459)*(Work_Codes!$AC$378:$AO$379)*(Q$357:Q$358))</f>
        <v>0</v>
      </c>
      <c r="R459" s="81">
        <f ca="1">SUMPRODUCT((Work_Codes!$AC$375:$AO$375=$E459)*(Work_Codes!$AC$378:$AO$379)*(R$357:R$358))</f>
        <v>0</v>
      </c>
      <c r="S459" s="81">
        <f ca="1">SUMPRODUCT((Work_Codes!$AC$375:$AO$375=$E459)*(Work_Codes!$AC$378:$AO$379)*(S$357:S$358))</f>
        <v>0</v>
      </c>
      <c r="T459" s="81">
        <f ca="1">SUMPRODUCT((Work_Codes!$AC$375:$AO$375=$E459)*(Work_Codes!$AC$378:$AO$379)*(T$357:T$358))</f>
        <v>0</v>
      </c>
    </row>
    <row r="460" spans="5:20" ht="12" customHeight="1" outlineLevel="2">
      <c r="E460" s="247" t="str">
        <f>GC!C70</f>
        <v>Gas Extensions - Energy for the Regions</v>
      </c>
      <c r="F460" s="247"/>
      <c r="G460" s="247"/>
      <c r="H460" s="247"/>
      <c r="I460" s="247"/>
      <c r="J460" s="81">
        <f ca="1">SUMPRODUCT((Work_Codes!$AC$375:$AO$375=$E460)*(Work_Codes!$AC$378:$AO$379)*(J$357:J$358))</f>
        <v>0</v>
      </c>
      <c r="K460" s="81">
        <f ca="1">SUMPRODUCT((Work_Codes!$AC$375:$AO$375=$E460)*(Work_Codes!$AC$378:$AO$379)*(K$357:K$358))</f>
        <v>0</v>
      </c>
      <c r="L460" s="81">
        <f ca="1">SUMPRODUCT((Work_Codes!$AC$375:$AO$375=$E460)*(Work_Codes!$AC$378:$AO$379)*(L$357:L$358))</f>
        <v>0</v>
      </c>
      <c r="M460" s="81">
        <f ca="1">SUMPRODUCT((Work_Codes!$AC$375:$AO$375=$E460)*(Work_Codes!$AC$378:$AO$379)*(M$357:M$358))</f>
        <v>0</v>
      </c>
      <c r="N460" s="81">
        <f ca="1">SUMPRODUCT((Work_Codes!$AC$375:$AO$375=$E460)*(Work_Codes!$AC$378:$AO$379)*(N$357:N$358))</f>
        <v>0</v>
      </c>
      <c r="O460" s="81">
        <f ca="1">SUMPRODUCT((Work_Codes!$AC$375:$AO$375=$E460)*(Work_Codes!$AC$378:$AO$379)*(O$357:O$358))</f>
        <v>0</v>
      </c>
      <c r="P460" s="81">
        <f ca="1">SUMPRODUCT((Work_Codes!$AC$375:$AO$375=$E460)*(Work_Codes!$AC$378:$AO$379)*(P$357:P$358))</f>
        <v>0</v>
      </c>
      <c r="Q460" s="81">
        <f ca="1">SUMPRODUCT((Work_Codes!$AC$375:$AO$375=$E460)*(Work_Codes!$AC$378:$AO$379)*(Q$357:Q$358))</f>
        <v>0</v>
      </c>
      <c r="R460" s="81">
        <f ca="1">SUMPRODUCT((Work_Codes!$AC$375:$AO$375=$E460)*(Work_Codes!$AC$378:$AO$379)*(R$357:R$358))</f>
        <v>0</v>
      </c>
      <c r="S460" s="81">
        <f ca="1">SUMPRODUCT((Work_Codes!$AC$375:$AO$375=$E460)*(Work_Codes!$AC$378:$AO$379)*(S$357:S$358))</f>
        <v>0</v>
      </c>
      <c r="T460" s="81">
        <f ca="1">SUMPRODUCT((Work_Codes!$AC$375:$AO$375=$E460)*(Work_Codes!$AC$378:$AO$379)*(T$357:T$358))</f>
        <v>0</v>
      </c>
    </row>
    <row r="461" spans="5:20" ht="12" customHeight="1" outlineLevel="2">
      <c r="E461" s="247" t="str">
        <f>GC!C71</f>
        <v>Gas Extensions - Other</v>
      </c>
      <c r="F461" s="247"/>
      <c r="G461" s="247"/>
      <c r="H461" s="247"/>
      <c r="I461" s="247"/>
      <c r="J461" s="81">
        <f ca="1">SUMPRODUCT((Work_Codes!$AC$375:$AO$375=$E461)*(Work_Codes!$AC$378:$AO$379)*(J$357:J$358))</f>
        <v>0</v>
      </c>
      <c r="K461" s="81">
        <f ca="1">SUMPRODUCT((Work_Codes!$AC$375:$AO$375=$E461)*(Work_Codes!$AC$378:$AO$379)*(K$357:K$358))</f>
        <v>0</v>
      </c>
      <c r="L461" s="81">
        <f ca="1">SUMPRODUCT((Work_Codes!$AC$375:$AO$375=$E461)*(Work_Codes!$AC$378:$AO$379)*(L$357:L$358))</f>
        <v>0</v>
      </c>
      <c r="M461" s="81">
        <f ca="1">SUMPRODUCT((Work_Codes!$AC$375:$AO$375=$E461)*(Work_Codes!$AC$378:$AO$379)*(M$357:M$358))</f>
        <v>0</v>
      </c>
      <c r="N461" s="81">
        <f ca="1">SUMPRODUCT((Work_Codes!$AC$375:$AO$375=$E461)*(Work_Codes!$AC$378:$AO$379)*(N$357:N$358))</f>
        <v>0</v>
      </c>
      <c r="O461" s="81">
        <f ca="1">SUMPRODUCT((Work_Codes!$AC$375:$AO$375=$E461)*(Work_Codes!$AC$378:$AO$379)*(O$357:O$358))</f>
        <v>0</v>
      </c>
      <c r="P461" s="81">
        <f ca="1">SUMPRODUCT((Work_Codes!$AC$375:$AO$375=$E461)*(Work_Codes!$AC$378:$AO$379)*(P$357:P$358))</f>
        <v>0</v>
      </c>
      <c r="Q461" s="81">
        <f ca="1">SUMPRODUCT((Work_Codes!$AC$375:$AO$375=$E461)*(Work_Codes!$AC$378:$AO$379)*(Q$357:Q$358))</f>
        <v>0</v>
      </c>
      <c r="R461" s="81">
        <f ca="1">SUMPRODUCT((Work_Codes!$AC$375:$AO$375=$E461)*(Work_Codes!$AC$378:$AO$379)*(R$357:R$358))</f>
        <v>0</v>
      </c>
      <c r="S461" s="81">
        <f ca="1">SUMPRODUCT((Work_Codes!$AC$375:$AO$375=$E461)*(Work_Codes!$AC$378:$AO$379)*(S$357:S$358))</f>
        <v>0</v>
      </c>
      <c r="T461" s="81">
        <f ca="1">SUMPRODUCT((Work_Codes!$AC$375:$AO$375=$E461)*(Work_Codes!$AC$378:$AO$379)*(T$357:T$358))</f>
        <v>0</v>
      </c>
    </row>
    <row r="462" spans="5:20" ht="12" customHeight="1" outlineLevel="2">
      <c r="E462" s="247" t="str">
        <f>GC!C72</f>
        <v>Customer contributions</v>
      </c>
      <c r="F462" s="247"/>
      <c r="G462" s="247"/>
      <c r="H462" s="247"/>
      <c r="I462" s="247"/>
      <c r="J462" s="81">
        <f ca="1">SUMPRODUCT((Work_Codes!$AC$375:$AO$375=$E462)*(Work_Codes!$AC$378:$AO$379)*(J$357:J$358))</f>
        <v>0</v>
      </c>
      <c r="K462" s="81">
        <f ca="1">SUMPRODUCT((Work_Codes!$AC$375:$AO$375=$E462)*(Work_Codes!$AC$378:$AO$379)*(K$357:K$358))</f>
        <v>0</v>
      </c>
      <c r="L462" s="81">
        <f ca="1">SUMPRODUCT((Work_Codes!$AC$375:$AO$375=$E462)*(Work_Codes!$AC$378:$AO$379)*(L$357:L$358))</f>
        <v>0</v>
      </c>
      <c r="M462" s="81">
        <f ca="1">SUMPRODUCT((Work_Codes!$AC$375:$AO$375=$E462)*(Work_Codes!$AC$378:$AO$379)*(M$357:M$358))</f>
        <v>0</v>
      </c>
      <c r="N462" s="81">
        <f ca="1">SUMPRODUCT((Work_Codes!$AC$375:$AO$375=$E462)*(Work_Codes!$AC$378:$AO$379)*(N$357:N$358))</f>
        <v>0</v>
      </c>
      <c r="O462" s="81">
        <f ca="1">SUMPRODUCT((Work_Codes!$AC$375:$AO$375=$E462)*(Work_Codes!$AC$378:$AO$379)*(O$357:O$358))</f>
        <v>0</v>
      </c>
      <c r="P462" s="81">
        <f ca="1">SUMPRODUCT((Work_Codes!$AC$375:$AO$375=$E462)*(Work_Codes!$AC$378:$AO$379)*(P$357:P$358))</f>
        <v>0</v>
      </c>
      <c r="Q462" s="81">
        <f ca="1">SUMPRODUCT((Work_Codes!$AC$375:$AO$375=$E462)*(Work_Codes!$AC$378:$AO$379)*(Q$357:Q$358))</f>
        <v>0</v>
      </c>
      <c r="R462" s="81">
        <f ca="1">SUMPRODUCT((Work_Codes!$AC$375:$AO$375=$E462)*(Work_Codes!$AC$378:$AO$379)*(R$357:R$358))</f>
        <v>0</v>
      </c>
      <c r="S462" s="81">
        <f ca="1">SUMPRODUCT((Work_Codes!$AC$375:$AO$375=$E462)*(Work_Codes!$AC$378:$AO$379)*(S$357:S$358))</f>
        <v>0</v>
      </c>
      <c r="T462" s="81">
        <f ca="1">SUMPRODUCT((Work_Codes!$AC$375:$AO$375=$E462)*(Work_Codes!$AC$378:$AO$379)*(T$357:T$358))</f>
        <v>0</v>
      </c>
    </row>
    <row r="463" spans="5:20" ht="12" customHeight="1" outlineLevel="2">
      <c r="E463" s="247" t="str">
        <f>GC!C73</f>
        <v>Government contributions</v>
      </c>
      <c r="F463" s="247"/>
      <c r="G463" s="247"/>
      <c r="H463" s="247"/>
      <c r="I463" s="247"/>
      <c r="J463" s="81">
        <f ca="1">SUMPRODUCT((Work_Codes!$AC$375:$AO$375=$E463)*(Work_Codes!$AC$378:$AO$379)*(J$357:J$358))</f>
        <v>0</v>
      </c>
      <c r="K463" s="81">
        <f ca="1">SUMPRODUCT((Work_Codes!$AC$375:$AO$375=$E463)*(Work_Codes!$AC$378:$AO$379)*(K$357:K$358))</f>
        <v>0</v>
      </c>
      <c r="L463" s="81">
        <f ca="1">SUMPRODUCT((Work_Codes!$AC$375:$AO$375=$E463)*(Work_Codes!$AC$378:$AO$379)*(L$357:L$358))</f>
        <v>0</v>
      </c>
      <c r="M463" s="81">
        <f ca="1">SUMPRODUCT((Work_Codes!$AC$375:$AO$375=$E463)*(Work_Codes!$AC$378:$AO$379)*(M$357:M$358))</f>
        <v>0</v>
      </c>
      <c r="N463" s="81">
        <f ca="1">SUMPRODUCT((Work_Codes!$AC$375:$AO$375=$E463)*(Work_Codes!$AC$378:$AO$379)*(N$357:N$358))</f>
        <v>0</v>
      </c>
      <c r="O463" s="81">
        <f ca="1">SUMPRODUCT((Work_Codes!$AC$375:$AO$375=$E463)*(Work_Codes!$AC$378:$AO$379)*(O$357:O$358))</f>
        <v>0</v>
      </c>
      <c r="P463" s="81">
        <f ca="1">SUMPRODUCT((Work_Codes!$AC$375:$AO$375=$E463)*(Work_Codes!$AC$378:$AO$379)*(P$357:P$358))</f>
        <v>0</v>
      </c>
      <c r="Q463" s="81">
        <f ca="1">SUMPRODUCT((Work_Codes!$AC$375:$AO$375=$E463)*(Work_Codes!$AC$378:$AO$379)*(Q$357:Q$358))</f>
        <v>0</v>
      </c>
      <c r="R463" s="81">
        <f ca="1">SUMPRODUCT((Work_Codes!$AC$375:$AO$375=$E463)*(Work_Codes!$AC$378:$AO$379)*(R$357:R$358))</f>
        <v>0</v>
      </c>
      <c r="S463" s="81">
        <f ca="1">SUMPRODUCT((Work_Codes!$AC$375:$AO$375=$E463)*(Work_Codes!$AC$378:$AO$379)*(S$357:S$358))</f>
        <v>0</v>
      </c>
      <c r="T463" s="81">
        <f ca="1">SUMPRODUCT((Work_Codes!$AC$375:$AO$375=$E463)*(Work_Codes!$AC$378:$AO$379)*(T$357:T$358))</f>
        <v>0</v>
      </c>
    </row>
    <row r="464" spans="5:20" ht="12" customHeight="1" outlineLevel="2">
      <c r="E464" s="249" t="str">
        <f>"Total "&amp;D448</f>
        <v>Total Direct Costs</v>
      </c>
      <c r="F464" s="249"/>
      <c r="G464" s="249"/>
      <c r="H464" s="249"/>
      <c r="I464" s="249"/>
      <c r="J464" s="82">
        <f t="shared" ref="J464:T464" ca="1" si="44">SUM(J450:J463)</f>
        <v>0</v>
      </c>
      <c r="K464" s="82">
        <f t="shared" ca="1" si="44"/>
        <v>0</v>
      </c>
      <c r="L464" s="82">
        <f t="shared" ca="1" si="44"/>
        <v>0</v>
      </c>
      <c r="M464" s="82">
        <f t="shared" ca="1" si="44"/>
        <v>0</v>
      </c>
      <c r="N464" s="82">
        <f t="shared" ca="1" si="44"/>
        <v>2699784.4687852161</v>
      </c>
      <c r="O464" s="82">
        <f t="shared" ca="1" si="44"/>
        <v>3578330.1646639295</v>
      </c>
      <c r="P464" s="82">
        <f t="shared" ca="1" si="44"/>
        <v>4810298.3024154594</v>
      </c>
      <c r="Q464" s="82">
        <f t="shared" ca="1" si="44"/>
        <v>4899964.8141825786</v>
      </c>
      <c r="R464" s="82">
        <f t="shared" ca="1" si="44"/>
        <v>4988459.0296740495</v>
      </c>
      <c r="S464" s="82">
        <f t="shared" ca="1" si="44"/>
        <v>4924713.023993995</v>
      </c>
      <c r="T464" s="82">
        <f t="shared" ca="1" si="44"/>
        <v>4858159.1906370204</v>
      </c>
    </row>
    <row r="465" spans="4:20" outlineLevel="2"/>
    <row r="466" spans="4:20" outlineLevel="2">
      <c r="D466" s="37" t="s">
        <v>216</v>
      </c>
    </row>
    <row r="467" spans="4:20" ht="5.9" customHeight="1" outlineLevel="2"/>
    <row r="468" spans="4:20" ht="12" customHeight="1" outlineLevel="2">
      <c r="E468" s="247" t="str">
        <f>GC!C60</f>
        <v>Mains replacement</v>
      </c>
      <c r="F468" s="247"/>
      <c r="G468" s="247"/>
      <c r="H468" s="247"/>
      <c r="I468" s="247"/>
      <c r="J468" s="81">
        <f ca="1">J450*(1+INDEX(J$294:J$296,MATCH(Work_Codes!$I$372,$D$294:$D$296,0)))</f>
        <v>0</v>
      </c>
      <c r="K468" s="81">
        <f ca="1">K450*(1+INDEX(K$294:K$296,MATCH(Work_Codes!$I$372,$D$294:$D$296,0)))</f>
        <v>0</v>
      </c>
      <c r="L468" s="81">
        <f ca="1">L450*(1+INDEX(L$294:L$296,MATCH(Work_Codes!$I$372,$D$294:$D$296,0)))</f>
        <v>0</v>
      </c>
      <c r="M468" s="81">
        <f ca="1">M450*(1+INDEX(M$294:M$296,MATCH(Work_Codes!$I$372,$D$294:$D$296,0)))</f>
        <v>0</v>
      </c>
      <c r="N468" s="81">
        <f ca="1">N450*(1+INDEX(N$294:N$296,MATCH(Work_Codes!$I$372,$D$294:$D$296,0)))</f>
        <v>0</v>
      </c>
      <c r="O468" s="81">
        <f ca="1">O450*(1+INDEX(O$294:O$296,MATCH(Work_Codes!$I$372,$D$294:$D$296,0)))</f>
        <v>0</v>
      </c>
      <c r="P468" s="81">
        <f ca="1">P450*(1+INDEX(P$294:P$296,MATCH(Work_Codes!$I$372,$D$294:$D$296,0)))</f>
        <v>0</v>
      </c>
      <c r="Q468" s="81">
        <f ca="1">Q450*(1+INDEX(Q$294:Q$296,MATCH(Work_Codes!$I$372,$D$294:$D$296,0)))</f>
        <v>0</v>
      </c>
      <c r="R468" s="81">
        <f ca="1">R450*(1+INDEX(R$294:R$296,MATCH(Work_Codes!$I$372,$D$294:$D$296,0)))</f>
        <v>0</v>
      </c>
      <c r="S468" s="81">
        <f ca="1">S450*(1+INDEX(S$294:S$296,MATCH(Work_Codes!$I$372,$D$294:$D$296,0)))</f>
        <v>0</v>
      </c>
      <c r="T468" s="81">
        <f ca="1">T450*(1+INDEX(T$294:T$296,MATCH(Work_Codes!$I$372,$D$294:$D$296,0)))</f>
        <v>0</v>
      </c>
    </row>
    <row r="469" spans="4:20" ht="12" customHeight="1" outlineLevel="2">
      <c r="E469" s="247" t="str">
        <f>GC!C61</f>
        <v>Residential new customer connections</v>
      </c>
      <c r="F469" s="247"/>
      <c r="G469" s="247"/>
      <c r="H469" s="247"/>
      <c r="I469" s="247"/>
      <c r="J469" s="81">
        <f ca="1">J451*(1+INDEX(J$294:J$296,MATCH(Work_Codes!$I$372,$D$294:$D$296,0)))</f>
        <v>0</v>
      </c>
      <c r="K469" s="81">
        <f ca="1">K451*(1+INDEX(K$294:K$296,MATCH(Work_Codes!$I$372,$D$294:$D$296,0)))</f>
        <v>0</v>
      </c>
      <c r="L469" s="81">
        <f ca="1">L451*(1+INDEX(L$294:L$296,MATCH(Work_Codes!$I$372,$D$294:$D$296,0)))</f>
        <v>0</v>
      </c>
      <c r="M469" s="81">
        <f ca="1">M451*(1+INDEX(M$294:M$296,MATCH(Work_Codes!$I$372,$D$294:$D$296,0)))</f>
        <v>0</v>
      </c>
      <c r="N469" s="81">
        <f ca="1">N451*(1+INDEX(N$294:N$296,MATCH(Work_Codes!$I$372,$D$294:$D$296,0)))</f>
        <v>0</v>
      </c>
      <c r="O469" s="81">
        <f ca="1">O451*(1+INDEX(O$294:O$296,MATCH(Work_Codes!$I$372,$D$294:$D$296,0)))</f>
        <v>0</v>
      </c>
      <c r="P469" s="81">
        <f ca="1">P451*(1+INDEX(P$294:P$296,MATCH(Work_Codes!$I$372,$D$294:$D$296,0)))</f>
        <v>0</v>
      </c>
      <c r="Q469" s="81">
        <f ca="1">Q451*(1+INDEX(Q$294:Q$296,MATCH(Work_Codes!$I$372,$D$294:$D$296,0)))</f>
        <v>0</v>
      </c>
      <c r="R469" s="81">
        <f ca="1">R451*(1+INDEX(R$294:R$296,MATCH(Work_Codes!$I$372,$D$294:$D$296,0)))</f>
        <v>0</v>
      </c>
      <c r="S469" s="81">
        <f ca="1">S451*(1+INDEX(S$294:S$296,MATCH(Work_Codes!$I$372,$D$294:$D$296,0)))</f>
        <v>0</v>
      </c>
      <c r="T469" s="81">
        <f ca="1">T451*(1+INDEX(T$294:T$296,MATCH(Work_Codes!$I$372,$D$294:$D$296,0)))</f>
        <v>0</v>
      </c>
    </row>
    <row r="470" spans="4:20" ht="12" customHeight="1" outlineLevel="2">
      <c r="E470" s="247" t="str">
        <f>GC!C62</f>
        <v>Commercial and industrial new customer connections</v>
      </c>
      <c r="F470" s="247"/>
      <c r="G470" s="247"/>
      <c r="H470" s="247"/>
      <c r="I470" s="247"/>
      <c r="J470" s="81">
        <f ca="1">J452*(1+INDEX(J$294:J$296,MATCH(Work_Codes!$I$372,$D$294:$D$296,0)))</f>
        <v>0</v>
      </c>
      <c r="K470" s="81">
        <f ca="1">K452*(1+INDEX(K$294:K$296,MATCH(Work_Codes!$I$372,$D$294:$D$296,0)))</f>
        <v>0</v>
      </c>
      <c r="L470" s="81">
        <f ca="1">L452*(1+INDEX(L$294:L$296,MATCH(Work_Codes!$I$372,$D$294:$D$296,0)))</f>
        <v>0</v>
      </c>
      <c r="M470" s="81">
        <f ca="1">M452*(1+INDEX(M$294:M$296,MATCH(Work_Codes!$I$372,$D$294:$D$296,0)))</f>
        <v>0</v>
      </c>
      <c r="N470" s="81">
        <f ca="1">N452*(1+INDEX(N$294:N$296,MATCH(Work_Codes!$I$372,$D$294:$D$296,0)))</f>
        <v>2801596.0608199141</v>
      </c>
      <c r="O470" s="81">
        <f ca="1">O452*(1+INDEX(O$294:O$296,MATCH(Work_Codes!$I$372,$D$294:$D$296,0)))</f>
        <v>3697431.195132128</v>
      </c>
      <c r="P470" s="81">
        <f ca="1">P452*(1+INDEX(P$294:P$296,MATCH(Work_Codes!$I$372,$D$294:$D$296,0)))</f>
        <v>4938986.5798683828</v>
      </c>
      <c r="Q470" s="81">
        <f ca="1">Q452*(1+INDEX(Q$294:Q$296,MATCH(Work_Codes!$I$372,$D$294:$D$296,0)))</f>
        <v>5027660.7752295798</v>
      </c>
      <c r="R470" s="81">
        <f ca="1">R452*(1+INDEX(R$294:R$296,MATCH(Work_Codes!$I$372,$D$294:$D$296,0)))</f>
        <v>5122513.9190473137</v>
      </c>
      <c r="S470" s="81">
        <f ca="1">S452*(1+INDEX(S$294:S$296,MATCH(Work_Codes!$I$372,$D$294:$D$296,0)))</f>
        <v>5065294.7631464917</v>
      </c>
      <c r="T470" s="81">
        <f ca="1">T452*(1+INDEX(T$294:T$296,MATCH(Work_Codes!$I$372,$D$294:$D$296,0)))</f>
        <v>5003517.1509945961</v>
      </c>
    </row>
    <row r="471" spans="4:20" ht="12" customHeight="1" outlineLevel="2">
      <c r="E471" s="247" t="str">
        <f>GC!C63</f>
        <v>Residential meter replacement</v>
      </c>
      <c r="F471" s="247"/>
      <c r="G471" s="247"/>
      <c r="H471" s="247"/>
      <c r="I471" s="247"/>
      <c r="J471" s="81">
        <f ca="1">J453*(1+INDEX(J$294:J$296,MATCH(Work_Codes!$I$372,$D$294:$D$296,0)))</f>
        <v>0</v>
      </c>
      <c r="K471" s="81">
        <f ca="1">K453*(1+INDEX(K$294:K$296,MATCH(Work_Codes!$I$372,$D$294:$D$296,0)))</f>
        <v>0</v>
      </c>
      <c r="L471" s="81">
        <f ca="1">L453*(1+INDEX(L$294:L$296,MATCH(Work_Codes!$I$372,$D$294:$D$296,0)))</f>
        <v>0</v>
      </c>
      <c r="M471" s="81">
        <f ca="1">M453*(1+INDEX(M$294:M$296,MATCH(Work_Codes!$I$372,$D$294:$D$296,0)))</f>
        <v>0</v>
      </c>
      <c r="N471" s="81">
        <f ca="1">N453*(1+INDEX(N$294:N$296,MATCH(Work_Codes!$I$372,$D$294:$D$296,0)))</f>
        <v>0</v>
      </c>
      <c r="O471" s="81">
        <f ca="1">O453*(1+INDEX(O$294:O$296,MATCH(Work_Codes!$I$372,$D$294:$D$296,0)))</f>
        <v>0</v>
      </c>
      <c r="P471" s="81">
        <f ca="1">P453*(1+INDEX(P$294:P$296,MATCH(Work_Codes!$I$372,$D$294:$D$296,0)))</f>
        <v>0</v>
      </c>
      <c r="Q471" s="81">
        <f ca="1">Q453*(1+INDEX(Q$294:Q$296,MATCH(Work_Codes!$I$372,$D$294:$D$296,0)))</f>
        <v>0</v>
      </c>
      <c r="R471" s="81">
        <f ca="1">R453*(1+INDEX(R$294:R$296,MATCH(Work_Codes!$I$372,$D$294:$D$296,0)))</f>
        <v>0</v>
      </c>
      <c r="S471" s="81">
        <f ca="1">S453*(1+INDEX(S$294:S$296,MATCH(Work_Codes!$I$372,$D$294:$D$296,0)))</f>
        <v>0</v>
      </c>
      <c r="T471" s="81">
        <f ca="1">T453*(1+INDEX(T$294:T$296,MATCH(Work_Codes!$I$372,$D$294:$D$296,0)))</f>
        <v>0</v>
      </c>
    </row>
    <row r="472" spans="4:20" ht="12" customHeight="1" outlineLevel="2">
      <c r="E472" s="247" t="str">
        <f>GC!C64</f>
        <v>Commercial and industrial meter replacement</v>
      </c>
      <c r="F472" s="247"/>
      <c r="G472" s="247"/>
      <c r="H472" s="247"/>
      <c r="I472" s="247"/>
      <c r="J472" s="81">
        <f ca="1">J454*(1+INDEX(J$294:J$296,MATCH(Work_Codes!$I$372,$D$294:$D$296,0)))</f>
        <v>0</v>
      </c>
      <c r="K472" s="81">
        <f ca="1">K454*(1+INDEX(K$294:K$296,MATCH(Work_Codes!$I$372,$D$294:$D$296,0)))</f>
        <v>0</v>
      </c>
      <c r="L472" s="81">
        <f ca="1">L454*(1+INDEX(L$294:L$296,MATCH(Work_Codes!$I$372,$D$294:$D$296,0)))</f>
        <v>0</v>
      </c>
      <c r="M472" s="81">
        <f ca="1">M454*(1+INDEX(M$294:M$296,MATCH(Work_Codes!$I$372,$D$294:$D$296,0)))</f>
        <v>0</v>
      </c>
      <c r="N472" s="81">
        <f ca="1">N454*(1+INDEX(N$294:N$296,MATCH(Work_Codes!$I$372,$D$294:$D$296,0)))</f>
        <v>0</v>
      </c>
      <c r="O472" s="81">
        <f ca="1">O454*(1+INDEX(O$294:O$296,MATCH(Work_Codes!$I$372,$D$294:$D$296,0)))</f>
        <v>0</v>
      </c>
      <c r="P472" s="81">
        <f ca="1">P454*(1+INDEX(P$294:P$296,MATCH(Work_Codes!$I$372,$D$294:$D$296,0)))</f>
        <v>0</v>
      </c>
      <c r="Q472" s="81">
        <f ca="1">Q454*(1+INDEX(Q$294:Q$296,MATCH(Work_Codes!$I$372,$D$294:$D$296,0)))</f>
        <v>0</v>
      </c>
      <c r="R472" s="81">
        <f ca="1">R454*(1+INDEX(R$294:R$296,MATCH(Work_Codes!$I$372,$D$294:$D$296,0)))</f>
        <v>0</v>
      </c>
      <c r="S472" s="81">
        <f ca="1">S454*(1+INDEX(S$294:S$296,MATCH(Work_Codes!$I$372,$D$294:$D$296,0)))</f>
        <v>0</v>
      </c>
      <c r="T472" s="81">
        <f ca="1">T454*(1+INDEX(T$294:T$296,MATCH(Work_Codes!$I$372,$D$294:$D$296,0)))</f>
        <v>0</v>
      </c>
    </row>
    <row r="473" spans="4:20" ht="12" customHeight="1" outlineLevel="2">
      <c r="E473" s="247" t="str">
        <f>GC!C65</f>
        <v>Augmentation</v>
      </c>
      <c r="F473" s="247"/>
      <c r="G473" s="247"/>
      <c r="H473" s="247"/>
      <c r="I473" s="247"/>
      <c r="J473" s="81">
        <f ca="1">J455*(1+INDEX(J$294:J$296,MATCH(Work_Codes!$I$372,$D$294:$D$296,0)))</f>
        <v>0</v>
      </c>
      <c r="K473" s="81">
        <f ca="1">K455*(1+INDEX(K$294:K$296,MATCH(Work_Codes!$I$372,$D$294:$D$296,0)))</f>
        <v>0</v>
      </c>
      <c r="L473" s="81">
        <f ca="1">L455*(1+INDEX(L$294:L$296,MATCH(Work_Codes!$I$372,$D$294:$D$296,0)))</f>
        <v>0</v>
      </c>
      <c r="M473" s="81">
        <f ca="1">M455*(1+INDEX(M$294:M$296,MATCH(Work_Codes!$I$372,$D$294:$D$296,0)))</f>
        <v>0</v>
      </c>
      <c r="N473" s="81">
        <f ca="1">N455*(1+INDEX(N$294:N$296,MATCH(Work_Codes!$I$372,$D$294:$D$296,0)))</f>
        <v>0</v>
      </c>
      <c r="O473" s="81">
        <f ca="1">O455*(1+INDEX(O$294:O$296,MATCH(Work_Codes!$I$372,$D$294:$D$296,0)))</f>
        <v>0</v>
      </c>
      <c r="P473" s="81">
        <f ca="1">P455*(1+INDEX(P$294:P$296,MATCH(Work_Codes!$I$372,$D$294:$D$296,0)))</f>
        <v>0</v>
      </c>
      <c r="Q473" s="81">
        <f ca="1">Q455*(1+INDEX(Q$294:Q$296,MATCH(Work_Codes!$I$372,$D$294:$D$296,0)))</f>
        <v>0</v>
      </c>
      <c r="R473" s="81">
        <f ca="1">R455*(1+INDEX(R$294:R$296,MATCH(Work_Codes!$I$372,$D$294:$D$296,0)))</f>
        <v>0</v>
      </c>
      <c r="S473" s="81">
        <f ca="1">S455*(1+INDEX(S$294:S$296,MATCH(Work_Codes!$I$372,$D$294:$D$296,0)))</f>
        <v>0</v>
      </c>
      <c r="T473" s="81">
        <f ca="1">T455*(1+INDEX(T$294:T$296,MATCH(Work_Codes!$I$372,$D$294:$D$296,0)))</f>
        <v>0</v>
      </c>
    </row>
    <row r="474" spans="4:20" ht="12" customHeight="1" outlineLevel="2">
      <c r="E474" s="247" t="str">
        <f>GC!C66</f>
        <v>IT capex</v>
      </c>
      <c r="F474" s="247"/>
      <c r="G474" s="247"/>
      <c r="H474" s="247"/>
      <c r="I474" s="247"/>
      <c r="J474" s="81">
        <f ca="1">J456*(1+INDEX(J$294:J$296,MATCH(Work_Codes!$I$372,$D$294:$D$296,0)))</f>
        <v>0</v>
      </c>
      <c r="K474" s="81">
        <f ca="1">K456*(1+INDEX(K$294:K$296,MATCH(Work_Codes!$I$372,$D$294:$D$296,0)))</f>
        <v>0</v>
      </c>
      <c r="L474" s="81">
        <f ca="1">L456*(1+INDEX(L$294:L$296,MATCH(Work_Codes!$I$372,$D$294:$D$296,0)))</f>
        <v>0</v>
      </c>
      <c r="M474" s="81">
        <f ca="1">M456*(1+INDEX(M$294:M$296,MATCH(Work_Codes!$I$372,$D$294:$D$296,0)))</f>
        <v>0</v>
      </c>
      <c r="N474" s="81">
        <f ca="1">N456*(1+INDEX(N$294:N$296,MATCH(Work_Codes!$I$372,$D$294:$D$296,0)))</f>
        <v>0</v>
      </c>
      <c r="O474" s="81">
        <f ca="1">O456*(1+INDEX(O$294:O$296,MATCH(Work_Codes!$I$372,$D$294:$D$296,0)))</f>
        <v>0</v>
      </c>
      <c r="P474" s="81">
        <f ca="1">P456*(1+INDEX(P$294:P$296,MATCH(Work_Codes!$I$372,$D$294:$D$296,0)))</f>
        <v>0</v>
      </c>
      <c r="Q474" s="81">
        <f ca="1">Q456*(1+INDEX(Q$294:Q$296,MATCH(Work_Codes!$I$372,$D$294:$D$296,0)))</f>
        <v>0</v>
      </c>
      <c r="R474" s="81">
        <f ca="1">R456*(1+INDEX(R$294:R$296,MATCH(Work_Codes!$I$372,$D$294:$D$296,0)))</f>
        <v>0</v>
      </c>
      <c r="S474" s="81">
        <f ca="1">S456*(1+INDEX(S$294:S$296,MATCH(Work_Codes!$I$372,$D$294:$D$296,0)))</f>
        <v>0</v>
      </c>
      <c r="T474" s="81">
        <f ca="1">T456*(1+INDEX(T$294:T$296,MATCH(Work_Codes!$I$372,$D$294:$D$296,0)))</f>
        <v>0</v>
      </c>
    </row>
    <row r="475" spans="4:20" ht="12" customHeight="1" outlineLevel="2">
      <c r="E475" s="247" t="str">
        <f>GC!C67</f>
        <v>SCADA</v>
      </c>
      <c r="F475" s="247"/>
      <c r="G475" s="247"/>
      <c r="H475" s="247"/>
      <c r="I475" s="247"/>
      <c r="J475" s="81">
        <f ca="1">J457*(1+INDEX(J$294:J$296,MATCH(Work_Codes!$I$372,$D$294:$D$296,0)))</f>
        <v>0</v>
      </c>
      <c r="K475" s="81">
        <f ca="1">K457*(1+INDEX(K$294:K$296,MATCH(Work_Codes!$I$372,$D$294:$D$296,0)))</f>
        <v>0</v>
      </c>
      <c r="L475" s="81">
        <f ca="1">L457*(1+INDEX(L$294:L$296,MATCH(Work_Codes!$I$372,$D$294:$D$296,0)))</f>
        <v>0</v>
      </c>
      <c r="M475" s="81">
        <f ca="1">M457*(1+INDEX(M$294:M$296,MATCH(Work_Codes!$I$372,$D$294:$D$296,0)))</f>
        <v>0</v>
      </c>
      <c r="N475" s="81">
        <f ca="1">N457*(1+INDEX(N$294:N$296,MATCH(Work_Codes!$I$372,$D$294:$D$296,0)))</f>
        <v>0</v>
      </c>
      <c r="O475" s="81">
        <f ca="1">O457*(1+INDEX(O$294:O$296,MATCH(Work_Codes!$I$372,$D$294:$D$296,0)))</f>
        <v>0</v>
      </c>
      <c r="P475" s="81">
        <f ca="1">P457*(1+INDEX(P$294:P$296,MATCH(Work_Codes!$I$372,$D$294:$D$296,0)))</f>
        <v>0</v>
      </c>
      <c r="Q475" s="81">
        <f ca="1">Q457*(1+INDEX(Q$294:Q$296,MATCH(Work_Codes!$I$372,$D$294:$D$296,0)))</f>
        <v>0</v>
      </c>
      <c r="R475" s="81">
        <f ca="1">R457*(1+INDEX(R$294:R$296,MATCH(Work_Codes!$I$372,$D$294:$D$296,0)))</f>
        <v>0</v>
      </c>
      <c r="S475" s="81">
        <f ca="1">S457*(1+INDEX(S$294:S$296,MATCH(Work_Codes!$I$372,$D$294:$D$296,0)))</f>
        <v>0</v>
      </c>
      <c r="T475" s="81">
        <f ca="1">T457*(1+INDEX(T$294:T$296,MATCH(Work_Codes!$I$372,$D$294:$D$296,0)))</f>
        <v>0</v>
      </c>
    </row>
    <row r="476" spans="4:20" ht="12" customHeight="1" outlineLevel="2">
      <c r="E476" s="247" t="str">
        <f>GC!C68</f>
        <v>Other</v>
      </c>
      <c r="F476" s="247"/>
      <c r="G476" s="247"/>
      <c r="H476" s="247"/>
      <c r="I476" s="247"/>
      <c r="J476" s="81">
        <f ca="1">J458*(1+INDEX(J$294:J$296,MATCH(Work_Codes!$I$372,$D$294:$D$296,0)))</f>
        <v>0</v>
      </c>
      <c r="K476" s="81">
        <f ca="1">K458*(1+INDEX(K$294:K$296,MATCH(Work_Codes!$I$372,$D$294:$D$296,0)))</f>
        <v>0</v>
      </c>
      <c r="L476" s="81">
        <f ca="1">L458*(1+INDEX(L$294:L$296,MATCH(Work_Codes!$I$372,$D$294:$D$296,0)))</f>
        <v>0</v>
      </c>
      <c r="M476" s="81">
        <f ca="1">M458*(1+INDEX(M$294:M$296,MATCH(Work_Codes!$I$372,$D$294:$D$296,0)))</f>
        <v>0</v>
      </c>
      <c r="N476" s="81">
        <f ca="1">N458*(1+INDEX(N$294:N$296,MATCH(Work_Codes!$I$372,$D$294:$D$296,0)))</f>
        <v>0</v>
      </c>
      <c r="O476" s="81">
        <f ca="1">O458*(1+INDEX(O$294:O$296,MATCH(Work_Codes!$I$372,$D$294:$D$296,0)))</f>
        <v>0</v>
      </c>
      <c r="P476" s="81">
        <f ca="1">P458*(1+INDEX(P$294:P$296,MATCH(Work_Codes!$I$372,$D$294:$D$296,0)))</f>
        <v>0</v>
      </c>
      <c r="Q476" s="81">
        <f ca="1">Q458*(1+INDEX(Q$294:Q$296,MATCH(Work_Codes!$I$372,$D$294:$D$296,0)))</f>
        <v>0</v>
      </c>
      <c r="R476" s="81">
        <f ca="1">R458*(1+INDEX(R$294:R$296,MATCH(Work_Codes!$I$372,$D$294:$D$296,0)))</f>
        <v>0</v>
      </c>
      <c r="S476" s="81">
        <f ca="1">S458*(1+INDEX(S$294:S$296,MATCH(Work_Codes!$I$372,$D$294:$D$296,0)))</f>
        <v>0</v>
      </c>
      <c r="T476" s="81">
        <f ca="1">T458*(1+INDEX(T$294:T$296,MATCH(Work_Codes!$I$372,$D$294:$D$296,0)))</f>
        <v>0</v>
      </c>
    </row>
    <row r="477" spans="4:20" outlineLevel="2">
      <c r="E477" s="247" t="str">
        <f>GC!C69</f>
        <v>Capitalised Leases</v>
      </c>
      <c r="F477" s="247"/>
      <c r="G477" s="247"/>
      <c r="H477" s="247"/>
      <c r="I477" s="247"/>
      <c r="J477" s="81">
        <f ca="1">J459*(1+INDEX(J$294:J$296,MATCH(Work_Codes!$I$372,$D$294:$D$296,0)))</f>
        <v>0</v>
      </c>
      <c r="K477" s="81">
        <f ca="1">K459*(1+INDEX(K$294:K$296,MATCH(Work_Codes!$I$372,$D$294:$D$296,0)))</f>
        <v>0</v>
      </c>
      <c r="L477" s="81">
        <f ca="1">L459*(1+INDEX(L$294:L$296,MATCH(Work_Codes!$I$372,$D$294:$D$296,0)))</f>
        <v>0</v>
      </c>
      <c r="M477" s="81">
        <f ca="1">M459*(1+INDEX(M$294:M$296,MATCH(Work_Codes!$I$372,$D$294:$D$296,0)))</f>
        <v>0</v>
      </c>
      <c r="N477" s="81">
        <f ca="1">N459*(1+INDEX(N$294:N$296,MATCH(Work_Codes!$I$372,$D$294:$D$296,0)))</f>
        <v>0</v>
      </c>
      <c r="O477" s="81">
        <f ca="1">O459*(1+INDEX(O$294:O$296,MATCH(Work_Codes!$I$372,$D$294:$D$296,0)))</f>
        <v>0</v>
      </c>
      <c r="P477" s="81">
        <f ca="1">P459*(1+INDEX(P$294:P$296,MATCH(Work_Codes!$I$372,$D$294:$D$296,0)))</f>
        <v>0</v>
      </c>
      <c r="Q477" s="81">
        <f ca="1">Q459*(1+INDEX(Q$294:Q$296,MATCH(Work_Codes!$I$372,$D$294:$D$296,0)))</f>
        <v>0</v>
      </c>
      <c r="R477" s="81">
        <f ca="1">R459*(1+INDEX(R$294:R$296,MATCH(Work_Codes!$I$372,$D$294:$D$296,0)))</f>
        <v>0</v>
      </c>
      <c r="S477" s="81">
        <f ca="1">S459*(1+INDEX(S$294:S$296,MATCH(Work_Codes!$I$372,$D$294:$D$296,0)))</f>
        <v>0</v>
      </c>
      <c r="T477" s="81">
        <f ca="1">T459*(1+INDEX(T$294:T$296,MATCH(Work_Codes!$I$372,$D$294:$D$296,0)))</f>
        <v>0</v>
      </c>
    </row>
    <row r="478" spans="4:20" ht="12" customHeight="1" outlineLevel="2">
      <c r="E478" s="247" t="str">
        <f>GC!C70</f>
        <v>Gas Extensions - Energy for the Regions</v>
      </c>
      <c r="F478" s="247"/>
      <c r="G478" s="247"/>
      <c r="H478" s="247"/>
      <c r="I478" s="247"/>
      <c r="J478" s="81">
        <f ca="1">J460*(1+INDEX(J$294:J$296,MATCH(Work_Codes!$I$372,$D$294:$D$296,0)))</f>
        <v>0</v>
      </c>
      <c r="K478" s="81">
        <f ca="1">K460*(1+INDEX(K$294:K$296,MATCH(Work_Codes!$I$372,$D$294:$D$296,0)))</f>
        <v>0</v>
      </c>
      <c r="L478" s="81">
        <f ca="1">L460*(1+INDEX(L$294:L$296,MATCH(Work_Codes!$I$372,$D$294:$D$296,0)))</f>
        <v>0</v>
      </c>
      <c r="M478" s="81">
        <f ca="1">M460*(1+INDEX(M$294:M$296,MATCH(Work_Codes!$I$372,$D$294:$D$296,0)))</f>
        <v>0</v>
      </c>
      <c r="N478" s="81">
        <f ca="1">N460*(1+INDEX(N$294:N$296,MATCH(Work_Codes!$I$372,$D$294:$D$296,0)))</f>
        <v>0</v>
      </c>
      <c r="O478" s="81">
        <f ca="1">O460*(1+INDEX(O$294:O$296,MATCH(Work_Codes!$I$372,$D$294:$D$296,0)))</f>
        <v>0</v>
      </c>
      <c r="P478" s="81">
        <f ca="1">P460*(1+INDEX(P$294:P$296,MATCH(Work_Codes!$I$372,$D$294:$D$296,0)))</f>
        <v>0</v>
      </c>
      <c r="Q478" s="81">
        <f ca="1">Q460*(1+INDEX(Q$294:Q$296,MATCH(Work_Codes!$I$372,$D$294:$D$296,0)))</f>
        <v>0</v>
      </c>
      <c r="R478" s="81">
        <f ca="1">R460*(1+INDEX(R$294:R$296,MATCH(Work_Codes!$I$372,$D$294:$D$296,0)))</f>
        <v>0</v>
      </c>
      <c r="S478" s="81">
        <f ca="1">S460*(1+INDEX(S$294:S$296,MATCH(Work_Codes!$I$372,$D$294:$D$296,0)))</f>
        <v>0</v>
      </c>
      <c r="T478" s="81">
        <f ca="1">T460*(1+INDEX(T$294:T$296,MATCH(Work_Codes!$I$372,$D$294:$D$296,0)))</f>
        <v>0</v>
      </c>
    </row>
    <row r="479" spans="4:20" ht="12" customHeight="1" outlineLevel="2">
      <c r="E479" s="247" t="str">
        <f>GC!C71</f>
        <v>Gas Extensions - Other</v>
      </c>
      <c r="F479" s="247"/>
      <c r="G479" s="247"/>
      <c r="H479" s="247"/>
      <c r="I479" s="247"/>
      <c r="J479" s="81">
        <f ca="1">J461*(1+INDEX(J$294:J$296,MATCH(Work_Codes!$I$372,$D$294:$D$296,0)))</f>
        <v>0</v>
      </c>
      <c r="K479" s="81">
        <f ca="1">K461*(1+INDEX(K$294:K$296,MATCH(Work_Codes!$I$372,$D$294:$D$296,0)))</f>
        <v>0</v>
      </c>
      <c r="L479" s="81">
        <f ca="1">L461*(1+INDEX(L$294:L$296,MATCH(Work_Codes!$I$372,$D$294:$D$296,0)))</f>
        <v>0</v>
      </c>
      <c r="M479" s="81">
        <f ca="1">M461*(1+INDEX(M$294:M$296,MATCH(Work_Codes!$I$372,$D$294:$D$296,0)))</f>
        <v>0</v>
      </c>
      <c r="N479" s="81">
        <f ca="1">N461*(1+INDEX(N$294:N$296,MATCH(Work_Codes!$I$372,$D$294:$D$296,0)))</f>
        <v>0</v>
      </c>
      <c r="O479" s="81">
        <f ca="1">O461*(1+INDEX(O$294:O$296,MATCH(Work_Codes!$I$372,$D$294:$D$296,0)))</f>
        <v>0</v>
      </c>
      <c r="P479" s="81">
        <f ca="1">P461*(1+INDEX(P$294:P$296,MATCH(Work_Codes!$I$372,$D$294:$D$296,0)))</f>
        <v>0</v>
      </c>
      <c r="Q479" s="81">
        <f ca="1">Q461*(1+INDEX(Q$294:Q$296,MATCH(Work_Codes!$I$372,$D$294:$D$296,0)))</f>
        <v>0</v>
      </c>
      <c r="R479" s="81">
        <f ca="1">R461*(1+INDEX(R$294:R$296,MATCH(Work_Codes!$I$372,$D$294:$D$296,0)))</f>
        <v>0</v>
      </c>
      <c r="S479" s="81">
        <f ca="1">S461*(1+INDEX(S$294:S$296,MATCH(Work_Codes!$I$372,$D$294:$D$296,0)))</f>
        <v>0</v>
      </c>
      <c r="T479" s="81">
        <f ca="1">T461*(1+INDEX(T$294:T$296,MATCH(Work_Codes!$I$372,$D$294:$D$296,0)))</f>
        <v>0</v>
      </c>
    </row>
    <row r="480" spans="4:20" ht="12" customHeight="1" outlineLevel="2">
      <c r="E480" s="247" t="str">
        <f>GC!C72</f>
        <v>Customer contributions</v>
      </c>
      <c r="F480" s="247"/>
      <c r="G480" s="247"/>
      <c r="H480" s="247"/>
      <c r="I480" s="247"/>
      <c r="J480" s="81">
        <f ca="1">J462*(1+INDEX(J$294:J$296,MATCH(Work_Codes!$I$372,$D$294:$D$296,0)))</f>
        <v>0</v>
      </c>
      <c r="K480" s="81">
        <f ca="1">K462*(1+INDEX(K$294:K$296,MATCH(Work_Codes!$I$372,$D$294:$D$296,0)))</f>
        <v>0</v>
      </c>
      <c r="L480" s="81">
        <f ca="1">L462*(1+INDEX(L$294:L$296,MATCH(Work_Codes!$I$372,$D$294:$D$296,0)))</f>
        <v>0</v>
      </c>
      <c r="M480" s="81">
        <f ca="1">M462*(1+INDEX(M$294:M$296,MATCH(Work_Codes!$I$372,$D$294:$D$296,0)))</f>
        <v>0</v>
      </c>
      <c r="N480" s="81">
        <f ca="1">N462*(1+INDEX(N$294:N$296,MATCH(Work_Codes!$I$372,$D$294:$D$296,0)))</f>
        <v>0</v>
      </c>
      <c r="O480" s="81">
        <f ca="1">O462*(1+INDEX(O$294:O$296,MATCH(Work_Codes!$I$372,$D$294:$D$296,0)))</f>
        <v>0</v>
      </c>
      <c r="P480" s="81">
        <f ca="1">P462*(1+INDEX(P$294:P$296,MATCH(Work_Codes!$I$372,$D$294:$D$296,0)))</f>
        <v>0</v>
      </c>
      <c r="Q480" s="81">
        <f ca="1">Q462*(1+INDEX(Q$294:Q$296,MATCH(Work_Codes!$I$372,$D$294:$D$296,0)))</f>
        <v>0</v>
      </c>
      <c r="R480" s="81">
        <f ca="1">R462*(1+INDEX(R$294:R$296,MATCH(Work_Codes!$I$372,$D$294:$D$296,0)))</f>
        <v>0</v>
      </c>
      <c r="S480" s="81">
        <f ca="1">S462*(1+INDEX(S$294:S$296,MATCH(Work_Codes!$I$372,$D$294:$D$296,0)))</f>
        <v>0</v>
      </c>
      <c r="T480" s="81">
        <f ca="1">T462*(1+INDEX(T$294:T$296,MATCH(Work_Codes!$I$372,$D$294:$D$296,0)))</f>
        <v>0</v>
      </c>
    </row>
    <row r="481" spans="4:20" ht="12" customHeight="1" outlineLevel="2">
      <c r="E481" s="247" t="str">
        <f>GC!C73</f>
        <v>Government contributions</v>
      </c>
      <c r="F481" s="247"/>
      <c r="G481" s="247"/>
      <c r="H481" s="247"/>
      <c r="I481" s="247"/>
      <c r="J481" s="81">
        <f ca="1">J463*(1+INDEX(J$294:J$296,MATCH(Work_Codes!$I$372,$D$294:$D$296,0)))</f>
        <v>0</v>
      </c>
      <c r="K481" s="81">
        <f ca="1">K463*(1+INDEX(K$294:K$296,MATCH(Work_Codes!$I$372,$D$294:$D$296,0)))</f>
        <v>0</v>
      </c>
      <c r="L481" s="81">
        <f ca="1">L463*(1+INDEX(L$294:L$296,MATCH(Work_Codes!$I$372,$D$294:$D$296,0)))</f>
        <v>0</v>
      </c>
      <c r="M481" s="81">
        <f ca="1">M463*(1+INDEX(M$294:M$296,MATCH(Work_Codes!$I$372,$D$294:$D$296,0)))</f>
        <v>0</v>
      </c>
      <c r="N481" s="81">
        <f ca="1">N463*(1+INDEX(N$294:N$296,MATCH(Work_Codes!$I$372,$D$294:$D$296,0)))</f>
        <v>0</v>
      </c>
      <c r="O481" s="81">
        <f ca="1">O463*(1+INDEX(O$294:O$296,MATCH(Work_Codes!$I$372,$D$294:$D$296,0)))</f>
        <v>0</v>
      </c>
      <c r="P481" s="81">
        <f ca="1">P463*(1+INDEX(P$294:P$296,MATCH(Work_Codes!$I$372,$D$294:$D$296,0)))</f>
        <v>0</v>
      </c>
      <c r="Q481" s="81">
        <f ca="1">Q463*(1+INDEX(Q$294:Q$296,MATCH(Work_Codes!$I$372,$D$294:$D$296,0)))</f>
        <v>0</v>
      </c>
      <c r="R481" s="81">
        <f ca="1">R463*(1+INDEX(R$294:R$296,MATCH(Work_Codes!$I$372,$D$294:$D$296,0)))</f>
        <v>0</v>
      </c>
      <c r="S481" s="81">
        <f ca="1">S463*(1+INDEX(S$294:S$296,MATCH(Work_Codes!$I$372,$D$294:$D$296,0)))</f>
        <v>0</v>
      </c>
      <c r="T481" s="81">
        <f ca="1">T463*(1+INDEX(T$294:T$296,MATCH(Work_Codes!$I$372,$D$294:$D$296,0)))</f>
        <v>0</v>
      </c>
    </row>
    <row r="482" spans="4:20" ht="12" customHeight="1" outlineLevel="2">
      <c r="E482" s="249" t="str">
        <f>"Total "&amp;D466</f>
        <v>Total Direct Costs + Overheads</v>
      </c>
      <c r="F482" s="249"/>
      <c r="G482" s="249"/>
      <c r="H482" s="249"/>
      <c r="I482" s="249"/>
      <c r="J482" s="82">
        <f t="shared" ref="J482:T482" ca="1" si="45">SUM(J468:J481)</f>
        <v>0</v>
      </c>
      <c r="K482" s="82">
        <f t="shared" ca="1" si="45"/>
        <v>0</v>
      </c>
      <c r="L482" s="82">
        <f t="shared" ca="1" si="45"/>
        <v>0</v>
      </c>
      <c r="M482" s="82">
        <f t="shared" ca="1" si="45"/>
        <v>0</v>
      </c>
      <c r="N482" s="82">
        <f t="shared" ca="1" si="45"/>
        <v>2801596.0608199141</v>
      </c>
      <c r="O482" s="82">
        <f t="shared" ca="1" si="45"/>
        <v>3697431.195132128</v>
      </c>
      <c r="P482" s="82">
        <f t="shared" ca="1" si="45"/>
        <v>4938986.5798683828</v>
      </c>
      <c r="Q482" s="82">
        <f t="shared" ca="1" si="45"/>
        <v>5027660.7752295798</v>
      </c>
      <c r="R482" s="82">
        <f t="shared" ca="1" si="45"/>
        <v>5122513.9190473137</v>
      </c>
      <c r="S482" s="82">
        <f t="shared" ca="1" si="45"/>
        <v>5065294.7631464917</v>
      </c>
      <c r="T482" s="82">
        <f t="shared" ca="1" si="45"/>
        <v>5003517.1509945961</v>
      </c>
    </row>
    <row r="483" spans="4:20" outlineLevel="2"/>
    <row r="484" spans="4:20" outlineLevel="2">
      <c r="D484" s="37" t="s">
        <v>367</v>
      </c>
    </row>
    <row r="485" spans="4:20" ht="5.75" customHeight="1" outlineLevel="2"/>
    <row r="486" spans="4:20" outlineLevel="2">
      <c r="E486" s="247" t="str">
        <f>GC!C60</f>
        <v>Mains replacement</v>
      </c>
      <c r="F486" s="247"/>
      <c r="G486" s="247"/>
      <c r="H486" s="247"/>
      <c r="I486" s="247"/>
      <c r="J486" s="81">
        <f ca="1">SUMPRODUCT((Work_Codes!$AC$375:$AO$375=$E486)*(Work_Codes!$AC$383:$AO$386)*(J$324:J$327))</f>
        <v>0</v>
      </c>
      <c r="K486" s="81">
        <f ca="1">SUMPRODUCT((Work_Codes!$AC$375:$AO$375=$E486)*(Work_Codes!$AC$383:$AO$386)*(K$324:K$327))</f>
        <v>0</v>
      </c>
      <c r="L486" s="81">
        <f ca="1">SUMPRODUCT((Work_Codes!$AC$375:$AO$375=$E486)*(Work_Codes!$AC$383:$AO$386)*(L$324:L$327))</f>
        <v>0</v>
      </c>
      <c r="M486" s="81">
        <f ca="1">SUMPRODUCT((Work_Codes!$AC$375:$AO$375=$E486)*(Work_Codes!$AC$383:$AO$386)*(M$324:M$327))</f>
        <v>0</v>
      </c>
      <c r="N486" s="81">
        <f ca="1">SUMPRODUCT((Work_Codes!$AC$375:$AO$375=$E486)*(Work_Codes!$AC$383:$AO$386)*(N$324:N$327))</f>
        <v>0</v>
      </c>
      <c r="O486" s="81">
        <f ca="1">SUMPRODUCT((Work_Codes!$AC$375:$AO$375=$E486)*(Work_Codes!$AC$383:$AO$386)*(O$324:O$327))</f>
        <v>0</v>
      </c>
      <c r="P486" s="81">
        <f ca="1">SUMPRODUCT((Work_Codes!$AC$375:$AO$375=$E486)*(Work_Codes!$AC$383:$AO$386)*(P$324:P$327))</f>
        <v>0</v>
      </c>
      <c r="Q486" s="81">
        <f ca="1">SUMPRODUCT((Work_Codes!$AC$375:$AO$375=$E486)*(Work_Codes!$AC$383:$AO$386)*(Q$324:Q$327))</f>
        <v>0</v>
      </c>
      <c r="R486" s="81">
        <f ca="1">SUMPRODUCT((Work_Codes!$AC$375:$AO$375=$E486)*(Work_Codes!$AC$383:$AO$386)*(R$324:R$327))</f>
        <v>0</v>
      </c>
      <c r="S486" s="81">
        <f ca="1">SUMPRODUCT((Work_Codes!$AC$375:$AO$375=$E486)*(Work_Codes!$AC$383:$AO$386)*(S$324:S$327))</f>
        <v>0</v>
      </c>
      <c r="T486" s="81">
        <f ca="1">SUMPRODUCT((Work_Codes!$AC$375:$AO$375=$E486)*(Work_Codes!$AC$383:$AO$386)*(T$324:T$327))</f>
        <v>0</v>
      </c>
    </row>
    <row r="487" spans="4:20" outlineLevel="2">
      <c r="E487" s="247" t="str">
        <f>GC!C61</f>
        <v>Residential new customer connections</v>
      </c>
      <c r="F487" s="247"/>
      <c r="G487" s="247"/>
      <c r="H487" s="247"/>
      <c r="I487" s="247"/>
      <c r="J487" s="81">
        <f ca="1">SUMPRODUCT((Work_Codes!$AC$375:$AO$375=$E487)*(Work_Codes!$AC$383:$AO$386)*(J$324:J$327))</f>
        <v>0</v>
      </c>
      <c r="K487" s="81">
        <f ca="1">SUMPRODUCT((Work_Codes!$AC$375:$AO$375=$E487)*(Work_Codes!$AC$383:$AO$386)*(K$324:K$327))</f>
        <v>0</v>
      </c>
      <c r="L487" s="81">
        <f ca="1">SUMPRODUCT((Work_Codes!$AC$375:$AO$375=$E487)*(Work_Codes!$AC$383:$AO$386)*(L$324:L$327))</f>
        <v>0</v>
      </c>
      <c r="M487" s="81">
        <f ca="1">SUMPRODUCT((Work_Codes!$AC$375:$AO$375=$E487)*(Work_Codes!$AC$383:$AO$386)*(M$324:M$327))</f>
        <v>0</v>
      </c>
      <c r="N487" s="81">
        <f ca="1">SUMPRODUCT((Work_Codes!$AC$375:$AO$375=$E487)*(Work_Codes!$AC$383:$AO$386)*(N$324:N$327))</f>
        <v>0</v>
      </c>
      <c r="O487" s="81">
        <f ca="1">SUMPRODUCT((Work_Codes!$AC$375:$AO$375=$E487)*(Work_Codes!$AC$383:$AO$386)*(O$324:O$327))</f>
        <v>0</v>
      </c>
      <c r="P487" s="81">
        <f ca="1">SUMPRODUCT((Work_Codes!$AC$375:$AO$375=$E487)*(Work_Codes!$AC$383:$AO$386)*(P$324:P$327))</f>
        <v>0</v>
      </c>
      <c r="Q487" s="81">
        <f ca="1">SUMPRODUCT((Work_Codes!$AC$375:$AO$375=$E487)*(Work_Codes!$AC$383:$AO$386)*(Q$324:Q$327))</f>
        <v>0</v>
      </c>
      <c r="R487" s="81">
        <f ca="1">SUMPRODUCT((Work_Codes!$AC$375:$AO$375=$E487)*(Work_Codes!$AC$383:$AO$386)*(R$324:R$327))</f>
        <v>0</v>
      </c>
      <c r="S487" s="81">
        <f ca="1">SUMPRODUCT((Work_Codes!$AC$375:$AO$375=$E487)*(Work_Codes!$AC$383:$AO$386)*(S$324:S$327))</f>
        <v>0</v>
      </c>
      <c r="T487" s="81">
        <f ca="1">SUMPRODUCT((Work_Codes!$AC$375:$AO$375=$E487)*(Work_Codes!$AC$383:$AO$386)*(T$324:T$327))</f>
        <v>0</v>
      </c>
    </row>
    <row r="488" spans="4:20" outlineLevel="2">
      <c r="E488" s="247" t="str">
        <f>GC!C62</f>
        <v>Commercial and industrial new customer connections</v>
      </c>
      <c r="F488" s="247"/>
      <c r="G488" s="247"/>
      <c r="H488" s="247"/>
      <c r="I488" s="247"/>
      <c r="J488" s="81">
        <f ca="1">SUMPRODUCT((Work_Codes!$AC$375:$AO$375=$E488)*(Work_Codes!$AC$383:$AO$386)*(J$324:J$327))</f>
        <v>0</v>
      </c>
      <c r="K488" s="81">
        <f ca="1">SUMPRODUCT((Work_Codes!$AC$375:$AO$375=$E488)*(Work_Codes!$AC$383:$AO$386)*(K$324:K$327))</f>
        <v>0</v>
      </c>
      <c r="L488" s="81">
        <f ca="1">SUMPRODUCT((Work_Codes!$AC$375:$AO$375=$E488)*(Work_Codes!$AC$383:$AO$386)*(L$324:L$327))</f>
        <v>0</v>
      </c>
      <c r="M488" s="81">
        <f ca="1">SUMPRODUCT((Work_Codes!$AC$375:$AO$375=$E488)*(Work_Codes!$AC$383:$AO$386)*(M$324:M$327))</f>
        <v>0</v>
      </c>
      <c r="N488" s="81">
        <f ca="1">SUMPRODUCT((Work_Codes!$AC$375:$AO$375=$E488)*(Work_Codes!$AC$383:$AO$386)*(N$324:N$327))</f>
        <v>-1943170.9539599998</v>
      </c>
      <c r="O488" s="81">
        <f ca="1">SUMPRODUCT((Work_Codes!$AC$375:$AO$375=$E488)*(Work_Codes!$AC$383:$AO$386)*(O$324:O$327))</f>
        <v>-804894.90500000003</v>
      </c>
      <c r="P488" s="81">
        <f ca="1">SUMPRODUCT((Work_Codes!$AC$375:$AO$375=$E488)*(Work_Codes!$AC$383:$AO$386)*(P$324:P$327))</f>
        <v>-1609789.81</v>
      </c>
      <c r="Q488" s="81">
        <f ca="1">SUMPRODUCT((Work_Codes!$AC$375:$AO$375=$E488)*(Work_Codes!$AC$383:$AO$386)*(Q$324:Q$327))</f>
        <v>-1632292.67</v>
      </c>
      <c r="R488" s="81">
        <f ca="1">SUMPRODUCT((Work_Codes!$AC$375:$AO$375=$E488)*(Work_Codes!$AC$383:$AO$386)*(R$324:R$327))</f>
        <v>-1654356.06</v>
      </c>
      <c r="S488" s="81">
        <f ca="1">SUMPRODUCT((Work_Codes!$AC$375:$AO$375=$E488)*(Work_Codes!$AC$383:$AO$386)*(S$324:S$327))</f>
        <v>-1638961.06</v>
      </c>
      <c r="T488" s="81">
        <f ca="1">SUMPRODUCT((Work_Codes!$AC$375:$AO$375=$E488)*(Work_Codes!$AC$383:$AO$386)*(T$324:T$327))</f>
        <v>-1622858</v>
      </c>
    </row>
    <row r="489" spans="4:20" outlineLevel="2">
      <c r="E489" s="247" t="str">
        <f>GC!C63</f>
        <v>Residential meter replacement</v>
      </c>
      <c r="F489" s="247"/>
      <c r="G489" s="247"/>
      <c r="H489" s="247"/>
      <c r="I489" s="247"/>
      <c r="J489" s="81">
        <f ca="1">SUMPRODUCT((Work_Codes!$AC$375:$AO$375=$E489)*(Work_Codes!$AC$383:$AO$386)*(J$324:J$327))</f>
        <v>0</v>
      </c>
      <c r="K489" s="81">
        <f ca="1">SUMPRODUCT((Work_Codes!$AC$375:$AO$375=$E489)*(Work_Codes!$AC$383:$AO$386)*(K$324:K$327))</f>
        <v>0</v>
      </c>
      <c r="L489" s="81">
        <f ca="1">SUMPRODUCT((Work_Codes!$AC$375:$AO$375=$E489)*(Work_Codes!$AC$383:$AO$386)*(L$324:L$327))</f>
        <v>0</v>
      </c>
      <c r="M489" s="81">
        <f ca="1">SUMPRODUCT((Work_Codes!$AC$375:$AO$375=$E489)*(Work_Codes!$AC$383:$AO$386)*(M$324:M$327))</f>
        <v>0</v>
      </c>
      <c r="N489" s="81">
        <f ca="1">SUMPRODUCT((Work_Codes!$AC$375:$AO$375=$E489)*(Work_Codes!$AC$383:$AO$386)*(N$324:N$327))</f>
        <v>0</v>
      </c>
      <c r="O489" s="81">
        <f ca="1">SUMPRODUCT((Work_Codes!$AC$375:$AO$375=$E489)*(Work_Codes!$AC$383:$AO$386)*(O$324:O$327))</f>
        <v>0</v>
      </c>
      <c r="P489" s="81">
        <f ca="1">SUMPRODUCT((Work_Codes!$AC$375:$AO$375=$E489)*(Work_Codes!$AC$383:$AO$386)*(P$324:P$327))</f>
        <v>0</v>
      </c>
      <c r="Q489" s="81">
        <f ca="1">SUMPRODUCT((Work_Codes!$AC$375:$AO$375=$E489)*(Work_Codes!$AC$383:$AO$386)*(Q$324:Q$327))</f>
        <v>0</v>
      </c>
      <c r="R489" s="81">
        <f ca="1">SUMPRODUCT((Work_Codes!$AC$375:$AO$375=$E489)*(Work_Codes!$AC$383:$AO$386)*(R$324:R$327))</f>
        <v>0</v>
      </c>
      <c r="S489" s="81">
        <f ca="1">SUMPRODUCT((Work_Codes!$AC$375:$AO$375=$E489)*(Work_Codes!$AC$383:$AO$386)*(S$324:S$327))</f>
        <v>0</v>
      </c>
      <c r="T489" s="81">
        <f ca="1">SUMPRODUCT((Work_Codes!$AC$375:$AO$375=$E489)*(Work_Codes!$AC$383:$AO$386)*(T$324:T$327))</f>
        <v>0</v>
      </c>
    </row>
    <row r="490" spans="4:20" outlineLevel="2">
      <c r="E490" s="247" t="str">
        <f>GC!C64</f>
        <v>Commercial and industrial meter replacement</v>
      </c>
      <c r="F490" s="247"/>
      <c r="G490" s="247"/>
      <c r="H490" s="247"/>
      <c r="I490" s="247"/>
      <c r="J490" s="81">
        <f ca="1">SUMPRODUCT((Work_Codes!$AC$375:$AO$375=$E490)*(Work_Codes!$AC$383:$AO$386)*(J$324:J$327))</f>
        <v>0</v>
      </c>
      <c r="K490" s="81">
        <f ca="1">SUMPRODUCT((Work_Codes!$AC$375:$AO$375=$E490)*(Work_Codes!$AC$383:$AO$386)*(K$324:K$327))</f>
        <v>0</v>
      </c>
      <c r="L490" s="81">
        <f ca="1">SUMPRODUCT((Work_Codes!$AC$375:$AO$375=$E490)*(Work_Codes!$AC$383:$AO$386)*(L$324:L$327))</f>
        <v>0</v>
      </c>
      <c r="M490" s="81">
        <f ca="1">SUMPRODUCT((Work_Codes!$AC$375:$AO$375=$E490)*(Work_Codes!$AC$383:$AO$386)*(M$324:M$327))</f>
        <v>0</v>
      </c>
      <c r="N490" s="81">
        <f ca="1">SUMPRODUCT((Work_Codes!$AC$375:$AO$375=$E490)*(Work_Codes!$AC$383:$AO$386)*(N$324:N$327))</f>
        <v>0</v>
      </c>
      <c r="O490" s="81">
        <f ca="1">SUMPRODUCT((Work_Codes!$AC$375:$AO$375=$E490)*(Work_Codes!$AC$383:$AO$386)*(O$324:O$327))</f>
        <v>0</v>
      </c>
      <c r="P490" s="81">
        <f ca="1">SUMPRODUCT((Work_Codes!$AC$375:$AO$375=$E490)*(Work_Codes!$AC$383:$AO$386)*(P$324:P$327))</f>
        <v>0</v>
      </c>
      <c r="Q490" s="81">
        <f ca="1">SUMPRODUCT((Work_Codes!$AC$375:$AO$375=$E490)*(Work_Codes!$AC$383:$AO$386)*(Q$324:Q$327))</f>
        <v>0</v>
      </c>
      <c r="R490" s="81">
        <f ca="1">SUMPRODUCT((Work_Codes!$AC$375:$AO$375=$E490)*(Work_Codes!$AC$383:$AO$386)*(R$324:R$327))</f>
        <v>0</v>
      </c>
      <c r="S490" s="81">
        <f ca="1">SUMPRODUCT((Work_Codes!$AC$375:$AO$375=$E490)*(Work_Codes!$AC$383:$AO$386)*(S$324:S$327))</f>
        <v>0</v>
      </c>
      <c r="T490" s="81">
        <f ca="1">SUMPRODUCT((Work_Codes!$AC$375:$AO$375=$E490)*(Work_Codes!$AC$383:$AO$386)*(T$324:T$327))</f>
        <v>0</v>
      </c>
    </row>
    <row r="491" spans="4:20" outlineLevel="2">
      <c r="E491" s="247" t="str">
        <f>GC!C65</f>
        <v>Augmentation</v>
      </c>
      <c r="F491" s="247"/>
      <c r="G491" s="247"/>
      <c r="H491" s="247"/>
      <c r="I491" s="247"/>
      <c r="J491" s="81">
        <f ca="1">SUMPRODUCT((Work_Codes!$AC$375:$AO$375=$E491)*(Work_Codes!$AC$383:$AO$386)*(J$324:J$327))</f>
        <v>0</v>
      </c>
      <c r="K491" s="81">
        <f ca="1">SUMPRODUCT((Work_Codes!$AC$375:$AO$375=$E491)*(Work_Codes!$AC$383:$AO$386)*(K$324:K$327))</f>
        <v>0</v>
      </c>
      <c r="L491" s="81">
        <f ca="1">SUMPRODUCT((Work_Codes!$AC$375:$AO$375=$E491)*(Work_Codes!$AC$383:$AO$386)*(L$324:L$327))</f>
        <v>0</v>
      </c>
      <c r="M491" s="81">
        <f ca="1">SUMPRODUCT((Work_Codes!$AC$375:$AO$375=$E491)*(Work_Codes!$AC$383:$AO$386)*(M$324:M$327))</f>
        <v>0</v>
      </c>
      <c r="N491" s="81">
        <f ca="1">SUMPRODUCT((Work_Codes!$AC$375:$AO$375=$E491)*(Work_Codes!$AC$383:$AO$386)*(N$324:N$327))</f>
        <v>0</v>
      </c>
      <c r="O491" s="81">
        <f ca="1">SUMPRODUCT((Work_Codes!$AC$375:$AO$375=$E491)*(Work_Codes!$AC$383:$AO$386)*(O$324:O$327))</f>
        <v>0</v>
      </c>
      <c r="P491" s="81">
        <f ca="1">SUMPRODUCT((Work_Codes!$AC$375:$AO$375=$E491)*(Work_Codes!$AC$383:$AO$386)*(P$324:P$327))</f>
        <v>0</v>
      </c>
      <c r="Q491" s="81">
        <f ca="1">SUMPRODUCT((Work_Codes!$AC$375:$AO$375=$E491)*(Work_Codes!$AC$383:$AO$386)*(Q$324:Q$327))</f>
        <v>0</v>
      </c>
      <c r="R491" s="81">
        <f ca="1">SUMPRODUCT((Work_Codes!$AC$375:$AO$375=$E491)*(Work_Codes!$AC$383:$AO$386)*(R$324:R$327))</f>
        <v>0</v>
      </c>
      <c r="S491" s="81">
        <f ca="1">SUMPRODUCT((Work_Codes!$AC$375:$AO$375=$E491)*(Work_Codes!$AC$383:$AO$386)*(S$324:S$327))</f>
        <v>0</v>
      </c>
      <c r="T491" s="81">
        <f ca="1">SUMPRODUCT((Work_Codes!$AC$375:$AO$375=$E491)*(Work_Codes!$AC$383:$AO$386)*(T$324:T$327))</f>
        <v>0</v>
      </c>
    </row>
    <row r="492" spans="4:20" outlineLevel="2">
      <c r="E492" s="247" t="str">
        <f>GC!C66</f>
        <v>IT capex</v>
      </c>
      <c r="F492" s="247"/>
      <c r="G492" s="247"/>
      <c r="H492" s="247"/>
      <c r="I492" s="247"/>
      <c r="J492" s="81">
        <f ca="1">SUMPRODUCT((Work_Codes!$AC$375:$AO$375=$E492)*(Work_Codes!$AC$383:$AO$386)*(J$324:J$327))</f>
        <v>0</v>
      </c>
      <c r="K492" s="81">
        <f ca="1">SUMPRODUCT((Work_Codes!$AC$375:$AO$375=$E492)*(Work_Codes!$AC$383:$AO$386)*(K$324:K$327))</f>
        <v>0</v>
      </c>
      <c r="L492" s="81">
        <f ca="1">SUMPRODUCT((Work_Codes!$AC$375:$AO$375=$E492)*(Work_Codes!$AC$383:$AO$386)*(L$324:L$327))</f>
        <v>0</v>
      </c>
      <c r="M492" s="81">
        <f ca="1">SUMPRODUCT((Work_Codes!$AC$375:$AO$375=$E492)*(Work_Codes!$AC$383:$AO$386)*(M$324:M$327))</f>
        <v>0</v>
      </c>
      <c r="N492" s="81">
        <f ca="1">SUMPRODUCT((Work_Codes!$AC$375:$AO$375=$E492)*(Work_Codes!$AC$383:$AO$386)*(N$324:N$327))</f>
        <v>0</v>
      </c>
      <c r="O492" s="81">
        <f ca="1">SUMPRODUCT((Work_Codes!$AC$375:$AO$375=$E492)*(Work_Codes!$AC$383:$AO$386)*(O$324:O$327))</f>
        <v>0</v>
      </c>
      <c r="P492" s="81">
        <f ca="1">SUMPRODUCT((Work_Codes!$AC$375:$AO$375=$E492)*(Work_Codes!$AC$383:$AO$386)*(P$324:P$327))</f>
        <v>0</v>
      </c>
      <c r="Q492" s="81">
        <f ca="1">SUMPRODUCT((Work_Codes!$AC$375:$AO$375=$E492)*(Work_Codes!$AC$383:$AO$386)*(Q$324:Q$327))</f>
        <v>0</v>
      </c>
      <c r="R492" s="81">
        <f ca="1">SUMPRODUCT((Work_Codes!$AC$375:$AO$375=$E492)*(Work_Codes!$AC$383:$AO$386)*(R$324:R$327))</f>
        <v>0</v>
      </c>
      <c r="S492" s="81">
        <f ca="1">SUMPRODUCT((Work_Codes!$AC$375:$AO$375=$E492)*(Work_Codes!$AC$383:$AO$386)*(S$324:S$327))</f>
        <v>0</v>
      </c>
      <c r="T492" s="81">
        <f ca="1">SUMPRODUCT((Work_Codes!$AC$375:$AO$375=$E492)*(Work_Codes!$AC$383:$AO$386)*(T$324:T$327))</f>
        <v>0</v>
      </c>
    </row>
    <row r="493" spans="4:20" outlineLevel="2">
      <c r="E493" s="247" t="str">
        <f>GC!C67</f>
        <v>SCADA</v>
      </c>
      <c r="F493" s="247"/>
      <c r="G493" s="247"/>
      <c r="H493" s="247"/>
      <c r="I493" s="247"/>
      <c r="J493" s="81">
        <f ca="1">SUMPRODUCT((Work_Codes!$AC$375:$AO$375=$E493)*(Work_Codes!$AC$383:$AO$386)*(J$324:J$327))</f>
        <v>0</v>
      </c>
      <c r="K493" s="81">
        <f ca="1">SUMPRODUCT((Work_Codes!$AC$375:$AO$375=$E493)*(Work_Codes!$AC$383:$AO$386)*(K$324:K$327))</f>
        <v>0</v>
      </c>
      <c r="L493" s="81">
        <f ca="1">SUMPRODUCT((Work_Codes!$AC$375:$AO$375=$E493)*(Work_Codes!$AC$383:$AO$386)*(L$324:L$327))</f>
        <v>0</v>
      </c>
      <c r="M493" s="81">
        <f ca="1">SUMPRODUCT((Work_Codes!$AC$375:$AO$375=$E493)*(Work_Codes!$AC$383:$AO$386)*(M$324:M$327))</f>
        <v>0</v>
      </c>
      <c r="N493" s="81">
        <f ca="1">SUMPRODUCT((Work_Codes!$AC$375:$AO$375=$E493)*(Work_Codes!$AC$383:$AO$386)*(N$324:N$327))</f>
        <v>0</v>
      </c>
      <c r="O493" s="81">
        <f ca="1">SUMPRODUCT((Work_Codes!$AC$375:$AO$375=$E493)*(Work_Codes!$AC$383:$AO$386)*(O$324:O$327))</f>
        <v>0</v>
      </c>
      <c r="P493" s="81">
        <f ca="1">SUMPRODUCT((Work_Codes!$AC$375:$AO$375=$E493)*(Work_Codes!$AC$383:$AO$386)*(P$324:P$327))</f>
        <v>0</v>
      </c>
      <c r="Q493" s="81">
        <f ca="1">SUMPRODUCT((Work_Codes!$AC$375:$AO$375=$E493)*(Work_Codes!$AC$383:$AO$386)*(Q$324:Q$327))</f>
        <v>0</v>
      </c>
      <c r="R493" s="81">
        <f ca="1">SUMPRODUCT((Work_Codes!$AC$375:$AO$375=$E493)*(Work_Codes!$AC$383:$AO$386)*(R$324:R$327))</f>
        <v>0</v>
      </c>
      <c r="S493" s="81">
        <f ca="1">SUMPRODUCT((Work_Codes!$AC$375:$AO$375=$E493)*(Work_Codes!$AC$383:$AO$386)*(S$324:S$327))</f>
        <v>0</v>
      </c>
      <c r="T493" s="81">
        <f ca="1">SUMPRODUCT((Work_Codes!$AC$375:$AO$375=$E493)*(Work_Codes!$AC$383:$AO$386)*(T$324:T$327))</f>
        <v>0</v>
      </c>
    </row>
    <row r="494" spans="4:20" outlineLevel="2">
      <c r="E494" s="247" t="str">
        <f>GC!C68</f>
        <v>Other</v>
      </c>
      <c r="F494" s="247"/>
      <c r="G494" s="247"/>
      <c r="H494" s="247"/>
      <c r="I494" s="247"/>
      <c r="J494" s="81">
        <f ca="1">SUMPRODUCT((Work_Codes!$AC$375:$AO$375=$E494)*(Work_Codes!$AC$383:$AO$386)*(J$324:J$327))</f>
        <v>0</v>
      </c>
      <c r="K494" s="81">
        <f ca="1">SUMPRODUCT((Work_Codes!$AC$375:$AO$375=$E494)*(Work_Codes!$AC$383:$AO$386)*(K$324:K$327))</f>
        <v>0</v>
      </c>
      <c r="L494" s="81">
        <f ca="1">SUMPRODUCT((Work_Codes!$AC$375:$AO$375=$E494)*(Work_Codes!$AC$383:$AO$386)*(L$324:L$327))</f>
        <v>0</v>
      </c>
      <c r="M494" s="81">
        <f ca="1">SUMPRODUCT((Work_Codes!$AC$375:$AO$375=$E494)*(Work_Codes!$AC$383:$AO$386)*(M$324:M$327))</f>
        <v>0</v>
      </c>
      <c r="N494" s="81">
        <f ca="1">SUMPRODUCT((Work_Codes!$AC$375:$AO$375=$E494)*(Work_Codes!$AC$383:$AO$386)*(N$324:N$327))</f>
        <v>0</v>
      </c>
      <c r="O494" s="81">
        <f ca="1">SUMPRODUCT((Work_Codes!$AC$375:$AO$375=$E494)*(Work_Codes!$AC$383:$AO$386)*(O$324:O$327))</f>
        <v>0</v>
      </c>
      <c r="P494" s="81">
        <f ca="1">SUMPRODUCT((Work_Codes!$AC$375:$AO$375=$E494)*(Work_Codes!$AC$383:$AO$386)*(P$324:P$327))</f>
        <v>0</v>
      </c>
      <c r="Q494" s="81">
        <f ca="1">SUMPRODUCT((Work_Codes!$AC$375:$AO$375=$E494)*(Work_Codes!$AC$383:$AO$386)*(Q$324:Q$327))</f>
        <v>0</v>
      </c>
      <c r="R494" s="81">
        <f ca="1">SUMPRODUCT((Work_Codes!$AC$375:$AO$375=$E494)*(Work_Codes!$AC$383:$AO$386)*(R$324:R$327))</f>
        <v>0</v>
      </c>
      <c r="S494" s="81">
        <f ca="1">SUMPRODUCT((Work_Codes!$AC$375:$AO$375=$E494)*(Work_Codes!$AC$383:$AO$386)*(S$324:S$327))</f>
        <v>0</v>
      </c>
      <c r="T494" s="81">
        <f ca="1">SUMPRODUCT((Work_Codes!$AC$375:$AO$375=$E494)*(Work_Codes!$AC$383:$AO$386)*(T$324:T$327))</f>
        <v>0</v>
      </c>
    </row>
    <row r="495" spans="4:20" outlineLevel="2">
      <c r="E495" s="247" t="str">
        <f>GC!C69</f>
        <v>Capitalised Leases</v>
      </c>
      <c r="F495" s="247"/>
      <c r="G495" s="247"/>
      <c r="H495" s="247"/>
      <c r="I495" s="247"/>
      <c r="J495" s="81">
        <f ca="1">SUMPRODUCT((Work_Codes!$AC$375:$AO$375=$E495)*(Work_Codes!$AC$383:$AO$386)*(J$324:J$327))</f>
        <v>0</v>
      </c>
      <c r="K495" s="81">
        <f ca="1">SUMPRODUCT((Work_Codes!$AC$375:$AO$375=$E495)*(Work_Codes!$AC$383:$AO$386)*(K$324:K$327))</f>
        <v>0</v>
      </c>
      <c r="L495" s="81">
        <f ca="1">SUMPRODUCT((Work_Codes!$AC$375:$AO$375=$E495)*(Work_Codes!$AC$383:$AO$386)*(L$324:L$327))</f>
        <v>0</v>
      </c>
      <c r="M495" s="81">
        <f ca="1">SUMPRODUCT((Work_Codes!$AC$375:$AO$375=$E495)*(Work_Codes!$AC$383:$AO$386)*(M$324:M$327))</f>
        <v>0</v>
      </c>
      <c r="N495" s="81">
        <f ca="1">SUMPRODUCT((Work_Codes!$AC$375:$AO$375=$E495)*(Work_Codes!$AC$383:$AO$386)*(N$324:N$327))</f>
        <v>0</v>
      </c>
      <c r="O495" s="81">
        <f ca="1">SUMPRODUCT((Work_Codes!$AC$375:$AO$375=$E495)*(Work_Codes!$AC$383:$AO$386)*(O$324:O$327))</f>
        <v>0</v>
      </c>
      <c r="P495" s="81">
        <f ca="1">SUMPRODUCT((Work_Codes!$AC$375:$AO$375=$E495)*(Work_Codes!$AC$383:$AO$386)*(P$324:P$327))</f>
        <v>0</v>
      </c>
      <c r="Q495" s="81">
        <f ca="1">SUMPRODUCT((Work_Codes!$AC$375:$AO$375=$E495)*(Work_Codes!$AC$383:$AO$386)*(Q$324:Q$327))</f>
        <v>0</v>
      </c>
      <c r="R495" s="81">
        <f ca="1">SUMPRODUCT((Work_Codes!$AC$375:$AO$375=$E495)*(Work_Codes!$AC$383:$AO$386)*(R$324:R$327))</f>
        <v>0</v>
      </c>
      <c r="S495" s="81">
        <f ca="1">SUMPRODUCT((Work_Codes!$AC$375:$AO$375=$E495)*(Work_Codes!$AC$383:$AO$386)*(S$324:S$327))</f>
        <v>0</v>
      </c>
      <c r="T495" s="81">
        <f ca="1">SUMPRODUCT((Work_Codes!$AC$375:$AO$375=$E495)*(Work_Codes!$AC$383:$AO$386)*(T$324:T$327))</f>
        <v>0</v>
      </c>
    </row>
    <row r="496" spans="4:20" outlineLevel="2">
      <c r="E496" s="247" t="str">
        <f>GC!C70</f>
        <v>Gas Extensions - Energy for the Regions</v>
      </c>
      <c r="F496" s="247"/>
      <c r="G496" s="247"/>
      <c r="H496" s="247"/>
      <c r="I496" s="247"/>
      <c r="J496" s="81">
        <f ca="1">SUMPRODUCT((Work_Codes!$AC$375:$AO$375=$E496)*(Work_Codes!$AC$383:$AO$386)*(J$324:J$327))</f>
        <v>0</v>
      </c>
      <c r="K496" s="81">
        <f ca="1">SUMPRODUCT((Work_Codes!$AC$375:$AO$375=$E496)*(Work_Codes!$AC$383:$AO$386)*(K$324:K$327))</f>
        <v>0</v>
      </c>
      <c r="L496" s="81">
        <f ca="1">SUMPRODUCT((Work_Codes!$AC$375:$AO$375=$E496)*(Work_Codes!$AC$383:$AO$386)*(L$324:L$327))</f>
        <v>0</v>
      </c>
      <c r="M496" s="81">
        <f ca="1">SUMPRODUCT((Work_Codes!$AC$375:$AO$375=$E496)*(Work_Codes!$AC$383:$AO$386)*(M$324:M$327))</f>
        <v>0</v>
      </c>
      <c r="N496" s="81">
        <f ca="1">SUMPRODUCT((Work_Codes!$AC$375:$AO$375=$E496)*(Work_Codes!$AC$383:$AO$386)*(N$324:N$327))</f>
        <v>0</v>
      </c>
      <c r="O496" s="81">
        <f ca="1">SUMPRODUCT((Work_Codes!$AC$375:$AO$375=$E496)*(Work_Codes!$AC$383:$AO$386)*(O$324:O$327))</f>
        <v>0</v>
      </c>
      <c r="P496" s="81">
        <f ca="1">SUMPRODUCT((Work_Codes!$AC$375:$AO$375=$E496)*(Work_Codes!$AC$383:$AO$386)*(P$324:P$327))</f>
        <v>0</v>
      </c>
      <c r="Q496" s="81">
        <f ca="1">SUMPRODUCT((Work_Codes!$AC$375:$AO$375=$E496)*(Work_Codes!$AC$383:$AO$386)*(Q$324:Q$327))</f>
        <v>0</v>
      </c>
      <c r="R496" s="81">
        <f ca="1">SUMPRODUCT((Work_Codes!$AC$375:$AO$375=$E496)*(Work_Codes!$AC$383:$AO$386)*(R$324:R$327))</f>
        <v>0</v>
      </c>
      <c r="S496" s="81">
        <f ca="1">SUMPRODUCT((Work_Codes!$AC$375:$AO$375=$E496)*(Work_Codes!$AC$383:$AO$386)*(S$324:S$327))</f>
        <v>0</v>
      </c>
      <c r="T496" s="81">
        <f ca="1">SUMPRODUCT((Work_Codes!$AC$375:$AO$375=$E496)*(Work_Codes!$AC$383:$AO$386)*(T$324:T$327))</f>
        <v>0</v>
      </c>
    </row>
    <row r="497" spans="2:20" outlineLevel="2">
      <c r="E497" s="247" t="str">
        <f>GC!C71</f>
        <v>Gas Extensions - Other</v>
      </c>
      <c r="F497" s="247"/>
      <c r="G497" s="247"/>
      <c r="H497" s="247"/>
      <c r="I497" s="247"/>
      <c r="J497" s="81">
        <f ca="1">SUMPRODUCT((Work_Codes!$AC$375:$AO$375=$E497)*(Work_Codes!$AC$383:$AO$386)*(J$324:J$327))</f>
        <v>0</v>
      </c>
      <c r="K497" s="81">
        <f ca="1">SUMPRODUCT((Work_Codes!$AC$375:$AO$375=$E497)*(Work_Codes!$AC$383:$AO$386)*(K$324:K$327))</f>
        <v>0</v>
      </c>
      <c r="L497" s="81">
        <f ca="1">SUMPRODUCT((Work_Codes!$AC$375:$AO$375=$E497)*(Work_Codes!$AC$383:$AO$386)*(L$324:L$327))</f>
        <v>0</v>
      </c>
      <c r="M497" s="81">
        <f ca="1">SUMPRODUCT((Work_Codes!$AC$375:$AO$375=$E497)*(Work_Codes!$AC$383:$AO$386)*(M$324:M$327))</f>
        <v>0</v>
      </c>
      <c r="N497" s="81">
        <f ca="1">SUMPRODUCT((Work_Codes!$AC$375:$AO$375=$E497)*(Work_Codes!$AC$383:$AO$386)*(N$324:N$327))</f>
        <v>0</v>
      </c>
      <c r="O497" s="81">
        <f ca="1">SUMPRODUCT((Work_Codes!$AC$375:$AO$375=$E497)*(Work_Codes!$AC$383:$AO$386)*(O$324:O$327))</f>
        <v>0</v>
      </c>
      <c r="P497" s="81">
        <f ca="1">SUMPRODUCT((Work_Codes!$AC$375:$AO$375=$E497)*(Work_Codes!$AC$383:$AO$386)*(P$324:P$327))</f>
        <v>0</v>
      </c>
      <c r="Q497" s="81">
        <f ca="1">SUMPRODUCT((Work_Codes!$AC$375:$AO$375=$E497)*(Work_Codes!$AC$383:$AO$386)*(Q$324:Q$327))</f>
        <v>0</v>
      </c>
      <c r="R497" s="81">
        <f ca="1">SUMPRODUCT((Work_Codes!$AC$375:$AO$375=$E497)*(Work_Codes!$AC$383:$AO$386)*(R$324:R$327))</f>
        <v>0</v>
      </c>
      <c r="S497" s="81">
        <f ca="1">SUMPRODUCT((Work_Codes!$AC$375:$AO$375=$E497)*(Work_Codes!$AC$383:$AO$386)*(S$324:S$327))</f>
        <v>0</v>
      </c>
      <c r="T497" s="81">
        <f ca="1">SUMPRODUCT((Work_Codes!$AC$375:$AO$375=$E497)*(Work_Codes!$AC$383:$AO$386)*(T$324:T$327))</f>
        <v>0</v>
      </c>
    </row>
    <row r="498" spans="2:20" outlineLevel="2">
      <c r="E498" s="247" t="str">
        <f>GC!C72</f>
        <v>Customer contributions</v>
      </c>
      <c r="F498" s="247"/>
      <c r="G498" s="247"/>
      <c r="H498" s="247"/>
      <c r="I498" s="247"/>
      <c r="J498" s="81">
        <f ca="1">SUMPRODUCT((Work_Codes!$AC$375:$AO$375=$E498)*(Work_Codes!$AC$383:$AO$386)*(J$324:J$327))</f>
        <v>0</v>
      </c>
      <c r="K498" s="81">
        <f ca="1">SUMPRODUCT((Work_Codes!$AC$375:$AO$375=$E498)*(Work_Codes!$AC$383:$AO$386)*(K$324:K$327))</f>
        <v>0</v>
      </c>
      <c r="L498" s="81">
        <f ca="1">SUMPRODUCT((Work_Codes!$AC$375:$AO$375=$E498)*(Work_Codes!$AC$383:$AO$386)*(L$324:L$327))</f>
        <v>0</v>
      </c>
      <c r="M498" s="81">
        <f ca="1">SUMPRODUCT((Work_Codes!$AC$375:$AO$375=$E498)*(Work_Codes!$AC$383:$AO$386)*(M$324:M$327))</f>
        <v>0</v>
      </c>
      <c r="N498" s="81">
        <f ca="1">SUMPRODUCT((Work_Codes!$AC$375:$AO$375=$E498)*(Work_Codes!$AC$383:$AO$386)*(N$324:N$327))</f>
        <v>0</v>
      </c>
      <c r="O498" s="81">
        <f ca="1">SUMPRODUCT((Work_Codes!$AC$375:$AO$375=$E498)*(Work_Codes!$AC$383:$AO$386)*(O$324:O$327))</f>
        <v>0</v>
      </c>
      <c r="P498" s="81">
        <f ca="1">SUMPRODUCT((Work_Codes!$AC$375:$AO$375=$E498)*(Work_Codes!$AC$383:$AO$386)*(P$324:P$327))</f>
        <v>0</v>
      </c>
      <c r="Q498" s="81">
        <f ca="1">SUMPRODUCT((Work_Codes!$AC$375:$AO$375=$E498)*(Work_Codes!$AC$383:$AO$386)*(Q$324:Q$327))</f>
        <v>0</v>
      </c>
      <c r="R498" s="81">
        <f ca="1">SUMPRODUCT((Work_Codes!$AC$375:$AO$375=$E498)*(Work_Codes!$AC$383:$AO$386)*(R$324:R$327))</f>
        <v>0</v>
      </c>
      <c r="S498" s="81">
        <f ca="1">SUMPRODUCT((Work_Codes!$AC$375:$AO$375=$E498)*(Work_Codes!$AC$383:$AO$386)*(S$324:S$327))</f>
        <v>0</v>
      </c>
      <c r="T498" s="81">
        <f ca="1">SUMPRODUCT((Work_Codes!$AC$375:$AO$375=$E498)*(Work_Codes!$AC$383:$AO$386)*(T$324:T$327))</f>
        <v>0</v>
      </c>
    </row>
    <row r="499" spans="2:20" outlineLevel="2">
      <c r="E499" s="247" t="str">
        <f>GC!C73</f>
        <v>Government contributions</v>
      </c>
      <c r="F499" s="247"/>
      <c r="G499" s="247"/>
      <c r="H499" s="247"/>
      <c r="I499" s="247"/>
      <c r="J499" s="81">
        <f ca="1">SUMPRODUCT((Work_Codes!$AC$375:$AO$375=$E499)*(Work_Codes!$AC$383:$AO$386)*(J$324:J$327))</f>
        <v>0</v>
      </c>
      <c r="K499" s="81">
        <f ca="1">SUMPRODUCT((Work_Codes!$AC$375:$AO$375=$E499)*(Work_Codes!$AC$383:$AO$386)*(K$324:K$327))</f>
        <v>0</v>
      </c>
      <c r="L499" s="81">
        <f ca="1">SUMPRODUCT((Work_Codes!$AC$375:$AO$375=$E499)*(Work_Codes!$AC$383:$AO$386)*(L$324:L$327))</f>
        <v>0</v>
      </c>
      <c r="M499" s="81">
        <f ca="1">SUMPRODUCT((Work_Codes!$AC$375:$AO$375=$E499)*(Work_Codes!$AC$383:$AO$386)*(M$324:M$327))</f>
        <v>0</v>
      </c>
      <c r="N499" s="81">
        <f ca="1">SUMPRODUCT((Work_Codes!$AC$375:$AO$375=$E499)*(Work_Codes!$AC$383:$AO$386)*(N$324:N$327))</f>
        <v>0</v>
      </c>
      <c r="O499" s="81">
        <f ca="1">SUMPRODUCT((Work_Codes!$AC$375:$AO$375=$E499)*(Work_Codes!$AC$383:$AO$386)*(O$324:O$327))</f>
        <v>0</v>
      </c>
      <c r="P499" s="81">
        <f ca="1">SUMPRODUCT((Work_Codes!$AC$375:$AO$375=$E499)*(Work_Codes!$AC$383:$AO$386)*(P$324:P$327))</f>
        <v>0</v>
      </c>
      <c r="Q499" s="81">
        <f ca="1">SUMPRODUCT((Work_Codes!$AC$375:$AO$375=$E499)*(Work_Codes!$AC$383:$AO$386)*(Q$324:Q$327))</f>
        <v>0</v>
      </c>
      <c r="R499" s="81">
        <f ca="1">SUMPRODUCT((Work_Codes!$AC$375:$AO$375=$E499)*(Work_Codes!$AC$383:$AO$386)*(R$324:R$327))</f>
        <v>0</v>
      </c>
      <c r="S499" s="81">
        <f ca="1">SUMPRODUCT((Work_Codes!$AC$375:$AO$375=$E499)*(Work_Codes!$AC$383:$AO$386)*(S$324:S$327))</f>
        <v>0</v>
      </c>
      <c r="T499" s="81">
        <f ca="1">SUMPRODUCT((Work_Codes!$AC$375:$AO$375=$E499)*(Work_Codes!$AC$383:$AO$386)*(T$324:T$327))</f>
        <v>0</v>
      </c>
    </row>
    <row r="500" spans="2:20" outlineLevel="2">
      <c r="E500" s="249" t="str">
        <f t="shared" ref="E500" si="46">"Total "&amp;D484</f>
        <v>Total Customer Contributions</v>
      </c>
      <c r="F500" s="249"/>
      <c r="G500" s="249"/>
      <c r="H500" s="249"/>
      <c r="I500" s="249"/>
      <c r="J500" s="82">
        <f t="shared" ref="J500:T500" ca="1" si="47">SUM(J486:J499)</f>
        <v>0</v>
      </c>
      <c r="K500" s="82">
        <f t="shared" ca="1" si="47"/>
        <v>0</v>
      </c>
      <c r="L500" s="82">
        <f t="shared" ca="1" si="47"/>
        <v>0</v>
      </c>
      <c r="M500" s="82">
        <f t="shared" ca="1" si="47"/>
        <v>0</v>
      </c>
      <c r="N500" s="82">
        <f t="shared" ca="1" si="47"/>
        <v>-1943170.9539599998</v>
      </c>
      <c r="O500" s="82">
        <f t="shared" ca="1" si="47"/>
        <v>-804894.90500000003</v>
      </c>
      <c r="P500" s="82">
        <f t="shared" ca="1" si="47"/>
        <v>-1609789.81</v>
      </c>
      <c r="Q500" s="82">
        <f t="shared" ca="1" si="47"/>
        <v>-1632292.67</v>
      </c>
      <c r="R500" s="82">
        <f t="shared" ca="1" si="47"/>
        <v>-1654356.06</v>
      </c>
      <c r="S500" s="82">
        <f t="shared" ca="1" si="47"/>
        <v>-1638961.06</v>
      </c>
      <c r="T500" s="82">
        <f t="shared" ca="1" si="47"/>
        <v>-1622858</v>
      </c>
    </row>
    <row r="501" spans="2:20" outlineLevel="2">
      <c r="B501" s="12"/>
      <c r="C501" s="12"/>
      <c r="D501" s="12"/>
      <c r="E501" s="12"/>
      <c r="F501" s="12"/>
      <c r="G501" s="12"/>
      <c r="H501" s="12"/>
      <c r="I501" s="12"/>
      <c r="J501" s="12"/>
      <c r="K501" s="12"/>
      <c r="L501" s="12"/>
      <c r="M501" s="12"/>
      <c r="N501" s="12"/>
      <c r="O501" s="12"/>
      <c r="P501" s="12"/>
      <c r="Q501" s="12"/>
      <c r="R501" s="12"/>
      <c r="S501" s="12"/>
      <c r="T501" s="12"/>
    </row>
    <row r="502" spans="2:20" outlineLevel="2"/>
    <row r="503" spans="2:20" outlineLevel="2">
      <c r="C503" s="37" t="s">
        <v>311</v>
      </c>
    </row>
    <row r="504" spans="2:20" ht="5.9" customHeight="1" outlineLevel="2"/>
    <row r="505" spans="2:20" outlineLevel="2">
      <c r="D505" s="37" t="s">
        <v>215</v>
      </c>
    </row>
    <row r="506" spans="2:20" ht="5.9" customHeight="1" outlineLevel="2"/>
    <row r="507" spans="2:20" outlineLevel="2">
      <c r="E507" s="247" t="str">
        <f>GC!C78</f>
        <v>Mains &amp; Services</v>
      </c>
      <c r="F507" s="247"/>
      <c r="G507" s="247"/>
      <c r="H507" s="247"/>
      <c r="I507" s="247"/>
      <c r="J507" s="81">
        <f ca="1">SUMPRODUCT((Work_Codes!$AR$375:$AX$375=$E507)*(Work_Codes!$AR$378:$AX$379)*(J$357:J$358))</f>
        <v>0</v>
      </c>
      <c r="K507" s="81">
        <f ca="1">SUMPRODUCT((Work_Codes!$AR$375:$AX$375=$E507)*(Work_Codes!$AR$378:$AX$379)*(K$357:K$358))</f>
        <v>0</v>
      </c>
      <c r="L507" s="81">
        <f ca="1">SUMPRODUCT((Work_Codes!$AR$375:$AX$375=$E507)*(Work_Codes!$AR$378:$AX$379)*(L$357:L$358))</f>
        <v>0</v>
      </c>
      <c r="M507" s="81">
        <f ca="1">SUMPRODUCT((Work_Codes!$AR$375:$AX$375=$E507)*(Work_Codes!$AR$378:$AX$379)*(M$357:M$358))</f>
        <v>0</v>
      </c>
      <c r="N507" s="81">
        <f ca="1">SUMPRODUCT((Work_Codes!$AR$375:$AX$375=$E507)*(Work_Codes!$AR$378:$AX$379)*(N$357:N$358))</f>
        <v>2024838.3515889121</v>
      </c>
      <c r="O507" s="81">
        <f ca="1">SUMPRODUCT((Work_Codes!$AR$375:$AX$375=$E507)*(Work_Codes!$AR$378:$AX$379)*(O$357:O$358))</f>
        <v>2683747.6234979471</v>
      </c>
      <c r="P507" s="81">
        <f ca="1">SUMPRODUCT((Work_Codes!$AR$375:$AX$375=$E507)*(Work_Codes!$AR$378:$AX$379)*(P$357:P$358))</f>
        <v>3607723.7268115943</v>
      </c>
      <c r="Q507" s="81">
        <f ca="1">SUMPRODUCT((Work_Codes!$AR$375:$AX$375=$E507)*(Work_Codes!$AR$378:$AX$379)*(Q$357:Q$358))</f>
        <v>3674973.6106369337</v>
      </c>
      <c r="R507" s="81">
        <f ca="1">SUMPRODUCT((Work_Codes!$AR$375:$AX$375=$E507)*(Work_Codes!$AR$378:$AX$379)*(R$357:R$358))</f>
        <v>3741344.2722555371</v>
      </c>
      <c r="S507" s="81">
        <f ca="1">SUMPRODUCT((Work_Codes!$AR$375:$AX$375=$E507)*(Work_Codes!$AR$378:$AX$379)*(S$357:S$358))</f>
        <v>3693534.7679954963</v>
      </c>
      <c r="T507" s="81">
        <f ca="1">SUMPRODUCT((Work_Codes!$AR$375:$AX$375=$E507)*(Work_Codes!$AR$378:$AX$379)*(T$357:T$358))</f>
        <v>3643619.3929777653</v>
      </c>
    </row>
    <row r="508" spans="2:20" outlineLevel="2">
      <c r="E508" s="247" t="str">
        <f>GC!C79</f>
        <v>Meters Domestic</v>
      </c>
      <c r="F508" s="247"/>
      <c r="G508" s="247"/>
      <c r="H508" s="247"/>
      <c r="I508" s="247"/>
      <c r="J508" s="81">
        <f ca="1">SUMPRODUCT((Work_Codes!$AR$375:$AX$375=$E508)*(Work_Codes!$AR$378:$AX$379)*(J$357:J$358))</f>
        <v>0</v>
      </c>
      <c r="K508" s="81">
        <f ca="1">SUMPRODUCT((Work_Codes!$AR$375:$AX$375=$E508)*(Work_Codes!$AR$378:$AX$379)*(K$357:K$358))</f>
        <v>0</v>
      </c>
      <c r="L508" s="81">
        <f ca="1">SUMPRODUCT((Work_Codes!$AR$375:$AX$375=$E508)*(Work_Codes!$AR$378:$AX$379)*(L$357:L$358))</f>
        <v>0</v>
      </c>
      <c r="M508" s="81">
        <f ca="1">SUMPRODUCT((Work_Codes!$AR$375:$AX$375=$E508)*(Work_Codes!$AR$378:$AX$379)*(M$357:M$358))</f>
        <v>0</v>
      </c>
      <c r="N508" s="81">
        <f ca="1">SUMPRODUCT((Work_Codes!$AR$375:$AX$375=$E508)*(Work_Codes!$AR$378:$AX$379)*(N$357:N$358))</f>
        <v>0</v>
      </c>
      <c r="O508" s="81">
        <f ca="1">SUMPRODUCT((Work_Codes!$AR$375:$AX$375=$E508)*(Work_Codes!$AR$378:$AX$379)*(O$357:O$358))</f>
        <v>0</v>
      </c>
      <c r="P508" s="81">
        <f ca="1">SUMPRODUCT((Work_Codes!$AR$375:$AX$375=$E508)*(Work_Codes!$AR$378:$AX$379)*(P$357:P$358))</f>
        <v>0</v>
      </c>
      <c r="Q508" s="81">
        <f ca="1">SUMPRODUCT((Work_Codes!$AR$375:$AX$375=$E508)*(Work_Codes!$AR$378:$AX$379)*(Q$357:Q$358))</f>
        <v>0</v>
      </c>
      <c r="R508" s="81">
        <f ca="1">SUMPRODUCT((Work_Codes!$AR$375:$AX$375=$E508)*(Work_Codes!$AR$378:$AX$379)*(R$357:R$358))</f>
        <v>0</v>
      </c>
      <c r="S508" s="81">
        <f ca="1">SUMPRODUCT((Work_Codes!$AR$375:$AX$375=$E508)*(Work_Codes!$AR$378:$AX$379)*(S$357:S$358))</f>
        <v>0</v>
      </c>
      <c r="T508" s="81">
        <f ca="1">SUMPRODUCT((Work_Codes!$AR$375:$AX$375=$E508)*(Work_Codes!$AR$378:$AX$379)*(T$357:T$358))</f>
        <v>0</v>
      </c>
    </row>
    <row r="509" spans="2:20" outlineLevel="2">
      <c r="E509" s="247" t="str">
        <f>GC!C80</f>
        <v>Meters Industrial &amp; Commercial</v>
      </c>
      <c r="F509" s="247"/>
      <c r="G509" s="247"/>
      <c r="H509" s="247"/>
      <c r="I509" s="247"/>
      <c r="J509" s="81">
        <f ca="1">SUMPRODUCT((Work_Codes!$AR$375:$AX$375=$E509)*(Work_Codes!$AR$378:$AX$379)*(J$357:J$358))</f>
        <v>0</v>
      </c>
      <c r="K509" s="81">
        <f ca="1">SUMPRODUCT((Work_Codes!$AR$375:$AX$375=$E509)*(Work_Codes!$AR$378:$AX$379)*(K$357:K$358))</f>
        <v>0</v>
      </c>
      <c r="L509" s="81">
        <f ca="1">SUMPRODUCT((Work_Codes!$AR$375:$AX$375=$E509)*(Work_Codes!$AR$378:$AX$379)*(L$357:L$358))</f>
        <v>0</v>
      </c>
      <c r="M509" s="81">
        <f ca="1">SUMPRODUCT((Work_Codes!$AR$375:$AX$375=$E509)*(Work_Codes!$AR$378:$AX$379)*(M$357:M$358))</f>
        <v>0</v>
      </c>
      <c r="N509" s="81">
        <f ca="1">SUMPRODUCT((Work_Codes!$AR$375:$AX$375=$E509)*(Work_Codes!$AR$378:$AX$379)*(N$357:N$358))</f>
        <v>674946.11719630403</v>
      </c>
      <c r="O509" s="81">
        <f ca="1">SUMPRODUCT((Work_Codes!$AR$375:$AX$375=$E509)*(Work_Codes!$AR$378:$AX$379)*(O$357:O$358))</f>
        <v>894582.54116598237</v>
      </c>
      <c r="P509" s="81">
        <f ca="1">SUMPRODUCT((Work_Codes!$AR$375:$AX$375=$E509)*(Work_Codes!$AR$378:$AX$379)*(P$357:P$358))</f>
        <v>1202574.5756038649</v>
      </c>
      <c r="Q509" s="81">
        <f ca="1">SUMPRODUCT((Work_Codes!$AR$375:$AX$375=$E509)*(Work_Codes!$AR$378:$AX$379)*(Q$357:Q$358))</f>
        <v>1224991.2035456446</v>
      </c>
      <c r="R509" s="81">
        <f ca="1">SUMPRODUCT((Work_Codes!$AR$375:$AX$375=$E509)*(Work_Codes!$AR$378:$AX$379)*(R$357:R$358))</f>
        <v>1247114.7574185124</v>
      </c>
      <c r="S509" s="81">
        <f ca="1">SUMPRODUCT((Work_Codes!$AR$375:$AX$375=$E509)*(Work_Codes!$AR$378:$AX$379)*(S$357:S$358))</f>
        <v>1231178.2559984988</v>
      </c>
      <c r="T509" s="81">
        <f ca="1">SUMPRODUCT((Work_Codes!$AR$375:$AX$375=$E509)*(Work_Codes!$AR$378:$AX$379)*(T$357:T$358))</f>
        <v>1214539.7976592551</v>
      </c>
    </row>
    <row r="510" spans="2:20" outlineLevel="2">
      <c r="E510" s="247" t="str">
        <f>GC!C81</f>
        <v>Buildings</v>
      </c>
      <c r="F510" s="247"/>
      <c r="G510" s="247"/>
      <c r="H510" s="247"/>
      <c r="I510" s="247"/>
      <c r="J510" s="81">
        <f ca="1">SUMPRODUCT((Work_Codes!$AR$375:$AX$375=$E510)*(Work_Codes!$AR$378:$AX$379)*(J$357:J$358))</f>
        <v>0</v>
      </c>
      <c r="K510" s="81">
        <f ca="1">SUMPRODUCT((Work_Codes!$AR$375:$AX$375=$E510)*(Work_Codes!$AR$378:$AX$379)*(K$357:K$358))</f>
        <v>0</v>
      </c>
      <c r="L510" s="81">
        <f ca="1">SUMPRODUCT((Work_Codes!$AR$375:$AX$375=$E510)*(Work_Codes!$AR$378:$AX$379)*(L$357:L$358))</f>
        <v>0</v>
      </c>
      <c r="M510" s="81">
        <f ca="1">SUMPRODUCT((Work_Codes!$AR$375:$AX$375=$E510)*(Work_Codes!$AR$378:$AX$379)*(M$357:M$358))</f>
        <v>0</v>
      </c>
      <c r="N510" s="81">
        <f ca="1">SUMPRODUCT((Work_Codes!$AR$375:$AX$375=$E510)*(Work_Codes!$AR$378:$AX$379)*(N$357:N$358))</f>
        <v>0</v>
      </c>
      <c r="O510" s="81">
        <f ca="1">SUMPRODUCT((Work_Codes!$AR$375:$AX$375=$E510)*(Work_Codes!$AR$378:$AX$379)*(O$357:O$358))</f>
        <v>0</v>
      </c>
      <c r="P510" s="81">
        <f ca="1">SUMPRODUCT((Work_Codes!$AR$375:$AX$375=$E510)*(Work_Codes!$AR$378:$AX$379)*(P$357:P$358))</f>
        <v>0</v>
      </c>
      <c r="Q510" s="81">
        <f ca="1">SUMPRODUCT((Work_Codes!$AR$375:$AX$375=$E510)*(Work_Codes!$AR$378:$AX$379)*(Q$357:Q$358))</f>
        <v>0</v>
      </c>
      <c r="R510" s="81">
        <f ca="1">SUMPRODUCT((Work_Codes!$AR$375:$AX$375=$E510)*(Work_Codes!$AR$378:$AX$379)*(R$357:R$358))</f>
        <v>0</v>
      </c>
      <c r="S510" s="81">
        <f ca="1">SUMPRODUCT((Work_Codes!$AR$375:$AX$375=$E510)*(Work_Codes!$AR$378:$AX$379)*(S$357:S$358))</f>
        <v>0</v>
      </c>
      <c r="T510" s="81">
        <f ca="1">SUMPRODUCT((Work_Codes!$AR$375:$AX$375=$E510)*(Work_Codes!$AR$378:$AX$379)*(T$357:T$358))</f>
        <v>0</v>
      </c>
    </row>
    <row r="511" spans="2:20" outlineLevel="2">
      <c r="E511" s="247" t="str">
        <f>GC!C82</f>
        <v>Other Assets</v>
      </c>
      <c r="F511" s="247"/>
      <c r="G511" s="247"/>
      <c r="H511" s="247"/>
      <c r="I511" s="247"/>
      <c r="J511" s="81">
        <f ca="1">SUMPRODUCT((Work_Codes!$AR$375:$AX$375=$E511)*(Work_Codes!$AR$378:$AX$379)*(J$357:J$358))</f>
        <v>0</v>
      </c>
      <c r="K511" s="81">
        <f ca="1">SUMPRODUCT((Work_Codes!$AR$375:$AX$375=$E511)*(Work_Codes!$AR$378:$AX$379)*(K$357:K$358))</f>
        <v>0</v>
      </c>
      <c r="L511" s="81">
        <f ca="1">SUMPRODUCT((Work_Codes!$AR$375:$AX$375=$E511)*(Work_Codes!$AR$378:$AX$379)*(L$357:L$358))</f>
        <v>0</v>
      </c>
      <c r="M511" s="81">
        <f ca="1">SUMPRODUCT((Work_Codes!$AR$375:$AX$375=$E511)*(Work_Codes!$AR$378:$AX$379)*(M$357:M$358))</f>
        <v>0</v>
      </c>
      <c r="N511" s="81">
        <f ca="1">SUMPRODUCT((Work_Codes!$AR$375:$AX$375=$E511)*(Work_Codes!$AR$378:$AX$379)*(N$357:N$358))</f>
        <v>0</v>
      </c>
      <c r="O511" s="81">
        <f ca="1">SUMPRODUCT((Work_Codes!$AR$375:$AX$375=$E511)*(Work_Codes!$AR$378:$AX$379)*(O$357:O$358))</f>
        <v>0</v>
      </c>
      <c r="P511" s="81">
        <f ca="1">SUMPRODUCT((Work_Codes!$AR$375:$AX$375=$E511)*(Work_Codes!$AR$378:$AX$379)*(P$357:P$358))</f>
        <v>0</v>
      </c>
      <c r="Q511" s="81">
        <f ca="1">SUMPRODUCT((Work_Codes!$AR$375:$AX$375=$E511)*(Work_Codes!$AR$378:$AX$379)*(Q$357:Q$358))</f>
        <v>0</v>
      </c>
      <c r="R511" s="81">
        <f ca="1">SUMPRODUCT((Work_Codes!$AR$375:$AX$375=$E511)*(Work_Codes!$AR$378:$AX$379)*(R$357:R$358))</f>
        <v>0</v>
      </c>
      <c r="S511" s="81">
        <f ca="1">SUMPRODUCT((Work_Codes!$AR$375:$AX$375=$E511)*(Work_Codes!$AR$378:$AX$379)*(S$357:S$358))</f>
        <v>0</v>
      </c>
      <c r="T511" s="81">
        <f ca="1">SUMPRODUCT((Work_Codes!$AR$375:$AX$375=$E511)*(Work_Codes!$AR$378:$AX$379)*(T$357:T$358))</f>
        <v>0</v>
      </c>
    </row>
    <row r="512" spans="2:20" outlineLevel="2">
      <c r="E512" s="247" t="str">
        <f>GC!C83</f>
        <v>Repairs</v>
      </c>
      <c r="F512" s="247"/>
      <c r="G512" s="247"/>
      <c r="H512" s="247"/>
      <c r="I512" s="247"/>
      <c r="J512" s="81">
        <f ca="1">SUMPRODUCT((Work_Codes!$AR$375:$AX$375=$E512)*(Work_Codes!$AR$378:$AX$379)*(J$357:J$358))</f>
        <v>0</v>
      </c>
      <c r="K512" s="81">
        <f ca="1">SUMPRODUCT((Work_Codes!$AR$375:$AX$375=$E512)*(Work_Codes!$AR$378:$AX$379)*(K$357:K$358))</f>
        <v>0</v>
      </c>
      <c r="L512" s="81">
        <f ca="1">SUMPRODUCT((Work_Codes!$AR$375:$AX$375=$E512)*(Work_Codes!$AR$378:$AX$379)*(L$357:L$358))</f>
        <v>0</v>
      </c>
      <c r="M512" s="81">
        <f ca="1">SUMPRODUCT((Work_Codes!$AR$375:$AX$375=$E512)*(Work_Codes!$AR$378:$AX$379)*(M$357:M$358))</f>
        <v>0</v>
      </c>
      <c r="N512" s="81">
        <f ca="1">SUMPRODUCT((Work_Codes!$AR$375:$AX$375=$E512)*(Work_Codes!$AR$378:$AX$379)*(N$357:N$358))</f>
        <v>0</v>
      </c>
      <c r="O512" s="81">
        <f ca="1">SUMPRODUCT((Work_Codes!$AR$375:$AX$375=$E512)*(Work_Codes!$AR$378:$AX$379)*(O$357:O$358))</f>
        <v>0</v>
      </c>
      <c r="P512" s="81">
        <f ca="1">SUMPRODUCT((Work_Codes!$AR$375:$AX$375=$E512)*(Work_Codes!$AR$378:$AX$379)*(P$357:P$358))</f>
        <v>0</v>
      </c>
      <c r="Q512" s="81">
        <f ca="1">SUMPRODUCT((Work_Codes!$AR$375:$AX$375=$E512)*(Work_Codes!$AR$378:$AX$379)*(Q$357:Q$358))</f>
        <v>0</v>
      </c>
      <c r="R512" s="81">
        <f ca="1">SUMPRODUCT((Work_Codes!$AR$375:$AX$375=$E512)*(Work_Codes!$AR$378:$AX$379)*(R$357:R$358))</f>
        <v>0</v>
      </c>
      <c r="S512" s="81">
        <f ca="1">SUMPRODUCT((Work_Codes!$AR$375:$AX$375=$E512)*(Work_Codes!$AR$378:$AX$379)*(S$357:S$358))</f>
        <v>0</v>
      </c>
      <c r="T512" s="81">
        <f ca="1">SUMPRODUCT((Work_Codes!$AR$375:$AX$375=$E512)*(Work_Codes!$AR$378:$AX$379)*(T$357:T$358))</f>
        <v>0</v>
      </c>
    </row>
    <row r="513" spans="2:20" outlineLevel="2">
      <c r="E513" s="247" t="str">
        <f>GC!C84</f>
        <v>Land</v>
      </c>
      <c r="F513" s="247"/>
      <c r="G513" s="247"/>
      <c r="H513" s="247"/>
      <c r="I513" s="247"/>
      <c r="J513" s="81">
        <f ca="1">SUMPRODUCT((Work_Codes!$AR$375:$AX$375=$E513)*(Work_Codes!$AR$378:$AX$379)*(J$357:J$358))</f>
        <v>0</v>
      </c>
      <c r="K513" s="81">
        <f ca="1">SUMPRODUCT((Work_Codes!$AR$375:$AX$375=$E513)*(Work_Codes!$AR$378:$AX$379)*(K$357:K$358))</f>
        <v>0</v>
      </c>
      <c r="L513" s="81">
        <f ca="1">SUMPRODUCT((Work_Codes!$AR$375:$AX$375=$E513)*(Work_Codes!$AR$378:$AX$379)*(L$357:L$358))</f>
        <v>0</v>
      </c>
      <c r="M513" s="81">
        <f ca="1">SUMPRODUCT((Work_Codes!$AR$375:$AX$375=$E513)*(Work_Codes!$AR$378:$AX$379)*(M$357:M$358))</f>
        <v>0</v>
      </c>
      <c r="N513" s="81">
        <f ca="1">SUMPRODUCT((Work_Codes!$AR$375:$AX$375=$E513)*(Work_Codes!$AR$378:$AX$379)*(N$357:N$358))</f>
        <v>0</v>
      </c>
      <c r="O513" s="81">
        <f ca="1">SUMPRODUCT((Work_Codes!$AR$375:$AX$375=$E513)*(Work_Codes!$AR$378:$AX$379)*(O$357:O$358))</f>
        <v>0</v>
      </c>
      <c r="P513" s="81">
        <f ca="1">SUMPRODUCT((Work_Codes!$AR$375:$AX$375=$E513)*(Work_Codes!$AR$378:$AX$379)*(P$357:P$358))</f>
        <v>0</v>
      </c>
      <c r="Q513" s="81">
        <f ca="1">SUMPRODUCT((Work_Codes!$AR$375:$AX$375=$E513)*(Work_Codes!$AR$378:$AX$379)*(Q$357:Q$358))</f>
        <v>0</v>
      </c>
      <c r="R513" s="81">
        <f ca="1">SUMPRODUCT((Work_Codes!$AR$375:$AX$375=$E513)*(Work_Codes!$AR$378:$AX$379)*(R$357:R$358))</f>
        <v>0</v>
      </c>
      <c r="S513" s="81">
        <f ca="1">SUMPRODUCT((Work_Codes!$AR$375:$AX$375=$E513)*(Work_Codes!$AR$378:$AX$379)*(S$357:S$358))</f>
        <v>0</v>
      </c>
      <c r="T513" s="81">
        <f ca="1">SUMPRODUCT((Work_Codes!$AR$375:$AX$375=$E513)*(Work_Codes!$AR$378:$AX$379)*(T$357:T$358))</f>
        <v>0</v>
      </c>
    </row>
    <row r="514" spans="2:20" outlineLevel="2">
      <c r="E514" s="249" t="str">
        <f>"Total "&amp;D505</f>
        <v>Total Direct Costs</v>
      </c>
      <c r="F514" s="249"/>
      <c r="G514" s="249"/>
      <c r="H514" s="249"/>
      <c r="I514" s="249"/>
      <c r="J514" s="82">
        <f t="shared" ref="J514:T514" ca="1" si="48">SUM(J507:J513)</f>
        <v>0</v>
      </c>
      <c r="K514" s="82">
        <f t="shared" ca="1" si="48"/>
        <v>0</v>
      </c>
      <c r="L514" s="82">
        <f t="shared" ca="1" si="48"/>
        <v>0</v>
      </c>
      <c r="M514" s="82">
        <f t="shared" ca="1" si="48"/>
        <v>0</v>
      </c>
      <c r="N514" s="82">
        <f t="shared" ca="1" si="48"/>
        <v>2699784.4687852161</v>
      </c>
      <c r="O514" s="82">
        <f t="shared" ca="1" si="48"/>
        <v>3578330.1646639295</v>
      </c>
      <c r="P514" s="82">
        <f t="shared" ca="1" si="48"/>
        <v>4810298.3024154594</v>
      </c>
      <c r="Q514" s="82">
        <f t="shared" ca="1" si="48"/>
        <v>4899964.8141825786</v>
      </c>
      <c r="R514" s="82">
        <f t="shared" ca="1" si="48"/>
        <v>4988459.0296740495</v>
      </c>
      <c r="S514" s="82">
        <f t="shared" ca="1" si="48"/>
        <v>4924713.023993995</v>
      </c>
      <c r="T514" s="82">
        <f t="shared" ca="1" si="48"/>
        <v>4858159.1906370204</v>
      </c>
    </row>
    <row r="515" spans="2:20" outlineLevel="2"/>
    <row r="516" spans="2:20" outlineLevel="2">
      <c r="D516" s="37" t="s">
        <v>313</v>
      </c>
    </row>
    <row r="517" spans="2:20" ht="5.9" customHeight="1" outlineLevel="2"/>
    <row r="518" spans="2:20" outlineLevel="2">
      <c r="E518" s="247" t="str">
        <f>GC!C78</f>
        <v>Mains &amp; Services</v>
      </c>
      <c r="F518" s="247"/>
      <c r="G518" s="247"/>
      <c r="H518" s="247"/>
      <c r="I518" s="247"/>
      <c r="J518" s="81">
        <f ca="1">J507*(1+INDEX(J$294:J$296,MATCH(Work_Codes!$I$372,$D$294:$D$296,0)))</f>
        <v>0</v>
      </c>
      <c r="K518" s="81">
        <f ca="1">K507*(1+INDEX(K$294:K$296,MATCH(Work_Codes!$I$372,$D$294:$D$296,0)))</f>
        <v>0</v>
      </c>
      <c r="L518" s="81">
        <f ca="1">L507*(1+INDEX(L$294:L$296,MATCH(Work_Codes!$I$372,$D$294:$D$296,0)))</f>
        <v>0</v>
      </c>
      <c r="M518" s="81">
        <f ca="1">M507*(1+INDEX(M$294:M$296,MATCH(Work_Codes!$I$372,$D$294:$D$296,0)))</f>
        <v>0</v>
      </c>
      <c r="N518" s="81">
        <f ca="1">N507*(1+INDEX(N$294:N$296,MATCH(Work_Codes!$I$372,$D$294:$D$296,0)))</f>
        <v>2101197.0456149355</v>
      </c>
      <c r="O518" s="81">
        <f ca="1">O507*(1+INDEX(O$294:O$296,MATCH(Work_Codes!$I$372,$D$294:$D$296,0)))</f>
        <v>2773073.3963490957</v>
      </c>
      <c r="P518" s="81">
        <f ca="1">P507*(1+INDEX(P$294:P$296,MATCH(Work_Codes!$I$372,$D$294:$D$296,0)))</f>
        <v>3704239.9349012868</v>
      </c>
      <c r="Q518" s="81">
        <f ca="1">Q507*(1+INDEX(Q$294:Q$296,MATCH(Work_Codes!$I$372,$D$294:$D$296,0)))</f>
        <v>3770745.5814221851</v>
      </c>
      <c r="R518" s="81">
        <f ca="1">R507*(1+INDEX(R$294:R$296,MATCH(Work_Codes!$I$372,$D$294:$D$296,0)))</f>
        <v>3841885.4392854855</v>
      </c>
      <c r="S518" s="81">
        <f ca="1">S507*(1+INDEX(S$294:S$296,MATCH(Work_Codes!$I$372,$D$294:$D$296,0)))</f>
        <v>3798971.0723598693</v>
      </c>
      <c r="T518" s="81">
        <f ca="1">T507*(1+INDEX(T$294:T$296,MATCH(Work_Codes!$I$372,$D$294:$D$296,0)))</f>
        <v>3752637.8632459468</v>
      </c>
    </row>
    <row r="519" spans="2:20" outlineLevel="2">
      <c r="E519" s="247" t="str">
        <f>GC!C79</f>
        <v>Meters Domestic</v>
      </c>
      <c r="F519" s="247"/>
      <c r="G519" s="247"/>
      <c r="H519" s="247"/>
      <c r="I519" s="247"/>
      <c r="J519" s="81">
        <f ca="1">J508*(1+INDEX(J$294:J$296,MATCH(Work_Codes!$I$372,$D$294:$D$296,0)))</f>
        <v>0</v>
      </c>
      <c r="K519" s="81">
        <f ca="1">K508*(1+INDEX(K$294:K$296,MATCH(Work_Codes!$I$372,$D$294:$D$296,0)))</f>
        <v>0</v>
      </c>
      <c r="L519" s="81">
        <f ca="1">L508*(1+INDEX(L$294:L$296,MATCH(Work_Codes!$I$372,$D$294:$D$296,0)))</f>
        <v>0</v>
      </c>
      <c r="M519" s="81">
        <f ca="1">M508*(1+INDEX(M$294:M$296,MATCH(Work_Codes!$I$372,$D$294:$D$296,0)))</f>
        <v>0</v>
      </c>
      <c r="N519" s="81">
        <f ca="1">N508*(1+INDEX(N$294:N$296,MATCH(Work_Codes!$I$372,$D$294:$D$296,0)))</f>
        <v>0</v>
      </c>
      <c r="O519" s="81">
        <f ca="1">O508*(1+INDEX(O$294:O$296,MATCH(Work_Codes!$I$372,$D$294:$D$296,0)))</f>
        <v>0</v>
      </c>
      <c r="P519" s="81">
        <f ca="1">P508*(1+INDEX(P$294:P$296,MATCH(Work_Codes!$I$372,$D$294:$D$296,0)))</f>
        <v>0</v>
      </c>
      <c r="Q519" s="81">
        <f ca="1">Q508*(1+INDEX(Q$294:Q$296,MATCH(Work_Codes!$I$372,$D$294:$D$296,0)))</f>
        <v>0</v>
      </c>
      <c r="R519" s="81">
        <f ca="1">R508*(1+INDEX(R$294:R$296,MATCH(Work_Codes!$I$372,$D$294:$D$296,0)))</f>
        <v>0</v>
      </c>
      <c r="S519" s="81">
        <f ca="1">S508*(1+INDEX(S$294:S$296,MATCH(Work_Codes!$I$372,$D$294:$D$296,0)))</f>
        <v>0</v>
      </c>
      <c r="T519" s="81">
        <f ca="1">T508*(1+INDEX(T$294:T$296,MATCH(Work_Codes!$I$372,$D$294:$D$296,0)))</f>
        <v>0</v>
      </c>
    </row>
    <row r="520" spans="2:20" outlineLevel="2">
      <c r="E520" s="247" t="str">
        <f>GC!C80</f>
        <v>Meters Industrial &amp; Commercial</v>
      </c>
      <c r="F520" s="247"/>
      <c r="G520" s="247"/>
      <c r="H520" s="247"/>
      <c r="I520" s="247"/>
      <c r="J520" s="81">
        <f ca="1">J509*(1+INDEX(J$294:J$296,MATCH(Work_Codes!$I$372,$D$294:$D$296,0)))</f>
        <v>0</v>
      </c>
      <c r="K520" s="81">
        <f ca="1">K509*(1+INDEX(K$294:K$296,MATCH(Work_Codes!$I$372,$D$294:$D$296,0)))</f>
        <v>0</v>
      </c>
      <c r="L520" s="81">
        <f ca="1">L509*(1+INDEX(L$294:L$296,MATCH(Work_Codes!$I$372,$D$294:$D$296,0)))</f>
        <v>0</v>
      </c>
      <c r="M520" s="81">
        <f ca="1">M509*(1+INDEX(M$294:M$296,MATCH(Work_Codes!$I$372,$D$294:$D$296,0)))</f>
        <v>0</v>
      </c>
      <c r="N520" s="81">
        <f ca="1">N509*(1+INDEX(N$294:N$296,MATCH(Work_Codes!$I$372,$D$294:$D$296,0)))</f>
        <v>700399.01520497852</v>
      </c>
      <c r="O520" s="81">
        <f ca="1">O509*(1+INDEX(O$294:O$296,MATCH(Work_Codes!$I$372,$D$294:$D$296,0)))</f>
        <v>924357.79878303199</v>
      </c>
      <c r="P520" s="81">
        <f ca="1">P509*(1+INDEX(P$294:P$296,MATCH(Work_Codes!$I$372,$D$294:$D$296,0)))</f>
        <v>1234746.6449670957</v>
      </c>
      <c r="Q520" s="81">
        <f ca="1">Q509*(1+INDEX(Q$294:Q$296,MATCH(Work_Codes!$I$372,$D$294:$D$296,0)))</f>
        <v>1256915.1938073949</v>
      </c>
      <c r="R520" s="81">
        <f ca="1">R509*(1+INDEX(R$294:R$296,MATCH(Work_Codes!$I$372,$D$294:$D$296,0)))</f>
        <v>1280628.4797618284</v>
      </c>
      <c r="S520" s="81">
        <f ca="1">S509*(1+INDEX(S$294:S$296,MATCH(Work_Codes!$I$372,$D$294:$D$296,0)))</f>
        <v>1266323.6907866229</v>
      </c>
      <c r="T520" s="81">
        <f ca="1">T509*(1+INDEX(T$294:T$296,MATCH(Work_Codes!$I$372,$D$294:$D$296,0)))</f>
        <v>1250879.287748649</v>
      </c>
    </row>
    <row r="521" spans="2:20" outlineLevel="2">
      <c r="E521" s="247" t="str">
        <f>GC!C81</f>
        <v>Buildings</v>
      </c>
      <c r="F521" s="247"/>
      <c r="G521" s="247"/>
      <c r="H521" s="247"/>
      <c r="I521" s="247"/>
      <c r="J521" s="81">
        <f ca="1">J510*(1+INDEX(J$294:J$296,MATCH(Work_Codes!$I$372,$D$294:$D$296,0)))</f>
        <v>0</v>
      </c>
      <c r="K521" s="81">
        <f ca="1">K510*(1+INDEX(K$294:K$296,MATCH(Work_Codes!$I$372,$D$294:$D$296,0)))</f>
        <v>0</v>
      </c>
      <c r="L521" s="81">
        <f ca="1">L510*(1+INDEX(L$294:L$296,MATCH(Work_Codes!$I$372,$D$294:$D$296,0)))</f>
        <v>0</v>
      </c>
      <c r="M521" s="81">
        <f ca="1">M510*(1+INDEX(M$294:M$296,MATCH(Work_Codes!$I$372,$D$294:$D$296,0)))</f>
        <v>0</v>
      </c>
      <c r="N521" s="81">
        <f ca="1">N510*(1+INDEX(N$294:N$296,MATCH(Work_Codes!$I$372,$D$294:$D$296,0)))</f>
        <v>0</v>
      </c>
      <c r="O521" s="81">
        <f ca="1">O510*(1+INDEX(O$294:O$296,MATCH(Work_Codes!$I$372,$D$294:$D$296,0)))</f>
        <v>0</v>
      </c>
      <c r="P521" s="81">
        <f ca="1">P510*(1+INDEX(P$294:P$296,MATCH(Work_Codes!$I$372,$D$294:$D$296,0)))</f>
        <v>0</v>
      </c>
      <c r="Q521" s="81">
        <f ca="1">Q510*(1+INDEX(Q$294:Q$296,MATCH(Work_Codes!$I$372,$D$294:$D$296,0)))</f>
        <v>0</v>
      </c>
      <c r="R521" s="81">
        <f ca="1">R510*(1+INDEX(R$294:R$296,MATCH(Work_Codes!$I$372,$D$294:$D$296,0)))</f>
        <v>0</v>
      </c>
      <c r="S521" s="81">
        <f ca="1">S510*(1+INDEX(S$294:S$296,MATCH(Work_Codes!$I$372,$D$294:$D$296,0)))</f>
        <v>0</v>
      </c>
      <c r="T521" s="81">
        <f ca="1">T510*(1+INDEX(T$294:T$296,MATCH(Work_Codes!$I$372,$D$294:$D$296,0)))</f>
        <v>0</v>
      </c>
    </row>
    <row r="522" spans="2:20" outlineLevel="2">
      <c r="E522" s="247" t="str">
        <f>GC!C82</f>
        <v>Other Assets</v>
      </c>
      <c r="F522" s="247"/>
      <c r="G522" s="247"/>
      <c r="H522" s="247"/>
      <c r="I522" s="247"/>
      <c r="J522" s="81">
        <f ca="1">J511*(1+INDEX(J$294:J$296,MATCH(Work_Codes!$I$372,$D$294:$D$296,0)))</f>
        <v>0</v>
      </c>
      <c r="K522" s="81">
        <f ca="1">K511*(1+INDEX(K$294:K$296,MATCH(Work_Codes!$I$372,$D$294:$D$296,0)))</f>
        <v>0</v>
      </c>
      <c r="L522" s="81">
        <f ca="1">L511*(1+INDEX(L$294:L$296,MATCH(Work_Codes!$I$372,$D$294:$D$296,0)))</f>
        <v>0</v>
      </c>
      <c r="M522" s="81">
        <f ca="1">M511*(1+INDEX(M$294:M$296,MATCH(Work_Codes!$I$372,$D$294:$D$296,0)))</f>
        <v>0</v>
      </c>
      <c r="N522" s="81">
        <f ca="1">N511*(1+INDEX(N$294:N$296,MATCH(Work_Codes!$I$372,$D$294:$D$296,0)))</f>
        <v>0</v>
      </c>
      <c r="O522" s="81">
        <f ca="1">O511*(1+INDEX(O$294:O$296,MATCH(Work_Codes!$I$372,$D$294:$D$296,0)))</f>
        <v>0</v>
      </c>
      <c r="P522" s="81">
        <f ca="1">P511*(1+INDEX(P$294:P$296,MATCH(Work_Codes!$I$372,$D$294:$D$296,0)))</f>
        <v>0</v>
      </c>
      <c r="Q522" s="81">
        <f ca="1">Q511*(1+INDEX(Q$294:Q$296,MATCH(Work_Codes!$I$372,$D$294:$D$296,0)))</f>
        <v>0</v>
      </c>
      <c r="R522" s="81">
        <f ca="1">R511*(1+INDEX(R$294:R$296,MATCH(Work_Codes!$I$372,$D$294:$D$296,0)))</f>
        <v>0</v>
      </c>
      <c r="S522" s="81">
        <f ca="1">S511*(1+INDEX(S$294:S$296,MATCH(Work_Codes!$I$372,$D$294:$D$296,0)))</f>
        <v>0</v>
      </c>
      <c r="T522" s="81">
        <f ca="1">T511*(1+INDEX(T$294:T$296,MATCH(Work_Codes!$I$372,$D$294:$D$296,0)))</f>
        <v>0</v>
      </c>
    </row>
    <row r="523" spans="2:20" outlineLevel="2">
      <c r="E523" s="247" t="str">
        <f>GC!C83</f>
        <v>Repairs</v>
      </c>
      <c r="F523" s="247"/>
      <c r="G523" s="247"/>
      <c r="H523" s="247"/>
      <c r="I523" s="247"/>
      <c r="J523" s="81">
        <f ca="1">J512*(1+INDEX(J$294:J$296,MATCH(Work_Codes!$I$372,$D$294:$D$296,0)))</f>
        <v>0</v>
      </c>
      <c r="K523" s="81">
        <f ca="1">K512*(1+INDEX(K$294:K$296,MATCH(Work_Codes!$I$372,$D$294:$D$296,0)))</f>
        <v>0</v>
      </c>
      <c r="L523" s="81">
        <f ca="1">L512*(1+INDEX(L$294:L$296,MATCH(Work_Codes!$I$372,$D$294:$D$296,0)))</f>
        <v>0</v>
      </c>
      <c r="M523" s="81">
        <f ca="1">M512*(1+INDEX(M$294:M$296,MATCH(Work_Codes!$I$372,$D$294:$D$296,0)))</f>
        <v>0</v>
      </c>
      <c r="N523" s="81">
        <f ca="1">N512*(1+INDEX(N$294:N$296,MATCH(Work_Codes!$I$372,$D$294:$D$296,0)))</f>
        <v>0</v>
      </c>
      <c r="O523" s="81">
        <f ca="1">O512*(1+INDEX(O$294:O$296,MATCH(Work_Codes!$I$372,$D$294:$D$296,0)))</f>
        <v>0</v>
      </c>
      <c r="P523" s="81">
        <f ca="1">P512*(1+INDEX(P$294:P$296,MATCH(Work_Codes!$I$372,$D$294:$D$296,0)))</f>
        <v>0</v>
      </c>
      <c r="Q523" s="81">
        <f ca="1">Q512*(1+INDEX(Q$294:Q$296,MATCH(Work_Codes!$I$372,$D$294:$D$296,0)))</f>
        <v>0</v>
      </c>
      <c r="R523" s="81">
        <f ca="1">R512*(1+INDEX(R$294:R$296,MATCH(Work_Codes!$I$372,$D$294:$D$296,0)))</f>
        <v>0</v>
      </c>
      <c r="S523" s="81">
        <f ca="1">S512*(1+INDEX(S$294:S$296,MATCH(Work_Codes!$I$372,$D$294:$D$296,0)))</f>
        <v>0</v>
      </c>
      <c r="T523" s="81">
        <f ca="1">T512*(1+INDEX(T$294:T$296,MATCH(Work_Codes!$I$372,$D$294:$D$296,0)))</f>
        <v>0</v>
      </c>
    </row>
    <row r="524" spans="2:20" outlineLevel="2">
      <c r="E524" s="247" t="str">
        <f>GC!C84</f>
        <v>Land</v>
      </c>
      <c r="F524" s="247"/>
      <c r="G524" s="247"/>
      <c r="H524" s="247"/>
      <c r="I524" s="247"/>
      <c r="J524" s="81">
        <f ca="1">J513*(1+INDEX(J$294:J$296,MATCH(Work_Codes!$I$372,$D$294:$D$296,0)))</f>
        <v>0</v>
      </c>
      <c r="K524" s="81">
        <f ca="1">K513*(1+INDEX(K$294:K$296,MATCH(Work_Codes!$I$372,$D$294:$D$296,0)))</f>
        <v>0</v>
      </c>
      <c r="L524" s="81">
        <f ca="1">L513*(1+INDEX(L$294:L$296,MATCH(Work_Codes!$I$372,$D$294:$D$296,0)))</f>
        <v>0</v>
      </c>
      <c r="M524" s="81">
        <f ca="1">M513*(1+INDEX(M$294:M$296,MATCH(Work_Codes!$I$372,$D$294:$D$296,0)))</f>
        <v>0</v>
      </c>
      <c r="N524" s="81">
        <f ca="1">N513*(1+INDEX(N$294:N$296,MATCH(Work_Codes!$I$372,$D$294:$D$296,0)))</f>
        <v>0</v>
      </c>
      <c r="O524" s="81">
        <f ca="1">O513*(1+INDEX(O$294:O$296,MATCH(Work_Codes!$I$372,$D$294:$D$296,0)))</f>
        <v>0</v>
      </c>
      <c r="P524" s="81">
        <f ca="1">P513*(1+INDEX(P$294:P$296,MATCH(Work_Codes!$I$372,$D$294:$D$296,0)))</f>
        <v>0</v>
      </c>
      <c r="Q524" s="81">
        <f ca="1">Q513*(1+INDEX(Q$294:Q$296,MATCH(Work_Codes!$I$372,$D$294:$D$296,0)))</f>
        <v>0</v>
      </c>
      <c r="R524" s="81">
        <f ca="1">R513*(1+INDEX(R$294:R$296,MATCH(Work_Codes!$I$372,$D$294:$D$296,0)))</f>
        <v>0</v>
      </c>
      <c r="S524" s="81">
        <f ca="1">S513*(1+INDEX(S$294:S$296,MATCH(Work_Codes!$I$372,$D$294:$D$296,0)))</f>
        <v>0</v>
      </c>
      <c r="T524" s="81">
        <f ca="1">T513*(1+INDEX(T$294:T$296,MATCH(Work_Codes!$I$372,$D$294:$D$296,0)))</f>
        <v>0</v>
      </c>
    </row>
    <row r="525" spans="2:20" outlineLevel="2">
      <c r="E525" s="249" t="str">
        <f>"Total "&amp;D516</f>
        <v>Total Direct Costs +  Overheads</v>
      </c>
      <c r="F525" s="249"/>
      <c r="G525" s="249"/>
      <c r="H525" s="249"/>
      <c r="I525" s="249"/>
      <c r="J525" s="82">
        <f t="shared" ref="J525:T525" ca="1" si="49">SUM(J518:J524)</f>
        <v>0</v>
      </c>
      <c r="K525" s="82">
        <f t="shared" ca="1" si="49"/>
        <v>0</v>
      </c>
      <c r="L525" s="82">
        <f t="shared" ca="1" si="49"/>
        <v>0</v>
      </c>
      <c r="M525" s="82">
        <f t="shared" ca="1" si="49"/>
        <v>0</v>
      </c>
      <c r="N525" s="82">
        <f t="shared" ca="1" si="49"/>
        <v>2801596.0608199141</v>
      </c>
      <c r="O525" s="82">
        <f t="shared" ca="1" si="49"/>
        <v>3697431.195132128</v>
      </c>
      <c r="P525" s="82">
        <f t="shared" ca="1" si="49"/>
        <v>4938986.5798683828</v>
      </c>
      <c r="Q525" s="82">
        <f t="shared" ca="1" si="49"/>
        <v>5027660.7752295798</v>
      </c>
      <c r="R525" s="82">
        <f t="shared" ca="1" si="49"/>
        <v>5122513.9190473137</v>
      </c>
      <c r="S525" s="82">
        <f t="shared" ca="1" si="49"/>
        <v>5065294.7631464917</v>
      </c>
      <c r="T525" s="82">
        <f t="shared" ca="1" si="49"/>
        <v>5003517.1509945961</v>
      </c>
    </row>
    <row r="526" spans="2:20" outlineLevel="1">
      <c r="B526" s="12"/>
      <c r="C526" s="12"/>
      <c r="D526" s="12"/>
      <c r="E526" s="12"/>
      <c r="F526" s="12"/>
      <c r="G526" s="12"/>
      <c r="H526" s="12"/>
      <c r="I526" s="12"/>
      <c r="J526" s="12"/>
      <c r="K526" s="12"/>
      <c r="L526" s="12"/>
      <c r="M526" s="12"/>
      <c r="N526" s="12"/>
      <c r="O526" s="12"/>
      <c r="P526" s="12"/>
      <c r="Q526" s="12"/>
      <c r="R526" s="12"/>
      <c r="S526" s="12"/>
      <c r="T526" s="12"/>
    </row>
    <row r="527" spans="2:20" outlineLevel="1"/>
    <row r="528" spans="2:20" outlineLevel="1">
      <c r="C528" s="37" t="s">
        <v>19</v>
      </c>
    </row>
    <row r="529" spans="2:20" ht="5.9" customHeight="1" outlineLevel="1"/>
    <row r="530" spans="2:20" outlineLevel="1">
      <c r="F530" s="51" t="str">
        <f>$B$282&amp;" Work Code v RAB Category Direct Check"</f>
        <v>3020 - Inputs Work Code v RAB Category Direct Check</v>
      </c>
      <c r="I530" s="130">
        <f ca="1">IF(ISERROR(SUM(J530:T530)),1,MIN(SUM(J530:T530),1))</f>
        <v>0</v>
      </c>
      <c r="J530" s="81">
        <f t="shared" ref="J530:T530" ca="1" si="50">J360-J383</f>
        <v>0</v>
      </c>
      <c r="K530" s="81">
        <f t="shared" ca="1" si="50"/>
        <v>0</v>
      </c>
      <c r="L530" s="81">
        <f t="shared" ca="1" si="50"/>
        <v>0</v>
      </c>
      <c r="M530" s="81">
        <f t="shared" ca="1" si="50"/>
        <v>0</v>
      </c>
      <c r="N530" s="81">
        <f t="shared" ca="1" si="50"/>
        <v>0</v>
      </c>
      <c r="O530" s="81">
        <f t="shared" ca="1" si="50"/>
        <v>0</v>
      </c>
      <c r="P530" s="81">
        <f t="shared" ca="1" si="50"/>
        <v>0</v>
      </c>
      <c r="Q530" s="81">
        <f t="shared" ca="1" si="50"/>
        <v>0</v>
      </c>
      <c r="R530" s="81">
        <f t="shared" ca="1" si="50"/>
        <v>0</v>
      </c>
      <c r="S530" s="81">
        <f t="shared" ca="1" si="50"/>
        <v>0</v>
      </c>
      <c r="T530" s="81">
        <f t="shared" ca="1" si="50"/>
        <v>0</v>
      </c>
    </row>
    <row r="531" spans="2:20" outlineLevel="1">
      <c r="F531" s="51" t="str">
        <f>$B$282&amp;" Work Code v RIN Category Direct Check"</f>
        <v>3020 - Inputs Work Code v RIN Category Direct Check</v>
      </c>
      <c r="I531" s="130">
        <f ca="1">IF(ISERROR(SUM(J531:T531)),1,MIN(SUM(J531:T531),1))</f>
        <v>0</v>
      </c>
      <c r="J531" s="81">
        <f t="shared" ref="J531:T531" ca="1" si="51">J360-J464</f>
        <v>0</v>
      </c>
      <c r="K531" s="81">
        <f t="shared" ca="1" si="51"/>
        <v>0</v>
      </c>
      <c r="L531" s="81">
        <f t="shared" ca="1" si="51"/>
        <v>0</v>
      </c>
      <c r="M531" s="81">
        <f t="shared" ca="1" si="51"/>
        <v>0</v>
      </c>
      <c r="N531" s="81">
        <f t="shared" ca="1" si="51"/>
        <v>0</v>
      </c>
      <c r="O531" s="81">
        <f t="shared" ca="1" si="51"/>
        <v>0</v>
      </c>
      <c r="P531" s="81">
        <f t="shared" ca="1" si="51"/>
        <v>0</v>
      </c>
      <c r="Q531" s="81">
        <f t="shared" ca="1" si="51"/>
        <v>0</v>
      </c>
      <c r="R531" s="81">
        <f t="shared" ca="1" si="51"/>
        <v>0</v>
      </c>
      <c r="S531" s="81">
        <f t="shared" ca="1" si="51"/>
        <v>0</v>
      </c>
      <c r="T531" s="81">
        <f t="shared" ca="1" si="51"/>
        <v>0</v>
      </c>
    </row>
    <row r="532" spans="2:20" outlineLevel="1">
      <c r="F532" s="51" t="str">
        <f>$B$282&amp;" Work Code v Tax Category Direct Check"</f>
        <v>3020 - Inputs Work Code v Tax Category Direct Check</v>
      </c>
      <c r="I532" s="130">
        <f ca="1">IF(ISERROR(SUM(J532:T532)),1,MIN(SUM(J532:T532),1))</f>
        <v>0</v>
      </c>
      <c r="J532" s="81">
        <f t="shared" ref="J532:T532" ca="1" si="52">J360-J514</f>
        <v>0</v>
      </c>
      <c r="K532" s="81">
        <f t="shared" ca="1" si="52"/>
        <v>0</v>
      </c>
      <c r="L532" s="81">
        <f t="shared" ca="1" si="52"/>
        <v>0</v>
      </c>
      <c r="M532" s="81">
        <f t="shared" ca="1" si="52"/>
        <v>0</v>
      </c>
      <c r="N532" s="81">
        <f t="shared" ca="1" si="52"/>
        <v>0</v>
      </c>
      <c r="O532" s="81">
        <f t="shared" ca="1" si="52"/>
        <v>0</v>
      </c>
      <c r="P532" s="81">
        <f t="shared" ca="1" si="52"/>
        <v>0</v>
      </c>
      <c r="Q532" s="81">
        <f t="shared" ca="1" si="52"/>
        <v>0</v>
      </c>
      <c r="R532" s="81">
        <f t="shared" ca="1" si="52"/>
        <v>0</v>
      </c>
      <c r="S532" s="81">
        <f t="shared" ca="1" si="52"/>
        <v>0</v>
      </c>
      <c r="T532" s="81">
        <f t="shared" ca="1" si="52"/>
        <v>0</v>
      </c>
    </row>
    <row r="533" spans="2:20" outlineLevel="1">
      <c r="F533" s="51" t="str">
        <f>$B$282&amp;" Customer Contributions v RAB Category Direct Check"</f>
        <v>3020 - Inputs Customer Contributions v RAB Category Direct Check</v>
      </c>
      <c r="I533" s="130">
        <f ca="1">IF(ISERROR(SUM(J533:T533)),1,MIN(SUM(J533:T533),1))</f>
        <v>0</v>
      </c>
      <c r="J533" s="81">
        <f t="shared" ref="J533:T533" ca="1" si="53">J329-J443</f>
        <v>0</v>
      </c>
      <c r="K533" s="81">
        <f t="shared" ca="1" si="53"/>
        <v>0</v>
      </c>
      <c r="L533" s="81">
        <f t="shared" ca="1" si="53"/>
        <v>0</v>
      </c>
      <c r="M533" s="81">
        <f t="shared" ca="1" si="53"/>
        <v>0</v>
      </c>
      <c r="N533" s="81">
        <f t="shared" ca="1" si="53"/>
        <v>0</v>
      </c>
      <c r="O533" s="81">
        <f t="shared" ca="1" si="53"/>
        <v>0</v>
      </c>
      <c r="P533" s="81">
        <f t="shared" ca="1" si="53"/>
        <v>0</v>
      </c>
      <c r="Q533" s="81">
        <f t="shared" ca="1" si="53"/>
        <v>0</v>
      </c>
      <c r="R533" s="81">
        <f t="shared" ca="1" si="53"/>
        <v>0</v>
      </c>
      <c r="S533" s="81">
        <f t="shared" ca="1" si="53"/>
        <v>0</v>
      </c>
      <c r="T533" s="81">
        <f t="shared" ca="1" si="53"/>
        <v>0</v>
      </c>
    </row>
    <row r="534" spans="2:20" ht="5.9" customHeight="1" outlineLevel="1"/>
    <row r="535" spans="2:20" outlineLevel="1">
      <c r="F535" s="51" t="str">
        <f>$B$282&amp;" RAB v RIN Direct + Overhead Check"</f>
        <v>3020 - Inputs RAB v RIN Direct + Overhead Check</v>
      </c>
      <c r="I535" s="130">
        <f ca="1">IF(ISERROR(SUM(J535:T535)),1,MIN(SUM(J535:T535),1))</f>
        <v>0</v>
      </c>
      <c r="J535" s="81">
        <f t="shared" ref="J535:T535" ca="1" si="54">J423-J482</f>
        <v>0</v>
      </c>
      <c r="K535" s="81">
        <f t="shared" ca="1" si="54"/>
        <v>0</v>
      </c>
      <c r="L535" s="81">
        <f t="shared" ca="1" si="54"/>
        <v>0</v>
      </c>
      <c r="M535" s="81">
        <f t="shared" ca="1" si="54"/>
        <v>0</v>
      </c>
      <c r="N535" s="81">
        <f t="shared" ca="1" si="54"/>
        <v>0</v>
      </c>
      <c r="O535" s="81">
        <f t="shared" ca="1" si="54"/>
        <v>0</v>
      </c>
      <c r="P535" s="81">
        <f t="shared" ca="1" si="54"/>
        <v>0</v>
      </c>
      <c r="Q535" s="81">
        <f t="shared" ca="1" si="54"/>
        <v>0</v>
      </c>
      <c r="R535" s="81">
        <f t="shared" ca="1" si="54"/>
        <v>0</v>
      </c>
      <c r="S535" s="81">
        <f t="shared" ca="1" si="54"/>
        <v>0</v>
      </c>
      <c r="T535" s="81">
        <f t="shared" ca="1" si="54"/>
        <v>0</v>
      </c>
    </row>
    <row r="536" spans="2:20" outlineLevel="1">
      <c r="F536" s="51" t="str">
        <f>$B$282&amp;" RAB v Tax Direct + Overhead Check"</f>
        <v>3020 - Inputs RAB v Tax Direct + Overhead Check</v>
      </c>
      <c r="I536" s="130">
        <f ca="1">IF(ISERROR(SUM(J536:T536)),1,MIN(SUM(J536:T536),1))</f>
        <v>0</v>
      </c>
      <c r="J536" s="81">
        <f t="shared" ref="J536:T536" ca="1" si="55">J423-J525</f>
        <v>0</v>
      </c>
      <c r="K536" s="81">
        <f t="shared" ca="1" si="55"/>
        <v>0</v>
      </c>
      <c r="L536" s="81">
        <f t="shared" ca="1" si="55"/>
        <v>0</v>
      </c>
      <c r="M536" s="81">
        <f t="shared" ca="1" si="55"/>
        <v>0</v>
      </c>
      <c r="N536" s="81">
        <f t="shared" ca="1" si="55"/>
        <v>0</v>
      </c>
      <c r="O536" s="81">
        <f t="shared" ca="1" si="55"/>
        <v>0</v>
      </c>
      <c r="P536" s="81">
        <f t="shared" ca="1" si="55"/>
        <v>0</v>
      </c>
      <c r="Q536" s="81">
        <f t="shared" ca="1" si="55"/>
        <v>0</v>
      </c>
      <c r="R536" s="81">
        <f t="shared" ca="1" si="55"/>
        <v>0</v>
      </c>
      <c r="S536" s="81">
        <f t="shared" ca="1" si="55"/>
        <v>0</v>
      </c>
      <c r="T536" s="81">
        <f t="shared" ca="1" si="55"/>
        <v>0</v>
      </c>
    </row>
    <row r="537" spans="2:20" ht="12" outlineLevel="1" thickBot="1">
      <c r="B537" s="94"/>
      <c r="C537" s="94"/>
      <c r="D537" s="94"/>
      <c r="E537" s="94"/>
      <c r="F537" s="94"/>
      <c r="G537" s="94"/>
      <c r="H537" s="94"/>
      <c r="I537" s="94"/>
      <c r="J537" s="94"/>
      <c r="K537" s="94"/>
      <c r="L537" s="94"/>
      <c r="M537" s="94"/>
      <c r="N537" s="94"/>
      <c r="O537" s="94"/>
      <c r="P537" s="94"/>
      <c r="Q537" s="94"/>
      <c r="R537" s="94"/>
      <c r="S537" s="94"/>
      <c r="T537" s="94"/>
    </row>
    <row r="539" spans="2:20" ht="14">
      <c r="B539" s="110" t="s">
        <v>266</v>
      </c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</row>
    <row r="540" spans="2:20" ht="5.9" customHeight="1"/>
    <row r="541" spans="2:20" ht="14">
      <c r="B541" s="56" t="str">
        <f>GC!F28</f>
        <v>Industrial &amp; Commercial (Tariff D)</v>
      </c>
    </row>
    <row r="542" spans="2:20" ht="5.9" customHeight="1" outlineLevel="1"/>
    <row r="543" spans="2:20" hidden="1" outlineLevel="2">
      <c r="C543" s="37" t="s">
        <v>204</v>
      </c>
    </row>
    <row r="544" spans="2:20" ht="5.9" hidden="1" customHeight="1" outlineLevel="2"/>
    <row r="545" spans="3:20" hidden="1" outlineLevel="2">
      <c r="D545" s="51" t="s">
        <v>103</v>
      </c>
      <c r="J545" s="92">
        <f>Rates!J42</f>
        <v>1</v>
      </c>
      <c r="K545" s="92">
        <f>Rates!K42</f>
        <v>1</v>
      </c>
      <c r="L545" s="92">
        <f>Rates!L42</f>
        <v>1</v>
      </c>
      <c r="M545" s="92">
        <f>Rates!M42</f>
        <v>1</v>
      </c>
      <c r="N545" s="92">
        <f>Rates!N42</f>
        <v>1</v>
      </c>
      <c r="O545" s="92">
        <f>Rates!O42</f>
        <v>1.0051959235721353</v>
      </c>
      <c r="P545" s="92">
        <f>Rates!P42</f>
        <v>1.0102301741405761</v>
      </c>
      <c r="Q545" s="92">
        <f>Rates!Q42</f>
        <v>1.0181072873442809</v>
      </c>
      <c r="R545" s="92">
        <f>Rates!R42</f>
        <v>1.0293150686557422</v>
      </c>
      <c r="S545" s="92">
        <f>Rates!S42</f>
        <v>1.040646230246951</v>
      </c>
      <c r="T545" s="92">
        <f>Rates!T42</f>
        <v>1.0521021303433229</v>
      </c>
    </row>
    <row r="546" spans="3:20" hidden="1" outlineLevel="2">
      <c r="D546" s="51" t="s">
        <v>104</v>
      </c>
      <c r="J546" s="92">
        <f>Rates!J43</f>
        <v>1</v>
      </c>
      <c r="K546" s="92">
        <f>Rates!K43</f>
        <v>1</v>
      </c>
      <c r="L546" s="92">
        <f>Rates!L43</f>
        <v>1</v>
      </c>
      <c r="M546" s="92">
        <f>Rates!M43</f>
        <v>1</v>
      </c>
      <c r="N546" s="92">
        <f>Rates!N43</f>
        <v>1</v>
      </c>
      <c r="O546" s="92">
        <f>Rates!O43</f>
        <v>1</v>
      </c>
      <c r="P546" s="92">
        <f>Rates!P43</f>
        <v>1</v>
      </c>
      <c r="Q546" s="92">
        <f>Rates!Q43</f>
        <v>1</v>
      </c>
      <c r="R546" s="92">
        <f>Rates!R43</f>
        <v>1</v>
      </c>
      <c r="S546" s="92">
        <f>Rates!S43</f>
        <v>1</v>
      </c>
      <c r="T546" s="92">
        <f>Rates!T43</f>
        <v>1</v>
      </c>
    </row>
    <row r="547" spans="3:20" hidden="1" outlineLevel="2">
      <c r="D547" s="51" t="s">
        <v>130</v>
      </c>
      <c r="J547" s="92">
        <f>Rates!J45</f>
        <v>1</v>
      </c>
      <c r="K547" s="92">
        <f>Rates!K45</f>
        <v>1</v>
      </c>
      <c r="L547" s="92">
        <f>Rates!L45</f>
        <v>1</v>
      </c>
      <c r="M547" s="92">
        <f>Rates!M45</f>
        <v>1</v>
      </c>
      <c r="N547" s="92">
        <f>Rates!N45</f>
        <v>1</v>
      </c>
      <c r="O547" s="92">
        <f>Rates!O45</f>
        <v>1</v>
      </c>
      <c r="P547" s="92">
        <f>Rates!P45</f>
        <v>1</v>
      </c>
      <c r="Q547" s="92">
        <f>Rates!Q45</f>
        <v>1</v>
      </c>
      <c r="R547" s="92">
        <f>Rates!R45</f>
        <v>1</v>
      </c>
      <c r="S547" s="92">
        <f>Rates!S45</f>
        <v>1</v>
      </c>
      <c r="T547" s="92">
        <f>Rates!T45</f>
        <v>1</v>
      </c>
    </row>
    <row r="548" spans="3:20" ht="5.9" hidden="1" customHeight="1" outlineLevel="2"/>
    <row r="549" spans="3:20" hidden="1" outlineLevel="2">
      <c r="C549" s="37" t="s">
        <v>105</v>
      </c>
    </row>
    <row r="550" spans="3:20" ht="5.9" hidden="1" customHeight="1" outlineLevel="2"/>
    <row r="551" spans="3:20" hidden="1" outlineLevel="2">
      <c r="D551" s="51" t="s">
        <v>106</v>
      </c>
      <c r="J551" s="100">
        <f>Rates!J50</f>
        <v>6.9591273870889495E-2</v>
      </c>
      <c r="K551" s="100">
        <f>Rates!K50</f>
        <v>7.3934468928182201E-2</v>
      </c>
      <c r="L551" s="100">
        <f>Rates!L50</f>
        <v>7.5085976469407303E-2</v>
      </c>
      <c r="M551" s="100">
        <f>Rates!M50</f>
        <v>8.0103391005934096E-2</v>
      </c>
      <c r="N551" s="100">
        <f>Rates!N50</f>
        <v>3.7711007382937055E-2</v>
      </c>
      <c r="O551" s="100">
        <f>Rates!O50</f>
        <v>3.3283969054706777E-2</v>
      </c>
      <c r="P551" s="100">
        <f>Rates!P50</f>
        <v>2.6752660513445464E-2</v>
      </c>
      <c r="Q551" s="100">
        <f>Rates!Q50</f>
        <v>2.6060587348993774E-2</v>
      </c>
      <c r="R551" s="100">
        <f>Rates!R50</f>
        <v>2.6873005987587139E-2</v>
      </c>
      <c r="S551" s="100">
        <f>Rates!S50</f>
        <v>2.8546178928104012E-2</v>
      </c>
      <c r="T551" s="100">
        <f>Rates!T50</f>
        <v>2.9920378203686534E-2</v>
      </c>
    </row>
    <row r="552" spans="3:20" hidden="1" outlineLevel="2">
      <c r="D552" s="51" t="s">
        <v>107</v>
      </c>
      <c r="J552" s="100">
        <f>Rates!J51</f>
        <v>5.5842732834613398E-2</v>
      </c>
      <c r="K552" s="100">
        <f>Rates!K51</f>
        <v>5.16564294790849E-2</v>
      </c>
      <c r="L552" s="100">
        <f>Rates!L51</f>
        <v>6.0535031919173997E-2</v>
      </c>
      <c r="M552" s="100">
        <f>Rates!M51</f>
        <v>7.1630695797579302E-2</v>
      </c>
      <c r="N552" s="100">
        <f>Rates!N51</f>
        <v>7.4343858126268231E-2</v>
      </c>
      <c r="O552" s="100">
        <f>Rates!O51</f>
        <v>7.4059082290758096E-2</v>
      </c>
      <c r="P552" s="100">
        <f>Rates!P51</f>
        <v>2.4388539961794877E-2</v>
      </c>
      <c r="Q552" s="100">
        <f>Rates!Q51</f>
        <v>2.1171310758207256E-2</v>
      </c>
      <c r="R552" s="100">
        <f>Rates!R51</f>
        <v>2.0024144075344485E-2</v>
      </c>
      <c r="S552" s="100">
        <f>Rates!S51</f>
        <v>3.9620009613577346E-2</v>
      </c>
      <c r="T552" s="100">
        <f>Rates!T51</f>
        <v>5.404914337922874E-2</v>
      </c>
    </row>
    <row r="553" spans="3:20" hidden="1" outlineLevel="2">
      <c r="D553" s="51" t="s">
        <v>108</v>
      </c>
      <c r="J553" s="100">
        <f>Rates!J52</f>
        <v>0</v>
      </c>
      <c r="K553" s="100">
        <f>Rates!K52</f>
        <v>0</v>
      </c>
      <c r="L553" s="100">
        <f>Rates!L52</f>
        <v>0</v>
      </c>
      <c r="M553" s="100">
        <f>Rates!M52</f>
        <v>0</v>
      </c>
      <c r="N553" s="100">
        <f>Rates!N52</f>
        <v>0</v>
      </c>
      <c r="O553" s="100">
        <f>Rates!O52</f>
        <v>0</v>
      </c>
      <c r="P553" s="100">
        <f>Rates!P52</f>
        <v>0</v>
      </c>
      <c r="Q553" s="100">
        <f>Rates!Q52</f>
        <v>0</v>
      </c>
      <c r="R553" s="100">
        <f>Rates!R52</f>
        <v>0</v>
      </c>
      <c r="S553" s="100">
        <f>Rates!S52</f>
        <v>0</v>
      </c>
      <c r="T553" s="100">
        <f>Rates!T52</f>
        <v>0</v>
      </c>
    </row>
    <row r="554" spans="3:20" outlineLevel="1" collapsed="1"/>
    <row r="555" spans="3:20" ht="5.9" customHeight="1" outlineLevel="1"/>
    <row r="556" spans="3:20" outlineLevel="1">
      <c r="C556" s="37" t="s">
        <v>118</v>
      </c>
    </row>
    <row r="557" spans="3:20" ht="5.9" customHeight="1" outlineLevel="1"/>
    <row r="558" spans="3:20" outlineLevel="1">
      <c r="D558" s="37" t="s">
        <v>160</v>
      </c>
      <c r="H558" s="107" t="s">
        <v>192</v>
      </c>
    </row>
    <row r="559" spans="3:20" ht="5.9" customHeight="1" outlineLevel="1"/>
    <row r="560" spans="3:20" outlineLevel="1">
      <c r="D560" s="102" t="str">
        <f>Work_Codes!D396</f>
        <v>Tariff D Connections</v>
      </c>
      <c r="H560" s="63"/>
      <c r="J560" s="125"/>
      <c r="K560" s="125"/>
      <c r="L560" s="125"/>
      <c r="M560" s="125"/>
      <c r="N560" s="212"/>
      <c r="O560" s="212"/>
      <c r="P560" s="212"/>
      <c r="Q560" s="212"/>
      <c r="R560" s="212"/>
      <c r="S560" s="212"/>
      <c r="T560" s="212"/>
    </row>
    <row r="561" spans="3:20" outlineLevel="1">
      <c r="D561" s="102" t="str">
        <f>Work_Codes!D397</f>
        <v>Capex Items Category 2</v>
      </c>
      <c r="H561" s="63"/>
      <c r="J561" s="125"/>
      <c r="K561" s="125"/>
      <c r="L561" s="125"/>
      <c r="M561" s="125"/>
      <c r="N561" s="212"/>
      <c r="O561" s="212"/>
      <c r="P561" s="212"/>
      <c r="Q561" s="212"/>
      <c r="R561" s="212"/>
      <c r="S561" s="212"/>
      <c r="T561" s="212"/>
    </row>
    <row r="562" spans="3:20" outlineLevel="1">
      <c r="D562" s="105"/>
      <c r="H562" s="58"/>
      <c r="J562" s="66"/>
      <c r="K562" s="66"/>
      <c r="L562" s="66"/>
      <c r="M562" s="66"/>
      <c r="N562" s="66"/>
      <c r="O562" s="66"/>
      <c r="P562" s="66"/>
      <c r="Q562" s="66"/>
      <c r="R562" s="66"/>
      <c r="S562" s="66"/>
      <c r="T562" s="66"/>
    </row>
    <row r="563" spans="3:20" outlineLevel="1">
      <c r="C563" s="37" t="s">
        <v>119</v>
      </c>
    </row>
    <row r="564" spans="3:20" ht="5.9" customHeight="1" outlineLevel="1"/>
    <row r="565" spans="3:20" outlineLevel="1">
      <c r="D565" s="37" t="str">
        <f>D558</f>
        <v>Capex Category</v>
      </c>
    </row>
    <row r="566" spans="3:20" ht="5.9" customHeight="1" outlineLevel="1"/>
    <row r="567" spans="3:20" outlineLevel="1">
      <c r="D567" s="102" t="str">
        <f>Work_Codes!D396</f>
        <v>Tariff D Connections</v>
      </c>
      <c r="J567" s="163"/>
      <c r="K567" s="163"/>
      <c r="L567" s="163"/>
      <c r="M567" s="163"/>
      <c r="N567" s="213"/>
      <c r="O567" s="213"/>
      <c r="P567" s="213"/>
      <c r="Q567" s="213"/>
      <c r="R567" s="213"/>
      <c r="S567" s="213"/>
      <c r="T567" s="213"/>
    </row>
    <row r="568" spans="3:20" outlineLevel="1">
      <c r="D568" s="102" t="str">
        <f>Work_Codes!D397</f>
        <v>Capex Items Category 2</v>
      </c>
      <c r="J568" s="163"/>
      <c r="K568" s="163"/>
      <c r="L568" s="163"/>
      <c r="M568" s="163"/>
      <c r="N568" s="213"/>
      <c r="O568" s="213"/>
      <c r="P568" s="213"/>
      <c r="Q568" s="213"/>
      <c r="R568" s="213"/>
      <c r="S568" s="213"/>
      <c r="T568" s="213"/>
    </row>
    <row r="569" spans="3:20" outlineLevel="1"/>
    <row r="570" spans="3:20" outlineLevel="1">
      <c r="C570" s="37" t="s">
        <v>193</v>
      </c>
    </row>
    <row r="571" spans="3:20" ht="5.9" customHeight="1" outlineLevel="1"/>
    <row r="572" spans="3:20" outlineLevel="1">
      <c r="D572" s="37" t="str">
        <f>D558</f>
        <v>Capex Category</v>
      </c>
    </row>
    <row r="573" spans="3:20" ht="5.9" customHeight="1" outlineLevel="1"/>
    <row r="574" spans="3:20" outlineLevel="1">
      <c r="D574" s="102" t="str">
        <f>Work_Codes!D396</f>
        <v>Tariff D Connections</v>
      </c>
      <c r="J574" s="81">
        <v>0</v>
      </c>
      <c r="K574" s="81">
        <v>0</v>
      </c>
      <c r="L574" s="81">
        <v>0</v>
      </c>
      <c r="M574" s="81">
        <v>0</v>
      </c>
      <c r="N574" s="81">
        <v>802199.70711525122</v>
      </c>
      <c r="O574" s="81">
        <v>835435.34</v>
      </c>
      <c r="P574" s="81">
        <v>1599640.14</v>
      </c>
      <c r="Q574" s="81">
        <v>1624841.46</v>
      </c>
      <c r="R574" s="81">
        <v>1649437.68</v>
      </c>
      <c r="S574" s="81">
        <v>1628441.03</v>
      </c>
      <c r="T574" s="81">
        <v>1606654.87</v>
      </c>
    </row>
    <row r="575" spans="3:20" outlineLevel="1">
      <c r="D575" s="102" t="str">
        <f>Work_Codes!D397</f>
        <v>Capex Items Category 2</v>
      </c>
      <c r="J575" s="81">
        <v>0</v>
      </c>
      <c r="K575" s="81">
        <v>0</v>
      </c>
      <c r="L575" s="81">
        <v>0</v>
      </c>
      <c r="M575" s="81">
        <v>0</v>
      </c>
      <c r="N575" s="81">
        <v>0</v>
      </c>
      <c r="O575" s="81">
        <v>0</v>
      </c>
      <c r="P575" s="81">
        <v>0</v>
      </c>
      <c r="Q575" s="81">
        <v>0</v>
      </c>
      <c r="R575" s="81">
        <v>0</v>
      </c>
      <c r="S575" s="81">
        <v>0</v>
      </c>
      <c r="T575" s="81">
        <v>0</v>
      </c>
    </row>
    <row r="576" spans="3:20" ht="5.9" customHeight="1" outlineLevel="1">
      <c r="D576" s="37"/>
      <c r="J576" s="78"/>
      <c r="K576" s="78"/>
      <c r="L576" s="78"/>
      <c r="M576" s="78"/>
      <c r="N576" s="78"/>
      <c r="O576" s="78"/>
      <c r="P576" s="78"/>
      <c r="Q576" s="78"/>
      <c r="R576" s="78"/>
      <c r="S576" s="78"/>
      <c r="T576" s="78"/>
    </row>
    <row r="577" spans="3:20" outlineLevel="1">
      <c r="D577" s="249" t="str">
        <f>"Total "&amp;B541</f>
        <v>Total Industrial &amp; Commercial (Tariff D)</v>
      </c>
      <c r="E577" s="249"/>
      <c r="F577" s="249"/>
      <c r="G577" s="249"/>
      <c r="H577" s="249"/>
      <c r="I577" s="249"/>
      <c r="J577" s="82">
        <f t="shared" ref="J577:T577" si="56">SUM(J574:J576)</f>
        <v>0</v>
      </c>
      <c r="K577" s="82">
        <f t="shared" si="56"/>
        <v>0</v>
      </c>
      <c r="L577" s="82">
        <f t="shared" si="56"/>
        <v>0</v>
      </c>
      <c r="M577" s="82">
        <f t="shared" si="56"/>
        <v>0</v>
      </c>
      <c r="N577" s="82">
        <f t="shared" si="56"/>
        <v>802199.70711525122</v>
      </c>
      <c r="O577" s="82">
        <f t="shared" si="56"/>
        <v>835435.34</v>
      </c>
      <c r="P577" s="82">
        <f t="shared" si="56"/>
        <v>1599640.14</v>
      </c>
      <c r="Q577" s="82">
        <f t="shared" si="56"/>
        <v>1624841.46</v>
      </c>
      <c r="R577" s="82">
        <f t="shared" si="56"/>
        <v>1649437.68</v>
      </c>
      <c r="S577" s="82">
        <f t="shared" si="56"/>
        <v>1628441.03</v>
      </c>
      <c r="T577" s="82">
        <f t="shared" si="56"/>
        <v>1606654.87</v>
      </c>
    </row>
    <row r="578" spans="3:20" outlineLevel="1"/>
    <row r="579" spans="3:20" outlineLevel="1">
      <c r="C579" s="37" t="s">
        <v>286</v>
      </c>
    </row>
    <row r="580" spans="3:20" ht="5.9" customHeight="1" outlineLevel="1"/>
    <row r="581" spans="3:20" outlineLevel="1">
      <c r="D581" s="143" t="str">
        <f>Work_Codes!D401</f>
        <v>Shippers: Tarrif D FY21-</v>
      </c>
      <c r="J581" s="148">
        <v>0</v>
      </c>
      <c r="K581" s="148">
        <v>0</v>
      </c>
      <c r="L581" s="148">
        <v>0</v>
      </c>
      <c r="M581" s="148">
        <v>0</v>
      </c>
      <c r="N581" s="148">
        <v>-449014.83925999992</v>
      </c>
      <c r="O581" s="148">
        <f>P581/2</f>
        <v>-396141.73</v>
      </c>
      <c r="P581" s="148">
        <v>-792283.46</v>
      </c>
      <c r="Q581" s="185">
        <v>-792283.46</v>
      </c>
      <c r="R581" s="185">
        <v>-792283.46</v>
      </c>
      <c r="S581" s="185">
        <v>-792283.46</v>
      </c>
      <c r="T581" s="185">
        <v>-792283.46</v>
      </c>
    </row>
    <row r="582" spans="3:20" outlineLevel="1">
      <c r="D582" s="143" t="str">
        <f>Work_Codes!D402</f>
        <v>Shippers: Tarrif D</v>
      </c>
      <c r="J582" s="148">
        <v>0</v>
      </c>
      <c r="K582" s="148">
        <v>0</v>
      </c>
      <c r="L582" s="148">
        <v>0</v>
      </c>
      <c r="M582" s="148">
        <v>0</v>
      </c>
      <c r="N582" s="148">
        <v>0</v>
      </c>
      <c r="O582" s="148">
        <v>0</v>
      </c>
      <c r="P582" s="148">
        <v>0</v>
      </c>
      <c r="Q582" s="148">
        <v>0</v>
      </c>
      <c r="R582" s="148">
        <v>0</v>
      </c>
      <c r="S582" s="185">
        <v>0</v>
      </c>
      <c r="T582" s="185">
        <v>0</v>
      </c>
    </row>
    <row r="583" spans="3:20" ht="5.9" customHeight="1" outlineLevel="1"/>
    <row r="584" spans="3:20" outlineLevel="1">
      <c r="D584" s="249" t="str">
        <f>"Total "&amp;C579</f>
        <v>Total Customer Connections</v>
      </c>
      <c r="E584" s="249"/>
      <c r="F584" s="249"/>
      <c r="G584" s="249"/>
      <c r="H584" s="249"/>
      <c r="I584" s="249"/>
      <c r="J584" s="82">
        <f t="shared" ref="J584:T584" si="57">SUM(J581:J583)</f>
        <v>0</v>
      </c>
      <c r="K584" s="82">
        <f t="shared" si="57"/>
        <v>0</v>
      </c>
      <c r="L584" s="82">
        <f t="shared" si="57"/>
        <v>0</v>
      </c>
      <c r="M584" s="82">
        <f t="shared" si="57"/>
        <v>0</v>
      </c>
      <c r="N584" s="82">
        <f t="shared" si="57"/>
        <v>-449014.83925999992</v>
      </c>
      <c r="O584" s="82">
        <f t="shared" si="57"/>
        <v>-396141.73</v>
      </c>
      <c r="P584" s="82">
        <f t="shared" si="57"/>
        <v>-792283.46</v>
      </c>
      <c r="Q584" s="82">
        <f t="shared" si="57"/>
        <v>-792283.46</v>
      </c>
      <c r="R584" s="82">
        <f t="shared" si="57"/>
        <v>-792283.46</v>
      </c>
      <c r="S584" s="82">
        <f t="shared" si="57"/>
        <v>-792283.46</v>
      </c>
      <c r="T584" s="82">
        <f t="shared" si="57"/>
        <v>-792283.46</v>
      </c>
    </row>
    <row r="585" spans="3:20" outlineLevel="1">
      <c r="C585" s="12"/>
      <c r="D585" s="12"/>
      <c r="E585" s="12"/>
      <c r="F585" s="12"/>
      <c r="G585" s="12"/>
      <c r="H585" s="12"/>
      <c r="I585" s="12"/>
      <c r="J585" s="12"/>
      <c r="K585" s="12"/>
      <c r="L585" s="12"/>
      <c r="M585" s="12"/>
      <c r="N585" s="12"/>
      <c r="O585" s="12"/>
      <c r="P585" s="12"/>
      <c r="Q585" s="12"/>
      <c r="R585" s="12"/>
      <c r="S585" s="12"/>
      <c r="T585" s="12"/>
    </row>
    <row r="586" spans="3:20" outlineLevel="1"/>
    <row r="587" spans="3:20" outlineLevel="1">
      <c r="C587" s="37" t="s">
        <v>213</v>
      </c>
    </row>
    <row r="588" spans="3:20" ht="5.9" hidden="1" customHeight="1" outlineLevel="2"/>
    <row r="589" spans="3:20" hidden="1" outlineLevel="2">
      <c r="C589" s="37" t="s">
        <v>128</v>
      </c>
    </row>
    <row r="590" spans="3:20" ht="5.9" hidden="1" customHeight="1" outlineLevel="2"/>
    <row r="591" spans="3:20" hidden="1" outlineLevel="2">
      <c r="D591" s="102" t="str">
        <f>Work_Codes!D396</f>
        <v>Tariff D Connections</v>
      </c>
      <c r="J591" s="81">
        <f>Work_Codes!$I396*J574*J$545</f>
        <v>0</v>
      </c>
      <c r="K591" s="81">
        <f>Work_Codes!$I396*K574*K$545</f>
        <v>0</v>
      </c>
      <c r="L591" s="81">
        <f>Work_Codes!$I396*L574*L$545</f>
        <v>0</v>
      </c>
      <c r="M591" s="81">
        <f>Work_Codes!$I396*M574*M$545</f>
        <v>0</v>
      </c>
      <c r="N591" s="81">
        <f>Work_Codes!$I396*N574*N$545</f>
        <v>32087.988284610048</v>
      </c>
      <c r="O591" s="81">
        <f>Work_Codes!$I396*O574*O$545</f>
        <v>33591.047927044034</v>
      </c>
      <c r="P591" s="81">
        <f>Work_Codes!$I396*P574*P$545</f>
        <v>64640.189487778218</v>
      </c>
      <c r="Q591" s="81">
        <f>Work_Codes!$I396*Q574*Q$545</f>
        <v>66170.517248204837</v>
      </c>
      <c r="R591" s="81">
        <f>Work_Codes!$I396*R574*R$545</f>
        <v>67911.642353302712</v>
      </c>
      <c r="S591" s="81">
        <f>Work_Codes!$I396*S574*S$545</f>
        <v>67785.240761958485</v>
      </c>
      <c r="T591" s="81">
        <f>Work_Codes!$I396*T574*T$545</f>
        <v>67614.600458138986</v>
      </c>
    </row>
    <row r="592" spans="3:20" hidden="1" outlineLevel="2">
      <c r="D592" s="102" t="str">
        <f>Work_Codes!D397</f>
        <v>Capex Items Category 2</v>
      </c>
      <c r="J592" s="81">
        <f>Work_Codes!$I397*J575*J$545</f>
        <v>0</v>
      </c>
      <c r="K592" s="81">
        <f>Work_Codes!$I397*K575*K$545</f>
        <v>0</v>
      </c>
      <c r="L592" s="81">
        <f>Work_Codes!$I397*L575*L$545</f>
        <v>0</v>
      </c>
      <c r="M592" s="81">
        <f>Work_Codes!$I397*M575*M$545</f>
        <v>0</v>
      </c>
      <c r="N592" s="81">
        <f>Work_Codes!$I397*N575*N$545</f>
        <v>0</v>
      </c>
      <c r="O592" s="81">
        <f>Work_Codes!$I397*O575*O$545</f>
        <v>0</v>
      </c>
      <c r="P592" s="81">
        <f>Work_Codes!$I397*P575*P$545</f>
        <v>0</v>
      </c>
      <c r="Q592" s="81">
        <f>Work_Codes!$I397*Q575*Q$545</f>
        <v>0</v>
      </c>
      <c r="R592" s="81">
        <f>Work_Codes!$I397*R575*R$545</f>
        <v>0</v>
      </c>
      <c r="S592" s="81">
        <f>Work_Codes!$I397*S575*S$545</f>
        <v>0</v>
      </c>
      <c r="T592" s="81">
        <f>Work_Codes!$I397*T575*T$545</f>
        <v>0</v>
      </c>
    </row>
    <row r="593" spans="3:20" ht="5.9" hidden="1" customHeight="1" outlineLevel="2"/>
    <row r="594" spans="3:20" hidden="1" outlineLevel="2">
      <c r="D594" s="249" t="str">
        <f>"Total "&amp;C589</f>
        <v>Total Internal Labour</v>
      </c>
      <c r="E594" s="249"/>
      <c r="F594" s="249"/>
      <c r="G594" s="249"/>
      <c r="H594" s="249"/>
      <c r="I594" s="249"/>
      <c r="J594" s="82">
        <f t="shared" ref="J594:T594" si="58">SUM(J591:J593)</f>
        <v>0</v>
      </c>
      <c r="K594" s="82">
        <f t="shared" si="58"/>
        <v>0</v>
      </c>
      <c r="L594" s="82">
        <f t="shared" si="58"/>
        <v>0</v>
      </c>
      <c r="M594" s="82">
        <f t="shared" si="58"/>
        <v>0</v>
      </c>
      <c r="N594" s="82">
        <f t="shared" si="58"/>
        <v>32087.988284610048</v>
      </c>
      <c r="O594" s="82">
        <f t="shared" si="58"/>
        <v>33591.047927044034</v>
      </c>
      <c r="P594" s="82">
        <f t="shared" si="58"/>
        <v>64640.189487778218</v>
      </c>
      <c r="Q594" s="82">
        <f t="shared" si="58"/>
        <v>66170.517248204837</v>
      </c>
      <c r="R594" s="82">
        <f t="shared" si="58"/>
        <v>67911.642353302712</v>
      </c>
      <c r="S594" s="82">
        <f t="shared" si="58"/>
        <v>67785.240761958485</v>
      </c>
      <c r="T594" s="82">
        <f t="shared" si="58"/>
        <v>67614.600458138986</v>
      </c>
    </row>
    <row r="595" spans="3:20" hidden="1" outlineLevel="2"/>
    <row r="596" spans="3:20" hidden="1" outlineLevel="2">
      <c r="C596" s="37" t="s">
        <v>129</v>
      </c>
    </row>
    <row r="597" spans="3:20" ht="5.9" hidden="1" customHeight="1" outlineLevel="2"/>
    <row r="598" spans="3:20" hidden="1" outlineLevel="2">
      <c r="D598" s="102" t="str">
        <f>Work_Codes!D396</f>
        <v>Tariff D Connections</v>
      </c>
      <c r="J598" s="81">
        <f>Work_Codes!$J396*J574*J$546</f>
        <v>0</v>
      </c>
      <c r="K598" s="81">
        <f>Work_Codes!$J396*K574*K$546</f>
        <v>0</v>
      </c>
      <c r="L598" s="81">
        <f>Work_Codes!$J396*L574*L$546</f>
        <v>0</v>
      </c>
      <c r="M598" s="81">
        <f>Work_Codes!$J396*M574*M$546</f>
        <v>0</v>
      </c>
      <c r="N598" s="81">
        <f>Work_Codes!$J396*N574*N$546</f>
        <v>609671.77740759088</v>
      </c>
      <c r="O598" s="81">
        <f>Work_Codes!$J396*O574*O$546</f>
        <v>634930.85840000003</v>
      </c>
      <c r="P598" s="81">
        <f>Work_Codes!$J396*P574*P$546</f>
        <v>1215726.5063999998</v>
      </c>
      <c r="Q598" s="81">
        <f>Work_Codes!$J396*Q574*Q$546</f>
        <v>1234879.5096</v>
      </c>
      <c r="R598" s="81">
        <f>Work_Codes!$J396*R574*R$546</f>
        <v>1253572.6368</v>
      </c>
      <c r="S598" s="81">
        <f>Work_Codes!$J396*S574*S$546</f>
        <v>1237615.1828000001</v>
      </c>
      <c r="T598" s="81">
        <f>Work_Codes!$J396*T574*T$546</f>
        <v>1221057.7012</v>
      </c>
    </row>
    <row r="599" spans="3:20" hidden="1" outlineLevel="2">
      <c r="D599" s="102" t="str">
        <f>Work_Codes!D397</f>
        <v>Capex Items Category 2</v>
      </c>
      <c r="J599" s="81">
        <f>Work_Codes!$J397*J575*J$546</f>
        <v>0</v>
      </c>
      <c r="K599" s="81">
        <f>Work_Codes!$J397*K575*K$546</f>
        <v>0</v>
      </c>
      <c r="L599" s="81">
        <f>Work_Codes!$J397*L575*L$546</f>
        <v>0</v>
      </c>
      <c r="M599" s="81">
        <f>Work_Codes!$J397*M575*M$546</f>
        <v>0</v>
      </c>
      <c r="N599" s="81">
        <f>Work_Codes!$J397*N575*N$546</f>
        <v>0</v>
      </c>
      <c r="O599" s="81">
        <f>Work_Codes!$J397*O575*O$546</f>
        <v>0</v>
      </c>
      <c r="P599" s="81">
        <f>Work_Codes!$J397*P575*P$546</f>
        <v>0</v>
      </c>
      <c r="Q599" s="81">
        <f>Work_Codes!$J397*Q575*Q$546</f>
        <v>0</v>
      </c>
      <c r="R599" s="81">
        <f>Work_Codes!$J397*R575*R$546</f>
        <v>0</v>
      </c>
      <c r="S599" s="81">
        <f>Work_Codes!$J397*S575*S$546</f>
        <v>0</v>
      </c>
      <c r="T599" s="81">
        <f>Work_Codes!$J397*T575*T$546</f>
        <v>0</v>
      </c>
    </row>
    <row r="600" spans="3:20" ht="5.9" hidden="1" customHeight="1" outlineLevel="2"/>
    <row r="601" spans="3:20" hidden="1" outlineLevel="2">
      <c r="D601" s="249" t="str">
        <f>"Total "&amp;C596</f>
        <v>Total External Labour</v>
      </c>
      <c r="E601" s="249"/>
      <c r="F601" s="249"/>
      <c r="G601" s="249"/>
      <c r="H601" s="249"/>
      <c r="I601" s="249"/>
      <c r="J601" s="82">
        <f t="shared" ref="J601:T601" si="59">SUM(J598:J600)</f>
        <v>0</v>
      </c>
      <c r="K601" s="82">
        <f t="shared" si="59"/>
        <v>0</v>
      </c>
      <c r="L601" s="82">
        <f t="shared" si="59"/>
        <v>0</v>
      </c>
      <c r="M601" s="82">
        <f t="shared" si="59"/>
        <v>0</v>
      </c>
      <c r="N601" s="82">
        <f t="shared" si="59"/>
        <v>609671.77740759088</v>
      </c>
      <c r="O601" s="82">
        <f t="shared" si="59"/>
        <v>634930.85840000003</v>
      </c>
      <c r="P601" s="82">
        <f t="shared" si="59"/>
        <v>1215726.5063999998</v>
      </c>
      <c r="Q601" s="82">
        <f t="shared" si="59"/>
        <v>1234879.5096</v>
      </c>
      <c r="R601" s="82">
        <f t="shared" si="59"/>
        <v>1253572.6368</v>
      </c>
      <c r="S601" s="82">
        <f t="shared" si="59"/>
        <v>1237615.1828000001</v>
      </c>
      <c r="T601" s="82">
        <f t="shared" si="59"/>
        <v>1221057.7012</v>
      </c>
    </row>
    <row r="602" spans="3:20" hidden="1" outlineLevel="2"/>
    <row r="603" spans="3:20" hidden="1" outlineLevel="2">
      <c r="C603" s="37" t="s">
        <v>130</v>
      </c>
    </row>
    <row r="604" spans="3:20" ht="5.9" hidden="1" customHeight="1" outlineLevel="2"/>
    <row r="605" spans="3:20" hidden="1" outlineLevel="2">
      <c r="D605" s="102" t="str">
        <f>Work_Codes!D396</f>
        <v>Tariff D Connections</v>
      </c>
      <c r="J605" s="81">
        <f>Work_Codes!$K396*J574*J$547</f>
        <v>0</v>
      </c>
      <c r="K605" s="81">
        <f>Work_Codes!$K396*K574*K$547</f>
        <v>0</v>
      </c>
      <c r="L605" s="81">
        <f>Work_Codes!$K396*L574*L$547</f>
        <v>0</v>
      </c>
      <c r="M605" s="81">
        <f>Work_Codes!$K396*M574*M$547</f>
        <v>0</v>
      </c>
      <c r="N605" s="81">
        <f>Work_Codes!$K396*N574*N$547</f>
        <v>160439.94142305022</v>
      </c>
      <c r="O605" s="81">
        <f>Work_Codes!$K396*O574*O$547</f>
        <v>167087.06799999997</v>
      </c>
      <c r="P605" s="81">
        <f>Work_Codes!$K396*P574*P$547</f>
        <v>319928.02799999993</v>
      </c>
      <c r="Q605" s="81">
        <f>Work_Codes!$K396*Q574*Q$547</f>
        <v>324968.2919999999</v>
      </c>
      <c r="R605" s="81">
        <f>Work_Codes!$K396*R574*R$547</f>
        <v>329887.53599999991</v>
      </c>
      <c r="S605" s="81">
        <f>Work_Codes!$K396*S574*S$547</f>
        <v>325688.20599999995</v>
      </c>
      <c r="T605" s="81">
        <f>Work_Codes!$K396*T574*T$547</f>
        <v>321330.97399999993</v>
      </c>
    </row>
    <row r="606" spans="3:20" hidden="1" outlineLevel="2">
      <c r="D606" s="102" t="str">
        <f>Work_Codes!D397</f>
        <v>Capex Items Category 2</v>
      </c>
      <c r="J606" s="81">
        <f>Work_Codes!$K397*J575*J$547</f>
        <v>0</v>
      </c>
      <c r="K606" s="81">
        <f>Work_Codes!$K397*K575*K$547</f>
        <v>0</v>
      </c>
      <c r="L606" s="81">
        <f>Work_Codes!$K397*L575*L$547</f>
        <v>0</v>
      </c>
      <c r="M606" s="81">
        <f>Work_Codes!$K397*M575*M$547</f>
        <v>0</v>
      </c>
      <c r="N606" s="81">
        <f>Work_Codes!$K397*N575*N$547</f>
        <v>0</v>
      </c>
      <c r="O606" s="81">
        <f>Work_Codes!$K397*O575*O$547</f>
        <v>0</v>
      </c>
      <c r="P606" s="81">
        <f>Work_Codes!$K397*P575*P$547</f>
        <v>0</v>
      </c>
      <c r="Q606" s="81">
        <f>Work_Codes!$K397*Q575*Q$547</f>
        <v>0</v>
      </c>
      <c r="R606" s="81">
        <f>Work_Codes!$K397*R575*R$547</f>
        <v>0</v>
      </c>
      <c r="S606" s="81">
        <f>Work_Codes!$K397*S575*S$547</f>
        <v>0</v>
      </c>
      <c r="T606" s="81">
        <f>Work_Codes!$K397*T575*T$547</f>
        <v>0</v>
      </c>
    </row>
    <row r="607" spans="3:20" ht="5.9" hidden="1" customHeight="1" outlineLevel="2"/>
    <row r="608" spans="3:20" hidden="1" outlineLevel="2">
      <c r="D608" s="249" t="str">
        <f>"Total "&amp;C603</f>
        <v>Total Materials</v>
      </c>
      <c r="E608" s="249"/>
      <c r="F608" s="249"/>
      <c r="G608" s="249"/>
      <c r="H608" s="249"/>
      <c r="I608" s="249"/>
      <c r="J608" s="82">
        <f t="shared" ref="J608:T608" si="60">SUM(J605:J607)</f>
        <v>0</v>
      </c>
      <c r="K608" s="82">
        <f t="shared" si="60"/>
        <v>0</v>
      </c>
      <c r="L608" s="82">
        <f t="shared" si="60"/>
        <v>0</v>
      </c>
      <c r="M608" s="82">
        <f t="shared" si="60"/>
        <v>0</v>
      </c>
      <c r="N608" s="82">
        <f t="shared" si="60"/>
        <v>160439.94142305022</v>
      </c>
      <c r="O608" s="82">
        <f t="shared" si="60"/>
        <v>167087.06799999997</v>
      </c>
      <c r="P608" s="82">
        <f t="shared" si="60"/>
        <v>319928.02799999993</v>
      </c>
      <c r="Q608" s="82">
        <f t="shared" si="60"/>
        <v>324968.2919999999</v>
      </c>
      <c r="R608" s="82">
        <f t="shared" si="60"/>
        <v>329887.53599999991</v>
      </c>
      <c r="S608" s="82">
        <f t="shared" si="60"/>
        <v>325688.20599999995</v>
      </c>
      <c r="T608" s="82">
        <f t="shared" si="60"/>
        <v>321330.97399999993</v>
      </c>
    </row>
    <row r="609" spans="2:20" outlineLevel="1" collapsed="1"/>
    <row r="610" spans="2:20" outlineLevel="1">
      <c r="C610" s="37" t="s">
        <v>217</v>
      </c>
    </row>
    <row r="611" spans="2:20" ht="5.9" customHeight="1" outlineLevel="1"/>
    <row r="612" spans="2:20" outlineLevel="1">
      <c r="D612" s="102" t="str">
        <f>Work_Codes!D396</f>
        <v>Tariff D Connections</v>
      </c>
      <c r="J612" s="81">
        <f t="shared" ref="J612:T612" si="61">J591+J598+J605</f>
        <v>0</v>
      </c>
      <c r="K612" s="81">
        <f t="shared" si="61"/>
        <v>0</v>
      </c>
      <c r="L612" s="81">
        <f t="shared" si="61"/>
        <v>0</v>
      </c>
      <c r="M612" s="81">
        <f t="shared" si="61"/>
        <v>0</v>
      </c>
      <c r="N612" s="81">
        <f t="shared" si="61"/>
        <v>802199.70711525122</v>
      </c>
      <c r="O612" s="81">
        <f t="shared" si="61"/>
        <v>835608.97432704398</v>
      </c>
      <c r="P612" s="81">
        <f t="shared" si="61"/>
        <v>1600294.7238877779</v>
      </c>
      <c r="Q612" s="81">
        <f t="shared" si="61"/>
        <v>1626018.3188482048</v>
      </c>
      <c r="R612" s="81">
        <f t="shared" si="61"/>
        <v>1651371.8151533026</v>
      </c>
      <c r="S612" s="81">
        <f t="shared" si="61"/>
        <v>1631088.6295619586</v>
      </c>
      <c r="T612" s="81">
        <f t="shared" si="61"/>
        <v>1610003.275658139</v>
      </c>
    </row>
    <row r="613" spans="2:20" outlineLevel="1">
      <c r="D613" s="102" t="str">
        <f>Work_Codes!D397</f>
        <v>Capex Items Category 2</v>
      </c>
      <c r="J613" s="81">
        <f t="shared" ref="J613:T613" si="62">J592+J599+J606</f>
        <v>0</v>
      </c>
      <c r="K613" s="81">
        <f t="shared" si="62"/>
        <v>0</v>
      </c>
      <c r="L613" s="81">
        <f t="shared" si="62"/>
        <v>0</v>
      </c>
      <c r="M613" s="81">
        <f t="shared" si="62"/>
        <v>0</v>
      </c>
      <c r="N613" s="81">
        <f t="shared" si="62"/>
        <v>0</v>
      </c>
      <c r="O613" s="81">
        <f t="shared" si="62"/>
        <v>0</v>
      </c>
      <c r="P613" s="81">
        <f t="shared" si="62"/>
        <v>0</v>
      </c>
      <c r="Q613" s="81">
        <f t="shared" si="62"/>
        <v>0</v>
      </c>
      <c r="R613" s="81">
        <f t="shared" si="62"/>
        <v>0</v>
      </c>
      <c r="S613" s="81">
        <f t="shared" si="62"/>
        <v>0</v>
      </c>
      <c r="T613" s="81">
        <f t="shared" si="62"/>
        <v>0</v>
      </c>
    </row>
    <row r="614" spans="2:20" ht="5.9" customHeight="1" outlineLevel="1"/>
    <row r="615" spans="2:20" outlineLevel="1">
      <c r="D615" s="249" t="str">
        <f>C610</f>
        <v>Total Direct Capex including Escalation (Non CPI)</v>
      </c>
      <c r="E615" s="249"/>
      <c r="F615" s="249"/>
      <c r="G615" s="249"/>
      <c r="H615" s="249"/>
      <c r="I615" s="249"/>
      <c r="J615" s="82">
        <f t="shared" ref="J615:T615" si="63">SUM(J612:J614)</f>
        <v>0</v>
      </c>
      <c r="K615" s="82">
        <f t="shared" si="63"/>
        <v>0</v>
      </c>
      <c r="L615" s="82">
        <f t="shared" si="63"/>
        <v>0</v>
      </c>
      <c r="M615" s="82">
        <f t="shared" si="63"/>
        <v>0</v>
      </c>
      <c r="N615" s="82">
        <f t="shared" si="63"/>
        <v>802199.70711525122</v>
      </c>
      <c r="O615" s="82">
        <f t="shared" si="63"/>
        <v>835608.97432704398</v>
      </c>
      <c r="P615" s="82">
        <f t="shared" si="63"/>
        <v>1600294.7238877779</v>
      </c>
      <c r="Q615" s="82">
        <f t="shared" si="63"/>
        <v>1626018.3188482048</v>
      </c>
      <c r="R615" s="82">
        <f t="shared" si="63"/>
        <v>1651371.8151533026</v>
      </c>
      <c r="S615" s="82">
        <f t="shared" si="63"/>
        <v>1631088.6295619586</v>
      </c>
      <c r="T615" s="82">
        <f t="shared" si="63"/>
        <v>1610003.275658139</v>
      </c>
    </row>
    <row r="616" spans="2:20" outlineLevel="1">
      <c r="B616" s="12"/>
      <c r="C616" s="12"/>
      <c r="D616" s="12"/>
      <c r="E616" s="12"/>
      <c r="F616" s="12"/>
      <c r="G616" s="12"/>
      <c r="H616" s="12"/>
      <c r="I616" s="12"/>
      <c r="J616" s="12"/>
      <c r="K616" s="12"/>
      <c r="L616" s="12"/>
      <c r="M616" s="12"/>
      <c r="N616" s="12"/>
      <c r="O616" s="12"/>
      <c r="P616" s="12"/>
      <c r="Q616" s="12"/>
      <c r="R616" s="12"/>
      <c r="S616" s="12"/>
      <c r="T616" s="12"/>
    </row>
    <row r="617" spans="2:20" outlineLevel="1"/>
    <row r="618" spans="2:20" outlineLevel="1">
      <c r="C618" s="37" t="s">
        <v>195</v>
      </c>
    </row>
    <row r="619" spans="2:20" ht="5.9" customHeight="1" outlineLevel="2"/>
    <row r="620" spans="2:20" outlineLevel="2">
      <c r="D620" s="37" t="s">
        <v>215</v>
      </c>
    </row>
    <row r="621" spans="2:20" ht="5.9" customHeight="1" outlineLevel="2"/>
    <row r="622" spans="2:20" outlineLevel="2">
      <c r="E622" s="247" t="str">
        <f>GC!C40</f>
        <v>Transmission pipelines</v>
      </c>
      <c r="F622" s="247"/>
      <c r="G622" s="247"/>
      <c r="H622" s="247"/>
      <c r="I622" s="247"/>
      <c r="J622" s="81">
        <f ca="1">SUMPRODUCT((Work_Codes!$N$393:$Y$393=$E622)*(Work_Codes!$N$396:$Y$397)*(J$612:J$613))</f>
        <v>0</v>
      </c>
      <c r="K622" s="81">
        <f ca="1">SUMPRODUCT((Work_Codes!$N$393:$Y$393=$E622)*(Work_Codes!$N$396:$Y$397)*(K$612:K$613))</f>
        <v>0</v>
      </c>
      <c r="L622" s="81">
        <f ca="1">SUMPRODUCT((Work_Codes!$N$393:$Y$393=$E622)*(Work_Codes!$N$396:$Y$397)*(L$612:L$613))</f>
        <v>0</v>
      </c>
      <c r="M622" s="81">
        <f ca="1">SUMPRODUCT((Work_Codes!$N$393:$Y$393=$E622)*(Work_Codes!$N$396:$Y$397)*(M$612:M$613))</f>
        <v>0</v>
      </c>
      <c r="N622" s="81">
        <f ca="1">SUMPRODUCT((Work_Codes!$N$393:$Y$393=$E622)*(Work_Codes!$N$396:$Y$397)*(N$612:N$613))</f>
        <v>0</v>
      </c>
      <c r="O622" s="81">
        <f ca="1">SUMPRODUCT((Work_Codes!$N$393:$Y$393=$E622)*(Work_Codes!$N$396:$Y$397)*(O$612:O$613))</f>
        <v>0</v>
      </c>
      <c r="P622" s="81">
        <f ca="1">SUMPRODUCT((Work_Codes!$N$393:$Y$393=$E622)*(Work_Codes!$N$396:$Y$397)*(P$612:P$613))</f>
        <v>0</v>
      </c>
      <c r="Q622" s="81">
        <f ca="1">SUMPRODUCT((Work_Codes!$N$393:$Y$393=$E622)*(Work_Codes!$N$396:$Y$397)*(Q$612:Q$613))</f>
        <v>0</v>
      </c>
      <c r="R622" s="81">
        <f ca="1">SUMPRODUCT((Work_Codes!$N$393:$Y$393=$E622)*(Work_Codes!$N$396:$Y$397)*(R$612:R$613))</f>
        <v>0</v>
      </c>
      <c r="S622" s="81">
        <f ca="1">SUMPRODUCT((Work_Codes!$N$393:$Y$393=$E622)*(Work_Codes!$N$396:$Y$397)*(S$612:S$613))</f>
        <v>0</v>
      </c>
      <c r="T622" s="81">
        <f ca="1">SUMPRODUCT((Work_Codes!$N$393:$Y$393=$E622)*(Work_Codes!$N$396:$Y$397)*(T$612:T$613))</f>
        <v>0</v>
      </c>
    </row>
    <row r="623" spans="2:20" outlineLevel="2">
      <c r="E623" s="247" t="str">
        <f>GC!C41</f>
        <v>Distribution pipelines</v>
      </c>
      <c r="F623" s="247"/>
      <c r="G623" s="247"/>
      <c r="H623" s="247"/>
      <c r="I623" s="247"/>
      <c r="J623" s="81">
        <f ca="1">SUMPRODUCT((Work_Codes!$N$393:$Y$393=$E623)*(Work_Codes!$N$396:$Y$397)*(J$612:J$613))</f>
        <v>0</v>
      </c>
      <c r="K623" s="81">
        <f ca="1">SUMPRODUCT((Work_Codes!$N$393:$Y$393=$E623)*(Work_Codes!$N$396:$Y$397)*(K$612:K$613))</f>
        <v>0</v>
      </c>
      <c r="L623" s="81">
        <f ca="1">SUMPRODUCT((Work_Codes!$N$393:$Y$393=$E623)*(Work_Codes!$N$396:$Y$397)*(L$612:L$613))</f>
        <v>0</v>
      </c>
      <c r="M623" s="81">
        <f ca="1">SUMPRODUCT((Work_Codes!$N$393:$Y$393=$E623)*(Work_Codes!$N$396:$Y$397)*(M$612:M$613))</f>
        <v>0</v>
      </c>
      <c r="N623" s="81">
        <f ca="1">SUMPRODUCT((Work_Codes!$N$393:$Y$393=$E623)*(Work_Codes!$N$396:$Y$397)*(N$612:N$613))</f>
        <v>0</v>
      </c>
      <c r="O623" s="81">
        <f ca="1">SUMPRODUCT((Work_Codes!$N$393:$Y$393=$E623)*(Work_Codes!$N$396:$Y$397)*(O$612:O$613))</f>
        <v>0</v>
      </c>
      <c r="P623" s="81">
        <f ca="1">SUMPRODUCT((Work_Codes!$N$393:$Y$393=$E623)*(Work_Codes!$N$396:$Y$397)*(P$612:P$613))</f>
        <v>0</v>
      </c>
      <c r="Q623" s="81">
        <f ca="1">SUMPRODUCT((Work_Codes!$N$393:$Y$393=$E623)*(Work_Codes!$N$396:$Y$397)*(Q$612:Q$613))</f>
        <v>0</v>
      </c>
      <c r="R623" s="81">
        <f ca="1">SUMPRODUCT((Work_Codes!$N$393:$Y$393=$E623)*(Work_Codes!$N$396:$Y$397)*(R$612:R$613))</f>
        <v>0</v>
      </c>
      <c r="S623" s="81">
        <f ca="1">SUMPRODUCT((Work_Codes!$N$393:$Y$393=$E623)*(Work_Codes!$N$396:$Y$397)*(S$612:S$613))</f>
        <v>0</v>
      </c>
      <c r="T623" s="81">
        <f ca="1">SUMPRODUCT((Work_Codes!$N$393:$Y$393=$E623)*(Work_Codes!$N$396:$Y$397)*(T$612:T$613))</f>
        <v>0</v>
      </c>
    </row>
    <row r="624" spans="2:20" outlineLevel="2">
      <c r="E624" s="247" t="str">
        <f>GC!C42</f>
        <v>Service pipes</v>
      </c>
      <c r="F624" s="247"/>
      <c r="G624" s="247"/>
      <c r="H624" s="247"/>
      <c r="I624" s="247"/>
      <c r="J624" s="81">
        <f ca="1">SUMPRODUCT((Work_Codes!$N$393:$Y$393=$E624)*(Work_Codes!$N$396:$Y$397)*(J$612:J$613))</f>
        <v>0</v>
      </c>
      <c r="K624" s="81">
        <f ca="1">SUMPRODUCT((Work_Codes!$N$393:$Y$393=$E624)*(Work_Codes!$N$396:$Y$397)*(K$612:K$613))</f>
        <v>0</v>
      </c>
      <c r="L624" s="81">
        <f ca="1">SUMPRODUCT((Work_Codes!$N$393:$Y$393=$E624)*(Work_Codes!$N$396:$Y$397)*(L$612:L$613))</f>
        <v>0</v>
      </c>
      <c r="M624" s="81">
        <f ca="1">SUMPRODUCT((Work_Codes!$N$393:$Y$393=$E624)*(Work_Codes!$N$396:$Y$397)*(M$612:M$613))</f>
        <v>0</v>
      </c>
      <c r="N624" s="81">
        <f ca="1">SUMPRODUCT((Work_Codes!$N$393:$Y$393=$E624)*(Work_Codes!$N$396:$Y$397)*(N$612:N$613))</f>
        <v>0</v>
      </c>
      <c r="O624" s="81">
        <f ca="1">SUMPRODUCT((Work_Codes!$N$393:$Y$393=$E624)*(Work_Codes!$N$396:$Y$397)*(O$612:O$613))</f>
        <v>0</v>
      </c>
      <c r="P624" s="81">
        <f ca="1">SUMPRODUCT((Work_Codes!$N$393:$Y$393=$E624)*(Work_Codes!$N$396:$Y$397)*(P$612:P$613))</f>
        <v>0</v>
      </c>
      <c r="Q624" s="81">
        <f ca="1">SUMPRODUCT((Work_Codes!$N$393:$Y$393=$E624)*(Work_Codes!$N$396:$Y$397)*(Q$612:Q$613))</f>
        <v>0</v>
      </c>
      <c r="R624" s="81">
        <f ca="1">SUMPRODUCT((Work_Codes!$N$393:$Y$393=$E624)*(Work_Codes!$N$396:$Y$397)*(R$612:R$613))</f>
        <v>0</v>
      </c>
      <c r="S624" s="81">
        <f ca="1">SUMPRODUCT((Work_Codes!$N$393:$Y$393=$E624)*(Work_Codes!$N$396:$Y$397)*(S$612:S$613))</f>
        <v>0</v>
      </c>
      <c r="T624" s="81">
        <f ca="1">SUMPRODUCT((Work_Codes!$N$393:$Y$393=$E624)*(Work_Codes!$N$396:$Y$397)*(T$612:T$613))</f>
        <v>0</v>
      </c>
    </row>
    <row r="625" spans="4:20" outlineLevel="2">
      <c r="E625" s="247" t="str">
        <f>GC!C43</f>
        <v>Cathodic protection</v>
      </c>
      <c r="F625" s="247"/>
      <c r="G625" s="247"/>
      <c r="H625" s="247"/>
      <c r="I625" s="247"/>
      <c r="J625" s="81">
        <f ca="1">SUMPRODUCT((Work_Codes!$N$393:$Y$393=$E625)*(Work_Codes!$N$396:$Y$397)*(J$612:J$613))</f>
        <v>0</v>
      </c>
      <c r="K625" s="81">
        <f ca="1">SUMPRODUCT((Work_Codes!$N$393:$Y$393=$E625)*(Work_Codes!$N$396:$Y$397)*(K$612:K$613))</f>
        <v>0</v>
      </c>
      <c r="L625" s="81">
        <f ca="1">SUMPRODUCT((Work_Codes!$N$393:$Y$393=$E625)*(Work_Codes!$N$396:$Y$397)*(L$612:L$613))</f>
        <v>0</v>
      </c>
      <c r="M625" s="81">
        <f ca="1">SUMPRODUCT((Work_Codes!$N$393:$Y$393=$E625)*(Work_Codes!$N$396:$Y$397)*(M$612:M$613))</f>
        <v>0</v>
      </c>
      <c r="N625" s="81">
        <f ca="1">SUMPRODUCT((Work_Codes!$N$393:$Y$393=$E625)*(Work_Codes!$N$396:$Y$397)*(N$612:N$613))</f>
        <v>0</v>
      </c>
      <c r="O625" s="81">
        <f ca="1">SUMPRODUCT((Work_Codes!$N$393:$Y$393=$E625)*(Work_Codes!$N$396:$Y$397)*(O$612:O$613))</f>
        <v>0</v>
      </c>
      <c r="P625" s="81">
        <f ca="1">SUMPRODUCT((Work_Codes!$N$393:$Y$393=$E625)*(Work_Codes!$N$396:$Y$397)*(P$612:P$613))</f>
        <v>0</v>
      </c>
      <c r="Q625" s="81">
        <f ca="1">SUMPRODUCT((Work_Codes!$N$393:$Y$393=$E625)*(Work_Codes!$N$396:$Y$397)*(Q$612:Q$613))</f>
        <v>0</v>
      </c>
      <c r="R625" s="81">
        <f ca="1">SUMPRODUCT((Work_Codes!$N$393:$Y$393=$E625)*(Work_Codes!$N$396:$Y$397)*(R$612:R$613))</f>
        <v>0</v>
      </c>
      <c r="S625" s="81">
        <f ca="1">SUMPRODUCT((Work_Codes!$N$393:$Y$393=$E625)*(Work_Codes!$N$396:$Y$397)*(S$612:S$613))</f>
        <v>0</v>
      </c>
      <c r="T625" s="81">
        <f ca="1">SUMPRODUCT((Work_Codes!$N$393:$Y$393=$E625)*(Work_Codes!$N$396:$Y$397)*(T$612:T$613))</f>
        <v>0</v>
      </c>
    </row>
    <row r="626" spans="4:20" outlineLevel="2">
      <c r="E626" s="247" t="str">
        <f>GC!C44</f>
        <v>Supply Regulators / Valve Stations</v>
      </c>
      <c r="F626" s="247"/>
      <c r="G626" s="247"/>
      <c r="H626" s="247"/>
      <c r="I626" s="247"/>
      <c r="J626" s="81">
        <f ca="1">SUMPRODUCT((Work_Codes!$N$393:$Y$393=$E626)*(Work_Codes!$N$396:$Y$397)*(J$612:J$613))</f>
        <v>0</v>
      </c>
      <c r="K626" s="81">
        <f ca="1">SUMPRODUCT((Work_Codes!$N$393:$Y$393=$E626)*(Work_Codes!$N$396:$Y$397)*(K$612:K$613))</f>
        <v>0</v>
      </c>
      <c r="L626" s="81">
        <f ca="1">SUMPRODUCT((Work_Codes!$N$393:$Y$393=$E626)*(Work_Codes!$N$396:$Y$397)*(L$612:L$613))</f>
        <v>0</v>
      </c>
      <c r="M626" s="81">
        <f ca="1">SUMPRODUCT((Work_Codes!$N$393:$Y$393=$E626)*(Work_Codes!$N$396:$Y$397)*(M$612:M$613))</f>
        <v>0</v>
      </c>
      <c r="N626" s="81">
        <f ca="1">SUMPRODUCT((Work_Codes!$N$393:$Y$393=$E626)*(Work_Codes!$N$396:$Y$397)*(N$612:N$613))</f>
        <v>0</v>
      </c>
      <c r="O626" s="81">
        <f ca="1">SUMPRODUCT((Work_Codes!$N$393:$Y$393=$E626)*(Work_Codes!$N$396:$Y$397)*(O$612:O$613))</f>
        <v>0</v>
      </c>
      <c r="P626" s="81">
        <f ca="1">SUMPRODUCT((Work_Codes!$N$393:$Y$393=$E626)*(Work_Codes!$N$396:$Y$397)*(P$612:P$613))</f>
        <v>0</v>
      </c>
      <c r="Q626" s="81">
        <f ca="1">SUMPRODUCT((Work_Codes!$N$393:$Y$393=$E626)*(Work_Codes!$N$396:$Y$397)*(Q$612:Q$613))</f>
        <v>0</v>
      </c>
      <c r="R626" s="81">
        <f ca="1">SUMPRODUCT((Work_Codes!$N$393:$Y$393=$E626)*(Work_Codes!$N$396:$Y$397)*(R$612:R$613))</f>
        <v>0</v>
      </c>
      <c r="S626" s="81">
        <f ca="1">SUMPRODUCT((Work_Codes!$N$393:$Y$393=$E626)*(Work_Codes!$N$396:$Y$397)*(S$612:S$613))</f>
        <v>0</v>
      </c>
      <c r="T626" s="81">
        <f ca="1">SUMPRODUCT((Work_Codes!$N$393:$Y$393=$E626)*(Work_Codes!$N$396:$Y$397)*(T$612:T$613))</f>
        <v>0</v>
      </c>
    </row>
    <row r="627" spans="4:20" outlineLevel="2">
      <c r="E627" s="247" t="str">
        <f>GC!C45</f>
        <v>Meters</v>
      </c>
      <c r="F627" s="247"/>
      <c r="G627" s="247"/>
      <c r="H627" s="247"/>
      <c r="I627" s="247"/>
      <c r="J627" s="81">
        <f ca="1">SUMPRODUCT((Work_Codes!$N$393:$Y$393=$E627)*(Work_Codes!$N$396:$Y$397)*(J$612:J$613))</f>
        <v>0</v>
      </c>
      <c r="K627" s="81">
        <f ca="1">SUMPRODUCT((Work_Codes!$N$393:$Y$393=$E627)*(Work_Codes!$N$396:$Y$397)*(K$612:K$613))</f>
        <v>0</v>
      </c>
      <c r="L627" s="81">
        <f ca="1">SUMPRODUCT((Work_Codes!$N$393:$Y$393=$E627)*(Work_Codes!$N$396:$Y$397)*(L$612:L$613))</f>
        <v>0</v>
      </c>
      <c r="M627" s="81">
        <f ca="1">SUMPRODUCT((Work_Codes!$N$393:$Y$393=$E627)*(Work_Codes!$N$396:$Y$397)*(M$612:M$613))</f>
        <v>0</v>
      </c>
      <c r="N627" s="81">
        <f ca="1">SUMPRODUCT((Work_Codes!$N$393:$Y$393=$E627)*(Work_Codes!$N$396:$Y$397)*(N$612:N$613))</f>
        <v>160439.94142305024</v>
      </c>
      <c r="O627" s="81">
        <f ca="1">SUMPRODUCT((Work_Codes!$N$393:$Y$393=$E627)*(Work_Codes!$N$396:$Y$397)*(O$612:O$613))</f>
        <v>167121.7948654088</v>
      </c>
      <c r="P627" s="81">
        <f ca="1">SUMPRODUCT((Work_Codes!$N$393:$Y$393=$E627)*(Work_Codes!$N$396:$Y$397)*(P$612:P$613))</f>
        <v>320058.94477755559</v>
      </c>
      <c r="Q627" s="81">
        <f ca="1">SUMPRODUCT((Work_Codes!$N$393:$Y$393=$E627)*(Work_Codes!$N$396:$Y$397)*(Q$612:Q$613))</f>
        <v>325203.66376964096</v>
      </c>
      <c r="R627" s="81">
        <f ca="1">SUMPRODUCT((Work_Codes!$N$393:$Y$393=$E627)*(Work_Codes!$N$396:$Y$397)*(R$612:R$613))</f>
        <v>330274.36303066055</v>
      </c>
      <c r="S627" s="81">
        <f ca="1">SUMPRODUCT((Work_Codes!$N$393:$Y$393=$E627)*(Work_Codes!$N$396:$Y$397)*(S$612:S$613))</f>
        <v>326217.72591239173</v>
      </c>
      <c r="T627" s="81">
        <f ca="1">SUMPRODUCT((Work_Codes!$N$393:$Y$393=$E627)*(Work_Codes!$N$396:$Y$397)*(T$612:T$613))</f>
        <v>322000.65513162781</v>
      </c>
    </row>
    <row r="628" spans="4:20" outlineLevel="2">
      <c r="E628" s="247" t="str">
        <f>GC!C46</f>
        <v>SCADA and remote control</v>
      </c>
      <c r="F628" s="247"/>
      <c r="G628" s="247"/>
      <c r="H628" s="247"/>
      <c r="I628" s="247"/>
      <c r="J628" s="81">
        <f ca="1">SUMPRODUCT((Work_Codes!$N$393:$Y$393=$E628)*(Work_Codes!$N$396:$Y$397)*(J$612:J$613))</f>
        <v>0</v>
      </c>
      <c r="K628" s="81">
        <f ca="1">SUMPRODUCT((Work_Codes!$N$393:$Y$393=$E628)*(Work_Codes!$N$396:$Y$397)*(K$612:K$613))</f>
        <v>0</v>
      </c>
      <c r="L628" s="81">
        <f ca="1">SUMPRODUCT((Work_Codes!$N$393:$Y$393=$E628)*(Work_Codes!$N$396:$Y$397)*(L$612:L$613))</f>
        <v>0</v>
      </c>
      <c r="M628" s="81">
        <f ca="1">SUMPRODUCT((Work_Codes!$N$393:$Y$393=$E628)*(Work_Codes!$N$396:$Y$397)*(M$612:M$613))</f>
        <v>0</v>
      </c>
      <c r="N628" s="81">
        <f ca="1">SUMPRODUCT((Work_Codes!$N$393:$Y$393=$E628)*(Work_Codes!$N$396:$Y$397)*(N$612:N$613))</f>
        <v>0</v>
      </c>
      <c r="O628" s="81">
        <f ca="1">SUMPRODUCT((Work_Codes!$N$393:$Y$393=$E628)*(Work_Codes!$N$396:$Y$397)*(O$612:O$613))</f>
        <v>0</v>
      </c>
      <c r="P628" s="81">
        <f ca="1">SUMPRODUCT((Work_Codes!$N$393:$Y$393=$E628)*(Work_Codes!$N$396:$Y$397)*(P$612:P$613))</f>
        <v>0</v>
      </c>
      <c r="Q628" s="81">
        <f ca="1">SUMPRODUCT((Work_Codes!$N$393:$Y$393=$E628)*(Work_Codes!$N$396:$Y$397)*(Q$612:Q$613))</f>
        <v>0</v>
      </c>
      <c r="R628" s="81">
        <f ca="1">SUMPRODUCT((Work_Codes!$N$393:$Y$393=$E628)*(Work_Codes!$N$396:$Y$397)*(R$612:R$613))</f>
        <v>0</v>
      </c>
      <c r="S628" s="81">
        <f ca="1">SUMPRODUCT((Work_Codes!$N$393:$Y$393=$E628)*(Work_Codes!$N$396:$Y$397)*(S$612:S$613))</f>
        <v>0</v>
      </c>
      <c r="T628" s="81">
        <f ca="1">SUMPRODUCT((Work_Codes!$N$393:$Y$393=$E628)*(Work_Codes!$N$396:$Y$397)*(T$612:T$613))</f>
        <v>0</v>
      </c>
    </row>
    <row r="629" spans="4:20" outlineLevel="2">
      <c r="E629" s="247" t="str">
        <f>GC!C47</f>
        <v>Buildings</v>
      </c>
      <c r="F629" s="247"/>
      <c r="G629" s="247"/>
      <c r="H629" s="247"/>
      <c r="I629" s="247"/>
      <c r="J629" s="81">
        <f ca="1">SUMPRODUCT((Work_Codes!$N$393:$Y$393=$E629)*(Work_Codes!$N$396:$Y$397)*(J$612:J$613))</f>
        <v>0</v>
      </c>
      <c r="K629" s="81">
        <f ca="1">SUMPRODUCT((Work_Codes!$N$393:$Y$393=$E629)*(Work_Codes!$N$396:$Y$397)*(K$612:K$613))</f>
        <v>0</v>
      </c>
      <c r="L629" s="81">
        <f ca="1">SUMPRODUCT((Work_Codes!$N$393:$Y$393=$E629)*(Work_Codes!$N$396:$Y$397)*(L$612:L$613))</f>
        <v>0</v>
      </c>
      <c r="M629" s="81">
        <f ca="1">SUMPRODUCT((Work_Codes!$N$393:$Y$393=$E629)*(Work_Codes!$N$396:$Y$397)*(M$612:M$613))</f>
        <v>0</v>
      </c>
      <c r="N629" s="81">
        <f ca="1">SUMPRODUCT((Work_Codes!$N$393:$Y$393=$E629)*(Work_Codes!$N$396:$Y$397)*(N$612:N$613))</f>
        <v>0</v>
      </c>
      <c r="O629" s="81">
        <f ca="1">SUMPRODUCT((Work_Codes!$N$393:$Y$393=$E629)*(Work_Codes!$N$396:$Y$397)*(O$612:O$613))</f>
        <v>0</v>
      </c>
      <c r="P629" s="81">
        <f ca="1">SUMPRODUCT((Work_Codes!$N$393:$Y$393=$E629)*(Work_Codes!$N$396:$Y$397)*(P$612:P$613))</f>
        <v>0</v>
      </c>
      <c r="Q629" s="81">
        <f ca="1">SUMPRODUCT((Work_Codes!$N$393:$Y$393=$E629)*(Work_Codes!$N$396:$Y$397)*(Q$612:Q$613))</f>
        <v>0</v>
      </c>
      <c r="R629" s="81">
        <f ca="1">SUMPRODUCT((Work_Codes!$N$393:$Y$393=$E629)*(Work_Codes!$N$396:$Y$397)*(R$612:R$613))</f>
        <v>0</v>
      </c>
      <c r="S629" s="81">
        <f ca="1">SUMPRODUCT((Work_Codes!$N$393:$Y$393=$E629)*(Work_Codes!$N$396:$Y$397)*(S$612:S$613))</f>
        <v>0</v>
      </c>
      <c r="T629" s="81">
        <f ca="1">SUMPRODUCT((Work_Codes!$N$393:$Y$393=$E629)*(Work_Codes!$N$396:$Y$397)*(T$612:T$613))</f>
        <v>0</v>
      </c>
    </row>
    <row r="630" spans="4:20" outlineLevel="2">
      <c r="E630" s="247" t="str">
        <f>GC!C48</f>
        <v>Other - IT</v>
      </c>
      <c r="F630" s="247"/>
      <c r="G630" s="247"/>
      <c r="H630" s="247"/>
      <c r="I630" s="247"/>
      <c r="J630" s="81">
        <f ca="1">SUMPRODUCT((Work_Codes!$N$393:$Y$393=$E630)*(Work_Codes!$N$396:$Y$397)*(J$612:J$613))</f>
        <v>0</v>
      </c>
      <c r="K630" s="81">
        <f ca="1">SUMPRODUCT((Work_Codes!$N$393:$Y$393=$E630)*(Work_Codes!$N$396:$Y$397)*(K$612:K$613))</f>
        <v>0</v>
      </c>
      <c r="L630" s="81">
        <f ca="1">SUMPRODUCT((Work_Codes!$N$393:$Y$393=$E630)*(Work_Codes!$N$396:$Y$397)*(L$612:L$613))</f>
        <v>0</v>
      </c>
      <c r="M630" s="81">
        <f ca="1">SUMPRODUCT((Work_Codes!$N$393:$Y$393=$E630)*(Work_Codes!$N$396:$Y$397)*(M$612:M$613))</f>
        <v>0</v>
      </c>
      <c r="N630" s="81">
        <f ca="1">SUMPRODUCT((Work_Codes!$N$393:$Y$393=$E630)*(Work_Codes!$N$396:$Y$397)*(N$612:N$613))</f>
        <v>0</v>
      </c>
      <c r="O630" s="81">
        <f ca="1">SUMPRODUCT((Work_Codes!$N$393:$Y$393=$E630)*(Work_Codes!$N$396:$Y$397)*(O$612:O$613))</f>
        <v>0</v>
      </c>
      <c r="P630" s="81">
        <f ca="1">SUMPRODUCT((Work_Codes!$N$393:$Y$393=$E630)*(Work_Codes!$N$396:$Y$397)*(P$612:P$613))</f>
        <v>0</v>
      </c>
      <c r="Q630" s="81">
        <f ca="1">SUMPRODUCT((Work_Codes!$N$393:$Y$393=$E630)*(Work_Codes!$N$396:$Y$397)*(Q$612:Q$613))</f>
        <v>0</v>
      </c>
      <c r="R630" s="81">
        <f ca="1">SUMPRODUCT((Work_Codes!$N$393:$Y$393=$E630)*(Work_Codes!$N$396:$Y$397)*(R$612:R$613))</f>
        <v>0</v>
      </c>
      <c r="S630" s="81">
        <f ca="1">SUMPRODUCT((Work_Codes!$N$393:$Y$393=$E630)*(Work_Codes!$N$396:$Y$397)*(S$612:S$613))</f>
        <v>0</v>
      </c>
      <c r="T630" s="81">
        <f ca="1">SUMPRODUCT((Work_Codes!$N$393:$Y$393=$E630)*(Work_Codes!$N$396:$Y$397)*(T$612:T$613))</f>
        <v>0</v>
      </c>
    </row>
    <row r="631" spans="4:20" outlineLevel="2">
      <c r="E631" s="247" t="str">
        <f>GC!C49</f>
        <v>Other - non IT</v>
      </c>
      <c r="F631" s="247"/>
      <c r="G631" s="247"/>
      <c r="H631" s="247"/>
      <c r="I631" s="247"/>
      <c r="J631" s="81">
        <f ca="1">SUMPRODUCT((Work_Codes!$N$393:$Y$393=$E631)*(Work_Codes!$N$396:$Y$397)*(J$612:J$613))</f>
        <v>0</v>
      </c>
      <c r="K631" s="81">
        <f ca="1">SUMPRODUCT((Work_Codes!$N$393:$Y$393=$E631)*(Work_Codes!$N$396:$Y$397)*(K$612:K$613))</f>
        <v>0</v>
      </c>
      <c r="L631" s="81">
        <f ca="1">SUMPRODUCT((Work_Codes!$N$393:$Y$393=$E631)*(Work_Codes!$N$396:$Y$397)*(L$612:L$613))</f>
        <v>0</v>
      </c>
      <c r="M631" s="81">
        <f ca="1">SUMPRODUCT((Work_Codes!$N$393:$Y$393=$E631)*(Work_Codes!$N$396:$Y$397)*(M$612:M$613))</f>
        <v>0</v>
      </c>
      <c r="N631" s="81">
        <f ca="1">SUMPRODUCT((Work_Codes!$N$393:$Y$393=$E631)*(Work_Codes!$N$396:$Y$397)*(N$612:N$613))</f>
        <v>0</v>
      </c>
      <c r="O631" s="81">
        <f ca="1">SUMPRODUCT((Work_Codes!$N$393:$Y$393=$E631)*(Work_Codes!$N$396:$Y$397)*(O$612:O$613))</f>
        <v>0</v>
      </c>
      <c r="P631" s="81">
        <f ca="1">SUMPRODUCT((Work_Codes!$N$393:$Y$393=$E631)*(Work_Codes!$N$396:$Y$397)*(P$612:P$613))</f>
        <v>0</v>
      </c>
      <c r="Q631" s="81">
        <f ca="1">SUMPRODUCT((Work_Codes!$N$393:$Y$393=$E631)*(Work_Codes!$N$396:$Y$397)*(Q$612:Q$613))</f>
        <v>0</v>
      </c>
      <c r="R631" s="81">
        <f ca="1">SUMPRODUCT((Work_Codes!$N$393:$Y$393=$E631)*(Work_Codes!$N$396:$Y$397)*(R$612:R$613))</f>
        <v>0</v>
      </c>
      <c r="S631" s="81">
        <f ca="1">SUMPRODUCT((Work_Codes!$N$393:$Y$393=$E631)*(Work_Codes!$N$396:$Y$397)*(S$612:S$613))</f>
        <v>0</v>
      </c>
      <c r="T631" s="81">
        <f ca="1">SUMPRODUCT((Work_Codes!$N$393:$Y$393=$E631)*(Work_Codes!$N$396:$Y$397)*(T$612:T$613))</f>
        <v>0</v>
      </c>
    </row>
    <row r="632" spans="4:20" outlineLevel="2">
      <c r="E632" s="247" t="str">
        <f>GC!C50</f>
        <v>Land</v>
      </c>
      <c r="F632" s="247"/>
      <c r="G632" s="247"/>
      <c r="H632" s="247"/>
      <c r="I632" s="247"/>
      <c r="J632" s="81">
        <f ca="1">SUMPRODUCT((Work_Codes!$N$393:$Y$393=$E632)*(Work_Codes!$N$396:$Y$397)*(J$612:J$613))</f>
        <v>0</v>
      </c>
      <c r="K632" s="81">
        <f ca="1">SUMPRODUCT((Work_Codes!$N$393:$Y$393=$E632)*(Work_Codes!$N$396:$Y$397)*(K$612:K$613))</f>
        <v>0</v>
      </c>
      <c r="L632" s="81">
        <f ca="1">SUMPRODUCT((Work_Codes!$N$393:$Y$393=$E632)*(Work_Codes!$N$396:$Y$397)*(L$612:L$613))</f>
        <v>0</v>
      </c>
      <c r="M632" s="81">
        <f ca="1">SUMPRODUCT((Work_Codes!$N$393:$Y$393=$E632)*(Work_Codes!$N$396:$Y$397)*(M$612:M$613))</f>
        <v>0</v>
      </c>
      <c r="N632" s="81">
        <f ca="1">SUMPRODUCT((Work_Codes!$N$393:$Y$393=$E632)*(Work_Codes!$N$396:$Y$397)*(N$612:N$613))</f>
        <v>0</v>
      </c>
      <c r="O632" s="81">
        <f ca="1">SUMPRODUCT((Work_Codes!$N$393:$Y$393=$E632)*(Work_Codes!$N$396:$Y$397)*(O$612:O$613))</f>
        <v>0</v>
      </c>
      <c r="P632" s="81">
        <f ca="1">SUMPRODUCT((Work_Codes!$N$393:$Y$393=$E632)*(Work_Codes!$N$396:$Y$397)*(P$612:P$613))</f>
        <v>0</v>
      </c>
      <c r="Q632" s="81">
        <f ca="1">SUMPRODUCT((Work_Codes!$N$393:$Y$393=$E632)*(Work_Codes!$N$396:$Y$397)*(Q$612:Q$613))</f>
        <v>0</v>
      </c>
      <c r="R632" s="81">
        <f ca="1">SUMPRODUCT((Work_Codes!$N$393:$Y$393=$E632)*(Work_Codes!$N$396:$Y$397)*(R$612:R$613))</f>
        <v>0</v>
      </c>
      <c r="S632" s="81">
        <f ca="1">SUMPRODUCT((Work_Codes!$N$393:$Y$393=$E632)*(Work_Codes!$N$396:$Y$397)*(S$612:S$613))</f>
        <v>0</v>
      </c>
      <c r="T632" s="81">
        <f ca="1">SUMPRODUCT((Work_Codes!$N$393:$Y$393=$E632)*(Work_Codes!$N$396:$Y$397)*(T$612:T$613))</f>
        <v>0</v>
      </c>
    </row>
    <row r="633" spans="4:20" outlineLevel="2">
      <c r="E633" s="247" t="str">
        <f>GC!C51</f>
        <v>Capitalised Leases</v>
      </c>
      <c r="F633" s="247"/>
      <c r="G633" s="247"/>
      <c r="H633" s="247"/>
      <c r="I633" s="247"/>
      <c r="J633" s="81">
        <f ca="1">SUMPRODUCT((Work_Codes!$N$393:$Y$393=$E633)*(Work_Codes!$N$396:$Y$397)*(J$612:J$613))</f>
        <v>0</v>
      </c>
      <c r="K633" s="81">
        <f ca="1">SUMPRODUCT((Work_Codes!$N$393:$Y$393=$E633)*(Work_Codes!$N$396:$Y$397)*(K$612:K$613))</f>
        <v>0</v>
      </c>
      <c r="L633" s="81">
        <f ca="1">SUMPRODUCT((Work_Codes!$N$393:$Y$393=$E633)*(Work_Codes!$N$396:$Y$397)*(L$612:L$613))</f>
        <v>0</v>
      </c>
      <c r="M633" s="81">
        <f ca="1">SUMPRODUCT((Work_Codes!$N$393:$Y$393=$E633)*(Work_Codes!$N$396:$Y$397)*(M$612:M$613))</f>
        <v>0</v>
      </c>
      <c r="N633" s="81">
        <f ca="1">SUMPRODUCT((Work_Codes!$N$393:$Y$393=$E633)*(Work_Codes!$N$396:$Y$397)*(N$612:N$613))</f>
        <v>0</v>
      </c>
      <c r="O633" s="81">
        <f ca="1">SUMPRODUCT((Work_Codes!$N$393:$Y$393=$E633)*(Work_Codes!$N$396:$Y$397)*(O$612:O$613))</f>
        <v>0</v>
      </c>
      <c r="P633" s="81">
        <f ca="1">SUMPRODUCT((Work_Codes!$N$393:$Y$393=$E633)*(Work_Codes!$N$396:$Y$397)*(P$612:P$613))</f>
        <v>0</v>
      </c>
      <c r="Q633" s="81">
        <f ca="1">SUMPRODUCT((Work_Codes!$N$393:$Y$393=$E633)*(Work_Codes!$N$396:$Y$397)*(Q$612:Q$613))</f>
        <v>0</v>
      </c>
      <c r="R633" s="81">
        <f ca="1">SUMPRODUCT((Work_Codes!$N$393:$Y$393=$E633)*(Work_Codes!$N$396:$Y$397)*(R$612:R$613))</f>
        <v>0</v>
      </c>
      <c r="S633" s="81">
        <f ca="1">SUMPRODUCT((Work_Codes!$N$393:$Y$393=$E633)*(Work_Codes!$N$396:$Y$397)*(S$612:S$613))</f>
        <v>0</v>
      </c>
      <c r="T633" s="81">
        <f ca="1">SUMPRODUCT((Work_Codes!$N$393:$Y$393=$E633)*(Work_Codes!$N$396:$Y$397)*(T$612:T$613))</f>
        <v>0</v>
      </c>
    </row>
    <row r="634" spans="4:20" outlineLevel="2">
      <c r="E634" s="247" t="str">
        <f>GC!C52</f>
        <v>Transmission pipelines - post 1998</v>
      </c>
      <c r="F634" s="247"/>
      <c r="G634" s="247"/>
      <c r="H634" s="247"/>
      <c r="I634" s="247"/>
      <c r="J634" s="81">
        <f ca="1">SUMPRODUCT((Work_Codes!$N$393:$Y$393=$E634)*(Work_Codes!$N$396:$Y$397)*(J$612:J$613))</f>
        <v>0</v>
      </c>
      <c r="K634" s="81">
        <f ca="1">SUMPRODUCT((Work_Codes!$N$393:$Y$393=$E634)*(Work_Codes!$N$396:$Y$397)*(K$612:K$613))</f>
        <v>0</v>
      </c>
      <c r="L634" s="81">
        <f ca="1">SUMPRODUCT((Work_Codes!$N$393:$Y$393=$E634)*(Work_Codes!$N$396:$Y$397)*(L$612:L$613))</f>
        <v>0</v>
      </c>
      <c r="M634" s="81">
        <f ca="1">SUMPRODUCT((Work_Codes!$N$393:$Y$393=$E634)*(Work_Codes!$N$396:$Y$397)*(M$612:M$613))</f>
        <v>0</v>
      </c>
      <c r="N634" s="81">
        <f ca="1">SUMPRODUCT((Work_Codes!$N$393:$Y$393=$E634)*(Work_Codes!$N$396:$Y$397)*(N$612:N$613))</f>
        <v>0</v>
      </c>
      <c r="O634" s="81">
        <f ca="1">SUMPRODUCT((Work_Codes!$N$393:$Y$393=$E634)*(Work_Codes!$N$396:$Y$397)*(O$612:O$613))</f>
        <v>0</v>
      </c>
      <c r="P634" s="81">
        <f ca="1">SUMPRODUCT((Work_Codes!$N$393:$Y$393=$E634)*(Work_Codes!$N$396:$Y$397)*(P$612:P$613))</f>
        <v>0</v>
      </c>
      <c r="Q634" s="81">
        <f ca="1">SUMPRODUCT((Work_Codes!$N$393:$Y$393=$E634)*(Work_Codes!$N$396:$Y$397)*(Q$612:Q$613))</f>
        <v>0</v>
      </c>
      <c r="R634" s="81">
        <f ca="1">SUMPRODUCT((Work_Codes!$N$393:$Y$393=$E634)*(Work_Codes!$N$396:$Y$397)*(R$612:R$613))</f>
        <v>0</v>
      </c>
      <c r="S634" s="81">
        <f ca="1">SUMPRODUCT((Work_Codes!$N$393:$Y$393=$E634)*(Work_Codes!$N$396:$Y$397)*(S$612:S$613))</f>
        <v>0</v>
      </c>
      <c r="T634" s="81">
        <f ca="1">SUMPRODUCT((Work_Codes!$N$393:$Y$393=$E634)*(Work_Codes!$N$396:$Y$397)*(T$612:T$613))</f>
        <v>0</v>
      </c>
    </row>
    <row r="635" spans="4:20" outlineLevel="2">
      <c r="E635" s="247" t="str">
        <f>GC!C53</f>
        <v>Distribution pipelines - post 1998</v>
      </c>
      <c r="F635" s="247"/>
      <c r="G635" s="247"/>
      <c r="H635" s="247"/>
      <c r="I635" s="247"/>
      <c r="J635" s="81">
        <f ca="1">SUMPRODUCT((Work_Codes!$N$393:$Y$393=$E635)*(Work_Codes!$N$396:$Y$397)*(J$612:J$613))</f>
        <v>0</v>
      </c>
      <c r="K635" s="81">
        <f ca="1">SUMPRODUCT((Work_Codes!$N$393:$Y$393=$E635)*(Work_Codes!$N$396:$Y$397)*(K$612:K$613))</f>
        <v>0</v>
      </c>
      <c r="L635" s="81">
        <f ca="1">SUMPRODUCT((Work_Codes!$N$393:$Y$393=$E635)*(Work_Codes!$N$396:$Y$397)*(L$612:L$613))</f>
        <v>0</v>
      </c>
      <c r="M635" s="81">
        <f ca="1">SUMPRODUCT((Work_Codes!$N$393:$Y$393=$E635)*(Work_Codes!$N$396:$Y$397)*(M$612:M$613))</f>
        <v>0</v>
      </c>
      <c r="N635" s="81">
        <f ca="1">SUMPRODUCT((Work_Codes!$N$393:$Y$393=$E635)*(Work_Codes!$N$396:$Y$397)*(N$612:N$613))</f>
        <v>601649.78033643845</v>
      </c>
      <c r="O635" s="81">
        <f ca="1">SUMPRODUCT((Work_Codes!$N$393:$Y$393=$E635)*(Work_Codes!$N$396:$Y$397)*(O$612:O$613))</f>
        <v>626706.73074528296</v>
      </c>
      <c r="P635" s="81">
        <f ca="1">SUMPRODUCT((Work_Codes!$N$393:$Y$393=$E635)*(Work_Codes!$N$396:$Y$397)*(P$612:P$613))</f>
        <v>1200221.0429158334</v>
      </c>
      <c r="Q635" s="81">
        <f ca="1">SUMPRODUCT((Work_Codes!$N$393:$Y$393=$E635)*(Work_Codes!$N$396:$Y$397)*(Q$612:Q$613))</f>
        <v>1219513.7391361536</v>
      </c>
      <c r="R635" s="81">
        <f ca="1">SUMPRODUCT((Work_Codes!$N$393:$Y$393=$E635)*(Work_Codes!$N$396:$Y$397)*(R$612:R$613))</f>
        <v>1238528.861364977</v>
      </c>
      <c r="S635" s="81">
        <f ca="1">SUMPRODUCT((Work_Codes!$N$393:$Y$393=$E635)*(Work_Codes!$N$396:$Y$397)*(S$612:S$613))</f>
        <v>1223316.4721714689</v>
      </c>
      <c r="T635" s="81">
        <f ca="1">SUMPRODUCT((Work_Codes!$N$393:$Y$393=$E635)*(Work_Codes!$N$396:$Y$397)*(T$612:T$613))</f>
        <v>1207502.4567436043</v>
      </c>
    </row>
    <row r="636" spans="4:20" outlineLevel="2">
      <c r="E636" s="247" t="str">
        <f>GC!C54</f>
        <v>Service pipes - post 1998</v>
      </c>
      <c r="F636" s="247"/>
      <c r="G636" s="247"/>
      <c r="H636" s="247"/>
      <c r="I636" s="247"/>
      <c r="J636" s="81">
        <f ca="1">SUMPRODUCT((Work_Codes!$N$393:$Y$393=$E636)*(Work_Codes!$N$396:$Y$397)*(J$612:J$613))</f>
        <v>0</v>
      </c>
      <c r="K636" s="81">
        <f ca="1">SUMPRODUCT((Work_Codes!$N$393:$Y$393=$E636)*(Work_Codes!$N$396:$Y$397)*(K$612:K$613))</f>
        <v>0</v>
      </c>
      <c r="L636" s="81">
        <f ca="1">SUMPRODUCT((Work_Codes!$N$393:$Y$393=$E636)*(Work_Codes!$N$396:$Y$397)*(L$612:L$613))</f>
        <v>0</v>
      </c>
      <c r="M636" s="81">
        <f ca="1">SUMPRODUCT((Work_Codes!$N$393:$Y$393=$E636)*(Work_Codes!$N$396:$Y$397)*(M$612:M$613))</f>
        <v>0</v>
      </c>
      <c r="N636" s="81">
        <f ca="1">SUMPRODUCT((Work_Codes!$N$393:$Y$393=$E636)*(Work_Codes!$N$396:$Y$397)*(N$612:N$613))</f>
        <v>40109.985355762561</v>
      </c>
      <c r="O636" s="81">
        <f ca="1">SUMPRODUCT((Work_Codes!$N$393:$Y$393=$E636)*(Work_Codes!$N$396:$Y$397)*(O$612:O$613))</f>
        <v>41780.448716352199</v>
      </c>
      <c r="P636" s="81">
        <f ca="1">SUMPRODUCT((Work_Codes!$N$393:$Y$393=$E636)*(Work_Codes!$N$396:$Y$397)*(P$612:P$613))</f>
        <v>80014.736194388897</v>
      </c>
      <c r="Q636" s="81">
        <f ca="1">SUMPRODUCT((Work_Codes!$N$393:$Y$393=$E636)*(Work_Codes!$N$396:$Y$397)*(Q$612:Q$613))</f>
        <v>81300.91594241024</v>
      </c>
      <c r="R636" s="81">
        <f ca="1">SUMPRODUCT((Work_Codes!$N$393:$Y$393=$E636)*(Work_Codes!$N$396:$Y$397)*(R$612:R$613))</f>
        <v>82568.590757665137</v>
      </c>
      <c r="S636" s="81">
        <f ca="1">SUMPRODUCT((Work_Codes!$N$393:$Y$393=$E636)*(Work_Codes!$N$396:$Y$397)*(S$612:S$613))</f>
        <v>81554.431478097933</v>
      </c>
      <c r="T636" s="81">
        <f ca="1">SUMPRODUCT((Work_Codes!$N$393:$Y$393=$E636)*(Work_Codes!$N$396:$Y$397)*(T$612:T$613))</f>
        <v>80500.163782906951</v>
      </c>
    </row>
    <row r="637" spans="4:20" outlineLevel="2">
      <c r="E637" s="247" t="str">
        <f>GC!C55</f>
        <v>Cathodic protection - post 1998</v>
      </c>
      <c r="F637" s="247"/>
      <c r="G637" s="247"/>
      <c r="H637" s="247"/>
      <c r="I637" s="247"/>
      <c r="J637" s="81">
        <f ca="1">SUMPRODUCT((Work_Codes!$N$393:$Y$393=$E637)*(Work_Codes!$N$396:$Y$397)*(J$612:J$613))</f>
        <v>0</v>
      </c>
      <c r="K637" s="81">
        <f ca="1">SUMPRODUCT((Work_Codes!$N$393:$Y$393=$E637)*(Work_Codes!$N$396:$Y$397)*(K$612:K$613))</f>
        <v>0</v>
      </c>
      <c r="L637" s="81">
        <f ca="1">SUMPRODUCT((Work_Codes!$N$393:$Y$393=$E637)*(Work_Codes!$N$396:$Y$397)*(L$612:L$613))</f>
        <v>0</v>
      </c>
      <c r="M637" s="81">
        <f ca="1">SUMPRODUCT((Work_Codes!$N$393:$Y$393=$E637)*(Work_Codes!$N$396:$Y$397)*(M$612:M$613))</f>
        <v>0</v>
      </c>
      <c r="N637" s="81">
        <f ca="1">SUMPRODUCT((Work_Codes!$N$393:$Y$393=$E637)*(Work_Codes!$N$396:$Y$397)*(N$612:N$613))</f>
        <v>0</v>
      </c>
      <c r="O637" s="81">
        <f ca="1">SUMPRODUCT((Work_Codes!$N$393:$Y$393=$E637)*(Work_Codes!$N$396:$Y$397)*(O$612:O$613))</f>
        <v>0</v>
      </c>
      <c r="P637" s="81">
        <f ca="1">SUMPRODUCT((Work_Codes!$N$393:$Y$393=$E637)*(Work_Codes!$N$396:$Y$397)*(P$612:P$613))</f>
        <v>0</v>
      </c>
      <c r="Q637" s="81">
        <f ca="1">SUMPRODUCT((Work_Codes!$N$393:$Y$393=$E637)*(Work_Codes!$N$396:$Y$397)*(Q$612:Q$613))</f>
        <v>0</v>
      </c>
      <c r="R637" s="81">
        <f ca="1">SUMPRODUCT((Work_Codes!$N$393:$Y$393=$E637)*(Work_Codes!$N$396:$Y$397)*(R$612:R$613))</f>
        <v>0</v>
      </c>
      <c r="S637" s="81">
        <f ca="1">SUMPRODUCT((Work_Codes!$N$393:$Y$393=$E637)*(Work_Codes!$N$396:$Y$397)*(S$612:S$613))</f>
        <v>0</v>
      </c>
      <c r="T637" s="81">
        <f ca="1">SUMPRODUCT((Work_Codes!$N$393:$Y$393=$E637)*(Work_Codes!$N$396:$Y$397)*(T$612:T$613))</f>
        <v>0</v>
      </c>
    </row>
    <row r="638" spans="4:20" outlineLevel="2">
      <c r="E638" s="249" t="str">
        <f>"Total "&amp;D620</f>
        <v>Total Direct Costs</v>
      </c>
      <c r="F638" s="249"/>
      <c r="G638" s="249"/>
      <c r="H638" s="249"/>
      <c r="I638" s="249"/>
      <c r="J638" s="82">
        <f t="shared" ref="J638:T638" ca="1" si="64">SUM(J622:J637)</f>
        <v>0</v>
      </c>
      <c r="K638" s="82">
        <f t="shared" ca="1" si="64"/>
        <v>0</v>
      </c>
      <c r="L638" s="82">
        <f t="shared" ca="1" si="64"/>
        <v>0</v>
      </c>
      <c r="M638" s="82">
        <f t="shared" ca="1" si="64"/>
        <v>0</v>
      </c>
      <c r="N638" s="82">
        <f t="shared" ca="1" si="64"/>
        <v>802199.70711525122</v>
      </c>
      <c r="O638" s="82">
        <f t="shared" ca="1" si="64"/>
        <v>835608.97432704398</v>
      </c>
      <c r="P638" s="82">
        <f t="shared" ca="1" si="64"/>
        <v>1600294.7238877779</v>
      </c>
      <c r="Q638" s="82">
        <f t="shared" ca="1" si="64"/>
        <v>1626018.3188482048</v>
      </c>
      <c r="R638" s="82">
        <f t="shared" ca="1" si="64"/>
        <v>1651371.8151533026</v>
      </c>
      <c r="S638" s="82">
        <f t="shared" ca="1" si="64"/>
        <v>1631088.6295619586</v>
      </c>
      <c r="T638" s="82">
        <f t="shared" ca="1" si="64"/>
        <v>1610003.275658139</v>
      </c>
    </row>
    <row r="639" spans="4:20" outlineLevel="2"/>
    <row r="640" spans="4:20" outlineLevel="2">
      <c r="D640" s="37" t="s">
        <v>364</v>
      </c>
    </row>
    <row r="641" spans="5:20" ht="5.9" customHeight="1" outlineLevel="2"/>
    <row r="642" spans="5:20" outlineLevel="2">
      <c r="E642" s="247" t="str">
        <f>GC!C40</f>
        <v>Transmission pipelines</v>
      </c>
      <c r="F642" s="247"/>
      <c r="G642" s="247"/>
      <c r="H642" s="247"/>
      <c r="I642" s="247"/>
      <c r="J642" s="81">
        <f ca="1">J622*(INDEX(J$551:J$553,MATCH(Work_Codes!$I$390,$D$551:$D$553,0)))</f>
        <v>0</v>
      </c>
      <c r="K642" s="81">
        <f ca="1">K622*(INDEX(K$551:K$553,MATCH(Work_Codes!$I$390,$D$551:$D$553,0)))</f>
        <v>0</v>
      </c>
      <c r="L642" s="81">
        <f ca="1">L622*(INDEX(L$551:L$553,MATCH(Work_Codes!$I$390,$D$551:$D$553,0)))</f>
        <v>0</v>
      </c>
      <c r="M642" s="81">
        <f ca="1">M622*(INDEX(M$551:M$553,MATCH(Work_Codes!$I$390,$D$551:$D$553,0)))</f>
        <v>0</v>
      </c>
      <c r="N642" s="81">
        <f ca="1">N622*(INDEX(N$551:N$553,MATCH(Work_Codes!$I$390,$D$551:$D$553,0)))</f>
        <v>0</v>
      </c>
      <c r="O642" s="81">
        <f ca="1">O622*(INDEX(O$551:O$553,MATCH(Work_Codes!$I$390,$D$551:$D$553,0)))</f>
        <v>0</v>
      </c>
      <c r="P642" s="81">
        <f ca="1">P622*(INDEX(P$551:P$553,MATCH(Work_Codes!$I$390,$D$551:$D$553,0)))</f>
        <v>0</v>
      </c>
      <c r="Q642" s="81">
        <f ca="1">Q622*(INDEX(Q$551:Q$553,MATCH(Work_Codes!$I$390,$D$551:$D$553,0)))</f>
        <v>0</v>
      </c>
      <c r="R642" s="81">
        <f ca="1">R622*(INDEX(R$551:R$553,MATCH(Work_Codes!$I$390,$D$551:$D$553,0)))</f>
        <v>0</v>
      </c>
      <c r="S642" s="81">
        <f ca="1">S622*(INDEX(S$551:S$553,MATCH(Work_Codes!$I$390,$D$551:$D$553,0)))</f>
        <v>0</v>
      </c>
      <c r="T642" s="81">
        <f ca="1">T622*(INDEX(T$551:T$553,MATCH(Work_Codes!$I$390,$D$551:$D$553,0)))</f>
        <v>0</v>
      </c>
    </row>
    <row r="643" spans="5:20" outlineLevel="2">
      <c r="E643" s="247" t="str">
        <f>GC!C41</f>
        <v>Distribution pipelines</v>
      </c>
      <c r="F643" s="247"/>
      <c r="G643" s="247"/>
      <c r="H643" s="247"/>
      <c r="I643" s="247"/>
      <c r="J643" s="81">
        <f ca="1">J623*(INDEX(J$551:J$553,MATCH(Work_Codes!$I$390,$D$551:$D$553,0)))</f>
        <v>0</v>
      </c>
      <c r="K643" s="81">
        <f ca="1">K623*(INDEX(K$551:K$553,MATCH(Work_Codes!$I$390,$D$551:$D$553,0)))</f>
        <v>0</v>
      </c>
      <c r="L643" s="81">
        <f ca="1">L623*(INDEX(L$551:L$553,MATCH(Work_Codes!$I$390,$D$551:$D$553,0)))</f>
        <v>0</v>
      </c>
      <c r="M643" s="81">
        <f ca="1">M623*(INDEX(M$551:M$553,MATCH(Work_Codes!$I$390,$D$551:$D$553,0)))</f>
        <v>0</v>
      </c>
      <c r="N643" s="81">
        <f ca="1">N623*(INDEX(N$551:N$553,MATCH(Work_Codes!$I$390,$D$551:$D$553,0)))</f>
        <v>0</v>
      </c>
      <c r="O643" s="81">
        <f ca="1">O623*(INDEX(O$551:O$553,MATCH(Work_Codes!$I$390,$D$551:$D$553,0)))</f>
        <v>0</v>
      </c>
      <c r="P643" s="81">
        <f ca="1">P623*(INDEX(P$551:P$553,MATCH(Work_Codes!$I$390,$D$551:$D$553,0)))</f>
        <v>0</v>
      </c>
      <c r="Q643" s="81">
        <f ca="1">Q623*(INDEX(Q$551:Q$553,MATCH(Work_Codes!$I$390,$D$551:$D$553,0)))</f>
        <v>0</v>
      </c>
      <c r="R643" s="81">
        <f ca="1">R623*(INDEX(R$551:R$553,MATCH(Work_Codes!$I$390,$D$551:$D$553,0)))</f>
        <v>0</v>
      </c>
      <c r="S643" s="81">
        <f ca="1">S623*(INDEX(S$551:S$553,MATCH(Work_Codes!$I$390,$D$551:$D$553,0)))</f>
        <v>0</v>
      </c>
      <c r="T643" s="81">
        <f ca="1">T623*(INDEX(T$551:T$553,MATCH(Work_Codes!$I$390,$D$551:$D$553,0)))</f>
        <v>0</v>
      </c>
    </row>
    <row r="644" spans="5:20" outlineLevel="2">
      <c r="E644" s="247" t="str">
        <f>GC!C42</f>
        <v>Service pipes</v>
      </c>
      <c r="F644" s="247"/>
      <c r="G644" s="247"/>
      <c r="H644" s="247"/>
      <c r="I644" s="247"/>
      <c r="J644" s="81">
        <f ca="1">J624*(INDEX(J$551:J$553,MATCH(Work_Codes!$I$390,$D$551:$D$553,0)))</f>
        <v>0</v>
      </c>
      <c r="K644" s="81">
        <f ca="1">K624*(INDEX(K$551:K$553,MATCH(Work_Codes!$I$390,$D$551:$D$553,0)))</f>
        <v>0</v>
      </c>
      <c r="L644" s="81">
        <f ca="1">L624*(INDEX(L$551:L$553,MATCH(Work_Codes!$I$390,$D$551:$D$553,0)))</f>
        <v>0</v>
      </c>
      <c r="M644" s="81">
        <f ca="1">M624*(INDEX(M$551:M$553,MATCH(Work_Codes!$I$390,$D$551:$D$553,0)))</f>
        <v>0</v>
      </c>
      <c r="N644" s="81">
        <f ca="1">N624*(INDEX(N$551:N$553,MATCH(Work_Codes!$I$390,$D$551:$D$553,0)))</f>
        <v>0</v>
      </c>
      <c r="O644" s="81">
        <f ca="1">O624*(INDEX(O$551:O$553,MATCH(Work_Codes!$I$390,$D$551:$D$553,0)))</f>
        <v>0</v>
      </c>
      <c r="P644" s="81">
        <f ca="1">P624*(INDEX(P$551:P$553,MATCH(Work_Codes!$I$390,$D$551:$D$553,0)))</f>
        <v>0</v>
      </c>
      <c r="Q644" s="81">
        <f ca="1">Q624*(INDEX(Q$551:Q$553,MATCH(Work_Codes!$I$390,$D$551:$D$553,0)))</f>
        <v>0</v>
      </c>
      <c r="R644" s="81">
        <f ca="1">R624*(INDEX(R$551:R$553,MATCH(Work_Codes!$I$390,$D$551:$D$553,0)))</f>
        <v>0</v>
      </c>
      <c r="S644" s="81">
        <f ca="1">S624*(INDEX(S$551:S$553,MATCH(Work_Codes!$I$390,$D$551:$D$553,0)))</f>
        <v>0</v>
      </c>
      <c r="T644" s="81">
        <f ca="1">T624*(INDEX(T$551:T$553,MATCH(Work_Codes!$I$390,$D$551:$D$553,0)))</f>
        <v>0</v>
      </c>
    </row>
    <row r="645" spans="5:20" outlineLevel="2">
      <c r="E645" s="247" t="str">
        <f>GC!C43</f>
        <v>Cathodic protection</v>
      </c>
      <c r="F645" s="247"/>
      <c r="G645" s="247"/>
      <c r="H645" s="247"/>
      <c r="I645" s="247"/>
      <c r="J645" s="81">
        <f ca="1">J625*(INDEX(J$551:J$553,MATCH(Work_Codes!$I$390,$D$551:$D$553,0)))</f>
        <v>0</v>
      </c>
      <c r="K645" s="81">
        <f ca="1">K625*(INDEX(K$551:K$553,MATCH(Work_Codes!$I$390,$D$551:$D$553,0)))</f>
        <v>0</v>
      </c>
      <c r="L645" s="81">
        <f ca="1">L625*(INDEX(L$551:L$553,MATCH(Work_Codes!$I$390,$D$551:$D$553,0)))</f>
        <v>0</v>
      </c>
      <c r="M645" s="81">
        <f ca="1">M625*(INDEX(M$551:M$553,MATCH(Work_Codes!$I$390,$D$551:$D$553,0)))</f>
        <v>0</v>
      </c>
      <c r="N645" s="81">
        <f ca="1">N625*(INDEX(N$551:N$553,MATCH(Work_Codes!$I$390,$D$551:$D$553,0)))</f>
        <v>0</v>
      </c>
      <c r="O645" s="81">
        <f ca="1">O625*(INDEX(O$551:O$553,MATCH(Work_Codes!$I$390,$D$551:$D$553,0)))</f>
        <v>0</v>
      </c>
      <c r="P645" s="81">
        <f ca="1">P625*(INDEX(P$551:P$553,MATCH(Work_Codes!$I$390,$D$551:$D$553,0)))</f>
        <v>0</v>
      </c>
      <c r="Q645" s="81">
        <f ca="1">Q625*(INDEX(Q$551:Q$553,MATCH(Work_Codes!$I$390,$D$551:$D$553,0)))</f>
        <v>0</v>
      </c>
      <c r="R645" s="81">
        <f ca="1">R625*(INDEX(R$551:R$553,MATCH(Work_Codes!$I$390,$D$551:$D$553,0)))</f>
        <v>0</v>
      </c>
      <c r="S645" s="81">
        <f ca="1">S625*(INDEX(S$551:S$553,MATCH(Work_Codes!$I$390,$D$551:$D$553,0)))</f>
        <v>0</v>
      </c>
      <c r="T645" s="81">
        <f ca="1">T625*(INDEX(T$551:T$553,MATCH(Work_Codes!$I$390,$D$551:$D$553,0)))</f>
        <v>0</v>
      </c>
    </row>
    <row r="646" spans="5:20" outlineLevel="2">
      <c r="E646" s="247" t="str">
        <f>GC!C44</f>
        <v>Supply Regulators / Valve Stations</v>
      </c>
      <c r="F646" s="247"/>
      <c r="G646" s="247"/>
      <c r="H646" s="247"/>
      <c r="I646" s="247"/>
      <c r="J646" s="81">
        <f ca="1">J626*(INDEX(J$551:J$553,MATCH(Work_Codes!$I$390,$D$551:$D$553,0)))</f>
        <v>0</v>
      </c>
      <c r="K646" s="81">
        <f ca="1">K626*(INDEX(K$551:K$553,MATCH(Work_Codes!$I$390,$D$551:$D$553,0)))</f>
        <v>0</v>
      </c>
      <c r="L646" s="81">
        <f ca="1">L626*(INDEX(L$551:L$553,MATCH(Work_Codes!$I$390,$D$551:$D$553,0)))</f>
        <v>0</v>
      </c>
      <c r="M646" s="81">
        <f ca="1">M626*(INDEX(M$551:M$553,MATCH(Work_Codes!$I$390,$D$551:$D$553,0)))</f>
        <v>0</v>
      </c>
      <c r="N646" s="81">
        <f ca="1">N626*(INDEX(N$551:N$553,MATCH(Work_Codes!$I$390,$D$551:$D$553,0)))</f>
        <v>0</v>
      </c>
      <c r="O646" s="81">
        <f ca="1">O626*(INDEX(O$551:O$553,MATCH(Work_Codes!$I$390,$D$551:$D$553,0)))</f>
        <v>0</v>
      </c>
      <c r="P646" s="81">
        <f ca="1">P626*(INDEX(P$551:P$553,MATCH(Work_Codes!$I$390,$D$551:$D$553,0)))</f>
        <v>0</v>
      </c>
      <c r="Q646" s="81">
        <f ca="1">Q626*(INDEX(Q$551:Q$553,MATCH(Work_Codes!$I$390,$D$551:$D$553,0)))</f>
        <v>0</v>
      </c>
      <c r="R646" s="81">
        <f ca="1">R626*(INDEX(R$551:R$553,MATCH(Work_Codes!$I$390,$D$551:$D$553,0)))</f>
        <v>0</v>
      </c>
      <c r="S646" s="81">
        <f ca="1">S626*(INDEX(S$551:S$553,MATCH(Work_Codes!$I$390,$D$551:$D$553,0)))</f>
        <v>0</v>
      </c>
      <c r="T646" s="81">
        <f ca="1">T626*(INDEX(T$551:T$553,MATCH(Work_Codes!$I$390,$D$551:$D$553,0)))</f>
        <v>0</v>
      </c>
    </row>
    <row r="647" spans="5:20" outlineLevel="2">
      <c r="E647" s="247" t="str">
        <f>GC!C45</f>
        <v>Meters</v>
      </c>
      <c r="F647" s="247"/>
      <c r="G647" s="247"/>
      <c r="H647" s="247"/>
      <c r="I647" s="247"/>
      <c r="J647" s="81">
        <f ca="1">J627*(INDEX(J$551:J$553,MATCH(Work_Codes!$I$390,$D$551:$D$553,0)))</f>
        <v>0</v>
      </c>
      <c r="K647" s="81">
        <f ca="1">K627*(INDEX(K$551:K$553,MATCH(Work_Codes!$I$390,$D$551:$D$553,0)))</f>
        <v>0</v>
      </c>
      <c r="L647" s="81">
        <f ca="1">L627*(INDEX(L$551:L$553,MATCH(Work_Codes!$I$390,$D$551:$D$553,0)))</f>
        <v>0</v>
      </c>
      <c r="M647" s="81">
        <f ca="1">M627*(INDEX(M$551:M$553,MATCH(Work_Codes!$I$390,$D$551:$D$553,0)))</f>
        <v>0</v>
      </c>
      <c r="N647" s="81">
        <f ca="1">N627*(INDEX(N$551:N$553,MATCH(Work_Codes!$I$390,$D$551:$D$553,0)))</f>
        <v>6050.3518155226366</v>
      </c>
      <c r="O647" s="81">
        <f ca="1">O627*(INDEX(O$551:O$553,MATCH(Work_Codes!$I$390,$D$551:$D$553,0)))</f>
        <v>5562.4766486673207</v>
      </c>
      <c r="P647" s="81">
        <f ca="1">P627*(INDEX(P$551:P$553,MATCH(Work_Codes!$I$390,$D$551:$D$553,0)))</f>
        <v>8562.4282939255336</v>
      </c>
      <c r="Q647" s="81">
        <f ca="1">Q627*(INDEX(Q$551:Q$553,MATCH(Work_Codes!$I$390,$D$551:$D$553,0)))</f>
        <v>8474.9984858815296</v>
      </c>
      <c r="R647" s="81">
        <f ca="1">R627*(INDEX(R$551:R$553,MATCH(Work_Codes!$I$390,$D$551:$D$553,0)))</f>
        <v>8875.4649352694687</v>
      </c>
      <c r="S647" s="81">
        <f ca="1">S627*(INDEX(S$551:S$553,MATCH(Work_Codes!$I$390,$D$551:$D$553,0)))</f>
        <v>9312.2695734143272</v>
      </c>
      <c r="T647" s="81">
        <f ca="1">T627*(INDEX(T$551:T$553,MATCH(Work_Codes!$I$390,$D$551:$D$553,0)))</f>
        <v>9634.3813833731419</v>
      </c>
    </row>
    <row r="648" spans="5:20" outlineLevel="2">
      <c r="E648" s="247" t="str">
        <f>GC!C46</f>
        <v>SCADA and remote control</v>
      </c>
      <c r="F648" s="247"/>
      <c r="G648" s="247"/>
      <c r="H648" s="247"/>
      <c r="I648" s="247"/>
      <c r="J648" s="81">
        <f ca="1">J628*(INDEX(J$551:J$553,MATCH(Work_Codes!$I$390,$D$551:$D$553,0)))</f>
        <v>0</v>
      </c>
      <c r="K648" s="81">
        <f ca="1">K628*(INDEX(K$551:K$553,MATCH(Work_Codes!$I$390,$D$551:$D$553,0)))</f>
        <v>0</v>
      </c>
      <c r="L648" s="81">
        <f ca="1">L628*(INDEX(L$551:L$553,MATCH(Work_Codes!$I$390,$D$551:$D$553,0)))</f>
        <v>0</v>
      </c>
      <c r="M648" s="81">
        <f ca="1">M628*(INDEX(M$551:M$553,MATCH(Work_Codes!$I$390,$D$551:$D$553,0)))</f>
        <v>0</v>
      </c>
      <c r="N648" s="81">
        <f ca="1">N628*(INDEX(N$551:N$553,MATCH(Work_Codes!$I$390,$D$551:$D$553,0)))</f>
        <v>0</v>
      </c>
      <c r="O648" s="81">
        <f ca="1">O628*(INDEX(O$551:O$553,MATCH(Work_Codes!$I$390,$D$551:$D$553,0)))</f>
        <v>0</v>
      </c>
      <c r="P648" s="81">
        <f ca="1">P628*(INDEX(P$551:P$553,MATCH(Work_Codes!$I$390,$D$551:$D$553,0)))</f>
        <v>0</v>
      </c>
      <c r="Q648" s="81">
        <f ca="1">Q628*(INDEX(Q$551:Q$553,MATCH(Work_Codes!$I$390,$D$551:$D$553,0)))</f>
        <v>0</v>
      </c>
      <c r="R648" s="81">
        <f ca="1">R628*(INDEX(R$551:R$553,MATCH(Work_Codes!$I$390,$D$551:$D$553,0)))</f>
        <v>0</v>
      </c>
      <c r="S648" s="81">
        <f ca="1">S628*(INDEX(S$551:S$553,MATCH(Work_Codes!$I$390,$D$551:$D$553,0)))</f>
        <v>0</v>
      </c>
      <c r="T648" s="81">
        <f ca="1">T628*(INDEX(T$551:T$553,MATCH(Work_Codes!$I$390,$D$551:$D$553,0)))</f>
        <v>0</v>
      </c>
    </row>
    <row r="649" spans="5:20" outlineLevel="2">
      <c r="E649" s="247" t="str">
        <f>GC!C47</f>
        <v>Buildings</v>
      </c>
      <c r="F649" s="247"/>
      <c r="G649" s="247"/>
      <c r="H649" s="247"/>
      <c r="I649" s="247"/>
      <c r="J649" s="81">
        <f ca="1">J629*(INDEX(J$551:J$553,MATCH(Work_Codes!$I$390,$D$551:$D$553,0)))</f>
        <v>0</v>
      </c>
      <c r="K649" s="81">
        <f ca="1">K629*(INDEX(K$551:K$553,MATCH(Work_Codes!$I$390,$D$551:$D$553,0)))</f>
        <v>0</v>
      </c>
      <c r="L649" s="81">
        <f ca="1">L629*(INDEX(L$551:L$553,MATCH(Work_Codes!$I$390,$D$551:$D$553,0)))</f>
        <v>0</v>
      </c>
      <c r="M649" s="81">
        <f ca="1">M629*(INDEX(M$551:M$553,MATCH(Work_Codes!$I$390,$D$551:$D$553,0)))</f>
        <v>0</v>
      </c>
      <c r="N649" s="81">
        <f ca="1">N629*(INDEX(N$551:N$553,MATCH(Work_Codes!$I$390,$D$551:$D$553,0)))</f>
        <v>0</v>
      </c>
      <c r="O649" s="81">
        <f ca="1">O629*(INDEX(O$551:O$553,MATCH(Work_Codes!$I$390,$D$551:$D$553,0)))</f>
        <v>0</v>
      </c>
      <c r="P649" s="81">
        <f ca="1">P629*(INDEX(P$551:P$553,MATCH(Work_Codes!$I$390,$D$551:$D$553,0)))</f>
        <v>0</v>
      </c>
      <c r="Q649" s="81">
        <f ca="1">Q629*(INDEX(Q$551:Q$553,MATCH(Work_Codes!$I$390,$D$551:$D$553,0)))</f>
        <v>0</v>
      </c>
      <c r="R649" s="81">
        <f ca="1">R629*(INDEX(R$551:R$553,MATCH(Work_Codes!$I$390,$D$551:$D$553,0)))</f>
        <v>0</v>
      </c>
      <c r="S649" s="81">
        <f ca="1">S629*(INDEX(S$551:S$553,MATCH(Work_Codes!$I$390,$D$551:$D$553,0)))</f>
        <v>0</v>
      </c>
      <c r="T649" s="81">
        <f ca="1">T629*(INDEX(T$551:T$553,MATCH(Work_Codes!$I$390,$D$551:$D$553,0)))</f>
        <v>0</v>
      </c>
    </row>
    <row r="650" spans="5:20" outlineLevel="2">
      <c r="E650" s="247" t="str">
        <f>GC!C48</f>
        <v>Other - IT</v>
      </c>
      <c r="F650" s="247"/>
      <c r="G650" s="247"/>
      <c r="H650" s="247"/>
      <c r="I650" s="247"/>
      <c r="J650" s="81">
        <f ca="1">J630*(INDEX(J$551:J$553,MATCH(Work_Codes!$I$390,$D$551:$D$553,0)))</f>
        <v>0</v>
      </c>
      <c r="K650" s="81">
        <f ca="1">K630*(INDEX(K$551:K$553,MATCH(Work_Codes!$I$390,$D$551:$D$553,0)))</f>
        <v>0</v>
      </c>
      <c r="L650" s="81">
        <f ca="1">L630*(INDEX(L$551:L$553,MATCH(Work_Codes!$I$390,$D$551:$D$553,0)))</f>
        <v>0</v>
      </c>
      <c r="M650" s="81">
        <f ca="1">M630*(INDEX(M$551:M$553,MATCH(Work_Codes!$I$390,$D$551:$D$553,0)))</f>
        <v>0</v>
      </c>
      <c r="N650" s="81">
        <f ca="1">N630*(INDEX(N$551:N$553,MATCH(Work_Codes!$I$390,$D$551:$D$553,0)))</f>
        <v>0</v>
      </c>
      <c r="O650" s="81">
        <f ca="1">O630*(INDEX(O$551:O$553,MATCH(Work_Codes!$I$390,$D$551:$D$553,0)))</f>
        <v>0</v>
      </c>
      <c r="P650" s="81">
        <f ca="1">P630*(INDEX(P$551:P$553,MATCH(Work_Codes!$I$390,$D$551:$D$553,0)))</f>
        <v>0</v>
      </c>
      <c r="Q650" s="81">
        <f ca="1">Q630*(INDEX(Q$551:Q$553,MATCH(Work_Codes!$I$390,$D$551:$D$553,0)))</f>
        <v>0</v>
      </c>
      <c r="R650" s="81">
        <f ca="1">R630*(INDEX(R$551:R$553,MATCH(Work_Codes!$I$390,$D$551:$D$553,0)))</f>
        <v>0</v>
      </c>
      <c r="S650" s="81">
        <f ca="1">S630*(INDEX(S$551:S$553,MATCH(Work_Codes!$I$390,$D$551:$D$553,0)))</f>
        <v>0</v>
      </c>
      <c r="T650" s="81">
        <f ca="1">T630*(INDEX(T$551:T$553,MATCH(Work_Codes!$I$390,$D$551:$D$553,0)))</f>
        <v>0</v>
      </c>
    </row>
    <row r="651" spans="5:20" outlineLevel="2">
      <c r="E651" s="247" t="str">
        <f>GC!C49</f>
        <v>Other - non IT</v>
      </c>
      <c r="F651" s="247"/>
      <c r="G651" s="247"/>
      <c r="H651" s="247"/>
      <c r="I651" s="247"/>
      <c r="J651" s="81">
        <f ca="1">J631*(INDEX(J$551:J$553,MATCH(Work_Codes!$I$390,$D$551:$D$553,0)))</f>
        <v>0</v>
      </c>
      <c r="K651" s="81">
        <f ca="1">K631*(INDEX(K$551:K$553,MATCH(Work_Codes!$I$390,$D$551:$D$553,0)))</f>
        <v>0</v>
      </c>
      <c r="L651" s="81">
        <f ca="1">L631*(INDEX(L$551:L$553,MATCH(Work_Codes!$I$390,$D$551:$D$553,0)))</f>
        <v>0</v>
      </c>
      <c r="M651" s="81">
        <f ca="1">M631*(INDEX(M$551:M$553,MATCH(Work_Codes!$I$390,$D$551:$D$553,0)))</f>
        <v>0</v>
      </c>
      <c r="N651" s="81">
        <f ca="1">N631*(INDEX(N$551:N$553,MATCH(Work_Codes!$I$390,$D$551:$D$553,0)))</f>
        <v>0</v>
      </c>
      <c r="O651" s="81">
        <f ca="1">O631*(INDEX(O$551:O$553,MATCH(Work_Codes!$I$390,$D$551:$D$553,0)))</f>
        <v>0</v>
      </c>
      <c r="P651" s="81">
        <f ca="1">P631*(INDEX(P$551:P$553,MATCH(Work_Codes!$I$390,$D$551:$D$553,0)))</f>
        <v>0</v>
      </c>
      <c r="Q651" s="81">
        <f ca="1">Q631*(INDEX(Q$551:Q$553,MATCH(Work_Codes!$I$390,$D$551:$D$553,0)))</f>
        <v>0</v>
      </c>
      <c r="R651" s="81">
        <f ca="1">R631*(INDEX(R$551:R$553,MATCH(Work_Codes!$I$390,$D$551:$D$553,0)))</f>
        <v>0</v>
      </c>
      <c r="S651" s="81">
        <f ca="1">S631*(INDEX(S$551:S$553,MATCH(Work_Codes!$I$390,$D$551:$D$553,0)))</f>
        <v>0</v>
      </c>
      <c r="T651" s="81">
        <f ca="1">T631*(INDEX(T$551:T$553,MATCH(Work_Codes!$I$390,$D$551:$D$553,0)))</f>
        <v>0</v>
      </c>
    </row>
    <row r="652" spans="5:20" outlineLevel="2">
      <c r="E652" s="247" t="str">
        <f>GC!C50</f>
        <v>Land</v>
      </c>
      <c r="F652" s="247"/>
      <c r="G652" s="247"/>
      <c r="H652" s="247"/>
      <c r="I652" s="247"/>
      <c r="J652" s="81">
        <f ca="1">J632*(INDEX(J$551:J$553,MATCH(Work_Codes!$I$390,$D$551:$D$553,0)))</f>
        <v>0</v>
      </c>
      <c r="K652" s="81">
        <f ca="1">K632*(INDEX(K$551:K$553,MATCH(Work_Codes!$I$390,$D$551:$D$553,0)))</f>
        <v>0</v>
      </c>
      <c r="L652" s="81">
        <f ca="1">L632*(INDEX(L$551:L$553,MATCH(Work_Codes!$I$390,$D$551:$D$553,0)))</f>
        <v>0</v>
      </c>
      <c r="M652" s="81">
        <f ca="1">M632*(INDEX(M$551:M$553,MATCH(Work_Codes!$I$390,$D$551:$D$553,0)))</f>
        <v>0</v>
      </c>
      <c r="N652" s="81">
        <f ca="1">N632*(INDEX(N$551:N$553,MATCH(Work_Codes!$I$390,$D$551:$D$553,0)))</f>
        <v>0</v>
      </c>
      <c r="O652" s="81">
        <f ca="1">O632*(INDEX(O$551:O$553,MATCH(Work_Codes!$I$390,$D$551:$D$553,0)))</f>
        <v>0</v>
      </c>
      <c r="P652" s="81">
        <f ca="1">P632*(INDEX(P$551:P$553,MATCH(Work_Codes!$I$390,$D$551:$D$553,0)))</f>
        <v>0</v>
      </c>
      <c r="Q652" s="81">
        <f ca="1">Q632*(INDEX(Q$551:Q$553,MATCH(Work_Codes!$I$390,$D$551:$D$553,0)))</f>
        <v>0</v>
      </c>
      <c r="R652" s="81">
        <f ca="1">R632*(INDEX(R$551:R$553,MATCH(Work_Codes!$I$390,$D$551:$D$553,0)))</f>
        <v>0</v>
      </c>
      <c r="S652" s="81">
        <f ca="1">S632*(INDEX(S$551:S$553,MATCH(Work_Codes!$I$390,$D$551:$D$553,0)))</f>
        <v>0</v>
      </c>
      <c r="T652" s="81">
        <f ca="1">T632*(INDEX(T$551:T$553,MATCH(Work_Codes!$I$390,$D$551:$D$553,0)))</f>
        <v>0</v>
      </c>
    </row>
    <row r="653" spans="5:20" outlineLevel="2">
      <c r="E653" s="247" t="str">
        <f>GC!C51</f>
        <v>Capitalised Leases</v>
      </c>
      <c r="F653" s="247"/>
      <c r="G653" s="247"/>
      <c r="H653" s="247"/>
      <c r="I653" s="247"/>
      <c r="J653" s="81">
        <f ca="1">J633*(INDEX(J$551:J$553,MATCH(Work_Codes!$I$390,$D$551:$D$553,0)))</f>
        <v>0</v>
      </c>
      <c r="K653" s="81">
        <f ca="1">K633*(INDEX(K$551:K$553,MATCH(Work_Codes!$I$390,$D$551:$D$553,0)))</f>
        <v>0</v>
      </c>
      <c r="L653" s="81">
        <f ca="1">L633*(INDEX(L$551:L$553,MATCH(Work_Codes!$I$390,$D$551:$D$553,0)))</f>
        <v>0</v>
      </c>
      <c r="M653" s="81">
        <f ca="1">M633*(INDEX(M$551:M$553,MATCH(Work_Codes!$I$390,$D$551:$D$553,0)))</f>
        <v>0</v>
      </c>
      <c r="N653" s="81">
        <f ca="1">N633*(INDEX(N$551:N$553,MATCH(Work_Codes!$I$390,$D$551:$D$553,0)))</f>
        <v>0</v>
      </c>
      <c r="O653" s="81">
        <f ca="1">O633*(INDEX(O$551:O$553,MATCH(Work_Codes!$I$390,$D$551:$D$553,0)))</f>
        <v>0</v>
      </c>
      <c r="P653" s="81">
        <f ca="1">P633*(INDEX(P$551:P$553,MATCH(Work_Codes!$I$390,$D$551:$D$553,0)))</f>
        <v>0</v>
      </c>
      <c r="Q653" s="81">
        <f ca="1">Q633*(INDEX(Q$551:Q$553,MATCH(Work_Codes!$I$390,$D$551:$D$553,0)))</f>
        <v>0</v>
      </c>
      <c r="R653" s="81">
        <f ca="1">R633*(INDEX(R$551:R$553,MATCH(Work_Codes!$I$390,$D$551:$D$553,0)))</f>
        <v>0</v>
      </c>
      <c r="S653" s="81">
        <f ca="1">S633*(INDEX(S$551:S$553,MATCH(Work_Codes!$I$390,$D$551:$D$553,0)))</f>
        <v>0</v>
      </c>
      <c r="T653" s="81">
        <f ca="1">T633*(INDEX(T$551:T$553,MATCH(Work_Codes!$I$390,$D$551:$D$553,0)))</f>
        <v>0</v>
      </c>
    </row>
    <row r="654" spans="5:20" outlineLevel="2">
      <c r="E654" s="247" t="str">
        <f>GC!C52</f>
        <v>Transmission pipelines - post 1998</v>
      </c>
      <c r="F654" s="247"/>
      <c r="G654" s="247"/>
      <c r="H654" s="247"/>
      <c r="I654" s="247"/>
      <c r="J654" s="81">
        <f ca="1">J634*(INDEX(J$551:J$553,MATCH(Work_Codes!$I$390,$D$551:$D$553,0)))</f>
        <v>0</v>
      </c>
      <c r="K654" s="81">
        <f ca="1">K634*(INDEX(K$551:K$553,MATCH(Work_Codes!$I$390,$D$551:$D$553,0)))</f>
        <v>0</v>
      </c>
      <c r="L654" s="81">
        <f ca="1">L634*(INDEX(L$551:L$553,MATCH(Work_Codes!$I$390,$D$551:$D$553,0)))</f>
        <v>0</v>
      </c>
      <c r="M654" s="81">
        <f ca="1">M634*(INDEX(M$551:M$553,MATCH(Work_Codes!$I$390,$D$551:$D$553,0)))</f>
        <v>0</v>
      </c>
      <c r="N654" s="81">
        <f ca="1">N634*(INDEX(N$551:N$553,MATCH(Work_Codes!$I$390,$D$551:$D$553,0)))</f>
        <v>0</v>
      </c>
      <c r="O654" s="81">
        <f ca="1">O634*(INDEX(O$551:O$553,MATCH(Work_Codes!$I$390,$D$551:$D$553,0)))</f>
        <v>0</v>
      </c>
      <c r="P654" s="81">
        <f ca="1">P634*(INDEX(P$551:P$553,MATCH(Work_Codes!$I$390,$D$551:$D$553,0)))</f>
        <v>0</v>
      </c>
      <c r="Q654" s="81">
        <f ca="1">Q634*(INDEX(Q$551:Q$553,MATCH(Work_Codes!$I$390,$D$551:$D$553,0)))</f>
        <v>0</v>
      </c>
      <c r="R654" s="81">
        <f ca="1">R634*(INDEX(R$551:R$553,MATCH(Work_Codes!$I$390,$D$551:$D$553,0)))</f>
        <v>0</v>
      </c>
      <c r="S654" s="81">
        <f ca="1">S634*(INDEX(S$551:S$553,MATCH(Work_Codes!$I$390,$D$551:$D$553,0)))</f>
        <v>0</v>
      </c>
      <c r="T654" s="81">
        <f ca="1">T634*(INDEX(T$551:T$553,MATCH(Work_Codes!$I$390,$D$551:$D$553,0)))</f>
        <v>0</v>
      </c>
    </row>
    <row r="655" spans="5:20" outlineLevel="2">
      <c r="E655" s="247" t="str">
        <f>GC!C53</f>
        <v>Distribution pipelines - post 1998</v>
      </c>
      <c r="F655" s="247"/>
      <c r="G655" s="247"/>
      <c r="H655" s="247"/>
      <c r="I655" s="247"/>
      <c r="J655" s="81">
        <f ca="1">J635*(INDEX(J$551:J$553,MATCH(Work_Codes!$I$390,$D$551:$D$553,0)))</f>
        <v>0</v>
      </c>
      <c r="K655" s="81">
        <f ca="1">K635*(INDEX(K$551:K$553,MATCH(Work_Codes!$I$390,$D$551:$D$553,0)))</f>
        <v>0</v>
      </c>
      <c r="L655" s="81">
        <f ca="1">L635*(INDEX(L$551:L$553,MATCH(Work_Codes!$I$390,$D$551:$D$553,0)))</f>
        <v>0</v>
      </c>
      <c r="M655" s="81">
        <f ca="1">M635*(INDEX(M$551:M$553,MATCH(Work_Codes!$I$390,$D$551:$D$553,0)))</f>
        <v>0</v>
      </c>
      <c r="N655" s="81">
        <f ca="1">N635*(INDEX(N$551:N$553,MATCH(Work_Codes!$I$390,$D$551:$D$553,0)))</f>
        <v>22688.819308209888</v>
      </c>
      <c r="O655" s="81">
        <f ca="1">O635*(INDEX(O$551:O$553,MATCH(Work_Codes!$I$390,$D$551:$D$553,0)))</f>
        <v>20859.28743250245</v>
      </c>
      <c r="P655" s="81">
        <f ca="1">P635*(INDEX(P$551:P$553,MATCH(Work_Codes!$I$390,$D$551:$D$553,0)))</f>
        <v>32109.10610222075</v>
      </c>
      <c r="Q655" s="81">
        <f ca="1">Q635*(INDEX(Q$551:Q$553,MATCH(Work_Codes!$I$390,$D$551:$D$553,0)))</f>
        <v>31781.24432205574</v>
      </c>
      <c r="R655" s="81">
        <f ca="1">R635*(INDEX(R$551:R$553,MATCH(Work_Codes!$I$390,$D$551:$D$553,0)))</f>
        <v>33282.993507260508</v>
      </c>
      <c r="S655" s="81">
        <f ca="1">S635*(INDEX(S$551:S$553,MATCH(Work_Codes!$I$390,$D$551:$D$553,0)))</f>
        <v>34921.010900303721</v>
      </c>
      <c r="T655" s="81">
        <f ca="1">T635*(INDEX(T$551:T$553,MATCH(Work_Codes!$I$390,$D$551:$D$553,0)))</f>
        <v>36128.930187649275</v>
      </c>
    </row>
    <row r="656" spans="5:20" outlineLevel="2">
      <c r="E656" s="247" t="str">
        <f>GC!C54</f>
        <v>Service pipes - post 1998</v>
      </c>
      <c r="F656" s="247"/>
      <c r="G656" s="247"/>
      <c r="H656" s="247"/>
      <c r="I656" s="247"/>
      <c r="J656" s="81">
        <f ca="1">J636*(INDEX(J$551:J$553,MATCH(Work_Codes!$I$390,$D$551:$D$553,0)))</f>
        <v>0</v>
      </c>
      <c r="K656" s="81">
        <f ca="1">K636*(INDEX(K$551:K$553,MATCH(Work_Codes!$I$390,$D$551:$D$553,0)))</f>
        <v>0</v>
      </c>
      <c r="L656" s="81">
        <f ca="1">L636*(INDEX(L$551:L$553,MATCH(Work_Codes!$I$390,$D$551:$D$553,0)))</f>
        <v>0</v>
      </c>
      <c r="M656" s="81">
        <f ca="1">M636*(INDEX(M$551:M$553,MATCH(Work_Codes!$I$390,$D$551:$D$553,0)))</f>
        <v>0</v>
      </c>
      <c r="N656" s="81">
        <f ca="1">N636*(INDEX(N$551:N$553,MATCH(Work_Codes!$I$390,$D$551:$D$553,0)))</f>
        <v>1512.5879538806591</v>
      </c>
      <c r="O656" s="81">
        <f ca="1">O636*(INDEX(O$551:O$553,MATCH(Work_Codes!$I$390,$D$551:$D$553,0)))</f>
        <v>1390.6191621668302</v>
      </c>
      <c r="P656" s="81">
        <f ca="1">P636*(INDEX(P$551:P$553,MATCH(Work_Codes!$I$390,$D$551:$D$553,0)))</f>
        <v>2140.6070734813834</v>
      </c>
      <c r="Q656" s="81">
        <f ca="1">Q636*(INDEX(Q$551:Q$553,MATCH(Work_Codes!$I$390,$D$551:$D$553,0)))</f>
        <v>2118.7496214703824</v>
      </c>
      <c r="R656" s="81">
        <f ca="1">R636*(INDEX(R$551:R$553,MATCH(Work_Codes!$I$390,$D$551:$D$553,0)))</f>
        <v>2218.8662338173672</v>
      </c>
      <c r="S656" s="81">
        <f ca="1">S636*(INDEX(S$551:S$553,MATCH(Work_Codes!$I$390,$D$551:$D$553,0)))</f>
        <v>2328.0673933535818</v>
      </c>
      <c r="T656" s="81">
        <f ca="1">T636*(INDEX(T$551:T$553,MATCH(Work_Codes!$I$390,$D$551:$D$553,0)))</f>
        <v>2408.5953458432855</v>
      </c>
    </row>
    <row r="657" spans="4:20" outlineLevel="2">
      <c r="E657" s="247" t="str">
        <f>GC!C55</f>
        <v>Cathodic protection - post 1998</v>
      </c>
      <c r="F657" s="247"/>
      <c r="G657" s="247"/>
      <c r="H657" s="247"/>
      <c r="I657" s="247"/>
      <c r="J657" s="81">
        <f ca="1">J637*(INDEX(J$551:J$553,MATCH(Work_Codes!$I$390,$D$551:$D$553,0)))</f>
        <v>0</v>
      </c>
      <c r="K657" s="81">
        <f ca="1">K637*(INDEX(K$551:K$553,MATCH(Work_Codes!$I$390,$D$551:$D$553,0)))</f>
        <v>0</v>
      </c>
      <c r="L657" s="81">
        <f ca="1">L637*(INDEX(L$551:L$553,MATCH(Work_Codes!$I$390,$D$551:$D$553,0)))</f>
        <v>0</v>
      </c>
      <c r="M657" s="81">
        <f ca="1">M637*(INDEX(M$551:M$553,MATCH(Work_Codes!$I$390,$D$551:$D$553,0)))</f>
        <v>0</v>
      </c>
      <c r="N657" s="81">
        <f ca="1">N637*(INDEX(N$551:N$553,MATCH(Work_Codes!$I$390,$D$551:$D$553,0)))</f>
        <v>0</v>
      </c>
      <c r="O657" s="81">
        <f ca="1">O637*(INDEX(O$551:O$553,MATCH(Work_Codes!$I$390,$D$551:$D$553,0)))</f>
        <v>0</v>
      </c>
      <c r="P657" s="81">
        <f ca="1">P637*(INDEX(P$551:P$553,MATCH(Work_Codes!$I$390,$D$551:$D$553,0)))</f>
        <v>0</v>
      </c>
      <c r="Q657" s="81">
        <f ca="1">Q637*(INDEX(Q$551:Q$553,MATCH(Work_Codes!$I$390,$D$551:$D$553,0)))</f>
        <v>0</v>
      </c>
      <c r="R657" s="81">
        <f ca="1">R637*(INDEX(R$551:R$553,MATCH(Work_Codes!$I$390,$D$551:$D$553,0)))</f>
        <v>0</v>
      </c>
      <c r="S657" s="81">
        <f ca="1">S637*(INDEX(S$551:S$553,MATCH(Work_Codes!$I$390,$D$551:$D$553,0)))</f>
        <v>0</v>
      </c>
      <c r="T657" s="81">
        <f ca="1">T637*(INDEX(T$551:T$553,MATCH(Work_Codes!$I$390,$D$551:$D$553,0)))</f>
        <v>0</v>
      </c>
    </row>
    <row r="658" spans="4:20" outlineLevel="2">
      <c r="E658" s="249" t="str">
        <f>"Total "&amp;D640</f>
        <v>Total Overheads</v>
      </c>
      <c r="F658" s="249"/>
      <c r="G658" s="249"/>
      <c r="H658" s="249"/>
      <c r="I658" s="249"/>
      <c r="J658" s="82">
        <f t="shared" ref="J658:T658" ca="1" si="65">SUM(J642:J657)</f>
        <v>0</v>
      </c>
      <c r="K658" s="82">
        <f t="shared" ca="1" si="65"/>
        <v>0</v>
      </c>
      <c r="L658" s="82">
        <f t="shared" ca="1" si="65"/>
        <v>0</v>
      </c>
      <c r="M658" s="82">
        <f t="shared" ca="1" si="65"/>
        <v>0</v>
      </c>
      <c r="N658" s="82">
        <f t="shared" ca="1" si="65"/>
        <v>30251.759077613184</v>
      </c>
      <c r="O658" s="82">
        <f t="shared" ca="1" si="65"/>
        <v>27812.383243336601</v>
      </c>
      <c r="P658" s="82">
        <f t="shared" ca="1" si="65"/>
        <v>42812.14146962767</v>
      </c>
      <c r="Q658" s="82">
        <f t="shared" ca="1" si="65"/>
        <v>42374.992429407648</v>
      </c>
      <c r="R658" s="82">
        <f t="shared" ca="1" si="65"/>
        <v>44377.324676347343</v>
      </c>
      <c r="S658" s="82">
        <f t="shared" ca="1" si="65"/>
        <v>46561.347867071629</v>
      </c>
      <c r="T658" s="82">
        <f t="shared" ca="1" si="65"/>
        <v>48171.906916865701</v>
      </c>
    </row>
    <row r="659" spans="4:20" outlineLevel="2"/>
    <row r="660" spans="4:20" outlineLevel="2">
      <c r="D660" s="37" t="s">
        <v>216</v>
      </c>
    </row>
    <row r="661" spans="4:20" ht="5.9" customHeight="1" outlineLevel="2"/>
    <row r="662" spans="4:20" outlineLevel="2">
      <c r="E662" s="247" t="str">
        <f>GC!C40</f>
        <v>Transmission pipelines</v>
      </c>
      <c r="F662" s="247"/>
      <c r="G662" s="247"/>
      <c r="H662" s="247"/>
      <c r="I662" s="247"/>
      <c r="J662" s="81">
        <f ca="1">J622*(1+INDEX(J$551:J$553,MATCH(Work_Codes!$I$390,$D$551:$D$553,0)))</f>
        <v>0</v>
      </c>
      <c r="K662" s="81">
        <f ca="1">K622*(1+INDEX(K$551:K$553,MATCH(Work_Codes!$I$390,$D$551:$D$553,0)))</f>
        <v>0</v>
      </c>
      <c r="L662" s="81">
        <f ca="1">L622*(1+INDEX(L$551:L$553,MATCH(Work_Codes!$I$390,$D$551:$D$553,0)))</f>
        <v>0</v>
      </c>
      <c r="M662" s="81">
        <f ca="1">M622*(1+INDEX(M$551:M$553,MATCH(Work_Codes!$I$390,$D$551:$D$553,0)))</f>
        <v>0</v>
      </c>
      <c r="N662" s="81">
        <f ca="1">N622*(1+INDEX(N$551:N$553,MATCH(Work_Codes!$I$390,$D$551:$D$553,0)))</f>
        <v>0</v>
      </c>
      <c r="O662" s="81">
        <f ca="1">O622*(1+INDEX(O$551:O$553,MATCH(Work_Codes!$I$390,$D$551:$D$553,0)))</f>
        <v>0</v>
      </c>
      <c r="P662" s="81">
        <f ca="1">P622*(1+INDEX(P$551:P$553,MATCH(Work_Codes!$I$390,$D$551:$D$553,0)))</f>
        <v>0</v>
      </c>
      <c r="Q662" s="81">
        <f ca="1">Q622*(1+INDEX(Q$551:Q$553,MATCH(Work_Codes!$I$390,$D$551:$D$553,0)))</f>
        <v>0</v>
      </c>
      <c r="R662" s="81">
        <f ca="1">R622*(1+INDEX(R$551:R$553,MATCH(Work_Codes!$I$390,$D$551:$D$553,0)))</f>
        <v>0</v>
      </c>
      <c r="S662" s="81">
        <f ca="1">S622*(1+INDEX(S$551:S$553,MATCH(Work_Codes!$I$390,$D$551:$D$553,0)))</f>
        <v>0</v>
      </c>
      <c r="T662" s="81">
        <f ca="1">T622*(1+INDEX(T$551:T$553,MATCH(Work_Codes!$I$390,$D$551:$D$553,0)))</f>
        <v>0</v>
      </c>
    </row>
    <row r="663" spans="4:20" outlineLevel="2">
      <c r="E663" s="247" t="str">
        <f>GC!C41</f>
        <v>Distribution pipelines</v>
      </c>
      <c r="F663" s="247"/>
      <c r="G663" s="247"/>
      <c r="H663" s="247"/>
      <c r="I663" s="247"/>
      <c r="J663" s="81">
        <f ca="1">J623*(1+INDEX(J$551:J$553,MATCH(Work_Codes!$I$390,$D$551:$D$553,0)))</f>
        <v>0</v>
      </c>
      <c r="K663" s="81">
        <f ca="1">K623*(1+INDEX(K$551:K$553,MATCH(Work_Codes!$I$390,$D$551:$D$553,0)))</f>
        <v>0</v>
      </c>
      <c r="L663" s="81">
        <f ca="1">L623*(1+INDEX(L$551:L$553,MATCH(Work_Codes!$I$390,$D$551:$D$553,0)))</f>
        <v>0</v>
      </c>
      <c r="M663" s="81">
        <f ca="1">M623*(1+INDEX(M$551:M$553,MATCH(Work_Codes!$I$390,$D$551:$D$553,0)))</f>
        <v>0</v>
      </c>
      <c r="N663" s="81">
        <f ca="1">N623*(1+INDEX(N$551:N$553,MATCH(Work_Codes!$I$390,$D$551:$D$553,0)))</f>
        <v>0</v>
      </c>
      <c r="O663" s="81">
        <f ca="1">O623*(1+INDEX(O$551:O$553,MATCH(Work_Codes!$I$390,$D$551:$D$553,0)))</f>
        <v>0</v>
      </c>
      <c r="P663" s="81">
        <f ca="1">P623*(1+INDEX(P$551:P$553,MATCH(Work_Codes!$I$390,$D$551:$D$553,0)))</f>
        <v>0</v>
      </c>
      <c r="Q663" s="81">
        <f ca="1">Q623*(1+INDEX(Q$551:Q$553,MATCH(Work_Codes!$I$390,$D$551:$D$553,0)))</f>
        <v>0</v>
      </c>
      <c r="R663" s="81">
        <f ca="1">R623*(1+INDEX(R$551:R$553,MATCH(Work_Codes!$I$390,$D$551:$D$553,0)))</f>
        <v>0</v>
      </c>
      <c r="S663" s="81">
        <f ca="1">S623*(1+INDEX(S$551:S$553,MATCH(Work_Codes!$I$390,$D$551:$D$553,0)))</f>
        <v>0</v>
      </c>
      <c r="T663" s="81">
        <f ca="1">T623*(1+INDEX(T$551:T$553,MATCH(Work_Codes!$I$390,$D$551:$D$553,0)))</f>
        <v>0</v>
      </c>
    </row>
    <row r="664" spans="4:20" outlineLevel="2">
      <c r="E664" s="247" t="str">
        <f>GC!C42</f>
        <v>Service pipes</v>
      </c>
      <c r="F664" s="247"/>
      <c r="G664" s="247"/>
      <c r="H664" s="247"/>
      <c r="I664" s="247"/>
      <c r="J664" s="81">
        <f ca="1">J624*(1+INDEX(J$551:J$553,MATCH(Work_Codes!$I$390,$D$551:$D$553,0)))</f>
        <v>0</v>
      </c>
      <c r="K664" s="81">
        <f ca="1">K624*(1+INDEX(K$551:K$553,MATCH(Work_Codes!$I$390,$D$551:$D$553,0)))</f>
        <v>0</v>
      </c>
      <c r="L664" s="81">
        <f ca="1">L624*(1+INDEX(L$551:L$553,MATCH(Work_Codes!$I$390,$D$551:$D$553,0)))</f>
        <v>0</v>
      </c>
      <c r="M664" s="81">
        <f ca="1">M624*(1+INDEX(M$551:M$553,MATCH(Work_Codes!$I$390,$D$551:$D$553,0)))</f>
        <v>0</v>
      </c>
      <c r="N664" s="81">
        <f ca="1">N624*(1+INDEX(N$551:N$553,MATCH(Work_Codes!$I$390,$D$551:$D$553,0)))</f>
        <v>0</v>
      </c>
      <c r="O664" s="81">
        <f ca="1">O624*(1+INDEX(O$551:O$553,MATCH(Work_Codes!$I$390,$D$551:$D$553,0)))</f>
        <v>0</v>
      </c>
      <c r="P664" s="81">
        <f ca="1">P624*(1+INDEX(P$551:P$553,MATCH(Work_Codes!$I$390,$D$551:$D$553,0)))</f>
        <v>0</v>
      </c>
      <c r="Q664" s="81">
        <f ca="1">Q624*(1+INDEX(Q$551:Q$553,MATCH(Work_Codes!$I$390,$D$551:$D$553,0)))</f>
        <v>0</v>
      </c>
      <c r="R664" s="81">
        <f ca="1">R624*(1+INDEX(R$551:R$553,MATCH(Work_Codes!$I$390,$D$551:$D$553,0)))</f>
        <v>0</v>
      </c>
      <c r="S664" s="81">
        <f ca="1">S624*(1+INDEX(S$551:S$553,MATCH(Work_Codes!$I$390,$D$551:$D$553,0)))</f>
        <v>0</v>
      </c>
      <c r="T664" s="81">
        <f ca="1">T624*(1+INDEX(T$551:T$553,MATCH(Work_Codes!$I$390,$D$551:$D$553,0)))</f>
        <v>0</v>
      </c>
    </row>
    <row r="665" spans="4:20" outlineLevel="2">
      <c r="E665" s="247" t="str">
        <f>GC!C43</f>
        <v>Cathodic protection</v>
      </c>
      <c r="F665" s="247"/>
      <c r="G665" s="247"/>
      <c r="H665" s="247"/>
      <c r="I665" s="247"/>
      <c r="J665" s="81">
        <f ca="1">J625*(1+INDEX(J$551:J$553,MATCH(Work_Codes!$I$390,$D$551:$D$553,0)))</f>
        <v>0</v>
      </c>
      <c r="K665" s="81">
        <f ca="1">K625*(1+INDEX(K$551:K$553,MATCH(Work_Codes!$I$390,$D$551:$D$553,0)))</f>
        <v>0</v>
      </c>
      <c r="L665" s="81">
        <f ca="1">L625*(1+INDEX(L$551:L$553,MATCH(Work_Codes!$I$390,$D$551:$D$553,0)))</f>
        <v>0</v>
      </c>
      <c r="M665" s="81">
        <f ca="1">M625*(1+INDEX(M$551:M$553,MATCH(Work_Codes!$I$390,$D$551:$D$553,0)))</f>
        <v>0</v>
      </c>
      <c r="N665" s="81">
        <f ca="1">N625*(1+INDEX(N$551:N$553,MATCH(Work_Codes!$I$390,$D$551:$D$553,0)))</f>
        <v>0</v>
      </c>
      <c r="O665" s="81">
        <f ca="1">O625*(1+INDEX(O$551:O$553,MATCH(Work_Codes!$I$390,$D$551:$D$553,0)))</f>
        <v>0</v>
      </c>
      <c r="P665" s="81">
        <f ca="1">P625*(1+INDEX(P$551:P$553,MATCH(Work_Codes!$I$390,$D$551:$D$553,0)))</f>
        <v>0</v>
      </c>
      <c r="Q665" s="81">
        <f ca="1">Q625*(1+INDEX(Q$551:Q$553,MATCH(Work_Codes!$I$390,$D$551:$D$553,0)))</f>
        <v>0</v>
      </c>
      <c r="R665" s="81">
        <f ca="1">R625*(1+INDEX(R$551:R$553,MATCH(Work_Codes!$I$390,$D$551:$D$553,0)))</f>
        <v>0</v>
      </c>
      <c r="S665" s="81">
        <f ca="1">S625*(1+INDEX(S$551:S$553,MATCH(Work_Codes!$I$390,$D$551:$D$553,0)))</f>
        <v>0</v>
      </c>
      <c r="T665" s="81">
        <f ca="1">T625*(1+INDEX(T$551:T$553,MATCH(Work_Codes!$I$390,$D$551:$D$553,0)))</f>
        <v>0</v>
      </c>
    </row>
    <row r="666" spans="4:20" outlineLevel="2">
      <c r="E666" s="247" t="str">
        <f>GC!C44</f>
        <v>Supply Regulators / Valve Stations</v>
      </c>
      <c r="F666" s="247"/>
      <c r="G666" s="247"/>
      <c r="H666" s="247"/>
      <c r="I666" s="247"/>
      <c r="J666" s="81">
        <f ca="1">J626*(1+INDEX(J$551:J$553,MATCH(Work_Codes!$I$390,$D$551:$D$553,0)))</f>
        <v>0</v>
      </c>
      <c r="K666" s="81">
        <f ca="1">K626*(1+INDEX(K$551:K$553,MATCH(Work_Codes!$I$390,$D$551:$D$553,0)))</f>
        <v>0</v>
      </c>
      <c r="L666" s="81">
        <f ca="1">L626*(1+INDEX(L$551:L$553,MATCH(Work_Codes!$I$390,$D$551:$D$553,0)))</f>
        <v>0</v>
      </c>
      <c r="M666" s="81">
        <f ca="1">M626*(1+INDEX(M$551:M$553,MATCH(Work_Codes!$I$390,$D$551:$D$553,0)))</f>
        <v>0</v>
      </c>
      <c r="N666" s="81">
        <f ca="1">N626*(1+INDEX(N$551:N$553,MATCH(Work_Codes!$I$390,$D$551:$D$553,0)))</f>
        <v>0</v>
      </c>
      <c r="O666" s="81">
        <f ca="1">O626*(1+INDEX(O$551:O$553,MATCH(Work_Codes!$I$390,$D$551:$D$553,0)))</f>
        <v>0</v>
      </c>
      <c r="P666" s="81">
        <f ca="1">P626*(1+INDEX(P$551:P$553,MATCH(Work_Codes!$I$390,$D$551:$D$553,0)))</f>
        <v>0</v>
      </c>
      <c r="Q666" s="81">
        <f ca="1">Q626*(1+INDEX(Q$551:Q$553,MATCH(Work_Codes!$I$390,$D$551:$D$553,0)))</f>
        <v>0</v>
      </c>
      <c r="R666" s="81">
        <f ca="1">R626*(1+INDEX(R$551:R$553,MATCH(Work_Codes!$I$390,$D$551:$D$553,0)))</f>
        <v>0</v>
      </c>
      <c r="S666" s="81">
        <f ca="1">S626*(1+INDEX(S$551:S$553,MATCH(Work_Codes!$I$390,$D$551:$D$553,0)))</f>
        <v>0</v>
      </c>
      <c r="T666" s="81">
        <f ca="1">T626*(1+INDEX(T$551:T$553,MATCH(Work_Codes!$I$390,$D$551:$D$553,0)))</f>
        <v>0</v>
      </c>
    </row>
    <row r="667" spans="4:20" outlineLevel="2">
      <c r="E667" s="247" t="str">
        <f>GC!C45</f>
        <v>Meters</v>
      </c>
      <c r="F667" s="247"/>
      <c r="G667" s="247"/>
      <c r="H667" s="247"/>
      <c r="I667" s="247"/>
      <c r="J667" s="81">
        <f ca="1">J627*(1+INDEX(J$551:J$553,MATCH(Work_Codes!$I$390,$D$551:$D$553,0)))</f>
        <v>0</v>
      </c>
      <c r="K667" s="81">
        <f ca="1">K627*(1+INDEX(K$551:K$553,MATCH(Work_Codes!$I$390,$D$551:$D$553,0)))</f>
        <v>0</v>
      </c>
      <c r="L667" s="81">
        <f ca="1">L627*(1+INDEX(L$551:L$553,MATCH(Work_Codes!$I$390,$D$551:$D$553,0)))</f>
        <v>0</v>
      </c>
      <c r="M667" s="81">
        <f ca="1">M627*(1+INDEX(M$551:M$553,MATCH(Work_Codes!$I$390,$D$551:$D$553,0)))</f>
        <v>0</v>
      </c>
      <c r="N667" s="81">
        <f ca="1">N627*(1+INDEX(N$551:N$553,MATCH(Work_Codes!$I$390,$D$551:$D$553,0)))</f>
        <v>166490.29323857286</v>
      </c>
      <c r="O667" s="81">
        <f ca="1">O627*(1+INDEX(O$551:O$553,MATCH(Work_Codes!$I$390,$D$551:$D$553,0)))</f>
        <v>172684.27151407613</v>
      </c>
      <c r="P667" s="81">
        <f ca="1">P627*(1+INDEX(P$551:P$553,MATCH(Work_Codes!$I$390,$D$551:$D$553,0)))</f>
        <v>328621.37307148112</v>
      </c>
      <c r="Q667" s="81">
        <f ca="1">Q627*(1+INDEX(Q$551:Q$553,MATCH(Work_Codes!$I$390,$D$551:$D$553,0)))</f>
        <v>333678.6622555225</v>
      </c>
      <c r="R667" s="81">
        <f ca="1">R627*(1+INDEX(R$551:R$553,MATCH(Work_Codes!$I$390,$D$551:$D$553,0)))</f>
        <v>339149.82796593005</v>
      </c>
      <c r="S667" s="81">
        <f ca="1">S627*(1+INDEX(S$551:S$553,MATCH(Work_Codes!$I$390,$D$551:$D$553,0)))</f>
        <v>335529.99548580608</v>
      </c>
      <c r="T667" s="81">
        <f ca="1">T627*(1+INDEX(T$551:T$553,MATCH(Work_Codes!$I$390,$D$551:$D$553,0)))</f>
        <v>331635.03651500097</v>
      </c>
    </row>
    <row r="668" spans="4:20" outlineLevel="2">
      <c r="E668" s="247" t="str">
        <f>GC!C46</f>
        <v>SCADA and remote control</v>
      </c>
      <c r="F668" s="247"/>
      <c r="G668" s="247"/>
      <c r="H668" s="247"/>
      <c r="I668" s="247"/>
      <c r="J668" s="81">
        <f ca="1">J628*(1+INDEX(J$551:J$553,MATCH(Work_Codes!$I$390,$D$551:$D$553,0)))</f>
        <v>0</v>
      </c>
      <c r="K668" s="81">
        <f ca="1">K628*(1+INDEX(K$551:K$553,MATCH(Work_Codes!$I$390,$D$551:$D$553,0)))</f>
        <v>0</v>
      </c>
      <c r="L668" s="81">
        <f ca="1">L628*(1+INDEX(L$551:L$553,MATCH(Work_Codes!$I$390,$D$551:$D$553,0)))</f>
        <v>0</v>
      </c>
      <c r="M668" s="81">
        <f ca="1">M628*(1+INDEX(M$551:M$553,MATCH(Work_Codes!$I$390,$D$551:$D$553,0)))</f>
        <v>0</v>
      </c>
      <c r="N668" s="81">
        <f ca="1">N628*(1+INDEX(N$551:N$553,MATCH(Work_Codes!$I$390,$D$551:$D$553,0)))</f>
        <v>0</v>
      </c>
      <c r="O668" s="81">
        <f ca="1">O628*(1+INDEX(O$551:O$553,MATCH(Work_Codes!$I$390,$D$551:$D$553,0)))</f>
        <v>0</v>
      </c>
      <c r="P668" s="81">
        <f ca="1">P628*(1+INDEX(P$551:P$553,MATCH(Work_Codes!$I$390,$D$551:$D$553,0)))</f>
        <v>0</v>
      </c>
      <c r="Q668" s="81">
        <f ca="1">Q628*(1+INDEX(Q$551:Q$553,MATCH(Work_Codes!$I$390,$D$551:$D$553,0)))</f>
        <v>0</v>
      </c>
      <c r="R668" s="81">
        <f ca="1">R628*(1+INDEX(R$551:R$553,MATCH(Work_Codes!$I$390,$D$551:$D$553,0)))</f>
        <v>0</v>
      </c>
      <c r="S668" s="81">
        <f ca="1">S628*(1+INDEX(S$551:S$553,MATCH(Work_Codes!$I$390,$D$551:$D$553,0)))</f>
        <v>0</v>
      </c>
      <c r="T668" s="81">
        <f ca="1">T628*(1+INDEX(T$551:T$553,MATCH(Work_Codes!$I$390,$D$551:$D$553,0)))</f>
        <v>0</v>
      </c>
    </row>
    <row r="669" spans="4:20" outlineLevel="2">
      <c r="E669" s="247" t="str">
        <f>GC!C47</f>
        <v>Buildings</v>
      </c>
      <c r="F669" s="247"/>
      <c r="G669" s="247"/>
      <c r="H669" s="247"/>
      <c r="I669" s="247"/>
      <c r="J669" s="81">
        <f ca="1">J629*(1+INDEX(J$551:J$553,MATCH(Work_Codes!$I$390,$D$551:$D$553,0)))</f>
        <v>0</v>
      </c>
      <c r="K669" s="81">
        <f ca="1">K629*(1+INDEX(K$551:K$553,MATCH(Work_Codes!$I$390,$D$551:$D$553,0)))</f>
        <v>0</v>
      </c>
      <c r="L669" s="81">
        <f ca="1">L629*(1+INDEX(L$551:L$553,MATCH(Work_Codes!$I$390,$D$551:$D$553,0)))</f>
        <v>0</v>
      </c>
      <c r="M669" s="81">
        <f ca="1">M629*(1+INDEX(M$551:M$553,MATCH(Work_Codes!$I$390,$D$551:$D$553,0)))</f>
        <v>0</v>
      </c>
      <c r="N669" s="81">
        <f ca="1">N629*(1+INDEX(N$551:N$553,MATCH(Work_Codes!$I$390,$D$551:$D$553,0)))</f>
        <v>0</v>
      </c>
      <c r="O669" s="81">
        <f ca="1">O629*(1+INDEX(O$551:O$553,MATCH(Work_Codes!$I$390,$D$551:$D$553,0)))</f>
        <v>0</v>
      </c>
      <c r="P669" s="81">
        <f ca="1">P629*(1+INDEX(P$551:P$553,MATCH(Work_Codes!$I$390,$D$551:$D$553,0)))</f>
        <v>0</v>
      </c>
      <c r="Q669" s="81">
        <f ca="1">Q629*(1+INDEX(Q$551:Q$553,MATCH(Work_Codes!$I$390,$D$551:$D$553,0)))</f>
        <v>0</v>
      </c>
      <c r="R669" s="81">
        <f ca="1">R629*(1+INDEX(R$551:R$553,MATCH(Work_Codes!$I$390,$D$551:$D$553,0)))</f>
        <v>0</v>
      </c>
      <c r="S669" s="81">
        <f ca="1">S629*(1+INDEX(S$551:S$553,MATCH(Work_Codes!$I$390,$D$551:$D$553,0)))</f>
        <v>0</v>
      </c>
      <c r="T669" s="81">
        <f ca="1">T629*(1+INDEX(T$551:T$553,MATCH(Work_Codes!$I$390,$D$551:$D$553,0)))</f>
        <v>0</v>
      </c>
    </row>
    <row r="670" spans="4:20" outlineLevel="2">
      <c r="E670" s="247" t="str">
        <f>GC!C48</f>
        <v>Other - IT</v>
      </c>
      <c r="F670" s="247"/>
      <c r="G670" s="247"/>
      <c r="H670" s="247"/>
      <c r="I670" s="247"/>
      <c r="J670" s="81">
        <f ca="1">J630*(1+INDEX(J$551:J$553,MATCH(Work_Codes!$I$390,$D$551:$D$553,0)))</f>
        <v>0</v>
      </c>
      <c r="K670" s="81">
        <f ca="1">K630*(1+INDEX(K$551:K$553,MATCH(Work_Codes!$I$390,$D$551:$D$553,0)))</f>
        <v>0</v>
      </c>
      <c r="L670" s="81">
        <f ca="1">L630*(1+INDEX(L$551:L$553,MATCH(Work_Codes!$I$390,$D$551:$D$553,0)))</f>
        <v>0</v>
      </c>
      <c r="M670" s="81">
        <f ca="1">M630*(1+INDEX(M$551:M$553,MATCH(Work_Codes!$I$390,$D$551:$D$553,0)))</f>
        <v>0</v>
      </c>
      <c r="N670" s="81">
        <f ca="1">N630*(1+INDEX(N$551:N$553,MATCH(Work_Codes!$I$390,$D$551:$D$553,0)))</f>
        <v>0</v>
      </c>
      <c r="O670" s="81">
        <f ca="1">O630*(1+INDEX(O$551:O$553,MATCH(Work_Codes!$I$390,$D$551:$D$553,0)))</f>
        <v>0</v>
      </c>
      <c r="P670" s="81">
        <f ca="1">P630*(1+INDEX(P$551:P$553,MATCH(Work_Codes!$I$390,$D$551:$D$553,0)))</f>
        <v>0</v>
      </c>
      <c r="Q670" s="81">
        <f ca="1">Q630*(1+INDEX(Q$551:Q$553,MATCH(Work_Codes!$I$390,$D$551:$D$553,0)))</f>
        <v>0</v>
      </c>
      <c r="R670" s="81">
        <f ca="1">R630*(1+INDEX(R$551:R$553,MATCH(Work_Codes!$I$390,$D$551:$D$553,0)))</f>
        <v>0</v>
      </c>
      <c r="S670" s="81">
        <f ca="1">S630*(1+INDEX(S$551:S$553,MATCH(Work_Codes!$I$390,$D$551:$D$553,0)))</f>
        <v>0</v>
      </c>
      <c r="T670" s="81">
        <f ca="1">T630*(1+INDEX(T$551:T$553,MATCH(Work_Codes!$I$390,$D$551:$D$553,0)))</f>
        <v>0</v>
      </c>
    </row>
    <row r="671" spans="4:20" outlineLevel="2">
      <c r="E671" s="247" t="str">
        <f>GC!C49</f>
        <v>Other - non IT</v>
      </c>
      <c r="F671" s="247"/>
      <c r="G671" s="247"/>
      <c r="H671" s="247"/>
      <c r="I671" s="247"/>
      <c r="J671" s="81">
        <f ca="1">J631*(1+INDEX(J$551:J$553,MATCH(Work_Codes!$I$390,$D$551:$D$553,0)))</f>
        <v>0</v>
      </c>
      <c r="K671" s="81">
        <f ca="1">K631*(1+INDEX(K$551:K$553,MATCH(Work_Codes!$I$390,$D$551:$D$553,0)))</f>
        <v>0</v>
      </c>
      <c r="L671" s="81">
        <f ca="1">L631*(1+INDEX(L$551:L$553,MATCH(Work_Codes!$I$390,$D$551:$D$553,0)))</f>
        <v>0</v>
      </c>
      <c r="M671" s="81">
        <f ca="1">M631*(1+INDEX(M$551:M$553,MATCH(Work_Codes!$I$390,$D$551:$D$553,0)))</f>
        <v>0</v>
      </c>
      <c r="N671" s="81">
        <f ca="1">N631*(1+INDEX(N$551:N$553,MATCH(Work_Codes!$I$390,$D$551:$D$553,0)))</f>
        <v>0</v>
      </c>
      <c r="O671" s="81">
        <f ca="1">O631*(1+INDEX(O$551:O$553,MATCH(Work_Codes!$I$390,$D$551:$D$553,0)))</f>
        <v>0</v>
      </c>
      <c r="P671" s="81">
        <f ca="1">P631*(1+INDEX(P$551:P$553,MATCH(Work_Codes!$I$390,$D$551:$D$553,0)))</f>
        <v>0</v>
      </c>
      <c r="Q671" s="81">
        <f ca="1">Q631*(1+INDEX(Q$551:Q$553,MATCH(Work_Codes!$I$390,$D$551:$D$553,0)))</f>
        <v>0</v>
      </c>
      <c r="R671" s="81">
        <f ca="1">R631*(1+INDEX(R$551:R$553,MATCH(Work_Codes!$I$390,$D$551:$D$553,0)))</f>
        <v>0</v>
      </c>
      <c r="S671" s="81">
        <f ca="1">S631*(1+INDEX(S$551:S$553,MATCH(Work_Codes!$I$390,$D$551:$D$553,0)))</f>
        <v>0</v>
      </c>
      <c r="T671" s="81">
        <f ca="1">T631*(1+INDEX(T$551:T$553,MATCH(Work_Codes!$I$390,$D$551:$D$553,0)))</f>
        <v>0</v>
      </c>
    </row>
    <row r="672" spans="4:20" outlineLevel="2">
      <c r="E672" s="247" t="str">
        <f>GC!C50</f>
        <v>Land</v>
      </c>
      <c r="F672" s="247"/>
      <c r="G672" s="247"/>
      <c r="H672" s="247"/>
      <c r="I672" s="247"/>
      <c r="J672" s="81">
        <f ca="1">J632*(1+INDEX(J$551:J$553,MATCH(Work_Codes!$I$390,$D$551:$D$553,0)))</f>
        <v>0</v>
      </c>
      <c r="K672" s="81">
        <f ca="1">K632*(1+INDEX(K$551:K$553,MATCH(Work_Codes!$I$390,$D$551:$D$553,0)))</f>
        <v>0</v>
      </c>
      <c r="L672" s="81">
        <f ca="1">L632*(1+INDEX(L$551:L$553,MATCH(Work_Codes!$I$390,$D$551:$D$553,0)))</f>
        <v>0</v>
      </c>
      <c r="M672" s="81">
        <f ca="1">M632*(1+INDEX(M$551:M$553,MATCH(Work_Codes!$I$390,$D$551:$D$553,0)))</f>
        <v>0</v>
      </c>
      <c r="N672" s="81">
        <f ca="1">N632*(1+INDEX(N$551:N$553,MATCH(Work_Codes!$I$390,$D$551:$D$553,0)))</f>
        <v>0</v>
      </c>
      <c r="O672" s="81">
        <f ca="1">O632*(1+INDEX(O$551:O$553,MATCH(Work_Codes!$I$390,$D$551:$D$553,0)))</f>
        <v>0</v>
      </c>
      <c r="P672" s="81">
        <f ca="1">P632*(1+INDEX(P$551:P$553,MATCH(Work_Codes!$I$390,$D$551:$D$553,0)))</f>
        <v>0</v>
      </c>
      <c r="Q672" s="81">
        <f ca="1">Q632*(1+INDEX(Q$551:Q$553,MATCH(Work_Codes!$I$390,$D$551:$D$553,0)))</f>
        <v>0</v>
      </c>
      <c r="R672" s="81">
        <f ca="1">R632*(1+INDEX(R$551:R$553,MATCH(Work_Codes!$I$390,$D$551:$D$553,0)))</f>
        <v>0</v>
      </c>
      <c r="S672" s="81">
        <f ca="1">S632*(1+INDEX(S$551:S$553,MATCH(Work_Codes!$I$390,$D$551:$D$553,0)))</f>
        <v>0</v>
      </c>
      <c r="T672" s="81">
        <f ca="1">T632*(1+INDEX(T$551:T$553,MATCH(Work_Codes!$I$390,$D$551:$D$553,0)))</f>
        <v>0</v>
      </c>
    </row>
    <row r="673" spans="4:20" outlineLevel="2">
      <c r="E673" s="247" t="str">
        <f>GC!C51</f>
        <v>Capitalised Leases</v>
      </c>
      <c r="F673" s="247"/>
      <c r="G673" s="247"/>
      <c r="H673" s="247"/>
      <c r="I673" s="247"/>
      <c r="J673" s="81">
        <f ca="1">J633*(1+INDEX(J$551:J$553,MATCH(Work_Codes!$I$390,$D$551:$D$553,0)))</f>
        <v>0</v>
      </c>
      <c r="K673" s="81">
        <f ca="1">K633*(1+INDEX(K$551:K$553,MATCH(Work_Codes!$I$390,$D$551:$D$553,0)))</f>
        <v>0</v>
      </c>
      <c r="L673" s="81">
        <f ca="1">L633*(1+INDEX(L$551:L$553,MATCH(Work_Codes!$I$390,$D$551:$D$553,0)))</f>
        <v>0</v>
      </c>
      <c r="M673" s="81">
        <f ca="1">M633*(1+INDEX(M$551:M$553,MATCH(Work_Codes!$I$390,$D$551:$D$553,0)))</f>
        <v>0</v>
      </c>
      <c r="N673" s="81">
        <f ca="1">N633*(1+INDEX(N$551:N$553,MATCH(Work_Codes!$I$390,$D$551:$D$553,0)))</f>
        <v>0</v>
      </c>
      <c r="O673" s="81">
        <f ca="1">O633*(1+INDEX(O$551:O$553,MATCH(Work_Codes!$I$390,$D$551:$D$553,0)))</f>
        <v>0</v>
      </c>
      <c r="P673" s="81">
        <f ca="1">P633*(1+INDEX(P$551:P$553,MATCH(Work_Codes!$I$390,$D$551:$D$553,0)))</f>
        <v>0</v>
      </c>
      <c r="Q673" s="81">
        <f ca="1">Q633*(1+INDEX(Q$551:Q$553,MATCH(Work_Codes!$I$390,$D$551:$D$553,0)))</f>
        <v>0</v>
      </c>
      <c r="R673" s="81">
        <f ca="1">R633*(1+INDEX(R$551:R$553,MATCH(Work_Codes!$I$390,$D$551:$D$553,0)))</f>
        <v>0</v>
      </c>
      <c r="S673" s="81">
        <f ca="1">S633*(1+INDEX(S$551:S$553,MATCH(Work_Codes!$I$390,$D$551:$D$553,0)))</f>
        <v>0</v>
      </c>
      <c r="T673" s="81">
        <f ca="1">T633*(1+INDEX(T$551:T$553,MATCH(Work_Codes!$I$390,$D$551:$D$553,0)))</f>
        <v>0</v>
      </c>
    </row>
    <row r="674" spans="4:20" outlineLevel="2">
      <c r="E674" s="247" t="str">
        <f>GC!C52</f>
        <v>Transmission pipelines - post 1998</v>
      </c>
      <c r="F674" s="247"/>
      <c r="G674" s="247"/>
      <c r="H674" s="247"/>
      <c r="I674" s="247"/>
      <c r="J674" s="81">
        <f ca="1">J634*(1+INDEX(J$551:J$553,MATCH(Work_Codes!$I$390,$D$551:$D$553,0)))</f>
        <v>0</v>
      </c>
      <c r="K674" s="81">
        <f ca="1">K634*(1+INDEX(K$551:K$553,MATCH(Work_Codes!$I$390,$D$551:$D$553,0)))</f>
        <v>0</v>
      </c>
      <c r="L674" s="81">
        <f ca="1">L634*(1+INDEX(L$551:L$553,MATCH(Work_Codes!$I$390,$D$551:$D$553,0)))</f>
        <v>0</v>
      </c>
      <c r="M674" s="81">
        <f ca="1">M634*(1+INDEX(M$551:M$553,MATCH(Work_Codes!$I$390,$D$551:$D$553,0)))</f>
        <v>0</v>
      </c>
      <c r="N674" s="81">
        <f ca="1">N634*(1+INDEX(N$551:N$553,MATCH(Work_Codes!$I$390,$D$551:$D$553,0)))</f>
        <v>0</v>
      </c>
      <c r="O674" s="81">
        <f ca="1">O634*(1+INDEX(O$551:O$553,MATCH(Work_Codes!$I$390,$D$551:$D$553,0)))</f>
        <v>0</v>
      </c>
      <c r="P674" s="81">
        <f ca="1">P634*(1+INDEX(P$551:P$553,MATCH(Work_Codes!$I$390,$D$551:$D$553,0)))</f>
        <v>0</v>
      </c>
      <c r="Q674" s="81">
        <f ca="1">Q634*(1+INDEX(Q$551:Q$553,MATCH(Work_Codes!$I$390,$D$551:$D$553,0)))</f>
        <v>0</v>
      </c>
      <c r="R674" s="81">
        <f ca="1">R634*(1+INDEX(R$551:R$553,MATCH(Work_Codes!$I$390,$D$551:$D$553,0)))</f>
        <v>0</v>
      </c>
      <c r="S674" s="81">
        <f ca="1">S634*(1+INDEX(S$551:S$553,MATCH(Work_Codes!$I$390,$D$551:$D$553,0)))</f>
        <v>0</v>
      </c>
      <c r="T674" s="81">
        <f ca="1">T634*(1+INDEX(T$551:T$553,MATCH(Work_Codes!$I$390,$D$551:$D$553,0)))</f>
        <v>0</v>
      </c>
    </row>
    <row r="675" spans="4:20" outlineLevel="2">
      <c r="E675" s="247" t="str">
        <f>GC!C53</f>
        <v>Distribution pipelines - post 1998</v>
      </c>
      <c r="F675" s="247"/>
      <c r="G675" s="247"/>
      <c r="H675" s="247"/>
      <c r="I675" s="247"/>
      <c r="J675" s="81">
        <f ca="1">J635*(1+INDEX(J$551:J$553,MATCH(Work_Codes!$I$390,$D$551:$D$553,0)))</f>
        <v>0</v>
      </c>
      <c r="K675" s="81">
        <f ca="1">K635*(1+INDEX(K$551:K$553,MATCH(Work_Codes!$I$390,$D$551:$D$553,0)))</f>
        <v>0</v>
      </c>
      <c r="L675" s="81">
        <f ca="1">L635*(1+INDEX(L$551:L$553,MATCH(Work_Codes!$I$390,$D$551:$D$553,0)))</f>
        <v>0</v>
      </c>
      <c r="M675" s="81">
        <f ca="1">M635*(1+INDEX(M$551:M$553,MATCH(Work_Codes!$I$390,$D$551:$D$553,0)))</f>
        <v>0</v>
      </c>
      <c r="N675" s="81">
        <f ca="1">N635*(1+INDEX(N$551:N$553,MATCH(Work_Codes!$I$390,$D$551:$D$553,0)))</f>
        <v>624338.59964464826</v>
      </c>
      <c r="O675" s="81">
        <f ca="1">O635*(1+INDEX(O$551:O$553,MATCH(Work_Codes!$I$390,$D$551:$D$553,0)))</f>
        <v>647566.01817778545</v>
      </c>
      <c r="P675" s="81">
        <f ca="1">P635*(1+INDEX(P$551:P$553,MATCH(Work_Codes!$I$390,$D$551:$D$553,0)))</f>
        <v>1232330.1490180541</v>
      </c>
      <c r="Q675" s="81">
        <f ca="1">Q635*(1+INDEX(Q$551:Q$553,MATCH(Work_Codes!$I$390,$D$551:$D$553,0)))</f>
        <v>1251294.9834582096</v>
      </c>
      <c r="R675" s="81">
        <f ca="1">R635*(1+INDEX(R$551:R$553,MATCH(Work_Codes!$I$390,$D$551:$D$553,0)))</f>
        <v>1271811.8548722377</v>
      </c>
      <c r="S675" s="81">
        <f ca="1">S635*(1+INDEX(S$551:S$553,MATCH(Work_Codes!$I$390,$D$551:$D$553,0)))</f>
        <v>1258237.4830717726</v>
      </c>
      <c r="T675" s="81">
        <f ca="1">T635*(1+INDEX(T$551:T$553,MATCH(Work_Codes!$I$390,$D$551:$D$553,0)))</f>
        <v>1243631.3869312536</v>
      </c>
    </row>
    <row r="676" spans="4:20" outlineLevel="2">
      <c r="E676" s="247" t="str">
        <f>GC!C54</f>
        <v>Service pipes - post 1998</v>
      </c>
      <c r="F676" s="247"/>
      <c r="G676" s="247"/>
      <c r="H676" s="247"/>
      <c r="I676" s="247"/>
      <c r="J676" s="81">
        <f ca="1">J636*(1+INDEX(J$551:J$553,MATCH(Work_Codes!$I$390,$D$551:$D$553,0)))</f>
        <v>0</v>
      </c>
      <c r="K676" s="81">
        <f ca="1">K636*(1+INDEX(K$551:K$553,MATCH(Work_Codes!$I$390,$D$551:$D$553,0)))</f>
        <v>0</v>
      </c>
      <c r="L676" s="81">
        <f ca="1">L636*(1+INDEX(L$551:L$553,MATCH(Work_Codes!$I$390,$D$551:$D$553,0)))</f>
        <v>0</v>
      </c>
      <c r="M676" s="81">
        <f ca="1">M636*(1+INDEX(M$551:M$553,MATCH(Work_Codes!$I$390,$D$551:$D$553,0)))</f>
        <v>0</v>
      </c>
      <c r="N676" s="81">
        <f ca="1">N636*(1+INDEX(N$551:N$553,MATCH(Work_Codes!$I$390,$D$551:$D$553,0)))</f>
        <v>41622.573309643216</v>
      </c>
      <c r="O676" s="81">
        <f ca="1">O636*(1+INDEX(O$551:O$553,MATCH(Work_Codes!$I$390,$D$551:$D$553,0)))</f>
        <v>43171.067878519032</v>
      </c>
      <c r="P676" s="81">
        <f ca="1">P636*(1+INDEX(P$551:P$553,MATCH(Work_Codes!$I$390,$D$551:$D$553,0)))</f>
        <v>82155.343267870281</v>
      </c>
      <c r="Q676" s="81">
        <f ca="1">Q636*(1+INDEX(Q$551:Q$553,MATCH(Work_Codes!$I$390,$D$551:$D$553,0)))</f>
        <v>83419.665563880626</v>
      </c>
      <c r="R676" s="81">
        <f ca="1">R636*(1+INDEX(R$551:R$553,MATCH(Work_Codes!$I$390,$D$551:$D$553,0)))</f>
        <v>84787.456991482512</v>
      </c>
      <c r="S676" s="81">
        <f ca="1">S636*(1+INDEX(S$551:S$553,MATCH(Work_Codes!$I$390,$D$551:$D$553,0)))</f>
        <v>83882.49887145152</v>
      </c>
      <c r="T676" s="81">
        <f ca="1">T636*(1+INDEX(T$551:T$553,MATCH(Work_Codes!$I$390,$D$551:$D$553,0)))</f>
        <v>82908.759128750244</v>
      </c>
    </row>
    <row r="677" spans="4:20" outlineLevel="2">
      <c r="E677" s="247" t="str">
        <f>GC!C55</f>
        <v>Cathodic protection - post 1998</v>
      </c>
      <c r="F677" s="247"/>
      <c r="G677" s="247"/>
      <c r="H677" s="247"/>
      <c r="I677" s="247"/>
      <c r="J677" s="81">
        <f ca="1">J637*(1+INDEX(J$551:J$553,MATCH(Work_Codes!$I$390,$D$551:$D$553,0)))</f>
        <v>0</v>
      </c>
      <c r="K677" s="81">
        <f ca="1">K637*(1+INDEX(K$551:K$553,MATCH(Work_Codes!$I$390,$D$551:$D$553,0)))</f>
        <v>0</v>
      </c>
      <c r="L677" s="81">
        <f ca="1">L637*(1+INDEX(L$551:L$553,MATCH(Work_Codes!$I$390,$D$551:$D$553,0)))</f>
        <v>0</v>
      </c>
      <c r="M677" s="81">
        <f ca="1">M637*(1+INDEX(M$551:M$553,MATCH(Work_Codes!$I$390,$D$551:$D$553,0)))</f>
        <v>0</v>
      </c>
      <c r="N677" s="81">
        <f ca="1">N637*(1+INDEX(N$551:N$553,MATCH(Work_Codes!$I$390,$D$551:$D$553,0)))</f>
        <v>0</v>
      </c>
      <c r="O677" s="81">
        <f ca="1">O637*(1+INDEX(O$551:O$553,MATCH(Work_Codes!$I$390,$D$551:$D$553,0)))</f>
        <v>0</v>
      </c>
      <c r="P677" s="81">
        <f ca="1">P637*(1+INDEX(P$551:P$553,MATCH(Work_Codes!$I$390,$D$551:$D$553,0)))</f>
        <v>0</v>
      </c>
      <c r="Q677" s="81">
        <f ca="1">Q637*(1+INDEX(Q$551:Q$553,MATCH(Work_Codes!$I$390,$D$551:$D$553,0)))</f>
        <v>0</v>
      </c>
      <c r="R677" s="81">
        <f ca="1">R637*(1+INDEX(R$551:R$553,MATCH(Work_Codes!$I$390,$D$551:$D$553,0)))</f>
        <v>0</v>
      </c>
      <c r="S677" s="81">
        <f ca="1">S637*(1+INDEX(S$551:S$553,MATCH(Work_Codes!$I$390,$D$551:$D$553,0)))</f>
        <v>0</v>
      </c>
      <c r="T677" s="81">
        <f ca="1">T637*(1+INDEX(T$551:T$553,MATCH(Work_Codes!$I$390,$D$551:$D$553,0)))</f>
        <v>0</v>
      </c>
    </row>
    <row r="678" spans="4:20" outlineLevel="2">
      <c r="E678" s="249" t="str">
        <f>"Total "&amp;D660</f>
        <v>Total Direct Costs + Overheads</v>
      </c>
      <c r="F678" s="249"/>
      <c r="G678" s="249"/>
      <c r="H678" s="249"/>
      <c r="I678" s="249"/>
      <c r="J678" s="82">
        <f t="shared" ref="J678:T678" ca="1" si="66">SUM(J662:J677)</f>
        <v>0</v>
      </c>
      <c r="K678" s="82">
        <f t="shared" ca="1" si="66"/>
        <v>0</v>
      </c>
      <c r="L678" s="82">
        <f t="shared" ca="1" si="66"/>
        <v>0</v>
      </c>
      <c r="M678" s="82">
        <f t="shared" ca="1" si="66"/>
        <v>0</v>
      </c>
      <c r="N678" s="82">
        <f t="shared" ca="1" si="66"/>
        <v>832451.46619286435</v>
      </c>
      <c r="O678" s="82">
        <f t="shared" ca="1" si="66"/>
        <v>863421.35757038067</v>
      </c>
      <c r="P678" s="82">
        <f t="shared" ca="1" si="66"/>
        <v>1643106.8653574057</v>
      </c>
      <c r="Q678" s="82">
        <f t="shared" ca="1" si="66"/>
        <v>1668393.3112776128</v>
      </c>
      <c r="R678" s="82">
        <f t="shared" ca="1" si="66"/>
        <v>1695749.1398296503</v>
      </c>
      <c r="S678" s="82">
        <f t="shared" ca="1" si="66"/>
        <v>1677649.9774290302</v>
      </c>
      <c r="T678" s="82">
        <f t="shared" ca="1" si="66"/>
        <v>1658175.1825750049</v>
      </c>
    </row>
    <row r="679" spans="4:20" outlineLevel="2"/>
    <row r="680" spans="4:20" outlineLevel="2">
      <c r="D680" s="37" t="s">
        <v>367</v>
      </c>
    </row>
    <row r="681" spans="4:20" ht="5.9" customHeight="1" outlineLevel="2"/>
    <row r="682" spans="4:20" outlineLevel="2">
      <c r="E682" s="247" t="str">
        <f>GC!C40</f>
        <v>Transmission pipelines</v>
      </c>
      <c r="F682" s="247"/>
      <c r="G682" s="247"/>
      <c r="H682" s="247"/>
      <c r="I682" s="247"/>
      <c r="J682" s="81">
        <f ca="1">SUMPRODUCT((Work_Codes!$N$393:$Y$393=$E682)*(Work_Codes!$N$401:$Y$402)*(J$581:J$582))</f>
        <v>0</v>
      </c>
      <c r="K682" s="81">
        <f ca="1">SUMPRODUCT((Work_Codes!$N$393:$Y$393=$E682)*(Work_Codes!$N$401:$Y$402)*(K$581:K$582))</f>
        <v>0</v>
      </c>
      <c r="L682" s="81">
        <f ca="1">SUMPRODUCT((Work_Codes!$N$393:$Y$393=$E682)*(Work_Codes!$N$401:$Y$402)*(L$581:L$582))</f>
        <v>0</v>
      </c>
      <c r="M682" s="81">
        <f ca="1">SUMPRODUCT((Work_Codes!$N$393:$Y$393=$E682)*(Work_Codes!$N$401:$Y$402)*(M$581:M$582))</f>
        <v>0</v>
      </c>
      <c r="N682" s="81">
        <f ca="1">SUMPRODUCT((Work_Codes!$N$393:$Y$393=$E682)*(Work_Codes!$N$401:$Y$402)*(N$581:N$582))</f>
        <v>0</v>
      </c>
      <c r="O682" s="81">
        <f ca="1">SUMPRODUCT((Work_Codes!$N$393:$Y$393=$E682)*(Work_Codes!$N$401:$Y$402)*(O$581:O$582))</f>
        <v>0</v>
      </c>
      <c r="P682" s="81">
        <f ca="1">SUMPRODUCT((Work_Codes!$N$393:$Y$393=$E682)*(Work_Codes!$N$401:$Y$402)*(P$581:P$582))</f>
        <v>0</v>
      </c>
      <c r="Q682" s="81">
        <f ca="1">SUMPRODUCT((Work_Codes!$N$393:$Y$393=$E682)*(Work_Codes!$N$401:$Y$402)*(Q$581:Q$582))</f>
        <v>0</v>
      </c>
      <c r="R682" s="81">
        <f ca="1">SUMPRODUCT((Work_Codes!$N$393:$Y$393=$E682)*(Work_Codes!$N$401:$Y$402)*(R$581:R$582))</f>
        <v>0</v>
      </c>
      <c r="S682" s="81">
        <f ca="1">SUMPRODUCT((Work_Codes!$N$393:$Y$393=$E682)*(Work_Codes!$N$401:$Y$402)*(S$581:S$582))</f>
        <v>0</v>
      </c>
      <c r="T682" s="81">
        <f ca="1">SUMPRODUCT((Work_Codes!$N$393:$Y$393=$E682)*(Work_Codes!$N$401:$Y$402)*(T$581:T$582))</f>
        <v>0</v>
      </c>
    </row>
    <row r="683" spans="4:20" outlineLevel="2">
      <c r="E683" s="247" t="str">
        <f>GC!C41</f>
        <v>Distribution pipelines</v>
      </c>
      <c r="F683" s="247"/>
      <c r="G683" s="247"/>
      <c r="H683" s="247"/>
      <c r="I683" s="247"/>
      <c r="J683" s="81">
        <f ca="1">SUMPRODUCT((Work_Codes!$N$393:$Y$393=$E683)*(Work_Codes!$N$401:$Y$402)*(J$581:J$582))</f>
        <v>0</v>
      </c>
      <c r="K683" s="81">
        <f ca="1">SUMPRODUCT((Work_Codes!$N$393:$Y$393=$E683)*(Work_Codes!$N$401:$Y$402)*(K$581:K$582))</f>
        <v>0</v>
      </c>
      <c r="L683" s="81">
        <f ca="1">SUMPRODUCT((Work_Codes!$N$393:$Y$393=$E683)*(Work_Codes!$N$401:$Y$402)*(L$581:L$582))</f>
        <v>0</v>
      </c>
      <c r="M683" s="81">
        <f ca="1">SUMPRODUCT((Work_Codes!$N$393:$Y$393=$E683)*(Work_Codes!$N$401:$Y$402)*(M$581:M$582))</f>
        <v>0</v>
      </c>
      <c r="N683" s="81">
        <f ca="1">SUMPRODUCT((Work_Codes!$N$393:$Y$393=$E683)*(Work_Codes!$N$401:$Y$402)*(N$581:N$582))</f>
        <v>0</v>
      </c>
      <c r="O683" s="81">
        <f ca="1">SUMPRODUCT((Work_Codes!$N$393:$Y$393=$E683)*(Work_Codes!$N$401:$Y$402)*(O$581:O$582))</f>
        <v>0</v>
      </c>
      <c r="P683" s="81">
        <f ca="1">SUMPRODUCT((Work_Codes!$N$393:$Y$393=$E683)*(Work_Codes!$N$401:$Y$402)*(P$581:P$582))</f>
        <v>0</v>
      </c>
      <c r="Q683" s="81">
        <f ca="1">SUMPRODUCT((Work_Codes!$N$393:$Y$393=$E683)*(Work_Codes!$N$401:$Y$402)*(Q$581:Q$582))</f>
        <v>0</v>
      </c>
      <c r="R683" s="81">
        <f ca="1">SUMPRODUCT((Work_Codes!$N$393:$Y$393=$E683)*(Work_Codes!$N$401:$Y$402)*(R$581:R$582))</f>
        <v>0</v>
      </c>
      <c r="S683" s="81">
        <f ca="1">SUMPRODUCT((Work_Codes!$N$393:$Y$393=$E683)*(Work_Codes!$N$401:$Y$402)*(S$581:S$582))</f>
        <v>0</v>
      </c>
      <c r="T683" s="81">
        <f ca="1">SUMPRODUCT((Work_Codes!$N$393:$Y$393=$E683)*(Work_Codes!$N$401:$Y$402)*(T$581:T$582))</f>
        <v>0</v>
      </c>
    </row>
    <row r="684" spans="4:20" outlineLevel="2">
      <c r="E684" s="247" t="str">
        <f>GC!C42</f>
        <v>Service pipes</v>
      </c>
      <c r="F684" s="247"/>
      <c r="G684" s="247"/>
      <c r="H684" s="247"/>
      <c r="I684" s="247"/>
      <c r="J684" s="81">
        <f ca="1">SUMPRODUCT((Work_Codes!$N$393:$Y$393=$E684)*(Work_Codes!$N$401:$Y$402)*(J$581:J$582))</f>
        <v>0</v>
      </c>
      <c r="K684" s="81">
        <f ca="1">SUMPRODUCT((Work_Codes!$N$393:$Y$393=$E684)*(Work_Codes!$N$401:$Y$402)*(K$581:K$582))</f>
        <v>0</v>
      </c>
      <c r="L684" s="81">
        <f ca="1">SUMPRODUCT((Work_Codes!$N$393:$Y$393=$E684)*(Work_Codes!$N$401:$Y$402)*(L$581:L$582))</f>
        <v>0</v>
      </c>
      <c r="M684" s="81">
        <f ca="1">SUMPRODUCT((Work_Codes!$N$393:$Y$393=$E684)*(Work_Codes!$N$401:$Y$402)*(M$581:M$582))</f>
        <v>0</v>
      </c>
      <c r="N684" s="81">
        <f ca="1">SUMPRODUCT((Work_Codes!$N$393:$Y$393=$E684)*(Work_Codes!$N$401:$Y$402)*(N$581:N$582))</f>
        <v>0</v>
      </c>
      <c r="O684" s="81">
        <f ca="1">SUMPRODUCT((Work_Codes!$N$393:$Y$393=$E684)*(Work_Codes!$N$401:$Y$402)*(O$581:O$582))</f>
        <v>0</v>
      </c>
      <c r="P684" s="81">
        <f ca="1">SUMPRODUCT((Work_Codes!$N$393:$Y$393=$E684)*(Work_Codes!$N$401:$Y$402)*(P$581:P$582))</f>
        <v>0</v>
      </c>
      <c r="Q684" s="81">
        <f ca="1">SUMPRODUCT((Work_Codes!$N$393:$Y$393=$E684)*(Work_Codes!$N$401:$Y$402)*(Q$581:Q$582))</f>
        <v>0</v>
      </c>
      <c r="R684" s="81">
        <f ca="1">SUMPRODUCT((Work_Codes!$N$393:$Y$393=$E684)*(Work_Codes!$N$401:$Y$402)*(R$581:R$582))</f>
        <v>0</v>
      </c>
      <c r="S684" s="81">
        <f ca="1">SUMPRODUCT((Work_Codes!$N$393:$Y$393=$E684)*(Work_Codes!$N$401:$Y$402)*(S$581:S$582))</f>
        <v>0</v>
      </c>
      <c r="T684" s="81">
        <f ca="1">SUMPRODUCT((Work_Codes!$N$393:$Y$393=$E684)*(Work_Codes!$N$401:$Y$402)*(T$581:T$582))</f>
        <v>0</v>
      </c>
    </row>
    <row r="685" spans="4:20" outlineLevel="2">
      <c r="E685" s="247" t="str">
        <f>GC!C43</f>
        <v>Cathodic protection</v>
      </c>
      <c r="F685" s="247"/>
      <c r="G685" s="247"/>
      <c r="H685" s="247"/>
      <c r="I685" s="247"/>
      <c r="J685" s="81">
        <f ca="1">SUMPRODUCT((Work_Codes!$N$393:$Y$393=$E685)*(Work_Codes!$N$401:$Y$402)*(J$581:J$582))</f>
        <v>0</v>
      </c>
      <c r="K685" s="81">
        <f ca="1">SUMPRODUCT((Work_Codes!$N$393:$Y$393=$E685)*(Work_Codes!$N$401:$Y$402)*(K$581:K$582))</f>
        <v>0</v>
      </c>
      <c r="L685" s="81">
        <f ca="1">SUMPRODUCT((Work_Codes!$N$393:$Y$393=$E685)*(Work_Codes!$N$401:$Y$402)*(L$581:L$582))</f>
        <v>0</v>
      </c>
      <c r="M685" s="81">
        <f ca="1">SUMPRODUCT((Work_Codes!$N$393:$Y$393=$E685)*(Work_Codes!$N$401:$Y$402)*(M$581:M$582))</f>
        <v>0</v>
      </c>
      <c r="N685" s="81">
        <f ca="1">SUMPRODUCT((Work_Codes!$N$393:$Y$393=$E685)*(Work_Codes!$N$401:$Y$402)*(N$581:N$582))</f>
        <v>0</v>
      </c>
      <c r="O685" s="81">
        <f ca="1">SUMPRODUCT((Work_Codes!$N$393:$Y$393=$E685)*(Work_Codes!$N$401:$Y$402)*(O$581:O$582))</f>
        <v>0</v>
      </c>
      <c r="P685" s="81">
        <f ca="1">SUMPRODUCT((Work_Codes!$N$393:$Y$393=$E685)*(Work_Codes!$N$401:$Y$402)*(P$581:P$582))</f>
        <v>0</v>
      </c>
      <c r="Q685" s="81">
        <f ca="1">SUMPRODUCT((Work_Codes!$N$393:$Y$393=$E685)*(Work_Codes!$N$401:$Y$402)*(Q$581:Q$582))</f>
        <v>0</v>
      </c>
      <c r="R685" s="81">
        <f ca="1">SUMPRODUCT((Work_Codes!$N$393:$Y$393=$E685)*(Work_Codes!$N$401:$Y$402)*(R$581:R$582))</f>
        <v>0</v>
      </c>
      <c r="S685" s="81">
        <f ca="1">SUMPRODUCT((Work_Codes!$N$393:$Y$393=$E685)*(Work_Codes!$N$401:$Y$402)*(S$581:S$582))</f>
        <v>0</v>
      </c>
      <c r="T685" s="81">
        <f ca="1">SUMPRODUCT((Work_Codes!$N$393:$Y$393=$E685)*(Work_Codes!$N$401:$Y$402)*(T$581:T$582))</f>
        <v>0</v>
      </c>
    </row>
    <row r="686" spans="4:20" outlineLevel="2">
      <c r="E686" s="247" t="str">
        <f>GC!C44</f>
        <v>Supply Regulators / Valve Stations</v>
      </c>
      <c r="F686" s="247"/>
      <c r="G686" s="247"/>
      <c r="H686" s="247"/>
      <c r="I686" s="247"/>
      <c r="J686" s="81">
        <f ca="1">SUMPRODUCT((Work_Codes!$N$393:$Y$393=$E686)*(Work_Codes!$N$401:$Y$402)*(J$581:J$582))</f>
        <v>0</v>
      </c>
      <c r="K686" s="81">
        <f ca="1">SUMPRODUCT((Work_Codes!$N$393:$Y$393=$E686)*(Work_Codes!$N$401:$Y$402)*(K$581:K$582))</f>
        <v>0</v>
      </c>
      <c r="L686" s="81">
        <f ca="1">SUMPRODUCT((Work_Codes!$N$393:$Y$393=$E686)*(Work_Codes!$N$401:$Y$402)*(L$581:L$582))</f>
        <v>0</v>
      </c>
      <c r="M686" s="81">
        <f ca="1">SUMPRODUCT((Work_Codes!$N$393:$Y$393=$E686)*(Work_Codes!$N$401:$Y$402)*(M$581:M$582))</f>
        <v>0</v>
      </c>
      <c r="N686" s="81">
        <f ca="1">SUMPRODUCT((Work_Codes!$N$393:$Y$393=$E686)*(Work_Codes!$N$401:$Y$402)*(N$581:N$582))</f>
        <v>0</v>
      </c>
      <c r="O686" s="81">
        <f ca="1">SUMPRODUCT((Work_Codes!$N$393:$Y$393=$E686)*(Work_Codes!$N$401:$Y$402)*(O$581:O$582))</f>
        <v>0</v>
      </c>
      <c r="P686" s="81">
        <f ca="1">SUMPRODUCT((Work_Codes!$N$393:$Y$393=$E686)*(Work_Codes!$N$401:$Y$402)*(P$581:P$582))</f>
        <v>0</v>
      </c>
      <c r="Q686" s="81">
        <f ca="1">SUMPRODUCT((Work_Codes!$N$393:$Y$393=$E686)*(Work_Codes!$N$401:$Y$402)*(Q$581:Q$582))</f>
        <v>0</v>
      </c>
      <c r="R686" s="81">
        <f ca="1">SUMPRODUCT((Work_Codes!$N$393:$Y$393=$E686)*(Work_Codes!$N$401:$Y$402)*(R$581:R$582))</f>
        <v>0</v>
      </c>
      <c r="S686" s="81">
        <f ca="1">SUMPRODUCT((Work_Codes!$N$393:$Y$393=$E686)*(Work_Codes!$N$401:$Y$402)*(S$581:S$582))</f>
        <v>0</v>
      </c>
      <c r="T686" s="81">
        <f ca="1">SUMPRODUCT((Work_Codes!$N$393:$Y$393=$E686)*(Work_Codes!$N$401:$Y$402)*(T$581:T$582))</f>
        <v>0</v>
      </c>
    </row>
    <row r="687" spans="4:20" outlineLevel="2">
      <c r="E687" s="247" t="str">
        <f>GC!C45</f>
        <v>Meters</v>
      </c>
      <c r="F687" s="247"/>
      <c r="G687" s="247"/>
      <c r="H687" s="247"/>
      <c r="I687" s="247"/>
      <c r="J687" s="81">
        <f ca="1">SUMPRODUCT((Work_Codes!$N$393:$Y$393=$E687)*(Work_Codes!$N$401:$Y$402)*(J$581:J$582))</f>
        <v>0</v>
      </c>
      <c r="K687" s="81">
        <f ca="1">SUMPRODUCT((Work_Codes!$N$393:$Y$393=$E687)*(Work_Codes!$N$401:$Y$402)*(K$581:K$582))</f>
        <v>0</v>
      </c>
      <c r="L687" s="81">
        <f ca="1">SUMPRODUCT((Work_Codes!$N$393:$Y$393=$E687)*(Work_Codes!$N$401:$Y$402)*(L$581:L$582))</f>
        <v>0</v>
      </c>
      <c r="M687" s="81">
        <f ca="1">SUMPRODUCT((Work_Codes!$N$393:$Y$393=$E687)*(Work_Codes!$N$401:$Y$402)*(M$581:M$582))</f>
        <v>0</v>
      </c>
      <c r="N687" s="81">
        <f ca="1">SUMPRODUCT((Work_Codes!$N$393:$Y$393=$E687)*(Work_Codes!$N$401:$Y$402)*(N$581:N$582))</f>
        <v>-89802.967851999987</v>
      </c>
      <c r="O687" s="81">
        <f ca="1">SUMPRODUCT((Work_Codes!$N$393:$Y$393=$E687)*(Work_Codes!$N$401:$Y$402)*(O$581:O$582))</f>
        <v>-79228.346000000005</v>
      </c>
      <c r="P687" s="81">
        <f ca="1">SUMPRODUCT((Work_Codes!$N$393:$Y$393=$E687)*(Work_Codes!$N$401:$Y$402)*(P$581:P$582))</f>
        <v>-158456.69200000001</v>
      </c>
      <c r="Q687" s="81">
        <f ca="1">SUMPRODUCT((Work_Codes!$N$393:$Y$393=$E687)*(Work_Codes!$N$401:$Y$402)*(Q$581:Q$582))</f>
        <v>-158456.69200000001</v>
      </c>
      <c r="R687" s="81">
        <f ca="1">SUMPRODUCT((Work_Codes!$N$393:$Y$393=$E687)*(Work_Codes!$N$401:$Y$402)*(R$581:R$582))</f>
        <v>-158456.69200000001</v>
      </c>
      <c r="S687" s="81">
        <f ca="1">SUMPRODUCT((Work_Codes!$N$393:$Y$393=$E687)*(Work_Codes!$N$401:$Y$402)*(S$581:S$582))</f>
        <v>-158456.69200000001</v>
      </c>
      <c r="T687" s="81">
        <f ca="1">SUMPRODUCT((Work_Codes!$N$393:$Y$393=$E687)*(Work_Codes!$N$401:$Y$402)*(T$581:T$582))</f>
        <v>-158456.69200000001</v>
      </c>
    </row>
    <row r="688" spans="4:20" outlineLevel="2">
      <c r="E688" s="247" t="str">
        <f>GC!C46</f>
        <v>SCADA and remote control</v>
      </c>
      <c r="F688" s="247"/>
      <c r="G688" s="247"/>
      <c r="H688" s="247"/>
      <c r="I688" s="247"/>
      <c r="J688" s="81">
        <f ca="1">SUMPRODUCT((Work_Codes!$N$393:$Y$393=$E688)*(Work_Codes!$N$401:$Y$402)*(J$581:J$582))</f>
        <v>0</v>
      </c>
      <c r="K688" s="81">
        <f ca="1">SUMPRODUCT((Work_Codes!$N$393:$Y$393=$E688)*(Work_Codes!$N$401:$Y$402)*(K$581:K$582))</f>
        <v>0</v>
      </c>
      <c r="L688" s="81">
        <f ca="1">SUMPRODUCT((Work_Codes!$N$393:$Y$393=$E688)*(Work_Codes!$N$401:$Y$402)*(L$581:L$582))</f>
        <v>0</v>
      </c>
      <c r="M688" s="81">
        <f ca="1">SUMPRODUCT((Work_Codes!$N$393:$Y$393=$E688)*(Work_Codes!$N$401:$Y$402)*(M$581:M$582))</f>
        <v>0</v>
      </c>
      <c r="N688" s="81">
        <f ca="1">SUMPRODUCT((Work_Codes!$N$393:$Y$393=$E688)*(Work_Codes!$N$401:$Y$402)*(N$581:N$582))</f>
        <v>0</v>
      </c>
      <c r="O688" s="81">
        <f ca="1">SUMPRODUCT((Work_Codes!$N$393:$Y$393=$E688)*(Work_Codes!$N$401:$Y$402)*(O$581:O$582))</f>
        <v>0</v>
      </c>
      <c r="P688" s="81">
        <f ca="1">SUMPRODUCT((Work_Codes!$N$393:$Y$393=$E688)*(Work_Codes!$N$401:$Y$402)*(P$581:P$582))</f>
        <v>0</v>
      </c>
      <c r="Q688" s="81">
        <f ca="1">SUMPRODUCT((Work_Codes!$N$393:$Y$393=$E688)*(Work_Codes!$N$401:$Y$402)*(Q$581:Q$582))</f>
        <v>0</v>
      </c>
      <c r="R688" s="81">
        <f ca="1">SUMPRODUCT((Work_Codes!$N$393:$Y$393=$E688)*(Work_Codes!$N$401:$Y$402)*(R$581:R$582))</f>
        <v>0</v>
      </c>
      <c r="S688" s="81">
        <f ca="1">SUMPRODUCT((Work_Codes!$N$393:$Y$393=$E688)*(Work_Codes!$N$401:$Y$402)*(S$581:S$582))</f>
        <v>0</v>
      </c>
      <c r="T688" s="81">
        <f ca="1">SUMPRODUCT((Work_Codes!$N$393:$Y$393=$E688)*(Work_Codes!$N$401:$Y$402)*(T$581:T$582))</f>
        <v>0</v>
      </c>
    </row>
    <row r="689" spans="2:20" outlineLevel="2">
      <c r="E689" s="247" t="str">
        <f>GC!C47</f>
        <v>Buildings</v>
      </c>
      <c r="F689" s="247"/>
      <c r="G689" s="247"/>
      <c r="H689" s="247"/>
      <c r="I689" s="247"/>
      <c r="J689" s="81">
        <f ca="1">SUMPRODUCT((Work_Codes!$N$393:$Y$393=$E689)*(Work_Codes!$N$401:$Y$402)*(J$581:J$582))</f>
        <v>0</v>
      </c>
      <c r="K689" s="81">
        <f ca="1">SUMPRODUCT((Work_Codes!$N$393:$Y$393=$E689)*(Work_Codes!$N$401:$Y$402)*(K$581:K$582))</f>
        <v>0</v>
      </c>
      <c r="L689" s="81">
        <f ca="1">SUMPRODUCT((Work_Codes!$N$393:$Y$393=$E689)*(Work_Codes!$N$401:$Y$402)*(L$581:L$582))</f>
        <v>0</v>
      </c>
      <c r="M689" s="81">
        <f ca="1">SUMPRODUCT((Work_Codes!$N$393:$Y$393=$E689)*(Work_Codes!$N$401:$Y$402)*(M$581:M$582))</f>
        <v>0</v>
      </c>
      <c r="N689" s="81">
        <f ca="1">SUMPRODUCT((Work_Codes!$N$393:$Y$393=$E689)*(Work_Codes!$N$401:$Y$402)*(N$581:N$582))</f>
        <v>0</v>
      </c>
      <c r="O689" s="81">
        <f ca="1">SUMPRODUCT((Work_Codes!$N$393:$Y$393=$E689)*(Work_Codes!$N$401:$Y$402)*(O$581:O$582))</f>
        <v>0</v>
      </c>
      <c r="P689" s="81">
        <f ca="1">SUMPRODUCT((Work_Codes!$N$393:$Y$393=$E689)*(Work_Codes!$N$401:$Y$402)*(P$581:P$582))</f>
        <v>0</v>
      </c>
      <c r="Q689" s="81">
        <f ca="1">SUMPRODUCT((Work_Codes!$N$393:$Y$393=$E689)*(Work_Codes!$N$401:$Y$402)*(Q$581:Q$582))</f>
        <v>0</v>
      </c>
      <c r="R689" s="81">
        <f ca="1">SUMPRODUCT((Work_Codes!$N$393:$Y$393=$E689)*(Work_Codes!$N$401:$Y$402)*(R$581:R$582))</f>
        <v>0</v>
      </c>
      <c r="S689" s="81">
        <f ca="1">SUMPRODUCT((Work_Codes!$N$393:$Y$393=$E689)*(Work_Codes!$N$401:$Y$402)*(S$581:S$582))</f>
        <v>0</v>
      </c>
      <c r="T689" s="81">
        <f ca="1">SUMPRODUCT((Work_Codes!$N$393:$Y$393=$E689)*(Work_Codes!$N$401:$Y$402)*(T$581:T$582))</f>
        <v>0</v>
      </c>
    </row>
    <row r="690" spans="2:20" outlineLevel="2">
      <c r="E690" s="247" t="str">
        <f>GC!C48</f>
        <v>Other - IT</v>
      </c>
      <c r="F690" s="247"/>
      <c r="G690" s="247"/>
      <c r="H690" s="247"/>
      <c r="I690" s="247"/>
      <c r="J690" s="81">
        <f ca="1">SUMPRODUCT((Work_Codes!$N$393:$Y$393=$E690)*(Work_Codes!$N$401:$Y$402)*(J$581:J$582))</f>
        <v>0</v>
      </c>
      <c r="K690" s="81">
        <f ca="1">SUMPRODUCT((Work_Codes!$N$393:$Y$393=$E690)*(Work_Codes!$N$401:$Y$402)*(K$581:K$582))</f>
        <v>0</v>
      </c>
      <c r="L690" s="81">
        <f ca="1">SUMPRODUCT((Work_Codes!$N$393:$Y$393=$E690)*(Work_Codes!$N$401:$Y$402)*(L$581:L$582))</f>
        <v>0</v>
      </c>
      <c r="M690" s="81">
        <f ca="1">SUMPRODUCT((Work_Codes!$N$393:$Y$393=$E690)*(Work_Codes!$N$401:$Y$402)*(M$581:M$582))</f>
        <v>0</v>
      </c>
      <c r="N690" s="81">
        <f ca="1">SUMPRODUCT((Work_Codes!$N$393:$Y$393=$E690)*(Work_Codes!$N$401:$Y$402)*(N$581:N$582))</f>
        <v>0</v>
      </c>
      <c r="O690" s="81">
        <f ca="1">SUMPRODUCT((Work_Codes!$N$393:$Y$393=$E690)*(Work_Codes!$N$401:$Y$402)*(O$581:O$582))</f>
        <v>0</v>
      </c>
      <c r="P690" s="81">
        <f ca="1">SUMPRODUCT((Work_Codes!$N$393:$Y$393=$E690)*(Work_Codes!$N$401:$Y$402)*(P$581:P$582))</f>
        <v>0</v>
      </c>
      <c r="Q690" s="81">
        <f ca="1">SUMPRODUCT((Work_Codes!$N$393:$Y$393=$E690)*(Work_Codes!$N$401:$Y$402)*(Q$581:Q$582))</f>
        <v>0</v>
      </c>
      <c r="R690" s="81">
        <f ca="1">SUMPRODUCT((Work_Codes!$N$393:$Y$393=$E690)*(Work_Codes!$N$401:$Y$402)*(R$581:R$582))</f>
        <v>0</v>
      </c>
      <c r="S690" s="81">
        <f ca="1">SUMPRODUCT((Work_Codes!$N$393:$Y$393=$E690)*(Work_Codes!$N$401:$Y$402)*(S$581:S$582))</f>
        <v>0</v>
      </c>
      <c r="T690" s="81">
        <f ca="1">SUMPRODUCT((Work_Codes!$N$393:$Y$393=$E690)*(Work_Codes!$N$401:$Y$402)*(T$581:T$582))</f>
        <v>0</v>
      </c>
    </row>
    <row r="691" spans="2:20" outlineLevel="2">
      <c r="E691" s="247" t="str">
        <f>GC!C49</f>
        <v>Other - non IT</v>
      </c>
      <c r="F691" s="247"/>
      <c r="G691" s="247"/>
      <c r="H691" s="247"/>
      <c r="I691" s="247"/>
      <c r="J691" s="81">
        <f ca="1">SUMPRODUCT((Work_Codes!$N$393:$Y$393=$E691)*(Work_Codes!$N$401:$Y$402)*(J$581:J$582))</f>
        <v>0</v>
      </c>
      <c r="K691" s="81">
        <f ca="1">SUMPRODUCT((Work_Codes!$N$393:$Y$393=$E691)*(Work_Codes!$N$401:$Y$402)*(K$581:K$582))</f>
        <v>0</v>
      </c>
      <c r="L691" s="81">
        <f ca="1">SUMPRODUCT((Work_Codes!$N$393:$Y$393=$E691)*(Work_Codes!$N$401:$Y$402)*(L$581:L$582))</f>
        <v>0</v>
      </c>
      <c r="M691" s="81">
        <f ca="1">SUMPRODUCT((Work_Codes!$N$393:$Y$393=$E691)*(Work_Codes!$N$401:$Y$402)*(M$581:M$582))</f>
        <v>0</v>
      </c>
      <c r="N691" s="81">
        <f ca="1">SUMPRODUCT((Work_Codes!$N$393:$Y$393=$E691)*(Work_Codes!$N$401:$Y$402)*(N$581:N$582))</f>
        <v>0</v>
      </c>
      <c r="O691" s="81">
        <f ca="1">SUMPRODUCT((Work_Codes!$N$393:$Y$393=$E691)*(Work_Codes!$N$401:$Y$402)*(O$581:O$582))</f>
        <v>0</v>
      </c>
      <c r="P691" s="81">
        <f ca="1">SUMPRODUCT((Work_Codes!$N$393:$Y$393=$E691)*(Work_Codes!$N$401:$Y$402)*(P$581:P$582))</f>
        <v>0</v>
      </c>
      <c r="Q691" s="81">
        <f ca="1">SUMPRODUCT((Work_Codes!$N$393:$Y$393=$E691)*(Work_Codes!$N$401:$Y$402)*(Q$581:Q$582))</f>
        <v>0</v>
      </c>
      <c r="R691" s="81">
        <f ca="1">SUMPRODUCT((Work_Codes!$N$393:$Y$393=$E691)*(Work_Codes!$N$401:$Y$402)*(R$581:R$582))</f>
        <v>0</v>
      </c>
      <c r="S691" s="81">
        <f ca="1">SUMPRODUCT((Work_Codes!$N$393:$Y$393=$E691)*(Work_Codes!$N$401:$Y$402)*(S$581:S$582))</f>
        <v>0</v>
      </c>
      <c r="T691" s="81">
        <f ca="1">SUMPRODUCT((Work_Codes!$N$393:$Y$393=$E691)*(Work_Codes!$N$401:$Y$402)*(T$581:T$582))</f>
        <v>0</v>
      </c>
    </row>
    <row r="692" spans="2:20" outlineLevel="2">
      <c r="E692" s="247" t="str">
        <f>GC!C50</f>
        <v>Land</v>
      </c>
      <c r="F692" s="247"/>
      <c r="G692" s="247"/>
      <c r="H692" s="247"/>
      <c r="I692" s="247"/>
      <c r="J692" s="81">
        <f ca="1">SUMPRODUCT((Work_Codes!$N$393:$Y$393=$E692)*(Work_Codes!$N$401:$Y$402)*(J$581:J$582))</f>
        <v>0</v>
      </c>
      <c r="K692" s="81">
        <f ca="1">SUMPRODUCT((Work_Codes!$N$393:$Y$393=$E692)*(Work_Codes!$N$401:$Y$402)*(K$581:K$582))</f>
        <v>0</v>
      </c>
      <c r="L692" s="81">
        <f ca="1">SUMPRODUCT((Work_Codes!$N$393:$Y$393=$E692)*(Work_Codes!$N$401:$Y$402)*(L$581:L$582))</f>
        <v>0</v>
      </c>
      <c r="M692" s="81">
        <f ca="1">SUMPRODUCT((Work_Codes!$N$393:$Y$393=$E692)*(Work_Codes!$N$401:$Y$402)*(M$581:M$582))</f>
        <v>0</v>
      </c>
      <c r="N692" s="81">
        <f ca="1">SUMPRODUCT((Work_Codes!$N$393:$Y$393=$E692)*(Work_Codes!$N$401:$Y$402)*(N$581:N$582))</f>
        <v>0</v>
      </c>
      <c r="O692" s="81">
        <f ca="1">SUMPRODUCT((Work_Codes!$N$393:$Y$393=$E692)*(Work_Codes!$N$401:$Y$402)*(O$581:O$582))</f>
        <v>0</v>
      </c>
      <c r="P692" s="81">
        <f ca="1">SUMPRODUCT((Work_Codes!$N$393:$Y$393=$E692)*(Work_Codes!$N$401:$Y$402)*(P$581:P$582))</f>
        <v>0</v>
      </c>
      <c r="Q692" s="81">
        <f ca="1">SUMPRODUCT((Work_Codes!$N$393:$Y$393=$E692)*(Work_Codes!$N$401:$Y$402)*(Q$581:Q$582))</f>
        <v>0</v>
      </c>
      <c r="R692" s="81">
        <f ca="1">SUMPRODUCT((Work_Codes!$N$393:$Y$393=$E692)*(Work_Codes!$N$401:$Y$402)*(R$581:R$582))</f>
        <v>0</v>
      </c>
      <c r="S692" s="81">
        <f ca="1">SUMPRODUCT((Work_Codes!$N$393:$Y$393=$E692)*(Work_Codes!$N$401:$Y$402)*(S$581:S$582))</f>
        <v>0</v>
      </c>
      <c r="T692" s="81">
        <f ca="1">SUMPRODUCT((Work_Codes!$N$393:$Y$393=$E692)*(Work_Codes!$N$401:$Y$402)*(T$581:T$582))</f>
        <v>0</v>
      </c>
    </row>
    <row r="693" spans="2:20" outlineLevel="2">
      <c r="E693" s="247" t="str">
        <f>GC!C51</f>
        <v>Capitalised Leases</v>
      </c>
      <c r="F693" s="247"/>
      <c r="G693" s="247"/>
      <c r="H693" s="247"/>
      <c r="I693" s="247"/>
      <c r="J693" s="81">
        <f ca="1">SUMPRODUCT((Work_Codes!$N$393:$Y$393=$E693)*(Work_Codes!$N$401:$Y$402)*(J$581:J$582))</f>
        <v>0</v>
      </c>
      <c r="K693" s="81">
        <f ca="1">SUMPRODUCT((Work_Codes!$N$393:$Y$393=$E693)*(Work_Codes!$N$401:$Y$402)*(K$581:K$582))</f>
        <v>0</v>
      </c>
      <c r="L693" s="81">
        <f ca="1">SUMPRODUCT((Work_Codes!$N$393:$Y$393=$E693)*(Work_Codes!$N$401:$Y$402)*(L$581:L$582))</f>
        <v>0</v>
      </c>
      <c r="M693" s="81">
        <f ca="1">SUMPRODUCT((Work_Codes!$N$393:$Y$393=$E693)*(Work_Codes!$N$401:$Y$402)*(M$581:M$582))</f>
        <v>0</v>
      </c>
      <c r="N693" s="81">
        <f ca="1">SUMPRODUCT((Work_Codes!$N$393:$Y$393=$E693)*(Work_Codes!$N$401:$Y$402)*(N$581:N$582))</f>
        <v>0</v>
      </c>
      <c r="O693" s="81">
        <f ca="1">SUMPRODUCT((Work_Codes!$N$393:$Y$393=$E693)*(Work_Codes!$N$401:$Y$402)*(O$581:O$582))</f>
        <v>0</v>
      </c>
      <c r="P693" s="81">
        <f ca="1">SUMPRODUCT((Work_Codes!$N$393:$Y$393=$E693)*(Work_Codes!$N$401:$Y$402)*(P$581:P$582))</f>
        <v>0</v>
      </c>
      <c r="Q693" s="81">
        <f ca="1">SUMPRODUCT((Work_Codes!$N$393:$Y$393=$E693)*(Work_Codes!$N$401:$Y$402)*(Q$581:Q$582))</f>
        <v>0</v>
      </c>
      <c r="R693" s="81">
        <f ca="1">SUMPRODUCT((Work_Codes!$N$393:$Y$393=$E693)*(Work_Codes!$N$401:$Y$402)*(R$581:R$582))</f>
        <v>0</v>
      </c>
      <c r="S693" s="81">
        <f ca="1">SUMPRODUCT((Work_Codes!$N$393:$Y$393=$E693)*(Work_Codes!$N$401:$Y$402)*(S$581:S$582))</f>
        <v>0</v>
      </c>
      <c r="T693" s="81">
        <f ca="1">SUMPRODUCT((Work_Codes!$N$393:$Y$393=$E693)*(Work_Codes!$N$401:$Y$402)*(T$581:T$582))</f>
        <v>0</v>
      </c>
    </row>
    <row r="694" spans="2:20" outlineLevel="2">
      <c r="E694" s="247" t="str">
        <f>GC!C52</f>
        <v>Transmission pipelines - post 1998</v>
      </c>
      <c r="F694" s="247"/>
      <c r="G694" s="247"/>
      <c r="H694" s="247"/>
      <c r="I694" s="247"/>
      <c r="J694" s="81">
        <f ca="1">SUMPRODUCT((Work_Codes!$N$393:$Y$393=$E694)*(Work_Codes!$N$401:$Y$402)*(J$581:J$582))</f>
        <v>0</v>
      </c>
      <c r="K694" s="81">
        <f ca="1">SUMPRODUCT((Work_Codes!$N$393:$Y$393=$E694)*(Work_Codes!$N$401:$Y$402)*(K$581:K$582))</f>
        <v>0</v>
      </c>
      <c r="L694" s="81">
        <f ca="1">SUMPRODUCT((Work_Codes!$N$393:$Y$393=$E694)*(Work_Codes!$N$401:$Y$402)*(L$581:L$582))</f>
        <v>0</v>
      </c>
      <c r="M694" s="81">
        <f ca="1">SUMPRODUCT((Work_Codes!$N$393:$Y$393=$E694)*(Work_Codes!$N$401:$Y$402)*(M$581:M$582))</f>
        <v>0</v>
      </c>
      <c r="N694" s="81">
        <f ca="1">SUMPRODUCT((Work_Codes!$N$393:$Y$393=$E694)*(Work_Codes!$N$401:$Y$402)*(N$581:N$582))</f>
        <v>0</v>
      </c>
      <c r="O694" s="81">
        <f ca="1">SUMPRODUCT((Work_Codes!$N$393:$Y$393=$E694)*(Work_Codes!$N$401:$Y$402)*(O$581:O$582))</f>
        <v>0</v>
      </c>
      <c r="P694" s="81">
        <f ca="1">SUMPRODUCT((Work_Codes!$N$393:$Y$393=$E694)*(Work_Codes!$N$401:$Y$402)*(P$581:P$582))</f>
        <v>0</v>
      </c>
      <c r="Q694" s="81">
        <f ca="1">SUMPRODUCT((Work_Codes!$N$393:$Y$393=$E694)*(Work_Codes!$N$401:$Y$402)*(Q$581:Q$582))</f>
        <v>0</v>
      </c>
      <c r="R694" s="81">
        <f ca="1">SUMPRODUCT((Work_Codes!$N$393:$Y$393=$E694)*(Work_Codes!$N$401:$Y$402)*(R$581:R$582))</f>
        <v>0</v>
      </c>
      <c r="S694" s="81">
        <f ca="1">SUMPRODUCT((Work_Codes!$N$393:$Y$393=$E694)*(Work_Codes!$N$401:$Y$402)*(S$581:S$582))</f>
        <v>0</v>
      </c>
      <c r="T694" s="81">
        <f ca="1">SUMPRODUCT((Work_Codes!$N$393:$Y$393=$E694)*(Work_Codes!$N$401:$Y$402)*(T$581:T$582))</f>
        <v>0</v>
      </c>
    </row>
    <row r="695" spans="2:20" outlineLevel="2">
      <c r="E695" s="247" t="str">
        <f>GC!C53</f>
        <v>Distribution pipelines - post 1998</v>
      </c>
      <c r="F695" s="247"/>
      <c r="G695" s="247"/>
      <c r="H695" s="247"/>
      <c r="I695" s="247"/>
      <c r="J695" s="81">
        <f ca="1">SUMPRODUCT((Work_Codes!$N$393:$Y$393=$E695)*(Work_Codes!$N$401:$Y$402)*(J$581:J$582))</f>
        <v>0</v>
      </c>
      <c r="K695" s="81">
        <f ca="1">SUMPRODUCT((Work_Codes!$N$393:$Y$393=$E695)*(Work_Codes!$N$401:$Y$402)*(K$581:K$582))</f>
        <v>0</v>
      </c>
      <c r="L695" s="81">
        <f ca="1">SUMPRODUCT((Work_Codes!$N$393:$Y$393=$E695)*(Work_Codes!$N$401:$Y$402)*(L$581:L$582))</f>
        <v>0</v>
      </c>
      <c r="M695" s="81">
        <f ca="1">SUMPRODUCT((Work_Codes!$N$393:$Y$393=$E695)*(Work_Codes!$N$401:$Y$402)*(M$581:M$582))</f>
        <v>0</v>
      </c>
      <c r="N695" s="81">
        <f ca="1">SUMPRODUCT((Work_Codes!$N$393:$Y$393=$E695)*(Work_Codes!$N$401:$Y$402)*(N$581:N$582))</f>
        <v>0</v>
      </c>
      <c r="O695" s="81">
        <f ca="1">SUMPRODUCT((Work_Codes!$N$393:$Y$393=$E695)*(Work_Codes!$N$401:$Y$402)*(O$581:O$582))</f>
        <v>0</v>
      </c>
      <c r="P695" s="81">
        <f ca="1">SUMPRODUCT((Work_Codes!$N$393:$Y$393=$E695)*(Work_Codes!$N$401:$Y$402)*(P$581:P$582))</f>
        <v>0</v>
      </c>
      <c r="Q695" s="81">
        <f ca="1">SUMPRODUCT((Work_Codes!$N$393:$Y$393=$E695)*(Work_Codes!$N$401:$Y$402)*(Q$581:Q$582))</f>
        <v>0</v>
      </c>
      <c r="R695" s="81">
        <f ca="1">SUMPRODUCT((Work_Codes!$N$393:$Y$393=$E695)*(Work_Codes!$N$401:$Y$402)*(R$581:R$582))</f>
        <v>0</v>
      </c>
      <c r="S695" s="81">
        <f ca="1">SUMPRODUCT((Work_Codes!$N$393:$Y$393=$E695)*(Work_Codes!$N$401:$Y$402)*(S$581:S$582))</f>
        <v>0</v>
      </c>
      <c r="T695" s="81">
        <f ca="1">SUMPRODUCT((Work_Codes!$N$393:$Y$393=$E695)*(Work_Codes!$N$401:$Y$402)*(T$581:T$582))</f>
        <v>0</v>
      </c>
    </row>
    <row r="696" spans="2:20" outlineLevel="2">
      <c r="E696" s="247" t="str">
        <f>GC!C54</f>
        <v>Service pipes - post 1998</v>
      </c>
      <c r="F696" s="247"/>
      <c r="G696" s="247"/>
      <c r="H696" s="247"/>
      <c r="I696" s="247"/>
      <c r="J696" s="81">
        <f ca="1">SUMPRODUCT((Work_Codes!$N$393:$Y$393=$E696)*(Work_Codes!$N$401:$Y$402)*(J$581:J$582))</f>
        <v>0</v>
      </c>
      <c r="K696" s="81">
        <f ca="1">SUMPRODUCT((Work_Codes!$N$393:$Y$393=$E696)*(Work_Codes!$N$401:$Y$402)*(K$581:K$582))</f>
        <v>0</v>
      </c>
      <c r="L696" s="81">
        <f ca="1">SUMPRODUCT((Work_Codes!$N$393:$Y$393=$E696)*(Work_Codes!$N$401:$Y$402)*(L$581:L$582))</f>
        <v>0</v>
      </c>
      <c r="M696" s="81">
        <f ca="1">SUMPRODUCT((Work_Codes!$N$393:$Y$393=$E696)*(Work_Codes!$N$401:$Y$402)*(M$581:M$582))</f>
        <v>0</v>
      </c>
      <c r="N696" s="81">
        <f ca="1">SUMPRODUCT((Work_Codes!$N$393:$Y$393=$E696)*(Work_Codes!$N$401:$Y$402)*(N$581:N$582))</f>
        <v>-359211.87140799995</v>
      </c>
      <c r="O696" s="81">
        <f ca="1">SUMPRODUCT((Work_Codes!$N$393:$Y$393=$E696)*(Work_Codes!$N$401:$Y$402)*(O$581:O$582))</f>
        <v>-316913.38400000002</v>
      </c>
      <c r="P696" s="81">
        <f ca="1">SUMPRODUCT((Work_Codes!$N$393:$Y$393=$E696)*(Work_Codes!$N$401:$Y$402)*(P$581:P$582))</f>
        <v>-633826.76800000004</v>
      </c>
      <c r="Q696" s="81">
        <f ca="1">SUMPRODUCT((Work_Codes!$N$393:$Y$393=$E696)*(Work_Codes!$N$401:$Y$402)*(Q$581:Q$582))</f>
        <v>-633826.76800000004</v>
      </c>
      <c r="R696" s="81">
        <f ca="1">SUMPRODUCT((Work_Codes!$N$393:$Y$393=$E696)*(Work_Codes!$N$401:$Y$402)*(R$581:R$582))</f>
        <v>-633826.76800000004</v>
      </c>
      <c r="S696" s="81">
        <f ca="1">SUMPRODUCT((Work_Codes!$N$393:$Y$393=$E696)*(Work_Codes!$N$401:$Y$402)*(S$581:S$582))</f>
        <v>-633826.76800000004</v>
      </c>
      <c r="T696" s="81">
        <f ca="1">SUMPRODUCT((Work_Codes!$N$393:$Y$393=$E696)*(Work_Codes!$N$401:$Y$402)*(T$581:T$582))</f>
        <v>-633826.76800000004</v>
      </c>
    </row>
    <row r="697" spans="2:20" outlineLevel="2">
      <c r="E697" s="247" t="str">
        <f>GC!C55</f>
        <v>Cathodic protection - post 1998</v>
      </c>
      <c r="F697" s="247"/>
      <c r="G697" s="247"/>
      <c r="H697" s="247"/>
      <c r="I697" s="247"/>
      <c r="J697" s="81">
        <f ca="1">SUMPRODUCT((Work_Codes!$N$393:$Y$393=$E697)*(Work_Codes!$N$401:$Y$402)*(J$581:J$582))</f>
        <v>0</v>
      </c>
      <c r="K697" s="81">
        <f ca="1">SUMPRODUCT((Work_Codes!$N$393:$Y$393=$E697)*(Work_Codes!$N$401:$Y$402)*(K$581:K$582))</f>
        <v>0</v>
      </c>
      <c r="L697" s="81">
        <f ca="1">SUMPRODUCT((Work_Codes!$N$393:$Y$393=$E697)*(Work_Codes!$N$401:$Y$402)*(L$581:L$582))</f>
        <v>0</v>
      </c>
      <c r="M697" s="81">
        <f ca="1">SUMPRODUCT((Work_Codes!$N$393:$Y$393=$E697)*(Work_Codes!$N$401:$Y$402)*(M$581:M$582))</f>
        <v>0</v>
      </c>
      <c r="N697" s="81">
        <f ca="1">SUMPRODUCT((Work_Codes!$N$393:$Y$393=$E697)*(Work_Codes!$N$401:$Y$402)*(N$581:N$582))</f>
        <v>0</v>
      </c>
      <c r="O697" s="81">
        <f ca="1">SUMPRODUCT((Work_Codes!$N$393:$Y$393=$E697)*(Work_Codes!$N$401:$Y$402)*(O$581:O$582))</f>
        <v>0</v>
      </c>
      <c r="P697" s="81">
        <f ca="1">SUMPRODUCT((Work_Codes!$N$393:$Y$393=$E697)*(Work_Codes!$N$401:$Y$402)*(P$581:P$582))</f>
        <v>0</v>
      </c>
      <c r="Q697" s="81">
        <f ca="1">SUMPRODUCT((Work_Codes!$N$393:$Y$393=$E697)*(Work_Codes!$N$401:$Y$402)*(Q$581:Q$582))</f>
        <v>0</v>
      </c>
      <c r="R697" s="81">
        <f ca="1">SUMPRODUCT((Work_Codes!$N$393:$Y$393=$E697)*(Work_Codes!$N$401:$Y$402)*(R$581:R$582))</f>
        <v>0</v>
      </c>
      <c r="S697" s="81">
        <f ca="1">SUMPRODUCT((Work_Codes!$N$393:$Y$393=$E697)*(Work_Codes!$N$401:$Y$402)*(S$581:S$582))</f>
        <v>0</v>
      </c>
      <c r="T697" s="81">
        <f ca="1">SUMPRODUCT((Work_Codes!$N$393:$Y$393=$E697)*(Work_Codes!$N$401:$Y$402)*(T$581:T$582))</f>
        <v>0</v>
      </c>
    </row>
    <row r="698" spans="2:20" outlineLevel="2">
      <c r="E698" s="249" t="str">
        <f>"Total "&amp;D680</f>
        <v>Total Customer Contributions</v>
      </c>
      <c r="F698" s="249"/>
      <c r="G698" s="249"/>
      <c r="H698" s="249"/>
      <c r="I698" s="249"/>
      <c r="J698" s="82">
        <f t="shared" ref="J698:T698" ca="1" si="67">SUM(J682:J697)</f>
        <v>0</v>
      </c>
      <c r="K698" s="82">
        <f t="shared" ca="1" si="67"/>
        <v>0</v>
      </c>
      <c r="L698" s="82">
        <f t="shared" ca="1" si="67"/>
        <v>0</v>
      </c>
      <c r="M698" s="82">
        <f t="shared" ca="1" si="67"/>
        <v>0</v>
      </c>
      <c r="N698" s="82">
        <f t="shared" ca="1" si="67"/>
        <v>-449014.83925999992</v>
      </c>
      <c r="O698" s="82">
        <f t="shared" ca="1" si="67"/>
        <v>-396141.73000000004</v>
      </c>
      <c r="P698" s="82">
        <f t="shared" ca="1" si="67"/>
        <v>-792283.46000000008</v>
      </c>
      <c r="Q698" s="82">
        <f t="shared" ca="1" si="67"/>
        <v>-792283.46000000008</v>
      </c>
      <c r="R698" s="82">
        <f t="shared" ca="1" si="67"/>
        <v>-792283.46000000008</v>
      </c>
      <c r="S698" s="82">
        <f t="shared" ca="1" si="67"/>
        <v>-792283.46000000008</v>
      </c>
      <c r="T698" s="82">
        <f t="shared" ca="1" si="67"/>
        <v>-792283.46000000008</v>
      </c>
    </row>
    <row r="699" spans="2:20" outlineLevel="1">
      <c r="B699" s="12"/>
      <c r="C699" s="12"/>
      <c r="D699" s="12"/>
      <c r="E699" s="12"/>
      <c r="F699" s="12"/>
      <c r="G699" s="12"/>
      <c r="H699" s="12"/>
      <c r="I699" s="12"/>
      <c r="J699" s="12"/>
      <c r="K699" s="12"/>
      <c r="L699" s="12"/>
      <c r="M699" s="12"/>
      <c r="N699" s="12"/>
      <c r="O699" s="12"/>
      <c r="P699" s="12"/>
      <c r="Q699" s="12"/>
      <c r="R699" s="12"/>
      <c r="S699" s="12"/>
      <c r="T699" s="12"/>
    </row>
    <row r="700" spans="2:20" outlineLevel="1"/>
    <row r="701" spans="2:20" outlineLevel="1">
      <c r="C701" s="37" t="s">
        <v>196</v>
      </c>
    </row>
    <row r="702" spans="2:20" ht="5.9" customHeight="1" outlineLevel="2"/>
    <row r="703" spans="2:20" outlineLevel="2">
      <c r="D703" s="37" t="s">
        <v>215</v>
      </c>
    </row>
    <row r="704" spans="2:20" ht="5.9" customHeight="1" outlineLevel="2"/>
    <row r="705" spans="5:20" ht="12" customHeight="1" outlineLevel="2">
      <c r="E705" s="247" t="str">
        <f>GC!C60</f>
        <v>Mains replacement</v>
      </c>
      <c r="F705" s="247"/>
      <c r="G705" s="247"/>
      <c r="H705" s="247"/>
      <c r="I705" s="247"/>
      <c r="J705" s="81">
        <f ca="1">SUMPRODUCT((Work_Codes!$AC$393:$AO$393=$E705)*(Work_Codes!$AC$396:$AO$397)*(J$612:J$613))</f>
        <v>0</v>
      </c>
      <c r="K705" s="81">
        <f ca="1">SUMPRODUCT((Work_Codes!$AC$393:$AO$393=$E705)*(Work_Codes!$AC$396:$AO$397)*(K$612:K$613))</f>
        <v>0</v>
      </c>
      <c r="L705" s="81">
        <f ca="1">SUMPRODUCT((Work_Codes!$AC$393:$AO$393=$E705)*(Work_Codes!$AC$396:$AO$397)*(L$612:L$613))</f>
        <v>0</v>
      </c>
      <c r="M705" s="81">
        <f ca="1">SUMPRODUCT((Work_Codes!$AC$393:$AO$393=$E705)*(Work_Codes!$AC$396:$AO$397)*(M$612:M$613))</f>
        <v>0</v>
      </c>
      <c r="N705" s="81">
        <f ca="1">SUMPRODUCT((Work_Codes!$AC$393:$AO$393=$E705)*(Work_Codes!$AC$396:$AO$397)*(N$612:N$613))</f>
        <v>0</v>
      </c>
      <c r="O705" s="81">
        <f ca="1">SUMPRODUCT((Work_Codes!$AC$393:$AO$393=$E705)*(Work_Codes!$AC$396:$AO$397)*(O$612:O$613))</f>
        <v>0</v>
      </c>
      <c r="P705" s="81">
        <f ca="1">SUMPRODUCT((Work_Codes!$AC$393:$AO$393=$E705)*(Work_Codes!$AC$396:$AO$397)*(P$612:P$613))</f>
        <v>0</v>
      </c>
      <c r="Q705" s="81">
        <f ca="1">SUMPRODUCT((Work_Codes!$AC$393:$AO$393=$E705)*(Work_Codes!$AC$396:$AO$397)*(Q$612:Q$613))</f>
        <v>0</v>
      </c>
      <c r="R705" s="81">
        <f ca="1">SUMPRODUCT((Work_Codes!$AC$393:$AO$393=$E705)*(Work_Codes!$AC$396:$AO$397)*(R$612:R$613))</f>
        <v>0</v>
      </c>
      <c r="S705" s="81">
        <f ca="1">SUMPRODUCT((Work_Codes!$AC$393:$AO$393=$E705)*(Work_Codes!$AC$396:$AO$397)*(S$612:S$613))</f>
        <v>0</v>
      </c>
      <c r="T705" s="81">
        <f ca="1">SUMPRODUCT((Work_Codes!$AC$393:$AO$393=$E705)*(Work_Codes!$AC$396:$AO$397)*(T$612:T$613))</f>
        <v>0</v>
      </c>
    </row>
    <row r="706" spans="5:20" ht="12" customHeight="1" outlineLevel="2">
      <c r="E706" s="247" t="str">
        <f>GC!C61</f>
        <v>Residential new customer connections</v>
      </c>
      <c r="F706" s="247"/>
      <c r="G706" s="247"/>
      <c r="H706" s="247"/>
      <c r="I706" s="247"/>
      <c r="J706" s="81">
        <f ca="1">SUMPRODUCT((Work_Codes!$AC$393:$AO$393=$E706)*(Work_Codes!$AC$396:$AO$397)*(J$612:J$613))</f>
        <v>0</v>
      </c>
      <c r="K706" s="81">
        <f ca="1">SUMPRODUCT((Work_Codes!$AC$393:$AO$393=$E706)*(Work_Codes!$AC$396:$AO$397)*(K$612:K$613))</f>
        <v>0</v>
      </c>
      <c r="L706" s="81">
        <f ca="1">SUMPRODUCT((Work_Codes!$AC$393:$AO$393=$E706)*(Work_Codes!$AC$396:$AO$397)*(L$612:L$613))</f>
        <v>0</v>
      </c>
      <c r="M706" s="81">
        <f ca="1">SUMPRODUCT((Work_Codes!$AC$393:$AO$393=$E706)*(Work_Codes!$AC$396:$AO$397)*(M$612:M$613))</f>
        <v>0</v>
      </c>
      <c r="N706" s="81">
        <f ca="1">SUMPRODUCT((Work_Codes!$AC$393:$AO$393=$E706)*(Work_Codes!$AC$396:$AO$397)*(N$612:N$613))</f>
        <v>0</v>
      </c>
      <c r="O706" s="81">
        <f ca="1">SUMPRODUCT((Work_Codes!$AC$393:$AO$393=$E706)*(Work_Codes!$AC$396:$AO$397)*(O$612:O$613))</f>
        <v>0</v>
      </c>
      <c r="P706" s="81">
        <f ca="1">SUMPRODUCT((Work_Codes!$AC$393:$AO$393=$E706)*(Work_Codes!$AC$396:$AO$397)*(P$612:P$613))</f>
        <v>0</v>
      </c>
      <c r="Q706" s="81">
        <f ca="1">SUMPRODUCT((Work_Codes!$AC$393:$AO$393=$E706)*(Work_Codes!$AC$396:$AO$397)*(Q$612:Q$613))</f>
        <v>0</v>
      </c>
      <c r="R706" s="81">
        <f ca="1">SUMPRODUCT((Work_Codes!$AC$393:$AO$393=$E706)*(Work_Codes!$AC$396:$AO$397)*(R$612:R$613))</f>
        <v>0</v>
      </c>
      <c r="S706" s="81">
        <f ca="1">SUMPRODUCT((Work_Codes!$AC$393:$AO$393=$E706)*(Work_Codes!$AC$396:$AO$397)*(S$612:S$613))</f>
        <v>0</v>
      </c>
      <c r="T706" s="81">
        <f ca="1">SUMPRODUCT((Work_Codes!$AC$393:$AO$393=$E706)*(Work_Codes!$AC$396:$AO$397)*(T$612:T$613))</f>
        <v>0</v>
      </c>
    </row>
    <row r="707" spans="5:20" ht="12" customHeight="1" outlineLevel="2">
      <c r="E707" s="247" t="str">
        <f>GC!C62</f>
        <v>Commercial and industrial new customer connections</v>
      </c>
      <c r="F707" s="247"/>
      <c r="G707" s="247"/>
      <c r="H707" s="247"/>
      <c r="I707" s="247"/>
      <c r="J707" s="81">
        <f ca="1">SUMPRODUCT((Work_Codes!$AC$393:$AO$393=$E707)*(Work_Codes!$AC$396:$AO$397)*(J$612:J$613))</f>
        <v>0</v>
      </c>
      <c r="K707" s="81">
        <f ca="1">SUMPRODUCT((Work_Codes!$AC$393:$AO$393=$E707)*(Work_Codes!$AC$396:$AO$397)*(K$612:K$613))</f>
        <v>0</v>
      </c>
      <c r="L707" s="81">
        <f ca="1">SUMPRODUCT((Work_Codes!$AC$393:$AO$393=$E707)*(Work_Codes!$AC$396:$AO$397)*(L$612:L$613))</f>
        <v>0</v>
      </c>
      <c r="M707" s="81">
        <f ca="1">SUMPRODUCT((Work_Codes!$AC$393:$AO$393=$E707)*(Work_Codes!$AC$396:$AO$397)*(M$612:M$613))</f>
        <v>0</v>
      </c>
      <c r="N707" s="81">
        <f ca="1">SUMPRODUCT((Work_Codes!$AC$393:$AO$393=$E707)*(Work_Codes!$AC$396:$AO$397)*(N$612:N$613))</f>
        <v>802199.70711525122</v>
      </c>
      <c r="O707" s="81">
        <f ca="1">SUMPRODUCT((Work_Codes!$AC$393:$AO$393=$E707)*(Work_Codes!$AC$396:$AO$397)*(O$612:O$613))</f>
        <v>835608.97432704398</v>
      </c>
      <c r="P707" s="81">
        <f ca="1">SUMPRODUCT((Work_Codes!$AC$393:$AO$393=$E707)*(Work_Codes!$AC$396:$AO$397)*(P$612:P$613))</f>
        <v>1600294.7238877779</v>
      </c>
      <c r="Q707" s="81">
        <f ca="1">SUMPRODUCT((Work_Codes!$AC$393:$AO$393=$E707)*(Work_Codes!$AC$396:$AO$397)*(Q$612:Q$613))</f>
        <v>1626018.3188482048</v>
      </c>
      <c r="R707" s="81">
        <f ca="1">SUMPRODUCT((Work_Codes!$AC$393:$AO$393=$E707)*(Work_Codes!$AC$396:$AO$397)*(R$612:R$613))</f>
        <v>1651371.8151533026</v>
      </c>
      <c r="S707" s="81">
        <f ca="1">SUMPRODUCT((Work_Codes!$AC$393:$AO$393=$E707)*(Work_Codes!$AC$396:$AO$397)*(S$612:S$613))</f>
        <v>1631088.6295619586</v>
      </c>
      <c r="T707" s="81">
        <f ca="1">SUMPRODUCT((Work_Codes!$AC$393:$AO$393=$E707)*(Work_Codes!$AC$396:$AO$397)*(T$612:T$613))</f>
        <v>1610003.275658139</v>
      </c>
    </row>
    <row r="708" spans="5:20" ht="12" customHeight="1" outlineLevel="2">
      <c r="E708" s="247" t="str">
        <f>GC!C63</f>
        <v>Residential meter replacement</v>
      </c>
      <c r="F708" s="247"/>
      <c r="G708" s="247"/>
      <c r="H708" s="247"/>
      <c r="I708" s="247"/>
      <c r="J708" s="81">
        <f ca="1">SUMPRODUCT((Work_Codes!$AC$393:$AO$393=$E708)*(Work_Codes!$AC$396:$AO$397)*(J$612:J$613))</f>
        <v>0</v>
      </c>
      <c r="K708" s="81">
        <f ca="1">SUMPRODUCT((Work_Codes!$AC$393:$AO$393=$E708)*(Work_Codes!$AC$396:$AO$397)*(K$612:K$613))</f>
        <v>0</v>
      </c>
      <c r="L708" s="81">
        <f ca="1">SUMPRODUCT((Work_Codes!$AC$393:$AO$393=$E708)*(Work_Codes!$AC$396:$AO$397)*(L$612:L$613))</f>
        <v>0</v>
      </c>
      <c r="M708" s="81">
        <f ca="1">SUMPRODUCT((Work_Codes!$AC$393:$AO$393=$E708)*(Work_Codes!$AC$396:$AO$397)*(M$612:M$613))</f>
        <v>0</v>
      </c>
      <c r="N708" s="81">
        <f ca="1">SUMPRODUCT((Work_Codes!$AC$393:$AO$393=$E708)*(Work_Codes!$AC$396:$AO$397)*(N$612:N$613))</f>
        <v>0</v>
      </c>
      <c r="O708" s="81">
        <f ca="1">SUMPRODUCT((Work_Codes!$AC$393:$AO$393=$E708)*(Work_Codes!$AC$396:$AO$397)*(O$612:O$613))</f>
        <v>0</v>
      </c>
      <c r="P708" s="81">
        <f ca="1">SUMPRODUCT((Work_Codes!$AC$393:$AO$393=$E708)*(Work_Codes!$AC$396:$AO$397)*(P$612:P$613))</f>
        <v>0</v>
      </c>
      <c r="Q708" s="81">
        <f ca="1">SUMPRODUCT((Work_Codes!$AC$393:$AO$393=$E708)*(Work_Codes!$AC$396:$AO$397)*(Q$612:Q$613))</f>
        <v>0</v>
      </c>
      <c r="R708" s="81">
        <f ca="1">SUMPRODUCT((Work_Codes!$AC$393:$AO$393=$E708)*(Work_Codes!$AC$396:$AO$397)*(R$612:R$613))</f>
        <v>0</v>
      </c>
      <c r="S708" s="81">
        <f ca="1">SUMPRODUCT((Work_Codes!$AC$393:$AO$393=$E708)*(Work_Codes!$AC$396:$AO$397)*(S$612:S$613))</f>
        <v>0</v>
      </c>
      <c r="T708" s="81">
        <f ca="1">SUMPRODUCT((Work_Codes!$AC$393:$AO$393=$E708)*(Work_Codes!$AC$396:$AO$397)*(T$612:T$613))</f>
        <v>0</v>
      </c>
    </row>
    <row r="709" spans="5:20" ht="12" customHeight="1" outlineLevel="2">
      <c r="E709" s="247" t="str">
        <f>GC!C64</f>
        <v>Commercial and industrial meter replacement</v>
      </c>
      <c r="F709" s="247"/>
      <c r="G709" s="247"/>
      <c r="H709" s="247"/>
      <c r="I709" s="247"/>
      <c r="J709" s="81">
        <f ca="1">SUMPRODUCT((Work_Codes!$AC$393:$AO$393=$E709)*(Work_Codes!$AC$396:$AO$397)*(J$612:J$613))</f>
        <v>0</v>
      </c>
      <c r="K709" s="81">
        <f ca="1">SUMPRODUCT((Work_Codes!$AC$393:$AO$393=$E709)*(Work_Codes!$AC$396:$AO$397)*(K$612:K$613))</f>
        <v>0</v>
      </c>
      <c r="L709" s="81">
        <f ca="1">SUMPRODUCT((Work_Codes!$AC$393:$AO$393=$E709)*(Work_Codes!$AC$396:$AO$397)*(L$612:L$613))</f>
        <v>0</v>
      </c>
      <c r="M709" s="81">
        <f ca="1">SUMPRODUCT((Work_Codes!$AC$393:$AO$393=$E709)*(Work_Codes!$AC$396:$AO$397)*(M$612:M$613))</f>
        <v>0</v>
      </c>
      <c r="N709" s="81">
        <f ca="1">SUMPRODUCT((Work_Codes!$AC$393:$AO$393=$E709)*(Work_Codes!$AC$396:$AO$397)*(N$612:N$613))</f>
        <v>0</v>
      </c>
      <c r="O709" s="81">
        <f ca="1">SUMPRODUCT((Work_Codes!$AC$393:$AO$393=$E709)*(Work_Codes!$AC$396:$AO$397)*(O$612:O$613))</f>
        <v>0</v>
      </c>
      <c r="P709" s="81">
        <f ca="1">SUMPRODUCT((Work_Codes!$AC$393:$AO$393=$E709)*(Work_Codes!$AC$396:$AO$397)*(P$612:P$613))</f>
        <v>0</v>
      </c>
      <c r="Q709" s="81">
        <f ca="1">SUMPRODUCT((Work_Codes!$AC$393:$AO$393=$E709)*(Work_Codes!$AC$396:$AO$397)*(Q$612:Q$613))</f>
        <v>0</v>
      </c>
      <c r="R709" s="81">
        <f ca="1">SUMPRODUCT((Work_Codes!$AC$393:$AO$393=$E709)*(Work_Codes!$AC$396:$AO$397)*(R$612:R$613))</f>
        <v>0</v>
      </c>
      <c r="S709" s="81">
        <f ca="1">SUMPRODUCT((Work_Codes!$AC$393:$AO$393=$E709)*(Work_Codes!$AC$396:$AO$397)*(S$612:S$613))</f>
        <v>0</v>
      </c>
      <c r="T709" s="81">
        <f ca="1">SUMPRODUCT((Work_Codes!$AC$393:$AO$393=$E709)*(Work_Codes!$AC$396:$AO$397)*(T$612:T$613))</f>
        <v>0</v>
      </c>
    </row>
    <row r="710" spans="5:20" ht="12" customHeight="1" outlineLevel="2">
      <c r="E710" s="247" t="str">
        <f>GC!C65</f>
        <v>Augmentation</v>
      </c>
      <c r="F710" s="247"/>
      <c r="G710" s="247"/>
      <c r="H710" s="247"/>
      <c r="I710" s="247"/>
      <c r="J710" s="81">
        <f ca="1">SUMPRODUCT((Work_Codes!$AC$393:$AO$393=$E710)*(Work_Codes!$AC$396:$AO$397)*(J$612:J$613))</f>
        <v>0</v>
      </c>
      <c r="K710" s="81">
        <f ca="1">SUMPRODUCT((Work_Codes!$AC$393:$AO$393=$E710)*(Work_Codes!$AC$396:$AO$397)*(K$612:K$613))</f>
        <v>0</v>
      </c>
      <c r="L710" s="81">
        <f ca="1">SUMPRODUCT((Work_Codes!$AC$393:$AO$393=$E710)*(Work_Codes!$AC$396:$AO$397)*(L$612:L$613))</f>
        <v>0</v>
      </c>
      <c r="M710" s="81">
        <f ca="1">SUMPRODUCT((Work_Codes!$AC$393:$AO$393=$E710)*(Work_Codes!$AC$396:$AO$397)*(M$612:M$613))</f>
        <v>0</v>
      </c>
      <c r="N710" s="81">
        <f ca="1">SUMPRODUCT((Work_Codes!$AC$393:$AO$393=$E710)*(Work_Codes!$AC$396:$AO$397)*(N$612:N$613))</f>
        <v>0</v>
      </c>
      <c r="O710" s="81">
        <f ca="1">SUMPRODUCT((Work_Codes!$AC$393:$AO$393=$E710)*(Work_Codes!$AC$396:$AO$397)*(O$612:O$613))</f>
        <v>0</v>
      </c>
      <c r="P710" s="81">
        <f ca="1">SUMPRODUCT((Work_Codes!$AC$393:$AO$393=$E710)*(Work_Codes!$AC$396:$AO$397)*(P$612:P$613))</f>
        <v>0</v>
      </c>
      <c r="Q710" s="81">
        <f ca="1">SUMPRODUCT((Work_Codes!$AC$393:$AO$393=$E710)*(Work_Codes!$AC$396:$AO$397)*(Q$612:Q$613))</f>
        <v>0</v>
      </c>
      <c r="R710" s="81">
        <f ca="1">SUMPRODUCT((Work_Codes!$AC$393:$AO$393=$E710)*(Work_Codes!$AC$396:$AO$397)*(R$612:R$613))</f>
        <v>0</v>
      </c>
      <c r="S710" s="81">
        <f ca="1">SUMPRODUCT((Work_Codes!$AC$393:$AO$393=$E710)*(Work_Codes!$AC$396:$AO$397)*(S$612:S$613))</f>
        <v>0</v>
      </c>
      <c r="T710" s="81">
        <f ca="1">SUMPRODUCT((Work_Codes!$AC$393:$AO$393=$E710)*(Work_Codes!$AC$396:$AO$397)*(T$612:T$613))</f>
        <v>0</v>
      </c>
    </row>
    <row r="711" spans="5:20" ht="12" customHeight="1" outlineLevel="2">
      <c r="E711" s="247" t="str">
        <f>GC!C66</f>
        <v>IT capex</v>
      </c>
      <c r="F711" s="247"/>
      <c r="G711" s="247"/>
      <c r="H711" s="247"/>
      <c r="I711" s="247"/>
      <c r="J711" s="81">
        <f ca="1">SUMPRODUCT((Work_Codes!$AC$393:$AO$393=$E711)*(Work_Codes!$AC$396:$AO$397)*(J$612:J$613))</f>
        <v>0</v>
      </c>
      <c r="K711" s="81">
        <f ca="1">SUMPRODUCT((Work_Codes!$AC$393:$AO$393=$E711)*(Work_Codes!$AC$396:$AO$397)*(K$612:K$613))</f>
        <v>0</v>
      </c>
      <c r="L711" s="81">
        <f ca="1">SUMPRODUCT((Work_Codes!$AC$393:$AO$393=$E711)*(Work_Codes!$AC$396:$AO$397)*(L$612:L$613))</f>
        <v>0</v>
      </c>
      <c r="M711" s="81">
        <f ca="1">SUMPRODUCT((Work_Codes!$AC$393:$AO$393=$E711)*(Work_Codes!$AC$396:$AO$397)*(M$612:M$613))</f>
        <v>0</v>
      </c>
      <c r="N711" s="81">
        <f ca="1">SUMPRODUCT((Work_Codes!$AC$393:$AO$393=$E711)*(Work_Codes!$AC$396:$AO$397)*(N$612:N$613))</f>
        <v>0</v>
      </c>
      <c r="O711" s="81">
        <f ca="1">SUMPRODUCT((Work_Codes!$AC$393:$AO$393=$E711)*(Work_Codes!$AC$396:$AO$397)*(O$612:O$613))</f>
        <v>0</v>
      </c>
      <c r="P711" s="81">
        <f ca="1">SUMPRODUCT((Work_Codes!$AC$393:$AO$393=$E711)*(Work_Codes!$AC$396:$AO$397)*(P$612:P$613))</f>
        <v>0</v>
      </c>
      <c r="Q711" s="81">
        <f ca="1">SUMPRODUCT((Work_Codes!$AC$393:$AO$393=$E711)*(Work_Codes!$AC$396:$AO$397)*(Q$612:Q$613))</f>
        <v>0</v>
      </c>
      <c r="R711" s="81">
        <f ca="1">SUMPRODUCT((Work_Codes!$AC$393:$AO$393=$E711)*(Work_Codes!$AC$396:$AO$397)*(R$612:R$613))</f>
        <v>0</v>
      </c>
      <c r="S711" s="81">
        <f ca="1">SUMPRODUCT((Work_Codes!$AC$393:$AO$393=$E711)*(Work_Codes!$AC$396:$AO$397)*(S$612:S$613))</f>
        <v>0</v>
      </c>
      <c r="T711" s="81">
        <f ca="1">SUMPRODUCT((Work_Codes!$AC$393:$AO$393=$E711)*(Work_Codes!$AC$396:$AO$397)*(T$612:T$613))</f>
        <v>0</v>
      </c>
    </row>
    <row r="712" spans="5:20" ht="12" customHeight="1" outlineLevel="2">
      <c r="E712" s="247" t="str">
        <f>GC!C67</f>
        <v>SCADA</v>
      </c>
      <c r="F712" s="247"/>
      <c r="G712" s="247"/>
      <c r="H712" s="247"/>
      <c r="I712" s="247"/>
      <c r="J712" s="81">
        <f ca="1">SUMPRODUCT((Work_Codes!$AC$393:$AO$393=$E712)*(Work_Codes!$AC$396:$AO$397)*(J$612:J$613))</f>
        <v>0</v>
      </c>
      <c r="K712" s="81">
        <f ca="1">SUMPRODUCT((Work_Codes!$AC$393:$AO$393=$E712)*(Work_Codes!$AC$396:$AO$397)*(K$612:K$613))</f>
        <v>0</v>
      </c>
      <c r="L712" s="81">
        <f ca="1">SUMPRODUCT((Work_Codes!$AC$393:$AO$393=$E712)*(Work_Codes!$AC$396:$AO$397)*(L$612:L$613))</f>
        <v>0</v>
      </c>
      <c r="M712" s="81">
        <f ca="1">SUMPRODUCT((Work_Codes!$AC$393:$AO$393=$E712)*(Work_Codes!$AC$396:$AO$397)*(M$612:M$613))</f>
        <v>0</v>
      </c>
      <c r="N712" s="81">
        <f ca="1">SUMPRODUCT((Work_Codes!$AC$393:$AO$393=$E712)*(Work_Codes!$AC$396:$AO$397)*(N$612:N$613))</f>
        <v>0</v>
      </c>
      <c r="O712" s="81">
        <f ca="1">SUMPRODUCT((Work_Codes!$AC$393:$AO$393=$E712)*(Work_Codes!$AC$396:$AO$397)*(O$612:O$613))</f>
        <v>0</v>
      </c>
      <c r="P712" s="81">
        <f ca="1">SUMPRODUCT((Work_Codes!$AC$393:$AO$393=$E712)*(Work_Codes!$AC$396:$AO$397)*(P$612:P$613))</f>
        <v>0</v>
      </c>
      <c r="Q712" s="81">
        <f ca="1">SUMPRODUCT((Work_Codes!$AC$393:$AO$393=$E712)*(Work_Codes!$AC$396:$AO$397)*(Q$612:Q$613))</f>
        <v>0</v>
      </c>
      <c r="R712" s="81">
        <f ca="1">SUMPRODUCT((Work_Codes!$AC$393:$AO$393=$E712)*(Work_Codes!$AC$396:$AO$397)*(R$612:R$613))</f>
        <v>0</v>
      </c>
      <c r="S712" s="81">
        <f ca="1">SUMPRODUCT((Work_Codes!$AC$393:$AO$393=$E712)*(Work_Codes!$AC$396:$AO$397)*(S$612:S$613))</f>
        <v>0</v>
      </c>
      <c r="T712" s="81">
        <f ca="1">SUMPRODUCT((Work_Codes!$AC$393:$AO$393=$E712)*(Work_Codes!$AC$396:$AO$397)*(T$612:T$613))</f>
        <v>0</v>
      </c>
    </row>
    <row r="713" spans="5:20" ht="12" customHeight="1" outlineLevel="2">
      <c r="E713" s="247" t="str">
        <f>GC!C68</f>
        <v>Other</v>
      </c>
      <c r="F713" s="247"/>
      <c r="G713" s="247"/>
      <c r="H713" s="247"/>
      <c r="I713" s="247"/>
      <c r="J713" s="81">
        <f ca="1">SUMPRODUCT((Work_Codes!$AC$393:$AO$393=$E713)*(Work_Codes!$AC$396:$AO$397)*(J$612:J$613))</f>
        <v>0</v>
      </c>
      <c r="K713" s="81">
        <f ca="1">SUMPRODUCT((Work_Codes!$AC$393:$AO$393=$E713)*(Work_Codes!$AC$396:$AO$397)*(K$612:K$613))</f>
        <v>0</v>
      </c>
      <c r="L713" s="81">
        <f ca="1">SUMPRODUCT((Work_Codes!$AC$393:$AO$393=$E713)*(Work_Codes!$AC$396:$AO$397)*(L$612:L$613))</f>
        <v>0</v>
      </c>
      <c r="M713" s="81">
        <f ca="1">SUMPRODUCT((Work_Codes!$AC$393:$AO$393=$E713)*(Work_Codes!$AC$396:$AO$397)*(M$612:M$613))</f>
        <v>0</v>
      </c>
      <c r="N713" s="81">
        <f ca="1">SUMPRODUCT((Work_Codes!$AC$393:$AO$393=$E713)*(Work_Codes!$AC$396:$AO$397)*(N$612:N$613))</f>
        <v>0</v>
      </c>
      <c r="O713" s="81">
        <f ca="1">SUMPRODUCT((Work_Codes!$AC$393:$AO$393=$E713)*(Work_Codes!$AC$396:$AO$397)*(O$612:O$613))</f>
        <v>0</v>
      </c>
      <c r="P713" s="81">
        <f ca="1">SUMPRODUCT((Work_Codes!$AC$393:$AO$393=$E713)*(Work_Codes!$AC$396:$AO$397)*(P$612:P$613))</f>
        <v>0</v>
      </c>
      <c r="Q713" s="81">
        <f ca="1">SUMPRODUCT((Work_Codes!$AC$393:$AO$393=$E713)*(Work_Codes!$AC$396:$AO$397)*(Q$612:Q$613))</f>
        <v>0</v>
      </c>
      <c r="R713" s="81">
        <f ca="1">SUMPRODUCT((Work_Codes!$AC$393:$AO$393=$E713)*(Work_Codes!$AC$396:$AO$397)*(R$612:R$613))</f>
        <v>0</v>
      </c>
      <c r="S713" s="81">
        <f ca="1">SUMPRODUCT((Work_Codes!$AC$393:$AO$393=$E713)*(Work_Codes!$AC$396:$AO$397)*(S$612:S$613))</f>
        <v>0</v>
      </c>
      <c r="T713" s="81">
        <f ca="1">SUMPRODUCT((Work_Codes!$AC$393:$AO$393=$E713)*(Work_Codes!$AC$396:$AO$397)*(T$612:T$613))</f>
        <v>0</v>
      </c>
    </row>
    <row r="714" spans="5:20" outlineLevel="2">
      <c r="E714" s="247" t="str">
        <f>GC!C69</f>
        <v>Capitalised Leases</v>
      </c>
      <c r="F714" s="247"/>
      <c r="G714" s="247"/>
      <c r="H714" s="247"/>
      <c r="I714" s="247"/>
      <c r="J714" s="81">
        <f ca="1">SUMPRODUCT((Work_Codes!$AC$393:$AO$393=$E714)*(Work_Codes!$AC$396:$AO$397)*(J$612:J$613))</f>
        <v>0</v>
      </c>
      <c r="K714" s="81">
        <f ca="1">SUMPRODUCT((Work_Codes!$AC$393:$AO$393=$E714)*(Work_Codes!$AC$396:$AO$397)*(K$612:K$613))</f>
        <v>0</v>
      </c>
      <c r="L714" s="81">
        <f ca="1">SUMPRODUCT((Work_Codes!$AC$393:$AO$393=$E714)*(Work_Codes!$AC$396:$AO$397)*(L$612:L$613))</f>
        <v>0</v>
      </c>
      <c r="M714" s="81">
        <f ca="1">SUMPRODUCT((Work_Codes!$AC$393:$AO$393=$E714)*(Work_Codes!$AC$396:$AO$397)*(M$612:M$613))</f>
        <v>0</v>
      </c>
      <c r="N714" s="81">
        <f ca="1">SUMPRODUCT((Work_Codes!$AC$393:$AO$393=$E714)*(Work_Codes!$AC$396:$AO$397)*(N$612:N$613))</f>
        <v>0</v>
      </c>
      <c r="O714" s="81">
        <f ca="1">SUMPRODUCT((Work_Codes!$AC$393:$AO$393=$E714)*(Work_Codes!$AC$396:$AO$397)*(O$612:O$613))</f>
        <v>0</v>
      </c>
      <c r="P714" s="81">
        <f ca="1">SUMPRODUCT((Work_Codes!$AC$393:$AO$393=$E714)*(Work_Codes!$AC$396:$AO$397)*(P$612:P$613))</f>
        <v>0</v>
      </c>
      <c r="Q714" s="81">
        <f ca="1">SUMPRODUCT((Work_Codes!$AC$393:$AO$393=$E714)*(Work_Codes!$AC$396:$AO$397)*(Q$612:Q$613))</f>
        <v>0</v>
      </c>
      <c r="R714" s="81">
        <f ca="1">SUMPRODUCT((Work_Codes!$AC$393:$AO$393=$E714)*(Work_Codes!$AC$396:$AO$397)*(R$612:R$613))</f>
        <v>0</v>
      </c>
      <c r="S714" s="81">
        <f ca="1">SUMPRODUCT((Work_Codes!$AC$393:$AO$393=$E714)*(Work_Codes!$AC$396:$AO$397)*(S$612:S$613))</f>
        <v>0</v>
      </c>
      <c r="T714" s="81">
        <f ca="1">SUMPRODUCT((Work_Codes!$AC$393:$AO$393=$E714)*(Work_Codes!$AC$396:$AO$397)*(T$612:T$613))</f>
        <v>0</v>
      </c>
    </row>
    <row r="715" spans="5:20" ht="12" customHeight="1" outlineLevel="2">
      <c r="E715" s="247" t="str">
        <f>GC!C70</f>
        <v>Gas Extensions - Energy for the Regions</v>
      </c>
      <c r="F715" s="247"/>
      <c r="G715" s="247"/>
      <c r="H715" s="247"/>
      <c r="I715" s="247"/>
      <c r="J715" s="81">
        <f ca="1">SUMPRODUCT((Work_Codes!$AC$393:$AO$393=$E715)*(Work_Codes!$AC$396:$AO$397)*(J$612:J$613))</f>
        <v>0</v>
      </c>
      <c r="K715" s="81">
        <f ca="1">SUMPRODUCT((Work_Codes!$AC$393:$AO$393=$E715)*(Work_Codes!$AC$396:$AO$397)*(K$612:K$613))</f>
        <v>0</v>
      </c>
      <c r="L715" s="81">
        <f ca="1">SUMPRODUCT((Work_Codes!$AC$393:$AO$393=$E715)*(Work_Codes!$AC$396:$AO$397)*(L$612:L$613))</f>
        <v>0</v>
      </c>
      <c r="M715" s="81">
        <f ca="1">SUMPRODUCT((Work_Codes!$AC$393:$AO$393=$E715)*(Work_Codes!$AC$396:$AO$397)*(M$612:M$613))</f>
        <v>0</v>
      </c>
      <c r="N715" s="81">
        <f ca="1">SUMPRODUCT((Work_Codes!$AC$393:$AO$393=$E715)*(Work_Codes!$AC$396:$AO$397)*(N$612:N$613))</f>
        <v>0</v>
      </c>
      <c r="O715" s="81">
        <f ca="1">SUMPRODUCT((Work_Codes!$AC$393:$AO$393=$E715)*(Work_Codes!$AC$396:$AO$397)*(O$612:O$613))</f>
        <v>0</v>
      </c>
      <c r="P715" s="81">
        <f ca="1">SUMPRODUCT((Work_Codes!$AC$393:$AO$393=$E715)*(Work_Codes!$AC$396:$AO$397)*(P$612:P$613))</f>
        <v>0</v>
      </c>
      <c r="Q715" s="81">
        <f ca="1">SUMPRODUCT((Work_Codes!$AC$393:$AO$393=$E715)*(Work_Codes!$AC$396:$AO$397)*(Q$612:Q$613))</f>
        <v>0</v>
      </c>
      <c r="R715" s="81">
        <f ca="1">SUMPRODUCT((Work_Codes!$AC$393:$AO$393=$E715)*(Work_Codes!$AC$396:$AO$397)*(R$612:R$613))</f>
        <v>0</v>
      </c>
      <c r="S715" s="81">
        <f ca="1">SUMPRODUCT((Work_Codes!$AC$393:$AO$393=$E715)*(Work_Codes!$AC$396:$AO$397)*(S$612:S$613))</f>
        <v>0</v>
      </c>
      <c r="T715" s="81">
        <f ca="1">SUMPRODUCT((Work_Codes!$AC$393:$AO$393=$E715)*(Work_Codes!$AC$396:$AO$397)*(T$612:T$613))</f>
        <v>0</v>
      </c>
    </row>
    <row r="716" spans="5:20" ht="12" customHeight="1" outlineLevel="2">
      <c r="E716" s="247" t="str">
        <f>GC!C71</f>
        <v>Gas Extensions - Other</v>
      </c>
      <c r="F716" s="247"/>
      <c r="G716" s="247"/>
      <c r="H716" s="247"/>
      <c r="I716" s="247"/>
      <c r="J716" s="81">
        <f ca="1">SUMPRODUCT((Work_Codes!$AC$393:$AO$393=$E716)*(Work_Codes!$AC$396:$AO$397)*(J$612:J$613))</f>
        <v>0</v>
      </c>
      <c r="K716" s="81">
        <f ca="1">SUMPRODUCT((Work_Codes!$AC$393:$AO$393=$E716)*(Work_Codes!$AC$396:$AO$397)*(K$612:K$613))</f>
        <v>0</v>
      </c>
      <c r="L716" s="81">
        <f ca="1">SUMPRODUCT((Work_Codes!$AC$393:$AO$393=$E716)*(Work_Codes!$AC$396:$AO$397)*(L$612:L$613))</f>
        <v>0</v>
      </c>
      <c r="M716" s="81">
        <f ca="1">SUMPRODUCT((Work_Codes!$AC$393:$AO$393=$E716)*(Work_Codes!$AC$396:$AO$397)*(M$612:M$613))</f>
        <v>0</v>
      </c>
      <c r="N716" s="81">
        <f ca="1">SUMPRODUCT((Work_Codes!$AC$393:$AO$393=$E716)*(Work_Codes!$AC$396:$AO$397)*(N$612:N$613))</f>
        <v>0</v>
      </c>
      <c r="O716" s="81">
        <f ca="1">SUMPRODUCT((Work_Codes!$AC$393:$AO$393=$E716)*(Work_Codes!$AC$396:$AO$397)*(O$612:O$613))</f>
        <v>0</v>
      </c>
      <c r="P716" s="81">
        <f ca="1">SUMPRODUCT((Work_Codes!$AC$393:$AO$393=$E716)*(Work_Codes!$AC$396:$AO$397)*(P$612:P$613))</f>
        <v>0</v>
      </c>
      <c r="Q716" s="81">
        <f ca="1">SUMPRODUCT((Work_Codes!$AC$393:$AO$393=$E716)*(Work_Codes!$AC$396:$AO$397)*(Q$612:Q$613))</f>
        <v>0</v>
      </c>
      <c r="R716" s="81">
        <f ca="1">SUMPRODUCT((Work_Codes!$AC$393:$AO$393=$E716)*(Work_Codes!$AC$396:$AO$397)*(R$612:R$613))</f>
        <v>0</v>
      </c>
      <c r="S716" s="81">
        <f ca="1">SUMPRODUCT((Work_Codes!$AC$393:$AO$393=$E716)*(Work_Codes!$AC$396:$AO$397)*(S$612:S$613))</f>
        <v>0</v>
      </c>
      <c r="T716" s="81">
        <f ca="1">SUMPRODUCT((Work_Codes!$AC$393:$AO$393=$E716)*(Work_Codes!$AC$396:$AO$397)*(T$612:T$613))</f>
        <v>0</v>
      </c>
    </row>
    <row r="717" spans="5:20" ht="12" customHeight="1" outlineLevel="2">
      <c r="E717" s="247" t="str">
        <f>GC!C72</f>
        <v>Customer contributions</v>
      </c>
      <c r="F717" s="247"/>
      <c r="G717" s="247"/>
      <c r="H717" s="247"/>
      <c r="I717" s="247"/>
      <c r="J717" s="81">
        <f ca="1">SUMPRODUCT((Work_Codes!$AC$393:$AO$393=$E717)*(Work_Codes!$AC$396:$AO$397)*(J$612:J$613))</f>
        <v>0</v>
      </c>
      <c r="K717" s="81">
        <f ca="1">SUMPRODUCT((Work_Codes!$AC$393:$AO$393=$E717)*(Work_Codes!$AC$396:$AO$397)*(K$612:K$613))</f>
        <v>0</v>
      </c>
      <c r="L717" s="81">
        <f ca="1">SUMPRODUCT((Work_Codes!$AC$393:$AO$393=$E717)*(Work_Codes!$AC$396:$AO$397)*(L$612:L$613))</f>
        <v>0</v>
      </c>
      <c r="M717" s="81">
        <f ca="1">SUMPRODUCT((Work_Codes!$AC$393:$AO$393=$E717)*(Work_Codes!$AC$396:$AO$397)*(M$612:M$613))</f>
        <v>0</v>
      </c>
      <c r="N717" s="81">
        <f ca="1">SUMPRODUCT((Work_Codes!$AC$393:$AO$393=$E717)*(Work_Codes!$AC$396:$AO$397)*(N$612:N$613))</f>
        <v>0</v>
      </c>
      <c r="O717" s="81">
        <f ca="1">SUMPRODUCT((Work_Codes!$AC$393:$AO$393=$E717)*(Work_Codes!$AC$396:$AO$397)*(O$612:O$613))</f>
        <v>0</v>
      </c>
      <c r="P717" s="81">
        <f ca="1">SUMPRODUCT((Work_Codes!$AC$393:$AO$393=$E717)*(Work_Codes!$AC$396:$AO$397)*(P$612:P$613))</f>
        <v>0</v>
      </c>
      <c r="Q717" s="81">
        <f ca="1">SUMPRODUCT((Work_Codes!$AC$393:$AO$393=$E717)*(Work_Codes!$AC$396:$AO$397)*(Q$612:Q$613))</f>
        <v>0</v>
      </c>
      <c r="R717" s="81">
        <f ca="1">SUMPRODUCT((Work_Codes!$AC$393:$AO$393=$E717)*(Work_Codes!$AC$396:$AO$397)*(R$612:R$613))</f>
        <v>0</v>
      </c>
      <c r="S717" s="81">
        <f ca="1">SUMPRODUCT((Work_Codes!$AC$393:$AO$393=$E717)*(Work_Codes!$AC$396:$AO$397)*(S$612:S$613))</f>
        <v>0</v>
      </c>
      <c r="T717" s="81">
        <f ca="1">SUMPRODUCT((Work_Codes!$AC$393:$AO$393=$E717)*(Work_Codes!$AC$396:$AO$397)*(T$612:T$613))</f>
        <v>0</v>
      </c>
    </row>
    <row r="718" spans="5:20" ht="12" customHeight="1" outlineLevel="2">
      <c r="E718" s="247" t="str">
        <f>GC!C73</f>
        <v>Government contributions</v>
      </c>
      <c r="F718" s="247"/>
      <c r="G718" s="247"/>
      <c r="H718" s="247"/>
      <c r="I718" s="247"/>
      <c r="J718" s="81">
        <f ca="1">SUMPRODUCT((Work_Codes!$AC$393:$AO$393=$E718)*(Work_Codes!$AC$396:$AO$397)*(J$612:J$613))</f>
        <v>0</v>
      </c>
      <c r="K718" s="81">
        <f ca="1">SUMPRODUCT((Work_Codes!$AC$393:$AO$393=$E718)*(Work_Codes!$AC$396:$AO$397)*(K$612:K$613))</f>
        <v>0</v>
      </c>
      <c r="L718" s="81">
        <f ca="1">SUMPRODUCT((Work_Codes!$AC$393:$AO$393=$E718)*(Work_Codes!$AC$396:$AO$397)*(L$612:L$613))</f>
        <v>0</v>
      </c>
      <c r="M718" s="81">
        <f ca="1">SUMPRODUCT((Work_Codes!$AC$393:$AO$393=$E718)*(Work_Codes!$AC$396:$AO$397)*(M$612:M$613))</f>
        <v>0</v>
      </c>
      <c r="N718" s="81">
        <f ca="1">SUMPRODUCT((Work_Codes!$AC$393:$AO$393=$E718)*(Work_Codes!$AC$396:$AO$397)*(N$612:N$613))</f>
        <v>0</v>
      </c>
      <c r="O718" s="81">
        <f ca="1">SUMPRODUCT((Work_Codes!$AC$393:$AO$393=$E718)*(Work_Codes!$AC$396:$AO$397)*(O$612:O$613))</f>
        <v>0</v>
      </c>
      <c r="P718" s="81">
        <f ca="1">SUMPRODUCT((Work_Codes!$AC$393:$AO$393=$E718)*(Work_Codes!$AC$396:$AO$397)*(P$612:P$613))</f>
        <v>0</v>
      </c>
      <c r="Q718" s="81">
        <f ca="1">SUMPRODUCT((Work_Codes!$AC$393:$AO$393=$E718)*(Work_Codes!$AC$396:$AO$397)*(Q$612:Q$613))</f>
        <v>0</v>
      </c>
      <c r="R718" s="81">
        <f ca="1">SUMPRODUCT((Work_Codes!$AC$393:$AO$393=$E718)*(Work_Codes!$AC$396:$AO$397)*(R$612:R$613))</f>
        <v>0</v>
      </c>
      <c r="S718" s="81">
        <f ca="1">SUMPRODUCT((Work_Codes!$AC$393:$AO$393=$E718)*(Work_Codes!$AC$396:$AO$397)*(S$612:S$613))</f>
        <v>0</v>
      </c>
      <c r="T718" s="81">
        <f ca="1">SUMPRODUCT((Work_Codes!$AC$393:$AO$393=$E718)*(Work_Codes!$AC$396:$AO$397)*(T$612:T$613))</f>
        <v>0</v>
      </c>
    </row>
    <row r="719" spans="5:20" ht="12" customHeight="1" outlineLevel="2">
      <c r="E719" s="249" t="str">
        <f>"Total "&amp;D703</f>
        <v>Total Direct Costs</v>
      </c>
      <c r="F719" s="249"/>
      <c r="G719" s="249"/>
      <c r="H719" s="249"/>
      <c r="I719" s="249"/>
      <c r="J719" s="82">
        <f t="shared" ref="J719:T719" ca="1" si="68">SUM(J705:J718)</f>
        <v>0</v>
      </c>
      <c r="K719" s="82">
        <f t="shared" ca="1" si="68"/>
        <v>0</v>
      </c>
      <c r="L719" s="82">
        <f t="shared" ca="1" si="68"/>
        <v>0</v>
      </c>
      <c r="M719" s="82">
        <f t="shared" ca="1" si="68"/>
        <v>0</v>
      </c>
      <c r="N719" s="82">
        <f t="shared" ca="1" si="68"/>
        <v>802199.70711525122</v>
      </c>
      <c r="O719" s="82">
        <f t="shared" ca="1" si="68"/>
        <v>835608.97432704398</v>
      </c>
      <c r="P719" s="82">
        <f t="shared" ca="1" si="68"/>
        <v>1600294.7238877779</v>
      </c>
      <c r="Q719" s="82">
        <f t="shared" ca="1" si="68"/>
        <v>1626018.3188482048</v>
      </c>
      <c r="R719" s="82">
        <f t="shared" ca="1" si="68"/>
        <v>1651371.8151533026</v>
      </c>
      <c r="S719" s="82">
        <f t="shared" ca="1" si="68"/>
        <v>1631088.6295619586</v>
      </c>
      <c r="T719" s="82">
        <f t="shared" ca="1" si="68"/>
        <v>1610003.275658139</v>
      </c>
    </row>
    <row r="720" spans="5:20" outlineLevel="2"/>
    <row r="721" spans="4:20" outlineLevel="2">
      <c r="D721" s="37" t="s">
        <v>216</v>
      </c>
    </row>
    <row r="722" spans="4:20" ht="5.9" customHeight="1" outlineLevel="2"/>
    <row r="723" spans="4:20" ht="12" customHeight="1" outlineLevel="2">
      <c r="E723" s="247" t="str">
        <f>GC!C60</f>
        <v>Mains replacement</v>
      </c>
      <c r="F723" s="247"/>
      <c r="G723" s="247"/>
      <c r="H723" s="247"/>
      <c r="I723" s="247"/>
      <c r="J723" s="81">
        <f ca="1">J705*(1+INDEX(J$551:J$553,MATCH(Work_Codes!$I$390,$D$551:$D$553,0)))</f>
        <v>0</v>
      </c>
      <c r="K723" s="81">
        <f ca="1">K705*(1+INDEX(K$551:K$553,MATCH(Work_Codes!$I$390,$D$551:$D$553,0)))</f>
        <v>0</v>
      </c>
      <c r="L723" s="81">
        <f ca="1">L705*(1+INDEX(L$551:L$553,MATCH(Work_Codes!$I$390,$D$551:$D$553,0)))</f>
        <v>0</v>
      </c>
      <c r="M723" s="81">
        <f ca="1">M705*(1+INDEX(M$551:M$553,MATCH(Work_Codes!$I$390,$D$551:$D$553,0)))</f>
        <v>0</v>
      </c>
      <c r="N723" s="81">
        <f ca="1">N705*(1+INDEX(N$551:N$553,MATCH(Work_Codes!$I$390,$D$551:$D$553,0)))</f>
        <v>0</v>
      </c>
      <c r="O723" s="81">
        <f ca="1">O705*(1+INDEX(O$551:O$553,MATCH(Work_Codes!$I$390,$D$551:$D$553,0)))</f>
        <v>0</v>
      </c>
      <c r="P723" s="81">
        <f ca="1">P705*(1+INDEX(P$551:P$553,MATCH(Work_Codes!$I$390,$D$551:$D$553,0)))</f>
        <v>0</v>
      </c>
      <c r="Q723" s="81">
        <f ca="1">Q705*(1+INDEX(Q$551:Q$553,MATCH(Work_Codes!$I$390,$D$551:$D$553,0)))</f>
        <v>0</v>
      </c>
      <c r="R723" s="81">
        <f ca="1">R705*(1+INDEX(R$551:R$553,MATCH(Work_Codes!$I$390,$D$551:$D$553,0)))</f>
        <v>0</v>
      </c>
      <c r="S723" s="81">
        <f ca="1">S705*(1+INDEX(S$551:S$553,MATCH(Work_Codes!$I$390,$D$551:$D$553,0)))</f>
        <v>0</v>
      </c>
      <c r="T723" s="81">
        <f ca="1">T705*(1+INDEX(T$551:T$553,MATCH(Work_Codes!$I$390,$D$551:$D$553,0)))</f>
        <v>0</v>
      </c>
    </row>
    <row r="724" spans="4:20" ht="12" customHeight="1" outlineLevel="2">
      <c r="E724" s="247" t="str">
        <f>GC!C61</f>
        <v>Residential new customer connections</v>
      </c>
      <c r="F724" s="247"/>
      <c r="G724" s="247"/>
      <c r="H724" s="247"/>
      <c r="I724" s="247"/>
      <c r="J724" s="81">
        <f ca="1">J706*(1+INDEX(J$551:J$553,MATCH(Work_Codes!$I$390,$D$551:$D$553,0)))</f>
        <v>0</v>
      </c>
      <c r="K724" s="81">
        <f ca="1">K706*(1+INDEX(K$551:K$553,MATCH(Work_Codes!$I$390,$D$551:$D$553,0)))</f>
        <v>0</v>
      </c>
      <c r="L724" s="81">
        <f ca="1">L706*(1+INDEX(L$551:L$553,MATCH(Work_Codes!$I$390,$D$551:$D$553,0)))</f>
        <v>0</v>
      </c>
      <c r="M724" s="81">
        <f ca="1">M706*(1+INDEX(M$551:M$553,MATCH(Work_Codes!$I$390,$D$551:$D$553,0)))</f>
        <v>0</v>
      </c>
      <c r="N724" s="81">
        <f ca="1">N706*(1+INDEX(N$551:N$553,MATCH(Work_Codes!$I$390,$D$551:$D$553,0)))</f>
        <v>0</v>
      </c>
      <c r="O724" s="81">
        <f ca="1">O706*(1+INDEX(O$551:O$553,MATCH(Work_Codes!$I$390,$D$551:$D$553,0)))</f>
        <v>0</v>
      </c>
      <c r="P724" s="81">
        <f ca="1">P706*(1+INDEX(P$551:P$553,MATCH(Work_Codes!$I$390,$D$551:$D$553,0)))</f>
        <v>0</v>
      </c>
      <c r="Q724" s="81">
        <f ca="1">Q706*(1+INDEX(Q$551:Q$553,MATCH(Work_Codes!$I$390,$D$551:$D$553,0)))</f>
        <v>0</v>
      </c>
      <c r="R724" s="81">
        <f ca="1">R706*(1+INDEX(R$551:R$553,MATCH(Work_Codes!$I$390,$D$551:$D$553,0)))</f>
        <v>0</v>
      </c>
      <c r="S724" s="81">
        <f ca="1">S706*(1+INDEX(S$551:S$553,MATCH(Work_Codes!$I$390,$D$551:$D$553,0)))</f>
        <v>0</v>
      </c>
      <c r="T724" s="81">
        <f ca="1">T706*(1+INDEX(T$551:T$553,MATCH(Work_Codes!$I$390,$D$551:$D$553,0)))</f>
        <v>0</v>
      </c>
    </row>
    <row r="725" spans="4:20" ht="12" customHeight="1" outlineLevel="2">
      <c r="E725" s="247" t="str">
        <f>GC!C62</f>
        <v>Commercial and industrial new customer connections</v>
      </c>
      <c r="F725" s="247"/>
      <c r="G725" s="247"/>
      <c r="H725" s="247"/>
      <c r="I725" s="247"/>
      <c r="J725" s="81">
        <f ca="1">J707*(1+INDEX(J$551:J$553,MATCH(Work_Codes!$I$390,$D$551:$D$553,0)))</f>
        <v>0</v>
      </c>
      <c r="K725" s="81">
        <f ca="1">K707*(1+INDEX(K$551:K$553,MATCH(Work_Codes!$I$390,$D$551:$D$553,0)))</f>
        <v>0</v>
      </c>
      <c r="L725" s="81">
        <f ca="1">L707*(1+INDEX(L$551:L$553,MATCH(Work_Codes!$I$390,$D$551:$D$553,0)))</f>
        <v>0</v>
      </c>
      <c r="M725" s="81">
        <f ca="1">M707*(1+INDEX(M$551:M$553,MATCH(Work_Codes!$I$390,$D$551:$D$553,0)))</f>
        <v>0</v>
      </c>
      <c r="N725" s="81">
        <f ca="1">N707*(1+INDEX(N$551:N$553,MATCH(Work_Codes!$I$390,$D$551:$D$553,0)))</f>
        <v>832451.46619286435</v>
      </c>
      <c r="O725" s="81">
        <f ca="1">O707*(1+INDEX(O$551:O$553,MATCH(Work_Codes!$I$390,$D$551:$D$553,0)))</f>
        <v>863421.35757038067</v>
      </c>
      <c r="P725" s="81">
        <f ca="1">P707*(1+INDEX(P$551:P$553,MATCH(Work_Codes!$I$390,$D$551:$D$553,0)))</f>
        <v>1643106.8653574055</v>
      </c>
      <c r="Q725" s="81">
        <f ca="1">Q707*(1+INDEX(Q$551:Q$553,MATCH(Work_Codes!$I$390,$D$551:$D$553,0)))</f>
        <v>1668393.3112776126</v>
      </c>
      <c r="R725" s="81">
        <f ca="1">R707*(1+INDEX(R$551:R$553,MATCH(Work_Codes!$I$390,$D$551:$D$553,0)))</f>
        <v>1695749.1398296501</v>
      </c>
      <c r="S725" s="81">
        <f ca="1">S707*(1+INDEX(S$551:S$553,MATCH(Work_Codes!$I$390,$D$551:$D$553,0)))</f>
        <v>1677649.9774290302</v>
      </c>
      <c r="T725" s="81">
        <f ca="1">T707*(1+INDEX(T$551:T$553,MATCH(Work_Codes!$I$390,$D$551:$D$553,0)))</f>
        <v>1658175.1825750046</v>
      </c>
    </row>
    <row r="726" spans="4:20" ht="12" customHeight="1" outlineLevel="2">
      <c r="E726" s="247" t="str">
        <f>GC!C63</f>
        <v>Residential meter replacement</v>
      </c>
      <c r="F726" s="247"/>
      <c r="G726" s="247"/>
      <c r="H726" s="247"/>
      <c r="I726" s="247"/>
      <c r="J726" s="81">
        <f ca="1">J708*(1+INDEX(J$551:J$553,MATCH(Work_Codes!$I$390,$D$551:$D$553,0)))</f>
        <v>0</v>
      </c>
      <c r="K726" s="81">
        <f ca="1">K708*(1+INDEX(K$551:K$553,MATCH(Work_Codes!$I$390,$D$551:$D$553,0)))</f>
        <v>0</v>
      </c>
      <c r="L726" s="81">
        <f ca="1">L708*(1+INDEX(L$551:L$553,MATCH(Work_Codes!$I$390,$D$551:$D$553,0)))</f>
        <v>0</v>
      </c>
      <c r="M726" s="81">
        <f ca="1">M708*(1+INDEX(M$551:M$553,MATCH(Work_Codes!$I$390,$D$551:$D$553,0)))</f>
        <v>0</v>
      </c>
      <c r="N726" s="81">
        <f ca="1">N708*(1+INDEX(N$551:N$553,MATCH(Work_Codes!$I$390,$D$551:$D$553,0)))</f>
        <v>0</v>
      </c>
      <c r="O726" s="81">
        <f ca="1">O708*(1+INDEX(O$551:O$553,MATCH(Work_Codes!$I$390,$D$551:$D$553,0)))</f>
        <v>0</v>
      </c>
      <c r="P726" s="81">
        <f ca="1">P708*(1+INDEX(P$551:P$553,MATCH(Work_Codes!$I$390,$D$551:$D$553,0)))</f>
        <v>0</v>
      </c>
      <c r="Q726" s="81">
        <f ca="1">Q708*(1+INDEX(Q$551:Q$553,MATCH(Work_Codes!$I$390,$D$551:$D$553,0)))</f>
        <v>0</v>
      </c>
      <c r="R726" s="81">
        <f ca="1">R708*(1+INDEX(R$551:R$553,MATCH(Work_Codes!$I$390,$D$551:$D$553,0)))</f>
        <v>0</v>
      </c>
      <c r="S726" s="81">
        <f ca="1">S708*(1+INDEX(S$551:S$553,MATCH(Work_Codes!$I$390,$D$551:$D$553,0)))</f>
        <v>0</v>
      </c>
      <c r="T726" s="81">
        <f ca="1">T708*(1+INDEX(T$551:T$553,MATCH(Work_Codes!$I$390,$D$551:$D$553,0)))</f>
        <v>0</v>
      </c>
    </row>
    <row r="727" spans="4:20" ht="12" customHeight="1" outlineLevel="2">
      <c r="E727" s="247" t="str">
        <f>GC!C64</f>
        <v>Commercial and industrial meter replacement</v>
      </c>
      <c r="F727" s="247"/>
      <c r="G727" s="247"/>
      <c r="H727" s="247"/>
      <c r="I727" s="247"/>
      <c r="J727" s="81">
        <f ca="1">J709*(1+INDEX(J$551:J$553,MATCH(Work_Codes!$I$390,$D$551:$D$553,0)))</f>
        <v>0</v>
      </c>
      <c r="K727" s="81">
        <f ca="1">K709*(1+INDEX(K$551:K$553,MATCH(Work_Codes!$I$390,$D$551:$D$553,0)))</f>
        <v>0</v>
      </c>
      <c r="L727" s="81">
        <f ca="1">L709*(1+INDEX(L$551:L$553,MATCH(Work_Codes!$I$390,$D$551:$D$553,0)))</f>
        <v>0</v>
      </c>
      <c r="M727" s="81">
        <f ca="1">M709*(1+INDEX(M$551:M$553,MATCH(Work_Codes!$I$390,$D$551:$D$553,0)))</f>
        <v>0</v>
      </c>
      <c r="N727" s="81">
        <f ca="1">N709*(1+INDEX(N$551:N$553,MATCH(Work_Codes!$I$390,$D$551:$D$553,0)))</f>
        <v>0</v>
      </c>
      <c r="O727" s="81">
        <f ca="1">O709*(1+INDEX(O$551:O$553,MATCH(Work_Codes!$I$390,$D$551:$D$553,0)))</f>
        <v>0</v>
      </c>
      <c r="P727" s="81">
        <f ca="1">P709*(1+INDEX(P$551:P$553,MATCH(Work_Codes!$I$390,$D$551:$D$553,0)))</f>
        <v>0</v>
      </c>
      <c r="Q727" s="81">
        <f ca="1">Q709*(1+INDEX(Q$551:Q$553,MATCH(Work_Codes!$I$390,$D$551:$D$553,0)))</f>
        <v>0</v>
      </c>
      <c r="R727" s="81">
        <f ca="1">R709*(1+INDEX(R$551:R$553,MATCH(Work_Codes!$I$390,$D$551:$D$553,0)))</f>
        <v>0</v>
      </c>
      <c r="S727" s="81">
        <f ca="1">S709*(1+INDEX(S$551:S$553,MATCH(Work_Codes!$I$390,$D$551:$D$553,0)))</f>
        <v>0</v>
      </c>
      <c r="T727" s="81">
        <f ca="1">T709*(1+INDEX(T$551:T$553,MATCH(Work_Codes!$I$390,$D$551:$D$553,0)))</f>
        <v>0</v>
      </c>
    </row>
    <row r="728" spans="4:20" ht="12" customHeight="1" outlineLevel="2">
      <c r="E728" s="247" t="str">
        <f>GC!C65</f>
        <v>Augmentation</v>
      </c>
      <c r="F728" s="247"/>
      <c r="G728" s="247"/>
      <c r="H728" s="247"/>
      <c r="I728" s="247"/>
      <c r="J728" s="81">
        <f ca="1">J710*(1+INDEX(J$551:J$553,MATCH(Work_Codes!$I$390,$D$551:$D$553,0)))</f>
        <v>0</v>
      </c>
      <c r="K728" s="81">
        <f ca="1">K710*(1+INDEX(K$551:K$553,MATCH(Work_Codes!$I$390,$D$551:$D$553,0)))</f>
        <v>0</v>
      </c>
      <c r="L728" s="81">
        <f ca="1">L710*(1+INDEX(L$551:L$553,MATCH(Work_Codes!$I$390,$D$551:$D$553,0)))</f>
        <v>0</v>
      </c>
      <c r="M728" s="81">
        <f ca="1">M710*(1+INDEX(M$551:M$553,MATCH(Work_Codes!$I$390,$D$551:$D$553,0)))</f>
        <v>0</v>
      </c>
      <c r="N728" s="81">
        <f ca="1">N710*(1+INDEX(N$551:N$553,MATCH(Work_Codes!$I$390,$D$551:$D$553,0)))</f>
        <v>0</v>
      </c>
      <c r="O728" s="81">
        <f ca="1">O710*(1+INDEX(O$551:O$553,MATCH(Work_Codes!$I$390,$D$551:$D$553,0)))</f>
        <v>0</v>
      </c>
      <c r="P728" s="81">
        <f ca="1">P710*(1+INDEX(P$551:P$553,MATCH(Work_Codes!$I$390,$D$551:$D$553,0)))</f>
        <v>0</v>
      </c>
      <c r="Q728" s="81">
        <f ca="1">Q710*(1+INDEX(Q$551:Q$553,MATCH(Work_Codes!$I$390,$D$551:$D$553,0)))</f>
        <v>0</v>
      </c>
      <c r="R728" s="81">
        <f ca="1">R710*(1+INDEX(R$551:R$553,MATCH(Work_Codes!$I$390,$D$551:$D$553,0)))</f>
        <v>0</v>
      </c>
      <c r="S728" s="81">
        <f ca="1">S710*(1+INDEX(S$551:S$553,MATCH(Work_Codes!$I$390,$D$551:$D$553,0)))</f>
        <v>0</v>
      </c>
      <c r="T728" s="81">
        <f ca="1">T710*(1+INDEX(T$551:T$553,MATCH(Work_Codes!$I$390,$D$551:$D$553,0)))</f>
        <v>0</v>
      </c>
    </row>
    <row r="729" spans="4:20" ht="12" customHeight="1" outlineLevel="2">
      <c r="E729" s="247" t="str">
        <f>GC!C66</f>
        <v>IT capex</v>
      </c>
      <c r="F729" s="247"/>
      <c r="G729" s="247"/>
      <c r="H729" s="247"/>
      <c r="I729" s="247"/>
      <c r="J729" s="81">
        <f ca="1">J711*(1+INDEX(J$551:J$553,MATCH(Work_Codes!$I$390,$D$551:$D$553,0)))</f>
        <v>0</v>
      </c>
      <c r="K729" s="81">
        <f ca="1">K711*(1+INDEX(K$551:K$553,MATCH(Work_Codes!$I$390,$D$551:$D$553,0)))</f>
        <v>0</v>
      </c>
      <c r="L729" s="81">
        <f ca="1">L711*(1+INDEX(L$551:L$553,MATCH(Work_Codes!$I$390,$D$551:$D$553,0)))</f>
        <v>0</v>
      </c>
      <c r="M729" s="81">
        <f ca="1">M711*(1+INDEX(M$551:M$553,MATCH(Work_Codes!$I$390,$D$551:$D$553,0)))</f>
        <v>0</v>
      </c>
      <c r="N729" s="81">
        <f ca="1">N711*(1+INDEX(N$551:N$553,MATCH(Work_Codes!$I$390,$D$551:$D$553,0)))</f>
        <v>0</v>
      </c>
      <c r="O729" s="81">
        <f ca="1">O711*(1+INDEX(O$551:O$553,MATCH(Work_Codes!$I$390,$D$551:$D$553,0)))</f>
        <v>0</v>
      </c>
      <c r="P729" s="81">
        <f ca="1">P711*(1+INDEX(P$551:P$553,MATCH(Work_Codes!$I$390,$D$551:$D$553,0)))</f>
        <v>0</v>
      </c>
      <c r="Q729" s="81">
        <f ca="1">Q711*(1+INDEX(Q$551:Q$553,MATCH(Work_Codes!$I$390,$D$551:$D$553,0)))</f>
        <v>0</v>
      </c>
      <c r="R729" s="81">
        <f ca="1">R711*(1+INDEX(R$551:R$553,MATCH(Work_Codes!$I$390,$D$551:$D$553,0)))</f>
        <v>0</v>
      </c>
      <c r="S729" s="81">
        <f ca="1">S711*(1+INDEX(S$551:S$553,MATCH(Work_Codes!$I$390,$D$551:$D$553,0)))</f>
        <v>0</v>
      </c>
      <c r="T729" s="81">
        <f ca="1">T711*(1+INDEX(T$551:T$553,MATCH(Work_Codes!$I$390,$D$551:$D$553,0)))</f>
        <v>0</v>
      </c>
    </row>
    <row r="730" spans="4:20" ht="12" customHeight="1" outlineLevel="2">
      <c r="E730" s="247" t="str">
        <f>GC!C67</f>
        <v>SCADA</v>
      </c>
      <c r="F730" s="247"/>
      <c r="G730" s="247"/>
      <c r="H730" s="247"/>
      <c r="I730" s="247"/>
      <c r="J730" s="81">
        <f ca="1">J712*(1+INDEX(J$551:J$553,MATCH(Work_Codes!$I$390,$D$551:$D$553,0)))</f>
        <v>0</v>
      </c>
      <c r="K730" s="81">
        <f ca="1">K712*(1+INDEX(K$551:K$553,MATCH(Work_Codes!$I$390,$D$551:$D$553,0)))</f>
        <v>0</v>
      </c>
      <c r="L730" s="81">
        <f ca="1">L712*(1+INDEX(L$551:L$553,MATCH(Work_Codes!$I$390,$D$551:$D$553,0)))</f>
        <v>0</v>
      </c>
      <c r="M730" s="81">
        <f ca="1">M712*(1+INDEX(M$551:M$553,MATCH(Work_Codes!$I$390,$D$551:$D$553,0)))</f>
        <v>0</v>
      </c>
      <c r="N730" s="81">
        <f ca="1">N712*(1+INDEX(N$551:N$553,MATCH(Work_Codes!$I$390,$D$551:$D$553,0)))</f>
        <v>0</v>
      </c>
      <c r="O730" s="81">
        <f ca="1">O712*(1+INDEX(O$551:O$553,MATCH(Work_Codes!$I$390,$D$551:$D$553,0)))</f>
        <v>0</v>
      </c>
      <c r="P730" s="81">
        <f ca="1">P712*(1+INDEX(P$551:P$553,MATCH(Work_Codes!$I$390,$D$551:$D$553,0)))</f>
        <v>0</v>
      </c>
      <c r="Q730" s="81">
        <f ca="1">Q712*(1+INDEX(Q$551:Q$553,MATCH(Work_Codes!$I$390,$D$551:$D$553,0)))</f>
        <v>0</v>
      </c>
      <c r="R730" s="81">
        <f ca="1">R712*(1+INDEX(R$551:R$553,MATCH(Work_Codes!$I$390,$D$551:$D$553,0)))</f>
        <v>0</v>
      </c>
      <c r="S730" s="81">
        <f ca="1">S712*(1+INDEX(S$551:S$553,MATCH(Work_Codes!$I$390,$D$551:$D$553,0)))</f>
        <v>0</v>
      </c>
      <c r="T730" s="81">
        <f ca="1">T712*(1+INDEX(T$551:T$553,MATCH(Work_Codes!$I$390,$D$551:$D$553,0)))</f>
        <v>0</v>
      </c>
    </row>
    <row r="731" spans="4:20" ht="12" customHeight="1" outlineLevel="2">
      <c r="E731" s="247" t="str">
        <f>GC!C68</f>
        <v>Other</v>
      </c>
      <c r="F731" s="247"/>
      <c r="G731" s="247"/>
      <c r="H731" s="247"/>
      <c r="I731" s="247"/>
      <c r="J731" s="81">
        <f ca="1">J713*(1+INDEX(J$551:J$553,MATCH(Work_Codes!$I$390,$D$551:$D$553,0)))</f>
        <v>0</v>
      </c>
      <c r="K731" s="81">
        <f ca="1">K713*(1+INDEX(K$551:K$553,MATCH(Work_Codes!$I$390,$D$551:$D$553,0)))</f>
        <v>0</v>
      </c>
      <c r="L731" s="81">
        <f ca="1">L713*(1+INDEX(L$551:L$553,MATCH(Work_Codes!$I$390,$D$551:$D$553,0)))</f>
        <v>0</v>
      </c>
      <c r="M731" s="81">
        <f ca="1">M713*(1+INDEX(M$551:M$553,MATCH(Work_Codes!$I$390,$D$551:$D$553,0)))</f>
        <v>0</v>
      </c>
      <c r="N731" s="81">
        <f ca="1">N713*(1+INDEX(N$551:N$553,MATCH(Work_Codes!$I$390,$D$551:$D$553,0)))</f>
        <v>0</v>
      </c>
      <c r="O731" s="81">
        <f ca="1">O713*(1+INDEX(O$551:O$553,MATCH(Work_Codes!$I$390,$D$551:$D$553,0)))</f>
        <v>0</v>
      </c>
      <c r="P731" s="81">
        <f ca="1">P713*(1+INDEX(P$551:P$553,MATCH(Work_Codes!$I$390,$D$551:$D$553,0)))</f>
        <v>0</v>
      </c>
      <c r="Q731" s="81">
        <f ca="1">Q713*(1+INDEX(Q$551:Q$553,MATCH(Work_Codes!$I$390,$D$551:$D$553,0)))</f>
        <v>0</v>
      </c>
      <c r="R731" s="81">
        <f ca="1">R713*(1+INDEX(R$551:R$553,MATCH(Work_Codes!$I$390,$D$551:$D$553,0)))</f>
        <v>0</v>
      </c>
      <c r="S731" s="81">
        <f ca="1">S713*(1+INDEX(S$551:S$553,MATCH(Work_Codes!$I$390,$D$551:$D$553,0)))</f>
        <v>0</v>
      </c>
      <c r="T731" s="81">
        <f ca="1">T713*(1+INDEX(T$551:T$553,MATCH(Work_Codes!$I$390,$D$551:$D$553,0)))</f>
        <v>0</v>
      </c>
    </row>
    <row r="732" spans="4:20" outlineLevel="2">
      <c r="E732" s="247" t="str">
        <f>GC!C69</f>
        <v>Capitalised Leases</v>
      </c>
      <c r="F732" s="247"/>
      <c r="G732" s="247"/>
      <c r="H732" s="247"/>
      <c r="I732" s="247"/>
      <c r="J732" s="81">
        <f ca="1">J714*(1+INDEX(J$551:J$553,MATCH(Work_Codes!$I$390,$D$551:$D$553,0)))</f>
        <v>0</v>
      </c>
      <c r="K732" s="81">
        <f ca="1">K714*(1+INDEX(K$551:K$553,MATCH(Work_Codes!$I$390,$D$551:$D$553,0)))</f>
        <v>0</v>
      </c>
      <c r="L732" s="81">
        <f ca="1">L714*(1+INDEX(L$551:L$553,MATCH(Work_Codes!$I$390,$D$551:$D$553,0)))</f>
        <v>0</v>
      </c>
      <c r="M732" s="81">
        <f ca="1">M714*(1+INDEX(M$551:M$553,MATCH(Work_Codes!$I$390,$D$551:$D$553,0)))</f>
        <v>0</v>
      </c>
      <c r="N732" s="81">
        <f ca="1">N714*(1+INDEX(N$551:N$553,MATCH(Work_Codes!$I$390,$D$551:$D$553,0)))</f>
        <v>0</v>
      </c>
      <c r="O732" s="81">
        <f ca="1">O714*(1+INDEX(O$551:O$553,MATCH(Work_Codes!$I$390,$D$551:$D$553,0)))</f>
        <v>0</v>
      </c>
      <c r="P732" s="81">
        <f ca="1">P714*(1+INDEX(P$551:P$553,MATCH(Work_Codes!$I$390,$D$551:$D$553,0)))</f>
        <v>0</v>
      </c>
      <c r="Q732" s="81">
        <f ca="1">Q714*(1+INDEX(Q$551:Q$553,MATCH(Work_Codes!$I$390,$D$551:$D$553,0)))</f>
        <v>0</v>
      </c>
      <c r="R732" s="81">
        <f ca="1">R714*(1+INDEX(R$551:R$553,MATCH(Work_Codes!$I$390,$D$551:$D$553,0)))</f>
        <v>0</v>
      </c>
      <c r="S732" s="81">
        <f ca="1">S714*(1+INDEX(S$551:S$553,MATCH(Work_Codes!$I$390,$D$551:$D$553,0)))</f>
        <v>0</v>
      </c>
      <c r="T732" s="81">
        <f ca="1">T714*(1+INDEX(T$551:T$553,MATCH(Work_Codes!$I$390,$D$551:$D$553,0)))</f>
        <v>0</v>
      </c>
    </row>
    <row r="733" spans="4:20" ht="12" customHeight="1" outlineLevel="2">
      <c r="E733" s="247" t="str">
        <f>GC!C70</f>
        <v>Gas Extensions - Energy for the Regions</v>
      </c>
      <c r="F733" s="247"/>
      <c r="G733" s="247"/>
      <c r="H733" s="247"/>
      <c r="I733" s="247"/>
      <c r="J733" s="81">
        <f ca="1">J715*(1+INDEX(J$551:J$553,MATCH(Work_Codes!$I$390,$D$551:$D$553,0)))</f>
        <v>0</v>
      </c>
      <c r="K733" s="81">
        <f ca="1">K715*(1+INDEX(K$551:K$553,MATCH(Work_Codes!$I$390,$D$551:$D$553,0)))</f>
        <v>0</v>
      </c>
      <c r="L733" s="81">
        <f ca="1">L715*(1+INDEX(L$551:L$553,MATCH(Work_Codes!$I$390,$D$551:$D$553,0)))</f>
        <v>0</v>
      </c>
      <c r="M733" s="81">
        <f ca="1">M715*(1+INDEX(M$551:M$553,MATCH(Work_Codes!$I$390,$D$551:$D$553,0)))</f>
        <v>0</v>
      </c>
      <c r="N733" s="81">
        <f ca="1">N715*(1+INDEX(N$551:N$553,MATCH(Work_Codes!$I$390,$D$551:$D$553,0)))</f>
        <v>0</v>
      </c>
      <c r="O733" s="81">
        <f ca="1">O715*(1+INDEX(O$551:O$553,MATCH(Work_Codes!$I$390,$D$551:$D$553,0)))</f>
        <v>0</v>
      </c>
      <c r="P733" s="81">
        <f ca="1">P715*(1+INDEX(P$551:P$553,MATCH(Work_Codes!$I$390,$D$551:$D$553,0)))</f>
        <v>0</v>
      </c>
      <c r="Q733" s="81">
        <f ca="1">Q715*(1+INDEX(Q$551:Q$553,MATCH(Work_Codes!$I$390,$D$551:$D$553,0)))</f>
        <v>0</v>
      </c>
      <c r="R733" s="81">
        <f ca="1">R715*(1+INDEX(R$551:R$553,MATCH(Work_Codes!$I$390,$D$551:$D$553,0)))</f>
        <v>0</v>
      </c>
      <c r="S733" s="81">
        <f ca="1">S715*(1+INDEX(S$551:S$553,MATCH(Work_Codes!$I$390,$D$551:$D$553,0)))</f>
        <v>0</v>
      </c>
      <c r="T733" s="81">
        <f ca="1">T715*(1+INDEX(T$551:T$553,MATCH(Work_Codes!$I$390,$D$551:$D$553,0)))</f>
        <v>0</v>
      </c>
    </row>
    <row r="734" spans="4:20" ht="12" customHeight="1" outlineLevel="2">
      <c r="E734" s="247" t="str">
        <f>GC!C71</f>
        <v>Gas Extensions - Other</v>
      </c>
      <c r="F734" s="247"/>
      <c r="G734" s="247"/>
      <c r="H734" s="247"/>
      <c r="I734" s="247"/>
      <c r="J734" s="81">
        <f ca="1">J716*(1+INDEX(J$551:J$553,MATCH(Work_Codes!$I$390,$D$551:$D$553,0)))</f>
        <v>0</v>
      </c>
      <c r="K734" s="81">
        <f ca="1">K716*(1+INDEX(K$551:K$553,MATCH(Work_Codes!$I$390,$D$551:$D$553,0)))</f>
        <v>0</v>
      </c>
      <c r="L734" s="81">
        <f ca="1">L716*(1+INDEX(L$551:L$553,MATCH(Work_Codes!$I$390,$D$551:$D$553,0)))</f>
        <v>0</v>
      </c>
      <c r="M734" s="81">
        <f ca="1">M716*(1+INDEX(M$551:M$553,MATCH(Work_Codes!$I$390,$D$551:$D$553,0)))</f>
        <v>0</v>
      </c>
      <c r="N734" s="81">
        <f ca="1">N716*(1+INDEX(N$551:N$553,MATCH(Work_Codes!$I$390,$D$551:$D$553,0)))</f>
        <v>0</v>
      </c>
      <c r="O734" s="81">
        <f ca="1">O716*(1+INDEX(O$551:O$553,MATCH(Work_Codes!$I$390,$D$551:$D$553,0)))</f>
        <v>0</v>
      </c>
      <c r="P734" s="81">
        <f ca="1">P716*(1+INDEX(P$551:P$553,MATCH(Work_Codes!$I$390,$D$551:$D$553,0)))</f>
        <v>0</v>
      </c>
      <c r="Q734" s="81">
        <f ca="1">Q716*(1+INDEX(Q$551:Q$553,MATCH(Work_Codes!$I$390,$D$551:$D$553,0)))</f>
        <v>0</v>
      </c>
      <c r="R734" s="81">
        <f ca="1">R716*(1+INDEX(R$551:R$553,MATCH(Work_Codes!$I$390,$D$551:$D$553,0)))</f>
        <v>0</v>
      </c>
      <c r="S734" s="81">
        <f ca="1">S716*(1+INDEX(S$551:S$553,MATCH(Work_Codes!$I$390,$D$551:$D$553,0)))</f>
        <v>0</v>
      </c>
      <c r="T734" s="81">
        <f ca="1">T716*(1+INDEX(T$551:T$553,MATCH(Work_Codes!$I$390,$D$551:$D$553,0)))</f>
        <v>0</v>
      </c>
    </row>
    <row r="735" spans="4:20" ht="12" customHeight="1" outlineLevel="2">
      <c r="E735" s="247" t="str">
        <f>GC!C72</f>
        <v>Customer contributions</v>
      </c>
      <c r="F735" s="247"/>
      <c r="G735" s="247"/>
      <c r="H735" s="247"/>
      <c r="I735" s="247"/>
      <c r="J735" s="81">
        <f ca="1">J717*(1+INDEX(J$551:J$553,MATCH(Work_Codes!$I$390,$D$551:$D$553,0)))</f>
        <v>0</v>
      </c>
      <c r="K735" s="81">
        <f ca="1">K717*(1+INDEX(K$551:K$553,MATCH(Work_Codes!$I$390,$D$551:$D$553,0)))</f>
        <v>0</v>
      </c>
      <c r="L735" s="81">
        <f ca="1">L717*(1+INDEX(L$551:L$553,MATCH(Work_Codes!$I$390,$D$551:$D$553,0)))</f>
        <v>0</v>
      </c>
      <c r="M735" s="81">
        <f ca="1">M717*(1+INDEX(M$551:M$553,MATCH(Work_Codes!$I$390,$D$551:$D$553,0)))</f>
        <v>0</v>
      </c>
      <c r="N735" s="81">
        <f ca="1">N717*(1+INDEX(N$551:N$553,MATCH(Work_Codes!$I$390,$D$551:$D$553,0)))</f>
        <v>0</v>
      </c>
      <c r="O735" s="81">
        <f ca="1">O717*(1+INDEX(O$551:O$553,MATCH(Work_Codes!$I$390,$D$551:$D$553,0)))</f>
        <v>0</v>
      </c>
      <c r="P735" s="81">
        <f ca="1">P717*(1+INDEX(P$551:P$553,MATCH(Work_Codes!$I$390,$D$551:$D$553,0)))</f>
        <v>0</v>
      </c>
      <c r="Q735" s="81">
        <f ca="1">Q717*(1+INDEX(Q$551:Q$553,MATCH(Work_Codes!$I$390,$D$551:$D$553,0)))</f>
        <v>0</v>
      </c>
      <c r="R735" s="81">
        <f ca="1">R717*(1+INDEX(R$551:R$553,MATCH(Work_Codes!$I$390,$D$551:$D$553,0)))</f>
        <v>0</v>
      </c>
      <c r="S735" s="81">
        <f ca="1">S717*(1+INDEX(S$551:S$553,MATCH(Work_Codes!$I$390,$D$551:$D$553,0)))</f>
        <v>0</v>
      </c>
      <c r="T735" s="81">
        <f ca="1">T717*(1+INDEX(T$551:T$553,MATCH(Work_Codes!$I$390,$D$551:$D$553,0)))</f>
        <v>0</v>
      </c>
    </row>
    <row r="736" spans="4:20" ht="12" customHeight="1" outlineLevel="2">
      <c r="E736" s="247" t="str">
        <f>GC!C73</f>
        <v>Government contributions</v>
      </c>
      <c r="F736" s="247"/>
      <c r="G736" s="247"/>
      <c r="H736" s="247"/>
      <c r="I736" s="247"/>
      <c r="J736" s="81">
        <f ca="1">J718*(1+INDEX(J$551:J$553,MATCH(Work_Codes!$I$390,$D$551:$D$553,0)))</f>
        <v>0</v>
      </c>
      <c r="K736" s="81">
        <f ca="1">K718*(1+INDEX(K$551:K$553,MATCH(Work_Codes!$I$390,$D$551:$D$553,0)))</f>
        <v>0</v>
      </c>
      <c r="L736" s="81">
        <f ca="1">L718*(1+INDEX(L$551:L$553,MATCH(Work_Codes!$I$390,$D$551:$D$553,0)))</f>
        <v>0</v>
      </c>
      <c r="M736" s="81">
        <f ca="1">M718*(1+INDEX(M$551:M$553,MATCH(Work_Codes!$I$390,$D$551:$D$553,0)))</f>
        <v>0</v>
      </c>
      <c r="N736" s="81">
        <f ca="1">N718*(1+INDEX(N$551:N$553,MATCH(Work_Codes!$I$390,$D$551:$D$553,0)))</f>
        <v>0</v>
      </c>
      <c r="O736" s="81">
        <f ca="1">O718*(1+INDEX(O$551:O$553,MATCH(Work_Codes!$I$390,$D$551:$D$553,0)))</f>
        <v>0</v>
      </c>
      <c r="P736" s="81">
        <f ca="1">P718*(1+INDEX(P$551:P$553,MATCH(Work_Codes!$I$390,$D$551:$D$553,0)))</f>
        <v>0</v>
      </c>
      <c r="Q736" s="81">
        <f ca="1">Q718*(1+INDEX(Q$551:Q$553,MATCH(Work_Codes!$I$390,$D$551:$D$553,0)))</f>
        <v>0</v>
      </c>
      <c r="R736" s="81">
        <f ca="1">R718*(1+INDEX(R$551:R$553,MATCH(Work_Codes!$I$390,$D$551:$D$553,0)))</f>
        <v>0</v>
      </c>
      <c r="S736" s="81">
        <f ca="1">S718*(1+INDEX(S$551:S$553,MATCH(Work_Codes!$I$390,$D$551:$D$553,0)))</f>
        <v>0</v>
      </c>
      <c r="T736" s="81">
        <f ca="1">T718*(1+INDEX(T$551:T$553,MATCH(Work_Codes!$I$390,$D$551:$D$553,0)))</f>
        <v>0</v>
      </c>
    </row>
    <row r="737" spans="4:20" ht="12" customHeight="1" outlineLevel="2">
      <c r="E737" s="249" t="str">
        <f>"Total "&amp;D721</f>
        <v>Total Direct Costs + Overheads</v>
      </c>
      <c r="F737" s="249"/>
      <c r="G737" s="249"/>
      <c r="H737" s="249"/>
      <c r="I737" s="249"/>
      <c r="J737" s="82">
        <f t="shared" ref="J737:T737" ca="1" si="69">SUM(J723:J736)</f>
        <v>0</v>
      </c>
      <c r="K737" s="82">
        <f t="shared" ca="1" si="69"/>
        <v>0</v>
      </c>
      <c r="L737" s="82">
        <f t="shared" ca="1" si="69"/>
        <v>0</v>
      </c>
      <c r="M737" s="82">
        <f t="shared" ca="1" si="69"/>
        <v>0</v>
      </c>
      <c r="N737" s="82">
        <f t="shared" ca="1" si="69"/>
        <v>832451.46619286435</v>
      </c>
      <c r="O737" s="82">
        <f t="shared" ca="1" si="69"/>
        <v>863421.35757038067</v>
      </c>
      <c r="P737" s="82">
        <f t="shared" ca="1" si="69"/>
        <v>1643106.8653574055</v>
      </c>
      <c r="Q737" s="82">
        <f t="shared" ca="1" si="69"/>
        <v>1668393.3112776126</v>
      </c>
      <c r="R737" s="82">
        <f t="shared" ca="1" si="69"/>
        <v>1695749.1398296501</v>
      </c>
      <c r="S737" s="82">
        <f t="shared" ca="1" si="69"/>
        <v>1677649.9774290302</v>
      </c>
      <c r="T737" s="82">
        <f t="shared" ca="1" si="69"/>
        <v>1658175.1825750046</v>
      </c>
    </row>
    <row r="738" spans="4:20" outlineLevel="2"/>
    <row r="739" spans="4:20" outlineLevel="2">
      <c r="D739" s="37" t="s">
        <v>367</v>
      </c>
    </row>
    <row r="740" spans="4:20" ht="5.75" customHeight="1" outlineLevel="2"/>
    <row r="741" spans="4:20" outlineLevel="2">
      <c r="E741" s="247" t="str">
        <f>GC!C60</f>
        <v>Mains replacement</v>
      </c>
      <c r="F741" s="247"/>
      <c r="G741" s="247"/>
      <c r="H741" s="247"/>
      <c r="I741" s="247"/>
      <c r="J741" s="81">
        <f ca="1">SUMPRODUCT((Work_Codes!$AC$393:$AO$393=$E741)*(Work_Codes!$AC$401:$AO$402)*(J$581:J$582))</f>
        <v>0</v>
      </c>
      <c r="K741" s="81">
        <f ca="1">SUMPRODUCT((Work_Codes!$AC$393:$AO$393=$E741)*(Work_Codes!$AC$401:$AO$402)*(K$581:K$582))</f>
        <v>0</v>
      </c>
      <c r="L741" s="81">
        <f ca="1">SUMPRODUCT((Work_Codes!$AC$393:$AO$393=$E741)*(Work_Codes!$AC$401:$AO$402)*(L$581:L$582))</f>
        <v>0</v>
      </c>
      <c r="M741" s="81">
        <f ca="1">SUMPRODUCT((Work_Codes!$AC$393:$AO$393=$E741)*(Work_Codes!$AC$401:$AO$402)*(M$581:M$582))</f>
        <v>0</v>
      </c>
      <c r="N741" s="81">
        <f ca="1">SUMPRODUCT((Work_Codes!$AC$393:$AO$393=$E741)*(Work_Codes!$AC$401:$AO$402)*(N$581:N$582))</f>
        <v>0</v>
      </c>
      <c r="O741" s="81">
        <f ca="1">SUMPRODUCT((Work_Codes!$AC$393:$AO$393=$E741)*(Work_Codes!$AC$401:$AO$402)*(O$581:O$582))</f>
        <v>0</v>
      </c>
      <c r="P741" s="81">
        <f ca="1">SUMPRODUCT((Work_Codes!$AC$393:$AO$393=$E741)*(Work_Codes!$AC$401:$AO$402)*(P$581:P$582))</f>
        <v>0</v>
      </c>
      <c r="Q741" s="81">
        <f ca="1">SUMPRODUCT((Work_Codes!$AC$393:$AO$393=$E741)*(Work_Codes!$AC$401:$AO$402)*(Q$581:Q$582))</f>
        <v>0</v>
      </c>
      <c r="R741" s="81">
        <f ca="1">SUMPRODUCT((Work_Codes!$AC$393:$AO$393=$E741)*(Work_Codes!$AC$401:$AO$402)*(R$581:R$582))</f>
        <v>0</v>
      </c>
      <c r="S741" s="81">
        <f ca="1">SUMPRODUCT((Work_Codes!$AC$393:$AO$393=$E741)*(Work_Codes!$AC$401:$AO$402)*(S$581:S$582))</f>
        <v>0</v>
      </c>
      <c r="T741" s="81">
        <f ca="1">SUMPRODUCT((Work_Codes!$AC$393:$AO$393=$E741)*(Work_Codes!$AC$401:$AO$402)*(T$581:T$582))</f>
        <v>0</v>
      </c>
    </row>
    <row r="742" spans="4:20" outlineLevel="2">
      <c r="E742" s="247" t="str">
        <f>GC!C61</f>
        <v>Residential new customer connections</v>
      </c>
      <c r="F742" s="247"/>
      <c r="G742" s="247"/>
      <c r="H742" s="247"/>
      <c r="I742" s="247"/>
      <c r="J742" s="81">
        <f ca="1">SUMPRODUCT((Work_Codes!$AC$393:$AO$393=$E742)*(Work_Codes!$AC$401:$AO$402)*(J$581:J$582))</f>
        <v>0</v>
      </c>
      <c r="K742" s="81">
        <f ca="1">SUMPRODUCT((Work_Codes!$AC$393:$AO$393=$E742)*(Work_Codes!$AC$401:$AO$402)*(K$581:K$582))</f>
        <v>0</v>
      </c>
      <c r="L742" s="81">
        <f ca="1">SUMPRODUCT((Work_Codes!$AC$393:$AO$393=$E742)*(Work_Codes!$AC$401:$AO$402)*(L$581:L$582))</f>
        <v>0</v>
      </c>
      <c r="M742" s="81">
        <f ca="1">SUMPRODUCT((Work_Codes!$AC$393:$AO$393=$E742)*(Work_Codes!$AC$401:$AO$402)*(M$581:M$582))</f>
        <v>0</v>
      </c>
      <c r="N742" s="81">
        <f ca="1">SUMPRODUCT((Work_Codes!$AC$393:$AO$393=$E742)*(Work_Codes!$AC$401:$AO$402)*(N$581:N$582))</f>
        <v>0</v>
      </c>
      <c r="O742" s="81">
        <f ca="1">SUMPRODUCT((Work_Codes!$AC$393:$AO$393=$E742)*(Work_Codes!$AC$401:$AO$402)*(O$581:O$582))</f>
        <v>0</v>
      </c>
      <c r="P742" s="81">
        <f ca="1">SUMPRODUCT((Work_Codes!$AC$393:$AO$393=$E742)*(Work_Codes!$AC$401:$AO$402)*(P$581:P$582))</f>
        <v>0</v>
      </c>
      <c r="Q742" s="81">
        <f ca="1">SUMPRODUCT((Work_Codes!$AC$393:$AO$393=$E742)*(Work_Codes!$AC$401:$AO$402)*(Q$581:Q$582))</f>
        <v>0</v>
      </c>
      <c r="R742" s="81">
        <f ca="1">SUMPRODUCT((Work_Codes!$AC$393:$AO$393=$E742)*(Work_Codes!$AC$401:$AO$402)*(R$581:R$582))</f>
        <v>0</v>
      </c>
      <c r="S742" s="81">
        <f ca="1">SUMPRODUCT((Work_Codes!$AC$393:$AO$393=$E742)*(Work_Codes!$AC$401:$AO$402)*(S$581:S$582))</f>
        <v>0</v>
      </c>
      <c r="T742" s="81">
        <f ca="1">SUMPRODUCT((Work_Codes!$AC$393:$AO$393=$E742)*(Work_Codes!$AC$401:$AO$402)*(T$581:T$582))</f>
        <v>0</v>
      </c>
    </row>
    <row r="743" spans="4:20" outlineLevel="2">
      <c r="E743" s="247" t="str">
        <f>GC!C62</f>
        <v>Commercial and industrial new customer connections</v>
      </c>
      <c r="F743" s="247"/>
      <c r="G743" s="247"/>
      <c r="H743" s="247"/>
      <c r="I743" s="247"/>
      <c r="J743" s="81">
        <f ca="1">SUMPRODUCT((Work_Codes!$AC$393:$AO$393=$E743)*(Work_Codes!$AC$401:$AO$402)*(J$581:J$582))</f>
        <v>0</v>
      </c>
      <c r="K743" s="81">
        <f ca="1">SUMPRODUCT((Work_Codes!$AC$393:$AO$393=$E743)*(Work_Codes!$AC$401:$AO$402)*(K$581:K$582))</f>
        <v>0</v>
      </c>
      <c r="L743" s="81">
        <f ca="1">SUMPRODUCT((Work_Codes!$AC$393:$AO$393=$E743)*(Work_Codes!$AC$401:$AO$402)*(L$581:L$582))</f>
        <v>0</v>
      </c>
      <c r="M743" s="81">
        <f ca="1">SUMPRODUCT((Work_Codes!$AC$393:$AO$393=$E743)*(Work_Codes!$AC$401:$AO$402)*(M$581:M$582))</f>
        <v>0</v>
      </c>
      <c r="N743" s="81">
        <f ca="1">SUMPRODUCT((Work_Codes!$AC$393:$AO$393=$E743)*(Work_Codes!$AC$401:$AO$402)*(N$581:N$582))</f>
        <v>-449014.83925999992</v>
      </c>
      <c r="O743" s="81">
        <f ca="1">SUMPRODUCT((Work_Codes!$AC$393:$AO$393=$E743)*(Work_Codes!$AC$401:$AO$402)*(O$581:O$582))</f>
        <v>-396141.73</v>
      </c>
      <c r="P743" s="81">
        <f ca="1">SUMPRODUCT((Work_Codes!$AC$393:$AO$393=$E743)*(Work_Codes!$AC$401:$AO$402)*(P$581:P$582))</f>
        <v>-792283.46</v>
      </c>
      <c r="Q743" s="81">
        <f ca="1">SUMPRODUCT((Work_Codes!$AC$393:$AO$393=$E743)*(Work_Codes!$AC$401:$AO$402)*(Q$581:Q$582))</f>
        <v>-792283.46</v>
      </c>
      <c r="R743" s="81">
        <f ca="1">SUMPRODUCT((Work_Codes!$AC$393:$AO$393=$E743)*(Work_Codes!$AC$401:$AO$402)*(R$581:R$582))</f>
        <v>-792283.46</v>
      </c>
      <c r="S743" s="81">
        <f ca="1">SUMPRODUCT((Work_Codes!$AC$393:$AO$393=$E743)*(Work_Codes!$AC$401:$AO$402)*(S$581:S$582))</f>
        <v>-792283.46</v>
      </c>
      <c r="T743" s="81">
        <f ca="1">SUMPRODUCT((Work_Codes!$AC$393:$AO$393=$E743)*(Work_Codes!$AC$401:$AO$402)*(T$581:T$582))</f>
        <v>-792283.46</v>
      </c>
    </row>
    <row r="744" spans="4:20" outlineLevel="2">
      <c r="E744" s="247" t="str">
        <f>GC!C63</f>
        <v>Residential meter replacement</v>
      </c>
      <c r="F744" s="247"/>
      <c r="G744" s="247"/>
      <c r="H744" s="247"/>
      <c r="I744" s="247"/>
      <c r="J744" s="81">
        <f ca="1">SUMPRODUCT((Work_Codes!$AC$393:$AO$393=$E744)*(Work_Codes!$AC$401:$AO$402)*(J$581:J$582))</f>
        <v>0</v>
      </c>
      <c r="K744" s="81">
        <f ca="1">SUMPRODUCT((Work_Codes!$AC$393:$AO$393=$E744)*(Work_Codes!$AC$401:$AO$402)*(K$581:K$582))</f>
        <v>0</v>
      </c>
      <c r="L744" s="81">
        <f ca="1">SUMPRODUCT((Work_Codes!$AC$393:$AO$393=$E744)*(Work_Codes!$AC$401:$AO$402)*(L$581:L$582))</f>
        <v>0</v>
      </c>
      <c r="M744" s="81">
        <f ca="1">SUMPRODUCT((Work_Codes!$AC$393:$AO$393=$E744)*(Work_Codes!$AC$401:$AO$402)*(M$581:M$582))</f>
        <v>0</v>
      </c>
      <c r="N744" s="81">
        <f ca="1">SUMPRODUCT((Work_Codes!$AC$393:$AO$393=$E744)*(Work_Codes!$AC$401:$AO$402)*(N$581:N$582))</f>
        <v>0</v>
      </c>
      <c r="O744" s="81">
        <f ca="1">SUMPRODUCT((Work_Codes!$AC$393:$AO$393=$E744)*(Work_Codes!$AC$401:$AO$402)*(O$581:O$582))</f>
        <v>0</v>
      </c>
      <c r="P744" s="81">
        <f ca="1">SUMPRODUCT((Work_Codes!$AC$393:$AO$393=$E744)*(Work_Codes!$AC$401:$AO$402)*(P$581:P$582))</f>
        <v>0</v>
      </c>
      <c r="Q744" s="81">
        <f ca="1">SUMPRODUCT((Work_Codes!$AC$393:$AO$393=$E744)*(Work_Codes!$AC$401:$AO$402)*(Q$581:Q$582))</f>
        <v>0</v>
      </c>
      <c r="R744" s="81">
        <f ca="1">SUMPRODUCT((Work_Codes!$AC$393:$AO$393=$E744)*(Work_Codes!$AC$401:$AO$402)*(R$581:R$582))</f>
        <v>0</v>
      </c>
      <c r="S744" s="81">
        <f ca="1">SUMPRODUCT((Work_Codes!$AC$393:$AO$393=$E744)*(Work_Codes!$AC$401:$AO$402)*(S$581:S$582))</f>
        <v>0</v>
      </c>
      <c r="T744" s="81">
        <f ca="1">SUMPRODUCT((Work_Codes!$AC$393:$AO$393=$E744)*(Work_Codes!$AC$401:$AO$402)*(T$581:T$582))</f>
        <v>0</v>
      </c>
    </row>
    <row r="745" spans="4:20" outlineLevel="2">
      <c r="E745" s="247" t="str">
        <f>GC!C64</f>
        <v>Commercial and industrial meter replacement</v>
      </c>
      <c r="F745" s="247"/>
      <c r="G745" s="247"/>
      <c r="H745" s="247"/>
      <c r="I745" s="247"/>
      <c r="J745" s="81">
        <f ca="1">SUMPRODUCT((Work_Codes!$AC$393:$AO$393=$E745)*(Work_Codes!$AC$401:$AO$402)*(J$581:J$582))</f>
        <v>0</v>
      </c>
      <c r="K745" s="81">
        <f ca="1">SUMPRODUCT((Work_Codes!$AC$393:$AO$393=$E745)*(Work_Codes!$AC$401:$AO$402)*(K$581:K$582))</f>
        <v>0</v>
      </c>
      <c r="L745" s="81">
        <f ca="1">SUMPRODUCT((Work_Codes!$AC$393:$AO$393=$E745)*(Work_Codes!$AC$401:$AO$402)*(L$581:L$582))</f>
        <v>0</v>
      </c>
      <c r="M745" s="81">
        <f ca="1">SUMPRODUCT((Work_Codes!$AC$393:$AO$393=$E745)*(Work_Codes!$AC$401:$AO$402)*(M$581:M$582))</f>
        <v>0</v>
      </c>
      <c r="N745" s="81">
        <f ca="1">SUMPRODUCT((Work_Codes!$AC$393:$AO$393=$E745)*(Work_Codes!$AC$401:$AO$402)*(N$581:N$582))</f>
        <v>0</v>
      </c>
      <c r="O745" s="81">
        <f ca="1">SUMPRODUCT((Work_Codes!$AC$393:$AO$393=$E745)*(Work_Codes!$AC$401:$AO$402)*(O$581:O$582))</f>
        <v>0</v>
      </c>
      <c r="P745" s="81">
        <f ca="1">SUMPRODUCT((Work_Codes!$AC$393:$AO$393=$E745)*(Work_Codes!$AC$401:$AO$402)*(P$581:P$582))</f>
        <v>0</v>
      </c>
      <c r="Q745" s="81">
        <f ca="1">SUMPRODUCT((Work_Codes!$AC$393:$AO$393=$E745)*(Work_Codes!$AC$401:$AO$402)*(Q$581:Q$582))</f>
        <v>0</v>
      </c>
      <c r="R745" s="81">
        <f ca="1">SUMPRODUCT((Work_Codes!$AC$393:$AO$393=$E745)*(Work_Codes!$AC$401:$AO$402)*(R$581:R$582))</f>
        <v>0</v>
      </c>
      <c r="S745" s="81">
        <f ca="1">SUMPRODUCT((Work_Codes!$AC$393:$AO$393=$E745)*(Work_Codes!$AC$401:$AO$402)*(S$581:S$582))</f>
        <v>0</v>
      </c>
      <c r="T745" s="81">
        <f ca="1">SUMPRODUCT((Work_Codes!$AC$393:$AO$393=$E745)*(Work_Codes!$AC$401:$AO$402)*(T$581:T$582))</f>
        <v>0</v>
      </c>
    </row>
    <row r="746" spans="4:20" outlineLevel="2">
      <c r="E746" s="247" t="str">
        <f>GC!C65</f>
        <v>Augmentation</v>
      </c>
      <c r="F746" s="247"/>
      <c r="G746" s="247"/>
      <c r="H746" s="247"/>
      <c r="I746" s="247"/>
      <c r="J746" s="81">
        <f ca="1">SUMPRODUCT((Work_Codes!$AC$393:$AO$393=$E746)*(Work_Codes!$AC$401:$AO$402)*(J$581:J$582))</f>
        <v>0</v>
      </c>
      <c r="K746" s="81">
        <f ca="1">SUMPRODUCT((Work_Codes!$AC$393:$AO$393=$E746)*(Work_Codes!$AC$401:$AO$402)*(K$581:K$582))</f>
        <v>0</v>
      </c>
      <c r="L746" s="81">
        <f ca="1">SUMPRODUCT((Work_Codes!$AC$393:$AO$393=$E746)*(Work_Codes!$AC$401:$AO$402)*(L$581:L$582))</f>
        <v>0</v>
      </c>
      <c r="M746" s="81">
        <f ca="1">SUMPRODUCT((Work_Codes!$AC$393:$AO$393=$E746)*(Work_Codes!$AC$401:$AO$402)*(M$581:M$582))</f>
        <v>0</v>
      </c>
      <c r="N746" s="81">
        <f ca="1">SUMPRODUCT((Work_Codes!$AC$393:$AO$393=$E746)*(Work_Codes!$AC$401:$AO$402)*(N$581:N$582))</f>
        <v>0</v>
      </c>
      <c r="O746" s="81">
        <f ca="1">SUMPRODUCT((Work_Codes!$AC$393:$AO$393=$E746)*(Work_Codes!$AC$401:$AO$402)*(O$581:O$582))</f>
        <v>0</v>
      </c>
      <c r="P746" s="81">
        <f ca="1">SUMPRODUCT((Work_Codes!$AC$393:$AO$393=$E746)*(Work_Codes!$AC$401:$AO$402)*(P$581:P$582))</f>
        <v>0</v>
      </c>
      <c r="Q746" s="81">
        <f ca="1">SUMPRODUCT((Work_Codes!$AC$393:$AO$393=$E746)*(Work_Codes!$AC$401:$AO$402)*(Q$581:Q$582))</f>
        <v>0</v>
      </c>
      <c r="R746" s="81">
        <f ca="1">SUMPRODUCT((Work_Codes!$AC$393:$AO$393=$E746)*(Work_Codes!$AC$401:$AO$402)*(R$581:R$582))</f>
        <v>0</v>
      </c>
      <c r="S746" s="81">
        <f ca="1">SUMPRODUCT((Work_Codes!$AC$393:$AO$393=$E746)*(Work_Codes!$AC$401:$AO$402)*(S$581:S$582))</f>
        <v>0</v>
      </c>
      <c r="T746" s="81">
        <f ca="1">SUMPRODUCT((Work_Codes!$AC$393:$AO$393=$E746)*(Work_Codes!$AC$401:$AO$402)*(T$581:T$582))</f>
        <v>0</v>
      </c>
    </row>
    <row r="747" spans="4:20" outlineLevel="2">
      <c r="E747" s="247" t="str">
        <f>GC!C66</f>
        <v>IT capex</v>
      </c>
      <c r="F747" s="247"/>
      <c r="G747" s="247"/>
      <c r="H747" s="247"/>
      <c r="I747" s="247"/>
      <c r="J747" s="81">
        <f ca="1">SUMPRODUCT((Work_Codes!$AC$393:$AO$393=$E747)*(Work_Codes!$AC$401:$AO$402)*(J$581:J$582))</f>
        <v>0</v>
      </c>
      <c r="K747" s="81">
        <f ca="1">SUMPRODUCT((Work_Codes!$AC$393:$AO$393=$E747)*(Work_Codes!$AC$401:$AO$402)*(K$581:K$582))</f>
        <v>0</v>
      </c>
      <c r="L747" s="81">
        <f ca="1">SUMPRODUCT((Work_Codes!$AC$393:$AO$393=$E747)*(Work_Codes!$AC$401:$AO$402)*(L$581:L$582))</f>
        <v>0</v>
      </c>
      <c r="M747" s="81">
        <f ca="1">SUMPRODUCT((Work_Codes!$AC$393:$AO$393=$E747)*(Work_Codes!$AC$401:$AO$402)*(M$581:M$582))</f>
        <v>0</v>
      </c>
      <c r="N747" s="81">
        <f ca="1">SUMPRODUCT((Work_Codes!$AC$393:$AO$393=$E747)*(Work_Codes!$AC$401:$AO$402)*(N$581:N$582))</f>
        <v>0</v>
      </c>
      <c r="O747" s="81">
        <f ca="1">SUMPRODUCT((Work_Codes!$AC$393:$AO$393=$E747)*(Work_Codes!$AC$401:$AO$402)*(O$581:O$582))</f>
        <v>0</v>
      </c>
      <c r="P747" s="81">
        <f ca="1">SUMPRODUCT((Work_Codes!$AC$393:$AO$393=$E747)*(Work_Codes!$AC$401:$AO$402)*(P$581:P$582))</f>
        <v>0</v>
      </c>
      <c r="Q747" s="81">
        <f ca="1">SUMPRODUCT((Work_Codes!$AC$393:$AO$393=$E747)*(Work_Codes!$AC$401:$AO$402)*(Q$581:Q$582))</f>
        <v>0</v>
      </c>
      <c r="R747" s="81">
        <f ca="1">SUMPRODUCT((Work_Codes!$AC$393:$AO$393=$E747)*(Work_Codes!$AC$401:$AO$402)*(R$581:R$582))</f>
        <v>0</v>
      </c>
      <c r="S747" s="81">
        <f ca="1">SUMPRODUCT((Work_Codes!$AC$393:$AO$393=$E747)*(Work_Codes!$AC$401:$AO$402)*(S$581:S$582))</f>
        <v>0</v>
      </c>
      <c r="T747" s="81">
        <f ca="1">SUMPRODUCT((Work_Codes!$AC$393:$AO$393=$E747)*(Work_Codes!$AC$401:$AO$402)*(T$581:T$582))</f>
        <v>0</v>
      </c>
    </row>
    <row r="748" spans="4:20" outlineLevel="2">
      <c r="E748" s="247" t="str">
        <f>GC!C67</f>
        <v>SCADA</v>
      </c>
      <c r="F748" s="247"/>
      <c r="G748" s="247"/>
      <c r="H748" s="247"/>
      <c r="I748" s="247"/>
      <c r="J748" s="81">
        <f ca="1">SUMPRODUCT((Work_Codes!$AC$393:$AO$393=$E748)*(Work_Codes!$AC$401:$AO$402)*(J$581:J$582))</f>
        <v>0</v>
      </c>
      <c r="K748" s="81">
        <f ca="1">SUMPRODUCT((Work_Codes!$AC$393:$AO$393=$E748)*(Work_Codes!$AC$401:$AO$402)*(K$581:K$582))</f>
        <v>0</v>
      </c>
      <c r="L748" s="81">
        <f ca="1">SUMPRODUCT((Work_Codes!$AC$393:$AO$393=$E748)*(Work_Codes!$AC$401:$AO$402)*(L$581:L$582))</f>
        <v>0</v>
      </c>
      <c r="M748" s="81">
        <f ca="1">SUMPRODUCT((Work_Codes!$AC$393:$AO$393=$E748)*(Work_Codes!$AC$401:$AO$402)*(M$581:M$582))</f>
        <v>0</v>
      </c>
      <c r="N748" s="81">
        <f ca="1">SUMPRODUCT((Work_Codes!$AC$393:$AO$393=$E748)*(Work_Codes!$AC$401:$AO$402)*(N$581:N$582))</f>
        <v>0</v>
      </c>
      <c r="O748" s="81">
        <f ca="1">SUMPRODUCT((Work_Codes!$AC$393:$AO$393=$E748)*(Work_Codes!$AC$401:$AO$402)*(O$581:O$582))</f>
        <v>0</v>
      </c>
      <c r="P748" s="81">
        <f ca="1">SUMPRODUCT((Work_Codes!$AC$393:$AO$393=$E748)*(Work_Codes!$AC$401:$AO$402)*(P$581:P$582))</f>
        <v>0</v>
      </c>
      <c r="Q748" s="81">
        <f ca="1">SUMPRODUCT((Work_Codes!$AC$393:$AO$393=$E748)*(Work_Codes!$AC$401:$AO$402)*(Q$581:Q$582))</f>
        <v>0</v>
      </c>
      <c r="R748" s="81">
        <f ca="1">SUMPRODUCT((Work_Codes!$AC$393:$AO$393=$E748)*(Work_Codes!$AC$401:$AO$402)*(R$581:R$582))</f>
        <v>0</v>
      </c>
      <c r="S748" s="81">
        <f ca="1">SUMPRODUCT((Work_Codes!$AC$393:$AO$393=$E748)*(Work_Codes!$AC$401:$AO$402)*(S$581:S$582))</f>
        <v>0</v>
      </c>
      <c r="T748" s="81">
        <f ca="1">SUMPRODUCT((Work_Codes!$AC$393:$AO$393=$E748)*(Work_Codes!$AC$401:$AO$402)*(T$581:T$582))</f>
        <v>0</v>
      </c>
    </row>
    <row r="749" spans="4:20" outlineLevel="2">
      <c r="E749" s="247" t="str">
        <f>GC!C68</f>
        <v>Other</v>
      </c>
      <c r="F749" s="247"/>
      <c r="G749" s="247"/>
      <c r="H749" s="247"/>
      <c r="I749" s="247"/>
      <c r="J749" s="81">
        <f ca="1">SUMPRODUCT((Work_Codes!$AC$393:$AO$393=$E749)*(Work_Codes!$AC$401:$AO$402)*(J$581:J$582))</f>
        <v>0</v>
      </c>
      <c r="K749" s="81">
        <f ca="1">SUMPRODUCT((Work_Codes!$AC$393:$AO$393=$E749)*(Work_Codes!$AC$401:$AO$402)*(K$581:K$582))</f>
        <v>0</v>
      </c>
      <c r="L749" s="81">
        <f ca="1">SUMPRODUCT((Work_Codes!$AC$393:$AO$393=$E749)*(Work_Codes!$AC$401:$AO$402)*(L$581:L$582))</f>
        <v>0</v>
      </c>
      <c r="M749" s="81">
        <f ca="1">SUMPRODUCT((Work_Codes!$AC$393:$AO$393=$E749)*(Work_Codes!$AC$401:$AO$402)*(M$581:M$582))</f>
        <v>0</v>
      </c>
      <c r="N749" s="81">
        <f ca="1">SUMPRODUCT((Work_Codes!$AC$393:$AO$393=$E749)*(Work_Codes!$AC$401:$AO$402)*(N$581:N$582))</f>
        <v>0</v>
      </c>
      <c r="O749" s="81">
        <f ca="1">SUMPRODUCT((Work_Codes!$AC$393:$AO$393=$E749)*(Work_Codes!$AC$401:$AO$402)*(O$581:O$582))</f>
        <v>0</v>
      </c>
      <c r="P749" s="81">
        <f ca="1">SUMPRODUCT((Work_Codes!$AC$393:$AO$393=$E749)*(Work_Codes!$AC$401:$AO$402)*(P$581:P$582))</f>
        <v>0</v>
      </c>
      <c r="Q749" s="81">
        <f ca="1">SUMPRODUCT((Work_Codes!$AC$393:$AO$393=$E749)*(Work_Codes!$AC$401:$AO$402)*(Q$581:Q$582))</f>
        <v>0</v>
      </c>
      <c r="R749" s="81">
        <f ca="1">SUMPRODUCT((Work_Codes!$AC$393:$AO$393=$E749)*(Work_Codes!$AC$401:$AO$402)*(R$581:R$582))</f>
        <v>0</v>
      </c>
      <c r="S749" s="81">
        <f ca="1">SUMPRODUCT((Work_Codes!$AC$393:$AO$393=$E749)*(Work_Codes!$AC$401:$AO$402)*(S$581:S$582))</f>
        <v>0</v>
      </c>
      <c r="T749" s="81">
        <f ca="1">SUMPRODUCT((Work_Codes!$AC$393:$AO$393=$E749)*(Work_Codes!$AC$401:$AO$402)*(T$581:T$582))</f>
        <v>0</v>
      </c>
    </row>
    <row r="750" spans="4:20" outlineLevel="2">
      <c r="E750" s="247" t="str">
        <f>GC!C69</f>
        <v>Capitalised Leases</v>
      </c>
      <c r="F750" s="247"/>
      <c r="G750" s="247"/>
      <c r="H750" s="247"/>
      <c r="I750" s="247"/>
      <c r="J750" s="81">
        <f ca="1">SUMPRODUCT((Work_Codes!$AC$393:$AO$393=$E750)*(Work_Codes!$AC$401:$AO$402)*(J$581:J$582))</f>
        <v>0</v>
      </c>
      <c r="K750" s="81">
        <f ca="1">SUMPRODUCT((Work_Codes!$AC$393:$AO$393=$E750)*(Work_Codes!$AC$401:$AO$402)*(K$581:K$582))</f>
        <v>0</v>
      </c>
      <c r="L750" s="81">
        <f ca="1">SUMPRODUCT((Work_Codes!$AC$393:$AO$393=$E750)*(Work_Codes!$AC$401:$AO$402)*(L$581:L$582))</f>
        <v>0</v>
      </c>
      <c r="M750" s="81">
        <f ca="1">SUMPRODUCT((Work_Codes!$AC$393:$AO$393=$E750)*(Work_Codes!$AC$401:$AO$402)*(M$581:M$582))</f>
        <v>0</v>
      </c>
      <c r="N750" s="81">
        <f ca="1">SUMPRODUCT((Work_Codes!$AC$393:$AO$393=$E750)*(Work_Codes!$AC$401:$AO$402)*(N$581:N$582))</f>
        <v>0</v>
      </c>
      <c r="O750" s="81">
        <f ca="1">SUMPRODUCT((Work_Codes!$AC$393:$AO$393=$E750)*(Work_Codes!$AC$401:$AO$402)*(O$581:O$582))</f>
        <v>0</v>
      </c>
      <c r="P750" s="81">
        <f ca="1">SUMPRODUCT((Work_Codes!$AC$393:$AO$393=$E750)*(Work_Codes!$AC$401:$AO$402)*(P$581:P$582))</f>
        <v>0</v>
      </c>
      <c r="Q750" s="81">
        <f ca="1">SUMPRODUCT((Work_Codes!$AC$393:$AO$393=$E750)*(Work_Codes!$AC$401:$AO$402)*(Q$581:Q$582))</f>
        <v>0</v>
      </c>
      <c r="R750" s="81">
        <f ca="1">SUMPRODUCT((Work_Codes!$AC$393:$AO$393=$E750)*(Work_Codes!$AC$401:$AO$402)*(R$581:R$582))</f>
        <v>0</v>
      </c>
      <c r="S750" s="81">
        <f ca="1">SUMPRODUCT((Work_Codes!$AC$393:$AO$393=$E750)*(Work_Codes!$AC$401:$AO$402)*(S$581:S$582))</f>
        <v>0</v>
      </c>
      <c r="T750" s="81">
        <f ca="1">SUMPRODUCT((Work_Codes!$AC$393:$AO$393=$E750)*(Work_Codes!$AC$401:$AO$402)*(T$581:T$582))</f>
        <v>0</v>
      </c>
    </row>
    <row r="751" spans="4:20" outlineLevel="2">
      <c r="E751" s="247" t="str">
        <f>GC!C70</f>
        <v>Gas Extensions - Energy for the Regions</v>
      </c>
      <c r="F751" s="247"/>
      <c r="G751" s="247"/>
      <c r="H751" s="247"/>
      <c r="I751" s="247"/>
      <c r="J751" s="81">
        <f ca="1">SUMPRODUCT((Work_Codes!$AC$393:$AO$393=$E751)*(Work_Codes!$AC$401:$AO$402)*(J$581:J$582))</f>
        <v>0</v>
      </c>
      <c r="K751" s="81">
        <f ca="1">SUMPRODUCT((Work_Codes!$AC$393:$AO$393=$E751)*(Work_Codes!$AC$401:$AO$402)*(K$581:K$582))</f>
        <v>0</v>
      </c>
      <c r="L751" s="81">
        <f ca="1">SUMPRODUCT((Work_Codes!$AC$393:$AO$393=$E751)*(Work_Codes!$AC$401:$AO$402)*(L$581:L$582))</f>
        <v>0</v>
      </c>
      <c r="M751" s="81">
        <f ca="1">SUMPRODUCT((Work_Codes!$AC$393:$AO$393=$E751)*(Work_Codes!$AC$401:$AO$402)*(M$581:M$582))</f>
        <v>0</v>
      </c>
      <c r="N751" s="81">
        <f ca="1">SUMPRODUCT((Work_Codes!$AC$393:$AO$393=$E751)*(Work_Codes!$AC$401:$AO$402)*(N$581:N$582))</f>
        <v>0</v>
      </c>
      <c r="O751" s="81">
        <f ca="1">SUMPRODUCT((Work_Codes!$AC$393:$AO$393=$E751)*(Work_Codes!$AC$401:$AO$402)*(O$581:O$582))</f>
        <v>0</v>
      </c>
      <c r="P751" s="81">
        <f ca="1">SUMPRODUCT((Work_Codes!$AC$393:$AO$393=$E751)*(Work_Codes!$AC$401:$AO$402)*(P$581:P$582))</f>
        <v>0</v>
      </c>
      <c r="Q751" s="81">
        <f ca="1">SUMPRODUCT((Work_Codes!$AC$393:$AO$393=$E751)*(Work_Codes!$AC$401:$AO$402)*(Q$581:Q$582))</f>
        <v>0</v>
      </c>
      <c r="R751" s="81">
        <f ca="1">SUMPRODUCT((Work_Codes!$AC$393:$AO$393=$E751)*(Work_Codes!$AC$401:$AO$402)*(R$581:R$582))</f>
        <v>0</v>
      </c>
      <c r="S751" s="81">
        <f ca="1">SUMPRODUCT((Work_Codes!$AC$393:$AO$393=$E751)*(Work_Codes!$AC$401:$AO$402)*(S$581:S$582))</f>
        <v>0</v>
      </c>
      <c r="T751" s="81">
        <f ca="1">SUMPRODUCT((Work_Codes!$AC$393:$AO$393=$E751)*(Work_Codes!$AC$401:$AO$402)*(T$581:T$582))</f>
        <v>0</v>
      </c>
    </row>
    <row r="752" spans="4:20" outlineLevel="2">
      <c r="E752" s="247" t="str">
        <f>GC!C71</f>
        <v>Gas Extensions - Other</v>
      </c>
      <c r="F752" s="247"/>
      <c r="G752" s="247"/>
      <c r="H752" s="247"/>
      <c r="I752" s="247"/>
      <c r="J752" s="81">
        <f ca="1">SUMPRODUCT((Work_Codes!$AC$393:$AO$393=$E752)*(Work_Codes!$AC$401:$AO$402)*(J$581:J$582))</f>
        <v>0</v>
      </c>
      <c r="K752" s="81">
        <f ca="1">SUMPRODUCT((Work_Codes!$AC$393:$AO$393=$E752)*(Work_Codes!$AC$401:$AO$402)*(K$581:K$582))</f>
        <v>0</v>
      </c>
      <c r="L752" s="81">
        <f ca="1">SUMPRODUCT((Work_Codes!$AC$393:$AO$393=$E752)*(Work_Codes!$AC$401:$AO$402)*(L$581:L$582))</f>
        <v>0</v>
      </c>
      <c r="M752" s="81">
        <f ca="1">SUMPRODUCT((Work_Codes!$AC$393:$AO$393=$E752)*(Work_Codes!$AC$401:$AO$402)*(M$581:M$582))</f>
        <v>0</v>
      </c>
      <c r="N752" s="81">
        <f ca="1">SUMPRODUCT((Work_Codes!$AC$393:$AO$393=$E752)*(Work_Codes!$AC$401:$AO$402)*(N$581:N$582))</f>
        <v>0</v>
      </c>
      <c r="O752" s="81">
        <f ca="1">SUMPRODUCT((Work_Codes!$AC$393:$AO$393=$E752)*(Work_Codes!$AC$401:$AO$402)*(O$581:O$582))</f>
        <v>0</v>
      </c>
      <c r="P752" s="81">
        <f ca="1">SUMPRODUCT((Work_Codes!$AC$393:$AO$393=$E752)*(Work_Codes!$AC$401:$AO$402)*(P$581:P$582))</f>
        <v>0</v>
      </c>
      <c r="Q752" s="81">
        <f ca="1">SUMPRODUCT((Work_Codes!$AC$393:$AO$393=$E752)*(Work_Codes!$AC$401:$AO$402)*(Q$581:Q$582))</f>
        <v>0</v>
      </c>
      <c r="R752" s="81">
        <f ca="1">SUMPRODUCT((Work_Codes!$AC$393:$AO$393=$E752)*(Work_Codes!$AC$401:$AO$402)*(R$581:R$582))</f>
        <v>0</v>
      </c>
      <c r="S752" s="81">
        <f ca="1">SUMPRODUCT((Work_Codes!$AC$393:$AO$393=$E752)*(Work_Codes!$AC$401:$AO$402)*(S$581:S$582))</f>
        <v>0</v>
      </c>
      <c r="T752" s="81">
        <f ca="1">SUMPRODUCT((Work_Codes!$AC$393:$AO$393=$E752)*(Work_Codes!$AC$401:$AO$402)*(T$581:T$582))</f>
        <v>0</v>
      </c>
    </row>
    <row r="753" spans="2:20" outlineLevel="2">
      <c r="E753" s="247" t="str">
        <f>GC!C72</f>
        <v>Customer contributions</v>
      </c>
      <c r="F753" s="247"/>
      <c r="G753" s="247"/>
      <c r="H753" s="247"/>
      <c r="I753" s="247"/>
      <c r="J753" s="81">
        <f ca="1">SUMPRODUCT((Work_Codes!$AC$393:$AO$393=$E753)*(Work_Codes!$AC$401:$AO$402)*(J$581:J$582))</f>
        <v>0</v>
      </c>
      <c r="K753" s="81">
        <f ca="1">SUMPRODUCT((Work_Codes!$AC$393:$AO$393=$E753)*(Work_Codes!$AC$401:$AO$402)*(K$581:K$582))</f>
        <v>0</v>
      </c>
      <c r="L753" s="81">
        <f ca="1">SUMPRODUCT((Work_Codes!$AC$393:$AO$393=$E753)*(Work_Codes!$AC$401:$AO$402)*(L$581:L$582))</f>
        <v>0</v>
      </c>
      <c r="M753" s="81">
        <f ca="1">SUMPRODUCT((Work_Codes!$AC$393:$AO$393=$E753)*(Work_Codes!$AC$401:$AO$402)*(M$581:M$582))</f>
        <v>0</v>
      </c>
      <c r="N753" s="81">
        <f ca="1">SUMPRODUCT((Work_Codes!$AC$393:$AO$393=$E753)*(Work_Codes!$AC$401:$AO$402)*(N$581:N$582))</f>
        <v>0</v>
      </c>
      <c r="O753" s="81">
        <f ca="1">SUMPRODUCT((Work_Codes!$AC$393:$AO$393=$E753)*(Work_Codes!$AC$401:$AO$402)*(O$581:O$582))</f>
        <v>0</v>
      </c>
      <c r="P753" s="81">
        <f ca="1">SUMPRODUCT((Work_Codes!$AC$393:$AO$393=$E753)*(Work_Codes!$AC$401:$AO$402)*(P$581:P$582))</f>
        <v>0</v>
      </c>
      <c r="Q753" s="81">
        <f ca="1">SUMPRODUCT((Work_Codes!$AC$393:$AO$393=$E753)*(Work_Codes!$AC$401:$AO$402)*(Q$581:Q$582))</f>
        <v>0</v>
      </c>
      <c r="R753" s="81">
        <f ca="1">SUMPRODUCT((Work_Codes!$AC$393:$AO$393=$E753)*(Work_Codes!$AC$401:$AO$402)*(R$581:R$582))</f>
        <v>0</v>
      </c>
      <c r="S753" s="81">
        <f ca="1">SUMPRODUCT((Work_Codes!$AC$393:$AO$393=$E753)*(Work_Codes!$AC$401:$AO$402)*(S$581:S$582))</f>
        <v>0</v>
      </c>
      <c r="T753" s="81">
        <f ca="1">SUMPRODUCT((Work_Codes!$AC$393:$AO$393=$E753)*(Work_Codes!$AC$401:$AO$402)*(T$581:T$582))</f>
        <v>0</v>
      </c>
    </row>
    <row r="754" spans="2:20" outlineLevel="2">
      <c r="E754" s="247" t="str">
        <f>GC!C73</f>
        <v>Government contributions</v>
      </c>
      <c r="F754" s="247"/>
      <c r="G754" s="247"/>
      <c r="H754" s="247"/>
      <c r="I754" s="247"/>
      <c r="J754" s="81">
        <f ca="1">SUMPRODUCT((Work_Codes!$AC$393:$AO$393=$E754)*(Work_Codes!$AC$401:$AO$402)*(J$581:J$582))</f>
        <v>0</v>
      </c>
      <c r="K754" s="81">
        <f ca="1">SUMPRODUCT((Work_Codes!$AC$393:$AO$393=$E754)*(Work_Codes!$AC$401:$AO$402)*(K$581:K$582))</f>
        <v>0</v>
      </c>
      <c r="L754" s="81">
        <f ca="1">SUMPRODUCT((Work_Codes!$AC$393:$AO$393=$E754)*(Work_Codes!$AC$401:$AO$402)*(L$581:L$582))</f>
        <v>0</v>
      </c>
      <c r="M754" s="81">
        <f ca="1">SUMPRODUCT((Work_Codes!$AC$393:$AO$393=$E754)*(Work_Codes!$AC$401:$AO$402)*(M$581:M$582))</f>
        <v>0</v>
      </c>
      <c r="N754" s="81">
        <f ca="1">SUMPRODUCT((Work_Codes!$AC$393:$AO$393=$E754)*(Work_Codes!$AC$401:$AO$402)*(N$581:N$582))</f>
        <v>0</v>
      </c>
      <c r="O754" s="81">
        <f ca="1">SUMPRODUCT((Work_Codes!$AC$393:$AO$393=$E754)*(Work_Codes!$AC$401:$AO$402)*(O$581:O$582))</f>
        <v>0</v>
      </c>
      <c r="P754" s="81">
        <f ca="1">SUMPRODUCT((Work_Codes!$AC$393:$AO$393=$E754)*(Work_Codes!$AC$401:$AO$402)*(P$581:P$582))</f>
        <v>0</v>
      </c>
      <c r="Q754" s="81">
        <f ca="1">SUMPRODUCT((Work_Codes!$AC$393:$AO$393=$E754)*(Work_Codes!$AC$401:$AO$402)*(Q$581:Q$582))</f>
        <v>0</v>
      </c>
      <c r="R754" s="81">
        <f ca="1">SUMPRODUCT((Work_Codes!$AC$393:$AO$393=$E754)*(Work_Codes!$AC$401:$AO$402)*(R$581:R$582))</f>
        <v>0</v>
      </c>
      <c r="S754" s="81">
        <f ca="1">SUMPRODUCT((Work_Codes!$AC$393:$AO$393=$E754)*(Work_Codes!$AC$401:$AO$402)*(S$581:S$582))</f>
        <v>0</v>
      </c>
      <c r="T754" s="81">
        <f ca="1">SUMPRODUCT((Work_Codes!$AC$393:$AO$393=$E754)*(Work_Codes!$AC$401:$AO$402)*(T$581:T$582))</f>
        <v>0</v>
      </c>
    </row>
    <row r="755" spans="2:20" outlineLevel="2">
      <c r="E755" s="249" t="str">
        <f t="shared" ref="E755" si="70">"Total "&amp;D739</f>
        <v>Total Customer Contributions</v>
      </c>
      <c r="F755" s="249"/>
      <c r="G755" s="249"/>
      <c r="H755" s="249"/>
      <c r="I755" s="249"/>
      <c r="J755" s="82">
        <f t="shared" ref="J755:T755" ca="1" si="71">SUM(J741:J754)</f>
        <v>0</v>
      </c>
      <c r="K755" s="82">
        <f t="shared" ca="1" si="71"/>
        <v>0</v>
      </c>
      <c r="L755" s="82">
        <f t="shared" ca="1" si="71"/>
        <v>0</v>
      </c>
      <c r="M755" s="82">
        <f t="shared" ca="1" si="71"/>
        <v>0</v>
      </c>
      <c r="N755" s="82">
        <f t="shared" ca="1" si="71"/>
        <v>-449014.83925999992</v>
      </c>
      <c r="O755" s="82">
        <f t="shared" ca="1" si="71"/>
        <v>-396141.73</v>
      </c>
      <c r="P755" s="82">
        <f t="shared" ca="1" si="71"/>
        <v>-792283.46</v>
      </c>
      <c r="Q755" s="82">
        <f t="shared" ca="1" si="71"/>
        <v>-792283.46</v>
      </c>
      <c r="R755" s="82">
        <f t="shared" ca="1" si="71"/>
        <v>-792283.46</v>
      </c>
      <c r="S755" s="82">
        <f t="shared" ca="1" si="71"/>
        <v>-792283.46</v>
      </c>
      <c r="T755" s="82">
        <f t="shared" ca="1" si="71"/>
        <v>-792283.46</v>
      </c>
    </row>
    <row r="756" spans="2:20" outlineLevel="2">
      <c r="B756" s="12"/>
      <c r="C756" s="12"/>
      <c r="D756" s="12"/>
      <c r="E756" s="12"/>
      <c r="F756" s="12"/>
      <c r="G756" s="12"/>
      <c r="H756" s="12"/>
      <c r="I756" s="12"/>
      <c r="J756" s="12"/>
      <c r="K756" s="12"/>
      <c r="L756" s="12"/>
      <c r="M756" s="12"/>
      <c r="N756" s="12"/>
      <c r="O756" s="12"/>
      <c r="P756" s="12"/>
      <c r="Q756" s="12"/>
      <c r="R756" s="12"/>
      <c r="S756" s="12"/>
      <c r="T756" s="12"/>
    </row>
    <row r="757" spans="2:20" outlineLevel="2"/>
    <row r="758" spans="2:20" outlineLevel="2">
      <c r="C758" s="37" t="s">
        <v>311</v>
      </c>
    </row>
    <row r="759" spans="2:20" ht="5.9" customHeight="1" outlineLevel="2"/>
    <row r="760" spans="2:20" outlineLevel="2">
      <c r="D760" s="37" t="s">
        <v>215</v>
      </c>
    </row>
    <row r="761" spans="2:20" ht="5.9" customHeight="1" outlineLevel="2"/>
    <row r="762" spans="2:20" outlineLevel="2">
      <c r="E762" s="247" t="str">
        <f>GC!C78</f>
        <v>Mains &amp; Services</v>
      </c>
      <c r="F762" s="247"/>
      <c r="G762" s="247"/>
      <c r="H762" s="247"/>
      <c r="I762" s="247"/>
      <c r="J762" s="81">
        <f ca="1">SUMPRODUCT((Work_Codes!$AR$393:$AX$393=$E762)*(Work_Codes!$AR$396:$AX$397)*(J$612:J$613))</f>
        <v>0</v>
      </c>
      <c r="K762" s="81">
        <f ca="1">SUMPRODUCT((Work_Codes!$AR$393:$AX$393=$E762)*(Work_Codes!$AR$396:$AX$397)*(K$612:K$613))</f>
        <v>0</v>
      </c>
      <c r="L762" s="81">
        <f ca="1">SUMPRODUCT((Work_Codes!$AR$393:$AX$393=$E762)*(Work_Codes!$AR$396:$AX$397)*(L$612:L$613))</f>
        <v>0</v>
      </c>
      <c r="M762" s="81">
        <f ca="1">SUMPRODUCT((Work_Codes!$AR$393:$AX$393=$E762)*(Work_Codes!$AR$396:$AX$397)*(M$612:M$613))</f>
        <v>0</v>
      </c>
      <c r="N762" s="81">
        <f ca="1">SUMPRODUCT((Work_Codes!$AR$393:$AX$393=$E762)*(Work_Codes!$AR$396:$AX$397)*(N$612:N$613))</f>
        <v>641759.76569220098</v>
      </c>
      <c r="O762" s="81">
        <f ca="1">SUMPRODUCT((Work_Codes!$AR$393:$AX$393=$E762)*(Work_Codes!$AR$396:$AX$397)*(O$612:O$613))</f>
        <v>668487.17946163518</v>
      </c>
      <c r="P762" s="81">
        <f ca="1">SUMPRODUCT((Work_Codes!$AR$393:$AX$393=$E762)*(Work_Codes!$AR$396:$AX$397)*(P$612:P$613))</f>
        <v>1280235.7791102224</v>
      </c>
      <c r="Q762" s="81">
        <f ca="1">SUMPRODUCT((Work_Codes!$AR$393:$AX$393=$E762)*(Work_Codes!$AR$396:$AX$397)*(Q$612:Q$613))</f>
        <v>1300814.6550785638</v>
      </c>
      <c r="R762" s="81">
        <f ca="1">SUMPRODUCT((Work_Codes!$AR$393:$AX$393=$E762)*(Work_Codes!$AR$396:$AX$397)*(R$612:R$613))</f>
        <v>1321097.4521226422</v>
      </c>
      <c r="S762" s="81">
        <f ca="1">SUMPRODUCT((Work_Codes!$AR$393:$AX$393=$E762)*(Work_Codes!$AR$396:$AX$397)*(S$612:S$613))</f>
        <v>1304870.9036495669</v>
      </c>
      <c r="T762" s="81">
        <f ca="1">SUMPRODUCT((Work_Codes!$AR$393:$AX$393=$E762)*(Work_Codes!$AR$396:$AX$397)*(T$612:T$613))</f>
        <v>1288002.6205265112</v>
      </c>
    </row>
    <row r="763" spans="2:20" outlineLevel="2">
      <c r="E763" s="247" t="str">
        <f>GC!C79</f>
        <v>Meters Domestic</v>
      </c>
      <c r="F763" s="247"/>
      <c r="G763" s="247"/>
      <c r="H763" s="247"/>
      <c r="I763" s="247"/>
      <c r="J763" s="81">
        <f ca="1">SUMPRODUCT((Work_Codes!$AR$393:$AX$393=$E763)*(Work_Codes!$AR$396:$AX$397)*(J$612:J$613))</f>
        <v>0</v>
      </c>
      <c r="K763" s="81">
        <f ca="1">SUMPRODUCT((Work_Codes!$AR$393:$AX$393=$E763)*(Work_Codes!$AR$396:$AX$397)*(K$612:K$613))</f>
        <v>0</v>
      </c>
      <c r="L763" s="81">
        <f ca="1">SUMPRODUCT((Work_Codes!$AR$393:$AX$393=$E763)*(Work_Codes!$AR$396:$AX$397)*(L$612:L$613))</f>
        <v>0</v>
      </c>
      <c r="M763" s="81">
        <f ca="1">SUMPRODUCT((Work_Codes!$AR$393:$AX$393=$E763)*(Work_Codes!$AR$396:$AX$397)*(M$612:M$613))</f>
        <v>0</v>
      </c>
      <c r="N763" s="81">
        <f ca="1">SUMPRODUCT((Work_Codes!$AR$393:$AX$393=$E763)*(Work_Codes!$AR$396:$AX$397)*(N$612:N$613))</f>
        <v>0</v>
      </c>
      <c r="O763" s="81">
        <f ca="1">SUMPRODUCT((Work_Codes!$AR$393:$AX$393=$E763)*(Work_Codes!$AR$396:$AX$397)*(O$612:O$613))</f>
        <v>0</v>
      </c>
      <c r="P763" s="81">
        <f ca="1">SUMPRODUCT((Work_Codes!$AR$393:$AX$393=$E763)*(Work_Codes!$AR$396:$AX$397)*(P$612:P$613))</f>
        <v>0</v>
      </c>
      <c r="Q763" s="81">
        <f ca="1">SUMPRODUCT((Work_Codes!$AR$393:$AX$393=$E763)*(Work_Codes!$AR$396:$AX$397)*(Q$612:Q$613))</f>
        <v>0</v>
      </c>
      <c r="R763" s="81">
        <f ca="1">SUMPRODUCT((Work_Codes!$AR$393:$AX$393=$E763)*(Work_Codes!$AR$396:$AX$397)*(R$612:R$613))</f>
        <v>0</v>
      </c>
      <c r="S763" s="81">
        <f ca="1">SUMPRODUCT((Work_Codes!$AR$393:$AX$393=$E763)*(Work_Codes!$AR$396:$AX$397)*(S$612:S$613))</f>
        <v>0</v>
      </c>
      <c r="T763" s="81">
        <f ca="1">SUMPRODUCT((Work_Codes!$AR$393:$AX$393=$E763)*(Work_Codes!$AR$396:$AX$397)*(T$612:T$613))</f>
        <v>0</v>
      </c>
    </row>
    <row r="764" spans="2:20" outlineLevel="2">
      <c r="E764" s="247" t="str">
        <f>GC!C80</f>
        <v>Meters Industrial &amp; Commercial</v>
      </c>
      <c r="F764" s="247"/>
      <c r="G764" s="247"/>
      <c r="H764" s="247"/>
      <c r="I764" s="247"/>
      <c r="J764" s="81">
        <f ca="1">SUMPRODUCT((Work_Codes!$AR$393:$AX$393=$E764)*(Work_Codes!$AR$396:$AX$397)*(J$612:J$613))</f>
        <v>0</v>
      </c>
      <c r="K764" s="81">
        <f ca="1">SUMPRODUCT((Work_Codes!$AR$393:$AX$393=$E764)*(Work_Codes!$AR$396:$AX$397)*(K$612:K$613))</f>
        <v>0</v>
      </c>
      <c r="L764" s="81">
        <f ca="1">SUMPRODUCT((Work_Codes!$AR$393:$AX$393=$E764)*(Work_Codes!$AR$396:$AX$397)*(L$612:L$613))</f>
        <v>0</v>
      </c>
      <c r="M764" s="81">
        <f ca="1">SUMPRODUCT((Work_Codes!$AR$393:$AX$393=$E764)*(Work_Codes!$AR$396:$AX$397)*(M$612:M$613))</f>
        <v>0</v>
      </c>
      <c r="N764" s="81">
        <f ca="1">SUMPRODUCT((Work_Codes!$AR$393:$AX$393=$E764)*(Work_Codes!$AR$396:$AX$397)*(N$612:N$613))</f>
        <v>160439.94142305024</v>
      </c>
      <c r="O764" s="81">
        <f ca="1">SUMPRODUCT((Work_Codes!$AR$393:$AX$393=$E764)*(Work_Codes!$AR$396:$AX$397)*(O$612:O$613))</f>
        <v>167121.7948654088</v>
      </c>
      <c r="P764" s="81">
        <f ca="1">SUMPRODUCT((Work_Codes!$AR$393:$AX$393=$E764)*(Work_Codes!$AR$396:$AX$397)*(P$612:P$613))</f>
        <v>320058.94477755559</v>
      </c>
      <c r="Q764" s="81">
        <f ca="1">SUMPRODUCT((Work_Codes!$AR$393:$AX$393=$E764)*(Work_Codes!$AR$396:$AX$397)*(Q$612:Q$613))</f>
        <v>325203.66376964096</v>
      </c>
      <c r="R764" s="81">
        <f ca="1">SUMPRODUCT((Work_Codes!$AR$393:$AX$393=$E764)*(Work_Codes!$AR$396:$AX$397)*(R$612:R$613))</f>
        <v>330274.36303066055</v>
      </c>
      <c r="S764" s="81">
        <f ca="1">SUMPRODUCT((Work_Codes!$AR$393:$AX$393=$E764)*(Work_Codes!$AR$396:$AX$397)*(S$612:S$613))</f>
        <v>326217.72591239173</v>
      </c>
      <c r="T764" s="81">
        <f ca="1">SUMPRODUCT((Work_Codes!$AR$393:$AX$393=$E764)*(Work_Codes!$AR$396:$AX$397)*(T$612:T$613))</f>
        <v>322000.65513162781</v>
      </c>
    </row>
    <row r="765" spans="2:20" outlineLevel="2">
      <c r="E765" s="247" t="str">
        <f>GC!C81</f>
        <v>Buildings</v>
      </c>
      <c r="F765" s="247"/>
      <c r="G765" s="247"/>
      <c r="H765" s="247"/>
      <c r="I765" s="247"/>
      <c r="J765" s="81">
        <f ca="1">SUMPRODUCT((Work_Codes!$AR$393:$AX$393=$E765)*(Work_Codes!$AR$396:$AX$397)*(J$612:J$613))</f>
        <v>0</v>
      </c>
      <c r="K765" s="81">
        <f ca="1">SUMPRODUCT((Work_Codes!$AR$393:$AX$393=$E765)*(Work_Codes!$AR$396:$AX$397)*(K$612:K$613))</f>
        <v>0</v>
      </c>
      <c r="L765" s="81">
        <f ca="1">SUMPRODUCT((Work_Codes!$AR$393:$AX$393=$E765)*(Work_Codes!$AR$396:$AX$397)*(L$612:L$613))</f>
        <v>0</v>
      </c>
      <c r="M765" s="81">
        <f ca="1">SUMPRODUCT((Work_Codes!$AR$393:$AX$393=$E765)*(Work_Codes!$AR$396:$AX$397)*(M$612:M$613))</f>
        <v>0</v>
      </c>
      <c r="N765" s="81">
        <f ca="1">SUMPRODUCT((Work_Codes!$AR$393:$AX$393=$E765)*(Work_Codes!$AR$396:$AX$397)*(N$612:N$613))</f>
        <v>0</v>
      </c>
      <c r="O765" s="81">
        <f ca="1">SUMPRODUCT((Work_Codes!$AR$393:$AX$393=$E765)*(Work_Codes!$AR$396:$AX$397)*(O$612:O$613))</f>
        <v>0</v>
      </c>
      <c r="P765" s="81">
        <f ca="1">SUMPRODUCT((Work_Codes!$AR$393:$AX$393=$E765)*(Work_Codes!$AR$396:$AX$397)*(P$612:P$613))</f>
        <v>0</v>
      </c>
      <c r="Q765" s="81">
        <f ca="1">SUMPRODUCT((Work_Codes!$AR$393:$AX$393=$E765)*(Work_Codes!$AR$396:$AX$397)*(Q$612:Q$613))</f>
        <v>0</v>
      </c>
      <c r="R765" s="81">
        <f ca="1">SUMPRODUCT((Work_Codes!$AR$393:$AX$393=$E765)*(Work_Codes!$AR$396:$AX$397)*(R$612:R$613))</f>
        <v>0</v>
      </c>
      <c r="S765" s="81">
        <f ca="1">SUMPRODUCT((Work_Codes!$AR$393:$AX$393=$E765)*(Work_Codes!$AR$396:$AX$397)*(S$612:S$613))</f>
        <v>0</v>
      </c>
      <c r="T765" s="81">
        <f ca="1">SUMPRODUCT((Work_Codes!$AR$393:$AX$393=$E765)*(Work_Codes!$AR$396:$AX$397)*(T$612:T$613))</f>
        <v>0</v>
      </c>
    </row>
    <row r="766" spans="2:20" outlineLevel="2">
      <c r="E766" s="247" t="str">
        <f>GC!C82</f>
        <v>Other Assets</v>
      </c>
      <c r="F766" s="247"/>
      <c r="G766" s="247"/>
      <c r="H766" s="247"/>
      <c r="I766" s="247"/>
      <c r="J766" s="81">
        <f ca="1">SUMPRODUCT((Work_Codes!$AR$393:$AX$393=$E766)*(Work_Codes!$AR$396:$AX$397)*(J$612:J$613))</f>
        <v>0</v>
      </c>
      <c r="K766" s="81">
        <f ca="1">SUMPRODUCT((Work_Codes!$AR$393:$AX$393=$E766)*(Work_Codes!$AR$396:$AX$397)*(K$612:K$613))</f>
        <v>0</v>
      </c>
      <c r="L766" s="81">
        <f ca="1">SUMPRODUCT((Work_Codes!$AR$393:$AX$393=$E766)*(Work_Codes!$AR$396:$AX$397)*(L$612:L$613))</f>
        <v>0</v>
      </c>
      <c r="M766" s="81">
        <f ca="1">SUMPRODUCT((Work_Codes!$AR$393:$AX$393=$E766)*(Work_Codes!$AR$396:$AX$397)*(M$612:M$613))</f>
        <v>0</v>
      </c>
      <c r="N766" s="81">
        <f ca="1">SUMPRODUCT((Work_Codes!$AR$393:$AX$393=$E766)*(Work_Codes!$AR$396:$AX$397)*(N$612:N$613))</f>
        <v>0</v>
      </c>
      <c r="O766" s="81">
        <f ca="1">SUMPRODUCT((Work_Codes!$AR$393:$AX$393=$E766)*(Work_Codes!$AR$396:$AX$397)*(O$612:O$613))</f>
        <v>0</v>
      </c>
      <c r="P766" s="81">
        <f ca="1">SUMPRODUCT((Work_Codes!$AR$393:$AX$393=$E766)*(Work_Codes!$AR$396:$AX$397)*(P$612:P$613))</f>
        <v>0</v>
      </c>
      <c r="Q766" s="81">
        <f ca="1">SUMPRODUCT((Work_Codes!$AR$393:$AX$393=$E766)*(Work_Codes!$AR$396:$AX$397)*(Q$612:Q$613))</f>
        <v>0</v>
      </c>
      <c r="R766" s="81">
        <f ca="1">SUMPRODUCT((Work_Codes!$AR$393:$AX$393=$E766)*(Work_Codes!$AR$396:$AX$397)*(R$612:R$613))</f>
        <v>0</v>
      </c>
      <c r="S766" s="81">
        <f ca="1">SUMPRODUCT((Work_Codes!$AR$393:$AX$393=$E766)*(Work_Codes!$AR$396:$AX$397)*(S$612:S$613))</f>
        <v>0</v>
      </c>
      <c r="T766" s="81">
        <f ca="1">SUMPRODUCT((Work_Codes!$AR$393:$AX$393=$E766)*(Work_Codes!$AR$396:$AX$397)*(T$612:T$613))</f>
        <v>0</v>
      </c>
    </row>
    <row r="767" spans="2:20" outlineLevel="2">
      <c r="E767" s="247" t="str">
        <f>GC!C83</f>
        <v>Repairs</v>
      </c>
      <c r="F767" s="247"/>
      <c r="G767" s="247"/>
      <c r="H767" s="247"/>
      <c r="I767" s="247"/>
      <c r="J767" s="81">
        <f ca="1">SUMPRODUCT((Work_Codes!$AR$393:$AX$393=$E767)*(Work_Codes!$AR$396:$AX$397)*(J$612:J$613))</f>
        <v>0</v>
      </c>
      <c r="K767" s="81">
        <f ca="1">SUMPRODUCT((Work_Codes!$AR$393:$AX$393=$E767)*(Work_Codes!$AR$396:$AX$397)*(K$612:K$613))</f>
        <v>0</v>
      </c>
      <c r="L767" s="81">
        <f ca="1">SUMPRODUCT((Work_Codes!$AR$393:$AX$393=$E767)*(Work_Codes!$AR$396:$AX$397)*(L$612:L$613))</f>
        <v>0</v>
      </c>
      <c r="M767" s="81">
        <f ca="1">SUMPRODUCT((Work_Codes!$AR$393:$AX$393=$E767)*(Work_Codes!$AR$396:$AX$397)*(M$612:M$613))</f>
        <v>0</v>
      </c>
      <c r="N767" s="81">
        <f ca="1">SUMPRODUCT((Work_Codes!$AR$393:$AX$393=$E767)*(Work_Codes!$AR$396:$AX$397)*(N$612:N$613))</f>
        <v>0</v>
      </c>
      <c r="O767" s="81">
        <f ca="1">SUMPRODUCT((Work_Codes!$AR$393:$AX$393=$E767)*(Work_Codes!$AR$396:$AX$397)*(O$612:O$613))</f>
        <v>0</v>
      </c>
      <c r="P767" s="81">
        <f ca="1">SUMPRODUCT((Work_Codes!$AR$393:$AX$393=$E767)*(Work_Codes!$AR$396:$AX$397)*(P$612:P$613))</f>
        <v>0</v>
      </c>
      <c r="Q767" s="81">
        <f ca="1">SUMPRODUCT((Work_Codes!$AR$393:$AX$393=$E767)*(Work_Codes!$AR$396:$AX$397)*(Q$612:Q$613))</f>
        <v>0</v>
      </c>
      <c r="R767" s="81">
        <f ca="1">SUMPRODUCT((Work_Codes!$AR$393:$AX$393=$E767)*(Work_Codes!$AR$396:$AX$397)*(R$612:R$613))</f>
        <v>0</v>
      </c>
      <c r="S767" s="81">
        <f ca="1">SUMPRODUCT((Work_Codes!$AR$393:$AX$393=$E767)*(Work_Codes!$AR$396:$AX$397)*(S$612:S$613))</f>
        <v>0</v>
      </c>
      <c r="T767" s="81">
        <f ca="1">SUMPRODUCT((Work_Codes!$AR$393:$AX$393=$E767)*(Work_Codes!$AR$396:$AX$397)*(T$612:T$613))</f>
        <v>0</v>
      </c>
    </row>
    <row r="768" spans="2:20" outlineLevel="2">
      <c r="E768" s="247" t="str">
        <f>GC!C84</f>
        <v>Land</v>
      </c>
      <c r="F768" s="247"/>
      <c r="G768" s="247"/>
      <c r="H768" s="247"/>
      <c r="I768" s="247"/>
      <c r="J768" s="81">
        <f ca="1">SUMPRODUCT((Work_Codes!$AR$393:$AX$393=$E768)*(Work_Codes!$AR$396:$AX$397)*(J$612:J$613))</f>
        <v>0</v>
      </c>
      <c r="K768" s="81">
        <f ca="1">SUMPRODUCT((Work_Codes!$AR$393:$AX$393=$E768)*(Work_Codes!$AR$396:$AX$397)*(K$612:K$613))</f>
        <v>0</v>
      </c>
      <c r="L768" s="81">
        <f ca="1">SUMPRODUCT((Work_Codes!$AR$393:$AX$393=$E768)*(Work_Codes!$AR$396:$AX$397)*(L$612:L$613))</f>
        <v>0</v>
      </c>
      <c r="M768" s="81">
        <f ca="1">SUMPRODUCT((Work_Codes!$AR$393:$AX$393=$E768)*(Work_Codes!$AR$396:$AX$397)*(M$612:M$613))</f>
        <v>0</v>
      </c>
      <c r="N768" s="81">
        <f ca="1">SUMPRODUCT((Work_Codes!$AR$393:$AX$393=$E768)*(Work_Codes!$AR$396:$AX$397)*(N$612:N$613))</f>
        <v>0</v>
      </c>
      <c r="O768" s="81">
        <f ca="1">SUMPRODUCT((Work_Codes!$AR$393:$AX$393=$E768)*(Work_Codes!$AR$396:$AX$397)*(O$612:O$613))</f>
        <v>0</v>
      </c>
      <c r="P768" s="81">
        <f ca="1">SUMPRODUCT((Work_Codes!$AR$393:$AX$393=$E768)*(Work_Codes!$AR$396:$AX$397)*(P$612:P$613))</f>
        <v>0</v>
      </c>
      <c r="Q768" s="81">
        <f ca="1">SUMPRODUCT((Work_Codes!$AR$393:$AX$393=$E768)*(Work_Codes!$AR$396:$AX$397)*(Q$612:Q$613))</f>
        <v>0</v>
      </c>
      <c r="R768" s="81">
        <f ca="1">SUMPRODUCT((Work_Codes!$AR$393:$AX$393=$E768)*(Work_Codes!$AR$396:$AX$397)*(R$612:R$613))</f>
        <v>0</v>
      </c>
      <c r="S768" s="81">
        <f ca="1">SUMPRODUCT((Work_Codes!$AR$393:$AX$393=$E768)*(Work_Codes!$AR$396:$AX$397)*(S$612:S$613))</f>
        <v>0</v>
      </c>
      <c r="T768" s="81">
        <f ca="1">SUMPRODUCT((Work_Codes!$AR$393:$AX$393=$E768)*(Work_Codes!$AR$396:$AX$397)*(T$612:T$613))</f>
        <v>0</v>
      </c>
    </row>
    <row r="769" spans="2:20" outlineLevel="2">
      <c r="E769" s="249" t="str">
        <f>"Total "&amp;D760</f>
        <v>Total Direct Costs</v>
      </c>
      <c r="F769" s="249"/>
      <c r="G769" s="249"/>
      <c r="H769" s="249"/>
      <c r="I769" s="249"/>
      <c r="J769" s="82">
        <f t="shared" ref="J769:T769" ca="1" si="72">SUM(J762:J768)</f>
        <v>0</v>
      </c>
      <c r="K769" s="82">
        <f t="shared" ca="1" si="72"/>
        <v>0</v>
      </c>
      <c r="L769" s="82">
        <f t="shared" ca="1" si="72"/>
        <v>0</v>
      </c>
      <c r="M769" s="82">
        <f t="shared" ca="1" si="72"/>
        <v>0</v>
      </c>
      <c r="N769" s="82">
        <f t="shared" ca="1" si="72"/>
        <v>802199.70711525122</v>
      </c>
      <c r="O769" s="82">
        <f t="shared" ca="1" si="72"/>
        <v>835608.97432704398</v>
      </c>
      <c r="P769" s="82">
        <f t="shared" ca="1" si="72"/>
        <v>1600294.7238877779</v>
      </c>
      <c r="Q769" s="82">
        <f t="shared" ca="1" si="72"/>
        <v>1626018.3188482048</v>
      </c>
      <c r="R769" s="82">
        <f t="shared" ca="1" si="72"/>
        <v>1651371.8151533026</v>
      </c>
      <c r="S769" s="82">
        <f t="shared" ca="1" si="72"/>
        <v>1631088.6295619586</v>
      </c>
      <c r="T769" s="82">
        <f t="shared" ca="1" si="72"/>
        <v>1610003.275658139</v>
      </c>
    </row>
    <row r="770" spans="2:20" outlineLevel="2"/>
    <row r="771" spans="2:20" outlineLevel="2">
      <c r="D771" s="37" t="s">
        <v>313</v>
      </c>
    </row>
    <row r="772" spans="2:20" ht="5.9" customHeight="1" outlineLevel="2"/>
    <row r="773" spans="2:20" outlineLevel="2">
      <c r="E773" s="247" t="str">
        <f>GC!C78</f>
        <v>Mains &amp; Services</v>
      </c>
      <c r="F773" s="247"/>
      <c r="G773" s="247"/>
      <c r="H773" s="247"/>
      <c r="I773" s="247"/>
      <c r="J773" s="81">
        <f ca="1">J762*(1+INDEX(J$551:J$553,MATCH(Work_Codes!$I$390,$D$551:$D$553,0)))</f>
        <v>0</v>
      </c>
      <c r="K773" s="81">
        <f ca="1">K762*(1+INDEX(K$551:K$553,MATCH(Work_Codes!$I$390,$D$551:$D$553,0)))</f>
        <v>0</v>
      </c>
      <c r="L773" s="81">
        <f ca="1">L762*(1+INDEX(L$551:L$553,MATCH(Work_Codes!$I$390,$D$551:$D$553,0)))</f>
        <v>0</v>
      </c>
      <c r="M773" s="81">
        <f ca="1">M762*(1+INDEX(M$551:M$553,MATCH(Work_Codes!$I$390,$D$551:$D$553,0)))</f>
        <v>0</v>
      </c>
      <c r="N773" s="81">
        <f ca="1">N762*(1+INDEX(N$551:N$553,MATCH(Work_Codes!$I$390,$D$551:$D$553,0)))</f>
        <v>665961.17295429145</v>
      </c>
      <c r="O773" s="81">
        <f ca="1">O762*(1+INDEX(O$551:O$553,MATCH(Work_Codes!$I$390,$D$551:$D$553,0)))</f>
        <v>690737.08605630451</v>
      </c>
      <c r="P773" s="81">
        <f ca="1">P762*(1+INDEX(P$551:P$553,MATCH(Work_Codes!$I$390,$D$551:$D$553,0)))</f>
        <v>1314485.4922859245</v>
      </c>
      <c r="Q773" s="81">
        <f ca="1">Q762*(1+INDEX(Q$551:Q$553,MATCH(Work_Codes!$I$390,$D$551:$D$553,0)))</f>
        <v>1334714.64902209</v>
      </c>
      <c r="R773" s="81">
        <f ca="1">R762*(1+INDEX(R$551:R$553,MATCH(Work_Codes!$I$390,$D$551:$D$553,0)))</f>
        <v>1356599.3118637202</v>
      </c>
      <c r="S773" s="81">
        <f ca="1">S762*(1+INDEX(S$551:S$553,MATCH(Work_Codes!$I$390,$D$551:$D$553,0)))</f>
        <v>1342119.9819432243</v>
      </c>
      <c r="T773" s="81">
        <f ca="1">T762*(1+INDEX(T$551:T$553,MATCH(Work_Codes!$I$390,$D$551:$D$553,0)))</f>
        <v>1326540.1460600039</v>
      </c>
    </row>
    <row r="774" spans="2:20" outlineLevel="2">
      <c r="E774" s="247" t="str">
        <f>GC!C79</f>
        <v>Meters Domestic</v>
      </c>
      <c r="F774" s="247"/>
      <c r="G774" s="247"/>
      <c r="H774" s="247"/>
      <c r="I774" s="247"/>
      <c r="J774" s="81">
        <f ca="1">J763*(1+INDEX(J$551:J$553,MATCH(Work_Codes!$I$390,$D$551:$D$553,0)))</f>
        <v>0</v>
      </c>
      <c r="K774" s="81">
        <f ca="1">K763*(1+INDEX(K$551:K$553,MATCH(Work_Codes!$I$390,$D$551:$D$553,0)))</f>
        <v>0</v>
      </c>
      <c r="L774" s="81">
        <f ca="1">L763*(1+INDEX(L$551:L$553,MATCH(Work_Codes!$I$390,$D$551:$D$553,0)))</f>
        <v>0</v>
      </c>
      <c r="M774" s="81">
        <f ca="1">M763*(1+INDEX(M$551:M$553,MATCH(Work_Codes!$I$390,$D$551:$D$553,0)))</f>
        <v>0</v>
      </c>
      <c r="N774" s="81">
        <f ca="1">N763*(1+INDEX(N$551:N$553,MATCH(Work_Codes!$I$390,$D$551:$D$553,0)))</f>
        <v>0</v>
      </c>
      <c r="O774" s="81">
        <f ca="1">O763*(1+INDEX(O$551:O$553,MATCH(Work_Codes!$I$390,$D$551:$D$553,0)))</f>
        <v>0</v>
      </c>
      <c r="P774" s="81">
        <f ca="1">P763*(1+INDEX(P$551:P$553,MATCH(Work_Codes!$I$390,$D$551:$D$553,0)))</f>
        <v>0</v>
      </c>
      <c r="Q774" s="81">
        <f ca="1">Q763*(1+INDEX(Q$551:Q$553,MATCH(Work_Codes!$I$390,$D$551:$D$553,0)))</f>
        <v>0</v>
      </c>
      <c r="R774" s="81">
        <f ca="1">R763*(1+INDEX(R$551:R$553,MATCH(Work_Codes!$I$390,$D$551:$D$553,0)))</f>
        <v>0</v>
      </c>
      <c r="S774" s="81">
        <f ca="1">S763*(1+INDEX(S$551:S$553,MATCH(Work_Codes!$I$390,$D$551:$D$553,0)))</f>
        <v>0</v>
      </c>
      <c r="T774" s="81">
        <f ca="1">T763*(1+INDEX(T$551:T$553,MATCH(Work_Codes!$I$390,$D$551:$D$553,0)))</f>
        <v>0</v>
      </c>
    </row>
    <row r="775" spans="2:20" outlineLevel="2">
      <c r="E775" s="247" t="str">
        <f>GC!C80</f>
        <v>Meters Industrial &amp; Commercial</v>
      </c>
      <c r="F775" s="247"/>
      <c r="G775" s="247"/>
      <c r="H775" s="247"/>
      <c r="I775" s="247"/>
      <c r="J775" s="81">
        <f ca="1">J764*(1+INDEX(J$551:J$553,MATCH(Work_Codes!$I$390,$D$551:$D$553,0)))</f>
        <v>0</v>
      </c>
      <c r="K775" s="81">
        <f ca="1">K764*(1+INDEX(K$551:K$553,MATCH(Work_Codes!$I$390,$D$551:$D$553,0)))</f>
        <v>0</v>
      </c>
      <c r="L775" s="81">
        <f ca="1">L764*(1+INDEX(L$551:L$553,MATCH(Work_Codes!$I$390,$D$551:$D$553,0)))</f>
        <v>0</v>
      </c>
      <c r="M775" s="81">
        <f ca="1">M764*(1+INDEX(M$551:M$553,MATCH(Work_Codes!$I$390,$D$551:$D$553,0)))</f>
        <v>0</v>
      </c>
      <c r="N775" s="81">
        <f ca="1">N764*(1+INDEX(N$551:N$553,MATCH(Work_Codes!$I$390,$D$551:$D$553,0)))</f>
        <v>166490.29323857286</v>
      </c>
      <c r="O775" s="81">
        <f ca="1">O764*(1+INDEX(O$551:O$553,MATCH(Work_Codes!$I$390,$D$551:$D$553,0)))</f>
        <v>172684.27151407613</v>
      </c>
      <c r="P775" s="81">
        <f ca="1">P764*(1+INDEX(P$551:P$553,MATCH(Work_Codes!$I$390,$D$551:$D$553,0)))</f>
        <v>328621.37307148112</v>
      </c>
      <c r="Q775" s="81">
        <f ca="1">Q764*(1+INDEX(Q$551:Q$553,MATCH(Work_Codes!$I$390,$D$551:$D$553,0)))</f>
        <v>333678.6622555225</v>
      </c>
      <c r="R775" s="81">
        <f ca="1">R764*(1+INDEX(R$551:R$553,MATCH(Work_Codes!$I$390,$D$551:$D$553,0)))</f>
        <v>339149.82796593005</v>
      </c>
      <c r="S775" s="81">
        <f ca="1">S764*(1+INDEX(S$551:S$553,MATCH(Work_Codes!$I$390,$D$551:$D$553,0)))</f>
        <v>335529.99548580608</v>
      </c>
      <c r="T775" s="81">
        <f ca="1">T764*(1+INDEX(T$551:T$553,MATCH(Work_Codes!$I$390,$D$551:$D$553,0)))</f>
        <v>331635.03651500097</v>
      </c>
    </row>
    <row r="776" spans="2:20" outlineLevel="2">
      <c r="E776" s="247" t="str">
        <f>GC!C81</f>
        <v>Buildings</v>
      </c>
      <c r="F776" s="247"/>
      <c r="G776" s="247"/>
      <c r="H776" s="247"/>
      <c r="I776" s="247"/>
      <c r="J776" s="81">
        <f ca="1">J765*(1+INDEX(J$551:J$553,MATCH(Work_Codes!$I$390,$D$551:$D$553,0)))</f>
        <v>0</v>
      </c>
      <c r="K776" s="81">
        <f ca="1">K765*(1+INDEX(K$551:K$553,MATCH(Work_Codes!$I$390,$D$551:$D$553,0)))</f>
        <v>0</v>
      </c>
      <c r="L776" s="81">
        <f ca="1">L765*(1+INDEX(L$551:L$553,MATCH(Work_Codes!$I$390,$D$551:$D$553,0)))</f>
        <v>0</v>
      </c>
      <c r="M776" s="81">
        <f ca="1">M765*(1+INDEX(M$551:M$553,MATCH(Work_Codes!$I$390,$D$551:$D$553,0)))</f>
        <v>0</v>
      </c>
      <c r="N776" s="81">
        <f ca="1">N765*(1+INDEX(N$551:N$553,MATCH(Work_Codes!$I$390,$D$551:$D$553,0)))</f>
        <v>0</v>
      </c>
      <c r="O776" s="81">
        <f ca="1">O765*(1+INDEX(O$551:O$553,MATCH(Work_Codes!$I$390,$D$551:$D$553,0)))</f>
        <v>0</v>
      </c>
      <c r="P776" s="81">
        <f ca="1">P765*(1+INDEX(P$551:P$553,MATCH(Work_Codes!$I$390,$D$551:$D$553,0)))</f>
        <v>0</v>
      </c>
      <c r="Q776" s="81">
        <f ca="1">Q765*(1+INDEX(Q$551:Q$553,MATCH(Work_Codes!$I$390,$D$551:$D$553,0)))</f>
        <v>0</v>
      </c>
      <c r="R776" s="81">
        <f ca="1">R765*(1+INDEX(R$551:R$553,MATCH(Work_Codes!$I$390,$D$551:$D$553,0)))</f>
        <v>0</v>
      </c>
      <c r="S776" s="81">
        <f ca="1">S765*(1+INDEX(S$551:S$553,MATCH(Work_Codes!$I$390,$D$551:$D$553,0)))</f>
        <v>0</v>
      </c>
      <c r="T776" s="81">
        <f ca="1">T765*(1+INDEX(T$551:T$553,MATCH(Work_Codes!$I$390,$D$551:$D$553,0)))</f>
        <v>0</v>
      </c>
    </row>
    <row r="777" spans="2:20" outlineLevel="2">
      <c r="E777" s="247" t="str">
        <f>GC!C82</f>
        <v>Other Assets</v>
      </c>
      <c r="F777" s="247"/>
      <c r="G777" s="247"/>
      <c r="H777" s="247"/>
      <c r="I777" s="247"/>
      <c r="J777" s="81">
        <f ca="1">J766*(1+INDEX(J$551:J$553,MATCH(Work_Codes!$I$390,$D$551:$D$553,0)))</f>
        <v>0</v>
      </c>
      <c r="K777" s="81">
        <f ca="1">K766*(1+INDEX(K$551:K$553,MATCH(Work_Codes!$I$390,$D$551:$D$553,0)))</f>
        <v>0</v>
      </c>
      <c r="L777" s="81">
        <f ca="1">L766*(1+INDEX(L$551:L$553,MATCH(Work_Codes!$I$390,$D$551:$D$553,0)))</f>
        <v>0</v>
      </c>
      <c r="M777" s="81">
        <f ca="1">M766*(1+INDEX(M$551:M$553,MATCH(Work_Codes!$I$390,$D$551:$D$553,0)))</f>
        <v>0</v>
      </c>
      <c r="N777" s="81">
        <f ca="1">N766*(1+INDEX(N$551:N$553,MATCH(Work_Codes!$I$390,$D$551:$D$553,0)))</f>
        <v>0</v>
      </c>
      <c r="O777" s="81">
        <f ca="1">O766*(1+INDEX(O$551:O$553,MATCH(Work_Codes!$I$390,$D$551:$D$553,0)))</f>
        <v>0</v>
      </c>
      <c r="P777" s="81">
        <f ca="1">P766*(1+INDEX(P$551:P$553,MATCH(Work_Codes!$I$390,$D$551:$D$553,0)))</f>
        <v>0</v>
      </c>
      <c r="Q777" s="81">
        <f ca="1">Q766*(1+INDEX(Q$551:Q$553,MATCH(Work_Codes!$I$390,$D$551:$D$553,0)))</f>
        <v>0</v>
      </c>
      <c r="R777" s="81">
        <f ca="1">R766*(1+INDEX(R$551:R$553,MATCH(Work_Codes!$I$390,$D$551:$D$553,0)))</f>
        <v>0</v>
      </c>
      <c r="S777" s="81">
        <f ca="1">S766*(1+INDEX(S$551:S$553,MATCH(Work_Codes!$I$390,$D$551:$D$553,0)))</f>
        <v>0</v>
      </c>
      <c r="T777" s="81">
        <f ca="1">T766*(1+INDEX(T$551:T$553,MATCH(Work_Codes!$I$390,$D$551:$D$553,0)))</f>
        <v>0</v>
      </c>
    </row>
    <row r="778" spans="2:20" outlineLevel="2">
      <c r="E778" s="247" t="str">
        <f>GC!C83</f>
        <v>Repairs</v>
      </c>
      <c r="F778" s="247"/>
      <c r="G778" s="247"/>
      <c r="H778" s="247"/>
      <c r="I778" s="247"/>
      <c r="J778" s="81">
        <f ca="1">J767*(1+INDEX(J$551:J$553,MATCH(Work_Codes!$I$390,$D$551:$D$553,0)))</f>
        <v>0</v>
      </c>
      <c r="K778" s="81">
        <f ca="1">K767*(1+INDEX(K$551:K$553,MATCH(Work_Codes!$I$390,$D$551:$D$553,0)))</f>
        <v>0</v>
      </c>
      <c r="L778" s="81">
        <f ca="1">L767*(1+INDEX(L$551:L$553,MATCH(Work_Codes!$I$390,$D$551:$D$553,0)))</f>
        <v>0</v>
      </c>
      <c r="M778" s="81">
        <f ca="1">M767*(1+INDEX(M$551:M$553,MATCH(Work_Codes!$I$390,$D$551:$D$553,0)))</f>
        <v>0</v>
      </c>
      <c r="N778" s="81">
        <f ca="1">N767*(1+INDEX(N$551:N$553,MATCH(Work_Codes!$I$390,$D$551:$D$553,0)))</f>
        <v>0</v>
      </c>
      <c r="O778" s="81">
        <f ca="1">O767*(1+INDEX(O$551:O$553,MATCH(Work_Codes!$I$390,$D$551:$D$553,0)))</f>
        <v>0</v>
      </c>
      <c r="P778" s="81">
        <f ca="1">P767*(1+INDEX(P$551:P$553,MATCH(Work_Codes!$I$390,$D$551:$D$553,0)))</f>
        <v>0</v>
      </c>
      <c r="Q778" s="81">
        <f ca="1">Q767*(1+INDEX(Q$551:Q$553,MATCH(Work_Codes!$I$390,$D$551:$D$553,0)))</f>
        <v>0</v>
      </c>
      <c r="R778" s="81">
        <f ca="1">R767*(1+INDEX(R$551:R$553,MATCH(Work_Codes!$I$390,$D$551:$D$553,0)))</f>
        <v>0</v>
      </c>
      <c r="S778" s="81">
        <f ca="1">S767*(1+INDEX(S$551:S$553,MATCH(Work_Codes!$I$390,$D$551:$D$553,0)))</f>
        <v>0</v>
      </c>
      <c r="T778" s="81">
        <f ca="1">T767*(1+INDEX(T$551:T$553,MATCH(Work_Codes!$I$390,$D$551:$D$553,0)))</f>
        <v>0</v>
      </c>
    </row>
    <row r="779" spans="2:20" outlineLevel="2">
      <c r="E779" s="247" t="str">
        <f>GC!C84</f>
        <v>Land</v>
      </c>
      <c r="F779" s="247"/>
      <c r="G779" s="247"/>
      <c r="H779" s="247"/>
      <c r="I779" s="247"/>
      <c r="J779" s="81">
        <f ca="1">J768*(1+INDEX(J$551:J$553,MATCH(Work_Codes!$I$390,$D$551:$D$553,0)))</f>
        <v>0</v>
      </c>
      <c r="K779" s="81">
        <f ca="1">K768*(1+INDEX(K$551:K$553,MATCH(Work_Codes!$I$390,$D$551:$D$553,0)))</f>
        <v>0</v>
      </c>
      <c r="L779" s="81">
        <f ca="1">L768*(1+INDEX(L$551:L$553,MATCH(Work_Codes!$I$390,$D$551:$D$553,0)))</f>
        <v>0</v>
      </c>
      <c r="M779" s="81">
        <f ca="1">M768*(1+INDEX(M$551:M$553,MATCH(Work_Codes!$I$390,$D$551:$D$553,0)))</f>
        <v>0</v>
      </c>
      <c r="N779" s="81">
        <f ca="1">N768*(1+INDEX(N$551:N$553,MATCH(Work_Codes!$I$390,$D$551:$D$553,0)))</f>
        <v>0</v>
      </c>
      <c r="O779" s="81">
        <f ca="1">O768*(1+INDEX(O$551:O$553,MATCH(Work_Codes!$I$390,$D$551:$D$553,0)))</f>
        <v>0</v>
      </c>
      <c r="P779" s="81">
        <f ca="1">P768*(1+INDEX(P$551:P$553,MATCH(Work_Codes!$I$390,$D$551:$D$553,0)))</f>
        <v>0</v>
      </c>
      <c r="Q779" s="81">
        <f ca="1">Q768*(1+INDEX(Q$551:Q$553,MATCH(Work_Codes!$I$390,$D$551:$D$553,0)))</f>
        <v>0</v>
      </c>
      <c r="R779" s="81">
        <f ca="1">R768*(1+INDEX(R$551:R$553,MATCH(Work_Codes!$I$390,$D$551:$D$553,0)))</f>
        <v>0</v>
      </c>
      <c r="S779" s="81">
        <f ca="1">S768*(1+INDEX(S$551:S$553,MATCH(Work_Codes!$I$390,$D$551:$D$553,0)))</f>
        <v>0</v>
      </c>
      <c r="T779" s="81">
        <f ca="1">T768*(1+INDEX(T$551:T$553,MATCH(Work_Codes!$I$390,$D$551:$D$553,0)))</f>
        <v>0</v>
      </c>
    </row>
    <row r="780" spans="2:20" outlineLevel="2">
      <c r="E780" s="249" t="str">
        <f>"Total "&amp;D771</f>
        <v>Total Direct Costs +  Overheads</v>
      </c>
      <c r="F780" s="249"/>
      <c r="G780" s="249"/>
      <c r="H780" s="249"/>
      <c r="I780" s="249"/>
      <c r="J780" s="82">
        <f t="shared" ref="J780:T780" ca="1" si="73">SUM(J773:J779)</f>
        <v>0</v>
      </c>
      <c r="K780" s="82">
        <f t="shared" ca="1" si="73"/>
        <v>0</v>
      </c>
      <c r="L780" s="82">
        <f t="shared" ca="1" si="73"/>
        <v>0</v>
      </c>
      <c r="M780" s="82">
        <f t="shared" ca="1" si="73"/>
        <v>0</v>
      </c>
      <c r="N780" s="82">
        <f t="shared" ca="1" si="73"/>
        <v>832451.46619286435</v>
      </c>
      <c r="O780" s="82">
        <f t="shared" ca="1" si="73"/>
        <v>863421.35757038067</v>
      </c>
      <c r="P780" s="82">
        <f t="shared" ca="1" si="73"/>
        <v>1643106.8653574055</v>
      </c>
      <c r="Q780" s="82">
        <f t="shared" ca="1" si="73"/>
        <v>1668393.3112776126</v>
      </c>
      <c r="R780" s="82">
        <f t="shared" ca="1" si="73"/>
        <v>1695749.1398296503</v>
      </c>
      <c r="S780" s="82">
        <f t="shared" ca="1" si="73"/>
        <v>1677649.9774290305</v>
      </c>
      <c r="T780" s="82">
        <f t="shared" ca="1" si="73"/>
        <v>1658175.1825750049</v>
      </c>
    </row>
    <row r="781" spans="2:20" outlineLevel="1">
      <c r="B781" s="12"/>
      <c r="C781" s="12"/>
      <c r="D781" s="12"/>
      <c r="E781" s="12"/>
      <c r="F781" s="12"/>
      <c r="G781" s="12"/>
      <c r="H781" s="12"/>
      <c r="I781" s="12"/>
      <c r="J781" s="12"/>
      <c r="K781" s="12"/>
      <c r="L781" s="12"/>
      <c r="M781" s="12"/>
      <c r="N781" s="12"/>
      <c r="O781" s="12"/>
      <c r="P781" s="12"/>
      <c r="Q781" s="12"/>
      <c r="R781" s="12"/>
      <c r="S781" s="12"/>
      <c r="T781" s="12"/>
    </row>
    <row r="782" spans="2:20" outlineLevel="1"/>
    <row r="783" spans="2:20" outlineLevel="1">
      <c r="C783" s="37" t="s">
        <v>19</v>
      </c>
    </row>
    <row r="784" spans="2:20" ht="5.9" customHeight="1" outlineLevel="1"/>
    <row r="785" spans="2:20" outlineLevel="1">
      <c r="F785" s="51" t="str">
        <f>$B$539&amp;" Work Code v RAB Category Direct Check"</f>
        <v>3021 - Inputs Work Code v RAB Category Direct Check</v>
      </c>
      <c r="I785" s="130">
        <f ca="1">IF(ISERROR(SUM(J785:T785)),1,MIN(SUM(J785:T785),1))</f>
        <v>0</v>
      </c>
      <c r="J785" s="81">
        <f t="shared" ref="J785:T785" ca="1" si="74">J615-J638</f>
        <v>0</v>
      </c>
      <c r="K785" s="81">
        <f t="shared" ca="1" si="74"/>
        <v>0</v>
      </c>
      <c r="L785" s="81">
        <f t="shared" ca="1" si="74"/>
        <v>0</v>
      </c>
      <c r="M785" s="81">
        <f t="shared" ca="1" si="74"/>
        <v>0</v>
      </c>
      <c r="N785" s="81">
        <f t="shared" ca="1" si="74"/>
        <v>0</v>
      </c>
      <c r="O785" s="81">
        <f t="shared" ca="1" si="74"/>
        <v>0</v>
      </c>
      <c r="P785" s="81">
        <f t="shared" ca="1" si="74"/>
        <v>0</v>
      </c>
      <c r="Q785" s="81">
        <f t="shared" ca="1" si="74"/>
        <v>0</v>
      </c>
      <c r="R785" s="81">
        <f t="shared" ca="1" si="74"/>
        <v>0</v>
      </c>
      <c r="S785" s="81">
        <f t="shared" ca="1" si="74"/>
        <v>0</v>
      </c>
      <c r="T785" s="81">
        <f t="shared" ca="1" si="74"/>
        <v>0</v>
      </c>
    </row>
    <row r="786" spans="2:20" outlineLevel="1">
      <c r="F786" s="51" t="str">
        <f>$B$539&amp;" Work Code v RIN Category Direct Check"</f>
        <v>3021 - Inputs Work Code v RIN Category Direct Check</v>
      </c>
      <c r="I786" s="130">
        <f ca="1">IF(ISERROR(SUM(J786:T786)),1,MIN(SUM(J786:T786),1))</f>
        <v>0</v>
      </c>
      <c r="J786" s="81">
        <f t="shared" ref="J786:T786" ca="1" si="75">J615-J719</f>
        <v>0</v>
      </c>
      <c r="K786" s="81">
        <f t="shared" ca="1" si="75"/>
        <v>0</v>
      </c>
      <c r="L786" s="81">
        <f t="shared" ca="1" si="75"/>
        <v>0</v>
      </c>
      <c r="M786" s="81">
        <f t="shared" ca="1" si="75"/>
        <v>0</v>
      </c>
      <c r="N786" s="81">
        <f t="shared" ca="1" si="75"/>
        <v>0</v>
      </c>
      <c r="O786" s="81">
        <f t="shared" ca="1" si="75"/>
        <v>0</v>
      </c>
      <c r="P786" s="81">
        <f t="shared" ca="1" si="75"/>
        <v>0</v>
      </c>
      <c r="Q786" s="81">
        <f t="shared" ca="1" si="75"/>
        <v>0</v>
      </c>
      <c r="R786" s="81">
        <f t="shared" ca="1" si="75"/>
        <v>0</v>
      </c>
      <c r="S786" s="81">
        <f t="shared" ca="1" si="75"/>
        <v>0</v>
      </c>
      <c r="T786" s="81">
        <f t="shared" ca="1" si="75"/>
        <v>0</v>
      </c>
    </row>
    <row r="787" spans="2:20" outlineLevel="1">
      <c r="F787" s="51" t="str">
        <f>$B$539&amp;" Work Code v Tax Category Direct Check"</f>
        <v>3021 - Inputs Work Code v Tax Category Direct Check</v>
      </c>
      <c r="I787" s="130">
        <f ca="1">IF(ISERROR(SUM(J787:T787)),1,MIN(SUM(J787:T787),1))</f>
        <v>0</v>
      </c>
      <c r="J787" s="81">
        <f t="shared" ref="J787:T787" ca="1" si="76">J615-J769</f>
        <v>0</v>
      </c>
      <c r="K787" s="81">
        <f t="shared" ca="1" si="76"/>
        <v>0</v>
      </c>
      <c r="L787" s="81">
        <f t="shared" ca="1" si="76"/>
        <v>0</v>
      </c>
      <c r="M787" s="81">
        <f t="shared" ca="1" si="76"/>
        <v>0</v>
      </c>
      <c r="N787" s="81">
        <f t="shared" ca="1" si="76"/>
        <v>0</v>
      </c>
      <c r="O787" s="81">
        <f t="shared" ca="1" si="76"/>
        <v>0</v>
      </c>
      <c r="P787" s="81">
        <f t="shared" ca="1" si="76"/>
        <v>0</v>
      </c>
      <c r="Q787" s="81">
        <f t="shared" ca="1" si="76"/>
        <v>0</v>
      </c>
      <c r="R787" s="81">
        <f t="shared" ca="1" si="76"/>
        <v>0</v>
      </c>
      <c r="S787" s="81">
        <f t="shared" ca="1" si="76"/>
        <v>0</v>
      </c>
      <c r="T787" s="81">
        <f t="shared" ca="1" si="76"/>
        <v>0</v>
      </c>
    </row>
    <row r="788" spans="2:20" outlineLevel="1">
      <c r="F788" s="51" t="str">
        <f>$B$539&amp;" Customer Contributions v RAB Category Direct Check"</f>
        <v>3021 - Inputs Customer Contributions v RAB Category Direct Check</v>
      </c>
      <c r="I788" s="130">
        <f ca="1">IF(ISERROR(SUM(J788:T788)),1,MIN(SUM(J788:T788),1))</f>
        <v>0</v>
      </c>
      <c r="J788" s="81">
        <f t="shared" ref="J788:T788" ca="1" si="77">J584-J698</f>
        <v>0</v>
      </c>
      <c r="K788" s="81">
        <f t="shared" ca="1" si="77"/>
        <v>0</v>
      </c>
      <c r="L788" s="81">
        <f t="shared" ca="1" si="77"/>
        <v>0</v>
      </c>
      <c r="M788" s="81">
        <f t="shared" ca="1" si="77"/>
        <v>0</v>
      </c>
      <c r="N788" s="81">
        <f t="shared" ca="1" si="77"/>
        <v>0</v>
      </c>
      <c r="O788" s="81">
        <f t="shared" ca="1" si="77"/>
        <v>0</v>
      </c>
      <c r="P788" s="81">
        <f t="shared" ca="1" si="77"/>
        <v>0</v>
      </c>
      <c r="Q788" s="81">
        <f t="shared" ca="1" si="77"/>
        <v>0</v>
      </c>
      <c r="R788" s="81">
        <f t="shared" ca="1" si="77"/>
        <v>0</v>
      </c>
      <c r="S788" s="81">
        <f t="shared" ca="1" si="77"/>
        <v>0</v>
      </c>
      <c r="T788" s="81">
        <f t="shared" ca="1" si="77"/>
        <v>0</v>
      </c>
    </row>
    <row r="789" spans="2:20" ht="5.9" customHeight="1" outlineLevel="1"/>
    <row r="790" spans="2:20" outlineLevel="1">
      <c r="F790" s="51" t="str">
        <f>$B$539&amp;" RAB v RIN Direct + Overhead Check"</f>
        <v>3021 - Inputs RAB v RIN Direct + Overhead Check</v>
      </c>
      <c r="I790" s="130">
        <f ca="1">IF(ISERROR(SUM(J790:T790)),1,MIN(SUM(J790:T790),1))</f>
        <v>0</v>
      </c>
      <c r="J790" s="81">
        <f t="shared" ref="J790:T790" ca="1" si="78">J678-J737</f>
        <v>0</v>
      </c>
      <c r="K790" s="81">
        <f t="shared" ca="1" si="78"/>
        <v>0</v>
      </c>
      <c r="L790" s="81">
        <f t="shared" ca="1" si="78"/>
        <v>0</v>
      </c>
      <c r="M790" s="81">
        <f t="shared" ca="1" si="78"/>
        <v>0</v>
      </c>
      <c r="N790" s="81">
        <f t="shared" ca="1" si="78"/>
        <v>0</v>
      </c>
      <c r="O790" s="81">
        <f t="shared" ca="1" si="78"/>
        <v>0</v>
      </c>
      <c r="P790" s="81">
        <f t="shared" ca="1" si="78"/>
        <v>0</v>
      </c>
      <c r="Q790" s="81">
        <f t="shared" ca="1" si="78"/>
        <v>0</v>
      </c>
      <c r="R790" s="81">
        <f t="shared" ca="1" si="78"/>
        <v>0</v>
      </c>
      <c r="S790" s="81">
        <f t="shared" ca="1" si="78"/>
        <v>0</v>
      </c>
      <c r="T790" s="81">
        <f t="shared" ca="1" si="78"/>
        <v>0</v>
      </c>
    </row>
    <row r="791" spans="2:20" outlineLevel="1">
      <c r="F791" s="51" t="str">
        <f>$B$539&amp;" RAB v Tax Direct + Overhead Check"</f>
        <v>3021 - Inputs RAB v Tax Direct + Overhead Check</v>
      </c>
      <c r="I791" s="130">
        <f ca="1">IF(ISERROR(SUM(J791:T791)),1,MIN(SUM(J791:T791),1))</f>
        <v>0</v>
      </c>
      <c r="J791" s="81">
        <f t="shared" ref="J791:T791" ca="1" si="79">J678-J780</f>
        <v>0</v>
      </c>
      <c r="K791" s="81">
        <f t="shared" ca="1" si="79"/>
        <v>0</v>
      </c>
      <c r="L791" s="81">
        <f t="shared" ca="1" si="79"/>
        <v>0</v>
      </c>
      <c r="M791" s="81">
        <f t="shared" ca="1" si="79"/>
        <v>0</v>
      </c>
      <c r="N791" s="81">
        <f t="shared" ca="1" si="79"/>
        <v>0</v>
      </c>
      <c r="O791" s="81">
        <f t="shared" ca="1" si="79"/>
        <v>0</v>
      </c>
      <c r="P791" s="81">
        <f t="shared" ca="1" si="79"/>
        <v>0</v>
      </c>
      <c r="Q791" s="81">
        <f t="shared" ca="1" si="79"/>
        <v>0</v>
      </c>
      <c r="R791" s="81">
        <f t="shared" ca="1" si="79"/>
        <v>0</v>
      </c>
      <c r="S791" s="81">
        <f t="shared" ca="1" si="79"/>
        <v>0</v>
      </c>
      <c r="T791" s="81">
        <f t="shared" ca="1" si="79"/>
        <v>0</v>
      </c>
    </row>
    <row r="792" spans="2:20" ht="12" outlineLevel="1" thickBot="1">
      <c r="B792" s="94"/>
      <c r="C792" s="94"/>
      <c r="D792" s="94"/>
      <c r="E792" s="94"/>
      <c r="F792" s="94"/>
      <c r="G792" s="94"/>
      <c r="H792" s="94"/>
      <c r="I792" s="94"/>
      <c r="J792" s="94"/>
      <c r="K792" s="94"/>
      <c r="L792" s="94"/>
      <c r="M792" s="94"/>
      <c r="N792" s="94"/>
      <c r="O792" s="94"/>
      <c r="P792" s="94"/>
      <c r="Q792" s="94"/>
      <c r="R792" s="94"/>
      <c r="S792" s="94"/>
      <c r="T792" s="94"/>
    </row>
    <row r="794" spans="2:20" ht="14">
      <c r="B794" s="110" t="s">
        <v>268</v>
      </c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</row>
    <row r="795" spans="2:20" ht="5.9" customHeight="1"/>
    <row r="796" spans="2:20" ht="14">
      <c r="B796" s="56" t="str">
        <f>GC!F29</f>
        <v>Major Alterations</v>
      </c>
    </row>
    <row r="797" spans="2:20" ht="5.9" customHeight="1" outlineLevel="1"/>
    <row r="798" spans="2:20" hidden="1" outlineLevel="2">
      <c r="C798" s="37" t="s">
        <v>204</v>
      </c>
    </row>
    <row r="799" spans="2:20" ht="5.9" hidden="1" customHeight="1" outlineLevel="2"/>
    <row r="800" spans="2:20" hidden="1" outlineLevel="2">
      <c r="D800" s="51" t="s">
        <v>103</v>
      </c>
      <c r="J800" s="92">
        <f>Rates!J42</f>
        <v>1</v>
      </c>
      <c r="K800" s="92">
        <f>Rates!K42</f>
        <v>1</v>
      </c>
      <c r="L800" s="92">
        <f>Rates!L42</f>
        <v>1</v>
      </c>
      <c r="M800" s="92">
        <f>Rates!M42</f>
        <v>1</v>
      </c>
      <c r="N800" s="92">
        <f>Rates!N42</f>
        <v>1</v>
      </c>
      <c r="O800" s="92">
        <f>Rates!O42</f>
        <v>1.0051959235721353</v>
      </c>
      <c r="P800" s="92">
        <f>Rates!P42</f>
        <v>1.0102301741405761</v>
      </c>
      <c r="Q800" s="92">
        <f>Rates!Q42</f>
        <v>1.0181072873442809</v>
      </c>
      <c r="R800" s="92">
        <f>Rates!R42</f>
        <v>1.0293150686557422</v>
      </c>
      <c r="S800" s="92">
        <f>Rates!S42</f>
        <v>1.040646230246951</v>
      </c>
      <c r="T800" s="92">
        <f>Rates!T42</f>
        <v>1.0521021303433229</v>
      </c>
    </row>
    <row r="801" spans="3:20" hidden="1" outlineLevel="2">
      <c r="D801" s="51" t="s">
        <v>104</v>
      </c>
      <c r="J801" s="92">
        <f>Rates!J43</f>
        <v>1</v>
      </c>
      <c r="K801" s="92">
        <f>Rates!K43</f>
        <v>1</v>
      </c>
      <c r="L801" s="92">
        <f>Rates!L43</f>
        <v>1</v>
      </c>
      <c r="M801" s="92">
        <f>Rates!M43</f>
        <v>1</v>
      </c>
      <c r="N801" s="92">
        <f>Rates!N43</f>
        <v>1</v>
      </c>
      <c r="O801" s="92">
        <f>Rates!O43</f>
        <v>1</v>
      </c>
      <c r="P801" s="92">
        <f>Rates!P43</f>
        <v>1</v>
      </c>
      <c r="Q801" s="92">
        <f>Rates!Q43</f>
        <v>1</v>
      </c>
      <c r="R801" s="92">
        <f>Rates!R43</f>
        <v>1</v>
      </c>
      <c r="S801" s="92">
        <f>Rates!S43</f>
        <v>1</v>
      </c>
      <c r="T801" s="92">
        <f>Rates!T43</f>
        <v>1</v>
      </c>
    </row>
    <row r="802" spans="3:20" hidden="1" outlineLevel="2">
      <c r="D802" s="51" t="s">
        <v>130</v>
      </c>
      <c r="J802" s="92">
        <f>Rates!J45</f>
        <v>1</v>
      </c>
      <c r="K802" s="92">
        <f>Rates!K45</f>
        <v>1</v>
      </c>
      <c r="L802" s="92">
        <f>Rates!L45</f>
        <v>1</v>
      </c>
      <c r="M802" s="92">
        <f>Rates!M45</f>
        <v>1</v>
      </c>
      <c r="N802" s="92">
        <f>Rates!N45</f>
        <v>1</v>
      </c>
      <c r="O802" s="92">
        <f>Rates!O45</f>
        <v>1</v>
      </c>
      <c r="P802" s="92">
        <f>Rates!P45</f>
        <v>1</v>
      </c>
      <c r="Q802" s="92">
        <f>Rates!Q45</f>
        <v>1</v>
      </c>
      <c r="R802" s="92">
        <f>Rates!R45</f>
        <v>1</v>
      </c>
      <c r="S802" s="92">
        <f>Rates!S45</f>
        <v>1</v>
      </c>
      <c r="T802" s="92">
        <f>Rates!T45</f>
        <v>1</v>
      </c>
    </row>
    <row r="803" spans="3:20" ht="5.9" hidden="1" customHeight="1" outlineLevel="2"/>
    <row r="804" spans="3:20" hidden="1" outlineLevel="2">
      <c r="C804" s="37" t="s">
        <v>105</v>
      </c>
    </row>
    <row r="805" spans="3:20" ht="5.9" hidden="1" customHeight="1" outlineLevel="2"/>
    <row r="806" spans="3:20" hidden="1" outlineLevel="2">
      <c r="D806" s="51" t="s">
        <v>106</v>
      </c>
      <c r="J806" s="100">
        <f>Rates!J50</f>
        <v>6.9591273870889495E-2</v>
      </c>
      <c r="K806" s="100">
        <f>Rates!K50</f>
        <v>7.3934468928182201E-2</v>
      </c>
      <c r="L806" s="100">
        <f>Rates!L50</f>
        <v>7.5085976469407303E-2</v>
      </c>
      <c r="M806" s="100">
        <f>Rates!M50</f>
        <v>8.0103391005934096E-2</v>
      </c>
      <c r="N806" s="100">
        <f>Rates!N50</f>
        <v>3.7711007382937055E-2</v>
      </c>
      <c r="O806" s="100">
        <f>Rates!O50</f>
        <v>3.3283969054706777E-2</v>
      </c>
      <c r="P806" s="100">
        <f>Rates!P50</f>
        <v>2.6752660513445464E-2</v>
      </c>
      <c r="Q806" s="100">
        <f>Rates!Q50</f>
        <v>2.6060587348993774E-2</v>
      </c>
      <c r="R806" s="100">
        <f>Rates!R50</f>
        <v>2.6873005987587139E-2</v>
      </c>
      <c r="S806" s="100">
        <f>Rates!S50</f>
        <v>2.8546178928104012E-2</v>
      </c>
      <c r="T806" s="100">
        <f>Rates!T50</f>
        <v>2.9920378203686534E-2</v>
      </c>
    </row>
    <row r="807" spans="3:20" hidden="1" outlineLevel="2">
      <c r="D807" s="51" t="s">
        <v>107</v>
      </c>
      <c r="J807" s="100">
        <f>Rates!J51</f>
        <v>5.5842732834613398E-2</v>
      </c>
      <c r="K807" s="100">
        <f>Rates!K51</f>
        <v>5.16564294790849E-2</v>
      </c>
      <c r="L807" s="100">
        <f>Rates!L51</f>
        <v>6.0535031919173997E-2</v>
      </c>
      <c r="M807" s="100">
        <f>Rates!M51</f>
        <v>7.1630695797579302E-2</v>
      </c>
      <c r="N807" s="100">
        <f>Rates!N51</f>
        <v>7.4343858126268231E-2</v>
      </c>
      <c r="O807" s="100">
        <f>Rates!O51</f>
        <v>7.4059082290758096E-2</v>
      </c>
      <c r="P807" s="100">
        <f>Rates!P51</f>
        <v>2.4388539961794877E-2</v>
      </c>
      <c r="Q807" s="100">
        <f>Rates!Q51</f>
        <v>2.1171310758207256E-2</v>
      </c>
      <c r="R807" s="100">
        <f>Rates!R51</f>
        <v>2.0024144075344485E-2</v>
      </c>
      <c r="S807" s="100">
        <f>Rates!S51</f>
        <v>3.9620009613577346E-2</v>
      </c>
      <c r="T807" s="100">
        <f>Rates!T51</f>
        <v>5.404914337922874E-2</v>
      </c>
    </row>
    <row r="808" spans="3:20" hidden="1" outlineLevel="2">
      <c r="D808" s="51" t="s">
        <v>108</v>
      </c>
      <c r="J808" s="100">
        <f>Rates!J52</f>
        <v>0</v>
      </c>
      <c r="K808" s="100">
        <f>Rates!K52</f>
        <v>0</v>
      </c>
      <c r="L808" s="100">
        <f>Rates!L52</f>
        <v>0</v>
      </c>
      <c r="M808" s="100">
        <f>Rates!M52</f>
        <v>0</v>
      </c>
      <c r="N808" s="100">
        <f>Rates!N52</f>
        <v>0</v>
      </c>
      <c r="O808" s="100">
        <f>Rates!O52</f>
        <v>0</v>
      </c>
      <c r="P808" s="100">
        <f>Rates!P52</f>
        <v>0</v>
      </c>
      <c r="Q808" s="100">
        <f>Rates!Q52</f>
        <v>0</v>
      </c>
      <c r="R808" s="100">
        <f>Rates!R52</f>
        <v>0</v>
      </c>
      <c r="S808" s="100">
        <f>Rates!S52</f>
        <v>0</v>
      </c>
      <c r="T808" s="100">
        <f>Rates!T52</f>
        <v>0</v>
      </c>
    </row>
    <row r="809" spans="3:20" outlineLevel="1" collapsed="1"/>
    <row r="810" spans="3:20" ht="5.9" customHeight="1" outlineLevel="1"/>
    <row r="811" spans="3:20" outlineLevel="1">
      <c r="C811" s="37" t="s">
        <v>118</v>
      </c>
    </row>
    <row r="812" spans="3:20" ht="5.9" customHeight="1" outlineLevel="1"/>
    <row r="813" spans="3:20" outlineLevel="1">
      <c r="D813" s="37" t="s">
        <v>160</v>
      </c>
      <c r="H813" s="107" t="s">
        <v>192</v>
      </c>
    </row>
    <row r="814" spans="3:20" ht="5.9" customHeight="1" outlineLevel="1"/>
    <row r="815" spans="3:20" outlineLevel="1">
      <c r="D815" s="102" t="str">
        <f>Work_Codes!D412</f>
        <v>Major Alterations</v>
      </c>
      <c r="H815" s="63"/>
      <c r="J815" s="125"/>
      <c r="K815" s="125"/>
      <c r="L815" s="125"/>
      <c r="M815" s="125"/>
      <c r="N815" s="212"/>
      <c r="O815" s="212"/>
      <c r="P815" s="212"/>
      <c r="Q815" s="212"/>
      <c r="R815" s="212"/>
      <c r="S815" s="212"/>
      <c r="T815" s="212"/>
    </row>
    <row r="816" spans="3:20" outlineLevel="1">
      <c r="D816" s="102" t="str">
        <f>Work_Codes!D413</f>
        <v>Major Alterations Category 2</v>
      </c>
      <c r="H816" s="63"/>
      <c r="J816" s="125"/>
      <c r="K816" s="125"/>
      <c r="L816" s="125"/>
      <c r="M816" s="125"/>
      <c r="N816" s="212"/>
      <c r="O816" s="212"/>
      <c r="P816" s="212"/>
      <c r="Q816" s="212"/>
      <c r="R816" s="212"/>
      <c r="S816" s="212"/>
      <c r="T816" s="212"/>
    </row>
    <row r="817" spans="3:20" outlineLevel="1">
      <c r="D817" s="105"/>
      <c r="H817" s="58"/>
      <c r="J817" s="66"/>
      <c r="K817" s="66"/>
      <c r="L817" s="66"/>
      <c r="M817" s="66"/>
      <c r="N817" s="66"/>
      <c r="O817" s="66"/>
      <c r="P817" s="66"/>
      <c r="Q817" s="66"/>
      <c r="R817" s="66"/>
      <c r="S817" s="66"/>
      <c r="T817" s="66"/>
    </row>
    <row r="818" spans="3:20" outlineLevel="1">
      <c r="C818" s="37" t="s">
        <v>119</v>
      </c>
    </row>
    <row r="819" spans="3:20" ht="5.9" customHeight="1" outlineLevel="1"/>
    <row r="820" spans="3:20" outlineLevel="1">
      <c r="D820" s="37" t="str">
        <f>D813</f>
        <v>Capex Category</v>
      </c>
    </row>
    <row r="821" spans="3:20" ht="5.9" customHeight="1" outlineLevel="1"/>
    <row r="822" spans="3:20" outlineLevel="1">
      <c r="D822" s="102" t="str">
        <f>Work_Codes!D412</f>
        <v>Major Alterations</v>
      </c>
      <c r="J822" s="163"/>
      <c r="K822" s="163"/>
      <c r="L822" s="163"/>
      <c r="M822" s="163"/>
      <c r="N822" s="213"/>
      <c r="O822" s="213"/>
      <c r="P822" s="213"/>
      <c r="Q822" s="213"/>
      <c r="R822" s="213"/>
      <c r="S822" s="213"/>
      <c r="T822" s="213"/>
    </row>
    <row r="823" spans="3:20" outlineLevel="1">
      <c r="D823" s="102" t="str">
        <f>Work_Codes!D413</f>
        <v>Major Alterations Category 2</v>
      </c>
      <c r="J823" s="163"/>
      <c r="K823" s="163"/>
      <c r="L823" s="163"/>
      <c r="M823" s="163"/>
      <c r="N823" s="213"/>
      <c r="O823" s="213"/>
      <c r="P823" s="213"/>
      <c r="Q823" s="213"/>
      <c r="R823" s="213"/>
      <c r="S823" s="213"/>
      <c r="T823" s="213"/>
    </row>
    <row r="824" spans="3:20" outlineLevel="1"/>
    <row r="825" spans="3:20" outlineLevel="1">
      <c r="C825" s="37" t="s">
        <v>193</v>
      </c>
    </row>
    <row r="826" spans="3:20" ht="5.9" customHeight="1" outlineLevel="1"/>
    <row r="827" spans="3:20" outlineLevel="1">
      <c r="D827" s="37" t="str">
        <f>D813</f>
        <v>Capex Category</v>
      </c>
    </row>
    <row r="828" spans="3:20" ht="5.9" customHeight="1" outlineLevel="1"/>
    <row r="829" spans="3:20" outlineLevel="1">
      <c r="D829" s="102" t="str">
        <f>Work_Codes!D412</f>
        <v>Major Alterations</v>
      </c>
      <c r="J829" s="81">
        <v>0</v>
      </c>
      <c r="K829" s="81">
        <v>0</v>
      </c>
      <c r="L829" s="81">
        <v>0</v>
      </c>
      <c r="M829" s="81">
        <v>0</v>
      </c>
      <c r="N829" s="81">
        <v>953684.54962736613</v>
      </c>
      <c r="O829" s="81">
        <v>1570874.64</v>
      </c>
      <c r="P829" s="81">
        <v>2963672.92</v>
      </c>
      <c r="Q829" s="81">
        <v>3026676.22</v>
      </c>
      <c r="R829" s="81">
        <v>3088166.79</v>
      </c>
      <c r="S829" s="81">
        <v>3035675.14</v>
      </c>
      <c r="T829" s="81">
        <v>2981209.76</v>
      </c>
    </row>
    <row r="830" spans="3:20" outlineLevel="1">
      <c r="D830" s="102" t="str">
        <f>Work_Codes!D413</f>
        <v>Major Alterations Category 2</v>
      </c>
      <c r="J830" s="81">
        <v>0</v>
      </c>
      <c r="K830" s="81">
        <v>0</v>
      </c>
      <c r="L830" s="81">
        <v>0</v>
      </c>
      <c r="M830" s="81">
        <v>0</v>
      </c>
      <c r="N830" s="81">
        <v>0</v>
      </c>
      <c r="O830" s="81">
        <v>0</v>
      </c>
      <c r="P830" s="81">
        <v>0</v>
      </c>
      <c r="Q830" s="81">
        <v>0</v>
      </c>
      <c r="R830" s="81">
        <v>0</v>
      </c>
      <c r="S830" s="81">
        <v>0</v>
      </c>
      <c r="T830" s="81">
        <v>0</v>
      </c>
    </row>
    <row r="831" spans="3:20" ht="5.9" customHeight="1" outlineLevel="1">
      <c r="D831" s="37"/>
      <c r="J831" s="78"/>
      <c r="K831" s="78"/>
      <c r="L831" s="78"/>
      <c r="M831" s="78"/>
      <c r="N831" s="78"/>
      <c r="O831" s="78"/>
      <c r="P831" s="78"/>
      <c r="Q831" s="78"/>
      <c r="R831" s="78"/>
      <c r="S831" s="78"/>
      <c r="T831" s="78"/>
    </row>
    <row r="832" spans="3:20" outlineLevel="1">
      <c r="D832" s="249" t="str">
        <f>"Total "&amp;B796</f>
        <v>Total Major Alterations</v>
      </c>
      <c r="E832" s="249"/>
      <c r="F832" s="249"/>
      <c r="G832" s="249"/>
      <c r="H832" s="249"/>
      <c r="I832" s="249"/>
      <c r="J832" s="82">
        <f t="shared" ref="J832:T832" si="80">SUM(J829:J831)</f>
        <v>0</v>
      </c>
      <c r="K832" s="82">
        <f t="shared" si="80"/>
        <v>0</v>
      </c>
      <c r="L832" s="82">
        <f t="shared" si="80"/>
        <v>0</v>
      </c>
      <c r="M832" s="82">
        <f t="shared" si="80"/>
        <v>0</v>
      </c>
      <c r="N832" s="82">
        <f t="shared" si="80"/>
        <v>953684.54962736613</v>
      </c>
      <c r="O832" s="82">
        <f t="shared" si="80"/>
        <v>1570874.64</v>
      </c>
      <c r="P832" s="82">
        <f t="shared" si="80"/>
        <v>2963672.92</v>
      </c>
      <c r="Q832" s="82">
        <f t="shared" si="80"/>
        <v>3026676.22</v>
      </c>
      <c r="R832" s="82">
        <f t="shared" si="80"/>
        <v>3088166.79</v>
      </c>
      <c r="S832" s="82">
        <f t="shared" si="80"/>
        <v>3035675.14</v>
      </c>
      <c r="T832" s="82">
        <f t="shared" si="80"/>
        <v>2981209.76</v>
      </c>
    </row>
    <row r="833" spans="3:20" outlineLevel="1"/>
    <row r="834" spans="3:20" outlineLevel="1">
      <c r="C834" s="37" t="s">
        <v>286</v>
      </c>
    </row>
    <row r="835" spans="3:20" ht="5.9" customHeight="1" outlineLevel="1"/>
    <row r="836" spans="3:20" outlineLevel="1">
      <c r="D836" s="143" t="str">
        <f>Work_Codes!D417</f>
        <v>Shipper: Major Alterations FY21-</v>
      </c>
      <c r="J836" s="148">
        <v>0</v>
      </c>
      <c r="K836" s="148">
        <v>0</v>
      </c>
      <c r="L836" s="148">
        <v>0</v>
      </c>
      <c r="M836" s="148">
        <v>0</v>
      </c>
      <c r="N836" s="148">
        <v>-3480342.1837099995</v>
      </c>
      <c r="O836" s="148">
        <f>P836/2</f>
        <v>-708960.91926604498</v>
      </c>
      <c r="P836" s="148">
        <v>-1417921.83853209</v>
      </c>
      <c r="Q836" s="185">
        <v>-1417921.83853209</v>
      </c>
      <c r="R836" s="185">
        <v>-1417921.83853209</v>
      </c>
      <c r="S836" s="185">
        <v>-1417921.83853209</v>
      </c>
      <c r="T836" s="185">
        <v>-1417921.83853209</v>
      </c>
    </row>
    <row r="837" spans="3:20" outlineLevel="1">
      <c r="D837" s="143" t="str">
        <f>Work_Codes!D418</f>
        <v>Shipper: Major Alterations</v>
      </c>
      <c r="J837" s="148">
        <v>0</v>
      </c>
      <c r="K837" s="148">
        <v>0</v>
      </c>
      <c r="L837" s="148">
        <v>0</v>
      </c>
      <c r="M837" s="148">
        <v>0</v>
      </c>
      <c r="N837" s="148">
        <v>0</v>
      </c>
      <c r="O837" s="148">
        <v>0</v>
      </c>
      <c r="P837" s="148">
        <v>0</v>
      </c>
      <c r="Q837" s="148">
        <v>0</v>
      </c>
      <c r="R837" s="148">
        <v>0</v>
      </c>
      <c r="S837" s="148">
        <v>0</v>
      </c>
      <c r="T837" s="148">
        <v>0</v>
      </c>
    </row>
    <row r="838" spans="3:20" ht="5.9" customHeight="1" outlineLevel="1"/>
    <row r="839" spans="3:20" outlineLevel="1">
      <c r="D839" s="249" t="str">
        <f>"Total "&amp;C834</f>
        <v>Total Customer Connections</v>
      </c>
      <c r="E839" s="249"/>
      <c r="F839" s="249"/>
      <c r="G839" s="249"/>
      <c r="H839" s="249"/>
      <c r="I839" s="249"/>
      <c r="J839" s="82">
        <f t="shared" ref="J839:T839" si="81">SUM(J836:J838)</f>
        <v>0</v>
      </c>
      <c r="K839" s="82">
        <f t="shared" si="81"/>
        <v>0</v>
      </c>
      <c r="L839" s="82">
        <f t="shared" si="81"/>
        <v>0</v>
      </c>
      <c r="M839" s="82">
        <f t="shared" si="81"/>
        <v>0</v>
      </c>
      <c r="N839" s="82">
        <f t="shared" si="81"/>
        <v>-3480342.1837099995</v>
      </c>
      <c r="O839" s="82">
        <f t="shared" si="81"/>
        <v>-708960.91926604498</v>
      </c>
      <c r="P839" s="82">
        <f t="shared" si="81"/>
        <v>-1417921.83853209</v>
      </c>
      <c r="Q839" s="82">
        <f t="shared" si="81"/>
        <v>-1417921.83853209</v>
      </c>
      <c r="R839" s="82">
        <f t="shared" si="81"/>
        <v>-1417921.83853209</v>
      </c>
      <c r="S839" s="82">
        <f t="shared" si="81"/>
        <v>-1417921.83853209</v>
      </c>
      <c r="T839" s="82">
        <f t="shared" si="81"/>
        <v>-1417921.83853209</v>
      </c>
    </row>
    <row r="840" spans="3:20" outlineLevel="1">
      <c r="C840" s="12"/>
      <c r="D840" s="12"/>
      <c r="E840" s="12"/>
      <c r="F840" s="12"/>
      <c r="G840" s="12"/>
      <c r="H840" s="12"/>
      <c r="I840" s="12"/>
      <c r="J840" s="12"/>
      <c r="K840" s="12"/>
      <c r="L840" s="12"/>
      <c r="M840" s="12"/>
      <c r="N840" s="12"/>
      <c r="O840" s="12"/>
      <c r="P840" s="12"/>
      <c r="Q840" s="12"/>
      <c r="R840" s="12"/>
      <c r="S840" s="12"/>
      <c r="T840" s="12"/>
    </row>
    <row r="841" spans="3:20" outlineLevel="1"/>
    <row r="842" spans="3:20" outlineLevel="1">
      <c r="C842" s="37" t="s">
        <v>213</v>
      </c>
    </row>
    <row r="843" spans="3:20" ht="5.9" hidden="1" customHeight="1" outlineLevel="2"/>
    <row r="844" spans="3:20" hidden="1" outlineLevel="2">
      <c r="C844" s="37" t="s">
        <v>128</v>
      </c>
    </row>
    <row r="845" spans="3:20" ht="5.9" hidden="1" customHeight="1" outlineLevel="2"/>
    <row r="846" spans="3:20" hidden="1" outlineLevel="2">
      <c r="D846" s="102" t="str">
        <f>Work_Codes!D412</f>
        <v>Major Alterations</v>
      </c>
      <c r="J846" s="81">
        <f>Work_Codes!$I412*J829*J$800</f>
        <v>0</v>
      </c>
      <c r="K846" s="81">
        <f>Work_Codes!$I412*K829*K$800</f>
        <v>0</v>
      </c>
      <c r="L846" s="81">
        <f>Work_Codes!$I412*L829*L$800</f>
        <v>0</v>
      </c>
      <c r="M846" s="81">
        <f>Work_Codes!$I412*M829*M$800</f>
        <v>0</v>
      </c>
      <c r="N846" s="81">
        <f>Work_Codes!$I412*N829*N$800</f>
        <v>57221.072977641968</v>
      </c>
      <c r="O846" s="81">
        <f>Work_Codes!$I412*O829*O$800</f>
        <v>94742.20707425072</v>
      </c>
      <c r="P846" s="81">
        <f>Work_Codes!$I412*P829*P$800</f>
        <v>179639.50860403856</v>
      </c>
      <c r="Q846" s="81">
        <f>Work_Codes!$I412*Q829*Q$800</f>
        <v>184888.86696081853</v>
      </c>
      <c r="R846" s="81">
        <f>Work_Codes!$I412*R829*R$800</f>
        <v>190721.79668815399</v>
      </c>
      <c r="S846" s="81">
        <f>Work_Codes!$I412*S829*S$800</f>
        <v>189543.83344172311</v>
      </c>
      <c r="T846" s="81">
        <f>Work_Codes!$I412*T829*T$800</f>
        <v>188192.22836977837</v>
      </c>
    </row>
    <row r="847" spans="3:20" hidden="1" outlineLevel="2">
      <c r="D847" s="102" t="str">
        <f>Work_Codes!D413</f>
        <v>Major Alterations Category 2</v>
      </c>
      <c r="J847" s="81">
        <f>Work_Codes!$I413*J830*J$800</f>
        <v>0</v>
      </c>
      <c r="K847" s="81">
        <f>Work_Codes!$I413*K830*K$800</f>
        <v>0</v>
      </c>
      <c r="L847" s="81">
        <f>Work_Codes!$I413*L830*L$800</f>
        <v>0</v>
      </c>
      <c r="M847" s="81">
        <f>Work_Codes!$I413*M830*M$800</f>
        <v>0</v>
      </c>
      <c r="N847" s="81">
        <f>Work_Codes!$I413*N830*N$800</f>
        <v>0</v>
      </c>
      <c r="O847" s="81">
        <f>Work_Codes!$I413*O830*O$800</f>
        <v>0</v>
      </c>
      <c r="P847" s="81">
        <f>Work_Codes!$I413*P830*P$800</f>
        <v>0</v>
      </c>
      <c r="Q847" s="81">
        <f>Work_Codes!$I413*Q830*Q$800</f>
        <v>0</v>
      </c>
      <c r="R847" s="81">
        <f>Work_Codes!$I413*R830*R$800</f>
        <v>0</v>
      </c>
      <c r="S847" s="81">
        <f>Work_Codes!$I413*S830*S$800</f>
        <v>0</v>
      </c>
      <c r="T847" s="81">
        <f>Work_Codes!$I413*T830*T$800</f>
        <v>0</v>
      </c>
    </row>
    <row r="848" spans="3:20" ht="5.9" hidden="1" customHeight="1" outlineLevel="2"/>
    <row r="849" spans="3:20" hidden="1" outlineLevel="2">
      <c r="D849" s="249" t="str">
        <f>"Total "&amp;C844</f>
        <v>Total Internal Labour</v>
      </c>
      <c r="E849" s="249"/>
      <c r="F849" s="249"/>
      <c r="G849" s="249"/>
      <c r="H849" s="249"/>
      <c r="I849" s="249"/>
      <c r="J849" s="82">
        <f t="shared" ref="J849:T849" si="82">SUM(J846:J848)</f>
        <v>0</v>
      </c>
      <c r="K849" s="82">
        <f t="shared" si="82"/>
        <v>0</v>
      </c>
      <c r="L849" s="82">
        <f t="shared" si="82"/>
        <v>0</v>
      </c>
      <c r="M849" s="82">
        <f t="shared" si="82"/>
        <v>0</v>
      </c>
      <c r="N849" s="82">
        <f t="shared" si="82"/>
        <v>57221.072977641968</v>
      </c>
      <c r="O849" s="82">
        <f t="shared" si="82"/>
        <v>94742.20707425072</v>
      </c>
      <c r="P849" s="82">
        <f t="shared" si="82"/>
        <v>179639.50860403856</v>
      </c>
      <c r="Q849" s="82">
        <f t="shared" si="82"/>
        <v>184888.86696081853</v>
      </c>
      <c r="R849" s="82">
        <f t="shared" si="82"/>
        <v>190721.79668815399</v>
      </c>
      <c r="S849" s="82">
        <f t="shared" si="82"/>
        <v>189543.83344172311</v>
      </c>
      <c r="T849" s="82">
        <f t="shared" si="82"/>
        <v>188192.22836977837</v>
      </c>
    </row>
    <row r="850" spans="3:20" hidden="1" outlineLevel="2"/>
    <row r="851" spans="3:20" hidden="1" outlineLevel="2">
      <c r="C851" s="37" t="s">
        <v>129</v>
      </c>
    </row>
    <row r="852" spans="3:20" ht="5.9" hidden="1" customHeight="1" outlineLevel="2"/>
    <row r="853" spans="3:20" hidden="1" outlineLevel="2">
      <c r="D853" s="102" t="str">
        <f>Work_Codes!D412</f>
        <v>Major Alterations</v>
      </c>
      <c r="J853" s="81">
        <f>Work_Codes!$J412*J829*J$801</f>
        <v>0</v>
      </c>
      <c r="K853" s="81">
        <f>Work_Codes!$J412*K829*K$801</f>
        <v>0</v>
      </c>
      <c r="L853" s="81">
        <f>Work_Codes!$J412*L829*L$801</f>
        <v>0</v>
      </c>
      <c r="M853" s="81">
        <f>Work_Codes!$J412*M829*M$801</f>
        <v>0</v>
      </c>
      <c r="N853" s="81">
        <f>Work_Codes!$J412*N829*N$801</f>
        <v>514989.65679877775</v>
      </c>
      <c r="O853" s="81">
        <f>Work_Codes!$J412*O829*O$801</f>
        <v>848272.30559999996</v>
      </c>
      <c r="P853" s="81">
        <f>Work_Codes!$J412*P829*P$801</f>
        <v>1600383.3768</v>
      </c>
      <c r="Q853" s="81">
        <f>Work_Codes!$J412*Q829*Q$801</f>
        <v>1634405.1588000003</v>
      </c>
      <c r="R853" s="81">
        <f>Work_Codes!$J412*R829*R$801</f>
        <v>1667610.0666</v>
      </c>
      <c r="S853" s="81">
        <f>Work_Codes!$J412*S829*S$801</f>
        <v>1639264.5756000001</v>
      </c>
      <c r="T853" s="81">
        <f>Work_Codes!$J412*T829*T$801</f>
        <v>1609853.2704</v>
      </c>
    </row>
    <row r="854" spans="3:20" hidden="1" outlineLevel="2">
      <c r="D854" s="102" t="str">
        <f>Work_Codes!D413</f>
        <v>Major Alterations Category 2</v>
      </c>
      <c r="J854" s="81">
        <f>Work_Codes!$J413*J830*J$801</f>
        <v>0</v>
      </c>
      <c r="K854" s="81">
        <f>Work_Codes!$J413*K830*K$801</f>
        <v>0</v>
      </c>
      <c r="L854" s="81">
        <f>Work_Codes!$J413*L830*L$801</f>
        <v>0</v>
      </c>
      <c r="M854" s="81">
        <f>Work_Codes!$J413*M830*M$801</f>
        <v>0</v>
      </c>
      <c r="N854" s="81">
        <f>Work_Codes!$J413*N830*N$801</f>
        <v>0</v>
      </c>
      <c r="O854" s="81">
        <f>Work_Codes!$J413*O830*O$801</f>
        <v>0</v>
      </c>
      <c r="P854" s="81">
        <f>Work_Codes!$J413*P830*P$801</f>
        <v>0</v>
      </c>
      <c r="Q854" s="81">
        <f>Work_Codes!$J413*Q830*Q$801</f>
        <v>0</v>
      </c>
      <c r="R854" s="81">
        <f>Work_Codes!$J413*R830*R$801</f>
        <v>0</v>
      </c>
      <c r="S854" s="81">
        <f>Work_Codes!$J413*S830*S$801</f>
        <v>0</v>
      </c>
      <c r="T854" s="81">
        <f>Work_Codes!$J413*T830*T$801</f>
        <v>0</v>
      </c>
    </row>
    <row r="855" spans="3:20" ht="5.9" hidden="1" customHeight="1" outlineLevel="2"/>
    <row r="856" spans="3:20" hidden="1" outlineLevel="2">
      <c r="D856" s="249" t="str">
        <f>"Total "&amp;C851</f>
        <v>Total External Labour</v>
      </c>
      <c r="E856" s="249"/>
      <c r="F856" s="249"/>
      <c r="G856" s="249"/>
      <c r="H856" s="249"/>
      <c r="I856" s="249"/>
      <c r="J856" s="82">
        <f t="shared" ref="J856:T856" si="83">SUM(J853:J855)</f>
        <v>0</v>
      </c>
      <c r="K856" s="82">
        <f t="shared" si="83"/>
        <v>0</v>
      </c>
      <c r="L856" s="82">
        <f t="shared" si="83"/>
        <v>0</v>
      </c>
      <c r="M856" s="82">
        <f t="shared" si="83"/>
        <v>0</v>
      </c>
      <c r="N856" s="82">
        <f t="shared" si="83"/>
        <v>514989.65679877775</v>
      </c>
      <c r="O856" s="82">
        <f t="shared" si="83"/>
        <v>848272.30559999996</v>
      </c>
      <c r="P856" s="82">
        <f t="shared" si="83"/>
        <v>1600383.3768</v>
      </c>
      <c r="Q856" s="82">
        <f t="shared" si="83"/>
        <v>1634405.1588000003</v>
      </c>
      <c r="R856" s="82">
        <f t="shared" si="83"/>
        <v>1667610.0666</v>
      </c>
      <c r="S856" s="82">
        <f t="shared" si="83"/>
        <v>1639264.5756000001</v>
      </c>
      <c r="T856" s="82">
        <f t="shared" si="83"/>
        <v>1609853.2704</v>
      </c>
    </row>
    <row r="857" spans="3:20" hidden="1" outlineLevel="2"/>
    <row r="858" spans="3:20" hidden="1" outlineLevel="2">
      <c r="C858" s="37" t="s">
        <v>130</v>
      </c>
    </row>
    <row r="859" spans="3:20" ht="5.9" hidden="1" customHeight="1" outlineLevel="2"/>
    <row r="860" spans="3:20" hidden="1" outlineLevel="2">
      <c r="D860" s="102" t="str">
        <f>Work_Codes!D412</f>
        <v>Major Alterations</v>
      </c>
      <c r="J860" s="81">
        <f>Work_Codes!$K412*J829*J$802</f>
        <v>0</v>
      </c>
      <c r="K860" s="81">
        <f>Work_Codes!$K412*K829*K$802</f>
        <v>0</v>
      </c>
      <c r="L860" s="81">
        <f>Work_Codes!$K412*L829*L$802</f>
        <v>0</v>
      </c>
      <c r="M860" s="81">
        <f>Work_Codes!$K412*M829*M$802</f>
        <v>0</v>
      </c>
      <c r="N860" s="81">
        <f>Work_Codes!$K412*N829*N$802</f>
        <v>381473.81985094637</v>
      </c>
      <c r="O860" s="81">
        <f>Work_Codes!$K412*O829*O$802</f>
        <v>628349.8559999998</v>
      </c>
      <c r="P860" s="81">
        <f>Work_Codes!$K412*P829*P$802</f>
        <v>1185469.1679999996</v>
      </c>
      <c r="Q860" s="81">
        <f>Work_Codes!$K412*Q829*Q$802</f>
        <v>1210670.4879999999</v>
      </c>
      <c r="R860" s="81">
        <f>Work_Codes!$K412*R829*R$802</f>
        <v>1235266.7159999998</v>
      </c>
      <c r="S860" s="81">
        <f>Work_Codes!$K412*S829*S$802</f>
        <v>1214270.0559999999</v>
      </c>
      <c r="T860" s="81">
        <f>Work_Codes!$K412*T829*T$802</f>
        <v>1192483.9039999996</v>
      </c>
    </row>
    <row r="861" spans="3:20" hidden="1" outlineLevel="2">
      <c r="D861" s="102" t="str">
        <f>Work_Codes!D413</f>
        <v>Major Alterations Category 2</v>
      </c>
      <c r="J861" s="81">
        <f>Work_Codes!$K413*J830*J$802</f>
        <v>0</v>
      </c>
      <c r="K861" s="81">
        <f>Work_Codes!$K413*K830*K$802</f>
        <v>0</v>
      </c>
      <c r="L861" s="81">
        <f>Work_Codes!$K413*L830*L$802</f>
        <v>0</v>
      </c>
      <c r="M861" s="81">
        <f>Work_Codes!$K413*M830*M$802</f>
        <v>0</v>
      </c>
      <c r="N861" s="81">
        <f>Work_Codes!$K413*N830*N$802</f>
        <v>0</v>
      </c>
      <c r="O861" s="81">
        <f>Work_Codes!$K413*O830*O$802</f>
        <v>0</v>
      </c>
      <c r="P861" s="81">
        <f>Work_Codes!$K413*P830*P$802</f>
        <v>0</v>
      </c>
      <c r="Q861" s="81">
        <f>Work_Codes!$K413*Q830*Q$802</f>
        <v>0</v>
      </c>
      <c r="R861" s="81">
        <f>Work_Codes!$K413*R830*R$802</f>
        <v>0</v>
      </c>
      <c r="S861" s="81">
        <f>Work_Codes!$K413*S830*S$802</f>
        <v>0</v>
      </c>
      <c r="T861" s="81">
        <f>Work_Codes!$K413*T830*T$802</f>
        <v>0</v>
      </c>
    </row>
    <row r="862" spans="3:20" ht="5.9" hidden="1" customHeight="1" outlineLevel="2"/>
    <row r="863" spans="3:20" hidden="1" outlineLevel="2">
      <c r="D863" s="249" t="str">
        <f>"Total "&amp;C858</f>
        <v>Total Materials</v>
      </c>
      <c r="E863" s="249"/>
      <c r="F863" s="249"/>
      <c r="G863" s="249"/>
      <c r="H863" s="249"/>
      <c r="I863" s="249"/>
      <c r="J863" s="82">
        <f t="shared" ref="J863:T863" si="84">SUM(J860:J862)</f>
        <v>0</v>
      </c>
      <c r="K863" s="82">
        <f t="shared" si="84"/>
        <v>0</v>
      </c>
      <c r="L863" s="82">
        <f t="shared" si="84"/>
        <v>0</v>
      </c>
      <c r="M863" s="82">
        <f t="shared" si="84"/>
        <v>0</v>
      </c>
      <c r="N863" s="82">
        <f t="shared" si="84"/>
        <v>381473.81985094637</v>
      </c>
      <c r="O863" s="82">
        <f t="shared" si="84"/>
        <v>628349.8559999998</v>
      </c>
      <c r="P863" s="82">
        <f t="shared" si="84"/>
        <v>1185469.1679999996</v>
      </c>
      <c r="Q863" s="82">
        <f t="shared" si="84"/>
        <v>1210670.4879999999</v>
      </c>
      <c r="R863" s="82">
        <f t="shared" si="84"/>
        <v>1235266.7159999998</v>
      </c>
      <c r="S863" s="82">
        <f t="shared" si="84"/>
        <v>1214270.0559999999</v>
      </c>
      <c r="T863" s="82">
        <f t="shared" si="84"/>
        <v>1192483.9039999996</v>
      </c>
    </row>
    <row r="864" spans="3:20" outlineLevel="1" collapsed="1"/>
    <row r="865" spans="2:20" outlineLevel="1">
      <c r="C865" s="37" t="s">
        <v>217</v>
      </c>
    </row>
    <row r="866" spans="2:20" ht="5.9" customHeight="1" outlineLevel="1"/>
    <row r="867" spans="2:20" outlineLevel="1">
      <c r="D867" s="102" t="str">
        <f>Work_Codes!D412</f>
        <v>Major Alterations</v>
      </c>
      <c r="J867" s="81">
        <f t="shared" ref="J867:T867" si="85">J846+J853+J860</f>
        <v>0</v>
      </c>
      <c r="K867" s="81">
        <f t="shared" si="85"/>
        <v>0</v>
      </c>
      <c r="L867" s="81">
        <f t="shared" si="85"/>
        <v>0</v>
      </c>
      <c r="M867" s="81">
        <f t="shared" si="85"/>
        <v>0</v>
      </c>
      <c r="N867" s="81">
        <f t="shared" si="85"/>
        <v>953684.54962736601</v>
      </c>
      <c r="O867" s="81">
        <f t="shared" si="85"/>
        <v>1571364.3686742503</v>
      </c>
      <c r="P867" s="81">
        <f t="shared" si="85"/>
        <v>2965492.0534040378</v>
      </c>
      <c r="Q867" s="81">
        <f t="shared" si="85"/>
        <v>3029964.5137608186</v>
      </c>
      <c r="R867" s="81">
        <f t="shared" si="85"/>
        <v>3093598.5792881539</v>
      </c>
      <c r="S867" s="81">
        <f t="shared" si="85"/>
        <v>3043078.4650417231</v>
      </c>
      <c r="T867" s="81">
        <f t="shared" si="85"/>
        <v>2990529.4027697779</v>
      </c>
    </row>
    <row r="868" spans="2:20" outlineLevel="1">
      <c r="D868" s="102" t="str">
        <f>Work_Codes!D413</f>
        <v>Major Alterations Category 2</v>
      </c>
      <c r="J868" s="81">
        <f t="shared" ref="J868:T868" si="86">J847+J854+J861</f>
        <v>0</v>
      </c>
      <c r="K868" s="81">
        <f t="shared" si="86"/>
        <v>0</v>
      </c>
      <c r="L868" s="81">
        <f t="shared" si="86"/>
        <v>0</v>
      </c>
      <c r="M868" s="81">
        <f t="shared" si="86"/>
        <v>0</v>
      </c>
      <c r="N868" s="81">
        <f t="shared" si="86"/>
        <v>0</v>
      </c>
      <c r="O868" s="81">
        <f t="shared" si="86"/>
        <v>0</v>
      </c>
      <c r="P868" s="81">
        <f t="shared" si="86"/>
        <v>0</v>
      </c>
      <c r="Q868" s="81">
        <f t="shared" si="86"/>
        <v>0</v>
      </c>
      <c r="R868" s="81">
        <f t="shared" si="86"/>
        <v>0</v>
      </c>
      <c r="S868" s="81">
        <f t="shared" si="86"/>
        <v>0</v>
      </c>
      <c r="T868" s="81">
        <f t="shared" si="86"/>
        <v>0</v>
      </c>
    </row>
    <row r="869" spans="2:20" ht="5.9" customHeight="1" outlineLevel="1"/>
    <row r="870" spans="2:20" outlineLevel="1">
      <c r="D870" s="249" t="str">
        <f>C865</f>
        <v>Total Direct Capex including Escalation (Non CPI)</v>
      </c>
      <c r="E870" s="249"/>
      <c r="F870" s="249"/>
      <c r="G870" s="249"/>
      <c r="H870" s="249"/>
      <c r="I870" s="249"/>
      <c r="J870" s="82">
        <f t="shared" ref="J870:T870" si="87">SUM(J867:J869)</f>
        <v>0</v>
      </c>
      <c r="K870" s="82">
        <f t="shared" si="87"/>
        <v>0</v>
      </c>
      <c r="L870" s="82">
        <f t="shared" si="87"/>
        <v>0</v>
      </c>
      <c r="M870" s="82">
        <f t="shared" si="87"/>
        <v>0</v>
      </c>
      <c r="N870" s="82">
        <f t="shared" si="87"/>
        <v>953684.54962736601</v>
      </c>
      <c r="O870" s="82">
        <f t="shared" si="87"/>
        <v>1571364.3686742503</v>
      </c>
      <c r="P870" s="82">
        <f t="shared" si="87"/>
        <v>2965492.0534040378</v>
      </c>
      <c r="Q870" s="82">
        <f t="shared" si="87"/>
        <v>3029964.5137608186</v>
      </c>
      <c r="R870" s="82">
        <f t="shared" si="87"/>
        <v>3093598.5792881539</v>
      </c>
      <c r="S870" s="82">
        <f t="shared" si="87"/>
        <v>3043078.4650417231</v>
      </c>
      <c r="T870" s="82">
        <f t="shared" si="87"/>
        <v>2990529.4027697779</v>
      </c>
    </row>
    <row r="871" spans="2:20" outlineLevel="1">
      <c r="B871" s="12"/>
      <c r="C871" s="12"/>
      <c r="D871" s="12"/>
      <c r="E871" s="12"/>
      <c r="F871" s="12"/>
      <c r="G871" s="12"/>
      <c r="H871" s="12"/>
      <c r="I871" s="12"/>
      <c r="J871" s="12"/>
      <c r="K871" s="12"/>
      <c r="L871" s="12"/>
      <c r="M871" s="12"/>
      <c r="N871" s="12"/>
      <c r="O871" s="12"/>
      <c r="P871" s="12"/>
      <c r="Q871" s="12"/>
      <c r="R871" s="12"/>
      <c r="S871" s="12"/>
      <c r="T871" s="12"/>
    </row>
    <row r="872" spans="2:20" outlineLevel="1"/>
    <row r="873" spans="2:20" outlineLevel="1">
      <c r="C873" s="37" t="s">
        <v>195</v>
      </c>
    </row>
    <row r="874" spans="2:20" ht="5.9" customHeight="1" outlineLevel="2"/>
    <row r="875" spans="2:20" outlineLevel="2">
      <c r="D875" s="37" t="s">
        <v>215</v>
      </c>
    </row>
    <row r="876" spans="2:20" ht="5.9" customHeight="1" outlineLevel="2"/>
    <row r="877" spans="2:20" ht="11.5" customHeight="1" outlineLevel="2">
      <c r="E877" s="247" t="str">
        <f>GC!C40</f>
        <v>Transmission pipelines</v>
      </c>
      <c r="F877" s="247"/>
      <c r="G877" s="247"/>
      <c r="H877" s="247"/>
      <c r="I877" s="247"/>
      <c r="J877" s="81">
        <f ca="1">SUMPRODUCT((Work_Codes!$N$409:$Y$409=$E877)*(Work_Codes!$N$412:$Y$413)*(J$867:J$868))</f>
        <v>0</v>
      </c>
      <c r="K877" s="81">
        <f ca="1">SUMPRODUCT((Work_Codes!$N$409:$Y$409=$E877)*(Work_Codes!$N$412:$Y$413)*(K$867:K$868))</f>
        <v>0</v>
      </c>
      <c r="L877" s="81">
        <f ca="1">SUMPRODUCT((Work_Codes!$N$409:$Y$409=$E877)*(Work_Codes!$N$412:$Y$413)*(L$867:L$868))</f>
        <v>0</v>
      </c>
      <c r="M877" s="81">
        <f ca="1">SUMPRODUCT((Work_Codes!$N$409:$Y$409=$E877)*(Work_Codes!$N$412:$Y$413)*(M$867:M$868))</f>
        <v>0</v>
      </c>
      <c r="N877" s="81">
        <f ca="1">SUMPRODUCT((Work_Codes!$N$409:$Y$409=$E877)*(Work_Codes!$N$412:$Y$413)*(N$867:N$868))</f>
        <v>0</v>
      </c>
      <c r="O877" s="81">
        <f ca="1">SUMPRODUCT((Work_Codes!$N$409:$Y$409=$E877)*(Work_Codes!$N$412:$Y$413)*(O$867:O$868))</f>
        <v>0</v>
      </c>
      <c r="P877" s="81">
        <f ca="1">SUMPRODUCT((Work_Codes!$N$409:$Y$409=$E877)*(Work_Codes!$N$412:$Y$413)*(P$867:P$868))</f>
        <v>0</v>
      </c>
      <c r="Q877" s="81">
        <f ca="1">SUMPRODUCT((Work_Codes!$N$409:$Y$409=$E877)*(Work_Codes!$N$412:$Y$413)*(Q$867:Q$868))</f>
        <v>0</v>
      </c>
      <c r="R877" s="81">
        <f ca="1">SUMPRODUCT((Work_Codes!$N$409:$Y$409=$E877)*(Work_Codes!$N$412:$Y$413)*(R$867:R$868))</f>
        <v>0</v>
      </c>
      <c r="S877" s="81">
        <f ca="1">SUMPRODUCT((Work_Codes!$N$409:$Y$409=$E877)*(Work_Codes!$N$412:$Y$413)*(S$867:S$868))</f>
        <v>0</v>
      </c>
      <c r="T877" s="81">
        <f ca="1">SUMPRODUCT((Work_Codes!$N$409:$Y$409=$E877)*(Work_Codes!$N$412:$Y$413)*(T$867:T$868))</f>
        <v>0</v>
      </c>
    </row>
    <row r="878" spans="2:20" ht="11.5" customHeight="1" outlineLevel="2">
      <c r="E878" s="247" t="str">
        <f>GC!C41</f>
        <v>Distribution pipelines</v>
      </c>
      <c r="F878" s="247"/>
      <c r="G878" s="247"/>
      <c r="H878" s="247"/>
      <c r="I878" s="247"/>
      <c r="J878" s="81">
        <f ca="1">SUMPRODUCT((Work_Codes!$N$409:$Y$409=$E878)*(Work_Codes!$N$412:$Y$413)*(J$867:J$868))</f>
        <v>0</v>
      </c>
      <c r="K878" s="81">
        <f ca="1">SUMPRODUCT((Work_Codes!$N$409:$Y$409=$E878)*(Work_Codes!$N$412:$Y$413)*(K$867:K$868))</f>
        <v>0</v>
      </c>
      <c r="L878" s="81">
        <f ca="1">SUMPRODUCT((Work_Codes!$N$409:$Y$409=$E878)*(Work_Codes!$N$412:$Y$413)*(L$867:L$868))</f>
        <v>0</v>
      </c>
      <c r="M878" s="81">
        <f ca="1">SUMPRODUCT((Work_Codes!$N$409:$Y$409=$E878)*(Work_Codes!$N$412:$Y$413)*(M$867:M$868))</f>
        <v>0</v>
      </c>
      <c r="N878" s="81">
        <f ca="1">SUMPRODUCT((Work_Codes!$N$409:$Y$409=$E878)*(Work_Codes!$N$412:$Y$413)*(N$867:N$868))</f>
        <v>0</v>
      </c>
      <c r="O878" s="81">
        <f ca="1">SUMPRODUCT((Work_Codes!$N$409:$Y$409=$E878)*(Work_Codes!$N$412:$Y$413)*(O$867:O$868))</f>
        <v>0</v>
      </c>
      <c r="P878" s="81">
        <f ca="1">SUMPRODUCT((Work_Codes!$N$409:$Y$409=$E878)*(Work_Codes!$N$412:$Y$413)*(P$867:P$868))</f>
        <v>0</v>
      </c>
      <c r="Q878" s="81">
        <f ca="1">SUMPRODUCT((Work_Codes!$N$409:$Y$409=$E878)*(Work_Codes!$N$412:$Y$413)*(Q$867:Q$868))</f>
        <v>0</v>
      </c>
      <c r="R878" s="81">
        <f ca="1">SUMPRODUCT((Work_Codes!$N$409:$Y$409=$E878)*(Work_Codes!$N$412:$Y$413)*(R$867:R$868))</f>
        <v>0</v>
      </c>
      <c r="S878" s="81">
        <f ca="1">SUMPRODUCT((Work_Codes!$N$409:$Y$409=$E878)*(Work_Codes!$N$412:$Y$413)*(S$867:S$868))</f>
        <v>0</v>
      </c>
      <c r="T878" s="81">
        <f ca="1">SUMPRODUCT((Work_Codes!$N$409:$Y$409=$E878)*(Work_Codes!$N$412:$Y$413)*(T$867:T$868))</f>
        <v>0</v>
      </c>
    </row>
    <row r="879" spans="2:20" ht="11.5" customHeight="1" outlineLevel="2">
      <c r="E879" s="247" t="str">
        <f>GC!C42</f>
        <v>Service pipes</v>
      </c>
      <c r="F879" s="247"/>
      <c r="G879" s="247"/>
      <c r="H879" s="247"/>
      <c r="I879" s="247"/>
      <c r="J879" s="81">
        <f ca="1">SUMPRODUCT((Work_Codes!$N$409:$Y$409=$E879)*(Work_Codes!$N$412:$Y$413)*(J$867:J$868))</f>
        <v>0</v>
      </c>
      <c r="K879" s="81">
        <f ca="1">SUMPRODUCT((Work_Codes!$N$409:$Y$409=$E879)*(Work_Codes!$N$412:$Y$413)*(K$867:K$868))</f>
        <v>0</v>
      </c>
      <c r="L879" s="81">
        <f ca="1">SUMPRODUCT((Work_Codes!$N$409:$Y$409=$E879)*(Work_Codes!$N$412:$Y$413)*(L$867:L$868))</f>
        <v>0</v>
      </c>
      <c r="M879" s="81">
        <f ca="1">SUMPRODUCT((Work_Codes!$N$409:$Y$409=$E879)*(Work_Codes!$N$412:$Y$413)*(M$867:M$868))</f>
        <v>0</v>
      </c>
      <c r="N879" s="81">
        <f ca="1">SUMPRODUCT((Work_Codes!$N$409:$Y$409=$E879)*(Work_Codes!$N$412:$Y$413)*(N$867:N$868))</f>
        <v>0</v>
      </c>
      <c r="O879" s="81">
        <f ca="1">SUMPRODUCT((Work_Codes!$N$409:$Y$409=$E879)*(Work_Codes!$N$412:$Y$413)*(O$867:O$868))</f>
        <v>0</v>
      </c>
      <c r="P879" s="81">
        <f ca="1">SUMPRODUCT((Work_Codes!$N$409:$Y$409=$E879)*(Work_Codes!$N$412:$Y$413)*(P$867:P$868))</f>
        <v>0</v>
      </c>
      <c r="Q879" s="81">
        <f ca="1">SUMPRODUCT((Work_Codes!$N$409:$Y$409=$E879)*(Work_Codes!$N$412:$Y$413)*(Q$867:Q$868))</f>
        <v>0</v>
      </c>
      <c r="R879" s="81">
        <f ca="1">SUMPRODUCT((Work_Codes!$N$409:$Y$409=$E879)*(Work_Codes!$N$412:$Y$413)*(R$867:R$868))</f>
        <v>0</v>
      </c>
      <c r="S879" s="81">
        <f ca="1">SUMPRODUCT((Work_Codes!$N$409:$Y$409=$E879)*(Work_Codes!$N$412:$Y$413)*(S$867:S$868))</f>
        <v>0</v>
      </c>
      <c r="T879" s="81">
        <f ca="1">SUMPRODUCT((Work_Codes!$N$409:$Y$409=$E879)*(Work_Codes!$N$412:$Y$413)*(T$867:T$868))</f>
        <v>0</v>
      </c>
    </row>
    <row r="880" spans="2:20" ht="11.5" customHeight="1" outlineLevel="2">
      <c r="E880" s="247" t="str">
        <f>GC!C43</f>
        <v>Cathodic protection</v>
      </c>
      <c r="F880" s="247"/>
      <c r="G880" s="247"/>
      <c r="H880" s="247"/>
      <c r="I880" s="247"/>
      <c r="J880" s="81">
        <f ca="1">SUMPRODUCT((Work_Codes!$N$409:$Y$409=$E880)*(Work_Codes!$N$412:$Y$413)*(J$867:J$868))</f>
        <v>0</v>
      </c>
      <c r="K880" s="81">
        <f ca="1">SUMPRODUCT((Work_Codes!$N$409:$Y$409=$E880)*(Work_Codes!$N$412:$Y$413)*(K$867:K$868))</f>
        <v>0</v>
      </c>
      <c r="L880" s="81">
        <f ca="1">SUMPRODUCT((Work_Codes!$N$409:$Y$409=$E880)*(Work_Codes!$N$412:$Y$413)*(L$867:L$868))</f>
        <v>0</v>
      </c>
      <c r="M880" s="81">
        <f ca="1">SUMPRODUCT((Work_Codes!$N$409:$Y$409=$E880)*(Work_Codes!$N$412:$Y$413)*(M$867:M$868))</f>
        <v>0</v>
      </c>
      <c r="N880" s="81">
        <f ca="1">SUMPRODUCT((Work_Codes!$N$409:$Y$409=$E880)*(Work_Codes!$N$412:$Y$413)*(N$867:N$868))</f>
        <v>0</v>
      </c>
      <c r="O880" s="81">
        <f ca="1">SUMPRODUCT((Work_Codes!$N$409:$Y$409=$E880)*(Work_Codes!$N$412:$Y$413)*(O$867:O$868))</f>
        <v>0</v>
      </c>
      <c r="P880" s="81">
        <f ca="1">SUMPRODUCT((Work_Codes!$N$409:$Y$409=$E880)*(Work_Codes!$N$412:$Y$413)*(P$867:P$868))</f>
        <v>0</v>
      </c>
      <c r="Q880" s="81">
        <f ca="1">SUMPRODUCT((Work_Codes!$N$409:$Y$409=$E880)*(Work_Codes!$N$412:$Y$413)*(Q$867:Q$868))</f>
        <v>0</v>
      </c>
      <c r="R880" s="81">
        <f ca="1">SUMPRODUCT((Work_Codes!$N$409:$Y$409=$E880)*(Work_Codes!$N$412:$Y$413)*(R$867:R$868))</f>
        <v>0</v>
      </c>
      <c r="S880" s="81">
        <f ca="1">SUMPRODUCT((Work_Codes!$N$409:$Y$409=$E880)*(Work_Codes!$N$412:$Y$413)*(S$867:S$868))</f>
        <v>0</v>
      </c>
      <c r="T880" s="81">
        <f ca="1">SUMPRODUCT((Work_Codes!$N$409:$Y$409=$E880)*(Work_Codes!$N$412:$Y$413)*(T$867:T$868))</f>
        <v>0</v>
      </c>
    </row>
    <row r="881" spans="4:20" ht="11.5" customHeight="1" outlineLevel="2">
      <c r="E881" s="247" t="str">
        <f>GC!C44</f>
        <v>Supply Regulators / Valve Stations</v>
      </c>
      <c r="F881" s="247"/>
      <c r="G881" s="247"/>
      <c r="H881" s="247"/>
      <c r="I881" s="247"/>
      <c r="J881" s="81">
        <f ca="1">SUMPRODUCT((Work_Codes!$N$409:$Y$409=$E881)*(Work_Codes!$N$412:$Y$413)*(J$867:J$868))</f>
        <v>0</v>
      </c>
      <c r="K881" s="81">
        <f ca="1">SUMPRODUCT((Work_Codes!$N$409:$Y$409=$E881)*(Work_Codes!$N$412:$Y$413)*(K$867:K$868))</f>
        <v>0</v>
      </c>
      <c r="L881" s="81">
        <f ca="1">SUMPRODUCT((Work_Codes!$N$409:$Y$409=$E881)*(Work_Codes!$N$412:$Y$413)*(L$867:L$868))</f>
        <v>0</v>
      </c>
      <c r="M881" s="81">
        <f ca="1">SUMPRODUCT((Work_Codes!$N$409:$Y$409=$E881)*(Work_Codes!$N$412:$Y$413)*(M$867:M$868))</f>
        <v>0</v>
      </c>
      <c r="N881" s="81">
        <f ca="1">SUMPRODUCT((Work_Codes!$N$409:$Y$409=$E881)*(Work_Codes!$N$412:$Y$413)*(N$867:N$868))</f>
        <v>0</v>
      </c>
      <c r="O881" s="81">
        <f ca="1">SUMPRODUCT((Work_Codes!$N$409:$Y$409=$E881)*(Work_Codes!$N$412:$Y$413)*(O$867:O$868))</f>
        <v>0</v>
      </c>
      <c r="P881" s="81">
        <f ca="1">SUMPRODUCT((Work_Codes!$N$409:$Y$409=$E881)*(Work_Codes!$N$412:$Y$413)*(P$867:P$868))</f>
        <v>0</v>
      </c>
      <c r="Q881" s="81">
        <f ca="1">SUMPRODUCT((Work_Codes!$N$409:$Y$409=$E881)*(Work_Codes!$N$412:$Y$413)*(Q$867:Q$868))</f>
        <v>0</v>
      </c>
      <c r="R881" s="81">
        <f ca="1">SUMPRODUCT((Work_Codes!$N$409:$Y$409=$E881)*(Work_Codes!$N$412:$Y$413)*(R$867:R$868))</f>
        <v>0</v>
      </c>
      <c r="S881" s="81">
        <f ca="1">SUMPRODUCT((Work_Codes!$N$409:$Y$409=$E881)*(Work_Codes!$N$412:$Y$413)*(S$867:S$868))</f>
        <v>0</v>
      </c>
      <c r="T881" s="81">
        <f ca="1">SUMPRODUCT((Work_Codes!$N$409:$Y$409=$E881)*(Work_Codes!$N$412:$Y$413)*(T$867:T$868))</f>
        <v>0</v>
      </c>
    </row>
    <row r="882" spans="4:20" ht="11.5" customHeight="1" outlineLevel="2">
      <c r="E882" s="247" t="str">
        <f>GC!C45</f>
        <v>Meters</v>
      </c>
      <c r="F882" s="247"/>
      <c r="G882" s="247"/>
      <c r="H882" s="247"/>
      <c r="I882" s="247"/>
      <c r="J882" s="81">
        <f ca="1">SUMPRODUCT((Work_Codes!$N$409:$Y$409=$E882)*(Work_Codes!$N$412:$Y$413)*(J$867:J$868))</f>
        <v>0</v>
      </c>
      <c r="K882" s="81">
        <f ca="1">SUMPRODUCT((Work_Codes!$N$409:$Y$409=$E882)*(Work_Codes!$N$412:$Y$413)*(K$867:K$868))</f>
        <v>0</v>
      </c>
      <c r="L882" s="81">
        <f ca="1">SUMPRODUCT((Work_Codes!$N$409:$Y$409=$E882)*(Work_Codes!$N$412:$Y$413)*(L$867:L$868))</f>
        <v>0</v>
      </c>
      <c r="M882" s="81">
        <f ca="1">SUMPRODUCT((Work_Codes!$N$409:$Y$409=$E882)*(Work_Codes!$N$412:$Y$413)*(M$867:M$868))</f>
        <v>0</v>
      </c>
      <c r="N882" s="81">
        <f ca="1">SUMPRODUCT((Work_Codes!$N$409:$Y$409=$E882)*(Work_Codes!$N$412:$Y$413)*(N$867:N$868))</f>
        <v>0</v>
      </c>
      <c r="O882" s="81">
        <f ca="1">SUMPRODUCT((Work_Codes!$N$409:$Y$409=$E882)*(Work_Codes!$N$412:$Y$413)*(O$867:O$868))</f>
        <v>0</v>
      </c>
      <c r="P882" s="81">
        <f ca="1">SUMPRODUCT((Work_Codes!$N$409:$Y$409=$E882)*(Work_Codes!$N$412:$Y$413)*(P$867:P$868))</f>
        <v>0</v>
      </c>
      <c r="Q882" s="81">
        <f ca="1">SUMPRODUCT((Work_Codes!$N$409:$Y$409=$E882)*(Work_Codes!$N$412:$Y$413)*(Q$867:Q$868))</f>
        <v>0</v>
      </c>
      <c r="R882" s="81">
        <f ca="1">SUMPRODUCT((Work_Codes!$N$409:$Y$409=$E882)*(Work_Codes!$N$412:$Y$413)*(R$867:R$868))</f>
        <v>0</v>
      </c>
      <c r="S882" s="81">
        <f ca="1">SUMPRODUCT((Work_Codes!$N$409:$Y$409=$E882)*(Work_Codes!$N$412:$Y$413)*(S$867:S$868))</f>
        <v>0</v>
      </c>
      <c r="T882" s="81">
        <f ca="1">SUMPRODUCT((Work_Codes!$N$409:$Y$409=$E882)*(Work_Codes!$N$412:$Y$413)*(T$867:T$868))</f>
        <v>0</v>
      </c>
    </row>
    <row r="883" spans="4:20" ht="11.5" customHeight="1" outlineLevel="2">
      <c r="E883" s="247" t="str">
        <f>GC!C46</f>
        <v>SCADA and remote control</v>
      </c>
      <c r="F883" s="247"/>
      <c r="G883" s="247"/>
      <c r="H883" s="247"/>
      <c r="I883" s="247"/>
      <c r="J883" s="81">
        <f ca="1">SUMPRODUCT((Work_Codes!$N$409:$Y$409=$E883)*(Work_Codes!$N$412:$Y$413)*(J$867:J$868))</f>
        <v>0</v>
      </c>
      <c r="K883" s="81">
        <f ca="1">SUMPRODUCT((Work_Codes!$N$409:$Y$409=$E883)*(Work_Codes!$N$412:$Y$413)*(K$867:K$868))</f>
        <v>0</v>
      </c>
      <c r="L883" s="81">
        <f ca="1">SUMPRODUCT((Work_Codes!$N$409:$Y$409=$E883)*(Work_Codes!$N$412:$Y$413)*(L$867:L$868))</f>
        <v>0</v>
      </c>
      <c r="M883" s="81">
        <f ca="1">SUMPRODUCT((Work_Codes!$N$409:$Y$409=$E883)*(Work_Codes!$N$412:$Y$413)*(M$867:M$868))</f>
        <v>0</v>
      </c>
      <c r="N883" s="81">
        <f ca="1">SUMPRODUCT((Work_Codes!$N$409:$Y$409=$E883)*(Work_Codes!$N$412:$Y$413)*(N$867:N$868))</f>
        <v>0</v>
      </c>
      <c r="O883" s="81">
        <f ca="1">SUMPRODUCT((Work_Codes!$N$409:$Y$409=$E883)*(Work_Codes!$N$412:$Y$413)*(O$867:O$868))</f>
        <v>0</v>
      </c>
      <c r="P883" s="81">
        <f ca="1">SUMPRODUCT((Work_Codes!$N$409:$Y$409=$E883)*(Work_Codes!$N$412:$Y$413)*(P$867:P$868))</f>
        <v>0</v>
      </c>
      <c r="Q883" s="81">
        <f ca="1">SUMPRODUCT((Work_Codes!$N$409:$Y$409=$E883)*(Work_Codes!$N$412:$Y$413)*(Q$867:Q$868))</f>
        <v>0</v>
      </c>
      <c r="R883" s="81">
        <f ca="1">SUMPRODUCT((Work_Codes!$N$409:$Y$409=$E883)*(Work_Codes!$N$412:$Y$413)*(R$867:R$868))</f>
        <v>0</v>
      </c>
      <c r="S883" s="81">
        <f ca="1">SUMPRODUCT((Work_Codes!$N$409:$Y$409=$E883)*(Work_Codes!$N$412:$Y$413)*(S$867:S$868))</f>
        <v>0</v>
      </c>
      <c r="T883" s="81">
        <f ca="1">SUMPRODUCT((Work_Codes!$N$409:$Y$409=$E883)*(Work_Codes!$N$412:$Y$413)*(T$867:T$868))</f>
        <v>0</v>
      </c>
    </row>
    <row r="884" spans="4:20" ht="11.5" customHeight="1" outlineLevel="2">
      <c r="E884" s="247" t="str">
        <f>GC!C47</f>
        <v>Buildings</v>
      </c>
      <c r="F884" s="247"/>
      <c r="G884" s="247"/>
      <c r="H884" s="247"/>
      <c r="I884" s="247"/>
      <c r="J884" s="81">
        <f ca="1">SUMPRODUCT((Work_Codes!$N$409:$Y$409=$E884)*(Work_Codes!$N$412:$Y$413)*(J$867:J$868))</f>
        <v>0</v>
      </c>
      <c r="K884" s="81">
        <f ca="1">SUMPRODUCT((Work_Codes!$N$409:$Y$409=$E884)*(Work_Codes!$N$412:$Y$413)*(K$867:K$868))</f>
        <v>0</v>
      </c>
      <c r="L884" s="81">
        <f ca="1">SUMPRODUCT((Work_Codes!$N$409:$Y$409=$E884)*(Work_Codes!$N$412:$Y$413)*(L$867:L$868))</f>
        <v>0</v>
      </c>
      <c r="M884" s="81">
        <f ca="1">SUMPRODUCT((Work_Codes!$N$409:$Y$409=$E884)*(Work_Codes!$N$412:$Y$413)*(M$867:M$868))</f>
        <v>0</v>
      </c>
      <c r="N884" s="81">
        <f ca="1">SUMPRODUCT((Work_Codes!$N$409:$Y$409=$E884)*(Work_Codes!$N$412:$Y$413)*(N$867:N$868))</f>
        <v>0</v>
      </c>
      <c r="O884" s="81">
        <f ca="1">SUMPRODUCT((Work_Codes!$N$409:$Y$409=$E884)*(Work_Codes!$N$412:$Y$413)*(O$867:O$868))</f>
        <v>0</v>
      </c>
      <c r="P884" s="81">
        <f ca="1">SUMPRODUCT((Work_Codes!$N$409:$Y$409=$E884)*(Work_Codes!$N$412:$Y$413)*(P$867:P$868))</f>
        <v>0</v>
      </c>
      <c r="Q884" s="81">
        <f ca="1">SUMPRODUCT((Work_Codes!$N$409:$Y$409=$E884)*(Work_Codes!$N$412:$Y$413)*(Q$867:Q$868))</f>
        <v>0</v>
      </c>
      <c r="R884" s="81">
        <f ca="1">SUMPRODUCT((Work_Codes!$N$409:$Y$409=$E884)*(Work_Codes!$N$412:$Y$413)*(R$867:R$868))</f>
        <v>0</v>
      </c>
      <c r="S884" s="81">
        <f ca="1">SUMPRODUCT((Work_Codes!$N$409:$Y$409=$E884)*(Work_Codes!$N$412:$Y$413)*(S$867:S$868))</f>
        <v>0</v>
      </c>
      <c r="T884" s="81">
        <f ca="1">SUMPRODUCT((Work_Codes!$N$409:$Y$409=$E884)*(Work_Codes!$N$412:$Y$413)*(T$867:T$868))</f>
        <v>0</v>
      </c>
    </row>
    <row r="885" spans="4:20" ht="11.5" customHeight="1" outlineLevel="2">
      <c r="E885" s="247" t="str">
        <f>GC!C48</f>
        <v>Other - IT</v>
      </c>
      <c r="F885" s="247"/>
      <c r="G885" s="247"/>
      <c r="H885" s="247"/>
      <c r="I885" s="247"/>
      <c r="J885" s="81">
        <f ca="1">SUMPRODUCT((Work_Codes!$N$409:$Y$409=$E885)*(Work_Codes!$N$412:$Y$413)*(J$867:J$868))</f>
        <v>0</v>
      </c>
      <c r="K885" s="81">
        <f ca="1">SUMPRODUCT((Work_Codes!$N$409:$Y$409=$E885)*(Work_Codes!$N$412:$Y$413)*(K$867:K$868))</f>
        <v>0</v>
      </c>
      <c r="L885" s="81">
        <f ca="1">SUMPRODUCT((Work_Codes!$N$409:$Y$409=$E885)*(Work_Codes!$N$412:$Y$413)*(L$867:L$868))</f>
        <v>0</v>
      </c>
      <c r="M885" s="81">
        <f ca="1">SUMPRODUCT((Work_Codes!$N$409:$Y$409=$E885)*(Work_Codes!$N$412:$Y$413)*(M$867:M$868))</f>
        <v>0</v>
      </c>
      <c r="N885" s="81">
        <f ca="1">SUMPRODUCT((Work_Codes!$N$409:$Y$409=$E885)*(Work_Codes!$N$412:$Y$413)*(N$867:N$868))</f>
        <v>0</v>
      </c>
      <c r="O885" s="81">
        <f ca="1">SUMPRODUCT((Work_Codes!$N$409:$Y$409=$E885)*(Work_Codes!$N$412:$Y$413)*(O$867:O$868))</f>
        <v>0</v>
      </c>
      <c r="P885" s="81">
        <f ca="1">SUMPRODUCT((Work_Codes!$N$409:$Y$409=$E885)*(Work_Codes!$N$412:$Y$413)*(P$867:P$868))</f>
        <v>0</v>
      </c>
      <c r="Q885" s="81">
        <f ca="1">SUMPRODUCT((Work_Codes!$N$409:$Y$409=$E885)*(Work_Codes!$N$412:$Y$413)*(Q$867:Q$868))</f>
        <v>0</v>
      </c>
      <c r="R885" s="81">
        <f ca="1">SUMPRODUCT((Work_Codes!$N$409:$Y$409=$E885)*(Work_Codes!$N$412:$Y$413)*(R$867:R$868))</f>
        <v>0</v>
      </c>
      <c r="S885" s="81">
        <f ca="1">SUMPRODUCT((Work_Codes!$N$409:$Y$409=$E885)*(Work_Codes!$N$412:$Y$413)*(S$867:S$868))</f>
        <v>0</v>
      </c>
      <c r="T885" s="81">
        <f ca="1">SUMPRODUCT((Work_Codes!$N$409:$Y$409=$E885)*(Work_Codes!$N$412:$Y$413)*(T$867:T$868))</f>
        <v>0</v>
      </c>
    </row>
    <row r="886" spans="4:20" ht="11.5" customHeight="1" outlineLevel="2">
      <c r="E886" s="247" t="str">
        <f>GC!C49</f>
        <v>Other - non IT</v>
      </c>
      <c r="F886" s="247"/>
      <c r="G886" s="247"/>
      <c r="H886" s="247"/>
      <c r="I886" s="247"/>
      <c r="J886" s="81">
        <f ca="1">SUMPRODUCT((Work_Codes!$N$409:$Y$409=$E886)*(Work_Codes!$N$412:$Y$413)*(J$867:J$868))</f>
        <v>0</v>
      </c>
      <c r="K886" s="81">
        <f ca="1">SUMPRODUCT((Work_Codes!$N$409:$Y$409=$E886)*(Work_Codes!$N$412:$Y$413)*(K$867:K$868))</f>
        <v>0</v>
      </c>
      <c r="L886" s="81">
        <f ca="1">SUMPRODUCT((Work_Codes!$N$409:$Y$409=$E886)*(Work_Codes!$N$412:$Y$413)*(L$867:L$868))</f>
        <v>0</v>
      </c>
      <c r="M886" s="81">
        <f ca="1">SUMPRODUCT((Work_Codes!$N$409:$Y$409=$E886)*(Work_Codes!$N$412:$Y$413)*(M$867:M$868))</f>
        <v>0</v>
      </c>
      <c r="N886" s="81">
        <f ca="1">SUMPRODUCT((Work_Codes!$N$409:$Y$409=$E886)*(Work_Codes!$N$412:$Y$413)*(N$867:N$868))</f>
        <v>0</v>
      </c>
      <c r="O886" s="81">
        <f ca="1">SUMPRODUCT((Work_Codes!$N$409:$Y$409=$E886)*(Work_Codes!$N$412:$Y$413)*(O$867:O$868))</f>
        <v>0</v>
      </c>
      <c r="P886" s="81">
        <f ca="1">SUMPRODUCT((Work_Codes!$N$409:$Y$409=$E886)*(Work_Codes!$N$412:$Y$413)*(P$867:P$868))</f>
        <v>0</v>
      </c>
      <c r="Q886" s="81">
        <f ca="1">SUMPRODUCT((Work_Codes!$N$409:$Y$409=$E886)*(Work_Codes!$N$412:$Y$413)*(Q$867:Q$868))</f>
        <v>0</v>
      </c>
      <c r="R886" s="81">
        <f ca="1">SUMPRODUCT((Work_Codes!$N$409:$Y$409=$E886)*(Work_Codes!$N$412:$Y$413)*(R$867:R$868))</f>
        <v>0</v>
      </c>
      <c r="S886" s="81">
        <f ca="1">SUMPRODUCT((Work_Codes!$N$409:$Y$409=$E886)*(Work_Codes!$N$412:$Y$413)*(S$867:S$868))</f>
        <v>0</v>
      </c>
      <c r="T886" s="81">
        <f ca="1">SUMPRODUCT((Work_Codes!$N$409:$Y$409=$E886)*(Work_Codes!$N$412:$Y$413)*(T$867:T$868))</f>
        <v>0</v>
      </c>
    </row>
    <row r="887" spans="4:20" ht="11.5" customHeight="1" outlineLevel="2">
      <c r="E887" s="247" t="str">
        <f>GC!C50</f>
        <v>Land</v>
      </c>
      <c r="F887" s="247"/>
      <c r="G887" s="247"/>
      <c r="H887" s="247"/>
      <c r="I887" s="247"/>
      <c r="J887" s="81">
        <f ca="1">SUMPRODUCT((Work_Codes!$N$409:$Y$409=$E887)*(Work_Codes!$N$412:$Y$413)*(J$867:J$868))</f>
        <v>0</v>
      </c>
      <c r="K887" s="81">
        <f ca="1">SUMPRODUCT((Work_Codes!$N$409:$Y$409=$E887)*(Work_Codes!$N$412:$Y$413)*(K$867:K$868))</f>
        <v>0</v>
      </c>
      <c r="L887" s="81">
        <f ca="1">SUMPRODUCT((Work_Codes!$N$409:$Y$409=$E887)*(Work_Codes!$N$412:$Y$413)*(L$867:L$868))</f>
        <v>0</v>
      </c>
      <c r="M887" s="81">
        <f ca="1">SUMPRODUCT((Work_Codes!$N$409:$Y$409=$E887)*(Work_Codes!$N$412:$Y$413)*(M$867:M$868))</f>
        <v>0</v>
      </c>
      <c r="N887" s="81">
        <f ca="1">SUMPRODUCT((Work_Codes!$N$409:$Y$409=$E887)*(Work_Codes!$N$412:$Y$413)*(N$867:N$868))</f>
        <v>0</v>
      </c>
      <c r="O887" s="81">
        <f ca="1">SUMPRODUCT((Work_Codes!$N$409:$Y$409=$E887)*(Work_Codes!$N$412:$Y$413)*(O$867:O$868))</f>
        <v>0</v>
      </c>
      <c r="P887" s="81">
        <f ca="1">SUMPRODUCT((Work_Codes!$N$409:$Y$409=$E887)*(Work_Codes!$N$412:$Y$413)*(P$867:P$868))</f>
        <v>0</v>
      </c>
      <c r="Q887" s="81">
        <f ca="1">SUMPRODUCT((Work_Codes!$N$409:$Y$409=$E887)*(Work_Codes!$N$412:$Y$413)*(Q$867:Q$868))</f>
        <v>0</v>
      </c>
      <c r="R887" s="81">
        <f ca="1">SUMPRODUCT((Work_Codes!$N$409:$Y$409=$E887)*(Work_Codes!$N$412:$Y$413)*(R$867:R$868))</f>
        <v>0</v>
      </c>
      <c r="S887" s="81">
        <f ca="1">SUMPRODUCT((Work_Codes!$N$409:$Y$409=$E887)*(Work_Codes!$N$412:$Y$413)*(S$867:S$868))</f>
        <v>0</v>
      </c>
      <c r="T887" s="81">
        <f ca="1">SUMPRODUCT((Work_Codes!$N$409:$Y$409=$E887)*(Work_Codes!$N$412:$Y$413)*(T$867:T$868))</f>
        <v>0</v>
      </c>
    </row>
    <row r="888" spans="4:20" outlineLevel="2">
      <c r="E888" s="247" t="str">
        <f>GC!C51</f>
        <v>Capitalised Leases</v>
      </c>
      <c r="F888" s="247"/>
      <c r="G888" s="247"/>
      <c r="H888" s="247"/>
      <c r="I888" s="247"/>
      <c r="J888" s="81">
        <f ca="1">SUMPRODUCT((Work_Codes!$N$409:$Y$409=$E888)*(Work_Codes!$N$412:$Y$413)*(J$867:J$868))</f>
        <v>0</v>
      </c>
      <c r="K888" s="81">
        <f ca="1">SUMPRODUCT((Work_Codes!$N$409:$Y$409=$E888)*(Work_Codes!$N$412:$Y$413)*(K$867:K$868))</f>
        <v>0</v>
      </c>
      <c r="L888" s="81">
        <f ca="1">SUMPRODUCT((Work_Codes!$N$409:$Y$409=$E888)*(Work_Codes!$N$412:$Y$413)*(L$867:L$868))</f>
        <v>0</v>
      </c>
      <c r="M888" s="81">
        <f ca="1">SUMPRODUCT((Work_Codes!$N$409:$Y$409=$E888)*(Work_Codes!$N$412:$Y$413)*(M$867:M$868))</f>
        <v>0</v>
      </c>
      <c r="N888" s="81">
        <f ca="1">SUMPRODUCT((Work_Codes!$N$409:$Y$409=$E888)*(Work_Codes!$N$412:$Y$413)*(N$867:N$868))</f>
        <v>0</v>
      </c>
      <c r="O888" s="81">
        <f ca="1">SUMPRODUCT((Work_Codes!$N$409:$Y$409=$E888)*(Work_Codes!$N$412:$Y$413)*(O$867:O$868))</f>
        <v>0</v>
      </c>
      <c r="P888" s="81">
        <f ca="1">SUMPRODUCT((Work_Codes!$N$409:$Y$409=$E888)*(Work_Codes!$N$412:$Y$413)*(P$867:P$868))</f>
        <v>0</v>
      </c>
      <c r="Q888" s="81">
        <f ca="1">SUMPRODUCT((Work_Codes!$N$409:$Y$409=$E888)*(Work_Codes!$N$412:$Y$413)*(Q$867:Q$868))</f>
        <v>0</v>
      </c>
      <c r="R888" s="81">
        <f ca="1">SUMPRODUCT((Work_Codes!$N$409:$Y$409=$E888)*(Work_Codes!$N$412:$Y$413)*(R$867:R$868))</f>
        <v>0</v>
      </c>
      <c r="S888" s="81">
        <f ca="1">SUMPRODUCT((Work_Codes!$N$409:$Y$409=$E888)*(Work_Codes!$N$412:$Y$413)*(S$867:S$868))</f>
        <v>0</v>
      </c>
      <c r="T888" s="81">
        <f ca="1">SUMPRODUCT((Work_Codes!$N$409:$Y$409=$E888)*(Work_Codes!$N$412:$Y$413)*(T$867:T$868))</f>
        <v>0</v>
      </c>
    </row>
    <row r="889" spans="4:20" outlineLevel="2">
      <c r="E889" s="247" t="str">
        <f>GC!C52</f>
        <v>Transmission pipelines - post 1998</v>
      </c>
      <c r="F889" s="247"/>
      <c r="G889" s="247"/>
      <c r="H889" s="247"/>
      <c r="I889" s="247"/>
      <c r="J889" s="81">
        <f ca="1">SUMPRODUCT((Work_Codes!$N$409:$Y$409=$E889)*(Work_Codes!$N$412:$Y$413)*(J$867:J$868))</f>
        <v>0</v>
      </c>
      <c r="K889" s="81">
        <f ca="1">SUMPRODUCT((Work_Codes!$N$409:$Y$409=$E889)*(Work_Codes!$N$412:$Y$413)*(K$867:K$868))</f>
        <v>0</v>
      </c>
      <c r="L889" s="81">
        <f ca="1">SUMPRODUCT((Work_Codes!$N$409:$Y$409=$E889)*(Work_Codes!$N$412:$Y$413)*(L$867:L$868))</f>
        <v>0</v>
      </c>
      <c r="M889" s="81">
        <f ca="1">SUMPRODUCT((Work_Codes!$N$409:$Y$409=$E889)*(Work_Codes!$N$412:$Y$413)*(M$867:M$868))</f>
        <v>0</v>
      </c>
      <c r="N889" s="81">
        <f ca="1">SUMPRODUCT((Work_Codes!$N$409:$Y$409=$E889)*(Work_Codes!$N$412:$Y$413)*(N$867:N$868))</f>
        <v>0</v>
      </c>
      <c r="O889" s="81">
        <f ca="1">SUMPRODUCT((Work_Codes!$N$409:$Y$409=$E889)*(Work_Codes!$N$412:$Y$413)*(O$867:O$868))</f>
        <v>0</v>
      </c>
      <c r="P889" s="81">
        <f ca="1">SUMPRODUCT((Work_Codes!$N$409:$Y$409=$E889)*(Work_Codes!$N$412:$Y$413)*(P$867:P$868))</f>
        <v>0</v>
      </c>
      <c r="Q889" s="81">
        <f ca="1">SUMPRODUCT((Work_Codes!$N$409:$Y$409=$E889)*(Work_Codes!$N$412:$Y$413)*(Q$867:Q$868))</f>
        <v>0</v>
      </c>
      <c r="R889" s="81">
        <f ca="1">SUMPRODUCT((Work_Codes!$N$409:$Y$409=$E889)*(Work_Codes!$N$412:$Y$413)*(R$867:R$868))</f>
        <v>0</v>
      </c>
      <c r="S889" s="81">
        <f ca="1">SUMPRODUCT((Work_Codes!$N$409:$Y$409=$E889)*(Work_Codes!$N$412:$Y$413)*(S$867:S$868))</f>
        <v>0</v>
      </c>
      <c r="T889" s="81">
        <f ca="1">SUMPRODUCT((Work_Codes!$N$409:$Y$409=$E889)*(Work_Codes!$N$412:$Y$413)*(T$867:T$868))</f>
        <v>0</v>
      </c>
    </row>
    <row r="890" spans="4:20" outlineLevel="2">
      <c r="E890" s="247" t="str">
        <f>GC!C53</f>
        <v>Distribution pipelines - post 1998</v>
      </c>
      <c r="F890" s="247"/>
      <c r="G890" s="247"/>
      <c r="H890" s="247"/>
      <c r="I890" s="247"/>
      <c r="J890" s="81">
        <f ca="1">SUMPRODUCT((Work_Codes!$N$409:$Y$409=$E890)*(Work_Codes!$N$412:$Y$413)*(J$867:J$868))</f>
        <v>0</v>
      </c>
      <c r="K890" s="81">
        <f ca="1">SUMPRODUCT((Work_Codes!$N$409:$Y$409=$E890)*(Work_Codes!$N$412:$Y$413)*(K$867:K$868))</f>
        <v>0</v>
      </c>
      <c r="L890" s="81">
        <f ca="1">SUMPRODUCT((Work_Codes!$N$409:$Y$409=$E890)*(Work_Codes!$N$412:$Y$413)*(L$867:L$868))</f>
        <v>0</v>
      </c>
      <c r="M890" s="81">
        <f ca="1">SUMPRODUCT((Work_Codes!$N$409:$Y$409=$E890)*(Work_Codes!$N$412:$Y$413)*(M$867:M$868))</f>
        <v>0</v>
      </c>
      <c r="N890" s="81">
        <f ca="1">SUMPRODUCT((Work_Codes!$N$409:$Y$409=$E890)*(Work_Codes!$N$412:$Y$413)*(N$867:N$868))</f>
        <v>858316.09466462943</v>
      </c>
      <c r="O890" s="81">
        <f ca="1">SUMPRODUCT((Work_Codes!$N$409:$Y$409=$E890)*(Work_Codes!$N$412:$Y$413)*(O$867:O$868))</f>
        <v>1414227.9318068253</v>
      </c>
      <c r="P890" s="81">
        <f ca="1">SUMPRODUCT((Work_Codes!$N$409:$Y$409=$E890)*(Work_Codes!$N$412:$Y$413)*(P$867:P$868))</f>
        <v>2668942.8480636342</v>
      </c>
      <c r="Q890" s="81">
        <f ca="1">SUMPRODUCT((Work_Codes!$N$409:$Y$409=$E890)*(Work_Codes!$N$412:$Y$413)*(Q$867:Q$868))</f>
        <v>2726968.0623847367</v>
      </c>
      <c r="R890" s="81">
        <f ca="1">SUMPRODUCT((Work_Codes!$N$409:$Y$409=$E890)*(Work_Codes!$N$412:$Y$413)*(R$867:R$868))</f>
        <v>2784238.7213593386</v>
      </c>
      <c r="S890" s="81">
        <f ca="1">SUMPRODUCT((Work_Codes!$N$409:$Y$409=$E890)*(Work_Codes!$N$412:$Y$413)*(S$867:S$868))</f>
        <v>2738770.6185375508</v>
      </c>
      <c r="T890" s="81">
        <f ca="1">SUMPRODUCT((Work_Codes!$N$409:$Y$409=$E890)*(Work_Codes!$N$412:$Y$413)*(T$867:T$868))</f>
        <v>2691476.4624928003</v>
      </c>
    </row>
    <row r="891" spans="4:20" outlineLevel="2">
      <c r="E891" s="247" t="str">
        <f>GC!C54</f>
        <v>Service pipes - post 1998</v>
      </c>
      <c r="F891" s="247"/>
      <c r="G891" s="247"/>
      <c r="H891" s="247"/>
      <c r="I891" s="247"/>
      <c r="J891" s="81">
        <f ca="1">SUMPRODUCT((Work_Codes!$N$409:$Y$409=$E891)*(Work_Codes!$N$412:$Y$413)*(J$867:J$868))</f>
        <v>0</v>
      </c>
      <c r="K891" s="81">
        <f ca="1">SUMPRODUCT((Work_Codes!$N$409:$Y$409=$E891)*(Work_Codes!$N$412:$Y$413)*(K$867:K$868))</f>
        <v>0</v>
      </c>
      <c r="L891" s="81">
        <f ca="1">SUMPRODUCT((Work_Codes!$N$409:$Y$409=$E891)*(Work_Codes!$N$412:$Y$413)*(L$867:L$868))</f>
        <v>0</v>
      </c>
      <c r="M891" s="81">
        <f ca="1">SUMPRODUCT((Work_Codes!$N$409:$Y$409=$E891)*(Work_Codes!$N$412:$Y$413)*(M$867:M$868))</f>
        <v>0</v>
      </c>
      <c r="N891" s="81">
        <f ca="1">SUMPRODUCT((Work_Codes!$N$409:$Y$409=$E891)*(Work_Codes!$N$412:$Y$413)*(N$867:N$868))</f>
        <v>95368.454962736607</v>
      </c>
      <c r="O891" s="81">
        <f ca="1">SUMPRODUCT((Work_Codes!$N$409:$Y$409=$E891)*(Work_Codes!$N$412:$Y$413)*(O$867:O$868))</f>
        <v>157136.43686742504</v>
      </c>
      <c r="P891" s="81">
        <f ca="1">SUMPRODUCT((Work_Codes!$N$409:$Y$409=$E891)*(Work_Codes!$N$412:$Y$413)*(P$867:P$868))</f>
        <v>296549.20534040377</v>
      </c>
      <c r="Q891" s="81">
        <f ca="1">SUMPRODUCT((Work_Codes!$N$409:$Y$409=$E891)*(Work_Codes!$N$412:$Y$413)*(Q$867:Q$868))</f>
        <v>302996.45137608185</v>
      </c>
      <c r="R891" s="81">
        <f ca="1">SUMPRODUCT((Work_Codes!$N$409:$Y$409=$E891)*(Work_Codes!$N$412:$Y$413)*(R$867:R$868))</f>
        <v>309359.85792881541</v>
      </c>
      <c r="S891" s="81">
        <f ca="1">SUMPRODUCT((Work_Codes!$N$409:$Y$409=$E891)*(Work_Codes!$N$412:$Y$413)*(S$867:S$868))</f>
        <v>304307.84650417231</v>
      </c>
      <c r="T891" s="81">
        <f ca="1">SUMPRODUCT((Work_Codes!$N$409:$Y$409=$E891)*(Work_Codes!$N$412:$Y$413)*(T$867:T$868))</f>
        <v>299052.94027697778</v>
      </c>
    </row>
    <row r="892" spans="4:20" outlineLevel="2">
      <c r="E892" s="247" t="str">
        <f>GC!C55</f>
        <v>Cathodic protection - post 1998</v>
      </c>
      <c r="F892" s="247"/>
      <c r="G892" s="247"/>
      <c r="H892" s="247"/>
      <c r="I892" s="247"/>
      <c r="J892" s="81">
        <f ca="1">SUMPRODUCT((Work_Codes!$N$409:$Y$409=$E892)*(Work_Codes!$N$412:$Y$413)*(J$867:J$868))</f>
        <v>0</v>
      </c>
      <c r="K892" s="81">
        <f ca="1">SUMPRODUCT((Work_Codes!$N$409:$Y$409=$E892)*(Work_Codes!$N$412:$Y$413)*(K$867:K$868))</f>
        <v>0</v>
      </c>
      <c r="L892" s="81">
        <f ca="1">SUMPRODUCT((Work_Codes!$N$409:$Y$409=$E892)*(Work_Codes!$N$412:$Y$413)*(L$867:L$868))</f>
        <v>0</v>
      </c>
      <c r="M892" s="81">
        <f ca="1">SUMPRODUCT((Work_Codes!$N$409:$Y$409=$E892)*(Work_Codes!$N$412:$Y$413)*(M$867:M$868))</f>
        <v>0</v>
      </c>
      <c r="N892" s="81">
        <f ca="1">SUMPRODUCT((Work_Codes!$N$409:$Y$409=$E892)*(Work_Codes!$N$412:$Y$413)*(N$867:N$868))</f>
        <v>0</v>
      </c>
      <c r="O892" s="81">
        <f ca="1">SUMPRODUCT((Work_Codes!$N$409:$Y$409=$E892)*(Work_Codes!$N$412:$Y$413)*(O$867:O$868))</f>
        <v>0</v>
      </c>
      <c r="P892" s="81">
        <f ca="1">SUMPRODUCT((Work_Codes!$N$409:$Y$409=$E892)*(Work_Codes!$N$412:$Y$413)*(P$867:P$868))</f>
        <v>0</v>
      </c>
      <c r="Q892" s="81">
        <f ca="1">SUMPRODUCT((Work_Codes!$N$409:$Y$409=$E892)*(Work_Codes!$N$412:$Y$413)*(Q$867:Q$868))</f>
        <v>0</v>
      </c>
      <c r="R892" s="81">
        <f ca="1">SUMPRODUCT((Work_Codes!$N$409:$Y$409=$E892)*(Work_Codes!$N$412:$Y$413)*(R$867:R$868))</f>
        <v>0</v>
      </c>
      <c r="S892" s="81">
        <f ca="1">SUMPRODUCT((Work_Codes!$N$409:$Y$409=$E892)*(Work_Codes!$N$412:$Y$413)*(S$867:S$868))</f>
        <v>0</v>
      </c>
      <c r="T892" s="81">
        <f ca="1">SUMPRODUCT((Work_Codes!$N$409:$Y$409=$E892)*(Work_Codes!$N$412:$Y$413)*(T$867:T$868))</f>
        <v>0</v>
      </c>
    </row>
    <row r="893" spans="4:20" ht="12" customHeight="1" outlineLevel="2">
      <c r="E893" s="249" t="str">
        <f>"Total "&amp;D875</f>
        <v>Total Direct Costs</v>
      </c>
      <c r="F893" s="249"/>
      <c r="G893" s="249"/>
      <c r="H893" s="249"/>
      <c r="I893" s="249"/>
      <c r="J893" s="82">
        <f t="shared" ref="J893:T893" ca="1" si="88">SUM(J877:J892)</f>
        <v>0</v>
      </c>
      <c r="K893" s="82">
        <f t="shared" ca="1" si="88"/>
        <v>0</v>
      </c>
      <c r="L893" s="82">
        <f t="shared" ca="1" si="88"/>
        <v>0</v>
      </c>
      <c r="M893" s="82">
        <f t="shared" ca="1" si="88"/>
        <v>0</v>
      </c>
      <c r="N893" s="82">
        <f t="shared" ca="1" si="88"/>
        <v>953684.54962736601</v>
      </c>
      <c r="O893" s="82">
        <f t="shared" ca="1" si="88"/>
        <v>1571364.3686742503</v>
      </c>
      <c r="P893" s="82">
        <f t="shared" ca="1" si="88"/>
        <v>2965492.0534040378</v>
      </c>
      <c r="Q893" s="82">
        <f t="shared" ca="1" si="88"/>
        <v>3029964.5137608186</v>
      </c>
      <c r="R893" s="82">
        <f t="shared" ca="1" si="88"/>
        <v>3093598.5792881539</v>
      </c>
      <c r="S893" s="82">
        <f t="shared" ca="1" si="88"/>
        <v>3043078.4650417231</v>
      </c>
      <c r="T893" s="82">
        <f t="shared" ca="1" si="88"/>
        <v>2990529.4027697779</v>
      </c>
    </row>
    <row r="894" spans="4:20" outlineLevel="2"/>
    <row r="895" spans="4:20" outlineLevel="2">
      <c r="D895" s="37" t="s">
        <v>364</v>
      </c>
    </row>
    <row r="896" spans="4:20" ht="5.9" customHeight="1" outlineLevel="2"/>
    <row r="897" spans="5:20" outlineLevel="2">
      <c r="E897" s="247" t="str">
        <f>GC!C40</f>
        <v>Transmission pipelines</v>
      </c>
      <c r="F897" s="247"/>
      <c r="G897" s="247"/>
      <c r="H897" s="247"/>
      <c r="I897" s="247"/>
      <c r="J897" s="81">
        <f ca="1">J877*(INDEX(J$806:J$808,MATCH(Work_Codes!$I$406,$D$806:$D$808,0)))</f>
        <v>0</v>
      </c>
      <c r="K897" s="81">
        <f ca="1">K877*(INDEX(K$806:K$808,MATCH(Work_Codes!$I$406,$D$806:$D$808,0)))</f>
        <v>0</v>
      </c>
      <c r="L897" s="81">
        <f ca="1">L877*(INDEX(L$806:L$808,MATCH(Work_Codes!$I$406,$D$806:$D$808,0)))</f>
        <v>0</v>
      </c>
      <c r="M897" s="81">
        <f ca="1">M877*(INDEX(M$806:M$808,MATCH(Work_Codes!$I$406,$D$806:$D$808,0)))</f>
        <v>0</v>
      </c>
      <c r="N897" s="81">
        <f ca="1">N877*(INDEX(N$806:N$808,MATCH(Work_Codes!$I$406,$D$806:$D$808,0)))</f>
        <v>0</v>
      </c>
      <c r="O897" s="81">
        <f ca="1">O877*(INDEX(O$806:O$808,MATCH(Work_Codes!$I$406,$D$806:$D$808,0)))</f>
        <v>0</v>
      </c>
      <c r="P897" s="81">
        <f ca="1">P877*(INDEX(P$806:P$808,MATCH(Work_Codes!$I$406,$D$806:$D$808,0)))</f>
        <v>0</v>
      </c>
      <c r="Q897" s="81">
        <f ca="1">Q877*(INDEX(Q$806:Q$808,MATCH(Work_Codes!$I$406,$D$806:$D$808,0)))</f>
        <v>0</v>
      </c>
      <c r="R897" s="81">
        <f ca="1">R877*(INDEX(R$806:R$808,MATCH(Work_Codes!$I$406,$D$806:$D$808,0)))</f>
        <v>0</v>
      </c>
      <c r="S897" s="81">
        <f ca="1">S877*(INDEX(S$806:S$808,MATCH(Work_Codes!$I$406,$D$806:$D$808,0)))</f>
        <v>0</v>
      </c>
      <c r="T897" s="81">
        <f ca="1">T877*(INDEX(T$806:T$808,MATCH(Work_Codes!$I$406,$D$806:$D$808,0)))</f>
        <v>0</v>
      </c>
    </row>
    <row r="898" spans="5:20" outlineLevel="2">
      <c r="E898" s="247" t="str">
        <f>GC!C41</f>
        <v>Distribution pipelines</v>
      </c>
      <c r="F898" s="247"/>
      <c r="G898" s="247"/>
      <c r="H898" s="247"/>
      <c r="I898" s="247"/>
      <c r="J898" s="81">
        <f ca="1">J878*(INDEX(J$806:J$808,MATCH(Work_Codes!$I$406,$D$806:$D$808,0)))</f>
        <v>0</v>
      </c>
      <c r="K898" s="81">
        <f ca="1">K878*(INDEX(K$806:K$808,MATCH(Work_Codes!$I$406,$D$806:$D$808,0)))</f>
        <v>0</v>
      </c>
      <c r="L898" s="81">
        <f ca="1">L878*(INDEX(L$806:L$808,MATCH(Work_Codes!$I$406,$D$806:$D$808,0)))</f>
        <v>0</v>
      </c>
      <c r="M898" s="81">
        <f ca="1">M878*(INDEX(M$806:M$808,MATCH(Work_Codes!$I$406,$D$806:$D$808,0)))</f>
        <v>0</v>
      </c>
      <c r="N898" s="81">
        <f ca="1">N878*(INDEX(N$806:N$808,MATCH(Work_Codes!$I$406,$D$806:$D$808,0)))</f>
        <v>0</v>
      </c>
      <c r="O898" s="81">
        <f ca="1">O878*(INDEX(O$806:O$808,MATCH(Work_Codes!$I$406,$D$806:$D$808,0)))</f>
        <v>0</v>
      </c>
      <c r="P898" s="81">
        <f ca="1">P878*(INDEX(P$806:P$808,MATCH(Work_Codes!$I$406,$D$806:$D$808,0)))</f>
        <v>0</v>
      </c>
      <c r="Q898" s="81">
        <f ca="1">Q878*(INDEX(Q$806:Q$808,MATCH(Work_Codes!$I$406,$D$806:$D$808,0)))</f>
        <v>0</v>
      </c>
      <c r="R898" s="81">
        <f ca="1">R878*(INDEX(R$806:R$808,MATCH(Work_Codes!$I$406,$D$806:$D$808,0)))</f>
        <v>0</v>
      </c>
      <c r="S898" s="81">
        <f ca="1">S878*(INDEX(S$806:S$808,MATCH(Work_Codes!$I$406,$D$806:$D$808,0)))</f>
        <v>0</v>
      </c>
      <c r="T898" s="81">
        <f ca="1">T878*(INDEX(T$806:T$808,MATCH(Work_Codes!$I$406,$D$806:$D$808,0)))</f>
        <v>0</v>
      </c>
    </row>
    <row r="899" spans="5:20" outlineLevel="2">
      <c r="E899" s="247" t="str">
        <f>GC!C42</f>
        <v>Service pipes</v>
      </c>
      <c r="F899" s="247"/>
      <c r="G899" s="247"/>
      <c r="H899" s="247"/>
      <c r="I899" s="247"/>
      <c r="J899" s="81">
        <f ca="1">J879*(INDEX(J$806:J$808,MATCH(Work_Codes!$I$406,$D$806:$D$808,0)))</f>
        <v>0</v>
      </c>
      <c r="K899" s="81">
        <f ca="1">K879*(INDEX(K$806:K$808,MATCH(Work_Codes!$I$406,$D$806:$D$808,0)))</f>
        <v>0</v>
      </c>
      <c r="L899" s="81">
        <f ca="1">L879*(INDEX(L$806:L$808,MATCH(Work_Codes!$I$406,$D$806:$D$808,0)))</f>
        <v>0</v>
      </c>
      <c r="M899" s="81">
        <f ca="1">M879*(INDEX(M$806:M$808,MATCH(Work_Codes!$I$406,$D$806:$D$808,0)))</f>
        <v>0</v>
      </c>
      <c r="N899" s="81">
        <f ca="1">N879*(INDEX(N$806:N$808,MATCH(Work_Codes!$I$406,$D$806:$D$808,0)))</f>
        <v>0</v>
      </c>
      <c r="O899" s="81">
        <f ca="1">O879*(INDEX(O$806:O$808,MATCH(Work_Codes!$I$406,$D$806:$D$808,0)))</f>
        <v>0</v>
      </c>
      <c r="P899" s="81">
        <f ca="1">P879*(INDEX(P$806:P$808,MATCH(Work_Codes!$I$406,$D$806:$D$808,0)))</f>
        <v>0</v>
      </c>
      <c r="Q899" s="81">
        <f ca="1">Q879*(INDEX(Q$806:Q$808,MATCH(Work_Codes!$I$406,$D$806:$D$808,0)))</f>
        <v>0</v>
      </c>
      <c r="R899" s="81">
        <f ca="1">R879*(INDEX(R$806:R$808,MATCH(Work_Codes!$I$406,$D$806:$D$808,0)))</f>
        <v>0</v>
      </c>
      <c r="S899" s="81">
        <f ca="1">S879*(INDEX(S$806:S$808,MATCH(Work_Codes!$I$406,$D$806:$D$808,0)))</f>
        <v>0</v>
      </c>
      <c r="T899" s="81">
        <f ca="1">T879*(INDEX(T$806:T$808,MATCH(Work_Codes!$I$406,$D$806:$D$808,0)))</f>
        <v>0</v>
      </c>
    </row>
    <row r="900" spans="5:20" outlineLevel="2">
      <c r="E900" s="247" t="str">
        <f>GC!C43</f>
        <v>Cathodic protection</v>
      </c>
      <c r="F900" s="247"/>
      <c r="G900" s="247"/>
      <c r="H900" s="247"/>
      <c r="I900" s="247"/>
      <c r="J900" s="81">
        <f ca="1">J880*(INDEX(J$806:J$808,MATCH(Work_Codes!$I$406,$D$806:$D$808,0)))</f>
        <v>0</v>
      </c>
      <c r="K900" s="81">
        <f ca="1">K880*(INDEX(K$806:K$808,MATCH(Work_Codes!$I$406,$D$806:$D$808,0)))</f>
        <v>0</v>
      </c>
      <c r="L900" s="81">
        <f ca="1">L880*(INDEX(L$806:L$808,MATCH(Work_Codes!$I$406,$D$806:$D$808,0)))</f>
        <v>0</v>
      </c>
      <c r="M900" s="81">
        <f ca="1">M880*(INDEX(M$806:M$808,MATCH(Work_Codes!$I$406,$D$806:$D$808,0)))</f>
        <v>0</v>
      </c>
      <c r="N900" s="81">
        <f ca="1">N880*(INDEX(N$806:N$808,MATCH(Work_Codes!$I$406,$D$806:$D$808,0)))</f>
        <v>0</v>
      </c>
      <c r="O900" s="81">
        <f ca="1">O880*(INDEX(O$806:O$808,MATCH(Work_Codes!$I$406,$D$806:$D$808,0)))</f>
        <v>0</v>
      </c>
      <c r="P900" s="81">
        <f ca="1">P880*(INDEX(P$806:P$808,MATCH(Work_Codes!$I$406,$D$806:$D$808,0)))</f>
        <v>0</v>
      </c>
      <c r="Q900" s="81">
        <f ca="1">Q880*(INDEX(Q$806:Q$808,MATCH(Work_Codes!$I$406,$D$806:$D$808,0)))</f>
        <v>0</v>
      </c>
      <c r="R900" s="81">
        <f ca="1">R880*(INDEX(R$806:R$808,MATCH(Work_Codes!$I$406,$D$806:$D$808,0)))</f>
        <v>0</v>
      </c>
      <c r="S900" s="81">
        <f ca="1">S880*(INDEX(S$806:S$808,MATCH(Work_Codes!$I$406,$D$806:$D$808,0)))</f>
        <v>0</v>
      </c>
      <c r="T900" s="81">
        <f ca="1">T880*(INDEX(T$806:T$808,MATCH(Work_Codes!$I$406,$D$806:$D$808,0)))</f>
        <v>0</v>
      </c>
    </row>
    <row r="901" spans="5:20" outlineLevel="2">
      <c r="E901" s="247" t="str">
        <f>GC!C44</f>
        <v>Supply Regulators / Valve Stations</v>
      </c>
      <c r="F901" s="247"/>
      <c r="G901" s="247"/>
      <c r="H901" s="247"/>
      <c r="I901" s="247"/>
      <c r="J901" s="81">
        <f ca="1">J881*(INDEX(J$806:J$808,MATCH(Work_Codes!$I$406,$D$806:$D$808,0)))</f>
        <v>0</v>
      </c>
      <c r="K901" s="81">
        <f ca="1">K881*(INDEX(K$806:K$808,MATCH(Work_Codes!$I$406,$D$806:$D$808,0)))</f>
        <v>0</v>
      </c>
      <c r="L901" s="81">
        <f ca="1">L881*(INDEX(L$806:L$808,MATCH(Work_Codes!$I$406,$D$806:$D$808,0)))</f>
        <v>0</v>
      </c>
      <c r="M901" s="81">
        <f ca="1">M881*(INDEX(M$806:M$808,MATCH(Work_Codes!$I$406,$D$806:$D$808,0)))</f>
        <v>0</v>
      </c>
      <c r="N901" s="81">
        <f ca="1">N881*(INDEX(N$806:N$808,MATCH(Work_Codes!$I$406,$D$806:$D$808,0)))</f>
        <v>0</v>
      </c>
      <c r="O901" s="81">
        <f ca="1">O881*(INDEX(O$806:O$808,MATCH(Work_Codes!$I$406,$D$806:$D$808,0)))</f>
        <v>0</v>
      </c>
      <c r="P901" s="81">
        <f ca="1">P881*(INDEX(P$806:P$808,MATCH(Work_Codes!$I$406,$D$806:$D$808,0)))</f>
        <v>0</v>
      </c>
      <c r="Q901" s="81">
        <f ca="1">Q881*(INDEX(Q$806:Q$808,MATCH(Work_Codes!$I$406,$D$806:$D$808,0)))</f>
        <v>0</v>
      </c>
      <c r="R901" s="81">
        <f ca="1">R881*(INDEX(R$806:R$808,MATCH(Work_Codes!$I$406,$D$806:$D$808,0)))</f>
        <v>0</v>
      </c>
      <c r="S901" s="81">
        <f ca="1">S881*(INDEX(S$806:S$808,MATCH(Work_Codes!$I$406,$D$806:$D$808,0)))</f>
        <v>0</v>
      </c>
      <c r="T901" s="81">
        <f ca="1">T881*(INDEX(T$806:T$808,MATCH(Work_Codes!$I$406,$D$806:$D$808,0)))</f>
        <v>0</v>
      </c>
    </row>
    <row r="902" spans="5:20" outlineLevel="2">
      <c r="E902" s="247" t="str">
        <f>GC!C45</f>
        <v>Meters</v>
      </c>
      <c r="F902" s="247"/>
      <c r="G902" s="247"/>
      <c r="H902" s="247"/>
      <c r="I902" s="247"/>
      <c r="J902" s="81">
        <f ca="1">J882*(INDEX(J$806:J$808,MATCH(Work_Codes!$I$406,$D$806:$D$808,0)))</f>
        <v>0</v>
      </c>
      <c r="K902" s="81">
        <f ca="1">K882*(INDEX(K$806:K$808,MATCH(Work_Codes!$I$406,$D$806:$D$808,0)))</f>
        <v>0</v>
      </c>
      <c r="L902" s="81">
        <f ca="1">L882*(INDEX(L$806:L$808,MATCH(Work_Codes!$I$406,$D$806:$D$808,0)))</f>
        <v>0</v>
      </c>
      <c r="M902" s="81">
        <f ca="1">M882*(INDEX(M$806:M$808,MATCH(Work_Codes!$I$406,$D$806:$D$808,0)))</f>
        <v>0</v>
      </c>
      <c r="N902" s="81">
        <f ca="1">N882*(INDEX(N$806:N$808,MATCH(Work_Codes!$I$406,$D$806:$D$808,0)))</f>
        <v>0</v>
      </c>
      <c r="O902" s="81">
        <f ca="1">O882*(INDEX(O$806:O$808,MATCH(Work_Codes!$I$406,$D$806:$D$808,0)))</f>
        <v>0</v>
      </c>
      <c r="P902" s="81">
        <f ca="1">P882*(INDEX(P$806:P$808,MATCH(Work_Codes!$I$406,$D$806:$D$808,0)))</f>
        <v>0</v>
      </c>
      <c r="Q902" s="81">
        <f ca="1">Q882*(INDEX(Q$806:Q$808,MATCH(Work_Codes!$I$406,$D$806:$D$808,0)))</f>
        <v>0</v>
      </c>
      <c r="R902" s="81">
        <f ca="1">R882*(INDEX(R$806:R$808,MATCH(Work_Codes!$I$406,$D$806:$D$808,0)))</f>
        <v>0</v>
      </c>
      <c r="S902" s="81">
        <f ca="1">S882*(INDEX(S$806:S$808,MATCH(Work_Codes!$I$406,$D$806:$D$808,0)))</f>
        <v>0</v>
      </c>
      <c r="T902" s="81">
        <f ca="1">T882*(INDEX(T$806:T$808,MATCH(Work_Codes!$I$406,$D$806:$D$808,0)))</f>
        <v>0</v>
      </c>
    </row>
    <row r="903" spans="5:20" outlineLevel="2">
      <c r="E903" s="247" t="str">
        <f>GC!C46</f>
        <v>SCADA and remote control</v>
      </c>
      <c r="F903" s="247"/>
      <c r="G903" s="247"/>
      <c r="H903" s="247"/>
      <c r="I903" s="247"/>
      <c r="J903" s="81">
        <f ca="1">J883*(INDEX(J$806:J$808,MATCH(Work_Codes!$I$406,$D$806:$D$808,0)))</f>
        <v>0</v>
      </c>
      <c r="K903" s="81">
        <f ca="1">K883*(INDEX(K$806:K$808,MATCH(Work_Codes!$I$406,$D$806:$D$808,0)))</f>
        <v>0</v>
      </c>
      <c r="L903" s="81">
        <f ca="1">L883*(INDEX(L$806:L$808,MATCH(Work_Codes!$I$406,$D$806:$D$808,0)))</f>
        <v>0</v>
      </c>
      <c r="M903" s="81">
        <f ca="1">M883*(INDEX(M$806:M$808,MATCH(Work_Codes!$I$406,$D$806:$D$808,0)))</f>
        <v>0</v>
      </c>
      <c r="N903" s="81">
        <f ca="1">N883*(INDEX(N$806:N$808,MATCH(Work_Codes!$I$406,$D$806:$D$808,0)))</f>
        <v>0</v>
      </c>
      <c r="O903" s="81">
        <f ca="1">O883*(INDEX(O$806:O$808,MATCH(Work_Codes!$I$406,$D$806:$D$808,0)))</f>
        <v>0</v>
      </c>
      <c r="P903" s="81">
        <f ca="1">P883*(INDEX(P$806:P$808,MATCH(Work_Codes!$I$406,$D$806:$D$808,0)))</f>
        <v>0</v>
      </c>
      <c r="Q903" s="81">
        <f ca="1">Q883*(INDEX(Q$806:Q$808,MATCH(Work_Codes!$I$406,$D$806:$D$808,0)))</f>
        <v>0</v>
      </c>
      <c r="R903" s="81">
        <f ca="1">R883*(INDEX(R$806:R$808,MATCH(Work_Codes!$I$406,$D$806:$D$808,0)))</f>
        <v>0</v>
      </c>
      <c r="S903" s="81">
        <f ca="1">S883*(INDEX(S$806:S$808,MATCH(Work_Codes!$I$406,$D$806:$D$808,0)))</f>
        <v>0</v>
      </c>
      <c r="T903" s="81">
        <f ca="1">T883*(INDEX(T$806:T$808,MATCH(Work_Codes!$I$406,$D$806:$D$808,0)))</f>
        <v>0</v>
      </c>
    </row>
    <row r="904" spans="5:20" outlineLevel="2">
      <c r="E904" s="247" t="str">
        <f>GC!C47</f>
        <v>Buildings</v>
      </c>
      <c r="F904" s="247"/>
      <c r="G904" s="247"/>
      <c r="H904" s="247"/>
      <c r="I904" s="247"/>
      <c r="J904" s="81">
        <f ca="1">J884*(INDEX(J$806:J$808,MATCH(Work_Codes!$I$406,$D$806:$D$808,0)))</f>
        <v>0</v>
      </c>
      <c r="K904" s="81">
        <f ca="1">K884*(INDEX(K$806:K$808,MATCH(Work_Codes!$I$406,$D$806:$D$808,0)))</f>
        <v>0</v>
      </c>
      <c r="L904" s="81">
        <f ca="1">L884*(INDEX(L$806:L$808,MATCH(Work_Codes!$I$406,$D$806:$D$808,0)))</f>
        <v>0</v>
      </c>
      <c r="M904" s="81">
        <f ca="1">M884*(INDEX(M$806:M$808,MATCH(Work_Codes!$I$406,$D$806:$D$808,0)))</f>
        <v>0</v>
      </c>
      <c r="N904" s="81">
        <f ca="1">N884*(INDEX(N$806:N$808,MATCH(Work_Codes!$I$406,$D$806:$D$808,0)))</f>
        <v>0</v>
      </c>
      <c r="O904" s="81">
        <f ca="1">O884*(INDEX(O$806:O$808,MATCH(Work_Codes!$I$406,$D$806:$D$808,0)))</f>
        <v>0</v>
      </c>
      <c r="P904" s="81">
        <f ca="1">P884*(INDEX(P$806:P$808,MATCH(Work_Codes!$I$406,$D$806:$D$808,0)))</f>
        <v>0</v>
      </c>
      <c r="Q904" s="81">
        <f ca="1">Q884*(INDEX(Q$806:Q$808,MATCH(Work_Codes!$I$406,$D$806:$D$808,0)))</f>
        <v>0</v>
      </c>
      <c r="R904" s="81">
        <f ca="1">R884*(INDEX(R$806:R$808,MATCH(Work_Codes!$I$406,$D$806:$D$808,0)))</f>
        <v>0</v>
      </c>
      <c r="S904" s="81">
        <f ca="1">S884*(INDEX(S$806:S$808,MATCH(Work_Codes!$I$406,$D$806:$D$808,0)))</f>
        <v>0</v>
      </c>
      <c r="T904" s="81">
        <f ca="1">T884*(INDEX(T$806:T$808,MATCH(Work_Codes!$I$406,$D$806:$D$808,0)))</f>
        <v>0</v>
      </c>
    </row>
    <row r="905" spans="5:20" outlineLevel="2">
      <c r="E905" s="247" t="str">
        <f>GC!C48</f>
        <v>Other - IT</v>
      </c>
      <c r="F905" s="247"/>
      <c r="G905" s="247"/>
      <c r="H905" s="247"/>
      <c r="I905" s="247"/>
      <c r="J905" s="81">
        <f ca="1">J885*(INDEX(J$806:J$808,MATCH(Work_Codes!$I$406,$D$806:$D$808,0)))</f>
        <v>0</v>
      </c>
      <c r="K905" s="81">
        <f ca="1">K885*(INDEX(K$806:K$808,MATCH(Work_Codes!$I$406,$D$806:$D$808,0)))</f>
        <v>0</v>
      </c>
      <c r="L905" s="81">
        <f ca="1">L885*(INDEX(L$806:L$808,MATCH(Work_Codes!$I$406,$D$806:$D$808,0)))</f>
        <v>0</v>
      </c>
      <c r="M905" s="81">
        <f ca="1">M885*(INDEX(M$806:M$808,MATCH(Work_Codes!$I$406,$D$806:$D$808,0)))</f>
        <v>0</v>
      </c>
      <c r="N905" s="81">
        <f ca="1">N885*(INDEX(N$806:N$808,MATCH(Work_Codes!$I$406,$D$806:$D$808,0)))</f>
        <v>0</v>
      </c>
      <c r="O905" s="81">
        <f ca="1">O885*(INDEX(O$806:O$808,MATCH(Work_Codes!$I$406,$D$806:$D$808,0)))</f>
        <v>0</v>
      </c>
      <c r="P905" s="81">
        <f ca="1">P885*(INDEX(P$806:P$808,MATCH(Work_Codes!$I$406,$D$806:$D$808,0)))</f>
        <v>0</v>
      </c>
      <c r="Q905" s="81">
        <f ca="1">Q885*(INDEX(Q$806:Q$808,MATCH(Work_Codes!$I$406,$D$806:$D$808,0)))</f>
        <v>0</v>
      </c>
      <c r="R905" s="81">
        <f ca="1">R885*(INDEX(R$806:R$808,MATCH(Work_Codes!$I$406,$D$806:$D$808,0)))</f>
        <v>0</v>
      </c>
      <c r="S905" s="81">
        <f ca="1">S885*(INDEX(S$806:S$808,MATCH(Work_Codes!$I$406,$D$806:$D$808,0)))</f>
        <v>0</v>
      </c>
      <c r="T905" s="81">
        <f ca="1">T885*(INDEX(T$806:T$808,MATCH(Work_Codes!$I$406,$D$806:$D$808,0)))</f>
        <v>0</v>
      </c>
    </row>
    <row r="906" spans="5:20" outlineLevel="2">
      <c r="E906" s="247" t="str">
        <f>GC!C49</f>
        <v>Other - non IT</v>
      </c>
      <c r="F906" s="247"/>
      <c r="G906" s="247"/>
      <c r="H906" s="247"/>
      <c r="I906" s="247"/>
      <c r="J906" s="81">
        <f ca="1">J886*(INDEX(J$806:J$808,MATCH(Work_Codes!$I$406,$D$806:$D$808,0)))</f>
        <v>0</v>
      </c>
      <c r="K906" s="81">
        <f ca="1">K886*(INDEX(K$806:K$808,MATCH(Work_Codes!$I$406,$D$806:$D$808,0)))</f>
        <v>0</v>
      </c>
      <c r="L906" s="81">
        <f ca="1">L886*(INDEX(L$806:L$808,MATCH(Work_Codes!$I$406,$D$806:$D$808,0)))</f>
        <v>0</v>
      </c>
      <c r="M906" s="81">
        <f ca="1">M886*(INDEX(M$806:M$808,MATCH(Work_Codes!$I$406,$D$806:$D$808,0)))</f>
        <v>0</v>
      </c>
      <c r="N906" s="81">
        <f ca="1">N886*(INDEX(N$806:N$808,MATCH(Work_Codes!$I$406,$D$806:$D$808,0)))</f>
        <v>0</v>
      </c>
      <c r="O906" s="81">
        <f ca="1">O886*(INDEX(O$806:O$808,MATCH(Work_Codes!$I$406,$D$806:$D$808,0)))</f>
        <v>0</v>
      </c>
      <c r="P906" s="81">
        <f ca="1">P886*(INDEX(P$806:P$808,MATCH(Work_Codes!$I$406,$D$806:$D$808,0)))</f>
        <v>0</v>
      </c>
      <c r="Q906" s="81">
        <f ca="1">Q886*(INDEX(Q$806:Q$808,MATCH(Work_Codes!$I$406,$D$806:$D$808,0)))</f>
        <v>0</v>
      </c>
      <c r="R906" s="81">
        <f ca="1">R886*(INDEX(R$806:R$808,MATCH(Work_Codes!$I$406,$D$806:$D$808,0)))</f>
        <v>0</v>
      </c>
      <c r="S906" s="81">
        <f ca="1">S886*(INDEX(S$806:S$808,MATCH(Work_Codes!$I$406,$D$806:$D$808,0)))</f>
        <v>0</v>
      </c>
      <c r="T906" s="81">
        <f ca="1">T886*(INDEX(T$806:T$808,MATCH(Work_Codes!$I$406,$D$806:$D$808,0)))</f>
        <v>0</v>
      </c>
    </row>
    <row r="907" spans="5:20" outlineLevel="2">
      <c r="E907" s="247" t="str">
        <f>GC!C50</f>
        <v>Land</v>
      </c>
      <c r="F907" s="247"/>
      <c r="G907" s="247"/>
      <c r="H907" s="247"/>
      <c r="I907" s="247"/>
      <c r="J907" s="81">
        <f ca="1">J887*(INDEX(J$806:J$808,MATCH(Work_Codes!$I$406,$D$806:$D$808,0)))</f>
        <v>0</v>
      </c>
      <c r="K907" s="81">
        <f ca="1">K887*(INDEX(K$806:K$808,MATCH(Work_Codes!$I$406,$D$806:$D$808,0)))</f>
        <v>0</v>
      </c>
      <c r="L907" s="81">
        <f ca="1">L887*(INDEX(L$806:L$808,MATCH(Work_Codes!$I$406,$D$806:$D$808,0)))</f>
        <v>0</v>
      </c>
      <c r="M907" s="81">
        <f ca="1">M887*(INDEX(M$806:M$808,MATCH(Work_Codes!$I$406,$D$806:$D$808,0)))</f>
        <v>0</v>
      </c>
      <c r="N907" s="81">
        <f ca="1">N887*(INDEX(N$806:N$808,MATCH(Work_Codes!$I$406,$D$806:$D$808,0)))</f>
        <v>0</v>
      </c>
      <c r="O907" s="81">
        <f ca="1">O887*(INDEX(O$806:O$808,MATCH(Work_Codes!$I$406,$D$806:$D$808,0)))</f>
        <v>0</v>
      </c>
      <c r="P907" s="81">
        <f ca="1">P887*(INDEX(P$806:P$808,MATCH(Work_Codes!$I$406,$D$806:$D$808,0)))</f>
        <v>0</v>
      </c>
      <c r="Q907" s="81">
        <f ca="1">Q887*(INDEX(Q$806:Q$808,MATCH(Work_Codes!$I$406,$D$806:$D$808,0)))</f>
        <v>0</v>
      </c>
      <c r="R907" s="81">
        <f ca="1">R887*(INDEX(R$806:R$808,MATCH(Work_Codes!$I$406,$D$806:$D$808,0)))</f>
        <v>0</v>
      </c>
      <c r="S907" s="81">
        <f ca="1">S887*(INDEX(S$806:S$808,MATCH(Work_Codes!$I$406,$D$806:$D$808,0)))</f>
        <v>0</v>
      </c>
      <c r="T907" s="81">
        <f ca="1">T887*(INDEX(T$806:T$808,MATCH(Work_Codes!$I$406,$D$806:$D$808,0)))</f>
        <v>0</v>
      </c>
    </row>
    <row r="908" spans="5:20" outlineLevel="2">
      <c r="E908" s="247" t="str">
        <f>GC!C51</f>
        <v>Capitalised Leases</v>
      </c>
      <c r="F908" s="247"/>
      <c r="G908" s="247"/>
      <c r="H908" s="247"/>
      <c r="I908" s="247"/>
      <c r="J908" s="81">
        <f ca="1">J888*(INDEX(J$806:J$808,MATCH(Work_Codes!$I$406,$D$806:$D$808,0)))</f>
        <v>0</v>
      </c>
      <c r="K908" s="81">
        <f ca="1">K888*(INDEX(K$806:K$808,MATCH(Work_Codes!$I$406,$D$806:$D$808,0)))</f>
        <v>0</v>
      </c>
      <c r="L908" s="81">
        <f ca="1">L888*(INDEX(L$806:L$808,MATCH(Work_Codes!$I$406,$D$806:$D$808,0)))</f>
        <v>0</v>
      </c>
      <c r="M908" s="81">
        <f ca="1">M888*(INDEX(M$806:M$808,MATCH(Work_Codes!$I$406,$D$806:$D$808,0)))</f>
        <v>0</v>
      </c>
      <c r="N908" s="81">
        <f ca="1">N888*(INDEX(N$806:N$808,MATCH(Work_Codes!$I$406,$D$806:$D$808,0)))</f>
        <v>0</v>
      </c>
      <c r="O908" s="81">
        <f ca="1">O888*(INDEX(O$806:O$808,MATCH(Work_Codes!$I$406,$D$806:$D$808,0)))</f>
        <v>0</v>
      </c>
      <c r="P908" s="81">
        <f ca="1">P888*(INDEX(P$806:P$808,MATCH(Work_Codes!$I$406,$D$806:$D$808,0)))</f>
        <v>0</v>
      </c>
      <c r="Q908" s="81">
        <f ca="1">Q888*(INDEX(Q$806:Q$808,MATCH(Work_Codes!$I$406,$D$806:$D$808,0)))</f>
        <v>0</v>
      </c>
      <c r="R908" s="81">
        <f ca="1">R888*(INDEX(R$806:R$808,MATCH(Work_Codes!$I$406,$D$806:$D$808,0)))</f>
        <v>0</v>
      </c>
      <c r="S908" s="81">
        <f ca="1">S888*(INDEX(S$806:S$808,MATCH(Work_Codes!$I$406,$D$806:$D$808,0)))</f>
        <v>0</v>
      </c>
      <c r="T908" s="81">
        <f ca="1">T888*(INDEX(T$806:T$808,MATCH(Work_Codes!$I$406,$D$806:$D$808,0)))</f>
        <v>0</v>
      </c>
    </row>
    <row r="909" spans="5:20" outlineLevel="2">
      <c r="E909" s="247" t="str">
        <f>GC!C52</f>
        <v>Transmission pipelines - post 1998</v>
      </c>
      <c r="F909" s="247"/>
      <c r="G909" s="247"/>
      <c r="H909" s="247"/>
      <c r="I909" s="247"/>
      <c r="J909" s="81">
        <f ca="1">J889*(INDEX(J$806:J$808,MATCH(Work_Codes!$I$406,$D$806:$D$808,0)))</f>
        <v>0</v>
      </c>
      <c r="K909" s="81">
        <f ca="1">K889*(INDEX(K$806:K$808,MATCH(Work_Codes!$I$406,$D$806:$D$808,0)))</f>
        <v>0</v>
      </c>
      <c r="L909" s="81">
        <f ca="1">L889*(INDEX(L$806:L$808,MATCH(Work_Codes!$I$406,$D$806:$D$808,0)))</f>
        <v>0</v>
      </c>
      <c r="M909" s="81">
        <f ca="1">M889*(INDEX(M$806:M$808,MATCH(Work_Codes!$I$406,$D$806:$D$808,0)))</f>
        <v>0</v>
      </c>
      <c r="N909" s="81">
        <f ca="1">N889*(INDEX(N$806:N$808,MATCH(Work_Codes!$I$406,$D$806:$D$808,0)))</f>
        <v>0</v>
      </c>
      <c r="O909" s="81">
        <f ca="1">O889*(INDEX(O$806:O$808,MATCH(Work_Codes!$I$406,$D$806:$D$808,0)))</f>
        <v>0</v>
      </c>
      <c r="P909" s="81">
        <f ca="1">P889*(INDEX(P$806:P$808,MATCH(Work_Codes!$I$406,$D$806:$D$808,0)))</f>
        <v>0</v>
      </c>
      <c r="Q909" s="81">
        <f ca="1">Q889*(INDEX(Q$806:Q$808,MATCH(Work_Codes!$I$406,$D$806:$D$808,0)))</f>
        <v>0</v>
      </c>
      <c r="R909" s="81">
        <f ca="1">R889*(INDEX(R$806:R$808,MATCH(Work_Codes!$I$406,$D$806:$D$808,0)))</f>
        <v>0</v>
      </c>
      <c r="S909" s="81">
        <f ca="1">S889*(INDEX(S$806:S$808,MATCH(Work_Codes!$I$406,$D$806:$D$808,0)))</f>
        <v>0</v>
      </c>
      <c r="T909" s="81">
        <f ca="1">T889*(INDEX(T$806:T$808,MATCH(Work_Codes!$I$406,$D$806:$D$808,0)))</f>
        <v>0</v>
      </c>
    </row>
    <row r="910" spans="5:20" outlineLevel="2">
      <c r="E910" s="247" t="str">
        <f>GC!C53</f>
        <v>Distribution pipelines - post 1998</v>
      </c>
      <c r="F910" s="247"/>
      <c r="G910" s="247"/>
      <c r="H910" s="247"/>
      <c r="I910" s="247"/>
      <c r="J910" s="81">
        <f ca="1">J890*(INDEX(J$806:J$808,MATCH(Work_Codes!$I$406,$D$806:$D$808,0)))</f>
        <v>0</v>
      </c>
      <c r="K910" s="81">
        <f ca="1">K890*(INDEX(K$806:K$808,MATCH(Work_Codes!$I$406,$D$806:$D$808,0)))</f>
        <v>0</v>
      </c>
      <c r="L910" s="81">
        <f ca="1">L890*(INDEX(L$806:L$808,MATCH(Work_Codes!$I$406,$D$806:$D$808,0)))</f>
        <v>0</v>
      </c>
      <c r="M910" s="81">
        <f ca="1">M890*(INDEX(M$806:M$808,MATCH(Work_Codes!$I$406,$D$806:$D$808,0)))</f>
        <v>0</v>
      </c>
      <c r="N910" s="81">
        <f ca="1">N890*(INDEX(N$806:N$808,MATCH(Work_Codes!$I$406,$D$806:$D$808,0)))</f>
        <v>32367.964582791541</v>
      </c>
      <c r="O910" s="81">
        <f ca="1">O890*(INDEX(O$806:O$808,MATCH(Work_Codes!$I$406,$D$806:$D$808,0)))</f>
        <v>47071.118718560341</v>
      </c>
      <c r="P910" s="81">
        <f ca="1">P890*(INDEX(P$806:P$808,MATCH(Work_Codes!$I$406,$D$806:$D$808,0)))</f>
        <v>71401.321944034658</v>
      </c>
      <c r="Q910" s="81">
        <f ca="1">Q890*(INDEX(Q$806:Q$808,MATCH(Work_Codes!$I$406,$D$806:$D$808,0)))</f>
        <v>71066.389387693736</v>
      </c>
      <c r="R910" s="81">
        <f ca="1">R890*(INDEX(R$806:R$808,MATCH(Work_Codes!$I$406,$D$806:$D$808,0)))</f>
        <v>74820.863829961469</v>
      </c>
      <c r="S910" s="81">
        <f ca="1">S890*(INDEX(S$806:S$808,MATCH(Work_Codes!$I$406,$D$806:$D$808,0)))</f>
        <v>78181.436119807026</v>
      </c>
      <c r="T910" s="81">
        <f ca="1">T890*(INDEX(T$806:T$808,MATCH(Work_Codes!$I$406,$D$806:$D$808,0)))</f>
        <v>80529.99368410492</v>
      </c>
    </row>
    <row r="911" spans="5:20" outlineLevel="2">
      <c r="E911" s="247" t="str">
        <f>GC!C54</f>
        <v>Service pipes - post 1998</v>
      </c>
      <c r="F911" s="247"/>
      <c r="G911" s="247"/>
      <c r="H911" s="247"/>
      <c r="I911" s="247"/>
      <c r="J911" s="81">
        <f ca="1">J891*(INDEX(J$806:J$808,MATCH(Work_Codes!$I$406,$D$806:$D$808,0)))</f>
        <v>0</v>
      </c>
      <c r="K911" s="81">
        <f ca="1">K891*(INDEX(K$806:K$808,MATCH(Work_Codes!$I$406,$D$806:$D$808,0)))</f>
        <v>0</v>
      </c>
      <c r="L911" s="81">
        <f ca="1">L891*(INDEX(L$806:L$808,MATCH(Work_Codes!$I$406,$D$806:$D$808,0)))</f>
        <v>0</v>
      </c>
      <c r="M911" s="81">
        <f ca="1">M891*(INDEX(M$806:M$808,MATCH(Work_Codes!$I$406,$D$806:$D$808,0)))</f>
        <v>0</v>
      </c>
      <c r="N911" s="81">
        <f ca="1">N891*(INDEX(N$806:N$808,MATCH(Work_Codes!$I$406,$D$806:$D$808,0)))</f>
        <v>3596.4405091990602</v>
      </c>
      <c r="O911" s="81">
        <f ca="1">O891*(INDEX(O$806:O$808,MATCH(Work_Codes!$I$406,$D$806:$D$808,0)))</f>
        <v>5230.1243020622605</v>
      </c>
      <c r="P911" s="81">
        <f ca="1">P891*(INDEX(P$806:P$808,MATCH(Work_Codes!$I$406,$D$806:$D$808,0)))</f>
        <v>7933.4802160038507</v>
      </c>
      <c r="Q911" s="81">
        <f ca="1">Q891*(INDEX(Q$806:Q$808,MATCH(Work_Codes!$I$406,$D$806:$D$808,0)))</f>
        <v>7896.2654875215258</v>
      </c>
      <c r="R911" s="81">
        <f ca="1">R891*(INDEX(R$806:R$808,MATCH(Work_Codes!$I$406,$D$806:$D$808,0)))</f>
        <v>8313.4293144401636</v>
      </c>
      <c r="S911" s="81">
        <f ca="1">S891*(INDEX(S$806:S$808,MATCH(Work_Codes!$I$406,$D$806:$D$808,0)))</f>
        <v>8686.8262355341139</v>
      </c>
      <c r="T911" s="81">
        <f ca="1">T891*(INDEX(T$806:T$808,MATCH(Work_Codes!$I$406,$D$806:$D$808,0)))</f>
        <v>8947.7770760116564</v>
      </c>
    </row>
    <row r="912" spans="5:20" outlineLevel="2">
      <c r="E912" s="247" t="str">
        <f>GC!C55</f>
        <v>Cathodic protection - post 1998</v>
      </c>
      <c r="F912" s="247"/>
      <c r="G912" s="247"/>
      <c r="H912" s="247"/>
      <c r="I912" s="247"/>
      <c r="J912" s="81">
        <f ca="1">J892*(INDEX(J$806:J$808,MATCH(Work_Codes!$I$406,$D$806:$D$808,0)))</f>
        <v>0</v>
      </c>
      <c r="K912" s="81">
        <f ca="1">K892*(INDEX(K$806:K$808,MATCH(Work_Codes!$I$406,$D$806:$D$808,0)))</f>
        <v>0</v>
      </c>
      <c r="L912" s="81">
        <f ca="1">L892*(INDEX(L$806:L$808,MATCH(Work_Codes!$I$406,$D$806:$D$808,0)))</f>
        <v>0</v>
      </c>
      <c r="M912" s="81">
        <f ca="1">M892*(INDEX(M$806:M$808,MATCH(Work_Codes!$I$406,$D$806:$D$808,0)))</f>
        <v>0</v>
      </c>
      <c r="N912" s="81">
        <f ca="1">N892*(INDEX(N$806:N$808,MATCH(Work_Codes!$I$406,$D$806:$D$808,0)))</f>
        <v>0</v>
      </c>
      <c r="O912" s="81">
        <f ca="1">O892*(INDEX(O$806:O$808,MATCH(Work_Codes!$I$406,$D$806:$D$808,0)))</f>
        <v>0</v>
      </c>
      <c r="P912" s="81">
        <f ca="1">P892*(INDEX(P$806:P$808,MATCH(Work_Codes!$I$406,$D$806:$D$808,0)))</f>
        <v>0</v>
      </c>
      <c r="Q912" s="81">
        <f ca="1">Q892*(INDEX(Q$806:Q$808,MATCH(Work_Codes!$I$406,$D$806:$D$808,0)))</f>
        <v>0</v>
      </c>
      <c r="R912" s="81">
        <f ca="1">R892*(INDEX(R$806:R$808,MATCH(Work_Codes!$I$406,$D$806:$D$808,0)))</f>
        <v>0</v>
      </c>
      <c r="S912" s="81">
        <f ca="1">S892*(INDEX(S$806:S$808,MATCH(Work_Codes!$I$406,$D$806:$D$808,0)))</f>
        <v>0</v>
      </c>
      <c r="T912" s="81">
        <f ca="1">T892*(INDEX(T$806:T$808,MATCH(Work_Codes!$I$406,$D$806:$D$808,0)))</f>
        <v>0</v>
      </c>
    </row>
    <row r="913" spans="4:20" outlineLevel="2">
      <c r="E913" s="249" t="str">
        <f>"Total "&amp;D895</f>
        <v>Total Overheads</v>
      </c>
      <c r="F913" s="249"/>
      <c r="G913" s="249"/>
      <c r="H913" s="249"/>
      <c r="I913" s="249"/>
      <c r="J913" s="82">
        <f t="shared" ref="J913:T913" ca="1" si="89">SUM(J897:J912)</f>
        <v>0</v>
      </c>
      <c r="K913" s="82">
        <f t="shared" ca="1" si="89"/>
        <v>0</v>
      </c>
      <c r="L913" s="82">
        <f t="shared" ca="1" si="89"/>
        <v>0</v>
      </c>
      <c r="M913" s="82">
        <f t="shared" ca="1" si="89"/>
        <v>0</v>
      </c>
      <c r="N913" s="82">
        <f t="shared" ca="1" si="89"/>
        <v>35964.4050919906</v>
      </c>
      <c r="O913" s="82">
        <f t="shared" ca="1" si="89"/>
        <v>52301.243020622598</v>
      </c>
      <c r="P913" s="82">
        <f t="shared" ca="1" si="89"/>
        <v>79334.802160038511</v>
      </c>
      <c r="Q913" s="82">
        <f t="shared" ca="1" si="89"/>
        <v>78962.654875215259</v>
      </c>
      <c r="R913" s="82">
        <f t="shared" ca="1" si="89"/>
        <v>83134.293144401629</v>
      </c>
      <c r="S913" s="82">
        <f t="shared" ca="1" si="89"/>
        <v>86868.262355341139</v>
      </c>
      <c r="T913" s="82">
        <f t="shared" ca="1" si="89"/>
        <v>89477.770760116575</v>
      </c>
    </row>
    <row r="914" spans="4:20" outlineLevel="2"/>
    <row r="915" spans="4:20" outlineLevel="2">
      <c r="D915" s="37" t="s">
        <v>216</v>
      </c>
    </row>
    <row r="916" spans="4:20" ht="5.9" customHeight="1" outlineLevel="2"/>
    <row r="917" spans="4:20" ht="11.5" customHeight="1" outlineLevel="2">
      <c r="E917" s="247" t="str">
        <f>GC!C40</f>
        <v>Transmission pipelines</v>
      </c>
      <c r="F917" s="247"/>
      <c r="G917" s="247"/>
      <c r="H917" s="247"/>
      <c r="I917" s="247"/>
      <c r="J917" s="81">
        <f ca="1">J877*(1+INDEX(J$806:J$808,MATCH(Work_Codes!$I$406,$D$806:$D$808,0)))</f>
        <v>0</v>
      </c>
      <c r="K917" s="81">
        <f ca="1">K877*(1+INDEX(K$806:K$808,MATCH(Work_Codes!$I$406,$D$806:$D$808,0)))</f>
        <v>0</v>
      </c>
      <c r="L917" s="81">
        <f ca="1">L877*(1+INDEX(L$806:L$808,MATCH(Work_Codes!$I$406,$D$806:$D$808,0)))</f>
        <v>0</v>
      </c>
      <c r="M917" s="81">
        <f ca="1">M877*(1+INDEX(M$806:M$808,MATCH(Work_Codes!$I$406,$D$806:$D$808,0)))</f>
        <v>0</v>
      </c>
      <c r="N917" s="81">
        <f ca="1">N877*(1+INDEX(N$806:N$808,MATCH(Work_Codes!$I$406,$D$806:$D$808,0)))</f>
        <v>0</v>
      </c>
      <c r="O917" s="81">
        <f ca="1">O877*(1+INDEX(O$806:O$808,MATCH(Work_Codes!$I$406,$D$806:$D$808,0)))</f>
        <v>0</v>
      </c>
      <c r="P917" s="81">
        <f ca="1">P877*(1+INDEX(P$806:P$808,MATCH(Work_Codes!$I$406,$D$806:$D$808,0)))</f>
        <v>0</v>
      </c>
      <c r="Q917" s="81">
        <f ca="1">Q877*(1+INDEX(Q$806:Q$808,MATCH(Work_Codes!$I$406,$D$806:$D$808,0)))</f>
        <v>0</v>
      </c>
      <c r="R917" s="81">
        <f ca="1">R877*(1+INDEX(R$806:R$808,MATCH(Work_Codes!$I$406,$D$806:$D$808,0)))</f>
        <v>0</v>
      </c>
      <c r="S917" s="81">
        <f ca="1">S877*(1+INDEX(S$806:S$808,MATCH(Work_Codes!$I$406,$D$806:$D$808,0)))</f>
        <v>0</v>
      </c>
      <c r="T917" s="81">
        <f ca="1">T877*(1+INDEX(T$806:T$808,MATCH(Work_Codes!$I$406,$D$806:$D$808,0)))</f>
        <v>0</v>
      </c>
    </row>
    <row r="918" spans="4:20" ht="11.5" customHeight="1" outlineLevel="2">
      <c r="E918" s="247" t="str">
        <f>GC!C41</f>
        <v>Distribution pipelines</v>
      </c>
      <c r="F918" s="247"/>
      <c r="G918" s="247"/>
      <c r="H918" s="247"/>
      <c r="I918" s="247"/>
      <c r="J918" s="81">
        <f ca="1">J878*(1+INDEX(J$806:J$808,MATCH(Work_Codes!$I$406,$D$806:$D$808,0)))</f>
        <v>0</v>
      </c>
      <c r="K918" s="81">
        <f ca="1">K878*(1+INDEX(K$806:K$808,MATCH(Work_Codes!$I$406,$D$806:$D$808,0)))</f>
        <v>0</v>
      </c>
      <c r="L918" s="81">
        <f ca="1">L878*(1+INDEX(L$806:L$808,MATCH(Work_Codes!$I$406,$D$806:$D$808,0)))</f>
        <v>0</v>
      </c>
      <c r="M918" s="81">
        <f ca="1">M878*(1+INDEX(M$806:M$808,MATCH(Work_Codes!$I$406,$D$806:$D$808,0)))</f>
        <v>0</v>
      </c>
      <c r="N918" s="81">
        <f ca="1">N878*(1+INDEX(N$806:N$808,MATCH(Work_Codes!$I$406,$D$806:$D$808,0)))</f>
        <v>0</v>
      </c>
      <c r="O918" s="81">
        <f ca="1">O878*(1+INDEX(O$806:O$808,MATCH(Work_Codes!$I$406,$D$806:$D$808,0)))</f>
        <v>0</v>
      </c>
      <c r="P918" s="81">
        <f ca="1">P878*(1+INDEX(P$806:P$808,MATCH(Work_Codes!$I$406,$D$806:$D$808,0)))</f>
        <v>0</v>
      </c>
      <c r="Q918" s="81">
        <f ca="1">Q878*(1+INDEX(Q$806:Q$808,MATCH(Work_Codes!$I$406,$D$806:$D$808,0)))</f>
        <v>0</v>
      </c>
      <c r="R918" s="81">
        <f ca="1">R878*(1+INDEX(R$806:R$808,MATCH(Work_Codes!$I$406,$D$806:$D$808,0)))</f>
        <v>0</v>
      </c>
      <c r="S918" s="81">
        <f ca="1">S878*(1+INDEX(S$806:S$808,MATCH(Work_Codes!$I$406,$D$806:$D$808,0)))</f>
        <v>0</v>
      </c>
      <c r="T918" s="81">
        <f ca="1">T878*(1+INDEX(T$806:T$808,MATCH(Work_Codes!$I$406,$D$806:$D$808,0)))</f>
        <v>0</v>
      </c>
    </row>
    <row r="919" spans="4:20" ht="11.5" customHeight="1" outlineLevel="2">
      <c r="E919" s="247" t="str">
        <f>GC!C42</f>
        <v>Service pipes</v>
      </c>
      <c r="F919" s="247"/>
      <c r="G919" s="247"/>
      <c r="H919" s="247"/>
      <c r="I919" s="247"/>
      <c r="J919" s="81">
        <f ca="1">J879*(1+INDEX(J$806:J$808,MATCH(Work_Codes!$I$406,$D$806:$D$808,0)))</f>
        <v>0</v>
      </c>
      <c r="K919" s="81">
        <f ca="1">K879*(1+INDEX(K$806:K$808,MATCH(Work_Codes!$I$406,$D$806:$D$808,0)))</f>
        <v>0</v>
      </c>
      <c r="L919" s="81">
        <f ca="1">L879*(1+INDEX(L$806:L$808,MATCH(Work_Codes!$I$406,$D$806:$D$808,0)))</f>
        <v>0</v>
      </c>
      <c r="M919" s="81">
        <f ca="1">M879*(1+INDEX(M$806:M$808,MATCH(Work_Codes!$I$406,$D$806:$D$808,0)))</f>
        <v>0</v>
      </c>
      <c r="N919" s="81">
        <f ca="1">N879*(1+INDEX(N$806:N$808,MATCH(Work_Codes!$I$406,$D$806:$D$808,0)))</f>
        <v>0</v>
      </c>
      <c r="O919" s="81">
        <f ca="1">O879*(1+INDEX(O$806:O$808,MATCH(Work_Codes!$I$406,$D$806:$D$808,0)))</f>
        <v>0</v>
      </c>
      <c r="P919" s="81">
        <f ca="1">P879*(1+INDEX(P$806:P$808,MATCH(Work_Codes!$I$406,$D$806:$D$808,0)))</f>
        <v>0</v>
      </c>
      <c r="Q919" s="81">
        <f ca="1">Q879*(1+INDEX(Q$806:Q$808,MATCH(Work_Codes!$I$406,$D$806:$D$808,0)))</f>
        <v>0</v>
      </c>
      <c r="R919" s="81">
        <f ca="1">R879*(1+INDEX(R$806:R$808,MATCH(Work_Codes!$I$406,$D$806:$D$808,0)))</f>
        <v>0</v>
      </c>
      <c r="S919" s="81">
        <f ca="1">S879*(1+INDEX(S$806:S$808,MATCH(Work_Codes!$I$406,$D$806:$D$808,0)))</f>
        <v>0</v>
      </c>
      <c r="T919" s="81">
        <f ca="1">T879*(1+INDEX(T$806:T$808,MATCH(Work_Codes!$I$406,$D$806:$D$808,0)))</f>
        <v>0</v>
      </c>
    </row>
    <row r="920" spans="4:20" ht="11.5" customHeight="1" outlineLevel="2">
      <c r="E920" s="247" t="str">
        <f>GC!C43</f>
        <v>Cathodic protection</v>
      </c>
      <c r="F920" s="247"/>
      <c r="G920" s="247"/>
      <c r="H920" s="247"/>
      <c r="I920" s="247"/>
      <c r="J920" s="81">
        <f ca="1">J880*(1+INDEX(J$806:J$808,MATCH(Work_Codes!$I$406,$D$806:$D$808,0)))</f>
        <v>0</v>
      </c>
      <c r="K920" s="81">
        <f ca="1">K880*(1+INDEX(K$806:K$808,MATCH(Work_Codes!$I$406,$D$806:$D$808,0)))</f>
        <v>0</v>
      </c>
      <c r="L920" s="81">
        <f ca="1">L880*(1+INDEX(L$806:L$808,MATCH(Work_Codes!$I$406,$D$806:$D$808,0)))</f>
        <v>0</v>
      </c>
      <c r="M920" s="81">
        <f ca="1">M880*(1+INDEX(M$806:M$808,MATCH(Work_Codes!$I$406,$D$806:$D$808,0)))</f>
        <v>0</v>
      </c>
      <c r="N920" s="81">
        <f ca="1">N880*(1+INDEX(N$806:N$808,MATCH(Work_Codes!$I$406,$D$806:$D$808,0)))</f>
        <v>0</v>
      </c>
      <c r="O920" s="81">
        <f ca="1">O880*(1+INDEX(O$806:O$808,MATCH(Work_Codes!$I$406,$D$806:$D$808,0)))</f>
        <v>0</v>
      </c>
      <c r="P920" s="81">
        <f ca="1">P880*(1+INDEX(P$806:P$808,MATCH(Work_Codes!$I$406,$D$806:$D$808,0)))</f>
        <v>0</v>
      </c>
      <c r="Q920" s="81">
        <f ca="1">Q880*(1+INDEX(Q$806:Q$808,MATCH(Work_Codes!$I$406,$D$806:$D$808,0)))</f>
        <v>0</v>
      </c>
      <c r="R920" s="81">
        <f ca="1">R880*(1+INDEX(R$806:R$808,MATCH(Work_Codes!$I$406,$D$806:$D$808,0)))</f>
        <v>0</v>
      </c>
      <c r="S920" s="81">
        <f ca="1">S880*(1+INDEX(S$806:S$808,MATCH(Work_Codes!$I$406,$D$806:$D$808,0)))</f>
        <v>0</v>
      </c>
      <c r="T920" s="81">
        <f ca="1">T880*(1+INDEX(T$806:T$808,MATCH(Work_Codes!$I$406,$D$806:$D$808,0)))</f>
        <v>0</v>
      </c>
    </row>
    <row r="921" spans="4:20" ht="11.5" customHeight="1" outlineLevel="2">
      <c r="E921" s="247" t="str">
        <f>GC!C44</f>
        <v>Supply Regulators / Valve Stations</v>
      </c>
      <c r="F921" s="247"/>
      <c r="G921" s="247"/>
      <c r="H921" s="247"/>
      <c r="I921" s="247"/>
      <c r="J921" s="81">
        <f ca="1">J881*(1+INDEX(J$806:J$808,MATCH(Work_Codes!$I$406,$D$806:$D$808,0)))</f>
        <v>0</v>
      </c>
      <c r="K921" s="81">
        <f ca="1">K881*(1+INDEX(K$806:K$808,MATCH(Work_Codes!$I$406,$D$806:$D$808,0)))</f>
        <v>0</v>
      </c>
      <c r="L921" s="81">
        <f ca="1">L881*(1+INDEX(L$806:L$808,MATCH(Work_Codes!$I$406,$D$806:$D$808,0)))</f>
        <v>0</v>
      </c>
      <c r="M921" s="81">
        <f ca="1">M881*(1+INDEX(M$806:M$808,MATCH(Work_Codes!$I$406,$D$806:$D$808,0)))</f>
        <v>0</v>
      </c>
      <c r="N921" s="81">
        <f ca="1">N881*(1+INDEX(N$806:N$808,MATCH(Work_Codes!$I$406,$D$806:$D$808,0)))</f>
        <v>0</v>
      </c>
      <c r="O921" s="81">
        <f ca="1">O881*(1+INDEX(O$806:O$808,MATCH(Work_Codes!$I$406,$D$806:$D$808,0)))</f>
        <v>0</v>
      </c>
      <c r="P921" s="81">
        <f ca="1">P881*(1+INDEX(P$806:P$808,MATCH(Work_Codes!$I$406,$D$806:$D$808,0)))</f>
        <v>0</v>
      </c>
      <c r="Q921" s="81">
        <f ca="1">Q881*(1+INDEX(Q$806:Q$808,MATCH(Work_Codes!$I$406,$D$806:$D$808,0)))</f>
        <v>0</v>
      </c>
      <c r="R921" s="81">
        <f ca="1">R881*(1+INDEX(R$806:R$808,MATCH(Work_Codes!$I$406,$D$806:$D$808,0)))</f>
        <v>0</v>
      </c>
      <c r="S921" s="81">
        <f ca="1">S881*(1+INDEX(S$806:S$808,MATCH(Work_Codes!$I$406,$D$806:$D$808,0)))</f>
        <v>0</v>
      </c>
      <c r="T921" s="81">
        <f ca="1">T881*(1+INDEX(T$806:T$808,MATCH(Work_Codes!$I$406,$D$806:$D$808,0)))</f>
        <v>0</v>
      </c>
    </row>
    <row r="922" spans="4:20" ht="11.5" customHeight="1" outlineLevel="2">
      <c r="E922" s="247" t="str">
        <f>GC!C45</f>
        <v>Meters</v>
      </c>
      <c r="F922" s="247"/>
      <c r="G922" s="247"/>
      <c r="H922" s="247"/>
      <c r="I922" s="247"/>
      <c r="J922" s="81">
        <f ca="1">J882*(1+INDEX(J$806:J$808,MATCH(Work_Codes!$I$406,$D$806:$D$808,0)))</f>
        <v>0</v>
      </c>
      <c r="K922" s="81">
        <f ca="1">K882*(1+INDEX(K$806:K$808,MATCH(Work_Codes!$I$406,$D$806:$D$808,0)))</f>
        <v>0</v>
      </c>
      <c r="L922" s="81">
        <f ca="1">L882*(1+INDEX(L$806:L$808,MATCH(Work_Codes!$I$406,$D$806:$D$808,0)))</f>
        <v>0</v>
      </c>
      <c r="M922" s="81">
        <f ca="1">M882*(1+INDEX(M$806:M$808,MATCH(Work_Codes!$I$406,$D$806:$D$808,0)))</f>
        <v>0</v>
      </c>
      <c r="N922" s="81">
        <f ca="1">N882*(1+INDEX(N$806:N$808,MATCH(Work_Codes!$I$406,$D$806:$D$808,0)))</f>
        <v>0</v>
      </c>
      <c r="O922" s="81">
        <f ca="1">O882*(1+INDEX(O$806:O$808,MATCH(Work_Codes!$I$406,$D$806:$D$808,0)))</f>
        <v>0</v>
      </c>
      <c r="P922" s="81">
        <f ca="1">P882*(1+INDEX(P$806:P$808,MATCH(Work_Codes!$I$406,$D$806:$D$808,0)))</f>
        <v>0</v>
      </c>
      <c r="Q922" s="81">
        <f ca="1">Q882*(1+INDEX(Q$806:Q$808,MATCH(Work_Codes!$I$406,$D$806:$D$808,0)))</f>
        <v>0</v>
      </c>
      <c r="R922" s="81">
        <f ca="1">R882*(1+INDEX(R$806:R$808,MATCH(Work_Codes!$I$406,$D$806:$D$808,0)))</f>
        <v>0</v>
      </c>
      <c r="S922" s="81">
        <f ca="1">S882*(1+INDEX(S$806:S$808,MATCH(Work_Codes!$I$406,$D$806:$D$808,0)))</f>
        <v>0</v>
      </c>
      <c r="T922" s="81">
        <f ca="1">T882*(1+INDEX(T$806:T$808,MATCH(Work_Codes!$I$406,$D$806:$D$808,0)))</f>
        <v>0</v>
      </c>
    </row>
    <row r="923" spans="4:20" ht="11.5" customHeight="1" outlineLevel="2">
      <c r="E923" s="247" t="str">
        <f>GC!C46</f>
        <v>SCADA and remote control</v>
      </c>
      <c r="F923" s="247"/>
      <c r="G923" s="247"/>
      <c r="H923" s="247"/>
      <c r="I923" s="247"/>
      <c r="J923" s="81">
        <f ca="1">J883*(1+INDEX(J$806:J$808,MATCH(Work_Codes!$I$406,$D$806:$D$808,0)))</f>
        <v>0</v>
      </c>
      <c r="K923" s="81">
        <f ca="1">K883*(1+INDEX(K$806:K$808,MATCH(Work_Codes!$I$406,$D$806:$D$808,0)))</f>
        <v>0</v>
      </c>
      <c r="L923" s="81">
        <f ca="1">L883*(1+INDEX(L$806:L$808,MATCH(Work_Codes!$I$406,$D$806:$D$808,0)))</f>
        <v>0</v>
      </c>
      <c r="M923" s="81">
        <f ca="1">M883*(1+INDEX(M$806:M$808,MATCH(Work_Codes!$I$406,$D$806:$D$808,0)))</f>
        <v>0</v>
      </c>
      <c r="N923" s="81">
        <f ca="1">N883*(1+INDEX(N$806:N$808,MATCH(Work_Codes!$I$406,$D$806:$D$808,0)))</f>
        <v>0</v>
      </c>
      <c r="O923" s="81">
        <f ca="1">O883*(1+INDEX(O$806:O$808,MATCH(Work_Codes!$I$406,$D$806:$D$808,0)))</f>
        <v>0</v>
      </c>
      <c r="P923" s="81">
        <f ca="1">P883*(1+INDEX(P$806:P$808,MATCH(Work_Codes!$I$406,$D$806:$D$808,0)))</f>
        <v>0</v>
      </c>
      <c r="Q923" s="81">
        <f ca="1">Q883*(1+INDEX(Q$806:Q$808,MATCH(Work_Codes!$I$406,$D$806:$D$808,0)))</f>
        <v>0</v>
      </c>
      <c r="R923" s="81">
        <f ca="1">R883*(1+INDEX(R$806:R$808,MATCH(Work_Codes!$I$406,$D$806:$D$808,0)))</f>
        <v>0</v>
      </c>
      <c r="S923" s="81">
        <f ca="1">S883*(1+INDEX(S$806:S$808,MATCH(Work_Codes!$I$406,$D$806:$D$808,0)))</f>
        <v>0</v>
      </c>
      <c r="T923" s="81">
        <f ca="1">T883*(1+INDEX(T$806:T$808,MATCH(Work_Codes!$I$406,$D$806:$D$808,0)))</f>
        <v>0</v>
      </c>
    </row>
    <row r="924" spans="4:20" ht="11.5" customHeight="1" outlineLevel="2">
      <c r="E924" s="247" t="str">
        <f>GC!C47</f>
        <v>Buildings</v>
      </c>
      <c r="F924" s="247"/>
      <c r="G924" s="247"/>
      <c r="H924" s="247"/>
      <c r="I924" s="247"/>
      <c r="J924" s="81">
        <f ca="1">J884*(1+INDEX(J$806:J$808,MATCH(Work_Codes!$I$406,$D$806:$D$808,0)))</f>
        <v>0</v>
      </c>
      <c r="K924" s="81">
        <f ca="1">K884*(1+INDEX(K$806:K$808,MATCH(Work_Codes!$I$406,$D$806:$D$808,0)))</f>
        <v>0</v>
      </c>
      <c r="L924" s="81">
        <f ca="1">L884*(1+INDEX(L$806:L$808,MATCH(Work_Codes!$I$406,$D$806:$D$808,0)))</f>
        <v>0</v>
      </c>
      <c r="M924" s="81">
        <f ca="1">M884*(1+INDEX(M$806:M$808,MATCH(Work_Codes!$I$406,$D$806:$D$808,0)))</f>
        <v>0</v>
      </c>
      <c r="N924" s="81">
        <f ca="1">N884*(1+INDEX(N$806:N$808,MATCH(Work_Codes!$I$406,$D$806:$D$808,0)))</f>
        <v>0</v>
      </c>
      <c r="O924" s="81">
        <f ca="1">O884*(1+INDEX(O$806:O$808,MATCH(Work_Codes!$I$406,$D$806:$D$808,0)))</f>
        <v>0</v>
      </c>
      <c r="P924" s="81">
        <f ca="1">P884*(1+INDEX(P$806:P$808,MATCH(Work_Codes!$I$406,$D$806:$D$808,0)))</f>
        <v>0</v>
      </c>
      <c r="Q924" s="81">
        <f ca="1">Q884*(1+INDEX(Q$806:Q$808,MATCH(Work_Codes!$I$406,$D$806:$D$808,0)))</f>
        <v>0</v>
      </c>
      <c r="R924" s="81">
        <f ca="1">R884*(1+INDEX(R$806:R$808,MATCH(Work_Codes!$I$406,$D$806:$D$808,0)))</f>
        <v>0</v>
      </c>
      <c r="S924" s="81">
        <f ca="1">S884*(1+INDEX(S$806:S$808,MATCH(Work_Codes!$I$406,$D$806:$D$808,0)))</f>
        <v>0</v>
      </c>
      <c r="T924" s="81">
        <f ca="1">T884*(1+INDEX(T$806:T$808,MATCH(Work_Codes!$I$406,$D$806:$D$808,0)))</f>
        <v>0</v>
      </c>
    </row>
    <row r="925" spans="4:20" ht="11.5" customHeight="1" outlineLevel="2">
      <c r="E925" s="247" t="str">
        <f>GC!C48</f>
        <v>Other - IT</v>
      </c>
      <c r="F925" s="247"/>
      <c r="G925" s="247"/>
      <c r="H925" s="247"/>
      <c r="I925" s="247"/>
      <c r="J925" s="81">
        <f ca="1">J885*(1+INDEX(J$806:J$808,MATCH(Work_Codes!$I$406,$D$806:$D$808,0)))</f>
        <v>0</v>
      </c>
      <c r="K925" s="81">
        <f ca="1">K885*(1+INDEX(K$806:K$808,MATCH(Work_Codes!$I$406,$D$806:$D$808,0)))</f>
        <v>0</v>
      </c>
      <c r="L925" s="81">
        <f ca="1">L885*(1+INDEX(L$806:L$808,MATCH(Work_Codes!$I$406,$D$806:$D$808,0)))</f>
        <v>0</v>
      </c>
      <c r="M925" s="81">
        <f ca="1">M885*(1+INDEX(M$806:M$808,MATCH(Work_Codes!$I$406,$D$806:$D$808,0)))</f>
        <v>0</v>
      </c>
      <c r="N925" s="81">
        <f ca="1">N885*(1+INDEX(N$806:N$808,MATCH(Work_Codes!$I$406,$D$806:$D$808,0)))</f>
        <v>0</v>
      </c>
      <c r="O925" s="81">
        <f ca="1">O885*(1+INDEX(O$806:O$808,MATCH(Work_Codes!$I$406,$D$806:$D$808,0)))</f>
        <v>0</v>
      </c>
      <c r="P925" s="81">
        <f ca="1">P885*(1+INDEX(P$806:P$808,MATCH(Work_Codes!$I$406,$D$806:$D$808,0)))</f>
        <v>0</v>
      </c>
      <c r="Q925" s="81">
        <f ca="1">Q885*(1+INDEX(Q$806:Q$808,MATCH(Work_Codes!$I$406,$D$806:$D$808,0)))</f>
        <v>0</v>
      </c>
      <c r="R925" s="81">
        <f ca="1">R885*(1+INDEX(R$806:R$808,MATCH(Work_Codes!$I$406,$D$806:$D$808,0)))</f>
        <v>0</v>
      </c>
      <c r="S925" s="81">
        <f ca="1">S885*(1+INDEX(S$806:S$808,MATCH(Work_Codes!$I$406,$D$806:$D$808,0)))</f>
        <v>0</v>
      </c>
      <c r="T925" s="81">
        <f ca="1">T885*(1+INDEX(T$806:T$808,MATCH(Work_Codes!$I$406,$D$806:$D$808,0)))</f>
        <v>0</v>
      </c>
    </row>
    <row r="926" spans="4:20" ht="11.5" customHeight="1" outlineLevel="2">
      <c r="E926" s="247" t="str">
        <f>GC!C49</f>
        <v>Other - non IT</v>
      </c>
      <c r="F926" s="247"/>
      <c r="G926" s="247"/>
      <c r="H926" s="247"/>
      <c r="I926" s="247"/>
      <c r="J926" s="81">
        <f ca="1">J886*(1+INDEX(J$806:J$808,MATCH(Work_Codes!$I$406,$D$806:$D$808,0)))</f>
        <v>0</v>
      </c>
      <c r="K926" s="81">
        <f ca="1">K886*(1+INDEX(K$806:K$808,MATCH(Work_Codes!$I$406,$D$806:$D$808,0)))</f>
        <v>0</v>
      </c>
      <c r="L926" s="81">
        <f ca="1">L886*(1+INDEX(L$806:L$808,MATCH(Work_Codes!$I$406,$D$806:$D$808,0)))</f>
        <v>0</v>
      </c>
      <c r="M926" s="81">
        <f ca="1">M886*(1+INDEX(M$806:M$808,MATCH(Work_Codes!$I$406,$D$806:$D$808,0)))</f>
        <v>0</v>
      </c>
      <c r="N926" s="81">
        <f ca="1">N886*(1+INDEX(N$806:N$808,MATCH(Work_Codes!$I$406,$D$806:$D$808,0)))</f>
        <v>0</v>
      </c>
      <c r="O926" s="81">
        <f ca="1">O886*(1+INDEX(O$806:O$808,MATCH(Work_Codes!$I$406,$D$806:$D$808,0)))</f>
        <v>0</v>
      </c>
      <c r="P926" s="81">
        <f ca="1">P886*(1+INDEX(P$806:P$808,MATCH(Work_Codes!$I$406,$D$806:$D$808,0)))</f>
        <v>0</v>
      </c>
      <c r="Q926" s="81">
        <f ca="1">Q886*(1+INDEX(Q$806:Q$808,MATCH(Work_Codes!$I$406,$D$806:$D$808,0)))</f>
        <v>0</v>
      </c>
      <c r="R926" s="81">
        <f ca="1">R886*(1+INDEX(R$806:R$808,MATCH(Work_Codes!$I$406,$D$806:$D$808,0)))</f>
        <v>0</v>
      </c>
      <c r="S926" s="81">
        <f ca="1">S886*(1+INDEX(S$806:S$808,MATCH(Work_Codes!$I$406,$D$806:$D$808,0)))</f>
        <v>0</v>
      </c>
      <c r="T926" s="81">
        <f ca="1">T886*(1+INDEX(T$806:T$808,MATCH(Work_Codes!$I$406,$D$806:$D$808,0)))</f>
        <v>0</v>
      </c>
    </row>
    <row r="927" spans="4:20" ht="11.5" customHeight="1" outlineLevel="2">
      <c r="E927" s="247" t="str">
        <f>GC!C50</f>
        <v>Land</v>
      </c>
      <c r="F927" s="247"/>
      <c r="G927" s="247"/>
      <c r="H927" s="247"/>
      <c r="I927" s="247"/>
      <c r="J927" s="81">
        <f ca="1">J887*(1+INDEX(J$806:J$808,MATCH(Work_Codes!$I$406,$D$806:$D$808,0)))</f>
        <v>0</v>
      </c>
      <c r="K927" s="81">
        <f ca="1">K887*(1+INDEX(K$806:K$808,MATCH(Work_Codes!$I$406,$D$806:$D$808,0)))</f>
        <v>0</v>
      </c>
      <c r="L927" s="81">
        <f ca="1">L887*(1+INDEX(L$806:L$808,MATCH(Work_Codes!$I$406,$D$806:$D$808,0)))</f>
        <v>0</v>
      </c>
      <c r="M927" s="81">
        <f ca="1">M887*(1+INDEX(M$806:M$808,MATCH(Work_Codes!$I$406,$D$806:$D$808,0)))</f>
        <v>0</v>
      </c>
      <c r="N927" s="81">
        <f ca="1">N887*(1+INDEX(N$806:N$808,MATCH(Work_Codes!$I$406,$D$806:$D$808,0)))</f>
        <v>0</v>
      </c>
      <c r="O927" s="81">
        <f ca="1">O887*(1+INDEX(O$806:O$808,MATCH(Work_Codes!$I$406,$D$806:$D$808,0)))</f>
        <v>0</v>
      </c>
      <c r="P927" s="81">
        <f ca="1">P887*(1+INDEX(P$806:P$808,MATCH(Work_Codes!$I$406,$D$806:$D$808,0)))</f>
        <v>0</v>
      </c>
      <c r="Q927" s="81">
        <f ca="1">Q887*(1+INDEX(Q$806:Q$808,MATCH(Work_Codes!$I$406,$D$806:$D$808,0)))</f>
        <v>0</v>
      </c>
      <c r="R927" s="81">
        <f ca="1">R887*(1+INDEX(R$806:R$808,MATCH(Work_Codes!$I$406,$D$806:$D$808,0)))</f>
        <v>0</v>
      </c>
      <c r="S927" s="81">
        <f ca="1">S887*(1+INDEX(S$806:S$808,MATCH(Work_Codes!$I$406,$D$806:$D$808,0)))</f>
        <v>0</v>
      </c>
      <c r="T927" s="81">
        <f ca="1">T887*(1+INDEX(T$806:T$808,MATCH(Work_Codes!$I$406,$D$806:$D$808,0)))</f>
        <v>0</v>
      </c>
    </row>
    <row r="928" spans="4:20" outlineLevel="2">
      <c r="E928" s="247" t="str">
        <f>GC!C51</f>
        <v>Capitalised Leases</v>
      </c>
      <c r="F928" s="247"/>
      <c r="G928" s="247"/>
      <c r="H928" s="247"/>
      <c r="I928" s="247"/>
      <c r="J928" s="81">
        <f ca="1">J888*(1+INDEX(J$806:J$808,MATCH(Work_Codes!$I$406,$D$806:$D$808,0)))</f>
        <v>0</v>
      </c>
      <c r="K928" s="81">
        <f ca="1">K888*(1+INDEX(K$806:K$808,MATCH(Work_Codes!$I$406,$D$806:$D$808,0)))</f>
        <v>0</v>
      </c>
      <c r="L928" s="81">
        <f ca="1">L888*(1+INDEX(L$806:L$808,MATCH(Work_Codes!$I$406,$D$806:$D$808,0)))</f>
        <v>0</v>
      </c>
      <c r="M928" s="81">
        <f ca="1">M888*(1+INDEX(M$806:M$808,MATCH(Work_Codes!$I$406,$D$806:$D$808,0)))</f>
        <v>0</v>
      </c>
      <c r="N928" s="81">
        <f ca="1">N888*(1+INDEX(N$806:N$808,MATCH(Work_Codes!$I$406,$D$806:$D$808,0)))</f>
        <v>0</v>
      </c>
      <c r="O928" s="81">
        <f ca="1">O888*(1+INDEX(O$806:O$808,MATCH(Work_Codes!$I$406,$D$806:$D$808,0)))</f>
        <v>0</v>
      </c>
      <c r="P928" s="81">
        <f ca="1">P888*(1+INDEX(P$806:P$808,MATCH(Work_Codes!$I$406,$D$806:$D$808,0)))</f>
        <v>0</v>
      </c>
      <c r="Q928" s="81">
        <f ca="1">Q888*(1+INDEX(Q$806:Q$808,MATCH(Work_Codes!$I$406,$D$806:$D$808,0)))</f>
        <v>0</v>
      </c>
      <c r="R928" s="81">
        <f ca="1">R888*(1+INDEX(R$806:R$808,MATCH(Work_Codes!$I$406,$D$806:$D$808,0)))</f>
        <v>0</v>
      </c>
      <c r="S928" s="81">
        <f ca="1">S888*(1+INDEX(S$806:S$808,MATCH(Work_Codes!$I$406,$D$806:$D$808,0)))</f>
        <v>0</v>
      </c>
      <c r="T928" s="81">
        <f ca="1">T888*(1+INDEX(T$806:T$808,MATCH(Work_Codes!$I$406,$D$806:$D$808,0)))</f>
        <v>0</v>
      </c>
    </row>
    <row r="929" spans="4:20" outlineLevel="2">
      <c r="E929" s="247" t="str">
        <f>GC!C52</f>
        <v>Transmission pipelines - post 1998</v>
      </c>
      <c r="F929" s="247"/>
      <c r="G929" s="247"/>
      <c r="H929" s="247"/>
      <c r="I929" s="247"/>
      <c r="J929" s="81">
        <f ca="1">J889*(1+INDEX(J$806:J$808,MATCH(Work_Codes!$I$406,$D$806:$D$808,0)))</f>
        <v>0</v>
      </c>
      <c r="K929" s="81">
        <f ca="1">K889*(1+INDEX(K$806:K$808,MATCH(Work_Codes!$I$406,$D$806:$D$808,0)))</f>
        <v>0</v>
      </c>
      <c r="L929" s="81">
        <f ca="1">L889*(1+INDEX(L$806:L$808,MATCH(Work_Codes!$I$406,$D$806:$D$808,0)))</f>
        <v>0</v>
      </c>
      <c r="M929" s="81">
        <f ca="1">M889*(1+INDEX(M$806:M$808,MATCH(Work_Codes!$I$406,$D$806:$D$808,0)))</f>
        <v>0</v>
      </c>
      <c r="N929" s="81">
        <f ca="1">N889*(1+INDEX(N$806:N$808,MATCH(Work_Codes!$I$406,$D$806:$D$808,0)))</f>
        <v>0</v>
      </c>
      <c r="O929" s="81">
        <f ca="1">O889*(1+INDEX(O$806:O$808,MATCH(Work_Codes!$I$406,$D$806:$D$808,0)))</f>
        <v>0</v>
      </c>
      <c r="P929" s="81">
        <f ca="1">P889*(1+INDEX(P$806:P$808,MATCH(Work_Codes!$I$406,$D$806:$D$808,0)))</f>
        <v>0</v>
      </c>
      <c r="Q929" s="81">
        <f ca="1">Q889*(1+INDEX(Q$806:Q$808,MATCH(Work_Codes!$I$406,$D$806:$D$808,0)))</f>
        <v>0</v>
      </c>
      <c r="R929" s="81">
        <f ca="1">R889*(1+INDEX(R$806:R$808,MATCH(Work_Codes!$I$406,$D$806:$D$808,0)))</f>
        <v>0</v>
      </c>
      <c r="S929" s="81">
        <f ca="1">S889*(1+INDEX(S$806:S$808,MATCH(Work_Codes!$I$406,$D$806:$D$808,0)))</f>
        <v>0</v>
      </c>
      <c r="T929" s="81">
        <f ca="1">T889*(1+INDEX(T$806:T$808,MATCH(Work_Codes!$I$406,$D$806:$D$808,0)))</f>
        <v>0</v>
      </c>
    </row>
    <row r="930" spans="4:20" outlineLevel="2">
      <c r="E930" s="247" t="str">
        <f>GC!C53</f>
        <v>Distribution pipelines - post 1998</v>
      </c>
      <c r="F930" s="247"/>
      <c r="G930" s="247"/>
      <c r="H930" s="247"/>
      <c r="I930" s="247"/>
      <c r="J930" s="81">
        <f ca="1">J890*(1+INDEX(J$806:J$808,MATCH(Work_Codes!$I$406,$D$806:$D$808,0)))</f>
        <v>0</v>
      </c>
      <c r="K930" s="81">
        <f ca="1">K890*(1+INDEX(K$806:K$808,MATCH(Work_Codes!$I$406,$D$806:$D$808,0)))</f>
        <v>0</v>
      </c>
      <c r="L930" s="81">
        <f ca="1">L890*(1+INDEX(L$806:L$808,MATCH(Work_Codes!$I$406,$D$806:$D$808,0)))</f>
        <v>0</v>
      </c>
      <c r="M930" s="81">
        <f ca="1">M890*(1+INDEX(M$806:M$808,MATCH(Work_Codes!$I$406,$D$806:$D$808,0)))</f>
        <v>0</v>
      </c>
      <c r="N930" s="81">
        <f ca="1">N890*(1+INDEX(N$806:N$808,MATCH(Work_Codes!$I$406,$D$806:$D$808,0)))</f>
        <v>890684.05924742087</v>
      </c>
      <c r="O930" s="81">
        <f ca="1">O890*(1+INDEX(O$806:O$808,MATCH(Work_Codes!$I$406,$D$806:$D$808,0)))</f>
        <v>1461299.0505253859</v>
      </c>
      <c r="P930" s="81">
        <f ca="1">P890*(1+INDEX(P$806:P$808,MATCH(Work_Codes!$I$406,$D$806:$D$808,0)))</f>
        <v>2740344.1700076689</v>
      </c>
      <c r="Q930" s="81">
        <f ca="1">Q890*(1+INDEX(Q$806:Q$808,MATCH(Work_Codes!$I$406,$D$806:$D$808,0)))</f>
        <v>2798034.4517724309</v>
      </c>
      <c r="R930" s="81">
        <f ca="1">R890*(1+INDEX(R$806:R$808,MATCH(Work_Codes!$I$406,$D$806:$D$808,0)))</f>
        <v>2859059.5851893006</v>
      </c>
      <c r="S930" s="81">
        <f ca="1">S890*(1+INDEX(S$806:S$808,MATCH(Work_Codes!$I$406,$D$806:$D$808,0)))</f>
        <v>2816952.0546573582</v>
      </c>
      <c r="T930" s="81">
        <f ca="1">T890*(1+INDEX(T$806:T$808,MATCH(Work_Codes!$I$406,$D$806:$D$808,0)))</f>
        <v>2772006.4561769054</v>
      </c>
    </row>
    <row r="931" spans="4:20" outlineLevel="2">
      <c r="E931" s="247" t="str">
        <f>GC!C54</f>
        <v>Service pipes - post 1998</v>
      </c>
      <c r="F931" s="247"/>
      <c r="G931" s="247"/>
      <c r="H931" s="247"/>
      <c r="I931" s="247"/>
      <c r="J931" s="81">
        <f ca="1">J891*(1+INDEX(J$806:J$808,MATCH(Work_Codes!$I$406,$D$806:$D$808,0)))</f>
        <v>0</v>
      </c>
      <c r="K931" s="81">
        <f ca="1">K891*(1+INDEX(K$806:K$808,MATCH(Work_Codes!$I$406,$D$806:$D$808,0)))</f>
        <v>0</v>
      </c>
      <c r="L931" s="81">
        <f ca="1">L891*(1+INDEX(L$806:L$808,MATCH(Work_Codes!$I$406,$D$806:$D$808,0)))</f>
        <v>0</v>
      </c>
      <c r="M931" s="81">
        <f ca="1">M891*(1+INDEX(M$806:M$808,MATCH(Work_Codes!$I$406,$D$806:$D$808,0)))</f>
        <v>0</v>
      </c>
      <c r="N931" s="81">
        <f ca="1">N891*(1+INDEX(N$806:N$808,MATCH(Work_Codes!$I$406,$D$806:$D$808,0)))</f>
        <v>98964.895471935655</v>
      </c>
      <c r="O931" s="81">
        <f ca="1">O891*(1+INDEX(O$806:O$808,MATCH(Work_Codes!$I$406,$D$806:$D$808,0)))</f>
        <v>162366.56116948731</v>
      </c>
      <c r="P931" s="81">
        <f ca="1">P891*(1+INDEX(P$806:P$808,MATCH(Work_Codes!$I$406,$D$806:$D$808,0)))</f>
        <v>304482.68555640761</v>
      </c>
      <c r="Q931" s="81">
        <f ca="1">Q891*(1+INDEX(Q$806:Q$808,MATCH(Work_Codes!$I$406,$D$806:$D$808,0)))</f>
        <v>310892.71686360339</v>
      </c>
      <c r="R931" s="81">
        <f ca="1">R891*(1+INDEX(R$806:R$808,MATCH(Work_Codes!$I$406,$D$806:$D$808,0)))</f>
        <v>317673.28724325559</v>
      </c>
      <c r="S931" s="81">
        <f ca="1">S891*(1+INDEX(S$806:S$808,MATCH(Work_Codes!$I$406,$D$806:$D$808,0)))</f>
        <v>312994.67273970647</v>
      </c>
      <c r="T931" s="81">
        <f ca="1">T891*(1+INDEX(T$806:T$808,MATCH(Work_Codes!$I$406,$D$806:$D$808,0)))</f>
        <v>308000.71735298942</v>
      </c>
    </row>
    <row r="932" spans="4:20" outlineLevel="2">
      <c r="E932" s="247" t="str">
        <f>GC!C55</f>
        <v>Cathodic protection - post 1998</v>
      </c>
      <c r="F932" s="247"/>
      <c r="G932" s="247"/>
      <c r="H932" s="247"/>
      <c r="I932" s="247"/>
      <c r="J932" s="81">
        <f ca="1">J892*(1+INDEX(J$806:J$808,MATCH(Work_Codes!$I$406,$D$806:$D$808,0)))</f>
        <v>0</v>
      </c>
      <c r="K932" s="81">
        <f ca="1">K892*(1+INDEX(K$806:K$808,MATCH(Work_Codes!$I$406,$D$806:$D$808,0)))</f>
        <v>0</v>
      </c>
      <c r="L932" s="81">
        <f ca="1">L892*(1+INDEX(L$806:L$808,MATCH(Work_Codes!$I$406,$D$806:$D$808,0)))</f>
        <v>0</v>
      </c>
      <c r="M932" s="81">
        <f ca="1">M892*(1+INDEX(M$806:M$808,MATCH(Work_Codes!$I$406,$D$806:$D$808,0)))</f>
        <v>0</v>
      </c>
      <c r="N932" s="81">
        <f ca="1">N892*(1+INDEX(N$806:N$808,MATCH(Work_Codes!$I$406,$D$806:$D$808,0)))</f>
        <v>0</v>
      </c>
      <c r="O932" s="81">
        <f ca="1">O892*(1+INDEX(O$806:O$808,MATCH(Work_Codes!$I$406,$D$806:$D$808,0)))</f>
        <v>0</v>
      </c>
      <c r="P932" s="81">
        <f ca="1">P892*(1+INDEX(P$806:P$808,MATCH(Work_Codes!$I$406,$D$806:$D$808,0)))</f>
        <v>0</v>
      </c>
      <c r="Q932" s="81">
        <f ca="1">Q892*(1+INDEX(Q$806:Q$808,MATCH(Work_Codes!$I$406,$D$806:$D$808,0)))</f>
        <v>0</v>
      </c>
      <c r="R932" s="81">
        <f ca="1">R892*(1+INDEX(R$806:R$808,MATCH(Work_Codes!$I$406,$D$806:$D$808,0)))</f>
        <v>0</v>
      </c>
      <c r="S932" s="81">
        <f ca="1">S892*(1+INDEX(S$806:S$808,MATCH(Work_Codes!$I$406,$D$806:$D$808,0)))</f>
        <v>0</v>
      </c>
      <c r="T932" s="81">
        <f ca="1">T892*(1+INDEX(T$806:T$808,MATCH(Work_Codes!$I$406,$D$806:$D$808,0)))</f>
        <v>0</v>
      </c>
    </row>
    <row r="933" spans="4:20" ht="12" customHeight="1" outlineLevel="2">
      <c r="E933" s="249" t="str">
        <f>"Total "&amp;D915</f>
        <v>Total Direct Costs + Overheads</v>
      </c>
      <c r="F933" s="249"/>
      <c r="G933" s="249"/>
      <c r="H933" s="249"/>
      <c r="I933" s="249"/>
      <c r="J933" s="82">
        <f t="shared" ref="J933:T933" ca="1" si="90">SUM(J917:J932)</f>
        <v>0</v>
      </c>
      <c r="K933" s="82">
        <f t="shared" ca="1" si="90"/>
        <v>0</v>
      </c>
      <c r="L933" s="82">
        <f t="shared" ca="1" si="90"/>
        <v>0</v>
      </c>
      <c r="M933" s="82">
        <f t="shared" ca="1" si="90"/>
        <v>0</v>
      </c>
      <c r="N933" s="82">
        <f t="shared" ca="1" si="90"/>
        <v>989648.95471935649</v>
      </c>
      <c r="O933" s="82">
        <f t="shared" ca="1" si="90"/>
        <v>1623665.6116948733</v>
      </c>
      <c r="P933" s="82">
        <f t="shared" ca="1" si="90"/>
        <v>3044826.8555640765</v>
      </c>
      <c r="Q933" s="82">
        <f t="shared" ca="1" si="90"/>
        <v>3108927.1686360342</v>
      </c>
      <c r="R933" s="82">
        <f t="shared" ca="1" si="90"/>
        <v>3176732.872432556</v>
      </c>
      <c r="S933" s="82">
        <f t="shared" ca="1" si="90"/>
        <v>3129946.7273970647</v>
      </c>
      <c r="T933" s="82">
        <f t="shared" ca="1" si="90"/>
        <v>3080007.173529895</v>
      </c>
    </row>
    <row r="934" spans="4:20" outlineLevel="2"/>
    <row r="935" spans="4:20" outlineLevel="2">
      <c r="D935" s="37" t="s">
        <v>367</v>
      </c>
    </row>
    <row r="936" spans="4:20" ht="5.9" customHeight="1" outlineLevel="2"/>
    <row r="937" spans="4:20" outlineLevel="2">
      <c r="E937" s="247" t="str">
        <f>GC!C40</f>
        <v>Transmission pipelines</v>
      </c>
      <c r="F937" s="247"/>
      <c r="G937" s="247"/>
      <c r="H937" s="247"/>
      <c r="I937" s="247"/>
      <c r="J937" s="81">
        <f ca="1">SUMPRODUCT((Work_Codes!$N$409:$Y$409=$E937)*(Work_Codes!$N$417:$Y$418)*(J$836:J$837))</f>
        <v>0</v>
      </c>
      <c r="K937" s="81">
        <f ca="1">SUMPRODUCT((Work_Codes!$N$409:$Y$409=$E937)*(Work_Codes!$N$417:$Y$418)*(K$836:K$837))</f>
        <v>0</v>
      </c>
      <c r="L937" s="81">
        <f ca="1">SUMPRODUCT((Work_Codes!$N$409:$Y$409=$E937)*(Work_Codes!$N$417:$Y$418)*(L$836:L$837))</f>
        <v>0</v>
      </c>
      <c r="M937" s="81">
        <f ca="1">SUMPRODUCT((Work_Codes!$N$409:$Y$409=$E937)*(Work_Codes!$N$417:$Y$418)*(M$836:M$837))</f>
        <v>0</v>
      </c>
      <c r="N937" s="81">
        <f ca="1">SUMPRODUCT((Work_Codes!$N$409:$Y$409=$E937)*(Work_Codes!$N$417:$Y$418)*(N$836:N$837))</f>
        <v>0</v>
      </c>
      <c r="O937" s="81">
        <f ca="1">SUMPRODUCT((Work_Codes!$N$409:$Y$409=$E937)*(Work_Codes!$N$417:$Y$418)*(O$836:O$837))</f>
        <v>0</v>
      </c>
      <c r="P937" s="81">
        <f ca="1">SUMPRODUCT((Work_Codes!$N$409:$Y$409=$E937)*(Work_Codes!$N$417:$Y$418)*(P$836:P$837))</f>
        <v>0</v>
      </c>
      <c r="Q937" s="81">
        <f ca="1">SUMPRODUCT((Work_Codes!$N$409:$Y$409=$E937)*(Work_Codes!$N$417:$Y$418)*(Q$836:Q$837))</f>
        <v>0</v>
      </c>
      <c r="R937" s="81">
        <f ca="1">SUMPRODUCT((Work_Codes!$N$409:$Y$409=$E937)*(Work_Codes!$N$417:$Y$418)*(R$836:R$837))</f>
        <v>0</v>
      </c>
      <c r="S937" s="81">
        <f ca="1">SUMPRODUCT((Work_Codes!$N$409:$Y$409=$E937)*(Work_Codes!$N$417:$Y$418)*(S$836:S$837))</f>
        <v>0</v>
      </c>
      <c r="T937" s="81">
        <f ca="1">SUMPRODUCT((Work_Codes!$N$409:$Y$409=$E937)*(Work_Codes!$N$417:$Y$418)*(T$836:T$837))</f>
        <v>0</v>
      </c>
    </row>
    <row r="938" spans="4:20" outlineLevel="2">
      <c r="E938" s="247" t="str">
        <f>GC!C41</f>
        <v>Distribution pipelines</v>
      </c>
      <c r="F938" s="247"/>
      <c r="G938" s="247"/>
      <c r="H938" s="247"/>
      <c r="I938" s="247"/>
      <c r="J938" s="81">
        <f ca="1">SUMPRODUCT((Work_Codes!$N$409:$Y$409=$E938)*(Work_Codes!$N$417:$Y$418)*(J$836:J$837))</f>
        <v>0</v>
      </c>
      <c r="K938" s="81">
        <f ca="1">SUMPRODUCT((Work_Codes!$N$409:$Y$409=$E938)*(Work_Codes!$N$417:$Y$418)*(K$836:K$837))</f>
        <v>0</v>
      </c>
      <c r="L938" s="81">
        <f ca="1">SUMPRODUCT((Work_Codes!$N$409:$Y$409=$E938)*(Work_Codes!$N$417:$Y$418)*(L$836:L$837))</f>
        <v>0</v>
      </c>
      <c r="M938" s="81">
        <f ca="1">SUMPRODUCT((Work_Codes!$N$409:$Y$409=$E938)*(Work_Codes!$N$417:$Y$418)*(M$836:M$837))</f>
        <v>0</v>
      </c>
      <c r="N938" s="81">
        <f ca="1">SUMPRODUCT((Work_Codes!$N$409:$Y$409=$E938)*(Work_Codes!$N$417:$Y$418)*(N$836:N$837))</f>
        <v>0</v>
      </c>
      <c r="O938" s="81">
        <f ca="1">SUMPRODUCT((Work_Codes!$N$409:$Y$409=$E938)*(Work_Codes!$N$417:$Y$418)*(O$836:O$837))</f>
        <v>0</v>
      </c>
      <c r="P938" s="81">
        <f ca="1">SUMPRODUCT((Work_Codes!$N$409:$Y$409=$E938)*(Work_Codes!$N$417:$Y$418)*(P$836:P$837))</f>
        <v>0</v>
      </c>
      <c r="Q938" s="81">
        <f ca="1">SUMPRODUCT((Work_Codes!$N$409:$Y$409=$E938)*(Work_Codes!$N$417:$Y$418)*(Q$836:Q$837))</f>
        <v>0</v>
      </c>
      <c r="R938" s="81">
        <f ca="1">SUMPRODUCT((Work_Codes!$N$409:$Y$409=$E938)*(Work_Codes!$N$417:$Y$418)*(R$836:R$837))</f>
        <v>0</v>
      </c>
      <c r="S938" s="81">
        <f ca="1">SUMPRODUCT((Work_Codes!$N$409:$Y$409=$E938)*(Work_Codes!$N$417:$Y$418)*(S$836:S$837))</f>
        <v>0</v>
      </c>
      <c r="T938" s="81">
        <f ca="1">SUMPRODUCT((Work_Codes!$N$409:$Y$409=$E938)*(Work_Codes!$N$417:$Y$418)*(T$836:T$837))</f>
        <v>0</v>
      </c>
    </row>
    <row r="939" spans="4:20" outlineLevel="2">
      <c r="E939" s="247" t="str">
        <f>GC!C42</f>
        <v>Service pipes</v>
      </c>
      <c r="F939" s="247"/>
      <c r="G939" s="247"/>
      <c r="H939" s="247"/>
      <c r="I939" s="247"/>
      <c r="J939" s="81">
        <f ca="1">SUMPRODUCT((Work_Codes!$N$409:$Y$409=$E939)*(Work_Codes!$N$417:$Y$418)*(J$836:J$837))</f>
        <v>0</v>
      </c>
      <c r="K939" s="81">
        <f ca="1">SUMPRODUCT((Work_Codes!$N$409:$Y$409=$E939)*(Work_Codes!$N$417:$Y$418)*(K$836:K$837))</f>
        <v>0</v>
      </c>
      <c r="L939" s="81">
        <f ca="1">SUMPRODUCT((Work_Codes!$N$409:$Y$409=$E939)*(Work_Codes!$N$417:$Y$418)*(L$836:L$837))</f>
        <v>0</v>
      </c>
      <c r="M939" s="81">
        <f ca="1">SUMPRODUCT((Work_Codes!$N$409:$Y$409=$E939)*(Work_Codes!$N$417:$Y$418)*(M$836:M$837))</f>
        <v>0</v>
      </c>
      <c r="N939" s="81">
        <f ca="1">SUMPRODUCT((Work_Codes!$N$409:$Y$409=$E939)*(Work_Codes!$N$417:$Y$418)*(N$836:N$837))</f>
        <v>0</v>
      </c>
      <c r="O939" s="81">
        <f ca="1">SUMPRODUCT((Work_Codes!$N$409:$Y$409=$E939)*(Work_Codes!$N$417:$Y$418)*(O$836:O$837))</f>
        <v>0</v>
      </c>
      <c r="P939" s="81">
        <f ca="1">SUMPRODUCT((Work_Codes!$N$409:$Y$409=$E939)*(Work_Codes!$N$417:$Y$418)*(P$836:P$837))</f>
        <v>0</v>
      </c>
      <c r="Q939" s="81">
        <f ca="1">SUMPRODUCT((Work_Codes!$N$409:$Y$409=$E939)*(Work_Codes!$N$417:$Y$418)*(Q$836:Q$837))</f>
        <v>0</v>
      </c>
      <c r="R939" s="81">
        <f ca="1">SUMPRODUCT((Work_Codes!$N$409:$Y$409=$E939)*(Work_Codes!$N$417:$Y$418)*(R$836:R$837))</f>
        <v>0</v>
      </c>
      <c r="S939" s="81">
        <f ca="1">SUMPRODUCT((Work_Codes!$N$409:$Y$409=$E939)*(Work_Codes!$N$417:$Y$418)*(S$836:S$837))</f>
        <v>0</v>
      </c>
      <c r="T939" s="81">
        <f ca="1">SUMPRODUCT((Work_Codes!$N$409:$Y$409=$E939)*(Work_Codes!$N$417:$Y$418)*(T$836:T$837))</f>
        <v>0</v>
      </c>
    </row>
    <row r="940" spans="4:20" outlineLevel="2">
      <c r="E940" s="247" t="str">
        <f>GC!C43</f>
        <v>Cathodic protection</v>
      </c>
      <c r="F940" s="247"/>
      <c r="G940" s="247"/>
      <c r="H940" s="247"/>
      <c r="I940" s="247"/>
      <c r="J940" s="81">
        <f ca="1">SUMPRODUCT((Work_Codes!$N$409:$Y$409=$E940)*(Work_Codes!$N$417:$Y$418)*(J$836:J$837))</f>
        <v>0</v>
      </c>
      <c r="K940" s="81">
        <f ca="1">SUMPRODUCT((Work_Codes!$N$409:$Y$409=$E940)*(Work_Codes!$N$417:$Y$418)*(K$836:K$837))</f>
        <v>0</v>
      </c>
      <c r="L940" s="81">
        <f ca="1">SUMPRODUCT((Work_Codes!$N$409:$Y$409=$E940)*(Work_Codes!$N$417:$Y$418)*(L$836:L$837))</f>
        <v>0</v>
      </c>
      <c r="M940" s="81">
        <f ca="1">SUMPRODUCT((Work_Codes!$N$409:$Y$409=$E940)*(Work_Codes!$N$417:$Y$418)*(M$836:M$837))</f>
        <v>0</v>
      </c>
      <c r="N940" s="81">
        <f ca="1">SUMPRODUCT((Work_Codes!$N$409:$Y$409=$E940)*(Work_Codes!$N$417:$Y$418)*(N$836:N$837))</f>
        <v>0</v>
      </c>
      <c r="O940" s="81">
        <f ca="1">SUMPRODUCT((Work_Codes!$N$409:$Y$409=$E940)*(Work_Codes!$N$417:$Y$418)*(O$836:O$837))</f>
        <v>0</v>
      </c>
      <c r="P940" s="81">
        <f ca="1">SUMPRODUCT((Work_Codes!$N$409:$Y$409=$E940)*(Work_Codes!$N$417:$Y$418)*(P$836:P$837))</f>
        <v>0</v>
      </c>
      <c r="Q940" s="81">
        <f ca="1">SUMPRODUCT((Work_Codes!$N$409:$Y$409=$E940)*(Work_Codes!$N$417:$Y$418)*(Q$836:Q$837))</f>
        <v>0</v>
      </c>
      <c r="R940" s="81">
        <f ca="1">SUMPRODUCT((Work_Codes!$N$409:$Y$409=$E940)*(Work_Codes!$N$417:$Y$418)*(R$836:R$837))</f>
        <v>0</v>
      </c>
      <c r="S940" s="81">
        <f ca="1">SUMPRODUCT((Work_Codes!$N$409:$Y$409=$E940)*(Work_Codes!$N$417:$Y$418)*(S$836:S$837))</f>
        <v>0</v>
      </c>
      <c r="T940" s="81">
        <f ca="1">SUMPRODUCT((Work_Codes!$N$409:$Y$409=$E940)*(Work_Codes!$N$417:$Y$418)*(T$836:T$837))</f>
        <v>0</v>
      </c>
    </row>
    <row r="941" spans="4:20" outlineLevel="2">
      <c r="E941" s="247" t="str">
        <f>GC!C44</f>
        <v>Supply Regulators / Valve Stations</v>
      </c>
      <c r="F941" s="247"/>
      <c r="G941" s="247"/>
      <c r="H941" s="247"/>
      <c r="I941" s="247"/>
      <c r="J941" s="81">
        <f ca="1">SUMPRODUCT((Work_Codes!$N$409:$Y$409=$E941)*(Work_Codes!$N$417:$Y$418)*(J$836:J$837))</f>
        <v>0</v>
      </c>
      <c r="K941" s="81">
        <f ca="1">SUMPRODUCT((Work_Codes!$N$409:$Y$409=$E941)*(Work_Codes!$N$417:$Y$418)*(K$836:K$837))</f>
        <v>0</v>
      </c>
      <c r="L941" s="81">
        <f ca="1">SUMPRODUCT((Work_Codes!$N$409:$Y$409=$E941)*(Work_Codes!$N$417:$Y$418)*(L$836:L$837))</f>
        <v>0</v>
      </c>
      <c r="M941" s="81">
        <f ca="1">SUMPRODUCT((Work_Codes!$N$409:$Y$409=$E941)*(Work_Codes!$N$417:$Y$418)*(M$836:M$837))</f>
        <v>0</v>
      </c>
      <c r="N941" s="81">
        <f ca="1">SUMPRODUCT((Work_Codes!$N$409:$Y$409=$E941)*(Work_Codes!$N$417:$Y$418)*(N$836:N$837))</f>
        <v>0</v>
      </c>
      <c r="O941" s="81">
        <f ca="1">SUMPRODUCT((Work_Codes!$N$409:$Y$409=$E941)*(Work_Codes!$N$417:$Y$418)*(O$836:O$837))</f>
        <v>0</v>
      </c>
      <c r="P941" s="81">
        <f ca="1">SUMPRODUCT((Work_Codes!$N$409:$Y$409=$E941)*(Work_Codes!$N$417:$Y$418)*(P$836:P$837))</f>
        <v>0</v>
      </c>
      <c r="Q941" s="81">
        <f ca="1">SUMPRODUCT((Work_Codes!$N$409:$Y$409=$E941)*(Work_Codes!$N$417:$Y$418)*(Q$836:Q$837))</f>
        <v>0</v>
      </c>
      <c r="R941" s="81">
        <f ca="1">SUMPRODUCT((Work_Codes!$N$409:$Y$409=$E941)*(Work_Codes!$N$417:$Y$418)*(R$836:R$837))</f>
        <v>0</v>
      </c>
      <c r="S941" s="81">
        <f ca="1">SUMPRODUCT((Work_Codes!$N$409:$Y$409=$E941)*(Work_Codes!$N$417:$Y$418)*(S$836:S$837))</f>
        <v>0</v>
      </c>
      <c r="T941" s="81">
        <f ca="1">SUMPRODUCT((Work_Codes!$N$409:$Y$409=$E941)*(Work_Codes!$N$417:$Y$418)*(T$836:T$837))</f>
        <v>0</v>
      </c>
    </row>
    <row r="942" spans="4:20" outlineLevel="2">
      <c r="E942" s="247" t="str">
        <f>GC!C45</f>
        <v>Meters</v>
      </c>
      <c r="F942" s="247"/>
      <c r="G942" s="247"/>
      <c r="H942" s="247"/>
      <c r="I942" s="247"/>
      <c r="J942" s="81">
        <f ca="1">SUMPRODUCT((Work_Codes!$N$409:$Y$409=$E942)*(Work_Codes!$N$417:$Y$418)*(J$836:J$837))</f>
        <v>0</v>
      </c>
      <c r="K942" s="81">
        <f ca="1">SUMPRODUCT((Work_Codes!$N$409:$Y$409=$E942)*(Work_Codes!$N$417:$Y$418)*(K$836:K$837))</f>
        <v>0</v>
      </c>
      <c r="L942" s="81">
        <f ca="1">SUMPRODUCT((Work_Codes!$N$409:$Y$409=$E942)*(Work_Codes!$N$417:$Y$418)*(L$836:L$837))</f>
        <v>0</v>
      </c>
      <c r="M942" s="81">
        <f ca="1">SUMPRODUCT((Work_Codes!$N$409:$Y$409=$E942)*(Work_Codes!$N$417:$Y$418)*(M$836:M$837))</f>
        <v>0</v>
      </c>
      <c r="N942" s="81">
        <f ca="1">SUMPRODUCT((Work_Codes!$N$409:$Y$409=$E942)*(Work_Codes!$N$417:$Y$418)*(N$836:N$837))</f>
        <v>0</v>
      </c>
      <c r="O942" s="81">
        <f ca="1">SUMPRODUCT((Work_Codes!$N$409:$Y$409=$E942)*(Work_Codes!$N$417:$Y$418)*(O$836:O$837))</f>
        <v>0</v>
      </c>
      <c r="P942" s="81">
        <f ca="1">SUMPRODUCT((Work_Codes!$N$409:$Y$409=$E942)*(Work_Codes!$N$417:$Y$418)*(P$836:P$837))</f>
        <v>0</v>
      </c>
      <c r="Q942" s="81">
        <f ca="1">SUMPRODUCT((Work_Codes!$N$409:$Y$409=$E942)*(Work_Codes!$N$417:$Y$418)*(Q$836:Q$837))</f>
        <v>0</v>
      </c>
      <c r="R942" s="81">
        <f ca="1">SUMPRODUCT((Work_Codes!$N$409:$Y$409=$E942)*(Work_Codes!$N$417:$Y$418)*(R$836:R$837))</f>
        <v>0</v>
      </c>
      <c r="S942" s="81">
        <f ca="1">SUMPRODUCT((Work_Codes!$N$409:$Y$409=$E942)*(Work_Codes!$N$417:$Y$418)*(S$836:S$837))</f>
        <v>0</v>
      </c>
      <c r="T942" s="81">
        <f ca="1">SUMPRODUCT((Work_Codes!$N$409:$Y$409=$E942)*(Work_Codes!$N$417:$Y$418)*(T$836:T$837))</f>
        <v>0</v>
      </c>
    </row>
    <row r="943" spans="4:20" outlineLevel="2">
      <c r="E943" s="247" t="str">
        <f>GC!C46</f>
        <v>SCADA and remote control</v>
      </c>
      <c r="F943" s="247"/>
      <c r="G943" s="247"/>
      <c r="H943" s="247"/>
      <c r="I943" s="247"/>
      <c r="J943" s="81">
        <f ca="1">SUMPRODUCT((Work_Codes!$N$409:$Y$409=$E943)*(Work_Codes!$N$417:$Y$418)*(J$836:J$837))</f>
        <v>0</v>
      </c>
      <c r="K943" s="81">
        <f ca="1">SUMPRODUCT((Work_Codes!$N$409:$Y$409=$E943)*(Work_Codes!$N$417:$Y$418)*(K$836:K$837))</f>
        <v>0</v>
      </c>
      <c r="L943" s="81">
        <f ca="1">SUMPRODUCT((Work_Codes!$N$409:$Y$409=$E943)*(Work_Codes!$N$417:$Y$418)*(L$836:L$837))</f>
        <v>0</v>
      </c>
      <c r="M943" s="81">
        <f ca="1">SUMPRODUCT((Work_Codes!$N$409:$Y$409=$E943)*(Work_Codes!$N$417:$Y$418)*(M$836:M$837))</f>
        <v>0</v>
      </c>
      <c r="N943" s="81">
        <f ca="1">SUMPRODUCT((Work_Codes!$N$409:$Y$409=$E943)*(Work_Codes!$N$417:$Y$418)*(N$836:N$837))</f>
        <v>0</v>
      </c>
      <c r="O943" s="81">
        <f ca="1">SUMPRODUCT((Work_Codes!$N$409:$Y$409=$E943)*(Work_Codes!$N$417:$Y$418)*(O$836:O$837))</f>
        <v>0</v>
      </c>
      <c r="P943" s="81">
        <f ca="1">SUMPRODUCT((Work_Codes!$N$409:$Y$409=$E943)*(Work_Codes!$N$417:$Y$418)*(P$836:P$837))</f>
        <v>0</v>
      </c>
      <c r="Q943" s="81">
        <f ca="1">SUMPRODUCT((Work_Codes!$N$409:$Y$409=$E943)*(Work_Codes!$N$417:$Y$418)*(Q$836:Q$837))</f>
        <v>0</v>
      </c>
      <c r="R943" s="81">
        <f ca="1">SUMPRODUCT((Work_Codes!$N$409:$Y$409=$E943)*(Work_Codes!$N$417:$Y$418)*(R$836:R$837))</f>
        <v>0</v>
      </c>
      <c r="S943" s="81">
        <f ca="1">SUMPRODUCT((Work_Codes!$N$409:$Y$409=$E943)*(Work_Codes!$N$417:$Y$418)*(S$836:S$837))</f>
        <v>0</v>
      </c>
      <c r="T943" s="81">
        <f ca="1">SUMPRODUCT((Work_Codes!$N$409:$Y$409=$E943)*(Work_Codes!$N$417:$Y$418)*(T$836:T$837))</f>
        <v>0</v>
      </c>
    </row>
    <row r="944" spans="4:20" outlineLevel="2">
      <c r="E944" s="247" t="str">
        <f>GC!C47</f>
        <v>Buildings</v>
      </c>
      <c r="F944" s="247"/>
      <c r="G944" s="247"/>
      <c r="H944" s="247"/>
      <c r="I944" s="247"/>
      <c r="J944" s="81">
        <f ca="1">SUMPRODUCT((Work_Codes!$N$409:$Y$409=$E944)*(Work_Codes!$N$417:$Y$418)*(J$836:J$837))</f>
        <v>0</v>
      </c>
      <c r="K944" s="81">
        <f ca="1">SUMPRODUCT((Work_Codes!$N$409:$Y$409=$E944)*(Work_Codes!$N$417:$Y$418)*(K$836:K$837))</f>
        <v>0</v>
      </c>
      <c r="L944" s="81">
        <f ca="1">SUMPRODUCT((Work_Codes!$N$409:$Y$409=$E944)*(Work_Codes!$N$417:$Y$418)*(L$836:L$837))</f>
        <v>0</v>
      </c>
      <c r="M944" s="81">
        <f ca="1">SUMPRODUCT((Work_Codes!$N$409:$Y$409=$E944)*(Work_Codes!$N$417:$Y$418)*(M$836:M$837))</f>
        <v>0</v>
      </c>
      <c r="N944" s="81">
        <f ca="1">SUMPRODUCT((Work_Codes!$N$409:$Y$409=$E944)*(Work_Codes!$N$417:$Y$418)*(N$836:N$837))</f>
        <v>0</v>
      </c>
      <c r="O944" s="81">
        <f ca="1">SUMPRODUCT((Work_Codes!$N$409:$Y$409=$E944)*(Work_Codes!$N$417:$Y$418)*(O$836:O$837))</f>
        <v>0</v>
      </c>
      <c r="P944" s="81">
        <f ca="1">SUMPRODUCT((Work_Codes!$N$409:$Y$409=$E944)*(Work_Codes!$N$417:$Y$418)*(P$836:P$837))</f>
        <v>0</v>
      </c>
      <c r="Q944" s="81">
        <f ca="1">SUMPRODUCT((Work_Codes!$N$409:$Y$409=$E944)*(Work_Codes!$N$417:$Y$418)*(Q$836:Q$837))</f>
        <v>0</v>
      </c>
      <c r="R944" s="81">
        <f ca="1">SUMPRODUCT((Work_Codes!$N$409:$Y$409=$E944)*(Work_Codes!$N$417:$Y$418)*(R$836:R$837))</f>
        <v>0</v>
      </c>
      <c r="S944" s="81">
        <f ca="1">SUMPRODUCT((Work_Codes!$N$409:$Y$409=$E944)*(Work_Codes!$N$417:$Y$418)*(S$836:S$837))</f>
        <v>0</v>
      </c>
      <c r="T944" s="81">
        <f ca="1">SUMPRODUCT((Work_Codes!$N$409:$Y$409=$E944)*(Work_Codes!$N$417:$Y$418)*(T$836:T$837))</f>
        <v>0</v>
      </c>
    </row>
    <row r="945" spans="2:20" outlineLevel="2">
      <c r="E945" s="247" t="str">
        <f>GC!C48</f>
        <v>Other - IT</v>
      </c>
      <c r="F945" s="247"/>
      <c r="G945" s="247"/>
      <c r="H945" s="247"/>
      <c r="I945" s="247"/>
      <c r="J945" s="81">
        <f ca="1">SUMPRODUCT((Work_Codes!$N$409:$Y$409=$E945)*(Work_Codes!$N$417:$Y$418)*(J$836:J$837))</f>
        <v>0</v>
      </c>
      <c r="K945" s="81">
        <f ca="1">SUMPRODUCT((Work_Codes!$N$409:$Y$409=$E945)*(Work_Codes!$N$417:$Y$418)*(K$836:K$837))</f>
        <v>0</v>
      </c>
      <c r="L945" s="81">
        <f ca="1">SUMPRODUCT((Work_Codes!$N$409:$Y$409=$E945)*(Work_Codes!$N$417:$Y$418)*(L$836:L$837))</f>
        <v>0</v>
      </c>
      <c r="M945" s="81">
        <f ca="1">SUMPRODUCT((Work_Codes!$N$409:$Y$409=$E945)*(Work_Codes!$N$417:$Y$418)*(M$836:M$837))</f>
        <v>0</v>
      </c>
      <c r="N945" s="81">
        <f ca="1">SUMPRODUCT((Work_Codes!$N$409:$Y$409=$E945)*(Work_Codes!$N$417:$Y$418)*(N$836:N$837))</f>
        <v>0</v>
      </c>
      <c r="O945" s="81">
        <f ca="1">SUMPRODUCT((Work_Codes!$N$409:$Y$409=$E945)*(Work_Codes!$N$417:$Y$418)*(O$836:O$837))</f>
        <v>0</v>
      </c>
      <c r="P945" s="81">
        <f ca="1">SUMPRODUCT((Work_Codes!$N$409:$Y$409=$E945)*(Work_Codes!$N$417:$Y$418)*(P$836:P$837))</f>
        <v>0</v>
      </c>
      <c r="Q945" s="81">
        <f ca="1">SUMPRODUCT((Work_Codes!$N$409:$Y$409=$E945)*(Work_Codes!$N$417:$Y$418)*(Q$836:Q$837))</f>
        <v>0</v>
      </c>
      <c r="R945" s="81">
        <f ca="1">SUMPRODUCT((Work_Codes!$N$409:$Y$409=$E945)*(Work_Codes!$N$417:$Y$418)*(R$836:R$837))</f>
        <v>0</v>
      </c>
      <c r="S945" s="81">
        <f ca="1">SUMPRODUCT((Work_Codes!$N$409:$Y$409=$E945)*(Work_Codes!$N$417:$Y$418)*(S$836:S$837))</f>
        <v>0</v>
      </c>
      <c r="T945" s="81">
        <f ca="1">SUMPRODUCT((Work_Codes!$N$409:$Y$409=$E945)*(Work_Codes!$N$417:$Y$418)*(T$836:T$837))</f>
        <v>0</v>
      </c>
    </row>
    <row r="946" spans="2:20" outlineLevel="2">
      <c r="E946" s="247" t="str">
        <f>GC!C49</f>
        <v>Other - non IT</v>
      </c>
      <c r="F946" s="247"/>
      <c r="G946" s="247"/>
      <c r="H946" s="247"/>
      <c r="I946" s="247"/>
      <c r="J946" s="81">
        <f ca="1">SUMPRODUCT((Work_Codes!$N$409:$Y$409=$E946)*(Work_Codes!$N$417:$Y$418)*(J$836:J$837))</f>
        <v>0</v>
      </c>
      <c r="K946" s="81">
        <f ca="1">SUMPRODUCT((Work_Codes!$N$409:$Y$409=$E946)*(Work_Codes!$N$417:$Y$418)*(K$836:K$837))</f>
        <v>0</v>
      </c>
      <c r="L946" s="81">
        <f ca="1">SUMPRODUCT((Work_Codes!$N$409:$Y$409=$E946)*(Work_Codes!$N$417:$Y$418)*(L$836:L$837))</f>
        <v>0</v>
      </c>
      <c r="M946" s="81">
        <f ca="1">SUMPRODUCT((Work_Codes!$N$409:$Y$409=$E946)*(Work_Codes!$N$417:$Y$418)*(M$836:M$837))</f>
        <v>0</v>
      </c>
      <c r="N946" s="81">
        <f ca="1">SUMPRODUCT((Work_Codes!$N$409:$Y$409=$E946)*(Work_Codes!$N$417:$Y$418)*(N$836:N$837))</f>
        <v>0</v>
      </c>
      <c r="O946" s="81">
        <f ca="1">SUMPRODUCT((Work_Codes!$N$409:$Y$409=$E946)*(Work_Codes!$N$417:$Y$418)*(O$836:O$837))</f>
        <v>0</v>
      </c>
      <c r="P946" s="81">
        <f ca="1">SUMPRODUCT((Work_Codes!$N$409:$Y$409=$E946)*(Work_Codes!$N$417:$Y$418)*(P$836:P$837))</f>
        <v>0</v>
      </c>
      <c r="Q946" s="81">
        <f ca="1">SUMPRODUCT((Work_Codes!$N$409:$Y$409=$E946)*(Work_Codes!$N$417:$Y$418)*(Q$836:Q$837))</f>
        <v>0</v>
      </c>
      <c r="R946" s="81">
        <f ca="1">SUMPRODUCT((Work_Codes!$N$409:$Y$409=$E946)*(Work_Codes!$N$417:$Y$418)*(R$836:R$837))</f>
        <v>0</v>
      </c>
      <c r="S946" s="81">
        <f ca="1">SUMPRODUCT((Work_Codes!$N$409:$Y$409=$E946)*(Work_Codes!$N$417:$Y$418)*(S$836:S$837))</f>
        <v>0</v>
      </c>
      <c r="T946" s="81">
        <f ca="1">SUMPRODUCT((Work_Codes!$N$409:$Y$409=$E946)*(Work_Codes!$N$417:$Y$418)*(T$836:T$837))</f>
        <v>0</v>
      </c>
    </row>
    <row r="947" spans="2:20" outlineLevel="2">
      <c r="E947" s="247" t="str">
        <f>GC!C50</f>
        <v>Land</v>
      </c>
      <c r="F947" s="247"/>
      <c r="G947" s="247"/>
      <c r="H947" s="247"/>
      <c r="I947" s="247"/>
      <c r="J947" s="81">
        <f ca="1">SUMPRODUCT((Work_Codes!$N$409:$Y$409=$E947)*(Work_Codes!$N$417:$Y$418)*(J$836:J$837))</f>
        <v>0</v>
      </c>
      <c r="K947" s="81">
        <f ca="1">SUMPRODUCT((Work_Codes!$N$409:$Y$409=$E947)*(Work_Codes!$N$417:$Y$418)*(K$836:K$837))</f>
        <v>0</v>
      </c>
      <c r="L947" s="81">
        <f ca="1">SUMPRODUCT((Work_Codes!$N$409:$Y$409=$E947)*(Work_Codes!$N$417:$Y$418)*(L$836:L$837))</f>
        <v>0</v>
      </c>
      <c r="M947" s="81">
        <f ca="1">SUMPRODUCT((Work_Codes!$N$409:$Y$409=$E947)*(Work_Codes!$N$417:$Y$418)*(M$836:M$837))</f>
        <v>0</v>
      </c>
      <c r="N947" s="81">
        <f ca="1">SUMPRODUCT((Work_Codes!$N$409:$Y$409=$E947)*(Work_Codes!$N$417:$Y$418)*(N$836:N$837))</f>
        <v>0</v>
      </c>
      <c r="O947" s="81">
        <f ca="1">SUMPRODUCT((Work_Codes!$N$409:$Y$409=$E947)*(Work_Codes!$N$417:$Y$418)*(O$836:O$837))</f>
        <v>0</v>
      </c>
      <c r="P947" s="81">
        <f ca="1">SUMPRODUCT((Work_Codes!$N$409:$Y$409=$E947)*(Work_Codes!$N$417:$Y$418)*(P$836:P$837))</f>
        <v>0</v>
      </c>
      <c r="Q947" s="81">
        <f ca="1">SUMPRODUCT((Work_Codes!$N$409:$Y$409=$E947)*(Work_Codes!$N$417:$Y$418)*(Q$836:Q$837))</f>
        <v>0</v>
      </c>
      <c r="R947" s="81">
        <f ca="1">SUMPRODUCT((Work_Codes!$N$409:$Y$409=$E947)*(Work_Codes!$N$417:$Y$418)*(R$836:R$837))</f>
        <v>0</v>
      </c>
      <c r="S947" s="81">
        <f ca="1">SUMPRODUCT((Work_Codes!$N$409:$Y$409=$E947)*(Work_Codes!$N$417:$Y$418)*(S$836:S$837))</f>
        <v>0</v>
      </c>
      <c r="T947" s="81">
        <f ca="1">SUMPRODUCT((Work_Codes!$N$409:$Y$409=$E947)*(Work_Codes!$N$417:$Y$418)*(T$836:T$837))</f>
        <v>0</v>
      </c>
    </row>
    <row r="948" spans="2:20" outlineLevel="2">
      <c r="E948" s="247" t="str">
        <f>GC!C51</f>
        <v>Capitalised Leases</v>
      </c>
      <c r="F948" s="247"/>
      <c r="G948" s="247"/>
      <c r="H948" s="247"/>
      <c r="I948" s="247"/>
      <c r="J948" s="81">
        <f ca="1">SUMPRODUCT((Work_Codes!$N$409:$Y$409=$E948)*(Work_Codes!$N$417:$Y$418)*(J$836:J$837))</f>
        <v>0</v>
      </c>
      <c r="K948" s="81">
        <f ca="1">SUMPRODUCT((Work_Codes!$N$409:$Y$409=$E948)*(Work_Codes!$N$417:$Y$418)*(K$836:K$837))</f>
        <v>0</v>
      </c>
      <c r="L948" s="81">
        <f ca="1">SUMPRODUCT((Work_Codes!$N$409:$Y$409=$E948)*(Work_Codes!$N$417:$Y$418)*(L$836:L$837))</f>
        <v>0</v>
      </c>
      <c r="M948" s="81">
        <f ca="1">SUMPRODUCT((Work_Codes!$N$409:$Y$409=$E948)*(Work_Codes!$N$417:$Y$418)*(M$836:M$837))</f>
        <v>0</v>
      </c>
      <c r="N948" s="81">
        <f ca="1">SUMPRODUCT((Work_Codes!$N$409:$Y$409=$E948)*(Work_Codes!$N$417:$Y$418)*(N$836:N$837))</f>
        <v>0</v>
      </c>
      <c r="O948" s="81">
        <f ca="1">SUMPRODUCT((Work_Codes!$N$409:$Y$409=$E948)*(Work_Codes!$N$417:$Y$418)*(O$836:O$837))</f>
        <v>0</v>
      </c>
      <c r="P948" s="81">
        <f ca="1">SUMPRODUCT((Work_Codes!$N$409:$Y$409=$E948)*(Work_Codes!$N$417:$Y$418)*(P$836:P$837))</f>
        <v>0</v>
      </c>
      <c r="Q948" s="81">
        <f ca="1">SUMPRODUCT((Work_Codes!$N$409:$Y$409=$E948)*(Work_Codes!$N$417:$Y$418)*(Q$836:Q$837))</f>
        <v>0</v>
      </c>
      <c r="R948" s="81">
        <f ca="1">SUMPRODUCT((Work_Codes!$N$409:$Y$409=$E948)*(Work_Codes!$N$417:$Y$418)*(R$836:R$837))</f>
        <v>0</v>
      </c>
      <c r="S948" s="81">
        <f ca="1">SUMPRODUCT((Work_Codes!$N$409:$Y$409=$E948)*(Work_Codes!$N$417:$Y$418)*(S$836:S$837))</f>
        <v>0</v>
      </c>
      <c r="T948" s="81">
        <f ca="1">SUMPRODUCT((Work_Codes!$N$409:$Y$409=$E948)*(Work_Codes!$N$417:$Y$418)*(T$836:T$837))</f>
        <v>0</v>
      </c>
    </row>
    <row r="949" spans="2:20" outlineLevel="2">
      <c r="E949" s="247" t="str">
        <f>GC!C52</f>
        <v>Transmission pipelines - post 1998</v>
      </c>
      <c r="F949" s="247"/>
      <c r="G949" s="247"/>
      <c r="H949" s="247"/>
      <c r="I949" s="247"/>
      <c r="J949" s="81">
        <f ca="1">SUMPRODUCT((Work_Codes!$N$409:$Y$409=$E949)*(Work_Codes!$N$417:$Y$418)*(J$836:J$837))</f>
        <v>0</v>
      </c>
      <c r="K949" s="81">
        <f ca="1">SUMPRODUCT((Work_Codes!$N$409:$Y$409=$E949)*(Work_Codes!$N$417:$Y$418)*(K$836:K$837))</f>
        <v>0</v>
      </c>
      <c r="L949" s="81">
        <f ca="1">SUMPRODUCT((Work_Codes!$N$409:$Y$409=$E949)*(Work_Codes!$N$417:$Y$418)*(L$836:L$837))</f>
        <v>0</v>
      </c>
      <c r="M949" s="81">
        <f ca="1">SUMPRODUCT((Work_Codes!$N$409:$Y$409=$E949)*(Work_Codes!$N$417:$Y$418)*(M$836:M$837))</f>
        <v>0</v>
      </c>
      <c r="N949" s="81">
        <f ca="1">SUMPRODUCT((Work_Codes!$N$409:$Y$409=$E949)*(Work_Codes!$N$417:$Y$418)*(N$836:N$837))</f>
        <v>0</v>
      </c>
      <c r="O949" s="81">
        <f ca="1">SUMPRODUCT((Work_Codes!$N$409:$Y$409=$E949)*(Work_Codes!$N$417:$Y$418)*(O$836:O$837))</f>
        <v>0</v>
      </c>
      <c r="P949" s="81">
        <f ca="1">SUMPRODUCT((Work_Codes!$N$409:$Y$409=$E949)*(Work_Codes!$N$417:$Y$418)*(P$836:P$837))</f>
        <v>0</v>
      </c>
      <c r="Q949" s="81">
        <f ca="1">SUMPRODUCT((Work_Codes!$N$409:$Y$409=$E949)*(Work_Codes!$N$417:$Y$418)*(Q$836:Q$837))</f>
        <v>0</v>
      </c>
      <c r="R949" s="81">
        <f ca="1">SUMPRODUCT((Work_Codes!$N$409:$Y$409=$E949)*(Work_Codes!$N$417:$Y$418)*(R$836:R$837))</f>
        <v>0</v>
      </c>
      <c r="S949" s="81">
        <f ca="1">SUMPRODUCT((Work_Codes!$N$409:$Y$409=$E949)*(Work_Codes!$N$417:$Y$418)*(S$836:S$837))</f>
        <v>0</v>
      </c>
      <c r="T949" s="81">
        <f ca="1">SUMPRODUCT((Work_Codes!$N$409:$Y$409=$E949)*(Work_Codes!$N$417:$Y$418)*(T$836:T$837))</f>
        <v>0</v>
      </c>
    </row>
    <row r="950" spans="2:20" outlineLevel="2">
      <c r="E950" s="247" t="str">
        <f>GC!C53</f>
        <v>Distribution pipelines - post 1998</v>
      </c>
      <c r="F950" s="247"/>
      <c r="G950" s="247"/>
      <c r="H950" s="247"/>
      <c r="I950" s="247"/>
      <c r="J950" s="81">
        <f ca="1">SUMPRODUCT((Work_Codes!$N$409:$Y$409=$E950)*(Work_Codes!$N$417:$Y$418)*(J$836:J$837))</f>
        <v>0</v>
      </c>
      <c r="K950" s="81">
        <f ca="1">SUMPRODUCT((Work_Codes!$N$409:$Y$409=$E950)*(Work_Codes!$N$417:$Y$418)*(K$836:K$837))</f>
        <v>0</v>
      </c>
      <c r="L950" s="81">
        <f ca="1">SUMPRODUCT((Work_Codes!$N$409:$Y$409=$E950)*(Work_Codes!$N$417:$Y$418)*(L$836:L$837))</f>
        <v>0</v>
      </c>
      <c r="M950" s="81">
        <f ca="1">SUMPRODUCT((Work_Codes!$N$409:$Y$409=$E950)*(Work_Codes!$N$417:$Y$418)*(M$836:M$837))</f>
        <v>0</v>
      </c>
      <c r="N950" s="81">
        <f ca="1">SUMPRODUCT((Work_Codes!$N$409:$Y$409=$E950)*(Work_Codes!$N$417:$Y$418)*(N$836:N$837))</f>
        <v>-3132307.9653389999</v>
      </c>
      <c r="O950" s="81">
        <f ca="1">SUMPRODUCT((Work_Codes!$N$409:$Y$409=$E950)*(Work_Codes!$N$417:$Y$418)*(O$836:O$837))</f>
        <v>-638064.82733944047</v>
      </c>
      <c r="P950" s="81">
        <f ca="1">SUMPRODUCT((Work_Codes!$N$409:$Y$409=$E950)*(Work_Codes!$N$417:$Y$418)*(P$836:P$837))</f>
        <v>-1276129.6546788809</v>
      </c>
      <c r="Q950" s="81">
        <f ca="1">SUMPRODUCT((Work_Codes!$N$409:$Y$409=$E950)*(Work_Codes!$N$417:$Y$418)*(Q$836:Q$837))</f>
        <v>-1276129.6546788809</v>
      </c>
      <c r="R950" s="81">
        <f ca="1">SUMPRODUCT((Work_Codes!$N$409:$Y$409=$E950)*(Work_Codes!$N$417:$Y$418)*(R$836:R$837))</f>
        <v>-1276129.6546788809</v>
      </c>
      <c r="S950" s="81">
        <f ca="1">SUMPRODUCT((Work_Codes!$N$409:$Y$409=$E950)*(Work_Codes!$N$417:$Y$418)*(S$836:S$837))</f>
        <v>-1276129.6546788809</v>
      </c>
      <c r="T950" s="81">
        <f ca="1">SUMPRODUCT((Work_Codes!$N$409:$Y$409=$E950)*(Work_Codes!$N$417:$Y$418)*(T$836:T$837))</f>
        <v>-1276129.6546788809</v>
      </c>
    </row>
    <row r="951" spans="2:20" outlineLevel="2">
      <c r="E951" s="247" t="str">
        <f>GC!C54</f>
        <v>Service pipes - post 1998</v>
      </c>
      <c r="F951" s="247"/>
      <c r="G951" s="247"/>
      <c r="H951" s="247"/>
      <c r="I951" s="247"/>
      <c r="J951" s="81">
        <f ca="1">SUMPRODUCT((Work_Codes!$N$409:$Y$409=$E951)*(Work_Codes!$N$417:$Y$418)*(J$836:J$837))</f>
        <v>0</v>
      </c>
      <c r="K951" s="81">
        <f ca="1">SUMPRODUCT((Work_Codes!$N$409:$Y$409=$E951)*(Work_Codes!$N$417:$Y$418)*(K$836:K$837))</f>
        <v>0</v>
      </c>
      <c r="L951" s="81">
        <f ca="1">SUMPRODUCT((Work_Codes!$N$409:$Y$409=$E951)*(Work_Codes!$N$417:$Y$418)*(L$836:L$837))</f>
        <v>0</v>
      </c>
      <c r="M951" s="81">
        <f ca="1">SUMPRODUCT((Work_Codes!$N$409:$Y$409=$E951)*(Work_Codes!$N$417:$Y$418)*(M$836:M$837))</f>
        <v>0</v>
      </c>
      <c r="N951" s="81">
        <f ca="1">SUMPRODUCT((Work_Codes!$N$409:$Y$409=$E951)*(Work_Codes!$N$417:$Y$418)*(N$836:N$837))</f>
        <v>-348034.21837099997</v>
      </c>
      <c r="O951" s="81">
        <f ca="1">SUMPRODUCT((Work_Codes!$N$409:$Y$409=$E951)*(Work_Codes!$N$417:$Y$418)*(O$836:O$837))</f>
        <v>-70896.091926604495</v>
      </c>
      <c r="P951" s="81">
        <f ca="1">SUMPRODUCT((Work_Codes!$N$409:$Y$409=$E951)*(Work_Codes!$N$417:$Y$418)*(P$836:P$837))</f>
        <v>-141792.18385320899</v>
      </c>
      <c r="Q951" s="81">
        <f ca="1">SUMPRODUCT((Work_Codes!$N$409:$Y$409=$E951)*(Work_Codes!$N$417:$Y$418)*(Q$836:Q$837))</f>
        <v>-141792.18385320899</v>
      </c>
      <c r="R951" s="81">
        <f ca="1">SUMPRODUCT((Work_Codes!$N$409:$Y$409=$E951)*(Work_Codes!$N$417:$Y$418)*(R$836:R$837))</f>
        <v>-141792.18385320899</v>
      </c>
      <c r="S951" s="81">
        <f ca="1">SUMPRODUCT((Work_Codes!$N$409:$Y$409=$E951)*(Work_Codes!$N$417:$Y$418)*(S$836:S$837))</f>
        <v>-141792.18385320899</v>
      </c>
      <c r="T951" s="81">
        <f ca="1">SUMPRODUCT((Work_Codes!$N$409:$Y$409=$E951)*(Work_Codes!$N$417:$Y$418)*(T$836:T$837))</f>
        <v>-141792.18385320899</v>
      </c>
    </row>
    <row r="952" spans="2:20" outlineLevel="2">
      <c r="E952" s="247" t="str">
        <f>GC!C55</f>
        <v>Cathodic protection - post 1998</v>
      </c>
      <c r="F952" s="247"/>
      <c r="G952" s="247"/>
      <c r="H952" s="247"/>
      <c r="I952" s="247"/>
      <c r="J952" s="81">
        <f ca="1">SUMPRODUCT((Work_Codes!$N$409:$Y$409=$E952)*(Work_Codes!$N$417:$Y$418)*(J$836:J$837))</f>
        <v>0</v>
      </c>
      <c r="K952" s="81">
        <f ca="1">SUMPRODUCT((Work_Codes!$N$409:$Y$409=$E952)*(Work_Codes!$N$417:$Y$418)*(K$836:K$837))</f>
        <v>0</v>
      </c>
      <c r="L952" s="81">
        <f ca="1">SUMPRODUCT((Work_Codes!$N$409:$Y$409=$E952)*(Work_Codes!$N$417:$Y$418)*(L$836:L$837))</f>
        <v>0</v>
      </c>
      <c r="M952" s="81">
        <f ca="1">SUMPRODUCT((Work_Codes!$N$409:$Y$409=$E952)*(Work_Codes!$N$417:$Y$418)*(M$836:M$837))</f>
        <v>0</v>
      </c>
      <c r="N952" s="81">
        <f ca="1">SUMPRODUCT((Work_Codes!$N$409:$Y$409=$E952)*(Work_Codes!$N$417:$Y$418)*(N$836:N$837))</f>
        <v>0</v>
      </c>
      <c r="O952" s="81">
        <f ca="1">SUMPRODUCT((Work_Codes!$N$409:$Y$409=$E952)*(Work_Codes!$N$417:$Y$418)*(O$836:O$837))</f>
        <v>0</v>
      </c>
      <c r="P952" s="81">
        <f ca="1">SUMPRODUCT((Work_Codes!$N$409:$Y$409=$E952)*(Work_Codes!$N$417:$Y$418)*(P$836:P$837))</f>
        <v>0</v>
      </c>
      <c r="Q952" s="81">
        <f ca="1">SUMPRODUCT((Work_Codes!$N$409:$Y$409=$E952)*(Work_Codes!$N$417:$Y$418)*(Q$836:Q$837))</f>
        <v>0</v>
      </c>
      <c r="R952" s="81">
        <f ca="1">SUMPRODUCT((Work_Codes!$N$409:$Y$409=$E952)*(Work_Codes!$N$417:$Y$418)*(R$836:R$837))</f>
        <v>0</v>
      </c>
      <c r="S952" s="81">
        <f ca="1">SUMPRODUCT((Work_Codes!$N$409:$Y$409=$E952)*(Work_Codes!$N$417:$Y$418)*(S$836:S$837))</f>
        <v>0</v>
      </c>
      <c r="T952" s="81">
        <f ca="1">SUMPRODUCT((Work_Codes!$N$409:$Y$409=$E952)*(Work_Codes!$N$417:$Y$418)*(T$836:T$837))</f>
        <v>0</v>
      </c>
    </row>
    <row r="953" spans="2:20" outlineLevel="2">
      <c r="E953" s="249" t="str">
        <f>"Total "&amp;D935</f>
        <v>Total Customer Contributions</v>
      </c>
      <c r="F953" s="249"/>
      <c r="G953" s="249"/>
      <c r="H953" s="249"/>
      <c r="I953" s="249"/>
      <c r="J953" s="82">
        <f t="shared" ref="J953:T953" ca="1" si="91">SUM(J937:J952)</f>
        <v>0</v>
      </c>
      <c r="K953" s="82">
        <f t="shared" ca="1" si="91"/>
        <v>0</v>
      </c>
      <c r="L953" s="82">
        <f t="shared" ca="1" si="91"/>
        <v>0</v>
      </c>
      <c r="M953" s="82">
        <f t="shared" ca="1" si="91"/>
        <v>0</v>
      </c>
      <c r="N953" s="82">
        <f t="shared" ca="1" si="91"/>
        <v>-3480342.18371</v>
      </c>
      <c r="O953" s="82">
        <f t="shared" ca="1" si="91"/>
        <v>-708960.91926604498</v>
      </c>
      <c r="P953" s="82">
        <f t="shared" ca="1" si="91"/>
        <v>-1417921.83853209</v>
      </c>
      <c r="Q953" s="82">
        <f t="shared" ca="1" si="91"/>
        <v>-1417921.83853209</v>
      </c>
      <c r="R953" s="82">
        <f t="shared" ca="1" si="91"/>
        <v>-1417921.83853209</v>
      </c>
      <c r="S953" s="82">
        <f t="shared" ca="1" si="91"/>
        <v>-1417921.83853209</v>
      </c>
      <c r="T953" s="82">
        <f t="shared" ca="1" si="91"/>
        <v>-1417921.83853209</v>
      </c>
    </row>
    <row r="954" spans="2:20" outlineLevel="1">
      <c r="B954" s="12"/>
      <c r="C954" s="12"/>
      <c r="D954" s="12"/>
      <c r="E954" s="12"/>
      <c r="F954" s="12"/>
      <c r="G954" s="12"/>
      <c r="H954" s="12"/>
      <c r="I954" s="12"/>
      <c r="J954" s="12"/>
      <c r="K954" s="12"/>
      <c r="L954" s="12"/>
      <c r="M954" s="12"/>
      <c r="N954" s="12"/>
      <c r="O954" s="12"/>
      <c r="P954" s="12"/>
      <c r="Q954" s="12"/>
      <c r="R954" s="12"/>
      <c r="S954" s="12"/>
      <c r="T954" s="12"/>
    </row>
    <row r="955" spans="2:20" outlineLevel="1"/>
    <row r="956" spans="2:20" outlineLevel="1">
      <c r="C956" s="37" t="s">
        <v>196</v>
      </c>
    </row>
    <row r="957" spans="2:20" ht="5.9" customHeight="1" outlineLevel="2"/>
    <row r="958" spans="2:20" outlineLevel="2">
      <c r="D958" s="37" t="s">
        <v>215</v>
      </c>
    </row>
    <row r="959" spans="2:20" ht="5.9" customHeight="1" outlineLevel="2"/>
    <row r="960" spans="2:20" ht="12" customHeight="1" outlineLevel="2">
      <c r="E960" s="247" t="str">
        <f>GC!C60</f>
        <v>Mains replacement</v>
      </c>
      <c r="F960" s="247"/>
      <c r="G960" s="247"/>
      <c r="H960" s="247"/>
      <c r="I960" s="247"/>
      <c r="J960" s="81">
        <f ca="1">SUMPRODUCT((Work_Codes!$AC$409:$AO$409=$E960)*(Work_Codes!$AC$412:$AO$413)*(J$867:J$868))</f>
        <v>0</v>
      </c>
      <c r="K960" s="81">
        <f ca="1">SUMPRODUCT((Work_Codes!$AC$409:$AO$409=$E960)*(Work_Codes!$AC$412:$AO$413)*(K$867:K$868))</f>
        <v>0</v>
      </c>
      <c r="L960" s="81">
        <f ca="1">SUMPRODUCT((Work_Codes!$AC$409:$AO$409=$E960)*(Work_Codes!$AC$412:$AO$413)*(L$867:L$868))</f>
        <v>0</v>
      </c>
      <c r="M960" s="81">
        <f ca="1">SUMPRODUCT((Work_Codes!$AC$409:$AO$409=$E960)*(Work_Codes!$AC$412:$AO$413)*(M$867:M$868))</f>
        <v>0</v>
      </c>
      <c r="N960" s="81">
        <f ca="1">SUMPRODUCT((Work_Codes!$AC$409:$AO$409=$E960)*(Work_Codes!$AC$412:$AO$413)*(N$867:N$868))</f>
        <v>0</v>
      </c>
      <c r="O960" s="81">
        <f ca="1">SUMPRODUCT((Work_Codes!$AC$409:$AO$409=$E960)*(Work_Codes!$AC$412:$AO$413)*(O$867:O$868))</f>
        <v>0</v>
      </c>
      <c r="P960" s="81">
        <f ca="1">SUMPRODUCT((Work_Codes!$AC$409:$AO$409=$E960)*(Work_Codes!$AC$412:$AO$413)*(P$867:P$868))</f>
        <v>0</v>
      </c>
      <c r="Q960" s="81">
        <f ca="1">SUMPRODUCT((Work_Codes!$AC$409:$AO$409=$E960)*(Work_Codes!$AC$412:$AO$413)*(Q$867:Q$868))</f>
        <v>0</v>
      </c>
      <c r="R960" s="81">
        <f ca="1">SUMPRODUCT((Work_Codes!$AC$409:$AO$409=$E960)*(Work_Codes!$AC$412:$AO$413)*(R$867:R$868))</f>
        <v>0</v>
      </c>
      <c r="S960" s="81">
        <f ca="1">SUMPRODUCT((Work_Codes!$AC$409:$AO$409=$E960)*(Work_Codes!$AC$412:$AO$413)*(S$867:S$868))</f>
        <v>0</v>
      </c>
      <c r="T960" s="81">
        <f ca="1">SUMPRODUCT((Work_Codes!$AC$409:$AO$409=$E960)*(Work_Codes!$AC$412:$AO$413)*(T$867:T$868))</f>
        <v>0</v>
      </c>
    </row>
    <row r="961" spans="4:20" ht="12" customHeight="1" outlineLevel="2">
      <c r="E961" s="247" t="str">
        <f>GC!C61</f>
        <v>Residential new customer connections</v>
      </c>
      <c r="F961" s="247"/>
      <c r="G961" s="247"/>
      <c r="H961" s="247"/>
      <c r="I961" s="247"/>
      <c r="J961" s="81">
        <f ca="1">SUMPRODUCT((Work_Codes!$AC$409:$AO$409=$E961)*(Work_Codes!$AC$412:$AO$413)*(J$867:J$868))</f>
        <v>0</v>
      </c>
      <c r="K961" s="81">
        <f ca="1">SUMPRODUCT((Work_Codes!$AC$409:$AO$409=$E961)*(Work_Codes!$AC$412:$AO$413)*(K$867:K$868))</f>
        <v>0</v>
      </c>
      <c r="L961" s="81">
        <f ca="1">SUMPRODUCT((Work_Codes!$AC$409:$AO$409=$E961)*(Work_Codes!$AC$412:$AO$413)*(L$867:L$868))</f>
        <v>0</v>
      </c>
      <c r="M961" s="81">
        <f ca="1">SUMPRODUCT((Work_Codes!$AC$409:$AO$409=$E961)*(Work_Codes!$AC$412:$AO$413)*(M$867:M$868))</f>
        <v>0</v>
      </c>
      <c r="N961" s="81">
        <f ca="1">SUMPRODUCT((Work_Codes!$AC$409:$AO$409=$E961)*(Work_Codes!$AC$412:$AO$413)*(N$867:N$868))</f>
        <v>0</v>
      </c>
      <c r="O961" s="81">
        <f ca="1">SUMPRODUCT((Work_Codes!$AC$409:$AO$409=$E961)*(Work_Codes!$AC$412:$AO$413)*(O$867:O$868))</f>
        <v>0</v>
      </c>
      <c r="P961" s="81">
        <f ca="1">SUMPRODUCT((Work_Codes!$AC$409:$AO$409=$E961)*(Work_Codes!$AC$412:$AO$413)*(P$867:P$868))</f>
        <v>0</v>
      </c>
      <c r="Q961" s="81">
        <f ca="1">SUMPRODUCT((Work_Codes!$AC$409:$AO$409=$E961)*(Work_Codes!$AC$412:$AO$413)*(Q$867:Q$868))</f>
        <v>0</v>
      </c>
      <c r="R961" s="81">
        <f ca="1">SUMPRODUCT((Work_Codes!$AC$409:$AO$409=$E961)*(Work_Codes!$AC$412:$AO$413)*(R$867:R$868))</f>
        <v>0</v>
      </c>
      <c r="S961" s="81">
        <f ca="1">SUMPRODUCT((Work_Codes!$AC$409:$AO$409=$E961)*(Work_Codes!$AC$412:$AO$413)*(S$867:S$868))</f>
        <v>0</v>
      </c>
      <c r="T961" s="81">
        <f ca="1">SUMPRODUCT((Work_Codes!$AC$409:$AO$409=$E961)*(Work_Codes!$AC$412:$AO$413)*(T$867:T$868))</f>
        <v>0</v>
      </c>
    </row>
    <row r="962" spans="4:20" ht="12" customHeight="1" outlineLevel="2">
      <c r="E962" s="247" t="str">
        <f>GC!C62</f>
        <v>Commercial and industrial new customer connections</v>
      </c>
      <c r="F962" s="247"/>
      <c r="G962" s="247"/>
      <c r="H962" s="247"/>
      <c r="I962" s="247"/>
      <c r="J962" s="81">
        <f ca="1">SUMPRODUCT((Work_Codes!$AC$409:$AO$409=$E962)*(Work_Codes!$AC$412:$AO$413)*(J$867:J$868))</f>
        <v>0</v>
      </c>
      <c r="K962" s="81">
        <f ca="1">SUMPRODUCT((Work_Codes!$AC$409:$AO$409=$E962)*(Work_Codes!$AC$412:$AO$413)*(K$867:K$868))</f>
        <v>0</v>
      </c>
      <c r="L962" s="81">
        <f ca="1">SUMPRODUCT((Work_Codes!$AC$409:$AO$409=$E962)*(Work_Codes!$AC$412:$AO$413)*(L$867:L$868))</f>
        <v>0</v>
      </c>
      <c r="M962" s="81">
        <f ca="1">SUMPRODUCT((Work_Codes!$AC$409:$AO$409=$E962)*(Work_Codes!$AC$412:$AO$413)*(M$867:M$868))</f>
        <v>0</v>
      </c>
      <c r="N962" s="81">
        <f ca="1">SUMPRODUCT((Work_Codes!$AC$409:$AO$409=$E962)*(Work_Codes!$AC$412:$AO$413)*(N$867:N$868))</f>
        <v>0</v>
      </c>
      <c r="O962" s="81">
        <f ca="1">SUMPRODUCT((Work_Codes!$AC$409:$AO$409=$E962)*(Work_Codes!$AC$412:$AO$413)*(O$867:O$868))</f>
        <v>0</v>
      </c>
      <c r="P962" s="81">
        <f ca="1">SUMPRODUCT((Work_Codes!$AC$409:$AO$409=$E962)*(Work_Codes!$AC$412:$AO$413)*(P$867:P$868))</f>
        <v>0</v>
      </c>
      <c r="Q962" s="81">
        <f ca="1">SUMPRODUCT((Work_Codes!$AC$409:$AO$409=$E962)*(Work_Codes!$AC$412:$AO$413)*(Q$867:Q$868))</f>
        <v>0</v>
      </c>
      <c r="R962" s="81">
        <f ca="1">SUMPRODUCT((Work_Codes!$AC$409:$AO$409=$E962)*(Work_Codes!$AC$412:$AO$413)*(R$867:R$868))</f>
        <v>0</v>
      </c>
      <c r="S962" s="81">
        <f ca="1">SUMPRODUCT((Work_Codes!$AC$409:$AO$409=$E962)*(Work_Codes!$AC$412:$AO$413)*(S$867:S$868))</f>
        <v>0</v>
      </c>
      <c r="T962" s="81">
        <f ca="1">SUMPRODUCT((Work_Codes!$AC$409:$AO$409=$E962)*(Work_Codes!$AC$412:$AO$413)*(T$867:T$868))</f>
        <v>0</v>
      </c>
    </row>
    <row r="963" spans="4:20" ht="12" customHeight="1" outlineLevel="2">
      <c r="E963" s="247" t="str">
        <f>GC!C63</f>
        <v>Residential meter replacement</v>
      </c>
      <c r="F963" s="247"/>
      <c r="G963" s="247"/>
      <c r="H963" s="247"/>
      <c r="I963" s="247"/>
      <c r="J963" s="81">
        <f ca="1">SUMPRODUCT((Work_Codes!$AC$409:$AO$409=$E963)*(Work_Codes!$AC$412:$AO$413)*(J$867:J$868))</f>
        <v>0</v>
      </c>
      <c r="K963" s="81">
        <f ca="1">SUMPRODUCT((Work_Codes!$AC$409:$AO$409=$E963)*(Work_Codes!$AC$412:$AO$413)*(K$867:K$868))</f>
        <v>0</v>
      </c>
      <c r="L963" s="81">
        <f ca="1">SUMPRODUCT((Work_Codes!$AC$409:$AO$409=$E963)*(Work_Codes!$AC$412:$AO$413)*(L$867:L$868))</f>
        <v>0</v>
      </c>
      <c r="M963" s="81">
        <f ca="1">SUMPRODUCT((Work_Codes!$AC$409:$AO$409=$E963)*(Work_Codes!$AC$412:$AO$413)*(M$867:M$868))</f>
        <v>0</v>
      </c>
      <c r="N963" s="81">
        <f ca="1">SUMPRODUCT((Work_Codes!$AC$409:$AO$409=$E963)*(Work_Codes!$AC$412:$AO$413)*(N$867:N$868))</f>
        <v>0</v>
      </c>
      <c r="O963" s="81">
        <f ca="1">SUMPRODUCT((Work_Codes!$AC$409:$AO$409=$E963)*(Work_Codes!$AC$412:$AO$413)*(O$867:O$868))</f>
        <v>0</v>
      </c>
      <c r="P963" s="81">
        <f ca="1">SUMPRODUCT((Work_Codes!$AC$409:$AO$409=$E963)*(Work_Codes!$AC$412:$AO$413)*(P$867:P$868))</f>
        <v>0</v>
      </c>
      <c r="Q963" s="81">
        <f ca="1">SUMPRODUCT((Work_Codes!$AC$409:$AO$409=$E963)*(Work_Codes!$AC$412:$AO$413)*(Q$867:Q$868))</f>
        <v>0</v>
      </c>
      <c r="R963" s="81">
        <f ca="1">SUMPRODUCT((Work_Codes!$AC$409:$AO$409=$E963)*(Work_Codes!$AC$412:$AO$413)*(R$867:R$868))</f>
        <v>0</v>
      </c>
      <c r="S963" s="81">
        <f ca="1">SUMPRODUCT((Work_Codes!$AC$409:$AO$409=$E963)*(Work_Codes!$AC$412:$AO$413)*(S$867:S$868))</f>
        <v>0</v>
      </c>
      <c r="T963" s="81">
        <f ca="1">SUMPRODUCT((Work_Codes!$AC$409:$AO$409=$E963)*(Work_Codes!$AC$412:$AO$413)*(T$867:T$868))</f>
        <v>0</v>
      </c>
    </row>
    <row r="964" spans="4:20" ht="12" customHeight="1" outlineLevel="2">
      <c r="E964" s="247" t="str">
        <f>GC!C64</f>
        <v>Commercial and industrial meter replacement</v>
      </c>
      <c r="F964" s="247"/>
      <c r="G964" s="247"/>
      <c r="H964" s="247"/>
      <c r="I964" s="247"/>
      <c r="J964" s="81">
        <f ca="1">SUMPRODUCT((Work_Codes!$AC$409:$AO$409=$E964)*(Work_Codes!$AC$412:$AO$413)*(J$867:J$868))</f>
        <v>0</v>
      </c>
      <c r="K964" s="81">
        <f ca="1">SUMPRODUCT((Work_Codes!$AC$409:$AO$409=$E964)*(Work_Codes!$AC$412:$AO$413)*(K$867:K$868))</f>
        <v>0</v>
      </c>
      <c r="L964" s="81">
        <f ca="1">SUMPRODUCT((Work_Codes!$AC$409:$AO$409=$E964)*(Work_Codes!$AC$412:$AO$413)*(L$867:L$868))</f>
        <v>0</v>
      </c>
      <c r="M964" s="81">
        <f ca="1">SUMPRODUCT((Work_Codes!$AC$409:$AO$409=$E964)*(Work_Codes!$AC$412:$AO$413)*(M$867:M$868))</f>
        <v>0</v>
      </c>
      <c r="N964" s="81">
        <f ca="1">SUMPRODUCT((Work_Codes!$AC$409:$AO$409=$E964)*(Work_Codes!$AC$412:$AO$413)*(N$867:N$868))</f>
        <v>0</v>
      </c>
      <c r="O964" s="81">
        <f ca="1">SUMPRODUCT((Work_Codes!$AC$409:$AO$409=$E964)*(Work_Codes!$AC$412:$AO$413)*(O$867:O$868))</f>
        <v>0</v>
      </c>
      <c r="P964" s="81">
        <f ca="1">SUMPRODUCT((Work_Codes!$AC$409:$AO$409=$E964)*(Work_Codes!$AC$412:$AO$413)*(P$867:P$868))</f>
        <v>0</v>
      </c>
      <c r="Q964" s="81">
        <f ca="1">SUMPRODUCT((Work_Codes!$AC$409:$AO$409=$E964)*(Work_Codes!$AC$412:$AO$413)*(Q$867:Q$868))</f>
        <v>0</v>
      </c>
      <c r="R964" s="81">
        <f ca="1">SUMPRODUCT((Work_Codes!$AC$409:$AO$409=$E964)*(Work_Codes!$AC$412:$AO$413)*(R$867:R$868))</f>
        <v>0</v>
      </c>
      <c r="S964" s="81">
        <f ca="1">SUMPRODUCT((Work_Codes!$AC$409:$AO$409=$E964)*(Work_Codes!$AC$412:$AO$413)*(S$867:S$868))</f>
        <v>0</v>
      </c>
      <c r="T964" s="81">
        <f ca="1">SUMPRODUCT((Work_Codes!$AC$409:$AO$409=$E964)*(Work_Codes!$AC$412:$AO$413)*(T$867:T$868))</f>
        <v>0</v>
      </c>
    </row>
    <row r="965" spans="4:20" ht="12" customHeight="1" outlineLevel="2">
      <c r="E965" s="247" t="str">
        <f>GC!C65</f>
        <v>Augmentation</v>
      </c>
      <c r="F965" s="247"/>
      <c r="G965" s="247"/>
      <c r="H965" s="247"/>
      <c r="I965" s="247"/>
      <c r="J965" s="81">
        <f ca="1">SUMPRODUCT((Work_Codes!$AC$409:$AO$409=$E965)*(Work_Codes!$AC$412:$AO$413)*(J$867:J$868))</f>
        <v>0</v>
      </c>
      <c r="K965" s="81">
        <f ca="1">SUMPRODUCT((Work_Codes!$AC$409:$AO$409=$E965)*(Work_Codes!$AC$412:$AO$413)*(K$867:K$868))</f>
        <v>0</v>
      </c>
      <c r="L965" s="81">
        <f ca="1">SUMPRODUCT((Work_Codes!$AC$409:$AO$409=$E965)*(Work_Codes!$AC$412:$AO$413)*(L$867:L$868))</f>
        <v>0</v>
      </c>
      <c r="M965" s="81">
        <f ca="1">SUMPRODUCT((Work_Codes!$AC$409:$AO$409=$E965)*(Work_Codes!$AC$412:$AO$413)*(M$867:M$868))</f>
        <v>0</v>
      </c>
      <c r="N965" s="81">
        <f ca="1">SUMPRODUCT((Work_Codes!$AC$409:$AO$409=$E965)*(Work_Codes!$AC$412:$AO$413)*(N$867:N$868))</f>
        <v>0</v>
      </c>
      <c r="O965" s="81">
        <f ca="1">SUMPRODUCT((Work_Codes!$AC$409:$AO$409=$E965)*(Work_Codes!$AC$412:$AO$413)*(O$867:O$868))</f>
        <v>0</v>
      </c>
      <c r="P965" s="81">
        <f ca="1">SUMPRODUCT((Work_Codes!$AC$409:$AO$409=$E965)*(Work_Codes!$AC$412:$AO$413)*(P$867:P$868))</f>
        <v>0</v>
      </c>
      <c r="Q965" s="81">
        <f ca="1">SUMPRODUCT((Work_Codes!$AC$409:$AO$409=$E965)*(Work_Codes!$AC$412:$AO$413)*(Q$867:Q$868))</f>
        <v>0</v>
      </c>
      <c r="R965" s="81">
        <f ca="1">SUMPRODUCT((Work_Codes!$AC$409:$AO$409=$E965)*(Work_Codes!$AC$412:$AO$413)*(R$867:R$868))</f>
        <v>0</v>
      </c>
      <c r="S965" s="81">
        <f ca="1">SUMPRODUCT((Work_Codes!$AC$409:$AO$409=$E965)*(Work_Codes!$AC$412:$AO$413)*(S$867:S$868))</f>
        <v>0</v>
      </c>
      <c r="T965" s="81">
        <f ca="1">SUMPRODUCT((Work_Codes!$AC$409:$AO$409=$E965)*(Work_Codes!$AC$412:$AO$413)*(T$867:T$868))</f>
        <v>0</v>
      </c>
    </row>
    <row r="966" spans="4:20" ht="12" customHeight="1" outlineLevel="2">
      <c r="E966" s="247" t="str">
        <f>GC!C66</f>
        <v>IT capex</v>
      </c>
      <c r="F966" s="247"/>
      <c r="G966" s="247"/>
      <c r="H966" s="247"/>
      <c r="I966" s="247"/>
      <c r="J966" s="81">
        <f ca="1">SUMPRODUCT((Work_Codes!$AC$409:$AO$409=$E966)*(Work_Codes!$AC$412:$AO$413)*(J$867:J$868))</f>
        <v>0</v>
      </c>
      <c r="K966" s="81">
        <f ca="1">SUMPRODUCT((Work_Codes!$AC$409:$AO$409=$E966)*(Work_Codes!$AC$412:$AO$413)*(K$867:K$868))</f>
        <v>0</v>
      </c>
      <c r="L966" s="81">
        <f ca="1">SUMPRODUCT((Work_Codes!$AC$409:$AO$409=$E966)*(Work_Codes!$AC$412:$AO$413)*(L$867:L$868))</f>
        <v>0</v>
      </c>
      <c r="M966" s="81">
        <f ca="1">SUMPRODUCT((Work_Codes!$AC$409:$AO$409=$E966)*(Work_Codes!$AC$412:$AO$413)*(M$867:M$868))</f>
        <v>0</v>
      </c>
      <c r="N966" s="81">
        <f ca="1">SUMPRODUCT((Work_Codes!$AC$409:$AO$409=$E966)*(Work_Codes!$AC$412:$AO$413)*(N$867:N$868))</f>
        <v>0</v>
      </c>
      <c r="O966" s="81">
        <f ca="1">SUMPRODUCT((Work_Codes!$AC$409:$AO$409=$E966)*(Work_Codes!$AC$412:$AO$413)*(O$867:O$868))</f>
        <v>0</v>
      </c>
      <c r="P966" s="81">
        <f ca="1">SUMPRODUCT((Work_Codes!$AC$409:$AO$409=$E966)*(Work_Codes!$AC$412:$AO$413)*(P$867:P$868))</f>
        <v>0</v>
      </c>
      <c r="Q966" s="81">
        <f ca="1">SUMPRODUCT((Work_Codes!$AC$409:$AO$409=$E966)*(Work_Codes!$AC$412:$AO$413)*(Q$867:Q$868))</f>
        <v>0</v>
      </c>
      <c r="R966" s="81">
        <f ca="1">SUMPRODUCT((Work_Codes!$AC$409:$AO$409=$E966)*(Work_Codes!$AC$412:$AO$413)*(R$867:R$868))</f>
        <v>0</v>
      </c>
      <c r="S966" s="81">
        <f ca="1">SUMPRODUCT((Work_Codes!$AC$409:$AO$409=$E966)*(Work_Codes!$AC$412:$AO$413)*(S$867:S$868))</f>
        <v>0</v>
      </c>
      <c r="T966" s="81">
        <f ca="1">SUMPRODUCT((Work_Codes!$AC$409:$AO$409=$E966)*(Work_Codes!$AC$412:$AO$413)*(T$867:T$868))</f>
        <v>0</v>
      </c>
    </row>
    <row r="967" spans="4:20" ht="12" customHeight="1" outlineLevel="2">
      <c r="E967" s="247" t="str">
        <f>GC!C67</f>
        <v>SCADA</v>
      </c>
      <c r="F967" s="247"/>
      <c r="G967" s="247"/>
      <c r="H967" s="247"/>
      <c r="I967" s="247"/>
      <c r="J967" s="81">
        <f ca="1">SUMPRODUCT((Work_Codes!$AC$409:$AO$409=$E967)*(Work_Codes!$AC$412:$AO$413)*(J$867:J$868))</f>
        <v>0</v>
      </c>
      <c r="K967" s="81">
        <f ca="1">SUMPRODUCT((Work_Codes!$AC$409:$AO$409=$E967)*(Work_Codes!$AC$412:$AO$413)*(K$867:K$868))</f>
        <v>0</v>
      </c>
      <c r="L967" s="81">
        <f ca="1">SUMPRODUCT((Work_Codes!$AC$409:$AO$409=$E967)*(Work_Codes!$AC$412:$AO$413)*(L$867:L$868))</f>
        <v>0</v>
      </c>
      <c r="M967" s="81">
        <f ca="1">SUMPRODUCT((Work_Codes!$AC$409:$AO$409=$E967)*(Work_Codes!$AC$412:$AO$413)*(M$867:M$868))</f>
        <v>0</v>
      </c>
      <c r="N967" s="81">
        <f ca="1">SUMPRODUCT((Work_Codes!$AC$409:$AO$409=$E967)*(Work_Codes!$AC$412:$AO$413)*(N$867:N$868))</f>
        <v>0</v>
      </c>
      <c r="O967" s="81">
        <f ca="1">SUMPRODUCT((Work_Codes!$AC$409:$AO$409=$E967)*(Work_Codes!$AC$412:$AO$413)*(O$867:O$868))</f>
        <v>0</v>
      </c>
      <c r="P967" s="81">
        <f ca="1">SUMPRODUCT((Work_Codes!$AC$409:$AO$409=$E967)*(Work_Codes!$AC$412:$AO$413)*(P$867:P$868))</f>
        <v>0</v>
      </c>
      <c r="Q967" s="81">
        <f ca="1">SUMPRODUCT((Work_Codes!$AC$409:$AO$409=$E967)*(Work_Codes!$AC$412:$AO$413)*(Q$867:Q$868))</f>
        <v>0</v>
      </c>
      <c r="R967" s="81">
        <f ca="1">SUMPRODUCT((Work_Codes!$AC$409:$AO$409=$E967)*(Work_Codes!$AC$412:$AO$413)*(R$867:R$868))</f>
        <v>0</v>
      </c>
      <c r="S967" s="81">
        <f ca="1">SUMPRODUCT((Work_Codes!$AC$409:$AO$409=$E967)*(Work_Codes!$AC$412:$AO$413)*(S$867:S$868))</f>
        <v>0</v>
      </c>
      <c r="T967" s="81">
        <f ca="1">SUMPRODUCT((Work_Codes!$AC$409:$AO$409=$E967)*(Work_Codes!$AC$412:$AO$413)*(T$867:T$868))</f>
        <v>0</v>
      </c>
    </row>
    <row r="968" spans="4:20" ht="12" customHeight="1" outlineLevel="2">
      <c r="E968" s="247" t="str">
        <f>GC!C68</f>
        <v>Other</v>
      </c>
      <c r="F968" s="247"/>
      <c r="G968" s="247"/>
      <c r="H968" s="247"/>
      <c r="I968" s="247"/>
      <c r="J968" s="81">
        <f ca="1">SUMPRODUCT((Work_Codes!$AC$409:$AO$409=$E968)*(Work_Codes!$AC$412:$AO$413)*(J$867:J$868))</f>
        <v>0</v>
      </c>
      <c r="K968" s="81">
        <f ca="1">SUMPRODUCT((Work_Codes!$AC$409:$AO$409=$E968)*(Work_Codes!$AC$412:$AO$413)*(K$867:K$868))</f>
        <v>0</v>
      </c>
      <c r="L968" s="81">
        <f ca="1">SUMPRODUCT((Work_Codes!$AC$409:$AO$409=$E968)*(Work_Codes!$AC$412:$AO$413)*(L$867:L$868))</f>
        <v>0</v>
      </c>
      <c r="M968" s="81">
        <f ca="1">SUMPRODUCT((Work_Codes!$AC$409:$AO$409=$E968)*(Work_Codes!$AC$412:$AO$413)*(M$867:M$868))</f>
        <v>0</v>
      </c>
      <c r="N968" s="81">
        <f ca="1">SUMPRODUCT((Work_Codes!$AC$409:$AO$409=$E968)*(Work_Codes!$AC$412:$AO$413)*(N$867:N$868))</f>
        <v>953684.54962736601</v>
      </c>
      <c r="O968" s="81">
        <f ca="1">SUMPRODUCT((Work_Codes!$AC$409:$AO$409=$E968)*(Work_Codes!$AC$412:$AO$413)*(O$867:O$868))</f>
        <v>1571364.3686742503</v>
      </c>
      <c r="P968" s="81">
        <f ca="1">SUMPRODUCT((Work_Codes!$AC$409:$AO$409=$E968)*(Work_Codes!$AC$412:$AO$413)*(P$867:P$868))</f>
        <v>2965492.0534040378</v>
      </c>
      <c r="Q968" s="81">
        <f ca="1">SUMPRODUCT((Work_Codes!$AC$409:$AO$409=$E968)*(Work_Codes!$AC$412:$AO$413)*(Q$867:Q$868))</f>
        <v>3029964.5137608186</v>
      </c>
      <c r="R968" s="81">
        <f ca="1">SUMPRODUCT((Work_Codes!$AC$409:$AO$409=$E968)*(Work_Codes!$AC$412:$AO$413)*(R$867:R$868))</f>
        <v>3093598.5792881539</v>
      </c>
      <c r="S968" s="81">
        <f ca="1">SUMPRODUCT((Work_Codes!$AC$409:$AO$409=$E968)*(Work_Codes!$AC$412:$AO$413)*(S$867:S$868))</f>
        <v>3043078.4650417231</v>
      </c>
      <c r="T968" s="81">
        <f ca="1">SUMPRODUCT((Work_Codes!$AC$409:$AO$409=$E968)*(Work_Codes!$AC$412:$AO$413)*(T$867:T$868))</f>
        <v>2990529.4027697779</v>
      </c>
    </row>
    <row r="969" spans="4:20" outlineLevel="2">
      <c r="E969" s="247" t="str">
        <f>GC!C69</f>
        <v>Capitalised Leases</v>
      </c>
      <c r="F969" s="247"/>
      <c r="G969" s="247"/>
      <c r="H969" s="247"/>
      <c r="I969" s="247"/>
      <c r="J969" s="81">
        <f ca="1">SUMPRODUCT((Work_Codes!$AC$409:$AO$409=$E969)*(Work_Codes!$AC$412:$AO$413)*(J$867:J$868))</f>
        <v>0</v>
      </c>
      <c r="K969" s="81">
        <f ca="1">SUMPRODUCT((Work_Codes!$AC$409:$AO$409=$E969)*(Work_Codes!$AC$412:$AO$413)*(K$867:K$868))</f>
        <v>0</v>
      </c>
      <c r="L969" s="81">
        <f ca="1">SUMPRODUCT((Work_Codes!$AC$409:$AO$409=$E969)*(Work_Codes!$AC$412:$AO$413)*(L$867:L$868))</f>
        <v>0</v>
      </c>
      <c r="M969" s="81">
        <f ca="1">SUMPRODUCT((Work_Codes!$AC$409:$AO$409=$E969)*(Work_Codes!$AC$412:$AO$413)*(M$867:M$868))</f>
        <v>0</v>
      </c>
      <c r="N969" s="81">
        <f ca="1">SUMPRODUCT((Work_Codes!$AC$409:$AO$409=$E969)*(Work_Codes!$AC$412:$AO$413)*(N$867:N$868))</f>
        <v>0</v>
      </c>
      <c r="O969" s="81">
        <f ca="1">SUMPRODUCT((Work_Codes!$AC$409:$AO$409=$E969)*(Work_Codes!$AC$412:$AO$413)*(O$867:O$868))</f>
        <v>0</v>
      </c>
      <c r="P969" s="81">
        <f ca="1">SUMPRODUCT((Work_Codes!$AC$409:$AO$409=$E969)*(Work_Codes!$AC$412:$AO$413)*(P$867:P$868))</f>
        <v>0</v>
      </c>
      <c r="Q969" s="81">
        <f ca="1">SUMPRODUCT((Work_Codes!$AC$409:$AO$409=$E969)*(Work_Codes!$AC$412:$AO$413)*(Q$867:Q$868))</f>
        <v>0</v>
      </c>
      <c r="R969" s="81">
        <f ca="1">SUMPRODUCT((Work_Codes!$AC$409:$AO$409=$E969)*(Work_Codes!$AC$412:$AO$413)*(R$867:R$868))</f>
        <v>0</v>
      </c>
      <c r="S969" s="81">
        <f ca="1">SUMPRODUCT((Work_Codes!$AC$409:$AO$409=$E969)*(Work_Codes!$AC$412:$AO$413)*(S$867:S$868))</f>
        <v>0</v>
      </c>
      <c r="T969" s="81">
        <f ca="1">SUMPRODUCT((Work_Codes!$AC$409:$AO$409=$E969)*(Work_Codes!$AC$412:$AO$413)*(T$867:T$868))</f>
        <v>0</v>
      </c>
    </row>
    <row r="970" spans="4:20" ht="12" customHeight="1" outlineLevel="2">
      <c r="E970" s="247" t="str">
        <f>GC!C70</f>
        <v>Gas Extensions - Energy for the Regions</v>
      </c>
      <c r="F970" s="247"/>
      <c r="G970" s="247"/>
      <c r="H970" s="247"/>
      <c r="I970" s="247"/>
      <c r="J970" s="81">
        <f ca="1">SUMPRODUCT((Work_Codes!$AC$409:$AO$409=$E970)*(Work_Codes!$AC$412:$AO$413)*(J$867:J$868))</f>
        <v>0</v>
      </c>
      <c r="K970" s="81">
        <f ca="1">SUMPRODUCT((Work_Codes!$AC$409:$AO$409=$E970)*(Work_Codes!$AC$412:$AO$413)*(K$867:K$868))</f>
        <v>0</v>
      </c>
      <c r="L970" s="81">
        <f ca="1">SUMPRODUCT((Work_Codes!$AC$409:$AO$409=$E970)*(Work_Codes!$AC$412:$AO$413)*(L$867:L$868))</f>
        <v>0</v>
      </c>
      <c r="M970" s="81">
        <f ca="1">SUMPRODUCT((Work_Codes!$AC$409:$AO$409=$E970)*(Work_Codes!$AC$412:$AO$413)*(M$867:M$868))</f>
        <v>0</v>
      </c>
      <c r="N970" s="81">
        <f ca="1">SUMPRODUCT((Work_Codes!$AC$409:$AO$409=$E970)*(Work_Codes!$AC$412:$AO$413)*(N$867:N$868))</f>
        <v>0</v>
      </c>
      <c r="O970" s="81">
        <f ca="1">SUMPRODUCT((Work_Codes!$AC$409:$AO$409=$E970)*(Work_Codes!$AC$412:$AO$413)*(O$867:O$868))</f>
        <v>0</v>
      </c>
      <c r="P970" s="81">
        <f ca="1">SUMPRODUCT((Work_Codes!$AC$409:$AO$409=$E970)*(Work_Codes!$AC$412:$AO$413)*(P$867:P$868))</f>
        <v>0</v>
      </c>
      <c r="Q970" s="81">
        <f ca="1">SUMPRODUCT((Work_Codes!$AC$409:$AO$409=$E970)*(Work_Codes!$AC$412:$AO$413)*(Q$867:Q$868))</f>
        <v>0</v>
      </c>
      <c r="R970" s="81">
        <f ca="1">SUMPRODUCT((Work_Codes!$AC$409:$AO$409=$E970)*(Work_Codes!$AC$412:$AO$413)*(R$867:R$868))</f>
        <v>0</v>
      </c>
      <c r="S970" s="81">
        <f ca="1">SUMPRODUCT((Work_Codes!$AC$409:$AO$409=$E970)*(Work_Codes!$AC$412:$AO$413)*(S$867:S$868))</f>
        <v>0</v>
      </c>
      <c r="T970" s="81">
        <f ca="1">SUMPRODUCT((Work_Codes!$AC$409:$AO$409=$E970)*(Work_Codes!$AC$412:$AO$413)*(T$867:T$868))</f>
        <v>0</v>
      </c>
    </row>
    <row r="971" spans="4:20" ht="12" customHeight="1" outlineLevel="2">
      <c r="E971" s="247" t="str">
        <f>GC!C71</f>
        <v>Gas Extensions - Other</v>
      </c>
      <c r="F971" s="247"/>
      <c r="G971" s="247"/>
      <c r="H971" s="247"/>
      <c r="I971" s="247"/>
      <c r="J971" s="81">
        <f ca="1">SUMPRODUCT((Work_Codes!$AC$409:$AO$409=$E971)*(Work_Codes!$AC$412:$AO$413)*(J$867:J$868))</f>
        <v>0</v>
      </c>
      <c r="K971" s="81">
        <f ca="1">SUMPRODUCT((Work_Codes!$AC$409:$AO$409=$E971)*(Work_Codes!$AC$412:$AO$413)*(K$867:K$868))</f>
        <v>0</v>
      </c>
      <c r="L971" s="81">
        <f ca="1">SUMPRODUCT((Work_Codes!$AC$409:$AO$409=$E971)*(Work_Codes!$AC$412:$AO$413)*(L$867:L$868))</f>
        <v>0</v>
      </c>
      <c r="M971" s="81">
        <f ca="1">SUMPRODUCT((Work_Codes!$AC$409:$AO$409=$E971)*(Work_Codes!$AC$412:$AO$413)*(M$867:M$868))</f>
        <v>0</v>
      </c>
      <c r="N971" s="81">
        <f ca="1">SUMPRODUCT((Work_Codes!$AC$409:$AO$409=$E971)*(Work_Codes!$AC$412:$AO$413)*(N$867:N$868))</f>
        <v>0</v>
      </c>
      <c r="O971" s="81">
        <f ca="1">SUMPRODUCT((Work_Codes!$AC$409:$AO$409=$E971)*(Work_Codes!$AC$412:$AO$413)*(O$867:O$868))</f>
        <v>0</v>
      </c>
      <c r="P971" s="81">
        <f ca="1">SUMPRODUCT((Work_Codes!$AC$409:$AO$409=$E971)*(Work_Codes!$AC$412:$AO$413)*(P$867:P$868))</f>
        <v>0</v>
      </c>
      <c r="Q971" s="81">
        <f ca="1">SUMPRODUCT((Work_Codes!$AC$409:$AO$409=$E971)*(Work_Codes!$AC$412:$AO$413)*(Q$867:Q$868))</f>
        <v>0</v>
      </c>
      <c r="R971" s="81">
        <f ca="1">SUMPRODUCT((Work_Codes!$AC$409:$AO$409=$E971)*(Work_Codes!$AC$412:$AO$413)*(R$867:R$868))</f>
        <v>0</v>
      </c>
      <c r="S971" s="81">
        <f ca="1">SUMPRODUCT((Work_Codes!$AC$409:$AO$409=$E971)*(Work_Codes!$AC$412:$AO$413)*(S$867:S$868))</f>
        <v>0</v>
      </c>
      <c r="T971" s="81">
        <f ca="1">SUMPRODUCT((Work_Codes!$AC$409:$AO$409=$E971)*(Work_Codes!$AC$412:$AO$413)*(T$867:T$868))</f>
        <v>0</v>
      </c>
    </row>
    <row r="972" spans="4:20" ht="12" customHeight="1" outlineLevel="2">
      <c r="E972" s="247" t="str">
        <f>GC!C72</f>
        <v>Customer contributions</v>
      </c>
      <c r="F972" s="247"/>
      <c r="G972" s="247"/>
      <c r="H972" s="247"/>
      <c r="I972" s="247"/>
      <c r="J972" s="81">
        <f ca="1">SUMPRODUCT((Work_Codes!$AC$409:$AO$409=$E972)*(Work_Codes!$AC$412:$AO$413)*(J$867:J$868))</f>
        <v>0</v>
      </c>
      <c r="K972" s="81">
        <f ca="1">SUMPRODUCT((Work_Codes!$AC$409:$AO$409=$E972)*(Work_Codes!$AC$412:$AO$413)*(K$867:K$868))</f>
        <v>0</v>
      </c>
      <c r="L972" s="81">
        <f ca="1">SUMPRODUCT((Work_Codes!$AC$409:$AO$409=$E972)*(Work_Codes!$AC$412:$AO$413)*(L$867:L$868))</f>
        <v>0</v>
      </c>
      <c r="M972" s="81">
        <f ca="1">SUMPRODUCT((Work_Codes!$AC$409:$AO$409=$E972)*(Work_Codes!$AC$412:$AO$413)*(M$867:M$868))</f>
        <v>0</v>
      </c>
      <c r="N972" s="81">
        <f ca="1">SUMPRODUCT((Work_Codes!$AC$409:$AO$409=$E972)*(Work_Codes!$AC$412:$AO$413)*(N$867:N$868))</f>
        <v>0</v>
      </c>
      <c r="O972" s="81">
        <f ca="1">SUMPRODUCT((Work_Codes!$AC$409:$AO$409=$E972)*(Work_Codes!$AC$412:$AO$413)*(O$867:O$868))</f>
        <v>0</v>
      </c>
      <c r="P972" s="81">
        <f ca="1">SUMPRODUCT((Work_Codes!$AC$409:$AO$409=$E972)*(Work_Codes!$AC$412:$AO$413)*(P$867:P$868))</f>
        <v>0</v>
      </c>
      <c r="Q972" s="81">
        <f ca="1">SUMPRODUCT((Work_Codes!$AC$409:$AO$409=$E972)*(Work_Codes!$AC$412:$AO$413)*(Q$867:Q$868))</f>
        <v>0</v>
      </c>
      <c r="R972" s="81">
        <f ca="1">SUMPRODUCT((Work_Codes!$AC$409:$AO$409=$E972)*(Work_Codes!$AC$412:$AO$413)*(R$867:R$868))</f>
        <v>0</v>
      </c>
      <c r="S972" s="81">
        <f ca="1">SUMPRODUCT((Work_Codes!$AC$409:$AO$409=$E972)*(Work_Codes!$AC$412:$AO$413)*(S$867:S$868))</f>
        <v>0</v>
      </c>
      <c r="T972" s="81">
        <f ca="1">SUMPRODUCT((Work_Codes!$AC$409:$AO$409=$E972)*(Work_Codes!$AC$412:$AO$413)*(T$867:T$868))</f>
        <v>0</v>
      </c>
    </row>
    <row r="973" spans="4:20" ht="12" customHeight="1" outlineLevel="2">
      <c r="E973" s="247" t="str">
        <f>GC!C73</f>
        <v>Government contributions</v>
      </c>
      <c r="F973" s="247"/>
      <c r="G973" s="247"/>
      <c r="H973" s="247"/>
      <c r="I973" s="247"/>
      <c r="J973" s="81">
        <f ca="1">SUMPRODUCT((Work_Codes!$AC$409:$AO$409=$E973)*(Work_Codes!$AC$412:$AO$413)*(J$867:J$868))</f>
        <v>0</v>
      </c>
      <c r="K973" s="81">
        <f ca="1">SUMPRODUCT((Work_Codes!$AC$409:$AO$409=$E973)*(Work_Codes!$AC$412:$AO$413)*(K$867:K$868))</f>
        <v>0</v>
      </c>
      <c r="L973" s="81">
        <f ca="1">SUMPRODUCT((Work_Codes!$AC$409:$AO$409=$E973)*(Work_Codes!$AC$412:$AO$413)*(L$867:L$868))</f>
        <v>0</v>
      </c>
      <c r="M973" s="81">
        <f ca="1">SUMPRODUCT((Work_Codes!$AC$409:$AO$409=$E973)*(Work_Codes!$AC$412:$AO$413)*(M$867:M$868))</f>
        <v>0</v>
      </c>
      <c r="N973" s="81">
        <f ca="1">SUMPRODUCT((Work_Codes!$AC$409:$AO$409=$E973)*(Work_Codes!$AC$412:$AO$413)*(N$867:N$868))</f>
        <v>0</v>
      </c>
      <c r="O973" s="81">
        <f ca="1">SUMPRODUCT((Work_Codes!$AC$409:$AO$409=$E973)*(Work_Codes!$AC$412:$AO$413)*(O$867:O$868))</f>
        <v>0</v>
      </c>
      <c r="P973" s="81">
        <f ca="1">SUMPRODUCT((Work_Codes!$AC$409:$AO$409=$E973)*(Work_Codes!$AC$412:$AO$413)*(P$867:P$868))</f>
        <v>0</v>
      </c>
      <c r="Q973" s="81">
        <f ca="1">SUMPRODUCT((Work_Codes!$AC$409:$AO$409=$E973)*(Work_Codes!$AC$412:$AO$413)*(Q$867:Q$868))</f>
        <v>0</v>
      </c>
      <c r="R973" s="81">
        <f ca="1">SUMPRODUCT((Work_Codes!$AC$409:$AO$409=$E973)*(Work_Codes!$AC$412:$AO$413)*(R$867:R$868))</f>
        <v>0</v>
      </c>
      <c r="S973" s="81">
        <f ca="1">SUMPRODUCT((Work_Codes!$AC$409:$AO$409=$E973)*(Work_Codes!$AC$412:$AO$413)*(S$867:S$868))</f>
        <v>0</v>
      </c>
      <c r="T973" s="81">
        <f ca="1">SUMPRODUCT((Work_Codes!$AC$409:$AO$409=$E973)*(Work_Codes!$AC$412:$AO$413)*(T$867:T$868))</f>
        <v>0</v>
      </c>
    </row>
    <row r="974" spans="4:20" ht="12" customHeight="1" outlineLevel="2">
      <c r="E974" s="249" t="str">
        <f>"Total "&amp;D958</f>
        <v>Total Direct Costs</v>
      </c>
      <c r="F974" s="249"/>
      <c r="G974" s="249"/>
      <c r="H974" s="249"/>
      <c r="I974" s="249"/>
      <c r="J974" s="82">
        <f t="shared" ref="J974:T974" ca="1" si="92">SUM(J960:J973)</f>
        <v>0</v>
      </c>
      <c r="K974" s="82">
        <f t="shared" ca="1" si="92"/>
        <v>0</v>
      </c>
      <c r="L974" s="82">
        <f t="shared" ca="1" si="92"/>
        <v>0</v>
      </c>
      <c r="M974" s="82">
        <f t="shared" ca="1" si="92"/>
        <v>0</v>
      </c>
      <c r="N974" s="82">
        <f t="shared" ca="1" si="92"/>
        <v>953684.54962736601</v>
      </c>
      <c r="O974" s="82">
        <f t="shared" ca="1" si="92"/>
        <v>1571364.3686742503</v>
      </c>
      <c r="P974" s="82">
        <f t="shared" ca="1" si="92"/>
        <v>2965492.0534040378</v>
      </c>
      <c r="Q974" s="82">
        <f t="shared" ca="1" si="92"/>
        <v>3029964.5137608186</v>
      </c>
      <c r="R974" s="82">
        <f t="shared" ca="1" si="92"/>
        <v>3093598.5792881539</v>
      </c>
      <c r="S974" s="82">
        <f t="shared" ca="1" si="92"/>
        <v>3043078.4650417231</v>
      </c>
      <c r="T974" s="82">
        <f t="shared" ca="1" si="92"/>
        <v>2990529.4027697779</v>
      </c>
    </row>
    <row r="975" spans="4:20" outlineLevel="2"/>
    <row r="976" spans="4:20" outlineLevel="2">
      <c r="D976" s="37" t="s">
        <v>216</v>
      </c>
    </row>
    <row r="977" spans="5:20" ht="5.9" customHeight="1" outlineLevel="2"/>
    <row r="978" spans="5:20" ht="12" customHeight="1" outlineLevel="2">
      <c r="E978" s="247" t="str">
        <f>GC!C60</f>
        <v>Mains replacement</v>
      </c>
      <c r="F978" s="247"/>
      <c r="G978" s="247"/>
      <c r="H978" s="247"/>
      <c r="I978" s="247"/>
      <c r="J978" s="81">
        <f ca="1">J960*(1+INDEX(J$806:J$808,MATCH(Work_Codes!$I$406,$D$806:$D$808,0)))</f>
        <v>0</v>
      </c>
      <c r="K978" s="81">
        <f ca="1">K960*(1+INDEX(K$806:K$808,MATCH(Work_Codes!$I$406,$D$806:$D$808,0)))</f>
        <v>0</v>
      </c>
      <c r="L978" s="81">
        <f ca="1">L960*(1+INDEX(L$806:L$808,MATCH(Work_Codes!$I$406,$D$806:$D$808,0)))</f>
        <v>0</v>
      </c>
      <c r="M978" s="81">
        <f ca="1">M960*(1+INDEX(M$806:M$808,MATCH(Work_Codes!$I$406,$D$806:$D$808,0)))</f>
        <v>0</v>
      </c>
      <c r="N978" s="81">
        <f ca="1">N960*(1+INDEX(N$806:N$808,MATCH(Work_Codes!$I$406,$D$806:$D$808,0)))</f>
        <v>0</v>
      </c>
      <c r="O978" s="81">
        <f ca="1">O960*(1+INDEX(O$806:O$808,MATCH(Work_Codes!$I$406,$D$806:$D$808,0)))</f>
        <v>0</v>
      </c>
      <c r="P978" s="81">
        <f ca="1">P960*(1+INDEX(P$806:P$808,MATCH(Work_Codes!$I$406,$D$806:$D$808,0)))</f>
        <v>0</v>
      </c>
      <c r="Q978" s="81">
        <f ca="1">Q960*(1+INDEX(Q$806:Q$808,MATCH(Work_Codes!$I$406,$D$806:$D$808,0)))</f>
        <v>0</v>
      </c>
      <c r="R978" s="81">
        <f ca="1">R960*(1+INDEX(R$806:R$808,MATCH(Work_Codes!$I$406,$D$806:$D$808,0)))</f>
        <v>0</v>
      </c>
      <c r="S978" s="81">
        <f ca="1">S960*(1+INDEX(S$806:S$808,MATCH(Work_Codes!$I$406,$D$806:$D$808,0)))</f>
        <v>0</v>
      </c>
      <c r="T978" s="81">
        <f ca="1">T960*(1+INDEX(T$806:T$808,MATCH(Work_Codes!$I$406,$D$806:$D$808,0)))</f>
        <v>0</v>
      </c>
    </row>
    <row r="979" spans="5:20" ht="12" customHeight="1" outlineLevel="2">
      <c r="E979" s="247" t="str">
        <f>GC!C61</f>
        <v>Residential new customer connections</v>
      </c>
      <c r="F979" s="247"/>
      <c r="G979" s="247"/>
      <c r="H979" s="247"/>
      <c r="I979" s="247"/>
      <c r="J979" s="81">
        <f ca="1">J961*(1+INDEX(J$806:J$808,MATCH(Work_Codes!$I$406,$D$806:$D$808,0)))</f>
        <v>0</v>
      </c>
      <c r="K979" s="81">
        <f ca="1">K961*(1+INDEX(K$806:K$808,MATCH(Work_Codes!$I$406,$D$806:$D$808,0)))</f>
        <v>0</v>
      </c>
      <c r="L979" s="81">
        <f ca="1">L961*(1+INDEX(L$806:L$808,MATCH(Work_Codes!$I$406,$D$806:$D$808,0)))</f>
        <v>0</v>
      </c>
      <c r="M979" s="81">
        <f ca="1">M961*(1+INDEX(M$806:M$808,MATCH(Work_Codes!$I$406,$D$806:$D$808,0)))</f>
        <v>0</v>
      </c>
      <c r="N979" s="81">
        <f ca="1">N961*(1+INDEX(N$806:N$808,MATCH(Work_Codes!$I$406,$D$806:$D$808,0)))</f>
        <v>0</v>
      </c>
      <c r="O979" s="81">
        <f ca="1">O961*(1+INDEX(O$806:O$808,MATCH(Work_Codes!$I$406,$D$806:$D$808,0)))</f>
        <v>0</v>
      </c>
      <c r="P979" s="81">
        <f ca="1">P961*(1+INDEX(P$806:P$808,MATCH(Work_Codes!$I$406,$D$806:$D$808,0)))</f>
        <v>0</v>
      </c>
      <c r="Q979" s="81">
        <f ca="1">Q961*(1+INDEX(Q$806:Q$808,MATCH(Work_Codes!$I$406,$D$806:$D$808,0)))</f>
        <v>0</v>
      </c>
      <c r="R979" s="81">
        <f ca="1">R961*(1+INDEX(R$806:R$808,MATCH(Work_Codes!$I$406,$D$806:$D$808,0)))</f>
        <v>0</v>
      </c>
      <c r="S979" s="81">
        <f ca="1">S961*(1+INDEX(S$806:S$808,MATCH(Work_Codes!$I$406,$D$806:$D$808,0)))</f>
        <v>0</v>
      </c>
      <c r="T979" s="81">
        <f ca="1">T961*(1+INDEX(T$806:T$808,MATCH(Work_Codes!$I$406,$D$806:$D$808,0)))</f>
        <v>0</v>
      </c>
    </row>
    <row r="980" spans="5:20" ht="12" customHeight="1" outlineLevel="2">
      <c r="E980" s="247" t="str">
        <f>GC!C62</f>
        <v>Commercial and industrial new customer connections</v>
      </c>
      <c r="F980" s="247"/>
      <c r="G980" s="247"/>
      <c r="H980" s="247"/>
      <c r="I980" s="247"/>
      <c r="J980" s="81">
        <f ca="1">J962*(1+INDEX(J$806:J$808,MATCH(Work_Codes!$I$406,$D$806:$D$808,0)))</f>
        <v>0</v>
      </c>
      <c r="K980" s="81">
        <f ca="1">K962*(1+INDEX(K$806:K$808,MATCH(Work_Codes!$I$406,$D$806:$D$808,0)))</f>
        <v>0</v>
      </c>
      <c r="L980" s="81">
        <f ca="1">L962*(1+INDEX(L$806:L$808,MATCH(Work_Codes!$I$406,$D$806:$D$808,0)))</f>
        <v>0</v>
      </c>
      <c r="M980" s="81">
        <f ca="1">M962*(1+INDEX(M$806:M$808,MATCH(Work_Codes!$I$406,$D$806:$D$808,0)))</f>
        <v>0</v>
      </c>
      <c r="N980" s="81">
        <f ca="1">N962*(1+INDEX(N$806:N$808,MATCH(Work_Codes!$I$406,$D$806:$D$808,0)))</f>
        <v>0</v>
      </c>
      <c r="O980" s="81">
        <f ca="1">O962*(1+INDEX(O$806:O$808,MATCH(Work_Codes!$I$406,$D$806:$D$808,0)))</f>
        <v>0</v>
      </c>
      <c r="P980" s="81">
        <f ca="1">P962*(1+INDEX(P$806:P$808,MATCH(Work_Codes!$I$406,$D$806:$D$808,0)))</f>
        <v>0</v>
      </c>
      <c r="Q980" s="81">
        <f ca="1">Q962*(1+INDEX(Q$806:Q$808,MATCH(Work_Codes!$I$406,$D$806:$D$808,0)))</f>
        <v>0</v>
      </c>
      <c r="R980" s="81">
        <f ca="1">R962*(1+INDEX(R$806:R$808,MATCH(Work_Codes!$I$406,$D$806:$D$808,0)))</f>
        <v>0</v>
      </c>
      <c r="S980" s="81">
        <f ca="1">S962*(1+INDEX(S$806:S$808,MATCH(Work_Codes!$I$406,$D$806:$D$808,0)))</f>
        <v>0</v>
      </c>
      <c r="T980" s="81">
        <f ca="1">T962*(1+INDEX(T$806:T$808,MATCH(Work_Codes!$I$406,$D$806:$D$808,0)))</f>
        <v>0</v>
      </c>
    </row>
    <row r="981" spans="5:20" ht="12" customHeight="1" outlineLevel="2">
      <c r="E981" s="247" t="str">
        <f>GC!C63</f>
        <v>Residential meter replacement</v>
      </c>
      <c r="F981" s="247"/>
      <c r="G981" s="247"/>
      <c r="H981" s="247"/>
      <c r="I981" s="247"/>
      <c r="J981" s="81">
        <f ca="1">J963*(1+INDEX(J$806:J$808,MATCH(Work_Codes!$I$406,$D$806:$D$808,0)))</f>
        <v>0</v>
      </c>
      <c r="K981" s="81">
        <f ca="1">K963*(1+INDEX(K$806:K$808,MATCH(Work_Codes!$I$406,$D$806:$D$808,0)))</f>
        <v>0</v>
      </c>
      <c r="L981" s="81">
        <f ca="1">L963*(1+INDEX(L$806:L$808,MATCH(Work_Codes!$I$406,$D$806:$D$808,0)))</f>
        <v>0</v>
      </c>
      <c r="M981" s="81">
        <f ca="1">M963*(1+INDEX(M$806:M$808,MATCH(Work_Codes!$I$406,$D$806:$D$808,0)))</f>
        <v>0</v>
      </c>
      <c r="N981" s="81">
        <f ca="1">N963*(1+INDEX(N$806:N$808,MATCH(Work_Codes!$I$406,$D$806:$D$808,0)))</f>
        <v>0</v>
      </c>
      <c r="O981" s="81">
        <f ca="1">O963*(1+INDEX(O$806:O$808,MATCH(Work_Codes!$I$406,$D$806:$D$808,0)))</f>
        <v>0</v>
      </c>
      <c r="P981" s="81">
        <f ca="1">P963*(1+INDEX(P$806:P$808,MATCH(Work_Codes!$I$406,$D$806:$D$808,0)))</f>
        <v>0</v>
      </c>
      <c r="Q981" s="81">
        <f ca="1">Q963*(1+INDEX(Q$806:Q$808,MATCH(Work_Codes!$I$406,$D$806:$D$808,0)))</f>
        <v>0</v>
      </c>
      <c r="R981" s="81">
        <f ca="1">R963*(1+INDEX(R$806:R$808,MATCH(Work_Codes!$I$406,$D$806:$D$808,0)))</f>
        <v>0</v>
      </c>
      <c r="S981" s="81">
        <f ca="1">S963*(1+INDEX(S$806:S$808,MATCH(Work_Codes!$I$406,$D$806:$D$808,0)))</f>
        <v>0</v>
      </c>
      <c r="T981" s="81">
        <f ca="1">T963*(1+INDEX(T$806:T$808,MATCH(Work_Codes!$I$406,$D$806:$D$808,0)))</f>
        <v>0</v>
      </c>
    </row>
    <row r="982" spans="5:20" ht="12" customHeight="1" outlineLevel="2">
      <c r="E982" s="247" t="str">
        <f>GC!C64</f>
        <v>Commercial and industrial meter replacement</v>
      </c>
      <c r="F982" s="247"/>
      <c r="G982" s="247"/>
      <c r="H982" s="247"/>
      <c r="I982" s="247"/>
      <c r="J982" s="81">
        <f ca="1">J964*(1+INDEX(J$806:J$808,MATCH(Work_Codes!$I$406,$D$806:$D$808,0)))</f>
        <v>0</v>
      </c>
      <c r="K982" s="81">
        <f ca="1">K964*(1+INDEX(K$806:K$808,MATCH(Work_Codes!$I$406,$D$806:$D$808,0)))</f>
        <v>0</v>
      </c>
      <c r="L982" s="81">
        <f ca="1">L964*(1+INDEX(L$806:L$808,MATCH(Work_Codes!$I$406,$D$806:$D$808,0)))</f>
        <v>0</v>
      </c>
      <c r="M982" s="81">
        <f ca="1">M964*(1+INDEX(M$806:M$808,MATCH(Work_Codes!$I$406,$D$806:$D$808,0)))</f>
        <v>0</v>
      </c>
      <c r="N982" s="81">
        <f ca="1">N964*(1+INDEX(N$806:N$808,MATCH(Work_Codes!$I$406,$D$806:$D$808,0)))</f>
        <v>0</v>
      </c>
      <c r="O982" s="81">
        <f ca="1">O964*(1+INDEX(O$806:O$808,MATCH(Work_Codes!$I$406,$D$806:$D$808,0)))</f>
        <v>0</v>
      </c>
      <c r="P982" s="81">
        <f ca="1">P964*(1+INDEX(P$806:P$808,MATCH(Work_Codes!$I$406,$D$806:$D$808,0)))</f>
        <v>0</v>
      </c>
      <c r="Q982" s="81">
        <f ca="1">Q964*(1+INDEX(Q$806:Q$808,MATCH(Work_Codes!$I$406,$D$806:$D$808,0)))</f>
        <v>0</v>
      </c>
      <c r="R982" s="81">
        <f ca="1">R964*(1+INDEX(R$806:R$808,MATCH(Work_Codes!$I$406,$D$806:$D$808,0)))</f>
        <v>0</v>
      </c>
      <c r="S982" s="81">
        <f ca="1">S964*(1+INDEX(S$806:S$808,MATCH(Work_Codes!$I$406,$D$806:$D$808,0)))</f>
        <v>0</v>
      </c>
      <c r="T982" s="81">
        <f ca="1">T964*(1+INDEX(T$806:T$808,MATCH(Work_Codes!$I$406,$D$806:$D$808,0)))</f>
        <v>0</v>
      </c>
    </row>
    <row r="983" spans="5:20" ht="12" customHeight="1" outlineLevel="2">
      <c r="E983" s="247" t="str">
        <f>GC!C65</f>
        <v>Augmentation</v>
      </c>
      <c r="F983" s="247"/>
      <c r="G983" s="247"/>
      <c r="H983" s="247"/>
      <c r="I983" s="247"/>
      <c r="J983" s="81">
        <f ca="1">J965*(1+INDEX(J$806:J$808,MATCH(Work_Codes!$I$406,$D$806:$D$808,0)))</f>
        <v>0</v>
      </c>
      <c r="K983" s="81">
        <f ca="1">K965*(1+INDEX(K$806:K$808,MATCH(Work_Codes!$I$406,$D$806:$D$808,0)))</f>
        <v>0</v>
      </c>
      <c r="L983" s="81">
        <f ca="1">L965*(1+INDEX(L$806:L$808,MATCH(Work_Codes!$I$406,$D$806:$D$808,0)))</f>
        <v>0</v>
      </c>
      <c r="M983" s="81">
        <f ca="1">M965*(1+INDEX(M$806:M$808,MATCH(Work_Codes!$I$406,$D$806:$D$808,0)))</f>
        <v>0</v>
      </c>
      <c r="N983" s="81">
        <f ca="1">N965*(1+INDEX(N$806:N$808,MATCH(Work_Codes!$I$406,$D$806:$D$808,0)))</f>
        <v>0</v>
      </c>
      <c r="O983" s="81">
        <f ca="1">O965*(1+INDEX(O$806:O$808,MATCH(Work_Codes!$I$406,$D$806:$D$808,0)))</f>
        <v>0</v>
      </c>
      <c r="P983" s="81">
        <f ca="1">P965*(1+INDEX(P$806:P$808,MATCH(Work_Codes!$I$406,$D$806:$D$808,0)))</f>
        <v>0</v>
      </c>
      <c r="Q983" s="81">
        <f ca="1">Q965*(1+INDEX(Q$806:Q$808,MATCH(Work_Codes!$I$406,$D$806:$D$808,0)))</f>
        <v>0</v>
      </c>
      <c r="R983" s="81">
        <f ca="1">R965*(1+INDEX(R$806:R$808,MATCH(Work_Codes!$I$406,$D$806:$D$808,0)))</f>
        <v>0</v>
      </c>
      <c r="S983" s="81">
        <f ca="1">S965*(1+INDEX(S$806:S$808,MATCH(Work_Codes!$I$406,$D$806:$D$808,0)))</f>
        <v>0</v>
      </c>
      <c r="T983" s="81">
        <f ca="1">T965*(1+INDEX(T$806:T$808,MATCH(Work_Codes!$I$406,$D$806:$D$808,0)))</f>
        <v>0</v>
      </c>
    </row>
    <row r="984" spans="5:20" ht="12" customHeight="1" outlineLevel="2">
      <c r="E984" s="247" t="str">
        <f>GC!C66</f>
        <v>IT capex</v>
      </c>
      <c r="F984" s="247"/>
      <c r="G984" s="247"/>
      <c r="H984" s="247"/>
      <c r="I984" s="247"/>
      <c r="J984" s="81">
        <f ca="1">J966*(1+INDEX(J$806:J$808,MATCH(Work_Codes!$I$406,$D$806:$D$808,0)))</f>
        <v>0</v>
      </c>
      <c r="K984" s="81">
        <f ca="1">K966*(1+INDEX(K$806:K$808,MATCH(Work_Codes!$I$406,$D$806:$D$808,0)))</f>
        <v>0</v>
      </c>
      <c r="L984" s="81">
        <f ca="1">L966*(1+INDEX(L$806:L$808,MATCH(Work_Codes!$I$406,$D$806:$D$808,0)))</f>
        <v>0</v>
      </c>
      <c r="M984" s="81">
        <f ca="1">M966*(1+INDEX(M$806:M$808,MATCH(Work_Codes!$I$406,$D$806:$D$808,0)))</f>
        <v>0</v>
      </c>
      <c r="N984" s="81">
        <f ca="1">N966*(1+INDEX(N$806:N$808,MATCH(Work_Codes!$I$406,$D$806:$D$808,0)))</f>
        <v>0</v>
      </c>
      <c r="O984" s="81">
        <f ca="1">O966*(1+INDEX(O$806:O$808,MATCH(Work_Codes!$I$406,$D$806:$D$808,0)))</f>
        <v>0</v>
      </c>
      <c r="P984" s="81">
        <f ca="1">P966*(1+INDEX(P$806:P$808,MATCH(Work_Codes!$I$406,$D$806:$D$808,0)))</f>
        <v>0</v>
      </c>
      <c r="Q984" s="81">
        <f ca="1">Q966*(1+INDEX(Q$806:Q$808,MATCH(Work_Codes!$I$406,$D$806:$D$808,0)))</f>
        <v>0</v>
      </c>
      <c r="R984" s="81">
        <f ca="1">R966*(1+INDEX(R$806:R$808,MATCH(Work_Codes!$I$406,$D$806:$D$808,0)))</f>
        <v>0</v>
      </c>
      <c r="S984" s="81">
        <f ca="1">S966*(1+INDEX(S$806:S$808,MATCH(Work_Codes!$I$406,$D$806:$D$808,0)))</f>
        <v>0</v>
      </c>
      <c r="T984" s="81">
        <f ca="1">T966*(1+INDEX(T$806:T$808,MATCH(Work_Codes!$I$406,$D$806:$D$808,0)))</f>
        <v>0</v>
      </c>
    </row>
    <row r="985" spans="5:20" ht="12" customHeight="1" outlineLevel="2">
      <c r="E985" s="247" t="str">
        <f>GC!C67</f>
        <v>SCADA</v>
      </c>
      <c r="F985" s="247"/>
      <c r="G985" s="247"/>
      <c r="H985" s="247"/>
      <c r="I985" s="247"/>
      <c r="J985" s="81">
        <f ca="1">J967*(1+INDEX(J$806:J$808,MATCH(Work_Codes!$I$406,$D$806:$D$808,0)))</f>
        <v>0</v>
      </c>
      <c r="K985" s="81">
        <f ca="1">K967*(1+INDEX(K$806:K$808,MATCH(Work_Codes!$I$406,$D$806:$D$808,0)))</f>
        <v>0</v>
      </c>
      <c r="L985" s="81">
        <f ca="1">L967*(1+INDEX(L$806:L$808,MATCH(Work_Codes!$I$406,$D$806:$D$808,0)))</f>
        <v>0</v>
      </c>
      <c r="M985" s="81">
        <f ca="1">M967*(1+INDEX(M$806:M$808,MATCH(Work_Codes!$I$406,$D$806:$D$808,0)))</f>
        <v>0</v>
      </c>
      <c r="N985" s="81">
        <f ca="1">N967*(1+INDEX(N$806:N$808,MATCH(Work_Codes!$I$406,$D$806:$D$808,0)))</f>
        <v>0</v>
      </c>
      <c r="O985" s="81">
        <f ca="1">O967*(1+INDEX(O$806:O$808,MATCH(Work_Codes!$I$406,$D$806:$D$808,0)))</f>
        <v>0</v>
      </c>
      <c r="P985" s="81">
        <f ca="1">P967*(1+INDEX(P$806:P$808,MATCH(Work_Codes!$I$406,$D$806:$D$808,0)))</f>
        <v>0</v>
      </c>
      <c r="Q985" s="81">
        <f ca="1">Q967*(1+INDEX(Q$806:Q$808,MATCH(Work_Codes!$I$406,$D$806:$D$808,0)))</f>
        <v>0</v>
      </c>
      <c r="R985" s="81">
        <f ca="1">R967*(1+INDEX(R$806:R$808,MATCH(Work_Codes!$I$406,$D$806:$D$808,0)))</f>
        <v>0</v>
      </c>
      <c r="S985" s="81">
        <f ca="1">S967*(1+INDEX(S$806:S$808,MATCH(Work_Codes!$I$406,$D$806:$D$808,0)))</f>
        <v>0</v>
      </c>
      <c r="T985" s="81">
        <f ca="1">T967*(1+INDEX(T$806:T$808,MATCH(Work_Codes!$I$406,$D$806:$D$808,0)))</f>
        <v>0</v>
      </c>
    </row>
    <row r="986" spans="5:20" ht="12" customHeight="1" outlineLevel="2">
      <c r="E986" s="247" t="str">
        <f>GC!C68</f>
        <v>Other</v>
      </c>
      <c r="F986" s="247"/>
      <c r="G986" s="247"/>
      <c r="H986" s="247"/>
      <c r="I986" s="247"/>
      <c r="J986" s="81">
        <f ca="1">J968*(1+INDEX(J$806:J$808,MATCH(Work_Codes!$I$406,$D$806:$D$808,0)))</f>
        <v>0</v>
      </c>
      <c r="K986" s="81">
        <f ca="1">K968*(1+INDEX(K$806:K$808,MATCH(Work_Codes!$I$406,$D$806:$D$808,0)))</f>
        <v>0</v>
      </c>
      <c r="L986" s="81">
        <f ca="1">L968*(1+INDEX(L$806:L$808,MATCH(Work_Codes!$I$406,$D$806:$D$808,0)))</f>
        <v>0</v>
      </c>
      <c r="M986" s="81">
        <f ca="1">M968*(1+INDEX(M$806:M$808,MATCH(Work_Codes!$I$406,$D$806:$D$808,0)))</f>
        <v>0</v>
      </c>
      <c r="N986" s="81">
        <f ca="1">N968*(1+INDEX(N$806:N$808,MATCH(Work_Codes!$I$406,$D$806:$D$808,0)))</f>
        <v>989648.95471935649</v>
      </c>
      <c r="O986" s="81">
        <f ca="1">O968*(1+INDEX(O$806:O$808,MATCH(Work_Codes!$I$406,$D$806:$D$808,0)))</f>
        <v>1623665.6116948731</v>
      </c>
      <c r="P986" s="81">
        <f ca="1">P968*(1+INDEX(P$806:P$808,MATCH(Work_Codes!$I$406,$D$806:$D$808,0)))</f>
        <v>3044826.855564076</v>
      </c>
      <c r="Q986" s="81">
        <f ca="1">Q968*(1+INDEX(Q$806:Q$808,MATCH(Work_Codes!$I$406,$D$806:$D$808,0)))</f>
        <v>3108927.1686360342</v>
      </c>
      <c r="R986" s="81">
        <f ca="1">R968*(1+INDEX(R$806:R$808,MATCH(Work_Codes!$I$406,$D$806:$D$808,0)))</f>
        <v>3176732.872432556</v>
      </c>
      <c r="S986" s="81">
        <f ca="1">S968*(1+INDEX(S$806:S$808,MATCH(Work_Codes!$I$406,$D$806:$D$808,0)))</f>
        <v>3129946.7273970642</v>
      </c>
      <c r="T986" s="81">
        <f ca="1">T968*(1+INDEX(T$806:T$808,MATCH(Work_Codes!$I$406,$D$806:$D$808,0)))</f>
        <v>3080007.1735298946</v>
      </c>
    </row>
    <row r="987" spans="5:20" outlineLevel="2">
      <c r="E987" s="247" t="str">
        <f>GC!C69</f>
        <v>Capitalised Leases</v>
      </c>
      <c r="F987" s="247"/>
      <c r="G987" s="247"/>
      <c r="H987" s="247"/>
      <c r="I987" s="247"/>
      <c r="J987" s="81">
        <f ca="1">J969*(1+INDEX(J$806:J$808,MATCH(Work_Codes!$I$406,$D$806:$D$808,0)))</f>
        <v>0</v>
      </c>
      <c r="K987" s="81">
        <f ca="1">K969*(1+INDEX(K$806:K$808,MATCH(Work_Codes!$I$406,$D$806:$D$808,0)))</f>
        <v>0</v>
      </c>
      <c r="L987" s="81">
        <f ca="1">L969*(1+INDEX(L$806:L$808,MATCH(Work_Codes!$I$406,$D$806:$D$808,0)))</f>
        <v>0</v>
      </c>
      <c r="M987" s="81">
        <f ca="1">M969*(1+INDEX(M$806:M$808,MATCH(Work_Codes!$I$406,$D$806:$D$808,0)))</f>
        <v>0</v>
      </c>
      <c r="N987" s="81">
        <f ca="1">N969*(1+INDEX(N$806:N$808,MATCH(Work_Codes!$I$406,$D$806:$D$808,0)))</f>
        <v>0</v>
      </c>
      <c r="O987" s="81">
        <f ca="1">O969*(1+INDEX(O$806:O$808,MATCH(Work_Codes!$I$406,$D$806:$D$808,0)))</f>
        <v>0</v>
      </c>
      <c r="P987" s="81">
        <f ca="1">P969*(1+INDEX(P$806:P$808,MATCH(Work_Codes!$I$406,$D$806:$D$808,0)))</f>
        <v>0</v>
      </c>
      <c r="Q987" s="81">
        <f ca="1">Q969*(1+INDEX(Q$806:Q$808,MATCH(Work_Codes!$I$406,$D$806:$D$808,0)))</f>
        <v>0</v>
      </c>
      <c r="R987" s="81">
        <f ca="1">R969*(1+INDEX(R$806:R$808,MATCH(Work_Codes!$I$406,$D$806:$D$808,0)))</f>
        <v>0</v>
      </c>
      <c r="S987" s="81">
        <f ca="1">S969*(1+INDEX(S$806:S$808,MATCH(Work_Codes!$I$406,$D$806:$D$808,0)))</f>
        <v>0</v>
      </c>
      <c r="T987" s="81">
        <f ca="1">T969*(1+INDEX(T$806:T$808,MATCH(Work_Codes!$I$406,$D$806:$D$808,0)))</f>
        <v>0</v>
      </c>
    </row>
    <row r="988" spans="5:20" ht="12" customHeight="1" outlineLevel="2">
      <c r="E988" s="247" t="str">
        <f>GC!C70</f>
        <v>Gas Extensions - Energy for the Regions</v>
      </c>
      <c r="F988" s="247"/>
      <c r="G988" s="247"/>
      <c r="H988" s="247"/>
      <c r="I988" s="247"/>
      <c r="J988" s="81">
        <f ca="1">J970*(1+INDEX(J$806:J$808,MATCH(Work_Codes!$I$406,$D$806:$D$808,0)))</f>
        <v>0</v>
      </c>
      <c r="K988" s="81">
        <f ca="1">K970*(1+INDEX(K$806:K$808,MATCH(Work_Codes!$I$406,$D$806:$D$808,0)))</f>
        <v>0</v>
      </c>
      <c r="L988" s="81">
        <f ca="1">L970*(1+INDEX(L$806:L$808,MATCH(Work_Codes!$I$406,$D$806:$D$808,0)))</f>
        <v>0</v>
      </c>
      <c r="M988" s="81">
        <f ca="1">M970*(1+INDEX(M$806:M$808,MATCH(Work_Codes!$I$406,$D$806:$D$808,0)))</f>
        <v>0</v>
      </c>
      <c r="N988" s="81">
        <f ca="1">N970*(1+INDEX(N$806:N$808,MATCH(Work_Codes!$I$406,$D$806:$D$808,0)))</f>
        <v>0</v>
      </c>
      <c r="O988" s="81">
        <f ca="1">O970*(1+INDEX(O$806:O$808,MATCH(Work_Codes!$I$406,$D$806:$D$808,0)))</f>
        <v>0</v>
      </c>
      <c r="P988" s="81">
        <f ca="1">P970*(1+INDEX(P$806:P$808,MATCH(Work_Codes!$I$406,$D$806:$D$808,0)))</f>
        <v>0</v>
      </c>
      <c r="Q988" s="81">
        <f ca="1">Q970*(1+INDEX(Q$806:Q$808,MATCH(Work_Codes!$I$406,$D$806:$D$808,0)))</f>
        <v>0</v>
      </c>
      <c r="R988" s="81">
        <f ca="1">R970*(1+INDEX(R$806:R$808,MATCH(Work_Codes!$I$406,$D$806:$D$808,0)))</f>
        <v>0</v>
      </c>
      <c r="S988" s="81">
        <f ca="1">S970*(1+INDEX(S$806:S$808,MATCH(Work_Codes!$I$406,$D$806:$D$808,0)))</f>
        <v>0</v>
      </c>
      <c r="T988" s="81">
        <f ca="1">T970*(1+INDEX(T$806:T$808,MATCH(Work_Codes!$I$406,$D$806:$D$808,0)))</f>
        <v>0</v>
      </c>
    </row>
    <row r="989" spans="5:20" ht="12" customHeight="1" outlineLevel="2">
      <c r="E989" s="247" t="str">
        <f>GC!C71</f>
        <v>Gas Extensions - Other</v>
      </c>
      <c r="F989" s="247"/>
      <c r="G989" s="247"/>
      <c r="H989" s="247"/>
      <c r="I989" s="247"/>
      <c r="J989" s="81">
        <f ca="1">J971*(1+INDEX(J$806:J$808,MATCH(Work_Codes!$I$406,$D$806:$D$808,0)))</f>
        <v>0</v>
      </c>
      <c r="K989" s="81">
        <f ca="1">K971*(1+INDEX(K$806:K$808,MATCH(Work_Codes!$I$406,$D$806:$D$808,0)))</f>
        <v>0</v>
      </c>
      <c r="L989" s="81">
        <f ca="1">L971*(1+INDEX(L$806:L$808,MATCH(Work_Codes!$I$406,$D$806:$D$808,0)))</f>
        <v>0</v>
      </c>
      <c r="M989" s="81">
        <f ca="1">M971*(1+INDEX(M$806:M$808,MATCH(Work_Codes!$I$406,$D$806:$D$808,0)))</f>
        <v>0</v>
      </c>
      <c r="N989" s="81">
        <f ca="1">N971*(1+INDEX(N$806:N$808,MATCH(Work_Codes!$I$406,$D$806:$D$808,0)))</f>
        <v>0</v>
      </c>
      <c r="O989" s="81">
        <f ca="1">O971*(1+INDEX(O$806:O$808,MATCH(Work_Codes!$I$406,$D$806:$D$808,0)))</f>
        <v>0</v>
      </c>
      <c r="P989" s="81">
        <f ca="1">P971*(1+INDEX(P$806:P$808,MATCH(Work_Codes!$I$406,$D$806:$D$808,0)))</f>
        <v>0</v>
      </c>
      <c r="Q989" s="81">
        <f ca="1">Q971*(1+INDEX(Q$806:Q$808,MATCH(Work_Codes!$I$406,$D$806:$D$808,0)))</f>
        <v>0</v>
      </c>
      <c r="R989" s="81">
        <f ca="1">R971*(1+INDEX(R$806:R$808,MATCH(Work_Codes!$I$406,$D$806:$D$808,0)))</f>
        <v>0</v>
      </c>
      <c r="S989" s="81">
        <f ca="1">S971*(1+INDEX(S$806:S$808,MATCH(Work_Codes!$I$406,$D$806:$D$808,0)))</f>
        <v>0</v>
      </c>
      <c r="T989" s="81">
        <f ca="1">T971*(1+INDEX(T$806:T$808,MATCH(Work_Codes!$I$406,$D$806:$D$808,0)))</f>
        <v>0</v>
      </c>
    </row>
    <row r="990" spans="5:20" ht="12" customHeight="1" outlineLevel="2">
      <c r="E990" s="247" t="str">
        <f>GC!C72</f>
        <v>Customer contributions</v>
      </c>
      <c r="F990" s="247"/>
      <c r="G990" s="247"/>
      <c r="H990" s="247"/>
      <c r="I990" s="247"/>
      <c r="J990" s="81">
        <f ca="1">J972*(1+INDEX(J$806:J$808,MATCH(Work_Codes!$I$406,$D$806:$D$808,0)))</f>
        <v>0</v>
      </c>
      <c r="K990" s="81">
        <f ca="1">K972*(1+INDEX(K$806:K$808,MATCH(Work_Codes!$I$406,$D$806:$D$808,0)))</f>
        <v>0</v>
      </c>
      <c r="L990" s="81">
        <f ca="1">L972*(1+INDEX(L$806:L$808,MATCH(Work_Codes!$I$406,$D$806:$D$808,0)))</f>
        <v>0</v>
      </c>
      <c r="M990" s="81">
        <f ca="1">M972*(1+INDEX(M$806:M$808,MATCH(Work_Codes!$I$406,$D$806:$D$808,0)))</f>
        <v>0</v>
      </c>
      <c r="N990" s="81">
        <f ca="1">N972*(1+INDEX(N$806:N$808,MATCH(Work_Codes!$I$406,$D$806:$D$808,0)))</f>
        <v>0</v>
      </c>
      <c r="O990" s="81">
        <f ca="1">O972*(1+INDEX(O$806:O$808,MATCH(Work_Codes!$I$406,$D$806:$D$808,0)))</f>
        <v>0</v>
      </c>
      <c r="P990" s="81">
        <f ca="1">P972*(1+INDEX(P$806:P$808,MATCH(Work_Codes!$I$406,$D$806:$D$808,0)))</f>
        <v>0</v>
      </c>
      <c r="Q990" s="81">
        <f ca="1">Q972*(1+INDEX(Q$806:Q$808,MATCH(Work_Codes!$I$406,$D$806:$D$808,0)))</f>
        <v>0</v>
      </c>
      <c r="R990" s="81">
        <f ca="1">R972*(1+INDEX(R$806:R$808,MATCH(Work_Codes!$I$406,$D$806:$D$808,0)))</f>
        <v>0</v>
      </c>
      <c r="S990" s="81">
        <f ca="1">S972*(1+INDEX(S$806:S$808,MATCH(Work_Codes!$I$406,$D$806:$D$808,0)))</f>
        <v>0</v>
      </c>
      <c r="T990" s="81">
        <f ca="1">T972*(1+INDEX(T$806:T$808,MATCH(Work_Codes!$I$406,$D$806:$D$808,0)))</f>
        <v>0</v>
      </c>
    </row>
    <row r="991" spans="5:20" ht="12" customHeight="1" outlineLevel="2">
      <c r="E991" s="247" t="str">
        <f>GC!C73</f>
        <v>Government contributions</v>
      </c>
      <c r="F991" s="247"/>
      <c r="G991" s="247"/>
      <c r="H991" s="247"/>
      <c r="I991" s="247"/>
      <c r="J991" s="81">
        <f ca="1">J973*(1+INDEX(J$806:J$808,MATCH(Work_Codes!$I$406,$D$806:$D$808,0)))</f>
        <v>0</v>
      </c>
      <c r="K991" s="81">
        <f ca="1">K973*(1+INDEX(K$806:K$808,MATCH(Work_Codes!$I$406,$D$806:$D$808,0)))</f>
        <v>0</v>
      </c>
      <c r="L991" s="81">
        <f ca="1">L973*(1+INDEX(L$806:L$808,MATCH(Work_Codes!$I$406,$D$806:$D$808,0)))</f>
        <v>0</v>
      </c>
      <c r="M991" s="81">
        <f ca="1">M973*(1+INDEX(M$806:M$808,MATCH(Work_Codes!$I$406,$D$806:$D$808,0)))</f>
        <v>0</v>
      </c>
      <c r="N991" s="81">
        <f ca="1">N973*(1+INDEX(N$806:N$808,MATCH(Work_Codes!$I$406,$D$806:$D$808,0)))</f>
        <v>0</v>
      </c>
      <c r="O991" s="81">
        <f ca="1">O973*(1+INDEX(O$806:O$808,MATCH(Work_Codes!$I$406,$D$806:$D$808,0)))</f>
        <v>0</v>
      </c>
      <c r="P991" s="81">
        <f ca="1">P973*(1+INDEX(P$806:P$808,MATCH(Work_Codes!$I$406,$D$806:$D$808,0)))</f>
        <v>0</v>
      </c>
      <c r="Q991" s="81">
        <f ca="1">Q973*(1+INDEX(Q$806:Q$808,MATCH(Work_Codes!$I$406,$D$806:$D$808,0)))</f>
        <v>0</v>
      </c>
      <c r="R991" s="81">
        <f ca="1">R973*(1+INDEX(R$806:R$808,MATCH(Work_Codes!$I$406,$D$806:$D$808,0)))</f>
        <v>0</v>
      </c>
      <c r="S991" s="81">
        <f ca="1">S973*(1+INDEX(S$806:S$808,MATCH(Work_Codes!$I$406,$D$806:$D$808,0)))</f>
        <v>0</v>
      </c>
      <c r="T991" s="81">
        <f ca="1">T973*(1+INDEX(T$806:T$808,MATCH(Work_Codes!$I$406,$D$806:$D$808,0)))</f>
        <v>0</v>
      </c>
    </row>
    <row r="992" spans="5:20" ht="12" customHeight="1" outlineLevel="2">
      <c r="E992" s="249" t="str">
        <f>"Total "&amp;D976</f>
        <v>Total Direct Costs + Overheads</v>
      </c>
      <c r="F992" s="249"/>
      <c r="G992" s="249"/>
      <c r="H992" s="249"/>
      <c r="I992" s="249"/>
      <c r="J992" s="82">
        <f t="shared" ref="J992:T992" ca="1" si="93">SUM(J978:J991)</f>
        <v>0</v>
      </c>
      <c r="K992" s="82">
        <f t="shared" ca="1" si="93"/>
        <v>0</v>
      </c>
      <c r="L992" s="82">
        <f t="shared" ca="1" si="93"/>
        <v>0</v>
      </c>
      <c r="M992" s="82">
        <f t="shared" ca="1" si="93"/>
        <v>0</v>
      </c>
      <c r="N992" s="82">
        <f t="shared" ca="1" si="93"/>
        <v>989648.95471935649</v>
      </c>
      <c r="O992" s="82">
        <f t="shared" ca="1" si="93"/>
        <v>1623665.6116948731</v>
      </c>
      <c r="P992" s="82">
        <f t="shared" ca="1" si="93"/>
        <v>3044826.855564076</v>
      </c>
      <c r="Q992" s="82">
        <f t="shared" ca="1" si="93"/>
        <v>3108927.1686360342</v>
      </c>
      <c r="R992" s="82">
        <f t="shared" ca="1" si="93"/>
        <v>3176732.872432556</v>
      </c>
      <c r="S992" s="82">
        <f t="shared" ca="1" si="93"/>
        <v>3129946.7273970642</v>
      </c>
      <c r="T992" s="82">
        <f t="shared" ca="1" si="93"/>
        <v>3080007.1735298946</v>
      </c>
    </row>
    <row r="993" spans="4:20" outlineLevel="2"/>
    <row r="994" spans="4:20" outlineLevel="2">
      <c r="D994" s="37" t="s">
        <v>367</v>
      </c>
    </row>
    <row r="995" spans="4:20" ht="5.75" customHeight="1" outlineLevel="2"/>
    <row r="996" spans="4:20" outlineLevel="2">
      <c r="E996" s="247" t="str">
        <f>GC!C60</f>
        <v>Mains replacement</v>
      </c>
      <c r="F996" s="247"/>
      <c r="G996" s="247"/>
      <c r="H996" s="247"/>
      <c r="I996" s="247"/>
      <c r="J996" s="81">
        <f ca="1">SUMPRODUCT((Work_Codes!$AC$409:$AO$409=$E996)*(Work_Codes!$AC$417:$AO$418)*(J$836:J$837))</f>
        <v>0</v>
      </c>
      <c r="K996" s="81">
        <f ca="1">SUMPRODUCT((Work_Codes!$AC$409:$AO$409=$E996)*(Work_Codes!$AC$417:$AO$418)*(K$836:K$837))</f>
        <v>0</v>
      </c>
      <c r="L996" s="81">
        <f ca="1">SUMPRODUCT((Work_Codes!$AC$409:$AO$409=$E996)*(Work_Codes!$AC$417:$AO$418)*(L$836:L$837))</f>
        <v>0</v>
      </c>
      <c r="M996" s="81">
        <f ca="1">SUMPRODUCT((Work_Codes!$AC$409:$AO$409=$E996)*(Work_Codes!$AC$417:$AO$418)*(M$836:M$837))</f>
        <v>0</v>
      </c>
      <c r="N996" s="81">
        <f ca="1">SUMPRODUCT((Work_Codes!$AC$409:$AO$409=$E996)*(Work_Codes!$AC$417:$AO$418)*(N$836:N$837))</f>
        <v>0</v>
      </c>
      <c r="O996" s="81">
        <f ca="1">SUMPRODUCT((Work_Codes!$AC$409:$AO$409=$E996)*(Work_Codes!$AC$417:$AO$418)*(O$836:O$837))</f>
        <v>0</v>
      </c>
      <c r="P996" s="81">
        <f ca="1">SUMPRODUCT((Work_Codes!$AC$409:$AO$409=$E996)*(Work_Codes!$AC$417:$AO$418)*(P$836:P$837))</f>
        <v>0</v>
      </c>
      <c r="Q996" s="81">
        <f ca="1">SUMPRODUCT((Work_Codes!$AC$409:$AO$409=$E996)*(Work_Codes!$AC$417:$AO$418)*(Q$836:Q$837))</f>
        <v>0</v>
      </c>
      <c r="R996" s="81">
        <f ca="1">SUMPRODUCT((Work_Codes!$AC$409:$AO$409=$E996)*(Work_Codes!$AC$417:$AO$418)*(R$836:R$837))</f>
        <v>0</v>
      </c>
      <c r="S996" s="81">
        <f ca="1">SUMPRODUCT((Work_Codes!$AC$409:$AO$409=$E996)*(Work_Codes!$AC$417:$AO$418)*(S$836:S$837))</f>
        <v>0</v>
      </c>
      <c r="T996" s="81">
        <f ca="1">SUMPRODUCT((Work_Codes!$AC$409:$AO$409=$E996)*(Work_Codes!$AC$417:$AO$418)*(T$836:T$837))</f>
        <v>0</v>
      </c>
    </row>
    <row r="997" spans="4:20" outlineLevel="2">
      <c r="E997" s="247" t="str">
        <f>GC!C61</f>
        <v>Residential new customer connections</v>
      </c>
      <c r="F997" s="247"/>
      <c r="G997" s="247"/>
      <c r="H997" s="247"/>
      <c r="I997" s="247"/>
      <c r="J997" s="81">
        <f ca="1">SUMPRODUCT((Work_Codes!$AC$409:$AO$409=$E997)*(Work_Codes!$AC$417:$AO$418)*(J$836:J$837))</f>
        <v>0</v>
      </c>
      <c r="K997" s="81">
        <f ca="1">SUMPRODUCT((Work_Codes!$AC$409:$AO$409=$E997)*(Work_Codes!$AC$417:$AO$418)*(K$836:K$837))</f>
        <v>0</v>
      </c>
      <c r="L997" s="81">
        <f ca="1">SUMPRODUCT((Work_Codes!$AC$409:$AO$409=$E997)*(Work_Codes!$AC$417:$AO$418)*(L$836:L$837))</f>
        <v>0</v>
      </c>
      <c r="M997" s="81">
        <f ca="1">SUMPRODUCT((Work_Codes!$AC$409:$AO$409=$E997)*(Work_Codes!$AC$417:$AO$418)*(M$836:M$837))</f>
        <v>0</v>
      </c>
      <c r="N997" s="81">
        <f ca="1">SUMPRODUCT((Work_Codes!$AC$409:$AO$409=$E997)*(Work_Codes!$AC$417:$AO$418)*(N$836:N$837))</f>
        <v>0</v>
      </c>
      <c r="O997" s="81">
        <f ca="1">SUMPRODUCT((Work_Codes!$AC$409:$AO$409=$E997)*(Work_Codes!$AC$417:$AO$418)*(O$836:O$837))</f>
        <v>0</v>
      </c>
      <c r="P997" s="81">
        <f ca="1">SUMPRODUCT((Work_Codes!$AC$409:$AO$409=$E997)*(Work_Codes!$AC$417:$AO$418)*(P$836:P$837))</f>
        <v>0</v>
      </c>
      <c r="Q997" s="81">
        <f ca="1">SUMPRODUCT((Work_Codes!$AC$409:$AO$409=$E997)*(Work_Codes!$AC$417:$AO$418)*(Q$836:Q$837))</f>
        <v>0</v>
      </c>
      <c r="R997" s="81">
        <f ca="1">SUMPRODUCT((Work_Codes!$AC$409:$AO$409=$E997)*(Work_Codes!$AC$417:$AO$418)*(R$836:R$837))</f>
        <v>0</v>
      </c>
      <c r="S997" s="81">
        <f ca="1">SUMPRODUCT((Work_Codes!$AC$409:$AO$409=$E997)*(Work_Codes!$AC$417:$AO$418)*(S$836:S$837))</f>
        <v>0</v>
      </c>
      <c r="T997" s="81">
        <f ca="1">SUMPRODUCT((Work_Codes!$AC$409:$AO$409=$E997)*(Work_Codes!$AC$417:$AO$418)*(T$836:T$837))</f>
        <v>0</v>
      </c>
    </row>
    <row r="998" spans="4:20" outlineLevel="2">
      <c r="E998" s="247" t="str">
        <f>GC!C62</f>
        <v>Commercial and industrial new customer connections</v>
      </c>
      <c r="F998" s="247"/>
      <c r="G998" s="247"/>
      <c r="H998" s="247"/>
      <c r="I998" s="247"/>
      <c r="J998" s="81">
        <f ca="1">SUMPRODUCT((Work_Codes!$AC$409:$AO$409=$E998)*(Work_Codes!$AC$417:$AO$418)*(J$836:J$837))</f>
        <v>0</v>
      </c>
      <c r="K998" s="81">
        <f ca="1">SUMPRODUCT((Work_Codes!$AC$409:$AO$409=$E998)*(Work_Codes!$AC$417:$AO$418)*(K$836:K$837))</f>
        <v>0</v>
      </c>
      <c r="L998" s="81">
        <f ca="1">SUMPRODUCT((Work_Codes!$AC$409:$AO$409=$E998)*(Work_Codes!$AC$417:$AO$418)*(L$836:L$837))</f>
        <v>0</v>
      </c>
      <c r="M998" s="81">
        <f ca="1">SUMPRODUCT((Work_Codes!$AC$409:$AO$409=$E998)*(Work_Codes!$AC$417:$AO$418)*(M$836:M$837))</f>
        <v>0</v>
      </c>
      <c r="N998" s="81">
        <f ca="1">SUMPRODUCT((Work_Codes!$AC$409:$AO$409=$E998)*(Work_Codes!$AC$417:$AO$418)*(N$836:N$837))</f>
        <v>0</v>
      </c>
      <c r="O998" s="81">
        <f ca="1">SUMPRODUCT((Work_Codes!$AC$409:$AO$409=$E998)*(Work_Codes!$AC$417:$AO$418)*(O$836:O$837))</f>
        <v>0</v>
      </c>
      <c r="P998" s="81">
        <f ca="1">SUMPRODUCT((Work_Codes!$AC$409:$AO$409=$E998)*(Work_Codes!$AC$417:$AO$418)*(P$836:P$837))</f>
        <v>0</v>
      </c>
      <c r="Q998" s="81">
        <f ca="1">SUMPRODUCT((Work_Codes!$AC$409:$AO$409=$E998)*(Work_Codes!$AC$417:$AO$418)*(Q$836:Q$837))</f>
        <v>0</v>
      </c>
      <c r="R998" s="81">
        <f ca="1">SUMPRODUCT((Work_Codes!$AC$409:$AO$409=$E998)*(Work_Codes!$AC$417:$AO$418)*(R$836:R$837))</f>
        <v>0</v>
      </c>
      <c r="S998" s="81">
        <f ca="1">SUMPRODUCT((Work_Codes!$AC$409:$AO$409=$E998)*(Work_Codes!$AC$417:$AO$418)*(S$836:S$837))</f>
        <v>0</v>
      </c>
      <c r="T998" s="81">
        <f ca="1">SUMPRODUCT((Work_Codes!$AC$409:$AO$409=$E998)*(Work_Codes!$AC$417:$AO$418)*(T$836:T$837))</f>
        <v>0</v>
      </c>
    </row>
    <row r="999" spans="4:20" outlineLevel="2">
      <c r="E999" s="247" t="str">
        <f>GC!C63</f>
        <v>Residential meter replacement</v>
      </c>
      <c r="F999" s="247"/>
      <c r="G999" s="247"/>
      <c r="H999" s="247"/>
      <c r="I999" s="247"/>
      <c r="J999" s="81">
        <f ca="1">SUMPRODUCT((Work_Codes!$AC$409:$AO$409=$E999)*(Work_Codes!$AC$417:$AO$418)*(J$836:J$837))</f>
        <v>0</v>
      </c>
      <c r="K999" s="81">
        <f ca="1">SUMPRODUCT((Work_Codes!$AC$409:$AO$409=$E999)*(Work_Codes!$AC$417:$AO$418)*(K$836:K$837))</f>
        <v>0</v>
      </c>
      <c r="L999" s="81">
        <f ca="1">SUMPRODUCT((Work_Codes!$AC$409:$AO$409=$E999)*(Work_Codes!$AC$417:$AO$418)*(L$836:L$837))</f>
        <v>0</v>
      </c>
      <c r="M999" s="81">
        <f ca="1">SUMPRODUCT((Work_Codes!$AC$409:$AO$409=$E999)*(Work_Codes!$AC$417:$AO$418)*(M$836:M$837))</f>
        <v>0</v>
      </c>
      <c r="N999" s="81">
        <f ca="1">SUMPRODUCT((Work_Codes!$AC$409:$AO$409=$E999)*(Work_Codes!$AC$417:$AO$418)*(N$836:N$837))</f>
        <v>0</v>
      </c>
      <c r="O999" s="81">
        <f ca="1">SUMPRODUCT((Work_Codes!$AC$409:$AO$409=$E999)*(Work_Codes!$AC$417:$AO$418)*(O$836:O$837))</f>
        <v>0</v>
      </c>
      <c r="P999" s="81">
        <f ca="1">SUMPRODUCT((Work_Codes!$AC$409:$AO$409=$E999)*(Work_Codes!$AC$417:$AO$418)*(P$836:P$837))</f>
        <v>0</v>
      </c>
      <c r="Q999" s="81">
        <f ca="1">SUMPRODUCT((Work_Codes!$AC$409:$AO$409=$E999)*(Work_Codes!$AC$417:$AO$418)*(Q$836:Q$837))</f>
        <v>0</v>
      </c>
      <c r="R999" s="81">
        <f ca="1">SUMPRODUCT((Work_Codes!$AC$409:$AO$409=$E999)*(Work_Codes!$AC$417:$AO$418)*(R$836:R$837))</f>
        <v>0</v>
      </c>
      <c r="S999" s="81">
        <f ca="1">SUMPRODUCT((Work_Codes!$AC$409:$AO$409=$E999)*(Work_Codes!$AC$417:$AO$418)*(S$836:S$837))</f>
        <v>0</v>
      </c>
      <c r="T999" s="81">
        <f ca="1">SUMPRODUCT((Work_Codes!$AC$409:$AO$409=$E999)*(Work_Codes!$AC$417:$AO$418)*(T$836:T$837))</f>
        <v>0</v>
      </c>
    </row>
    <row r="1000" spans="4:20" outlineLevel="2">
      <c r="E1000" s="247" t="str">
        <f>GC!C64</f>
        <v>Commercial and industrial meter replacement</v>
      </c>
      <c r="F1000" s="247"/>
      <c r="G1000" s="247"/>
      <c r="H1000" s="247"/>
      <c r="I1000" s="247"/>
      <c r="J1000" s="81">
        <f ca="1">SUMPRODUCT((Work_Codes!$AC$409:$AO$409=$E1000)*(Work_Codes!$AC$417:$AO$418)*(J$836:J$837))</f>
        <v>0</v>
      </c>
      <c r="K1000" s="81">
        <f ca="1">SUMPRODUCT((Work_Codes!$AC$409:$AO$409=$E1000)*(Work_Codes!$AC$417:$AO$418)*(K$836:K$837))</f>
        <v>0</v>
      </c>
      <c r="L1000" s="81">
        <f ca="1">SUMPRODUCT((Work_Codes!$AC$409:$AO$409=$E1000)*(Work_Codes!$AC$417:$AO$418)*(L$836:L$837))</f>
        <v>0</v>
      </c>
      <c r="M1000" s="81">
        <f ca="1">SUMPRODUCT((Work_Codes!$AC$409:$AO$409=$E1000)*(Work_Codes!$AC$417:$AO$418)*(M$836:M$837))</f>
        <v>0</v>
      </c>
      <c r="N1000" s="81">
        <f ca="1">SUMPRODUCT((Work_Codes!$AC$409:$AO$409=$E1000)*(Work_Codes!$AC$417:$AO$418)*(N$836:N$837))</f>
        <v>0</v>
      </c>
      <c r="O1000" s="81">
        <f ca="1">SUMPRODUCT((Work_Codes!$AC$409:$AO$409=$E1000)*(Work_Codes!$AC$417:$AO$418)*(O$836:O$837))</f>
        <v>0</v>
      </c>
      <c r="P1000" s="81">
        <f ca="1">SUMPRODUCT((Work_Codes!$AC$409:$AO$409=$E1000)*(Work_Codes!$AC$417:$AO$418)*(P$836:P$837))</f>
        <v>0</v>
      </c>
      <c r="Q1000" s="81">
        <f ca="1">SUMPRODUCT((Work_Codes!$AC$409:$AO$409=$E1000)*(Work_Codes!$AC$417:$AO$418)*(Q$836:Q$837))</f>
        <v>0</v>
      </c>
      <c r="R1000" s="81">
        <f ca="1">SUMPRODUCT((Work_Codes!$AC$409:$AO$409=$E1000)*(Work_Codes!$AC$417:$AO$418)*(R$836:R$837))</f>
        <v>0</v>
      </c>
      <c r="S1000" s="81">
        <f ca="1">SUMPRODUCT((Work_Codes!$AC$409:$AO$409=$E1000)*(Work_Codes!$AC$417:$AO$418)*(S$836:S$837))</f>
        <v>0</v>
      </c>
      <c r="T1000" s="81">
        <f ca="1">SUMPRODUCT((Work_Codes!$AC$409:$AO$409=$E1000)*(Work_Codes!$AC$417:$AO$418)*(T$836:T$837))</f>
        <v>0</v>
      </c>
    </row>
    <row r="1001" spans="4:20" outlineLevel="2">
      <c r="E1001" s="247" t="str">
        <f>GC!C65</f>
        <v>Augmentation</v>
      </c>
      <c r="F1001" s="247"/>
      <c r="G1001" s="247"/>
      <c r="H1001" s="247"/>
      <c r="I1001" s="247"/>
      <c r="J1001" s="81">
        <f ca="1">SUMPRODUCT((Work_Codes!$AC$409:$AO$409=$E1001)*(Work_Codes!$AC$417:$AO$418)*(J$836:J$837))</f>
        <v>0</v>
      </c>
      <c r="K1001" s="81">
        <f ca="1">SUMPRODUCT((Work_Codes!$AC$409:$AO$409=$E1001)*(Work_Codes!$AC$417:$AO$418)*(K$836:K$837))</f>
        <v>0</v>
      </c>
      <c r="L1001" s="81">
        <f ca="1">SUMPRODUCT((Work_Codes!$AC$409:$AO$409=$E1001)*(Work_Codes!$AC$417:$AO$418)*(L$836:L$837))</f>
        <v>0</v>
      </c>
      <c r="M1001" s="81">
        <f ca="1">SUMPRODUCT((Work_Codes!$AC$409:$AO$409=$E1001)*(Work_Codes!$AC$417:$AO$418)*(M$836:M$837))</f>
        <v>0</v>
      </c>
      <c r="N1001" s="81">
        <f ca="1">SUMPRODUCT((Work_Codes!$AC$409:$AO$409=$E1001)*(Work_Codes!$AC$417:$AO$418)*(N$836:N$837))</f>
        <v>0</v>
      </c>
      <c r="O1001" s="81">
        <f ca="1">SUMPRODUCT((Work_Codes!$AC$409:$AO$409=$E1001)*(Work_Codes!$AC$417:$AO$418)*(O$836:O$837))</f>
        <v>0</v>
      </c>
      <c r="P1001" s="81">
        <f ca="1">SUMPRODUCT((Work_Codes!$AC$409:$AO$409=$E1001)*(Work_Codes!$AC$417:$AO$418)*(P$836:P$837))</f>
        <v>0</v>
      </c>
      <c r="Q1001" s="81">
        <f ca="1">SUMPRODUCT((Work_Codes!$AC$409:$AO$409=$E1001)*(Work_Codes!$AC$417:$AO$418)*(Q$836:Q$837))</f>
        <v>0</v>
      </c>
      <c r="R1001" s="81">
        <f ca="1">SUMPRODUCT((Work_Codes!$AC$409:$AO$409=$E1001)*(Work_Codes!$AC$417:$AO$418)*(R$836:R$837))</f>
        <v>0</v>
      </c>
      <c r="S1001" s="81">
        <f ca="1">SUMPRODUCT((Work_Codes!$AC$409:$AO$409=$E1001)*(Work_Codes!$AC$417:$AO$418)*(S$836:S$837))</f>
        <v>0</v>
      </c>
      <c r="T1001" s="81">
        <f ca="1">SUMPRODUCT((Work_Codes!$AC$409:$AO$409=$E1001)*(Work_Codes!$AC$417:$AO$418)*(T$836:T$837))</f>
        <v>0</v>
      </c>
    </row>
    <row r="1002" spans="4:20" outlineLevel="2">
      <c r="E1002" s="247" t="str">
        <f>GC!C66</f>
        <v>IT capex</v>
      </c>
      <c r="F1002" s="247"/>
      <c r="G1002" s="247"/>
      <c r="H1002" s="247"/>
      <c r="I1002" s="247"/>
      <c r="J1002" s="81">
        <f ca="1">SUMPRODUCT((Work_Codes!$AC$409:$AO$409=$E1002)*(Work_Codes!$AC$417:$AO$418)*(J$836:J$837))</f>
        <v>0</v>
      </c>
      <c r="K1002" s="81">
        <f ca="1">SUMPRODUCT((Work_Codes!$AC$409:$AO$409=$E1002)*(Work_Codes!$AC$417:$AO$418)*(K$836:K$837))</f>
        <v>0</v>
      </c>
      <c r="L1002" s="81">
        <f ca="1">SUMPRODUCT((Work_Codes!$AC$409:$AO$409=$E1002)*(Work_Codes!$AC$417:$AO$418)*(L$836:L$837))</f>
        <v>0</v>
      </c>
      <c r="M1002" s="81">
        <f ca="1">SUMPRODUCT((Work_Codes!$AC$409:$AO$409=$E1002)*(Work_Codes!$AC$417:$AO$418)*(M$836:M$837))</f>
        <v>0</v>
      </c>
      <c r="N1002" s="81">
        <f ca="1">SUMPRODUCT((Work_Codes!$AC$409:$AO$409=$E1002)*(Work_Codes!$AC$417:$AO$418)*(N$836:N$837))</f>
        <v>0</v>
      </c>
      <c r="O1002" s="81">
        <f ca="1">SUMPRODUCT((Work_Codes!$AC$409:$AO$409=$E1002)*(Work_Codes!$AC$417:$AO$418)*(O$836:O$837))</f>
        <v>0</v>
      </c>
      <c r="P1002" s="81">
        <f ca="1">SUMPRODUCT((Work_Codes!$AC$409:$AO$409=$E1002)*(Work_Codes!$AC$417:$AO$418)*(P$836:P$837))</f>
        <v>0</v>
      </c>
      <c r="Q1002" s="81">
        <f ca="1">SUMPRODUCT((Work_Codes!$AC$409:$AO$409=$E1002)*(Work_Codes!$AC$417:$AO$418)*(Q$836:Q$837))</f>
        <v>0</v>
      </c>
      <c r="R1002" s="81">
        <f ca="1">SUMPRODUCT((Work_Codes!$AC$409:$AO$409=$E1002)*(Work_Codes!$AC$417:$AO$418)*(R$836:R$837))</f>
        <v>0</v>
      </c>
      <c r="S1002" s="81">
        <f ca="1">SUMPRODUCT((Work_Codes!$AC$409:$AO$409=$E1002)*(Work_Codes!$AC$417:$AO$418)*(S$836:S$837))</f>
        <v>0</v>
      </c>
      <c r="T1002" s="81">
        <f ca="1">SUMPRODUCT((Work_Codes!$AC$409:$AO$409=$E1002)*(Work_Codes!$AC$417:$AO$418)*(T$836:T$837))</f>
        <v>0</v>
      </c>
    </row>
    <row r="1003" spans="4:20" outlineLevel="2">
      <c r="E1003" s="247" t="str">
        <f>GC!C67</f>
        <v>SCADA</v>
      </c>
      <c r="F1003" s="247"/>
      <c r="G1003" s="247"/>
      <c r="H1003" s="247"/>
      <c r="I1003" s="247"/>
      <c r="J1003" s="81">
        <f ca="1">SUMPRODUCT((Work_Codes!$AC$409:$AO$409=$E1003)*(Work_Codes!$AC$417:$AO$418)*(J$836:J$837))</f>
        <v>0</v>
      </c>
      <c r="K1003" s="81">
        <f ca="1">SUMPRODUCT((Work_Codes!$AC$409:$AO$409=$E1003)*(Work_Codes!$AC$417:$AO$418)*(K$836:K$837))</f>
        <v>0</v>
      </c>
      <c r="L1003" s="81">
        <f ca="1">SUMPRODUCT((Work_Codes!$AC$409:$AO$409=$E1003)*(Work_Codes!$AC$417:$AO$418)*(L$836:L$837))</f>
        <v>0</v>
      </c>
      <c r="M1003" s="81">
        <f ca="1">SUMPRODUCT((Work_Codes!$AC$409:$AO$409=$E1003)*(Work_Codes!$AC$417:$AO$418)*(M$836:M$837))</f>
        <v>0</v>
      </c>
      <c r="N1003" s="81">
        <f ca="1">SUMPRODUCT((Work_Codes!$AC$409:$AO$409=$E1003)*(Work_Codes!$AC$417:$AO$418)*(N$836:N$837))</f>
        <v>0</v>
      </c>
      <c r="O1003" s="81">
        <f ca="1">SUMPRODUCT((Work_Codes!$AC$409:$AO$409=$E1003)*(Work_Codes!$AC$417:$AO$418)*(O$836:O$837))</f>
        <v>0</v>
      </c>
      <c r="P1003" s="81">
        <f ca="1">SUMPRODUCT((Work_Codes!$AC$409:$AO$409=$E1003)*(Work_Codes!$AC$417:$AO$418)*(P$836:P$837))</f>
        <v>0</v>
      </c>
      <c r="Q1003" s="81">
        <f ca="1">SUMPRODUCT((Work_Codes!$AC$409:$AO$409=$E1003)*(Work_Codes!$AC$417:$AO$418)*(Q$836:Q$837))</f>
        <v>0</v>
      </c>
      <c r="R1003" s="81">
        <f ca="1">SUMPRODUCT((Work_Codes!$AC$409:$AO$409=$E1003)*(Work_Codes!$AC$417:$AO$418)*(R$836:R$837))</f>
        <v>0</v>
      </c>
      <c r="S1003" s="81">
        <f ca="1">SUMPRODUCT((Work_Codes!$AC$409:$AO$409=$E1003)*(Work_Codes!$AC$417:$AO$418)*(S$836:S$837))</f>
        <v>0</v>
      </c>
      <c r="T1003" s="81">
        <f ca="1">SUMPRODUCT((Work_Codes!$AC$409:$AO$409=$E1003)*(Work_Codes!$AC$417:$AO$418)*(T$836:T$837))</f>
        <v>0</v>
      </c>
    </row>
    <row r="1004" spans="4:20" outlineLevel="2">
      <c r="E1004" s="247" t="str">
        <f>GC!C68</f>
        <v>Other</v>
      </c>
      <c r="F1004" s="247"/>
      <c r="G1004" s="247"/>
      <c r="H1004" s="247"/>
      <c r="I1004" s="247"/>
      <c r="J1004" s="81">
        <f ca="1">SUMPRODUCT((Work_Codes!$AC$409:$AO$409=$E1004)*(Work_Codes!$AC$417:$AO$418)*(J$836:J$837))</f>
        <v>0</v>
      </c>
      <c r="K1004" s="81">
        <f ca="1">SUMPRODUCT((Work_Codes!$AC$409:$AO$409=$E1004)*(Work_Codes!$AC$417:$AO$418)*(K$836:K$837))</f>
        <v>0</v>
      </c>
      <c r="L1004" s="81">
        <f ca="1">SUMPRODUCT((Work_Codes!$AC$409:$AO$409=$E1004)*(Work_Codes!$AC$417:$AO$418)*(L$836:L$837))</f>
        <v>0</v>
      </c>
      <c r="M1004" s="81">
        <f ca="1">SUMPRODUCT((Work_Codes!$AC$409:$AO$409=$E1004)*(Work_Codes!$AC$417:$AO$418)*(M$836:M$837))</f>
        <v>0</v>
      </c>
      <c r="N1004" s="81">
        <f ca="1">SUMPRODUCT((Work_Codes!$AC$409:$AO$409=$E1004)*(Work_Codes!$AC$417:$AO$418)*(N$836:N$837))</f>
        <v>-3480342.1837099995</v>
      </c>
      <c r="O1004" s="81">
        <f ca="1">SUMPRODUCT((Work_Codes!$AC$409:$AO$409=$E1004)*(Work_Codes!$AC$417:$AO$418)*(O$836:O$837))</f>
        <v>-708960.91926604498</v>
      </c>
      <c r="P1004" s="81">
        <f ca="1">SUMPRODUCT((Work_Codes!$AC$409:$AO$409=$E1004)*(Work_Codes!$AC$417:$AO$418)*(P$836:P$837))</f>
        <v>-1417921.83853209</v>
      </c>
      <c r="Q1004" s="81">
        <f ca="1">SUMPRODUCT((Work_Codes!$AC$409:$AO$409=$E1004)*(Work_Codes!$AC$417:$AO$418)*(Q$836:Q$837))</f>
        <v>-1417921.83853209</v>
      </c>
      <c r="R1004" s="81">
        <f ca="1">SUMPRODUCT((Work_Codes!$AC$409:$AO$409=$E1004)*(Work_Codes!$AC$417:$AO$418)*(R$836:R$837))</f>
        <v>-1417921.83853209</v>
      </c>
      <c r="S1004" s="81">
        <f ca="1">SUMPRODUCT((Work_Codes!$AC$409:$AO$409=$E1004)*(Work_Codes!$AC$417:$AO$418)*(S$836:S$837))</f>
        <v>-1417921.83853209</v>
      </c>
      <c r="T1004" s="81">
        <f ca="1">SUMPRODUCT((Work_Codes!$AC$409:$AO$409=$E1004)*(Work_Codes!$AC$417:$AO$418)*(T$836:T$837))</f>
        <v>-1417921.83853209</v>
      </c>
    </row>
    <row r="1005" spans="4:20" outlineLevel="2">
      <c r="E1005" s="247" t="str">
        <f>GC!C69</f>
        <v>Capitalised Leases</v>
      </c>
      <c r="F1005" s="247"/>
      <c r="G1005" s="247"/>
      <c r="H1005" s="247"/>
      <c r="I1005" s="247"/>
      <c r="J1005" s="81">
        <f ca="1">SUMPRODUCT((Work_Codes!$AC$409:$AO$409=$E1005)*(Work_Codes!$AC$417:$AO$418)*(J$836:J$837))</f>
        <v>0</v>
      </c>
      <c r="K1005" s="81">
        <f ca="1">SUMPRODUCT((Work_Codes!$AC$409:$AO$409=$E1005)*(Work_Codes!$AC$417:$AO$418)*(K$836:K$837))</f>
        <v>0</v>
      </c>
      <c r="L1005" s="81">
        <f ca="1">SUMPRODUCT((Work_Codes!$AC$409:$AO$409=$E1005)*(Work_Codes!$AC$417:$AO$418)*(L$836:L$837))</f>
        <v>0</v>
      </c>
      <c r="M1005" s="81">
        <f ca="1">SUMPRODUCT((Work_Codes!$AC$409:$AO$409=$E1005)*(Work_Codes!$AC$417:$AO$418)*(M$836:M$837))</f>
        <v>0</v>
      </c>
      <c r="N1005" s="81">
        <f ca="1">SUMPRODUCT((Work_Codes!$AC$409:$AO$409=$E1005)*(Work_Codes!$AC$417:$AO$418)*(N$836:N$837))</f>
        <v>0</v>
      </c>
      <c r="O1005" s="81">
        <f ca="1">SUMPRODUCT((Work_Codes!$AC$409:$AO$409=$E1005)*(Work_Codes!$AC$417:$AO$418)*(O$836:O$837))</f>
        <v>0</v>
      </c>
      <c r="P1005" s="81">
        <f ca="1">SUMPRODUCT((Work_Codes!$AC$409:$AO$409=$E1005)*(Work_Codes!$AC$417:$AO$418)*(P$836:P$837))</f>
        <v>0</v>
      </c>
      <c r="Q1005" s="81">
        <f ca="1">SUMPRODUCT((Work_Codes!$AC$409:$AO$409=$E1005)*(Work_Codes!$AC$417:$AO$418)*(Q$836:Q$837))</f>
        <v>0</v>
      </c>
      <c r="R1005" s="81">
        <f ca="1">SUMPRODUCT((Work_Codes!$AC$409:$AO$409=$E1005)*(Work_Codes!$AC$417:$AO$418)*(R$836:R$837))</f>
        <v>0</v>
      </c>
      <c r="S1005" s="81">
        <f ca="1">SUMPRODUCT((Work_Codes!$AC$409:$AO$409=$E1005)*(Work_Codes!$AC$417:$AO$418)*(S$836:S$837))</f>
        <v>0</v>
      </c>
      <c r="T1005" s="81">
        <f ca="1">SUMPRODUCT((Work_Codes!$AC$409:$AO$409=$E1005)*(Work_Codes!$AC$417:$AO$418)*(T$836:T$837))</f>
        <v>0</v>
      </c>
    </row>
    <row r="1006" spans="4:20" outlineLevel="2">
      <c r="E1006" s="247" t="str">
        <f>GC!C70</f>
        <v>Gas Extensions - Energy for the Regions</v>
      </c>
      <c r="F1006" s="247"/>
      <c r="G1006" s="247"/>
      <c r="H1006" s="247"/>
      <c r="I1006" s="247"/>
      <c r="J1006" s="81">
        <f ca="1">SUMPRODUCT((Work_Codes!$AC$409:$AO$409=$E1006)*(Work_Codes!$AC$417:$AO$418)*(J$836:J$837))</f>
        <v>0</v>
      </c>
      <c r="K1006" s="81">
        <f ca="1">SUMPRODUCT((Work_Codes!$AC$409:$AO$409=$E1006)*(Work_Codes!$AC$417:$AO$418)*(K$836:K$837))</f>
        <v>0</v>
      </c>
      <c r="L1006" s="81">
        <f ca="1">SUMPRODUCT((Work_Codes!$AC$409:$AO$409=$E1006)*(Work_Codes!$AC$417:$AO$418)*(L$836:L$837))</f>
        <v>0</v>
      </c>
      <c r="M1006" s="81">
        <f ca="1">SUMPRODUCT((Work_Codes!$AC$409:$AO$409=$E1006)*(Work_Codes!$AC$417:$AO$418)*(M$836:M$837))</f>
        <v>0</v>
      </c>
      <c r="N1006" s="81">
        <f ca="1">SUMPRODUCT((Work_Codes!$AC$409:$AO$409=$E1006)*(Work_Codes!$AC$417:$AO$418)*(N$836:N$837))</f>
        <v>0</v>
      </c>
      <c r="O1006" s="81">
        <f ca="1">SUMPRODUCT((Work_Codes!$AC$409:$AO$409=$E1006)*(Work_Codes!$AC$417:$AO$418)*(O$836:O$837))</f>
        <v>0</v>
      </c>
      <c r="P1006" s="81">
        <f ca="1">SUMPRODUCT((Work_Codes!$AC$409:$AO$409=$E1006)*(Work_Codes!$AC$417:$AO$418)*(P$836:P$837))</f>
        <v>0</v>
      </c>
      <c r="Q1006" s="81">
        <f ca="1">SUMPRODUCT((Work_Codes!$AC$409:$AO$409=$E1006)*(Work_Codes!$AC$417:$AO$418)*(Q$836:Q$837))</f>
        <v>0</v>
      </c>
      <c r="R1006" s="81">
        <f ca="1">SUMPRODUCT((Work_Codes!$AC$409:$AO$409=$E1006)*(Work_Codes!$AC$417:$AO$418)*(R$836:R$837))</f>
        <v>0</v>
      </c>
      <c r="S1006" s="81">
        <f ca="1">SUMPRODUCT((Work_Codes!$AC$409:$AO$409=$E1006)*(Work_Codes!$AC$417:$AO$418)*(S$836:S$837))</f>
        <v>0</v>
      </c>
      <c r="T1006" s="81">
        <f ca="1">SUMPRODUCT((Work_Codes!$AC$409:$AO$409=$E1006)*(Work_Codes!$AC$417:$AO$418)*(T$836:T$837))</f>
        <v>0</v>
      </c>
    </row>
    <row r="1007" spans="4:20" outlineLevel="2">
      <c r="E1007" s="247" t="str">
        <f>GC!C71</f>
        <v>Gas Extensions - Other</v>
      </c>
      <c r="F1007" s="247"/>
      <c r="G1007" s="247"/>
      <c r="H1007" s="247"/>
      <c r="I1007" s="247"/>
      <c r="J1007" s="81">
        <f ca="1">SUMPRODUCT((Work_Codes!$AC$409:$AO$409=$E1007)*(Work_Codes!$AC$417:$AO$418)*(J$836:J$837))</f>
        <v>0</v>
      </c>
      <c r="K1007" s="81">
        <f ca="1">SUMPRODUCT((Work_Codes!$AC$409:$AO$409=$E1007)*(Work_Codes!$AC$417:$AO$418)*(K$836:K$837))</f>
        <v>0</v>
      </c>
      <c r="L1007" s="81">
        <f ca="1">SUMPRODUCT((Work_Codes!$AC$409:$AO$409=$E1007)*(Work_Codes!$AC$417:$AO$418)*(L$836:L$837))</f>
        <v>0</v>
      </c>
      <c r="M1007" s="81">
        <f ca="1">SUMPRODUCT((Work_Codes!$AC$409:$AO$409=$E1007)*(Work_Codes!$AC$417:$AO$418)*(M$836:M$837))</f>
        <v>0</v>
      </c>
      <c r="N1007" s="81">
        <f ca="1">SUMPRODUCT((Work_Codes!$AC$409:$AO$409=$E1007)*(Work_Codes!$AC$417:$AO$418)*(N$836:N$837))</f>
        <v>0</v>
      </c>
      <c r="O1007" s="81">
        <f ca="1">SUMPRODUCT((Work_Codes!$AC$409:$AO$409=$E1007)*(Work_Codes!$AC$417:$AO$418)*(O$836:O$837))</f>
        <v>0</v>
      </c>
      <c r="P1007" s="81">
        <f ca="1">SUMPRODUCT((Work_Codes!$AC$409:$AO$409=$E1007)*(Work_Codes!$AC$417:$AO$418)*(P$836:P$837))</f>
        <v>0</v>
      </c>
      <c r="Q1007" s="81">
        <f ca="1">SUMPRODUCT((Work_Codes!$AC$409:$AO$409=$E1007)*(Work_Codes!$AC$417:$AO$418)*(Q$836:Q$837))</f>
        <v>0</v>
      </c>
      <c r="R1007" s="81">
        <f ca="1">SUMPRODUCT((Work_Codes!$AC$409:$AO$409=$E1007)*(Work_Codes!$AC$417:$AO$418)*(R$836:R$837))</f>
        <v>0</v>
      </c>
      <c r="S1007" s="81">
        <f ca="1">SUMPRODUCT((Work_Codes!$AC$409:$AO$409=$E1007)*(Work_Codes!$AC$417:$AO$418)*(S$836:S$837))</f>
        <v>0</v>
      </c>
      <c r="T1007" s="81">
        <f ca="1">SUMPRODUCT((Work_Codes!$AC$409:$AO$409=$E1007)*(Work_Codes!$AC$417:$AO$418)*(T$836:T$837))</f>
        <v>0</v>
      </c>
    </row>
    <row r="1008" spans="4:20" outlineLevel="2">
      <c r="E1008" s="247" t="str">
        <f>GC!C72</f>
        <v>Customer contributions</v>
      </c>
      <c r="F1008" s="247"/>
      <c r="G1008" s="247"/>
      <c r="H1008" s="247"/>
      <c r="I1008" s="247"/>
      <c r="J1008" s="81">
        <f ca="1">SUMPRODUCT((Work_Codes!$AC$409:$AO$409=$E1008)*(Work_Codes!$AC$417:$AO$418)*(J$836:J$837))</f>
        <v>0</v>
      </c>
      <c r="K1008" s="81">
        <f ca="1">SUMPRODUCT((Work_Codes!$AC$409:$AO$409=$E1008)*(Work_Codes!$AC$417:$AO$418)*(K$836:K$837))</f>
        <v>0</v>
      </c>
      <c r="L1008" s="81">
        <f ca="1">SUMPRODUCT((Work_Codes!$AC$409:$AO$409=$E1008)*(Work_Codes!$AC$417:$AO$418)*(L$836:L$837))</f>
        <v>0</v>
      </c>
      <c r="M1008" s="81">
        <f ca="1">SUMPRODUCT((Work_Codes!$AC$409:$AO$409=$E1008)*(Work_Codes!$AC$417:$AO$418)*(M$836:M$837))</f>
        <v>0</v>
      </c>
      <c r="N1008" s="81">
        <f ca="1">SUMPRODUCT((Work_Codes!$AC$409:$AO$409=$E1008)*(Work_Codes!$AC$417:$AO$418)*(N$836:N$837))</f>
        <v>0</v>
      </c>
      <c r="O1008" s="81">
        <f ca="1">SUMPRODUCT((Work_Codes!$AC$409:$AO$409=$E1008)*(Work_Codes!$AC$417:$AO$418)*(O$836:O$837))</f>
        <v>0</v>
      </c>
      <c r="P1008" s="81">
        <f ca="1">SUMPRODUCT((Work_Codes!$AC$409:$AO$409=$E1008)*(Work_Codes!$AC$417:$AO$418)*(P$836:P$837))</f>
        <v>0</v>
      </c>
      <c r="Q1008" s="81">
        <f ca="1">SUMPRODUCT((Work_Codes!$AC$409:$AO$409=$E1008)*(Work_Codes!$AC$417:$AO$418)*(Q$836:Q$837))</f>
        <v>0</v>
      </c>
      <c r="R1008" s="81">
        <f ca="1">SUMPRODUCT((Work_Codes!$AC$409:$AO$409=$E1008)*(Work_Codes!$AC$417:$AO$418)*(R$836:R$837))</f>
        <v>0</v>
      </c>
      <c r="S1008" s="81">
        <f ca="1">SUMPRODUCT((Work_Codes!$AC$409:$AO$409=$E1008)*(Work_Codes!$AC$417:$AO$418)*(S$836:S$837))</f>
        <v>0</v>
      </c>
      <c r="T1008" s="81">
        <f ca="1">SUMPRODUCT((Work_Codes!$AC$409:$AO$409=$E1008)*(Work_Codes!$AC$417:$AO$418)*(T$836:T$837))</f>
        <v>0</v>
      </c>
    </row>
    <row r="1009" spans="2:20" outlineLevel="2">
      <c r="E1009" s="247" t="str">
        <f>GC!C73</f>
        <v>Government contributions</v>
      </c>
      <c r="F1009" s="247"/>
      <c r="G1009" s="247"/>
      <c r="H1009" s="247"/>
      <c r="I1009" s="247"/>
      <c r="J1009" s="81">
        <f ca="1">SUMPRODUCT((Work_Codes!$AC$409:$AO$409=$E1009)*(Work_Codes!$AC$417:$AO$418)*(J$836:J$837))</f>
        <v>0</v>
      </c>
      <c r="K1009" s="81">
        <f ca="1">SUMPRODUCT((Work_Codes!$AC$409:$AO$409=$E1009)*(Work_Codes!$AC$417:$AO$418)*(K$836:K$837))</f>
        <v>0</v>
      </c>
      <c r="L1009" s="81">
        <f ca="1">SUMPRODUCT((Work_Codes!$AC$409:$AO$409=$E1009)*(Work_Codes!$AC$417:$AO$418)*(L$836:L$837))</f>
        <v>0</v>
      </c>
      <c r="M1009" s="81">
        <f ca="1">SUMPRODUCT((Work_Codes!$AC$409:$AO$409=$E1009)*(Work_Codes!$AC$417:$AO$418)*(M$836:M$837))</f>
        <v>0</v>
      </c>
      <c r="N1009" s="81">
        <f ca="1">SUMPRODUCT((Work_Codes!$AC$409:$AO$409=$E1009)*(Work_Codes!$AC$417:$AO$418)*(N$836:N$837))</f>
        <v>0</v>
      </c>
      <c r="O1009" s="81">
        <f ca="1">SUMPRODUCT((Work_Codes!$AC$409:$AO$409=$E1009)*(Work_Codes!$AC$417:$AO$418)*(O$836:O$837))</f>
        <v>0</v>
      </c>
      <c r="P1009" s="81">
        <f ca="1">SUMPRODUCT((Work_Codes!$AC$409:$AO$409=$E1009)*(Work_Codes!$AC$417:$AO$418)*(P$836:P$837))</f>
        <v>0</v>
      </c>
      <c r="Q1009" s="81">
        <f ca="1">SUMPRODUCT((Work_Codes!$AC$409:$AO$409=$E1009)*(Work_Codes!$AC$417:$AO$418)*(Q$836:Q$837))</f>
        <v>0</v>
      </c>
      <c r="R1009" s="81">
        <f ca="1">SUMPRODUCT((Work_Codes!$AC$409:$AO$409=$E1009)*(Work_Codes!$AC$417:$AO$418)*(R$836:R$837))</f>
        <v>0</v>
      </c>
      <c r="S1009" s="81">
        <f ca="1">SUMPRODUCT((Work_Codes!$AC$409:$AO$409=$E1009)*(Work_Codes!$AC$417:$AO$418)*(S$836:S$837))</f>
        <v>0</v>
      </c>
      <c r="T1009" s="81">
        <f ca="1">SUMPRODUCT((Work_Codes!$AC$409:$AO$409=$E1009)*(Work_Codes!$AC$417:$AO$418)*(T$836:T$837))</f>
        <v>0</v>
      </c>
    </row>
    <row r="1010" spans="2:20" outlineLevel="2">
      <c r="E1010" s="249" t="str">
        <f t="shared" ref="E1010" si="94">"Total "&amp;D994</f>
        <v>Total Customer Contributions</v>
      </c>
      <c r="F1010" s="249"/>
      <c r="G1010" s="249"/>
      <c r="H1010" s="249"/>
      <c r="I1010" s="249"/>
      <c r="J1010" s="82">
        <f t="shared" ref="J1010:T1010" ca="1" si="95">SUM(J996:J1009)</f>
        <v>0</v>
      </c>
      <c r="K1010" s="82">
        <f t="shared" ca="1" si="95"/>
        <v>0</v>
      </c>
      <c r="L1010" s="82">
        <f t="shared" ca="1" si="95"/>
        <v>0</v>
      </c>
      <c r="M1010" s="82">
        <f t="shared" ca="1" si="95"/>
        <v>0</v>
      </c>
      <c r="N1010" s="82">
        <f t="shared" ca="1" si="95"/>
        <v>-3480342.1837099995</v>
      </c>
      <c r="O1010" s="82">
        <f t="shared" ca="1" si="95"/>
        <v>-708960.91926604498</v>
      </c>
      <c r="P1010" s="82">
        <f t="shared" ca="1" si="95"/>
        <v>-1417921.83853209</v>
      </c>
      <c r="Q1010" s="82">
        <f t="shared" ca="1" si="95"/>
        <v>-1417921.83853209</v>
      </c>
      <c r="R1010" s="82">
        <f t="shared" ca="1" si="95"/>
        <v>-1417921.83853209</v>
      </c>
      <c r="S1010" s="82">
        <f t="shared" ca="1" si="95"/>
        <v>-1417921.83853209</v>
      </c>
      <c r="T1010" s="82">
        <f t="shared" ca="1" si="95"/>
        <v>-1417921.83853209</v>
      </c>
    </row>
    <row r="1011" spans="2:20" outlineLevel="2">
      <c r="B1011" s="12"/>
      <c r="C1011" s="12"/>
      <c r="D1011" s="12"/>
      <c r="E1011" s="12"/>
      <c r="F1011" s="12"/>
      <c r="G1011" s="12"/>
      <c r="H1011" s="12"/>
      <c r="I1011" s="12"/>
      <c r="J1011" s="12"/>
      <c r="K1011" s="12"/>
      <c r="L1011" s="12"/>
      <c r="M1011" s="12"/>
      <c r="N1011" s="12"/>
      <c r="O1011" s="12"/>
      <c r="P1011" s="12"/>
      <c r="Q1011" s="12"/>
      <c r="R1011" s="12"/>
      <c r="S1011" s="12"/>
      <c r="T1011" s="12"/>
    </row>
    <row r="1012" spans="2:20" outlineLevel="2"/>
    <row r="1013" spans="2:20" outlineLevel="2">
      <c r="C1013" s="37" t="s">
        <v>311</v>
      </c>
    </row>
    <row r="1014" spans="2:20" ht="5.9" customHeight="1" outlineLevel="2"/>
    <row r="1015" spans="2:20" outlineLevel="2">
      <c r="D1015" s="37" t="s">
        <v>215</v>
      </c>
    </row>
    <row r="1016" spans="2:20" ht="5.9" customHeight="1" outlineLevel="2"/>
    <row r="1017" spans="2:20" outlineLevel="2">
      <c r="E1017" s="247" t="str">
        <f>GC!C78</f>
        <v>Mains &amp; Services</v>
      </c>
      <c r="F1017" s="247"/>
      <c r="G1017" s="247"/>
      <c r="H1017" s="247"/>
      <c r="I1017" s="247"/>
      <c r="J1017" s="81">
        <f ca="1">SUMPRODUCT((Work_Codes!$AR$409:$AX$409=$E1017)*(Work_Codes!$AR$412:$AX$413)*(J$867:J$868))</f>
        <v>0</v>
      </c>
      <c r="K1017" s="81">
        <f ca="1">SUMPRODUCT((Work_Codes!$AR$409:$AX$409=$E1017)*(Work_Codes!$AR$412:$AX$413)*(K$867:K$868))</f>
        <v>0</v>
      </c>
      <c r="L1017" s="81">
        <f ca="1">SUMPRODUCT((Work_Codes!$AR$409:$AX$409=$E1017)*(Work_Codes!$AR$412:$AX$413)*(L$867:L$868))</f>
        <v>0</v>
      </c>
      <c r="M1017" s="81">
        <f ca="1">SUMPRODUCT((Work_Codes!$AR$409:$AX$409=$E1017)*(Work_Codes!$AR$412:$AX$413)*(M$867:M$868))</f>
        <v>0</v>
      </c>
      <c r="N1017" s="81">
        <f ca="1">SUMPRODUCT((Work_Codes!$AR$409:$AX$409=$E1017)*(Work_Codes!$AR$412:$AX$413)*(N$867:N$868))</f>
        <v>953684.54962736601</v>
      </c>
      <c r="O1017" s="81">
        <f ca="1">SUMPRODUCT((Work_Codes!$AR$409:$AX$409=$E1017)*(Work_Codes!$AR$412:$AX$413)*(O$867:O$868))</f>
        <v>1571364.3686742503</v>
      </c>
      <c r="P1017" s="81">
        <f ca="1">SUMPRODUCT((Work_Codes!$AR$409:$AX$409=$E1017)*(Work_Codes!$AR$412:$AX$413)*(P$867:P$868))</f>
        <v>2965492.0534040378</v>
      </c>
      <c r="Q1017" s="81">
        <f ca="1">SUMPRODUCT((Work_Codes!$AR$409:$AX$409=$E1017)*(Work_Codes!$AR$412:$AX$413)*(Q$867:Q$868))</f>
        <v>3029964.5137608186</v>
      </c>
      <c r="R1017" s="81">
        <f ca="1">SUMPRODUCT((Work_Codes!$AR$409:$AX$409=$E1017)*(Work_Codes!$AR$412:$AX$413)*(R$867:R$868))</f>
        <v>3093598.5792881539</v>
      </c>
      <c r="S1017" s="81">
        <f ca="1">SUMPRODUCT((Work_Codes!$AR$409:$AX$409=$E1017)*(Work_Codes!$AR$412:$AX$413)*(S$867:S$868))</f>
        <v>3043078.4650417231</v>
      </c>
      <c r="T1017" s="81">
        <f ca="1">SUMPRODUCT((Work_Codes!$AR$409:$AX$409=$E1017)*(Work_Codes!$AR$412:$AX$413)*(T$867:T$868))</f>
        <v>2990529.4027697779</v>
      </c>
    </row>
    <row r="1018" spans="2:20" outlineLevel="2">
      <c r="E1018" s="247" t="str">
        <f>GC!C79</f>
        <v>Meters Domestic</v>
      </c>
      <c r="F1018" s="247"/>
      <c r="G1018" s="247"/>
      <c r="H1018" s="247"/>
      <c r="I1018" s="247"/>
      <c r="J1018" s="81">
        <f ca="1">SUMPRODUCT((Work_Codes!$AR$409:$AX$409=$E1018)*(Work_Codes!$AR$412:$AX$413)*(J$867:J$868))</f>
        <v>0</v>
      </c>
      <c r="K1018" s="81">
        <f ca="1">SUMPRODUCT((Work_Codes!$AR$409:$AX$409=$E1018)*(Work_Codes!$AR$412:$AX$413)*(K$867:K$868))</f>
        <v>0</v>
      </c>
      <c r="L1018" s="81">
        <f ca="1">SUMPRODUCT((Work_Codes!$AR$409:$AX$409=$E1018)*(Work_Codes!$AR$412:$AX$413)*(L$867:L$868))</f>
        <v>0</v>
      </c>
      <c r="M1018" s="81">
        <f ca="1">SUMPRODUCT((Work_Codes!$AR$409:$AX$409=$E1018)*(Work_Codes!$AR$412:$AX$413)*(M$867:M$868))</f>
        <v>0</v>
      </c>
      <c r="N1018" s="81">
        <f ca="1">SUMPRODUCT((Work_Codes!$AR$409:$AX$409=$E1018)*(Work_Codes!$AR$412:$AX$413)*(N$867:N$868))</f>
        <v>0</v>
      </c>
      <c r="O1018" s="81">
        <f ca="1">SUMPRODUCT((Work_Codes!$AR$409:$AX$409=$E1018)*(Work_Codes!$AR$412:$AX$413)*(O$867:O$868))</f>
        <v>0</v>
      </c>
      <c r="P1018" s="81">
        <f ca="1">SUMPRODUCT((Work_Codes!$AR$409:$AX$409=$E1018)*(Work_Codes!$AR$412:$AX$413)*(P$867:P$868))</f>
        <v>0</v>
      </c>
      <c r="Q1018" s="81">
        <f ca="1">SUMPRODUCT((Work_Codes!$AR$409:$AX$409=$E1018)*(Work_Codes!$AR$412:$AX$413)*(Q$867:Q$868))</f>
        <v>0</v>
      </c>
      <c r="R1018" s="81">
        <f ca="1">SUMPRODUCT((Work_Codes!$AR$409:$AX$409=$E1018)*(Work_Codes!$AR$412:$AX$413)*(R$867:R$868))</f>
        <v>0</v>
      </c>
      <c r="S1018" s="81">
        <f ca="1">SUMPRODUCT((Work_Codes!$AR$409:$AX$409=$E1018)*(Work_Codes!$AR$412:$AX$413)*(S$867:S$868))</f>
        <v>0</v>
      </c>
      <c r="T1018" s="81">
        <f ca="1">SUMPRODUCT((Work_Codes!$AR$409:$AX$409=$E1018)*(Work_Codes!$AR$412:$AX$413)*(T$867:T$868))</f>
        <v>0</v>
      </c>
    </row>
    <row r="1019" spans="2:20" outlineLevel="2">
      <c r="E1019" s="247" t="str">
        <f>GC!C80</f>
        <v>Meters Industrial &amp; Commercial</v>
      </c>
      <c r="F1019" s="247"/>
      <c r="G1019" s="247"/>
      <c r="H1019" s="247"/>
      <c r="I1019" s="247"/>
      <c r="J1019" s="81">
        <f ca="1">SUMPRODUCT((Work_Codes!$AR$409:$AX$409=$E1019)*(Work_Codes!$AR$412:$AX$413)*(J$867:J$868))</f>
        <v>0</v>
      </c>
      <c r="K1019" s="81">
        <f ca="1">SUMPRODUCT((Work_Codes!$AR$409:$AX$409=$E1019)*(Work_Codes!$AR$412:$AX$413)*(K$867:K$868))</f>
        <v>0</v>
      </c>
      <c r="L1019" s="81">
        <f ca="1">SUMPRODUCT((Work_Codes!$AR$409:$AX$409=$E1019)*(Work_Codes!$AR$412:$AX$413)*(L$867:L$868))</f>
        <v>0</v>
      </c>
      <c r="M1019" s="81">
        <f ca="1">SUMPRODUCT((Work_Codes!$AR$409:$AX$409=$E1019)*(Work_Codes!$AR$412:$AX$413)*(M$867:M$868))</f>
        <v>0</v>
      </c>
      <c r="N1019" s="81">
        <f ca="1">SUMPRODUCT((Work_Codes!$AR$409:$AX$409=$E1019)*(Work_Codes!$AR$412:$AX$413)*(N$867:N$868))</f>
        <v>0</v>
      </c>
      <c r="O1019" s="81">
        <f ca="1">SUMPRODUCT((Work_Codes!$AR$409:$AX$409=$E1019)*(Work_Codes!$AR$412:$AX$413)*(O$867:O$868))</f>
        <v>0</v>
      </c>
      <c r="P1019" s="81">
        <f ca="1">SUMPRODUCT((Work_Codes!$AR$409:$AX$409=$E1019)*(Work_Codes!$AR$412:$AX$413)*(P$867:P$868))</f>
        <v>0</v>
      </c>
      <c r="Q1019" s="81">
        <f ca="1">SUMPRODUCT((Work_Codes!$AR$409:$AX$409=$E1019)*(Work_Codes!$AR$412:$AX$413)*(Q$867:Q$868))</f>
        <v>0</v>
      </c>
      <c r="R1019" s="81">
        <f ca="1">SUMPRODUCT((Work_Codes!$AR$409:$AX$409=$E1019)*(Work_Codes!$AR$412:$AX$413)*(R$867:R$868))</f>
        <v>0</v>
      </c>
      <c r="S1019" s="81">
        <f ca="1">SUMPRODUCT((Work_Codes!$AR$409:$AX$409=$E1019)*(Work_Codes!$AR$412:$AX$413)*(S$867:S$868))</f>
        <v>0</v>
      </c>
      <c r="T1019" s="81">
        <f ca="1">SUMPRODUCT((Work_Codes!$AR$409:$AX$409=$E1019)*(Work_Codes!$AR$412:$AX$413)*(T$867:T$868))</f>
        <v>0</v>
      </c>
    </row>
    <row r="1020" spans="2:20" outlineLevel="2">
      <c r="E1020" s="247" t="str">
        <f>GC!C81</f>
        <v>Buildings</v>
      </c>
      <c r="F1020" s="247"/>
      <c r="G1020" s="247"/>
      <c r="H1020" s="247"/>
      <c r="I1020" s="247"/>
      <c r="J1020" s="81">
        <f ca="1">SUMPRODUCT((Work_Codes!$AR$409:$AX$409=$E1020)*(Work_Codes!$AR$412:$AX$413)*(J$867:J$868))</f>
        <v>0</v>
      </c>
      <c r="K1020" s="81">
        <f ca="1">SUMPRODUCT((Work_Codes!$AR$409:$AX$409=$E1020)*(Work_Codes!$AR$412:$AX$413)*(K$867:K$868))</f>
        <v>0</v>
      </c>
      <c r="L1020" s="81">
        <f ca="1">SUMPRODUCT((Work_Codes!$AR$409:$AX$409=$E1020)*(Work_Codes!$AR$412:$AX$413)*(L$867:L$868))</f>
        <v>0</v>
      </c>
      <c r="M1020" s="81">
        <f ca="1">SUMPRODUCT((Work_Codes!$AR$409:$AX$409=$E1020)*(Work_Codes!$AR$412:$AX$413)*(M$867:M$868))</f>
        <v>0</v>
      </c>
      <c r="N1020" s="81">
        <f ca="1">SUMPRODUCT((Work_Codes!$AR$409:$AX$409=$E1020)*(Work_Codes!$AR$412:$AX$413)*(N$867:N$868))</f>
        <v>0</v>
      </c>
      <c r="O1020" s="81">
        <f ca="1">SUMPRODUCT((Work_Codes!$AR$409:$AX$409=$E1020)*(Work_Codes!$AR$412:$AX$413)*(O$867:O$868))</f>
        <v>0</v>
      </c>
      <c r="P1020" s="81">
        <f ca="1">SUMPRODUCT((Work_Codes!$AR$409:$AX$409=$E1020)*(Work_Codes!$AR$412:$AX$413)*(P$867:P$868))</f>
        <v>0</v>
      </c>
      <c r="Q1020" s="81">
        <f ca="1">SUMPRODUCT((Work_Codes!$AR$409:$AX$409=$E1020)*(Work_Codes!$AR$412:$AX$413)*(Q$867:Q$868))</f>
        <v>0</v>
      </c>
      <c r="R1020" s="81">
        <f ca="1">SUMPRODUCT((Work_Codes!$AR$409:$AX$409=$E1020)*(Work_Codes!$AR$412:$AX$413)*(R$867:R$868))</f>
        <v>0</v>
      </c>
      <c r="S1020" s="81">
        <f ca="1">SUMPRODUCT((Work_Codes!$AR$409:$AX$409=$E1020)*(Work_Codes!$AR$412:$AX$413)*(S$867:S$868))</f>
        <v>0</v>
      </c>
      <c r="T1020" s="81">
        <f ca="1">SUMPRODUCT((Work_Codes!$AR$409:$AX$409=$E1020)*(Work_Codes!$AR$412:$AX$413)*(T$867:T$868))</f>
        <v>0</v>
      </c>
    </row>
    <row r="1021" spans="2:20" outlineLevel="2">
      <c r="E1021" s="247" t="str">
        <f>GC!C82</f>
        <v>Other Assets</v>
      </c>
      <c r="F1021" s="247"/>
      <c r="G1021" s="247"/>
      <c r="H1021" s="247"/>
      <c r="I1021" s="247"/>
      <c r="J1021" s="81">
        <f ca="1">SUMPRODUCT((Work_Codes!$AR$409:$AX$409=$E1021)*(Work_Codes!$AR$412:$AX$413)*(J$867:J$868))</f>
        <v>0</v>
      </c>
      <c r="K1021" s="81">
        <f ca="1">SUMPRODUCT((Work_Codes!$AR$409:$AX$409=$E1021)*(Work_Codes!$AR$412:$AX$413)*(K$867:K$868))</f>
        <v>0</v>
      </c>
      <c r="L1021" s="81">
        <f ca="1">SUMPRODUCT((Work_Codes!$AR$409:$AX$409=$E1021)*(Work_Codes!$AR$412:$AX$413)*(L$867:L$868))</f>
        <v>0</v>
      </c>
      <c r="M1021" s="81">
        <f ca="1">SUMPRODUCT((Work_Codes!$AR$409:$AX$409=$E1021)*(Work_Codes!$AR$412:$AX$413)*(M$867:M$868))</f>
        <v>0</v>
      </c>
      <c r="N1021" s="81">
        <f ca="1">SUMPRODUCT((Work_Codes!$AR$409:$AX$409=$E1021)*(Work_Codes!$AR$412:$AX$413)*(N$867:N$868))</f>
        <v>0</v>
      </c>
      <c r="O1021" s="81">
        <f ca="1">SUMPRODUCT((Work_Codes!$AR$409:$AX$409=$E1021)*(Work_Codes!$AR$412:$AX$413)*(O$867:O$868))</f>
        <v>0</v>
      </c>
      <c r="P1021" s="81">
        <f ca="1">SUMPRODUCT((Work_Codes!$AR$409:$AX$409=$E1021)*(Work_Codes!$AR$412:$AX$413)*(P$867:P$868))</f>
        <v>0</v>
      </c>
      <c r="Q1021" s="81">
        <f ca="1">SUMPRODUCT((Work_Codes!$AR$409:$AX$409=$E1021)*(Work_Codes!$AR$412:$AX$413)*(Q$867:Q$868))</f>
        <v>0</v>
      </c>
      <c r="R1021" s="81">
        <f ca="1">SUMPRODUCT((Work_Codes!$AR$409:$AX$409=$E1021)*(Work_Codes!$AR$412:$AX$413)*(R$867:R$868))</f>
        <v>0</v>
      </c>
      <c r="S1021" s="81">
        <f ca="1">SUMPRODUCT((Work_Codes!$AR$409:$AX$409=$E1021)*(Work_Codes!$AR$412:$AX$413)*(S$867:S$868))</f>
        <v>0</v>
      </c>
      <c r="T1021" s="81">
        <f ca="1">SUMPRODUCT((Work_Codes!$AR$409:$AX$409=$E1021)*(Work_Codes!$AR$412:$AX$413)*(T$867:T$868))</f>
        <v>0</v>
      </c>
    </row>
    <row r="1022" spans="2:20" outlineLevel="2">
      <c r="E1022" s="247" t="str">
        <f>GC!C83</f>
        <v>Repairs</v>
      </c>
      <c r="F1022" s="247"/>
      <c r="G1022" s="247"/>
      <c r="H1022" s="247"/>
      <c r="I1022" s="247"/>
      <c r="J1022" s="81">
        <f ca="1">SUMPRODUCT((Work_Codes!$AR$409:$AX$409=$E1022)*(Work_Codes!$AR$412:$AX$413)*(J$867:J$868))</f>
        <v>0</v>
      </c>
      <c r="K1022" s="81">
        <f ca="1">SUMPRODUCT((Work_Codes!$AR$409:$AX$409=$E1022)*(Work_Codes!$AR$412:$AX$413)*(K$867:K$868))</f>
        <v>0</v>
      </c>
      <c r="L1022" s="81">
        <f ca="1">SUMPRODUCT((Work_Codes!$AR$409:$AX$409=$E1022)*(Work_Codes!$AR$412:$AX$413)*(L$867:L$868))</f>
        <v>0</v>
      </c>
      <c r="M1022" s="81">
        <f ca="1">SUMPRODUCT((Work_Codes!$AR$409:$AX$409=$E1022)*(Work_Codes!$AR$412:$AX$413)*(M$867:M$868))</f>
        <v>0</v>
      </c>
      <c r="N1022" s="81">
        <f ca="1">SUMPRODUCT((Work_Codes!$AR$409:$AX$409=$E1022)*(Work_Codes!$AR$412:$AX$413)*(N$867:N$868))</f>
        <v>0</v>
      </c>
      <c r="O1022" s="81">
        <f ca="1">SUMPRODUCT((Work_Codes!$AR$409:$AX$409=$E1022)*(Work_Codes!$AR$412:$AX$413)*(O$867:O$868))</f>
        <v>0</v>
      </c>
      <c r="P1022" s="81">
        <f ca="1">SUMPRODUCT((Work_Codes!$AR$409:$AX$409=$E1022)*(Work_Codes!$AR$412:$AX$413)*(P$867:P$868))</f>
        <v>0</v>
      </c>
      <c r="Q1022" s="81">
        <f ca="1">SUMPRODUCT((Work_Codes!$AR$409:$AX$409=$E1022)*(Work_Codes!$AR$412:$AX$413)*(Q$867:Q$868))</f>
        <v>0</v>
      </c>
      <c r="R1022" s="81">
        <f ca="1">SUMPRODUCT((Work_Codes!$AR$409:$AX$409=$E1022)*(Work_Codes!$AR$412:$AX$413)*(R$867:R$868))</f>
        <v>0</v>
      </c>
      <c r="S1022" s="81">
        <f ca="1">SUMPRODUCT((Work_Codes!$AR$409:$AX$409=$E1022)*(Work_Codes!$AR$412:$AX$413)*(S$867:S$868))</f>
        <v>0</v>
      </c>
      <c r="T1022" s="81">
        <f ca="1">SUMPRODUCT((Work_Codes!$AR$409:$AX$409=$E1022)*(Work_Codes!$AR$412:$AX$413)*(T$867:T$868))</f>
        <v>0</v>
      </c>
    </row>
    <row r="1023" spans="2:20" outlineLevel="2">
      <c r="E1023" s="247" t="str">
        <f>GC!C84</f>
        <v>Land</v>
      </c>
      <c r="F1023" s="247"/>
      <c r="G1023" s="247"/>
      <c r="H1023" s="247"/>
      <c r="I1023" s="247"/>
      <c r="J1023" s="81">
        <f ca="1">SUMPRODUCT((Work_Codes!$AR$409:$AX$409=$E1023)*(Work_Codes!$AR$412:$AX$413)*(J$867:J$868))</f>
        <v>0</v>
      </c>
      <c r="K1023" s="81">
        <f ca="1">SUMPRODUCT((Work_Codes!$AR$409:$AX$409=$E1023)*(Work_Codes!$AR$412:$AX$413)*(K$867:K$868))</f>
        <v>0</v>
      </c>
      <c r="L1023" s="81">
        <f ca="1">SUMPRODUCT((Work_Codes!$AR$409:$AX$409=$E1023)*(Work_Codes!$AR$412:$AX$413)*(L$867:L$868))</f>
        <v>0</v>
      </c>
      <c r="M1023" s="81">
        <f ca="1">SUMPRODUCT((Work_Codes!$AR$409:$AX$409=$E1023)*(Work_Codes!$AR$412:$AX$413)*(M$867:M$868))</f>
        <v>0</v>
      </c>
      <c r="N1023" s="81">
        <f ca="1">SUMPRODUCT((Work_Codes!$AR$409:$AX$409=$E1023)*(Work_Codes!$AR$412:$AX$413)*(N$867:N$868))</f>
        <v>0</v>
      </c>
      <c r="O1023" s="81">
        <f ca="1">SUMPRODUCT((Work_Codes!$AR$409:$AX$409=$E1023)*(Work_Codes!$AR$412:$AX$413)*(O$867:O$868))</f>
        <v>0</v>
      </c>
      <c r="P1023" s="81">
        <f ca="1">SUMPRODUCT((Work_Codes!$AR$409:$AX$409=$E1023)*(Work_Codes!$AR$412:$AX$413)*(P$867:P$868))</f>
        <v>0</v>
      </c>
      <c r="Q1023" s="81">
        <f ca="1">SUMPRODUCT((Work_Codes!$AR$409:$AX$409=$E1023)*(Work_Codes!$AR$412:$AX$413)*(Q$867:Q$868))</f>
        <v>0</v>
      </c>
      <c r="R1023" s="81">
        <f ca="1">SUMPRODUCT((Work_Codes!$AR$409:$AX$409=$E1023)*(Work_Codes!$AR$412:$AX$413)*(R$867:R$868))</f>
        <v>0</v>
      </c>
      <c r="S1023" s="81">
        <f ca="1">SUMPRODUCT((Work_Codes!$AR$409:$AX$409=$E1023)*(Work_Codes!$AR$412:$AX$413)*(S$867:S$868))</f>
        <v>0</v>
      </c>
      <c r="T1023" s="81">
        <f ca="1">SUMPRODUCT((Work_Codes!$AR$409:$AX$409=$E1023)*(Work_Codes!$AR$412:$AX$413)*(T$867:T$868))</f>
        <v>0</v>
      </c>
    </row>
    <row r="1024" spans="2:20" outlineLevel="2">
      <c r="E1024" s="249" t="str">
        <f>"Total "&amp;D1015</f>
        <v>Total Direct Costs</v>
      </c>
      <c r="F1024" s="249"/>
      <c r="G1024" s="249"/>
      <c r="H1024" s="249"/>
      <c r="I1024" s="249"/>
      <c r="J1024" s="82">
        <f t="shared" ref="J1024:T1024" ca="1" si="96">SUM(J1017:J1023)</f>
        <v>0</v>
      </c>
      <c r="K1024" s="82">
        <f t="shared" ca="1" si="96"/>
        <v>0</v>
      </c>
      <c r="L1024" s="82">
        <f t="shared" ca="1" si="96"/>
        <v>0</v>
      </c>
      <c r="M1024" s="82">
        <f t="shared" ca="1" si="96"/>
        <v>0</v>
      </c>
      <c r="N1024" s="82">
        <f t="shared" ca="1" si="96"/>
        <v>953684.54962736601</v>
      </c>
      <c r="O1024" s="82">
        <f t="shared" ca="1" si="96"/>
        <v>1571364.3686742503</v>
      </c>
      <c r="P1024" s="82">
        <f t="shared" ca="1" si="96"/>
        <v>2965492.0534040378</v>
      </c>
      <c r="Q1024" s="82">
        <f t="shared" ca="1" si="96"/>
        <v>3029964.5137608186</v>
      </c>
      <c r="R1024" s="82">
        <f t="shared" ca="1" si="96"/>
        <v>3093598.5792881539</v>
      </c>
      <c r="S1024" s="82">
        <f t="shared" ca="1" si="96"/>
        <v>3043078.4650417231</v>
      </c>
      <c r="T1024" s="82">
        <f t="shared" ca="1" si="96"/>
        <v>2990529.4027697779</v>
      </c>
    </row>
    <row r="1025" spans="2:20" outlineLevel="2"/>
    <row r="1026" spans="2:20" outlineLevel="2">
      <c r="D1026" s="37" t="s">
        <v>313</v>
      </c>
    </row>
    <row r="1027" spans="2:20" ht="5.9" customHeight="1" outlineLevel="2"/>
    <row r="1028" spans="2:20" outlineLevel="2">
      <c r="E1028" s="247" t="str">
        <f>GC!C78</f>
        <v>Mains &amp; Services</v>
      </c>
      <c r="F1028" s="247"/>
      <c r="G1028" s="247"/>
      <c r="H1028" s="247"/>
      <c r="I1028" s="247"/>
      <c r="J1028" s="81">
        <f ca="1">J1017*(1+INDEX(J$806:J$808,MATCH(Work_Codes!$I$406,$D$806:$D$808,0)))</f>
        <v>0</v>
      </c>
      <c r="K1028" s="81">
        <f ca="1">K1017*(1+INDEX(K$806:K$808,MATCH(Work_Codes!$I$406,$D$806:$D$808,0)))</f>
        <v>0</v>
      </c>
      <c r="L1028" s="81">
        <f ca="1">L1017*(1+INDEX(L$806:L$808,MATCH(Work_Codes!$I$406,$D$806:$D$808,0)))</f>
        <v>0</v>
      </c>
      <c r="M1028" s="81">
        <f ca="1">M1017*(1+INDEX(M$806:M$808,MATCH(Work_Codes!$I$406,$D$806:$D$808,0)))</f>
        <v>0</v>
      </c>
      <c r="N1028" s="81">
        <f ca="1">N1017*(1+INDEX(N$806:N$808,MATCH(Work_Codes!$I$406,$D$806:$D$808,0)))</f>
        <v>989648.95471935649</v>
      </c>
      <c r="O1028" s="81">
        <f ca="1">O1017*(1+INDEX(O$806:O$808,MATCH(Work_Codes!$I$406,$D$806:$D$808,0)))</f>
        <v>1623665.6116948731</v>
      </c>
      <c r="P1028" s="81">
        <f ca="1">P1017*(1+INDEX(P$806:P$808,MATCH(Work_Codes!$I$406,$D$806:$D$808,0)))</f>
        <v>3044826.855564076</v>
      </c>
      <c r="Q1028" s="81">
        <f ca="1">Q1017*(1+INDEX(Q$806:Q$808,MATCH(Work_Codes!$I$406,$D$806:$D$808,0)))</f>
        <v>3108927.1686360342</v>
      </c>
      <c r="R1028" s="81">
        <f ca="1">R1017*(1+INDEX(R$806:R$808,MATCH(Work_Codes!$I$406,$D$806:$D$808,0)))</f>
        <v>3176732.872432556</v>
      </c>
      <c r="S1028" s="81">
        <f ca="1">S1017*(1+INDEX(S$806:S$808,MATCH(Work_Codes!$I$406,$D$806:$D$808,0)))</f>
        <v>3129946.7273970642</v>
      </c>
      <c r="T1028" s="81">
        <f ca="1">T1017*(1+INDEX(T$806:T$808,MATCH(Work_Codes!$I$406,$D$806:$D$808,0)))</f>
        <v>3080007.1735298946</v>
      </c>
    </row>
    <row r="1029" spans="2:20" outlineLevel="2">
      <c r="E1029" s="247" t="str">
        <f>GC!C79</f>
        <v>Meters Domestic</v>
      </c>
      <c r="F1029" s="247"/>
      <c r="G1029" s="247"/>
      <c r="H1029" s="247"/>
      <c r="I1029" s="247"/>
      <c r="J1029" s="81">
        <f ca="1">J1018*(1+INDEX(J$806:J$808,MATCH(Work_Codes!$I$406,$D$806:$D$808,0)))</f>
        <v>0</v>
      </c>
      <c r="K1029" s="81">
        <f ca="1">K1018*(1+INDEX(K$806:K$808,MATCH(Work_Codes!$I$406,$D$806:$D$808,0)))</f>
        <v>0</v>
      </c>
      <c r="L1029" s="81">
        <f ca="1">L1018*(1+INDEX(L$806:L$808,MATCH(Work_Codes!$I$406,$D$806:$D$808,0)))</f>
        <v>0</v>
      </c>
      <c r="M1029" s="81">
        <f ca="1">M1018*(1+INDEX(M$806:M$808,MATCH(Work_Codes!$I$406,$D$806:$D$808,0)))</f>
        <v>0</v>
      </c>
      <c r="N1029" s="81">
        <f ca="1">N1018*(1+INDEX(N$806:N$808,MATCH(Work_Codes!$I$406,$D$806:$D$808,0)))</f>
        <v>0</v>
      </c>
      <c r="O1029" s="81">
        <f ca="1">O1018*(1+INDEX(O$806:O$808,MATCH(Work_Codes!$I$406,$D$806:$D$808,0)))</f>
        <v>0</v>
      </c>
      <c r="P1029" s="81">
        <f ca="1">P1018*(1+INDEX(P$806:P$808,MATCH(Work_Codes!$I$406,$D$806:$D$808,0)))</f>
        <v>0</v>
      </c>
      <c r="Q1029" s="81">
        <f ca="1">Q1018*(1+INDEX(Q$806:Q$808,MATCH(Work_Codes!$I$406,$D$806:$D$808,0)))</f>
        <v>0</v>
      </c>
      <c r="R1029" s="81">
        <f ca="1">R1018*(1+INDEX(R$806:R$808,MATCH(Work_Codes!$I$406,$D$806:$D$808,0)))</f>
        <v>0</v>
      </c>
      <c r="S1029" s="81">
        <f ca="1">S1018*(1+INDEX(S$806:S$808,MATCH(Work_Codes!$I$406,$D$806:$D$808,0)))</f>
        <v>0</v>
      </c>
      <c r="T1029" s="81">
        <f ca="1">T1018*(1+INDEX(T$806:T$808,MATCH(Work_Codes!$I$406,$D$806:$D$808,0)))</f>
        <v>0</v>
      </c>
    </row>
    <row r="1030" spans="2:20" outlineLevel="2">
      <c r="E1030" s="247" t="str">
        <f>GC!C80</f>
        <v>Meters Industrial &amp; Commercial</v>
      </c>
      <c r="F1030" s="247"/>
      <c r="G1030" s="247"/>
      <c r="H1030" s="247"/>
      <c r="I1030" s="247"/>
      <c r="J1030" s="81">
        <f ca="1">J1019*(1+INDEX(J$806:J$808,MATCH(Work_Codes!$I$406,$D$806:$D$808,0)))</f>
        <v>0</v>
      </c>
      <c r="K1030" s="81">
        <f ca="1">K1019*(1+INDEX(K$806:K$808,MATCH(Work_Codes!$I$406,$D$806:$D$808,0)))</f>
        <v>0</v>
      </c>
      <c r="L1030" s="81">
        <f ca="1">L1019*(1+INDEX(L$806:L$808,MATCH(Work_Codes!$I$406,$D$806:$D$808,0)))</f>
        <v>0</v>
      </c>
      <c r="M1030" s="81">
        <f ca="1">M1019*(1+INDEX(M$806:M$808,MATCH(Work_Codes!$I$406,$D$806:$D$808,0)))</f>
        <v>0</v>
      </c>
      <c r="N1030" s="81">
        <f ca="1">N1019*(1+INDEX(N$806:N$808,MATCH(Work_Codes!$I$406,$D$806:$D$808,0)))</f>
        <v>0</v>
      </c>
      <c r="O1030" s="81">
        <f ca="1">O1019*(1+INDEX(O$806:O$808,MATCH(Work_Codes!$I$406,$D$806:$D$808,0)))</f>
        <v>0</v>
      </c>
      <c r="P1030" s="81">
        <f ca="1">P1019*(1+INDEX(P$806:P$808,MATCH(Work_Codes!$I$406,$D$806:$D$808,0)))</f>
        <v>0</v>
      </c>
      <c r="Q1030" s="81">
        <f ca="1">Q1019*(1+INDEX(Q$806:Q$808,MATCH(Work_Codes!$I$406,$D$806:$D$808,0)))</f>
        <v>0</v>
      </c>
      <c r="R1030" s="81">
        <f ca="1">R1019*(1+INDEX(R$806:R$808,MATCH(Work_Codes!$I$406,$D$806:$D$808,0)))</f>
        <v>0</v>
      </c>
      <c r="S1030" s="81">
        <f ca="1">S1019*(1+INDEX(S$806:S$808,MATCH(Work_Codes!$I$406,$D$806:$D$808,0)))</f>
        <v>0</v>
      </c>
      <c r="T1030" s="81">
        <f ca="1">T1019*(1+INDEX(T$806:T$808,MATCH(Work_Codes!$I$406,$D$806:$D$808,0)))</f>
        <v>0</v>
      </c>
    </row>
    <row r="1031" spans="2:20" outlineLevel="2">
      <c r="E1031" s="247" t="str">
        <f>GC!C81</f>
        <v>Buildings</v>
      </c>
      <c r="F1031" s="247"/>
      <c r="G1031" s="247"/>
      <c r="H1031" s="247"/>
      <c r="I1031" s="247"/>
      <c r="J1031" s="81">
        <f ca="1">J1020*(1+INDEX(J$806:J$808,MATCH(Work_Codes!$I$406,$D$806:$D$808,0)))</f>
        <v>0</v>
      </c>
      <c r="K1031" s="81">
        <f ca="1">K1020*(1+INDEX(K$806:K$808,MATCH(Work_Codes!$I$406,$D$806:$D$808,0)))</f>
        <v>0</v>
      </c>
      <c r="L1031" s="81">
        <f ca="1">L1020*(1+INDEX(L$806:L$808,MATCH(Work_Codes!$I$406,$D$806:$D$808,0)))</f>
        <v>0</v>
      </c>
      <c r="M1031" s="81">
        <f ca="1">M1020*(1+INDEX(M$806:M$808,MATCH(Work_Codes!$I$406,$D$806:$D$808,0)))</f>
        <v>0</v>
      </c>
      <c r="N1031" s="81">
        <f ca="1">N1020*(1+INDEX(N$806:N$808,MATCH(Work_Codes!$I$406,$D$806:$D$808,0)))</f>
        <v>0</v>
      </c>
      <c r="O1031" s="81">
        <f ca="1">O1020*(1+INDEX(O$806:O$808,MATCH(Work_Codes!$I$406,$D$806:$D$808,0)))</f>
        <v>0</v>
      </c>
      <c r="P1031" s="81">
        <f ca="1">P1020*(1+INDEX(P$806:P$808,MATCH(Work_Codes!$I$406,$D$806:$D$808,0)))</f>
        <v>0</v>
      </c>
      <c r="Q1031" s="81">
        <f ca="1">Q1020*(1+INDEX(Q$806:Q$808,MATCH(Work_Codes!$I$406,$D$806:$D$808,0)))</f>
        <v>0</v>
      </c>
      <c r="R1031" s="81">
        <f ca="1">R1020*(1+INDEX(R$806:R$808,MATCH(Work_Codes!$I$406,$D$806:$D$808,0)))</f>
        <v>0</v>
      </c>
      <c r="S1031" s="81">
        <f ca="1">S1020*(1+INDEX(S$806:S$808,MATCH(Work_Codes!$I$406,$D$806:$D$808,0)))</f>
        <v>0</v>
      </c>
      <c r="T1031" s="81">
        <f ca="1">T1020*(1+INDEX(T$806:T$808,MATCH(Work_Codes!$I$406,$D$806:$D$808,0)))</f>
        <v>0</v>
      </c>
    </row>
    <row r="1032" spans="2:20" outlineLevel="2">
      <c r="E1032" s="247" t="str">
        <f>GC!C82</f>
        <v>Other Assets</v>
      </c>
      <c r="F1032" s="247"/>
      <c r="G1032" s="247"/>
      <c r="H1032" s="247"/>
      <c r="I1032" s="247"/>
      <c r="J1032" s="81">
        <f ca="1">J1021*(1+INDEX(J$806:J$808,MATCH(Work_Codes!$I$406,$D$806:$D$808,0)))</f>
        <v>0</v>
      </c>
      <c r="K1032" s="81">
        <f ca="1">K1021*(1+INDEX(K$806:K$808,MATCH(Work_Codes!$I$406,$D$806:$D$808,0)))</f>
        <v>0</v>
      </c>
      <c r="L1032" s="81">
        <f ca="1">L1021*(1+INDEX(L$806:L$808,MATCH(Work_Codes!$I$406,$D$806:$D$808,0)))</f>
        <v>0</v>
      </c>
      <c r="M1032" s="81">
        <f ca="1">M1021*(1+INDEX(M$806:M$808,MATCH(Work_Codes!$I$406,$D$806:$D$808,0)))</f>
        <v>0</v>
      </c>
      <c r="N1032" s="81">
        <f ca="1">N1021*(1+INDEX(N$806:N$808,MATCH(Work_Codes!$I$406,$D$806:$D$808,0)))</f>
        <v>0</v>
      </c>
      <c r="O1032" s="81">
        <f ca="1">O1021*(1+INDEX(O$806:O$808,MATCH(Work_Codes!$I$406,$D$806:$D$808,0)))</f>
        <v>0</v>
      </c>
      <c r="P1032" s="81">
        <f ca="1">P1021*(1+INDEX(P$806:P$808,MATCH(Work_Codes!$I$406,$D$806:$D$808,0)))</f>
        <v>0</v>
      </c>
      <c r="Q1032" s="81">
        <f ca="1">Q1021*(1+INDEX(Q$806:Q$808,MATCH(Work_Codes!$I$406,$D$806:$D$808,0)))</f>
        <v>0</v>
      </c>
      <c r="R1032" s="81">
        <f ca="1">R1021*(1+INDEX(R$806:R$808,MATCH(Work_Codes!$I$406,$D$806:$D$808,0)))</f>
        <v>0</v>
      </c>
      <c r="S1032" s="81">
        <f ca="1">S1021*(1+INDEX(S$806:S$808,MATCH(Work_Codes!$I$406,$D$806:$D$808,0)))</f>
        <v>0</v>
      </c>
      <c r="T1032" s="81">
        <f ca="1">T1021*(1+INDEX(T$806:T$808,MATCH(Work_Codes!$I$406,$D$806:$D$808,0)))</f>
        <v>0</v>
      </c>
    </row>
    <row r="1033" spans="2:20" outlineLevel="2">
      <c r="E1033" s="247" t="str">
        <f>GC!C83</f>
        <v>Repairs</v>
      </c>
      <c r="F1033" s="247"/>
      <c r="G1033" s="247"/>
      <c r="H1033" s="247"/>
      <c r="I1033" s="247"/>
      <c r="J1033" s="81">
        <f ca="1">J1022*(1+INDEX(J$806:J$808,MATCH(Work_Codes!$I$406,$D$806:$D$808,0)))</f>
        <v>0</v>
      </c>
      <c r="K1033" s="81">
        <f ca="1">K1022*(1+INDEX(K$806:K$808,MATCH(Work_Codes!$I$406,$D$806:$D$808,0)))</f>
        <v>0</v>
      </c>
      <c r="L1033" s="81">
        <f ca="1">L1022*(1+INDEX(L$806:L$808,MATCH(Work_Codes!$I$406,$D$806:$D$808,0)))</f>
        <v>0</v>
      </c>
      <c r="M1033" s="81">
        <f ca="1">M1022*(1+INDEX(M$806:M$808,MATCH(Work_Codes!$I$406,$D$806:$D$808,0)))</f>
        <v>0</v>
      </c>
      <c r="N1033" s="81">
        <f ca="1">N1022*(1+INDEX(N$806:N$808,MATCH(Work_Codes!$I$406,$D$806:$D$808,0)))</f>
        <v>0</v>
      </c>
      <c r="O1033" s="81">
        <f ca="1">O1022*(1+INDEX(O$806:O$808,MATCH(Work_Codes!$I$406,$D$806:$D$808,0)))</f>
        <v>0</v>
      </c>
      <c r="P1033" s="81">
        <f ca="1">P1022*(1+INDEX(P$806:P$808,MATCH(Work_Codes!$I$406,$D$806:$D$808,0)))</f>
        <v>0</v>
      </c>
      <c r="Q1033" s="81">
        <f ca="1">Q1022*(1+INDEX(Q$806:Q$808,MATCH(Work_Codes!$I$406,$D$806:$D$808,0)))</f>
        <v>0</v>
      </c>
      <c r="R1033" s="81">
        <f ca="1">R1022*(1+INDEX(R$806:R$808,MATCH(Work_Codes!$I$406,$D$806:$D$808,0)))</f>
        <v>0</v>
      </c>
      <c r="S1033" s="81">
        <f ca="1">S1022*(1+INDEX(S$806:S$808,MATCH(Work_Codes!$I$406,$D$806:$D$808,0)))</f>
        <v>0</v>
      </c>
      <c r="T1033" s="81">
        <f ca="1">T1022*(1+INDEX(T$806:T$808,MATCH(Work_Codes!$I$406,$D$806:$D$808,0)))</f>
        <v>0</v>
      </c>
    </row>
    <row r="1034" spans="2:20" outlineLevel="2">
      <c r="E1034" s="247" t="str">
        <f>GC!C84</f>
        <v>Land</v>
      </c>
      <c r="F1034" s="247"/>
      <c r="G1034" s="247"/>
      <c r="H1034" s="247"/>
      <c r="I1034" s="247"/>
      <c r="J1034" s="81">
        <f ca="1">J1023*(1+INDEX(J$806:J$808,MATCH(Work_Codes!$I$406,$D$806:$D$808,0)))</f>
        <v>0</v>
      </c>
      <c r="K1034" s="81">
        <f ca="1">K1023*(1+INDEX(K$806:K$808,MATCH(Work_Codes!$I$406,$D$806:$D$808,0)))</f>
        <v>0</v>
      </c>
      <c r="L1034" s="81">
        <f ca="1">L1023*(1+INDEX(L$806:L$808,MATCH(Work_Codes!$I$406,$D$806:$D$808,0)))</f>
        <v>0</v>
      </c>
      <c r="M1034" s="81">
        <f ca="1">M1023*(1+INDEX(M$806:M$808,MATCH(Work_Codes!$I$406,$D$806:$D$808,0)))</f>
        <v>0</v>
      </c>
      <c r="N1034" s="81">
        <f ca="1">N1023*(1+INDEX(N$806:N$808,MATCH(Work_Codes!$I$406,$D$806:$D$808,0)))</f>
        <v>0</v>
      </c>
      <c r="O1034" s="81">
        <f ca="1">O1023*(1+INDEX(O$806:O$808,MATCH(Work_Codes!$I$406,$D$806:$D$808,0)))</f>
        <v>0</v>
      </c>
      <c r="P1034" s="81">
        <f ca="1">P1023*(1+INDEX(P$806:P$808,MATCH(Work_Codes!$I$406,$D$806:$D$808,0)))</f>
        <v>0</v>
      </c>
      <c r="Q1034" s="81">
        <f ca="1">Q1023*(1+INDEX(Q$806:Q$808,MATCH(Work_Codes!$I$406,$D$806:$D$808,0)))</f>
        <v>0</v>
      </c>
      <c r="R1034" s="81">
        <f ca="1">R1023*(1+INDEX(R$806:R$808,MATCH(Work_Codes!$I$406,$D$806:$D$808,0)))</f>
        <v>0</v>
      </c>
      <c r="S1034" s="81">
        <f ca="1">S1023*(1+INDEX(S$806:S$808,MATCH(Work_Codes!$I$406,$D$806:$D$808,0)))</f>
        <v>0</v>
      </c>
      <c r="T1034" s="81">
        <f ca="1">T1023*(1+INDEX(T$806:T$808,MATCH(Work_Codes!$I$406,$D$806:$D$808,0)))</f>
        <v>0</v>
      </c>
    </row>
    <row r="1035" spans="2:20" outlineLevel="2">
      <c r="E1035" s="249" t="str">
        <f>"Total "&amp;D1026</f>
        <v>Total Direct Costs +  Overheads</v>
      </c>
      <c r="F1035" s="249"/>
      <c r="G1035" s="249"/>
      <c r="H1035" s="249"/>
      <c r="I1035" s="249"/>
      <c r="J1035" s="82">
        <f t="shared" ref="J1035:T1035" ca="1" si="97">SUM(J1028:J1034)</f>
        <v>0</v>
      </c>
      <c r="K1035" s="82">
        <f t="shared" ca="1" si="97"/>
        <v>0</v>
      </c>
      <c r="L1035" s="82">
        <f t="shared" ca="1" si="97"/>
        <v>0</v>
      </c>
      <c r="M1035" s="82">
        <f t="shared" ca="1" si="97"/>
        <v>0</v>
      </c>
      <c r="N1035" s="82">
        <f t="shared" ca="1" si="97"/>
        <v>989648.95471935649</v>
      </c>
      <c r="O1035" s="82">
        <f t="shared" ca="1" si="97"/>
        <v>1623665.6116948731</v>
      </c>
      <c r="P1035" s="82">
        <f t="shared" ca="1" si="97"/>
        <v>3044826.855564076</v>
      </c>
      <c r="Q1035" s="82">
        <f t="shared" ca="1" si="97"/>
        <v>3108927.1686360342</v>
      </c>
      <c r="R1035" s="82">
        <f t="shared" ca="1" si="97"/>
        <v>3176732.872432556</v>
      </c>
      <c r="S1035" s="82">
        <f t="shared" ca="1" si="97"/>
        <v>3129946.7273970642</v>
      </c>
      <c r="T1035" s="82">
        <f t="shared" ca="1" si="97"/>
        <v>3080007.1735298946</v>
      </c>
    </row>
    <row r="1036" spans="2:20" outlineLevel="1">
      <c r="B1036" s="12"/>
      <c r="C1036" s="12"/>
      <c r="D1036" s="12"/>
      <c r="E1036" s="12"/>
      <c r="F1036" s="12"/>
      <c r="G1036" s="12"/>
      <c r="H1036" s="12"/>
      <c r="I1036" s="12"/>
      <c r="J1036" s="12"/>
      <c r="K1036" s="12"/>
      <c r="L1036" s="12"/>
      <c r="M1036" s="12"/>
      <c r="N1036" s="12"/>
      <c r="O1036" s="12"/>
      <c r="P1036" s="12"/>
      <c r="Q1036" s="12"/>
      <c r="R1036" s="12"/>
      <c r="S1036" s="12"/>
      <c r="T1036" s="12"/>
    </row>
    <row r="1037" spans="2:20" outlineLevel="1"/>
    <row r="1038" spans="2:20" outlineLevel="1">
      <c r="C1038" s="37" t="s">
        <v>19</v>
      </c>
    </row>
    <row r="1039" spans="2:20" ht="5.9" customHeight="1" outlineLevel="1"/>
    <row r="1040" spans="2:20" outlineLevel="1">
      <c r="F1040" s="51" t="str">
        <f>$B$794&amp;" Work Code v RAB Category Direct Check"</f>
        <v>3022 - Inputs Work Code v RAB Category Direct Check</v>
      </c>
      <c r="I1040" s="130">
        <f ca="1">IF(ISERROR(SUM(J1040:T1040)),1,MIN(SUM(J1040:T1040),1))</f>
        <v>0</v>
      </c>
      <c r="J1040" s="81">
        <f t="shared" ref="J1040:T1040" ca="1" si="98">J870-J893</f>
        <v>0</v>
      </c>
      <c r="K1040" s="81">
        <f t="shared" ca="1" si="98"/>
        <v>0</v>
      </c>
      <c r="L1040" s="81">
        <f t="shared" ca="1" si="98"/>
        <v>0</v>
      </c>
      <c r="M1040" s="81">
        <f t="shared" ca="1" si="98"/>
        <v>0</v>
      </c>
      <c r="N1040" s="81">
        <f t="shared" ca="1" si="98"/>
        <v>0</v>
      </c>
      <c r="O1040" s="81">
        <f t="shared" ca="1" si="98"/>
        <v>0</v>
      </c>
      <c r="P1040" s="81">
        <f t="shared" ca="1" si="98"/>
        <v>0</v>
      </c>
      <c r="Q1040" s="81">
        <f t="shared" ca="1" si="98"/>
        <v>0</v>
      </c>
      <c r="R1040" s="81">
        <f t="shared" ca="1" si="98"/>
        <v>0</v>
      </c>
      <c r="S1040" s="81">
        <f t="shared" ca="1" si="98"/>
        <v>0</v>
      </c>
      <c r="T1040" s="81">
        <f t="shared" ca="1" si="98"/>
        <v>0</v>
      </c>
    </row>
    <row r="1041" spans="2:20" outlineLevel="1">
      <c r="F1041" s="51" t="str">
        <f>$B$794&amp;" Work Code v RIN Category Direct Check"</f>
        <v>3022 - Inputs Work Code v RIN Category Direct Check</v>
      </c>
      <c r="I1041" s="130">
        <f ca="1">IF(ISERROR(SUM(J1041:T1041)),1,MIN(SUM(J1041:T1041),1))</f>
        <v>0</v>
      </c>
      <c r="J1041" s="81">
        <f t="shared" ref="J1041:T1041" ca="1" si="99">J870-J974</f>
        <v>0</v>
      </c>
      <c r="K1041" s="81">
        <f t="shared" ca="1" si="99"/>
        <v>0</v>
      </c>
      <c r="L1041" s="81">
        <f t="shared" ca="1" si="99"/>
        <v>0</v>
      </c>
      <c r="M1041" s="81">
        <f t="shared" ca="1" si="99"/>
        <v>0</v>
      </c>
      <c r="N1041" s="81">
        <f t="shared" ca="1" si="99"/>
        <v>0</v>
      </c>
      <c r="O1041" s="81">
        <f t="shared" ca="1" si="99"/>
        <v>0</v>
      </c>
      <c r="P1041" s="81">
        <f t="shared" ca="1" si="99"/>
        <v>0</v>
      </c>
      <c r="Q1041" s="81">
        <f t="shared" ca="1" si="99"/>
        <v>0</v>
      </c>
      <c r="R1041" s="81">
        <f t="shared" ca="1" si="99"/>
        <v>0</v>
      </c>
      <c r="S1041" s="81">
        <f t="shared" ca="1" si="99"/>
        <v>0</v>
      </c>
      <c r="T1041" s="81">
        <f t="shared" ca="1" si="99"/>
        <v>0</v>
      </c>
    </row>
    <row r="1042" spans="2:20" outlineLevel="1">
      <c r="F1042" s="51" t="str">
        <f>$B$794&amp;" Work Code v Tax Category Direct Check"</f>
        <v>3022 - Inputs Work Code v Tax Category Direct Check</v>
      </c>
      <c r="I1042" s="130">
        <f ca="1">IF(ISERROR(SUM(J1042:T1042)),1,MIN(SUM(J1042:T1042),1))</f>
        <v>0</v>
      </c>
      <c r="J1042" s="81">
        <f t="shared" ref="J1042:T1042" ca="1" si="100">J870-J1024</f>
        <v>0</v>
      </c>
      <c r="K1042" s="81">
        <f t="shared" ca="1" si="100"/>
        <v>0</v>
      </c>
      <c r="L1042" s="81">
        <f t="shared" ca="1" si="100"/>
        <v>0</v>
      </c>
      <c r="M1042" s="81">
        <f t="shared" ca="1" si="100"/>
        <v>0</v>
      </c>
      <c r="N1042" s="81">
        <f t="shared" ca="1" si="100"/>
        <v>0</v>
      </c>
      <c r="O1042" s="81">
        <f t="shared" ca="1" si="100"/>
        <v>0</v>
      </c>
      <c r="P1042" s="81">
        <f t="shared" ca="1" si="100"/>
        <v>0</v>
      </c>
      <c r="Q1042" s="81">
        <f t="shared" ca="1" si="100"/>
        <v>0</v>
      </c>
      <c r="R1042" s="81">
        <f t="shared" ca="1" si="100"/>
        <v>0</v>
      </c>
      <c r="S1042" s="81">
        <f t="shared" ca="1" si="100"/>
        <v>0</v>
      </c>
      <c r="T1042" s="81">
        <f t="shared" ca="1" si="100"/>
        <v>0</v>
      </c>
    </row>
    <row r="1043" spans="2:20" outlineLevel="1">
      <c r="F1043" s="51" t="str">
        <f>$B$794&amp;" Customer Contributions v RAB Category Direct Check"</f>
        <v>3022 - Inputs Customer Contributions v RAB Category Direct Check</v>
      </c>
      <c r="I1043" s="130">
        <f ca="1">IF(ISERROR(SUM(J1043:T1043)),1,MIN(SUM(J1043:T1043),1))</f>
        <v>0</v>
      </c>
      <c r="J1043" s="81">
        <f t="shared" ref="J1043:T1043" ca="1" si="101">J839-J953</f>
        <v>0</v>
      </c>
      <c r="K1043" s="81">
        <f t="shared" ca="1" si="101"/>
        <v>0</v>
      </c>
      <c r="L1043" s="81">
        <f t="shared" ca="1" si="101"/>
        <v>0</v>
      </c>
      <c r="M1043" s="81">
        <f t="shared" ca="1" si="101"/>
        <v>0</v>
      </c>
      <c r="N1043" s="81">
        <f t="shared" ca="1" si="101"/>
        <v>0</v>
      </c>
      <c r="O1043" s="81">
        <f t="shared" ca="1" si="101"/>
        <v>0</v>
      </c>
      <c r="P1043" s="81">
        <f t="shared" ca="1" si="101"/>
        <v>0</v>
      </c>
      <c r="Q1043" s="81">
        <f t="shared" ca="1" si="101"/>
        <v>0</v>
      </c>
      <c r="R1043" s="81">
        <f t="shared" ca="1" si="101"/>
        <v>0</v>
      </c>
      <c r="S1043" s="81">
        <f t="shared" ca="1" si="101"/>
        <v>0</v>
      </c>
      <c r="T1043" s="81">
        <f t="shared" ca="1" si="101"/>
        <v>0</v>
      </c>
    </row>
    <row r="1044" spans="2:20" ht="5.9" customHeight="1" outlineLevel="1"/>
    <row r="1045" spans="2:20" outlineLevel="1">
      <c r="F1045" s="51" t="str">
        <f>$B$794&amp;" RAB v RIN Direct + Overhead Check"</f>
        <v>3022 - Inputs RAB v RIN Direct + Overhead Check</v>
      </c>
      <c r="I1045" s="130">
        <f ca="1">IF(ISERROR(SUM(J1045:T1045)),1,MIN(SUM(J1045:T1045),1))</f>
        <v>0</v>
      </c>
      <c r="J1045" s="81">
        <f t="shared" ref="J1045:T1045" ca="1" si="102">J933-J992</f>
        <v>0</v>
      </c>
      <c r="K1045" s="81">
        <f t="shared" ca="1" si="102"/>
        <v>0</v>
      </c>
      <c r="L1045" s="81">
        <f t="shared" ca="1" si="102"/>
        <v>0</v>
      </c>
      <c r="M1045" s="81">
        <f t="shared" ca="1" si="102"/>
        <v>0</v>
      </c>
      <c r="N1045" s="81">
        <f t="shared" ca="1" si="102"/>
        <v>0</v>
      </c>
      <c r="O1045" s="81">
        <f t="shared" ca="1" si="102"/>
        <v>0</v>
      </c>
      <c r="P1045" s="81">
        <f t="shared" ca="1" si="102"/>
        <v>0</v>
      </c>
      <c r="Q1045" s="81">
        <f t="shared" ca="1" si="102"/>
        <v>0</v>
      </c>
      <c r="R1045" s="81">
        <f t="shared" ca="1" si="102"/>
        <v>0</v>
      </c>
      <c r="S1045" s="81">
        <f t="shared" ca="1" si="102"/>
        <v>0</v>
      </c>
      <c r="T1045" s="81">
        <f t="shared" ca="1" si="102"/>
        <v>0</v>
      </c>
    </row>
    <row r="1046" spans="2:20" outlineLevel="1">
      <c r="F1046" s="51" t="str">
        <f>$B$794&amp;" RAB v Tax Direct + Overhead Check"</f>
        <v>3022 - Inputs RAB v Tax Direct + Overhead Check</v>
      </c>
      <c r="I1046" s="130">
        <f ca="1">IF(ISERROR(SUM(J1046:T1046)),1,MIN(SUM(J1046:T1046),1))</f>
        <v>0</v>
      </c>
      <c r="J1046" s="81">
        <f t="shared" ref="J1046:T1046" ca="1" si="103">J933-J1035</f>
        <v>0</v>
      </c>
      <c r="K1046" s="81">
        <f t="shared" ca="1" si="103"/>
        <v>0</v>
      </c>
      <c r="L1046" s="81">
        <f t="shared" ca="1" si="103"/>
        <v>0</v>
      </c>
      <c r="M1046" s="81">
        <f t="shared" ca="1" si="103"/>
        <v>0</v>
      </c>
      <c r="N1046" s="81">
        <f t="shared" ca="1" si="103"/>
        <v>0</v>
      </c>
      <c r="O1046" s="81">
        <f t="shared" ca="1" si="103"/>
        <v>0</v>
      </c>
      <c r="P1046" s="81">
        <f t="shared" ca="1" si="103"/>
        <v>0</v>
      </c>
      <c r="Q1046" s="81">
        <f t="shared" ca="1" si="103"/>
        <v>0</v>
      </c>
      <c r="R1046" s="81">
        <f t="shared" ca="1" si="103"/>
        <v>0</v>
      </c>
      <c r="S1046" s="81">
        <f t="shared" ca="1" si="103"/>
        <v>0</v>
      </c>
      <c r="T1046" s="81">
        <f t="shared" ca="1" si="103"/>
        <v>0</v>
      </c>
    </row>
    <row r="1047" spans="2:20" ht="12" outlineLevel="1" thickBot="1">
      <c r="B1047" s="94"/>
      <c r="C1047" s="94"/>
      <c r="D1047" s="94"/>
      <c r="E1047" s="94"/>
      <c r="F1047" s="94"/>
      <c r="G1047" s="94"/>
      <c r="H1047" s="94"/>
      <c r="I1047" s="94"/>
      <c r="J1047" s="94"/>
      <c r="K1047" s="94"/>
      <c r="L1047" s="94"/>
      <c r="M1047" s="94"/>
      <c r="N1047" s="94"/>
      <c r="O1047" s="94"/>
      <c r="P1047" s="94"/>
      <c r="Q1047" s="94"/>
      <c r="R1047" s="94"/>
      <c r="S1047" s="94"/>
      <c r="T1047" s="94"/>
    </row>
  </sheetData>
  <sheetProtection formatColumns="0" formatRows="0"/>
  <mergeCells count="541">
    <mergeCell ref="E500:I500"/>
    <mergeCell ref="E486:I486"/>
    <mergeCell ref="E487:I487"/>
    <mergeCell ref="E488:I488"/>
    <mergeCell ref="E489:I489"/>
    <mergeCell ref="E490:I490"/>
    <mergeCell ref="E491:I491"/>
    <mergeCell ref="E492:I492"/>
    <mergeCell ref="E493:I493"/>
    <mergeCell ref="E494:I494"/>
    <mergeCell ref="E495:I495"/>
    <mergeCell ref="E496:I496"/>
    <mergeCell ref="E497:I497"/>
    <mergeCell ref="E498:I498"/>
    <mergeCell ref="E499:I499"/>
    <mergeCell ref="E243:I243"/>
    <mergeCell ref="E229:I229"/>
    <mergeCell ref="E230:I230"/>
    <mergeCell ref="E231:I231"/>
    <mergeCell ref="E232:I232"/>
    <mergeCell ref="E233:I233"/>
    <mergeCell ref="E234:I234"/>
    <mergeCell ref="E235:I235"/>
    <mergeCell ref="E236:I236"/>
    <mergeCell ref="E237:I237"/>
    <mergeCell ref="E238:I238"/>
    <mergeCell ref="E239:I239"/>
    <mergeCell ref="E240:I240"/>
    <mergeCell ref="E241:I241"/>
    <mergeCell ref="E242:I242"/>
    <mergeCell ref="E1010:I1010"/>
    <mergeCell ref="E996:I996"/>
    <mergeCell ref="E997:I997"/>
    <mergeCell ref="E998:I998"/>
    <mergeCell ref="E999:I999"/>
    <mergeCell ref="E1000:I1000"/>
    <mergeCell ref="E1001:I1001"/>
    <mergeCell ref="E1002:I1002"/>
    <mergeCell ref="E1003:I1003"/>
    <mergeCell ref="E1004:I1004"/>
    <mergeCell ref="E1005:I1005"/>
    <mergeCell ref="E1006:I1006"/>
    <mergeCell ref="E1007:I1007"/>
    <mergeCell ref="E1008:I1008"/>
    <mergeCell ref="E1009:I1009"/>
    <mergeCell ref="E373:I373"/>
    <mergeCell ref="D320:I320"/>
    <mergeCell ref="D339:I339"/>
    <mergeCell ref="D346:I346"/>
    <mergeCell ref="E422:I422"/>
    <mergeCell ref="E724:I724"/>
    <mergeCell ref="E729:I729"/>
    <mergeCell ref="E439:I439"/>
    <mergeCell ref="E440:I440"/>
    <mergeCell ref="E441:I441"/>
    <mergeCell ref="E442:I442"/>
    <mergeCell ref="E706:I706"/>
    <mergeCell ref="E714:I714"/>
    <mergeCell ref="E696:I696"/>
    <mergeCell ref="E697:I697"/>
    <mergeCell ref="E717:I717"/>
    <mergeCell ref="E713:I713"/>
    <mergeCell ref="E719:I719"/>
    <mergeCell ref="E705:I705"/>
    <mergeCell ref="E698:I698"/>
    <mergeCell ref="E711:I711"/>
    <mergeCell ref="E718:I718"/>
    <mergeCell ref="E712:I712"/>
    <mergeCell ref="E383:I383"/>
    <mergeCell ref="E374:I374"/>
    <mergeCell ref="E375:I375"/>
    <mergeCell ref="E376:I376"/>
    <mergeCell ref="E377:I377"/>
    <mergeCell ref="E671:I671"/>
    <mergeCell ref="E672:I672"/>
    <mergeCell ref="E658:I658"/>
    <mergeCell ref="E707:I707"/>
    <mergeCell ref="E708:I708"/>
    <mergeCell ref="D608:I608"/>
    <mergeCell ref="D615:I615"/>
    <mergeCell ref="E525:I525"/>
    <mergeCell ref="E518:I518"/>
    <mergeCell ref="E520:I520"/>
    <mergeCell ref="E521:I521"/>
    <mergeCell ref="E682:I682"/>
    <mergeCell ref="E627:I627"/>
    <mergeCell ref="E633:I633"/>
    <mergeCell ref="E646:I646"/>
    <mergeCell ref="E677:I677"/>
    <mergeCell ref="E670:I670"/>
    <mergeCell ref="E637:I637"/>
    <mergeCell ref="E676:I676"/>
    <mergeCell ref="E481:I481"/>
    <mergeCell ref="E709:I709"/>
    <mergeCell ref="E419:I419"/>
    <mergeCell ref="E420:I420"/>
    <mergeCell ref="E421:I421"/>
    <mergeCell ref="E394:I394"/>
    <mergeCell ref="E395:I395"/>
    <mergeCell ref="E396:I396"/>
    <mergeCell ref="E459:I459"/>
    <mergeCell ref="E710:I710"/>
    <mergeCell ref="E522:I522"/>
    <mergeCell ref="E478:I478"/>
    <mergeCell ref="E479:I479"/>
    <mergeCell ref="E480:I480"/>
    <mergeCell ref="E473:I473"/>
    <mergeCell ref="E647:I647"/>
    <mergeCell ref="E654:I654"/>
    <mergeCell ref="E655:I655"/>
    <mergeCell ref="E656:I656"/>
    <mergeCell ref="E684:I684"/>
    <mergeCell ref="E657:I657"/>
    <mergeCell ref="E674:I674"/>
    <mergeCell ref="E675:I675"/>
    <mergeCell ref="E669:I669"/>
    <mergeCell ref="E514:I514"/>
    <mergeCell ref="E953:I953"/>
    <mergeCell ref="E937:I937"/>
    <mergeCell ref="E938:I938"/>
    <mergeCell ref="E939:I939"/>
    <mergeCell ref="E940:I940"/>
    <mergeCell ref="E941:I941"/>
    <mergeCell ref="E942:I942"/>
    <mergeCell ref="E943:I943"/>
    <mergeCell ref="E944:I944"/>
    <mergeCell ref="E945:I945"/>
    <mergeCell ref="E946:I946"/>
    <mergeCell ref="E947:I947"/>
    <mergeCell ref="E948:I948"/>
    <mergeCell ref="E886:I886"/>
    <mergeCell ref="E887:I887"/>
    <mergeCell ref="E737:I737"/>
    <mergeCell ref="E877:I877"/>
    <mergeCell ref="E878:I878"/>
    <mergeCell ref="E880:I880"/>
    <mergeCell ref="E881:I881"/>
    <mergeCell ref="D863:I863"/>
    <mergeCell ref="D870:I870"/>
    <mergeCell ref="E882:I882"/>
    <mergeCell ref="D839:I839"/>
    <mergeCell ref="E763:I763"/>
    <mergeCell ref="E764:I764"/>
    <mergeCell ref="E883:I883"/>
    <mergeCell ref="E884:I884"/>
    <mergeCell ref="E755:I755"/>
    <mergeCell ref="E741:I741"/>
    <mergeCell ref="E742:I742"/>
    <mergeCell ref="E743:I743"/>
    <mergeCell ref="E744:I744"/>
    <mergeCell ref="E745:I745"/>
    <mergeCell ref="E746:I746"/>
    <mergeCell ref="E747:I747"/>
    <mergeCell ref="E748:I748"/>
    <mergeCell ref="E765:I765"/>
    <mergeCell ref="E766:I766"/>
    <mergeCell ref="E767:I767"/>
    <mergeCell ref="E769:I769"/>
    <mergeCell ref="E762:I762"/>
    <mergeCell ref="E768:I768"/>
    <mergeCell ref="E773:I773"/>
    <mergeCell ref="E731:I731"/>
    <mergeCell ref="E749:I749"/>
    <mergeCell ref="E750:I750"/>
    <mergeCell ref="E751:I751"/>
    <mergeCell ref="E752:I752"/>
    <mergeCell ref="E753:I753"/>
    <mergeCell ref="E754:I754"/>
    <mergeCell ref="E450:I450"/>
    <mergeCell ref="E451:I451"/>
    <mergeCell ref="E452:I452"/>
    <mergeCell ref="E453:I453"/>
    <mergeCell ref="E456:I456"/>
    <mergeCell ref="E622:I622"/>
    <mergeCell ref="D584:I584"/>
    <mergeCell ref="E667:I667"/>
    <mergeCell ref="E474:I474"/>
    <mergeCell ref="E475:I475"/>
    <mergeCell ref="E476:I476"/>
    <mergeCell ref="E469:I469"/>
    <mergeCell ref="E470:I470"/>
    <mergeCell ref="E454:I454"/>
    <mergeCell ref="E471:I471"/>
    <mergeCell ref="E472:I472"/>
    <mergeCell ref="E663:I663"/>
    <mergeCell ref="E664:I664"/>
    <mergeCell ref="E665:I665"/>
    <mergeCell ref="E666:I666"/>
    <mergeCell ref="E477:I477"/>
    <mergeCell ref="E508:I508"/>
    <mergeCell ref="E509:I509"/>
    <mergeCell ref="E510:I510"/>
    <mergeCell ref="E381:I381"/>
    <mergeCell ref="E382:I382"/>
    <mergeCell ref="E399:I399"/>
    <mergeCell ref="E400:I400"/>
    <mergeCell ref="E401:I401"/>
    <mergeCell ref="E402:I402"/>
    <mergeCell ref="E418:I418"/>
    <mergeCell ref="E432:I432"/>
    <mergeCell ref="E443:I443"/>
    <mergeCell ref="E427:I427"/>
    <mergeCell ref="E428:I428"/>
    <mergeCell ref="E429:I429"/>
    <mergeCell ref="E430:I430"/>
    <mergeCell ref="E431:I431"/>
    <mergeCell ref="E397:I397"/>
    <mergeCell ref="E423:I423"/>
    <mergeCell ref="E398:I398"/>
    <mergeCell ref="E387:I387"/>
    <mergeCell ref="E409:I409"/>
    <mergeCell ref="E410:I410"/>
    <mergeCell ref="D61:I61"/>
    <mergeCell ref="D82:I82"/>
    <mergeCell ref="D89:I89"/>
    <mergeCell ref="D96:I96"/>
    <mergeCell ref="D103:I103"/>
    <mergeCell ref="E207:I207"/>
    <mergeCell ref="E193:I193"/>
    <mergeCell ref="E194:I194"/>
    <mergeCell ref="E195:I195"/>
    <mergeCell ref="E196:I196"/>
    <mergeCell ref="E110:I110"/>
    <mergeCell ref="E111:I111"/>
    <mergeCell ref="E112:I112"/>
    <mergeCell ref="E113:I113"/>
    <mergeCell ref="E114:I114"/>
    <mergeCell ref="E115:I115"/>
    <mergeCell ref="D72:I72"/>
    <mergeCell ref="E186:I186"/>
    <mergeCell ref="E170:I170"/>
    <mergeCell ref="E172:I172"/>
    <mergeCell ref="E130:I130"/>
    <mergeCell ref="E177:I177"/>
    <mergeCell ref="E178:I178"/>
    <mergeCell ref="E116:I116"/>
    <mergeCell ref="E117:I117"/>
    <mergeCell ref="E118:I118"/>
    <mergeCell ref="E119:I119"/>
    <mergeCell ref="E120:I120"/>
    <mergeCell ref="E135:I135"/>
    <mergeCell ref="E136:I136"/>
    <mergeCell ref="E137:I137"/>
    <mergeCell ref="E138:I138"/>
    <mergeCell ref="E121:I121"/>
    <mergeCell ref="E131:I131"/>
    <mergeCell ref="E132:I132"/>
    <mergeCell ref="E133:I133"/>
    <mergeCell ref="E134:I134"/>
    <mergeCell ref="E126:I126"/>
    <mergeCell ref="E122:I122"/>
    <mergeCell ref="E123:I123"/>
    <mergeCell ref="E124:I124"/>
    <mergeCell ref="E125:I125"/>
    <mergeCell ref="E165:I165"/>
    <mergeCell ref="E218:I218"/>
    <mergeCell ref="E219:I219"/>
    <mergeCell ref="E179:I179"/>
    <mergeCell ref="E180:I180"/>
    <mergeCell ref="E181:I181"/>
    <mergeCell ref="E211:I211"/>
    <mergeCell ref="E212:I212"/>
    <mergeCell ref="E213:I213"/>
    <mergeCell ref="E214:I214"/>
    <mergeCell ref="E200:I200"/>
    <mergeCell ref="E201:I201"/>
    <mergeCell ref="E182:I182"/>
    <mergeCell ref="E183:I183"/>
    <mergeCell ref="E184:I184"/>
    <mergeCell ref="E185:I185"/>
    <mergeCell ref="E199:I199"/>
    <mergeCell ref="E171:I171"/>
    <mergeCell ref="E173:I173"/>
    <mergeCell ref="E174:I174"/>
    <mergeCell ref="E175:I175"/>
    <mergeCell ref="E205:I205"/>
    <mergeCell ref="E974:I974"/>
    <mergeCell ref="E960:I960"/>
    <mergeCell ref="E961:I961"/>
    <mergeCell ref="E962:I962"/>
    <mergeCell ref="E963:I963"/>
    <mergeCell ref="E964:I964"/>
    <mergeCell ref="E965:I965"/>
    <mergeCell ref="E966:I966"/>
    <mergeCell ref="E967:I967"/>
    <mergeCell ref="E968:I968"/>
    <mergeCell ref="E970:I970"/>
    <mergeCell ref="E971:I971"/>
    <mergeCell ref="E972:I972"/>
    <mergeCell ref="E973:I973"/>
    <mergeCell ref="E969:I969"/>
    <mergeCell ref="E411:I411"/>
    <mergeCell ref="E412:I412"/>
    <mergeCell ref="E413:I413"/>
    <mergeCell ref="E653:I653"/>
    <mergeCell ref="E691:I691"/>
    <mergeCell ref="E692:I692"/>
    <mergeCell ref="E888:I888"/>
    <mergeCell ref="E905:I905"/>
    <mergeCell ref="E908:I908"/>
    <mergeCell ref="E433:I433"/>
    <mergeCell ref="E434:I434"/>
    <mergeCell ref="E435:I435"/>
    <mergeCell ref="E436:I436"/>
    <mergeCell ref="E437:I437"/>
    <mergeCell ref="E629:I629"/>
    <mergeCell ref="E630:I630"/>
    <mergeCell ref="E631:I631"/>
    <mergeCell ref="E632:I632"/>
    <mergeCell ref="E511:I511"/>
    <mergeCell ref="E715:I715"/>
    <mergeCell ref="E686:I686"/>
    <mergeCell ref="E683:I683"/>
    <mergeCell ref="E688:I688"/>
    <mergeCell ref="E645:I645"/>
    <mergeCell ref="E523:I523"/>
    <mergeCell ref="E524:I524"/>
    <mergeCell ref="E982:I982"/>
    <mergeCell ref="E983:I983"/>
    <mergeCell ref="E642:I642"/>
    <mergeCell ref="E643:I643"/>
    <mergeCell ref="E644:I644"/>
    <mergeCell ref="E723:I723"/>
    <mergeCell ref="E648:I648"/>
    <mergeCell ref="E649:I649"/>
    <mergeCell ref="E650:I650"/>
    <mergeCell ref="E651:I651"/>
    <mergeCell ref="E652:I652"/>
    <mergeCell ref="E730:I730"/>
    <mergeCell ref="E693:I693"/>
    <mergeCell ref="E725:I725"/>
    <mergeCell ref="E928:I928"/>
    <mergeCell ref="E673:I673"/>
    <mergeCell ref="E689:I689"/>
    <mergeCell ref="E913:I913"/>
    <mergeCell ref="E897:I897"/>
    <mergeCell ref="E898:I898"/>
    <mergeCell ref="E903:I903"/>
    <mergeCell ref="E904:I904"/>
    <mergeCell ref="E985:I985"/>
    <mergeCell ref="E986:I986"/>
    <mergeCell ref="E987:I987"/>
    <mergeCell ref="E950:I950"/>
    <mergeCell ref="E951:I951"/>
    <mergeCell ref="E952:I952"/>
    <mergeCell ref="E624:I624"/>
    <mergeCell ref="E625:I625"/>
    <mergeCell ref="E626:I626"/>
    <mergeCell ref="E919:I919"/>
    <mergeCell ref="E920:I920"/>
    <mergeCell ref="E921:I921"/>
    <mergeCell ref="E922:I922"/>
    <mergeCell ref="E924:I924"/>
    <mergeCell ref="E893:I893"/>
    <mergeCell ref="E930:I930"/>
    <mergeCell ref="E889:I889"/>
    <mergeCell ref="E662:I662"/>
    <mergeCell ref="E984:I984"/>
    <mergeCell ref="E638:I638"/>
    <mergeCell ref="E628:I628"/>
    <mergeCell ref="E906:I906"/>
    <mergeCell ref="E925:I925"/>
    <mergeCell ref="E926:I926"/>
    <mergeCell ref="E687:I687"/>
    <mergeCell ref="E685:I685"/>
    <mergeCell ref="E690:I690"/>
    <mergeCell ref="E899:I899"/>
    <mergeCell ref="E900:I900"/>
    <mergeCell ref="E901:I901"/>
    <mergeCell ref="E902:I902"/>
    <mergeCell ref="E623:I623"/>
    <mergeCell ref="E923:I923"/>
    <mergeCell ref="E634:I634"/>
    <mergeCell ref="E635:I635"/>
    <mergeCell ref="E636:I636"/>
    <mergeCell ref="E907:I907"/>
    <mergeCell ref="E885:I885"/>
    <mergeCell ref="E668:I668"/>
    <mergeCell ref="E735:I735"/>
    <mergeCell ref="E736:I736"/>
    <mergeCell ref="E732:I732"/>
    <mergeCell ref="E726:I726"/>
    <mergeCell ref="E727:I727"/>
    <mergeCell ref="E728:I728"/>
    <mergeCell ref="E733:I733"/>
    <mergeCell ref="E734:I734"/>
    <mergeCell ref="E879:I879"/>
    <mergeCell ref="E933:I933"/>
    <mergeCell ref="E917:I917"/>
    <mergeCell ref="E918:I918"/>
    <mergeCell ref="E890:I890"/>
    <mergeCell ref="E891:I891"/>
    <mergeCell ref="E892:I892"/>
    <mergeCell ref="E909:I909"/>
    <mergeCell ref="E910:I910"/>
    <mergeCell ref="E911:I911"/>
    <mergeCell ref="E927:I927"/>
    <mergeCell ref="E1035:I1035"/>
    <mergeCell ref="E1028:I1028"/>
    <mergeCell ref="E1029:I1029"/>
    <mergeCell ref="E1030:I1030"/>
    <mergeCell ref="E1031:I1031"/>
    <mergeCell ref="E1032:I1032"/>
    <mergeCell ref="E1033:I1033"/>
    <mergeCell ref="E1034:I1034"/>
    <mergeCell ref="E780:I780"/>
    <mergeCell ref="E988:I988"/>
    <mergeCell ref="E989:I989"/>
    <mergeCell ref="E990:I990"/>
    <mergeCell ref="E991:I991"/>
    <mergeCell ref="E1024:I1024"/>
    <mergeCell ref="E1017:I1017"/>
    <mergeCell ref="E1018:I1018"/>
    <mergeCell ref="E1019:I1019"/>
    <mergeCell ref="E1020:I1020"/>
    <mergeCell ref="E1021:I1021"/>
    <mergeCell ref="E992:I992"/>
    <mergeCell ref="E978:I978"/>
    <mergeCell ref="E979:I979"/>
    <mergeCell ref="E980:I980"/>
    <mergeCell ref="E981:I981"/>
    <mergeCell ref="E1023:I1023"/>
    <mergeCell ref="D832:I832"/>
    <mergeCell ref="D849:I849"/>
    <mergeCell ref="D856:I856"/>
    <mergeCell ref="E204:I204"/>
    <mergeCell ref="E223:I223"/>
    <mergeCell ref="E463:I463"/>
    <mergeCell ref="E482:I482"/>
    <mergeCell ref="E774:I774"/>
    <mergeCell ref="E775:I775"/>
    <mergeCell ref="E776:I776"/>
    <mergeCell ref="E777:I777"/>
    <mergeCell ref="E778:I778"/>
    <mergeCell ref="E779:I779"/>
    <mergeCell ref="E519:I519"/>
    <mergeCell ref="E512:I512"/>
    <mergeCell ref="E438:I438"/>
    <mergeCell ref="D577:I577"/>
    <mergeCell ref="D594:I594"/>
    <mergeCell ref="D601:I601"/>
    <mergeCell ref="E716:I716"/>
    <mergeCell ref="E379:I379"/>
    <mergeCell ref="E380:I380"/>
    <mergeCell ref="E225:I225"/>
    <mergeCell ref="E1022:I1022"/>
    <mergeCell ref="E507:I507"/>
    <mergeCell ref="E513:I513"/>
    <mergeCell ref="E257:I257"/>
    <mergeCell ref="E261:I261"/>
    <mergeCell ref="E262:I262"/>
    <mergeCell ref="E263:I263"/>
    <mergeCell ref="E264:I264"/>
    <mergeCell ref="E265:I265"/>
    <mergeCell ref="E403:I403"/>
    <mergeCell ref="E388:I388"/>
    <mergeCell ref="E389:I389"/>
    <mergeCell ref="E390:I390"/>
    <mergeCell ref="E391:I391"/>
    <mergeCell ref="E392:I392"/>
    <mergeCell ref="E393:I393"/>
    <mergeCell ref="E694:I694"/>
    <mergeCell ref="E695:I695"/>
    <mergeCell ref="E678:I678"/>
    <mergeCell ref="E931:I931"/>
    <mergeCell ref="E932:I932"/>
    <mergeCell ref="E949:I949"/>
    <mergeCell ref="E912:I912"/>
    <mergeCell ref="E929:I929"/>
    <mergeCell ref="D353:I353"/>
    <mergeCell ref="E141:I141"/>
    <mergeCell ref="E139:I139"/>
    <mergeCell ref="E140:I140"/>
    <mergeCell ref="E150:I150"/>
    <mergeCell ref="E154:I154"/>
    <mergeCell ref="E155:I155"/>
    <mergeCell ref="E157:I157"/>
    <mergeCell ref="E158:I158"/>
    <mergeCell ref="E146:I146"/>
    <mergeCell ref="E142:I142"/>
    <mergeCell ref="E143:I143"/>
    <mergeCell ref="E144:I144"/>
    <mergeCell ref="E145:I145"/>
    <mergeCell ref="E162:I162"/>
    <mergeCell ref="E151:I151"/>
    <mergeCell ref="E161:I161"/>
    <mergeCell ref="E156:I156"/>
    <mergeCell ref="E152:I152"/>
    <mergeCell ref="E153:I153"/>
    <mergeCell ref="E159:I159"/>
    <mergeCell ref="E160:I160"/>
    <mergeCell ref="E163:I163"/>
    <mergeCell ref="E164:I164"/>
    <mergeCell ref="E417:I417"/>
    <mergeCell ref="E206:I206"/>
    <mergeCell ref="E166:I166"/>
    <mergeCell ref="E197:I197"/>
    <mergeCell ref="E368:I368"/>
    <mergeCell ref="E250:I250"/>
    <mergeCell ref="E251:I251"/>
    <mergeCell ref="E252:I252"/>
    <mergeCell ref="E253:I253"/>
    <mergeCell ref="E254:I254"/>
    <mergeCell ref="E255:I255"/>
    <mergeCell ref="E256:I256"/>
    <mergeCell ref="D329:I329"/>
    <mergeCell ref="E202:I202"/>
    <mergeCell ref="E203:I203"/>
    <mergeCell ref="E198:I198"/>
    <mergeCell ref="E215:I215"/>
    <mergeCell ref="E216:I216"/>
    <mergeCell ref="E217:I217"/>
    <mergeCell ref="E176:I176"/>
    <mergeCell ref="D360:I360"/>
    <mergeCell ref="E220:I220"/>
    <mergeCell ref="E266:I266"/>
    <mergeCell ref="E267:I267"/>
    <mergeCell ref="N2:O2"/>
    <mergeCell ref="E221:I221"/>
    <mergeCell ref="E222:I222"/>
    <mergeCell ref="E224:I224"/>
    <mergeCell ref="E407:I407"/>
    <mergeCell ref="E455:I455"/>
    <mergeCell ref="E468:I468"/>
    <mergeCell ref="E457:I457"/>
    <mergeCell ref="E458:I458"/>
    <mergeCell ref="E460:I460"/>
    <mergeCell ref="E461:I461"/>
    <mergeCell ref="E462:I462"/>
    <mergeCell ref="E464:I464"/>
    <mergeCell ref="E369:I369"/>
    <mergeCell ref="E370:I370"/>
    <mergeCell ref="E371:I371"/>
    <mergeCell ref="E372:I372"/>
    <mergeCell ref="E367:I367"/>
    <mergeCell ref="E268:I268"/>
    <mergeCell ref="E378:I378"/>
    <mergeCell ref="E414:I414"/>
    <mergeCell ref="E415:I415"/>
    <mergeCell ref="E408:I408"/>
    <mergeCell ref="E416:I416"/>
  </mergeCells>
  <conditionalFormatting sqref="I273">
    <cfRule type="cellIs" dxfId="767" priority="1" operator="notEqual">
      <formula>0</formula>
    </cfRule>
  </conditionalFormatting>
  <conditionalFormatting sqref="I530">
    <cfRule type="cellIs" dxfId="766" priority="2" operator="notEqual">
      <formula>0</formula>
    </cfRule>
  </conditionalFormatting>
  <conditionalFormatting sqref="I785">
    <cfRule type="cellIs" dxfId="765" priority="3" operator="notEqual">
      <formula>0</formula>
    </cfRule>
  </conditionalFormatting>
  <conditionalFormatting sqref="I1040">
    <cfRule type="cellIs" dxfId="764" priority="4" operator="notEqual">
      <formula>0</formula>
    </cfRule>
  </conditionalFormatting>
  <conditionalFormatting sqref="J273:T273">
    <cfRule type="cellIs" dxfId="763" priority="5" operator="notEqual">
      <formula>0</formula>
    </cfRule>
  </conditionalFormatting>
  <conditionalFormatting sqref="J530:T530">
    <cfRule type="cellIs" dxfId="762" priority="6" operator="notEqual">
      <formula>0</formula>
    </cfRule>
  </conditionalFormatting>
  <conditionalFormatting sqref="J785:T785">
    <cfRule type="cellIs" dxfId="761" priority="7" operator="notEqual">
      <formula>0</formula>
    </cfRule>
  </conditionalFormatting>
  <conditionalFormatting sqref="J1040:T1040">
    <cfRule type="cellIs" dxfId="760" priority="8" operator="notEqual">
      <formula>0</formula>
    </cfRule>
  </conditionalFormatting>
  <conditionalFormatting sqref="I274">
    <cfRule type="cellIs" dxfId="759" priority="9" operator="notEqual">
      <formula>0</formula>
    </cfRule>
  </conditionalFormatting>
  <conditionalFormatting sqref="I531">
    <cfRule type="cellIs" dxfId="758" priority="10" operator="notEqual">
      <formula>0</formula>
    </cfRule>
  </conditionalFormatting>
  <conditionalFormatting sqref="I786">
    <cfRule type="cellIs" dxfId="757" priority="11" operator="notEqual">
      <formula>0</formula>
    </cfRule>
  </conditionalFormatting>
  <conditionalFormatting sqref="I1041">
    <cfRule type="cellIs" dxfId="756" priority="12" operator="notEqual">
      <formula>0</formula>
    </cfRule>
  </conditionalFormatting>
  <conditionalFormatting sqref="J274:T274">
    <cfRule type="cellIs" dxfId="755" priority="13" operator="notEqual">
      <formula>0</formula>
    </cfRule>
  </conditionalFormatting>
  <conditionalFormatting sqref="J531:T531">
    <cfRule type="cellIs" dxfId="754" priority="14" operator="notEqual">
      <formula>0</formula>
    </cfRule>
  </conditionalFormatting>
  <conditionalFormatting sqref="J786:T786">
    <cfRule type="cellIs" dxfId="753" priority="15" operator="notEqual">
      <formula>0</formula>
    </cfRule>
  </conditionalFormatting>
  <conditionalFormatting sqref="J1041:T1041">
    <cfRule type="cellIs" dxfId="752" priority="16" operator="notEqual">
      <formula>0</formula>
    </cfRule>
  </conditionalFormatting>
  <conditionalFormatting sqref="I275">
    <cfRule type="cellIs" dxfId="751" priority="17" operator="notEqual">
      <formula>0</formula>
    </cfRule>
  </conditionalFormatting>
  <conditionalFormatting sqref="I532">
    <cfRule type="cellIs" dxfId="750" priority="18" operator="notEqual">
      <formula>0</formula>
    </cfRule>
  </conditionalFormatting>
  <conditionalFormatting sqref="I787">
    <cfRule type="cellIs" dxfId="749" priority="19" operator="notEqual">
      <formula>0</formula>
    </cfRule>
  </conditionalFormatting>
  <conditionalFormatting sqref="I1042">
    <cfRule type="cellIs" dxfId="748" priority="20" operator="notEqual">
      <formula>0</formula>
    </cfRule>
  </conditionalFormatting>
  <conditionalFormatting sqref="J275:T275">
    <cfRule type="cellIs" dxfId="747" priority="21" operator="notEqual">
      <formula>0</formula>
    </cfRule>
  </conditionalFormatting>
  <conditionalFormatting sqref="J532:T532">
    <cfRule type="cellIs" dxfId="746" priority="22" operator="notEqual">
      <formula>0</formula>
    </cfRule>
  </conditionalFormatting>
  <conditionalFormatting sqref="J787:T787">
    <cfRule type="cellIs" dxfId="745" priority="23" operator="notEqual">
      <formula>0</formula>
    </cfRule>
  </conditionalFormatting>
  <conditionalFormatting sqref="J1042:T1042">
    <cfRule type="cellIs" dxfId="744" priority="24" operator="notEqual">
      <formula>0</formula>
    </cfRule>
  </conditionalFormatting>
  <conditionalFormatting sqref="I278">
    <cfRule type="cellIs" dxfId="743" priority="25" operator="notEqual">
      <formula>0</formula>
    </cfRule>
  </conditionalFormatting>
  <conditionalFormatting sqref="I535">
    <cfRule type="cellIs" dxfId="742" priority="26" operator="notEqual">
      <formula>0</formula>
    </cfRule>
  </conditionalFormatting>
  <conditionalFormatting sqref="I790">
    <cfRule type="cellIs" dxfId="741" priority="27" operator="notEqual">
      <formula>0</formula>
    </cfRule>
  </conditionalFormatting>
  <conditionalFormatting sqref="I1045">
    <cfRule type="cellIs" dxfId="740" priority="28" operator="notEqual">
      <formula>0</formula>
    </cfRule>
  </conditionalFormatting>
  <conditionalFormatting sqref="J278:T278">
    <cfRule type="cellIs" dxfId="739" priority="29" operator="notEqual">
      <formula>0</formula>
    </cfRule>
  </conditionalFormatting>
  <conditionalFormatting sqref="J535:T535">
    <cfRule type="cellIs" dxfId="738" priority="30" operator="notEqual">
      <formula>0</formula>
    </cfRule>
  </conditionalFormatting>
  <conditionalFormatting sqref="J790:T790">
    <cfRule type="cellIs" dxfId="737" priority="31" operator="notEqual">
      <formula>0</formula>
    </cfRule>
  </conditionalFormatting>
  <conditionalFormatting sqref="J1045:T1045">
    <cfRule type="cellIs" dxfId="736" priority="32" operator="notEqual">
      <formula>0</formula>
    </cfRule>
  </conditionalFormatting>
  <conditionalFormatting sqref="I279">
    <cfRule type="cellIs" dxfId="735" priority="33" operator="notEqual">
      <formula>0</formula>
    </cfRule>
  </conditionalFormatting>
  <conditionalFormatting sqref="I536">
    <cfRule type="cellIs" dxfId="734" priority="34" operator="notEqual">
      <formula>0</formula>
    </cfRule>
  </conditionalFormatting>
  <conditionalFormatting sqref="I791">
    <cfRule type="cellIs" dxfId="733" priority="35" operator="notEqual">
      <formula>0</formula>
    </cfRule>
  </conditionalFormatting>
  <conditionalFormatting sqref="I1046">
    <cfRule type="cellIs" dxfId="732" priority="36" operator="notEqual">
      <formula>0</formula>
    </cfRule>
  </conditionalFormatting>
  <conditionalFormatting sqref="J279:T279">
    <cfRule type="cellIs" dxfId="731" priority="37" operator="notEqual">
      <formula>0</formula>
    </cfRule>
  </conditionalFormatting>
  <conditionalFormatting sqref="J536:T536">
    <cfRule type="cellIs" dxfId="730" priority="38" operator="notEqual">
      <formula>0</formula>
    </cfRule>
  </conditionalFormatting>
  <conditionalFormatting sqref="J791:T791">
    <cfRule type="cellIs" dxfId="729" priority="39" operator="notEqual">
      <formula>0</formula>
    </cfRule>
  </conditionalFormatting>
  <conditionalFormatting sqref="J1046:T1046">
    <cfRule type="cellIs" dxfId="728" priority="40" operator="notEqual">
      <formula>0</formula>
    </cfRule>
  </conditionalFormatting>
  <conditionalFormatting sqref="I276">
    <cfRule type="cellIs" dxfId="727" priority="41" operator="notEqual">
      <formula>0</formula>
    </cfRule>
  </conditionalFormatting>
  <conditionalFormatting sqref="I533">
    <cfRule type="cellIs" dxfId="726" priority="42" operator="notEqual">
      <formula>0</formula>
    </cfRule>
  </conditionalFormatting>
  <conditionalFormatting sqref="I788">
    <cfRule type="cellIs" dxfId="725" priority="43" operator="notEqual">
      <formula>0</formula>
    </cfRule>
  </conditionalFormatting>
  <conditionalFormatting sqref="I1043">
    <cfRule type="cellIs" dxfId="724" priority="44" operator="notEqual">
      <formula>0</formula>
    </cfRule>
  </conditionalFormatting>
  <conditionalFormatting sqref="J276:T276">
    <cfRule type="cellIs" dxfId="723" priority="45" operator="notEqual">
      <formula>0</formula>
    </cfRule>
  </conditionalFormatting>
  <conditionalFormatting sqref="J533:T533">
    <cfRule type="cellIs" dxfId="722" priority="46" operator="notEqual">
      <formula>0</formula>
    </cfRule>
  </conditionalFormatting>
  <conditionalFormatting sqref="J788:T788">
    <cfRule type="cellIs" dxfId="721" priority="47" operator="notEqual">
      <formula>0</formula>
    </cfRule>
  </conditionalFormatting>
  <conditionalFormatting sqref="J1043:T1043">
    <cfRule type="cellIs" dxfId="720" priority="48" operator="notEqual">
      <formula>0</formula>
    </cfRule>
  </conditionalFormatting>
  <dataValidations count="1">
    <dataValidation type="custom" showErrorMessage="1" errorTitle="Invalid Assumption" error="Assumption must be a number." sqref="J51:T52 J44:T45 J310:T311 J303:T304 J567:T568 J560:T561 J822:T823 J815:T816 J65:T70 J836:T837 J581:T582 J324:T327" xr:uid="{B7C1A300-F837-48FE-9C0F-00664E1E5100}">
      <formula1>NOT(ISERROR(J44/1))</formula1>
    </dataValidation>
  </dataValidations>
  <hyperlinks>
    <hyperlink ref="A1" location="HL_Home" tooltip="Go to Table of Contents" display="HL_Home" xr:uid="{458C7DAE-026E-48FB-9C59-A4ADB8590B66}"/>
    <hyperlink ref="A2" location="HL_Err_Chk" tooltip="Go to Error Checks" display="HL_Err_Chk" xr:uid="{47C8AFA1-B248-4AE2-9004-AC52ED317E92}"/>
  </hyperlinks>
  <pageMargins left="0.39370078740157499" right="0.39370078740157499" top="0.59055118110236204" bottom="0.98425196850393704" header="0" footer="0.31496062992126"/>
  <pageSetup paperSize="9" orientation="landscape" r:id="rId1"/>
  <headerFooter>
    <oddFooter>&amp;L&amp;F
&amp;A
Printed: &amp;T on &amp;D&amp;CPage &amp;P of &amp;N</oddFooter>
  </headerFooter>
  <customProperties>
    <customPr name="EpmWorksheetKeyString_GUID" r:id="rId2"/>
  </customProperties>
  <legacyDrawing r:id="rId3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C0EF74-9B70-488C-86C9-F31ACA279A52}">
  <sheetPr>
    <pageSetUpPr autoPageBreaks="0"/>
  </sheetPr>
  <dimension ref="A1:T798"/>
  <sheetViews>
    <sheetView showGridLines="0" zoomScaleNormal="100" workbookViewId="0">
      <pane xSplit="9" ySplit="21" topLeftCell="J22" activePane="bottomRight" state="frozen"/>
      <selection activeCell="N2" sqref="N2:O2"/>
      <selection pane="topRight" activeCell="N2" sqref="N2:O2"/>
      <selection pane="bottomLeft" activeCell="N2" sqref="N2:O2"/>
      <selection pane="bottomRight"/>
    </sheetView>
  </sheetViews>
  <sheetFormatPr defaultColWidth="11.59765625" defaultRowHeight="11.5" outlineLevelRow="3"/>
  <cols>
    <col min="1" max="5" width="3.59765625" customWidth="1"/>
    <col min="6" max="7" width="15.59765625" customWidth="1"/>
    <col min="9" max="9" width="12.59765625" bestFit="1" customWidth="1"/>
    <col min="10" max="13" width="11.69921875" bestFit="1" customWidth="1"/>
    <col min="14" max="14" width="12.59765625" bestFit="1" customWidth="1"/>
    <col min="16" max="20" width="12.09765625" customWidth="1"/>
  </cols>
  <sheetData>
    <row r="1" spans="1:20" ht="14">
      <c r="A1" s="10" t="s">
        <v>11</v>
      </c>
      <c r="B1" s="6" t="s">
        <v>289</v>
      </c>
    </row>
    <row r="2" spans="1:20" ht="13">
      <c r="A2" s="23" t="s">
        <v>26</v>
      </c>
      <c r="B2" s="7" t="str">
        <f ca="1">Model_Name</f>
        <v>GAAR Capex Forecast</v>
      </c>
      <c r="N2" s="253" t="s">
        <v>493</v>
      </c>
      <c r="O2" s="253"/>
    </row>
    <row r="3" spans="1:20">
      <c r="B3" s="30"/>
      <c r="C3" s="30"/>
      <c r="D3" s="30"/>
      <c r="E3" s="30"/>
      <c r="F3" s="30"/>
      <c r="G3" s="30"/>
      <c r="H3" s="30"/>
      <c r="I3" s="30"/>
      <c r="J3" s="30"/>
      <c r="K3" s="30"/>
      <c r="L3" s="30"/>
      <c r="M3" s="30"/>
      <c r="N3" s="30"/>
      <c r="O3" s="30"/>
      <c r="P3" s="30"/>
      <c r="Q3" s="30"/>
      <c r="R3" s="30"/>
      <c r="S3" s="30"/>
      <c r="T3" s="30"/>
    </row>
    <row r="4" spans="1:20">
      <c r="B4" s="116" t="s">
        <v>74</v>
      </c>
      <c r="C4" s="118"/>
      <c r="D4" s="118"/>
      <c r="E4" s="118"/>
      <c r="F4" s="118"/>
      <c r="G4" s="118"/>
      <c r="H4" s="118"/>
      <c r="I4" s="118"/>
      <c r="J4" s="119">
        <f t="shared" ref="J4:T4" si="0">J8</f>
        <v>43465</v>
      </c>
      <c r="K4" s="119">
        <f t="shared" si="0"/>
        <v>43830</v>
      </c>
      <c r="L4" s="119">
        <f t="shared" si="0"/>
        <v>44196</v>
      </c>
      <c r="M4" s="119">
        <f t="shared" si="0"/>
        <v>44561</v>
      </c>
      <c r="N4" s="119">
        <f t="shared" si="0"/>
        <v>44926</v>
      </c>
      <c r="O4" s="121">
        <f t="shared" si="0"/>
        <v>45107</v>
      </c>
      <c r="P4" s="121">
        <f t="shared" si="0"/>
        <v>45473</v>
      </c>
      <c r="Q4" s="121">
        <f t="shared" si="0"/>
        <v>45838</v>
      </c>
      <c r="R4" s="121">
        <f t="shared" si="0"/>
        <v>46203</v>
      </c>
      <c r="S4" s="121">
        <f t="shared" si="0"/>
        <v>46568</v>
      </c>
      <c r="T4" s="121">
        <f t="shared" si="0"/>
        <v>46934</v>
      </c>
    </row>
    <row r="5" spans="1:20">
      <c r="B5" s="117" t="s">
        <v>100</v>
      </c>
      <c r="C5" s="117"/>
      <c r="D5" s="117"/>
      <c r="E5" s="117"/>
      <c r="F5" s="117"/>
      <c r="G5" s="117"/>
      <c r="H5" s="117"/>
      <c r="I5" s="117"/>
      <c r="J5" s="120">
        <f t="shared" ref="J5:T5" si="1">YEAR(J8)</f>
        <v>2018</v>
      </c>
      <c r="K5" s="120">
        <f t="shared" si="1"/>
        <v>2019</v>
      </c>
      <c r="L5" s="120">
        <f t="shared" si="1"/>
        <v>2020</v>
      </c>
      <c r="M5" s="120">
        <f t="shared" si="1"/>
        <v>2021</v>
      </c>
      <c r="N5" s="120">
        <f t="shared" si="1"/>
        <v>2022</v>
      </c>
      <c r="O5" s="120">
        <f t="shared" si="1"/>
        <v>2023</v>
      </c>
      <c r="P5" s="120">
        <f t="shared" si="1"/>
        <v>2024</v>
      </c>
      <c r="Q5" s="120">
        <f t="shared" si="1"/>
        <v>2025</v>
      </c>
      <c r="R5" s="120">
        <f t="shared" si="1"/>
        <v>2026</v>
      </c>
      <c r="S5" s="120">
        <f t="shared" si="1"/>
        <v>2027</v>
      </c>
      <c r="T5" s="120">
        <f t="shared" si="1"/>
        <v>2028</v>
      </c>
    </row>
    <row r="6" spans="1:20">
      <c r="B6" s="113" t="s">
        <v>91</v>
      </c>
      <c r="C6" s="113"/>
      <c r="D6" s="113"/>
      <c r="E6" s="113"/>
      <c r="F6" s="113"/>
      <c r="G6" s="113"/>
      <c r="H6" s="113"/>
      <c r="I6" s="113"/>
      <c r="J6" s="115" t="str">
        <f t="shared" ref="J6:T6" si="2">IF(J$17,"Actual","Forecast")</f>
        <v>Actual</v>
      </c>
      <c r="K6" s="115" t="str">
        <f t="shared" si="2"/>
        <v>Actual</v>
      </c>
      <c r="L6" s="115" t="str">
        <f t="shared" si="2"/>
        <v>Actual</v>
      </c>
      <c r="M6" s="115" t="str">
        <f t="shared" si="2"/>
        <v>Actual</v>
      </c>
      <c r="N6" s="115" t="str">
        <f t="shared" si="2"/>
        <v>Forecast</v>
      </c>
      <c r="O6" s="114" t="str">
        <f t="shared" si="2"/>
        <v>Forecast</v>
      </c>
      <c r="P6" s="114" t="str">
        <f t="shared" si="2"/>
        <v>Forecast</v>
      </c>
      <c r="Q6" s="114" t="str">
        <f t="shared" si="2"/>
        <v>Forecast</v>
      </c>
      <c r="R6" s="114" t="str">
        <f t="shared" si="2"/>
        <v>Forecast</v>
      </c>
      <c r="S6" s="114" t="str">
        <f t="shared" si="2"/>
        <v>Forecast</v>
      </c>
      <c r="T6" s="114" t="str">
        <f t="shared" si="2"/>
        <v>Forecast</v>
      </c>
    </row>
    <row r="7" spans="1:20" hidden="1" outlineLevel="3">
      <c r="B7" s="30" t="s">
        <v>101</v>
      </c>
      <c r="C7" s="30"/>
      <c r="D7" s="30"/>
      <c r="E7" s="30"/>
      <c r="F7" s="30"/>
      <c r="G7" s="30"/>
      <c r="H7" s="30"/>
      <c r="I7" s="30"/>
      <c r="J7" s="36">
        <f>EDATE(Ts_Start_Date,(J10-1)*Ts_Mths_In_Yr)</f>
        <v>43101</v>
      </c>
      <c r="K7" s="36">
        <f>EDATE(Ts_Start_Date,(K10-1)*Ts_Mths_In_Yr)</f>
        <v>43466</v>
      </c>
      <c r="L7" s="36">
        <f>EDATE(Ts_Start_Date,(L10-1)*Ts_Mths_In_Yr)</f>
        <v>43831</v>
      </c>
      <c r="M7" s="36">
        <f>EDATE(Ts_Start_Date,(M10-1)*Ts_Mths_In_Yr)</f>
        <v>44197</v>
      </c>
      <c r="N7" s="36">
        <f>EDATE(Ts_Start_Date,(N10-1)*Ts_Mths_In_Yr)</f>
        <v>44562</v>
      </c>
      <c r="O7" s="36">
        <f>Ts_Stub_Start_Date</f>
        <v>44927</v>
      </c>
      <c r="P7" s="36">
        <f>EDATE(Ts_Forecast_Reg_Start_Date,(P16-1)*Ts_Mths_In_Yr)</f>
        <v>45108</v>
      </c>
      <c r="Q7" s="36">
        <f>EDATE(Ts_Forecast_Reg_Start_Date,(Q16-1)*Ts_Mths_In_Yr)</f>
        <v>45474</v>
      </c>
      <c r="R7" s="36">
        <f>EDATE(Ts_Forecast_Reg_Start_Date,(R16-1)*Ts_Mths_In_Yr)</f>
        <v>45839</v>
      </c>
      <c r="S7" s="36">
        <f>EDATE(Ts_Forecast_Reg_Start_Date,(S16-1)*Ts_Mths_In_Yr)</f>
        <v>46204</v>
      </c>
      <c r="T7" s="36">
        <f>EDATE(Ts_Forecast_Reg_Start_Date,(T16-1)*Ts_Mths_In_Yr)</f>
        <v>46569</v>
      </c>
    </row>
    <row r="8" spans="1:20" hidden="1" outlineLevel="3">
      <c r="B8" s="30" t="s">
        <v>102</v>
      </c>
      <c r="C8" s="30"/>
      <c r="D8" s="30"/>
      <c r="E8" s="30"/>
      <c r="F8" s="30"/>
      <c r="G8" s="30"/>
      <c r="H8" s="30"/>
      <c r="I8" s="30"/>
      <c r="J8" s="36">
        <f>EOMONTH(J7,Ts_Mths_In_Yr-1)</f>
        <v>43465</v>
      </c>
      <c r="K8" s="36">
        <f>EOMONTH(K7,Ts_Mths_In_Yr-1)</f>
        <v>43830</v>
      </c>
      <c r="L8" s="36">
        <f>EOMONTH(L7,Ts_Mths_In_Yr-1)</f>
        <v>44196</v>
      </c>
      <c r="M8" s="36">
        <f>EOMONTH(M7,Ts_Mths_In_Yr-1)</f>
        <v>44561</v>
      </c>
      <c r="N8" s="36">
        <f>EOMONTH(N7,Ts_Mths_In_Yr-1)</f>
        <v>44926</v>
      </c>
      <c r="O8" s="36">
        <f>EOMONTH(O7,Ts_Stub_Length-1)</f>
        <v>45107</v>
      </c>
      <c r="P8" s="36">
        <f>EOMONTH(P7,Ts_Mths_In_Yr-1)</f>
        <v>45473</v>
      </c>
      <c r="Q8" s="36">
        <f>EOMONTH(Q7,Ts_Mths_In_Yr-1)</f>
        <v>45838</v>
      </c>
      <c r="R8" s="36">
        <f>EOMONTH(R7,Ts_Mths_In_Yr-1)</f>
        <v>46203</v>
      </c>
      <c r="S8" s="36">
        <f>EOMONTH(S7,Ts_Mths_In_Yr-1)</f>
        <v>46568</v>
      </c>
      <c r="T8" s="36">
        <f>EOMONTH(T7,Ts_Mths_In_Yr-1)</f>
        <v>46934</v>
      </c>
    </row>
    <row r="9" spans="1:20" hidden="1" outlineLevel="3">
      <c r="B9" s="30" t="s">
        <v>87</v>
      </c>
      <c r="C9" s="30"/>
      <c r="D9" s="30"/>
      <c r="E9" s="30"/>
      <c r="F9" s="30"/>
      <c r="G9" s="30"/>
      <c r="H9" s="30"/>
      <c r="I9" s="30"/>
      <c r="J9" s="14">
        <f t="shared" ref="J9:T9" si="3">DATEDIF(J7,J8,"m")+1</f>
        <v>12</v>
      </c>
      <c r="K9" s="14">
        <f t="shared" si="3"/>
        <v>12</v>
      </c>
      <c r="L9" s="14">
        <f t="shared" si="3"/>
        <v>12</v>
      </c>
      <c r="M9" s="14">
        <f t="shared" si="3"/>
        <v>12</v>
      </c>
      <c r="N9" s="14">
        <f t="shared" si="3"/>
        <v>12</v>
      </c>
      <c r="O9" s="14">
        <f t="shared" si="3"/>
        <v>6</v>
      </c>
      <c r="P9" s="38">
        <f t="shared" si="3"/>
        <v>12</v>
      </c>
      <c r="Q9" s="38">
        <f t="shared" si="3"/>
        <v>12</v>
      </c>
      <c r="R9" s="38">
        <f t="shared" si="3"/>
        <v>12</v>
      </c>
      <c r="S9" s="38">
        <f t="shared" si="3"/>
        <v>12</v>
      </c>
      <c r="T9" s="38">
        <f t="shared" si="3"/>
        <v>12</v>
      </c>
    </row>
    <row r="10" spans="1:20" hidden="1" outlineLevel="3">
      <c r="B10" s="30" t="s">
        <v>72</v>
      </c>
      <c r="C10" s="30"/>
      <c r="D10" s="30"/>
      <c r="E10" s="30"/>
      <c r="F10" s="30"/>
      <c r="G10" s="30"/>
      <c r="H10" s="30"/>
      <c r="I10" s="30"/>
      <c r="J10" s="40">
        <f>COLUMNS($J$10:J10)</f>
        <v>1</v>
      </c>
      <c r="K10" s="40">
        <f>COLUMNS($J$10:K10)</f>
        <v>2</v>
      </c>
      <c r="L10" s="40">
        <f>COLUMNS($J$10:L10)</f>
        <v>3</v>
      </c>
      <c r="M10" s="40">
        <f>COLUMNS($J$10:M10)</f>
        <v>4</v>
      </c>
      <c r="N10" s="40">
        <f>COLUMNS($J$10:N10)</f>
        <v>5</v>
      </c>
      <c r="O10" s="40">
        <f>COLUMNS($J$10:O10)</f>
        <v>6</v>
      </c>
      <c r="P10" s="40">
        <f>COLUMNS($J$10:P10)</f>
        <v>7</v>
      </c>
      <c r="Q10" s="40">
        <f>COLUMNS($J$10:Q10)</f>
        <v>8</v>
      </c>
      <c r="R10" s="40">
        <f>COLUMNS($J$10:R10)</f>
        <v>9</v>
      </c>
      <c r="S10" s="40">
        <f>COLUMNS($J$10:S10)</f>
        <v>10</v>
      </c>
      <c r="T10" s="40">
        <f>COLUMNS($J$10:T10)</f>
        <v>11</v>
      </c>
    </row>
    <row r="11" spans="1:20" hidden="1" outlineLevel="3">
      <c r="B11" s="30" t="s">
        <v>76</v>
      </c>
      <c r="C11" s="30"/>
      <c r="D11" s="30"/>
      <c r="E11" s="30"/>
      <c r="F11" s="30"/>
      <c r="G11" s="30"/>
      <c r="H11" s="30"/>
      <c r="I11" s="30"/>
      <c r="J11" s="40">
        <f>(J12&lt;&gt;0)*1</f>
        <v>1</v>
      </c>
      <c r="K11" s="40">
        <f>(K12&lt;&gt;0)*1</f>
        <v>1</v>
      </c>
      <c r="L11" s="40">
        <f>(L12&lt;&gt;0)*1</f>
        <v>1</v>
      </c>
      <c r="M11" s="40">
        <f>(M12&lt;&gt;0)*1</f>
        <v>1</v>
      </c>
      <c r="N11" s="40">
        <f>(N12&lt;&gt;0)*1</f>
        <v>1</v>
      </c>
      <c r="O11" s="45">
        <v>0</v>
      </c>
      <c r="P11" s="45">
        <v>0</v>
      </c>
      <c r="Q11" s="45">
        <v>0</v>
      </c>
      <c r="R11" s="45">
        <v>0</v>
      </c>
      <c r="S11" s="45">
        <v>0</v>
      </c>
      <c r="T11" s="45">
        <v>0</v>
      </c>
    </row>
    <row r="12" spans="1:20" hidden="1" outlineLevel="3">
      <c r="B12" s="30" t="s">
        <v>96</v>
      </c>
      <c r="C12" s="30"/>
      <c r="D12" s="30"/>
      <c r="E12" s="30"/>
      <c r="F12" s="30"/>
      <c r="G12" s="30"/>
      <c r="H12" s="30"/>
      <c r="I12" s="30"/>
      <c r="J12" s="40">
        <f>COLUMNS($J$10:J10)</f>
        <v>1</v>
      </c>
      <c r="K12" s="40">
        <f>COLUMNS($J$10:K10)</f>
        <v>2</v>
      </c>
      <c r="L12" s="40">
        <f>COLUMNS($J$10:L10)</f>
        <v>3</v>
      </c>
      <c r="M12" s="40">
        <f>COLUMNS($J$10:M10)</f>
        <v>4</v>
      </c>
      <c r="N12" s="40">
        <f>COLUMNS($J$10:N10)</f>
        <v>5</v>
      </c>
      <c r="O12" s="45">
        <v>0</v>
      </c>
      <c r="P12" s="45">
        <v>0</v>
      </c>
      <c r="Q12" s="45">
        <v>0</v>
      </c>
      <c r="R12" s="45">
        <v>0</v>
      </c>
      <c r="S12" s="45">
        <v>0</v>
      </c>
      <c r="T12" s="45">
        <v>0</v>
      </c>
    </row>
    <row r="13" spans="1:20" hidden="1" outlineLevel="3">
      <c r="B13" s="30" t="s">
        <v>79</v>
      </c>
      <c r="C13" s="30"/>
      <c r="D13" s="30"/>
      <c r="E13" s="30"/>
      <c r="F13" s="30"/>
      <c r="G13" s="30"/>
      <c r="H13" s="30"/>
      <c r="I13" s="30"/>
      <c r="J13" s="45">
        <v>0</v>
      </c>
      <c r="K13" s="45">
        <v>0</v>
      </c>
      <c r="L13" s="45">
        <v>0</v>
      </c>
      <c r="M13" s="45">
        <v>0</v>
      </c>
      <c r="N13" s="45">
        <v>0</v>
      </c>
      <c r="O13" s="40">
        <f>(O14&lt;&gt;0)*1</f>
        <v>1</v>
      </c>
      <c r="P13" s="45">
        <v>0</v>
      </c>
      <c r="Q13" s="45">
        <v>0</v>
      </c>
      <c r="R13" s="45">
        <v>0</v>
      </c>
      <c r="S13" s="45">
        <v>0</v>
      </c>
      <c r="T13" s="45">
        <v>0</v>
      </c>
    </row>
    <row r="14" spans="1:20" hidden="1" outlineLevel="3">
      <c r="B14" s="30" t="s">
        <v>97</v>
      </c>
      <c r="C14" s="30"/>
      <c r="D14" s="30"/>
      <c r="E14" s="30"/>
      <c r="F14" s="30"/>
      <c r="G14" s="30"/>
      <c r="H14" s="30"/>
      <c r="I14" s="30"/>
      <c r="J14" s="45">
        <v>0</v>
      </c>
      <c r="K14" s="45">
        <v>0</v>
      </c>
      <c r="L14" s="45">
        <v>0</v>
      </c>
      <c r="M14" s="45">
        <v>0</v>
      </c>
      <c r="N14" s="45">
        <v>0</v>
      </c>
      <c r="O14" s="40">
        <f>COLUMNS($O$14:O14)</f>
        <v>1</v>
      </c>
      <c r="P14" s="45">
        <v>0</v>
      </c>
      <c r="Q14" s="45">
        <v>0</v>
      </c>
      <c r="R14" s="45">
        <v>0</v>
      </c>
      <c r="S14" s="45">
        <v>0</v>
      </c>
      <c r="T14" s="45">
        <v>0</v>
      </c>
    </row>
    <row r="15" spans="1:20" hidden="1" outlineLevel="3">
      <c r="B15" s="30" t="s">
        <v>82</v>
      </c>
      <c r="C15" s="30"/>
      <c r="D15" s="30"/>
      <c r="E15" s="30"/>
      <c r="F15" s="30"/>
      <c r="G15" s="30"/>
      <c r="H15" s="30"/>
      <c r="I15" s="30"/>
      <c r="J15" s="45">
        <v>0</v>
      </c>
      <c r="K15" s="45">
        <v>0</v>
      </c>
      <c r="L15" s="45">
        <v>0</v>
      </c>
      <c r="M15" s="45">
        <v>0</v>
      </c>
      <c r="N15" s="45">
        <v>0</v>
      </c>
      <c r="O15" s="45">
        <v>0</v>
      </c>
      <c r="P15" s="39">
        <f>(P16&lt;&gt;0)*1</f>
        <v>1</v>
      </c>
      <c r="Q15" s="39">
        <f>(Q16&lt;&gt;0)*1</f>
        <v>1</v>
      </c>
      <c r="R15" s="39">
        <f>(R16&lt;&gt;0)*1</f>
        <v>1</v>
      </c>
      <c r="S15" s="39">
        <f>(S16&lt;&gt;0)*1</f>
        <v>1</v>
      </c>
      <c r="T15" s="39">
        <f>(T16&lt;&gt;0)*1</f>
        <v>1</v>
      </c>
    </row>
    <row r="16" spans="1:20" hidden="1" outlineLevel="3">
      <c r="B16" s="30" t="s">
        <v>98</v>
      </c>
      <c r="C16" s="30"/>
      <c r="D16" s="30"/>
      <c r="E16" s="30"/>
      <c r="F16" s="30"/>
      <c r="G16" s="30"/>
      <c r="H16" s="30"/>
      <c r="I16" s="30"/>
      <c r="J16" s="45">
        <v>0</v>
      </c>
      <c r="K16" s="45">
        <v>0</v>
      </c>
      <c r="L16" s="45">
        <v>0</v>
      </c>
      <c r="M16" s="45">
        <v>0</v>
      </c>
      <c r="N16" s="45">
        <v>0</v>
      </c>
      <c r="O16" s="45">
        <v>0</v>
      </c>
      <c r="P16" s="39">
        <f>COLUMNS($P$16:P16)</f>
        <v>1</v>
      </c>
      <c r="Q16" s="39">
        <f>COLUMNS($P$16:Q16)</f>
        <v>2</v>
      </c>
      <c r="R16" s="39">
        <f>COLUMNS($P$16:R16)</f>
        <v>3</v>
      </c>
      <c r="S16" s="39">
        <f>COLUMNS($P$16:S16)</f>
        <v>4</v>
      </c>
      <c r="T16" s="39">
        <f>COLUMNS($P$16:T16)</f>
        <v>5</v>
      </c>
    </row>
    <row r="17" spans="2:20" hidden="1" outlineLevel="3">
      <c r="B17" s="30" t="s">
        <v>206</v>
      </c>
      <c r="C17" s="30"/>
      <c r="D17" s="30"/>
      <c r="E17" s="30"/>
      <c r="F17" s="30"/>
      <c r="G17" s="30"/>
      <c r="H17" s="30"/>
      <c r="I17" s="30"/>
      <c r="J17" s="39">
        <f t="shared" ref="J17:T17" si="4">IF(J$5&lt;=Ts_Last_Actual_Year,1,0)</f>
        <v>1</v>
      </c>
      <c r="K17" s="39">
        <f t="shared" si="4"/>
        <v>1</v>
      </c>
      <c r="L17" s="39">
        <f t="shared" si="4"/>
        <v>1</v>
      </c>
      <c r="M17" s="39">
        <f t="shared" si="4"/>
        <v>1</v>
      </c>
      <c r="N17" s="39">
        <f t="shared" si="4"/>
        <v>0</v>
      </c>
      <c r="O17" s="39">
        <f t="shared" si="4"/>
        <v>0</v>
      </c>
      <c r="P17" s="39">
        <f t="shared" si="4"/>
        <v>0</v>
      </c>
      <c r="Q17" s="39">
        <f t="shared" si="4"/>
        <v>0</v>
      </c>
      <c r="R17" s="39">
        <f t="shared" si="4"/>
        <v>0</v>
      </c>
      <c r="S17" s="39">
        <f t="shared" si="4"/>
        <v>0</v>
      </c>
      <c r="T17" s="39">
        <f t="shared" si="4"/>
        <v>0</v>
      </c>
    </row>
    <row r="18" spans="2:20" hidden="1" outlineLevel="3">
      <c r="B18" s="30" t="s">
        <v>207</v>
      </c>
      <c r="C18" s="30"/>
      <c r="D18" s="30"/>
      <c r="E18" s="30"/>
      <c r="F18" s="30"/>
      <c r="G18" s="30"/>
      <c r="H18" s="30"/>
      <c r="I18" s="30"/>
      <c r="J18" s="39">
        <f t="shared" ref="J18:T18" si="5">IF(J$5&gt;Ts_Last_Actual_Year,1,0)</f>
        <v>0</v>
      </c>
      <c r="K18" s="39">
        <f t="shared" si="5"/>
        <v>0</v>
      </c>
      <c r="L18" s="39">
        <f t="shared" si="5"/>
        <v>0</v>
      </c>
      <c r="M18" s="39">
        <f t="shared" si="5"/>
        <v>0</v>
      </c>
      <c r="N18" s="39">
        <f t="shared" si="5"/>
        <v>1</v>
      </c>
      <c r="O18" s="40">
        <f t="shared" si="5"/>
        <v>1</v>
      </c>
      <c r="P18" s="40">
        <f t="shared" si="5"/>
        <v>1</v>
      </c>
      <c r="Q18" s="40">
        <f t="shared" si="5"/>
        <v>1</v>
      </c>
      <c r="R18" s="40">
        <f t="shared" si="5"/>
        <v>1</v>
      </c>
      <c r="S18" s="40">
        <f t="shared" si="5"/>
        <v>1</v>
      </c>
      <c r="T18" s="40">
        <f t="shared" si="5"/>
        <v>1</v>
      </c>
    </row>
    <row r="19" spans="2:20" hidden="1" outlineLevel="3">
      <c r="B19" s="30" t="s">
        <v>208</v>
      </c>
      <c r="C19" s="30"/>
      <c r="D19" s="30"/>
      <c r="E19" s="30"/>
      <c r="F19" s="30"/>
      <c r="G19" s="30"/>
      <c r="H19" s="30"/>
      <c r="I19" s="30"/>
      <c r="J19" s="39">
        <f>SUM($J18:J18)</f>
        <v>0</v>
      </c>
      <c r="K19" s="39">
        <f>SUM($J18:K18)</f>
        <v>0</v>
      </c>
      <c r="L19" s="39">
        <f>SUM($J18:L18)</f>
        <v>0</v>
      </c>
      <c r="M19" s="39">
        <f>SUM($J18:M18)</f>
        <v>0</v>
      </c>
      <c r="N19" s="39">
        <f>SUM($J18:N18)</f>
        <v>1</v>
      </c>
      <c r="O19" s="40">
        <f>SUM($J18:O18)</f>
        <v>2</v>
      </c>
      <c r="P19" s="40">
        <f>SUM($J18:P18)</f>
        <v>3</v>
      </c>
      <c r="Q19" s="40">
        <f>SUM($J18:Q18)</f>
        <v>4</v>
      </c>
      <c r="R19" s="40">
        <f>SUM($J18:R18)</f>
        <v>5</v>
      </c>
      <c r="S19" s="40">
        <f>SUM($J18:S18)</f>
        <v>6</v>
      </c>
      <c r="T19" s="40">
        <f>SUM($J18:T18)</f>
        <v>7</v>
      </c>
    </row>
    <row r="20" spans="2:20" hidden="1" outlineLevel="3">
      <c r="B20" s="30" t="s">
        <v>481</v>
      </c>
      <c r="C20" s="30"/>
      <c r="D20" s="30"/>
      <c r="E20" s="30"/>
      <c r="F20" s="30"/>
      <c r="G20" s="30"/>
      <c r="H20" s="30"/>
      <c r="I20" s="30"/>
      <c r="J20" s="38">
        <f t="shared" ref="J20:N20" si="6">J9/12</f>
        <v>1</v>
      </c>
      <c r="K20" s="38">
        <f t="shared" si="6"/>
        <v>1</v>
      </c>
      <c r="L20" s="38">
        <f t="shared" si="6"/>
        <v>1</v>
      </c>
      <c r="M20" s="38">
        <f t="shared" si="6"/>
        <v>1</v>
      </c>
      <c r="N20" s="38">
        <f t="shared" si="6"/>
        <v>1</v>
      </c>
      <c r="O20" s="38">
        <f>O9/12</f>
        <v>0.5</v>
      </c>
      <c r="P20" s="38">
        <f t="shared" ref="P20:T20" si="7">P9/12</f>
        <v>1</v>
      </c>
      <c r="Q20" s="38">
        <f t="shared" si="7"/>
        <v>1</v>
      </c>
      <c r="R20" s="38">
        <f t="shared" si="7"/>
        <v>1</v>
      </c>
      <c r="S20" s="38">
        <f t="shared" si="7"/>
        <v>1</v>
      </c>
      <c r="T20" s="38">
        <f t="shared" si="7"/>
        <v>1</v>
      </c>
    </row>
    <row r="21" spans="2:20" hidden="1" outlineLevel="3">
      <c r="B21" s="30"/>
      <c r="C21" s="30"/>
      <c r="D21" s="30"/>
      <c r="E21" s="30"/>
      <c r="F21" s="30"/>
      <c r="G21" s="30"/>
      <c r="H21" s="30"/>
      <c r="I21" s="30"/>
      <c r="J21" s="30"/>
      <c r="K21" s="30"/>
      <c r="L21" s="30"/>
      <c r="M21" s="30"/>
      <c r="N21" s="30"/>
      <c r="O21" s="30"/>
      <c r="P21" s="30"/>
      <c r="Q21" s="30"/>
      <c r="R21" s="30"/>
      <c r="S21" s="30"/>
      <c r="T21" s="30"/>
    </row>
    <row r="22" spans="2:20" collapsed="1"/>
    <row r="23" spans="2:20" ht="14">
      <c r="B23" s="110" t="s">
        <v>270</v>
      </c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</row>
    <row r="24" spans="2:20" ht="5.9" customHeight="1"/>
    <row r="25" spans="2:20" ht="14">
      <c r="B25" s="56" t="str">
        <f>GC!F30</f>
        <v>Extensions - New Towns</v>
      </c>
    </row>
    <row r="26" spans="2:20" ht="5.9" customHeight="1" outlineLevel="1"/>
    <row r="27" spans="2:20" hidden="1" outlineLevel="2">
      <c r="C27" s="37" t="s">
        <v>204</v>
      </c>
    </row>
    <row r="28" spans="2:20" ht="5.9" hidden="1" customHeight="1" outlineLevel="2"/>
    <row r="29" spans="2:20" hidden="1" outlineLevel="2">
      <c r="D29" s="51" t="s">
        <v>103</v>
      </c>
      <c r="J29" s="92">
        <f>Rates!J42</f>
        <v>1</v>
      </c>
      <c r="K29" s="92">
        <f>Rates!K42</f>
        <v>1</v>
      </c>
      <c r="L29" s="92">
        <f>Rates!L42</f>
        <v>1</v>
      </c>
      <c r="M29" s="92">
        <f>Rates!M42</f>
        <v>1</v>
      </c>
      <c r="N29" s="92">
        <f>Rates!N42</f>
        <v>1</v>
      </c>
      <c r="O29" s="92">
        <f>Rates!O42</f>
        <v>1.0051959235721353</v>
      </c>
      <c r="P29" s="92">
        <f>Rates!P42</f>
        <v>1.0102301741405761</v>
      </c>
      <c r="Q29" s="92">
        <f>Rates!Q42</f>
        <v>1.0181072873442809</v>
      </c>
      <c r="R29" s="92">
        <f>Rates!R42</f>
        <v>1.0293150686557422</v>
      </c>
      <c r="S29" s="92">
        <f>Rates!S42</f>
        <v>1.040646230246951</v>
      </c>
      <c r="T29" s="92">
        <f>Rates!T42</f>
        <v>1.0521021303433229</v>
      </c>
    </row>
    <row r="30" spans="2:20" hidden="1" outlineLevel="2">
      <c r="D30" s="51" t="s">
        <v>104</v>
      </c>
      <c r="J30" s="92">
        <f>Rates!J43</f>
        <v>1</v>
      </c>
      <c r="K30" s="92">
        <f>Rates!K43</f>
        <v>1</v>
      </c>
      <c r="L30" s="92">
        <f>Rates!L43</f>
        <v>1</v>
      </c>
      <c r="M30" s="92">
        <f>Rates!M43</f>
        <v>1</v>
      </c>
      <c r="N30" s="92">
        <f>Rates!N43</f>
        <v>1</v>
      </c>
      <c r="O30" s="92">
        <f>Rates!O43</f>
        <v>1</v>
      </c>
      <c r="P30" s="92">
        <f>Rates!P43</f>
        <v>1</v>
      </c>
      <c r="Q30" s="92">
        <f>Rates!Q43</f>
        <v>1</v>
      </c>
      <c r="R30" s="92">
        <f>Rates!R43</f>
        <v>1</v>
      </c>
      <c r="S30" s="92">
        <f>Rates!S43</f>
        <v>1</v>
      </c>
      <c r="T30" s="92">
        <f>Rates!T43</f>
        <v>1</v>
      </c>
    </row>
    <row r="31" spans="2:20" hidden="1" outlineLevel="2">
      <c r="D31" s="51" t="s">
        <v>130</v>
      </c>
      <c r="J31" s="92">
        <f>Rates!J45</f>
        <v>1</v>
      </c>
      <c r="K31" s="92">
        <f>Rates!K45</f>
        <v>1</v>
      </c>
      <c r="L31" s="92">
        <f>Rates!L45</f>
        <v>1</v>
      </c>
      <c r="M31" s="92">
        <f>Rates!M45</f>
        <v>1</v>
      </c>
      <c r="N31" s="92">
        <f>Rates!N45</f>
        <v>1</v>
      </c>
      <c r="O31" s="92">
        <f>Rates!O45</f>
        <v>1</v>
      </c>
      <c r="P31" s="92">
        <f>Rates!P45</f>
        <v>1</v>
      </c>
      <c r="Q31" s="92">
        <f>Rates!Q45</f>
        <v>1</v>
      </c>
      <c r="R31" s="92">
        <f>Rates!R45</f>
        <v>1</v>
      </c>
      <c r="S31" s="92">
        <f>Rates!S45</f>
        <v>1</v>
      </c>
      <c r="T31" s="92">
        <f>Rates!T45</f>
        <v>1</v>
      </c>
    </row>
    <row r="32" spans="2:20" ht="5.9" hidden="1" customHeight="1" outlineLevel="2"/>
    <row r="33" spans="3:20" hidden="1" outlineLevel="2">
      <c r="C33" s="37" t="s">
        <v>105</v>
      </c>
    </row>
    <row r="34" spans="3:20" ht="5.9" hidden="1" customHeight="1" outlineLevel="2"/>
    <row r="35" spans="3:20" hidden="1" outlineLevel="2">
      <c r="D35" s="51" t="s">
        <v>106</v>
      </c>
      <c r="J35" s="100">
        <f>Rates!J50</f>
        <v>6.9591273870889495E-2</v>
      </c>
      <c r="K35" s="100">
        <f>Rates!K50</f>
        <v>7.3934468928182201E-2</v>
      </c>
      <c r="L35" s="100">
        <f>Rates!L50</f>
        <v>7.5085976469407303E-2</v>
      </c>
      <c r="M35" s="100">
        <f>Rates!M50</f>
        <v>8.0103391005934096E-2</v>
      </c>
      <c r="N35" s="100">
        <f>Rates!N50</f>
        <v>3.7711007382937055E-2</v>
      </c>
      <c r="O35" s="100">
        <f>Rates!O50</f>
        <v>3.3283969054706777E-2</v>
      </c>
      <c r="P35" s="100">
        <f>Rates!P50</f>
        <v>2.6752660513445464E-2</v>
      </c>
      <c r="Q35" s="100">
        <f>Rates!Q50</f>
        <v>2.6060587348993774E-2</v>
      </c>
      <c r="R35" s="100">
        <f>Rates!R50</f>
        <v>2.6873005987587139E-2</v>
      </c>
      <c r="S35" s="100">
        <f>Rates!S50</f>
        <v>2.8546178928104012E-2</v>
      </c>
      <c r="T35" s="100">
        <f>Rates!T50</f>
        <v>2.9920378203686534E-2</v>
      </c>
    </row>
    <row r="36" spans="3:20" hidden="1" outlineLevel="2">
      <c r="D36" s="51" t="s">
        <v>107</v>
      </c>
      <c r="J36" s="100">
        <f>Rates!J51</f>
        <v>5.5842732834613398E-2</v>
      </c>
      <c r="K36" s="100">
        <f>Rates!K51</f>
        <v>5.16564294790849E-2</v>
      </c>
      <c r="L36" s="100">
        <f>Rates!L51</f>
        <v>6.0535031919173997E-2</v>
      </c>
      <c r="M36" s="100">
        <f>Rates!M51</f>
        <v>7.1630695797579302E-2</v>
      </c>
      <c r="N36" s="100">
        <f>Rates!N51</f>
        <v>7.4343858126268231E-2</v>
      </c>
      <c r="O36" s="100">
        <f>Rates!O51</f>
        <v>7.4059082290758096E-2</v>
      </c>
      <c r="P36" s="100">
        <f>Rates!P51</f>
        <v>2.4388539961794877E-2</v>
      </c>
      <c r="Q36" s="100">
        <f>Rates!Q51</f>
        <v>2.1171310758207256E-2</v>
      </c>
      <c r="R36" s="100">
        <f>Rates!R51</f>
        <v>2.0024144075344485E-2</v>
      </c>
      <c r="S36" s="100">
        <f>Rates!S51</f>
        <v>3.9620009613577346E-2</v>
      </c>
      <c r="T36" s="100">
        <f>Rates!T51</f>
        <v>5.404914337922874E-2</v>
      </c>
    </row>
    <row r="37" spans="3:20" hidden="1" outlineLevel="2">
      <c r="D37" s="51" t="s">
        <v>108</v>
      </c>
      <c r="J37" s="100">
        <f>Rates!J52</f>
        <v>0</v>
      </c>
      <c r="K37" s="100">
        <f>Rates!K52</f>
        <v>0</v>
      </c>
      <c r="L37" s="100">
        <f>Rates!L52</f>
        <v>0</v>
      </c>
      <c r="M37" s="100">
        <f>Rates!M52</f>
        <v>0</v>
      </c>
      <c r="N37" s="100">
        <f>Rates!N52</f>
        <v>0</v>
      </c>
      <c r="O37" s="100">
        <f>Rates!O52</f>
        <v>0</v>
      </c>
      <c r="P37" s="100">
        <f>Rates!P52</f>
        <v>0</v>
      </c>
      <c r="Q37" s="100">
        <f>Rates!Q52</f>
        <v>0</v>
      </c>
      <c r="R37" s="100">
        <f>Rates!R52</f>
        <v>0</v>
      </c>
      <c r="S37" s="100">
        <f>Rates!S52</f>
        <v>0</v>
      </c>
      <c r="T37" s="100">
        <f>Rates!T52</f>
        <v>0</v>
      </c>
    </row>
    <row r="38" spans="3:20" outlineLevel="1" collapsed="1"/>
    <row r="39" spans="3:20" ht="5.9" customHeight="1" outlineLevel="1"/>
    <row r="40" spans="3:20" outlineLevel="1">
      <c r="C40" s="37" t="s">
        <v>118</v>
      </c>
    </row>
    <row r="41" spans="3:20" ht="5.9" customHeight="1" outlineLevel="1"/>
    <row r="42" spans="3:20" outlineLevel="1">
      <c r="D42" s="37" t="s">
        <v>160</v>
      </c>
      <c r="H42" s="107" t="s">
        <v>192</v>
      </c>
    </row>
    <row r="43" spans="3:20" ht="5.9" customHeight="1" outlineLevel="1"/>
    <row r="44" spans="3:20" outlineLevel="1">
      <c r="D44" s="102" t="str">
        <f>Work_Codes!D428</f>
        <v>3032 Ancilliary</v>
      </c>
      <c r="H44" s="63"/>
      <c r="J44" s="125"/>
      <c r="K44" s="125"/>
      <c r="L44" s="125"/>
      <c r="M44" s="125"/>
      <c r="N44" s="125"/>
      <c r="O44" s="125"/>
      <c r="P44" s="125"/>
      <c r="Q44" s="125"/>
      <c r="R44" s="125"/>
      <c r="S44" s="125"/>
      <c r="T44" s="125"/>
    </row>
    <row r="45" spans="3:20" outlineLevel="1">
      <c r="D45" s="102" t="str">
        <f>Work_Codes!D429</f>
        <v>New Towns Category 2</v>
      </c>
      <c r="H45" s="63"/>
      <c r="J45" s="125"/>
      <c r="K45" s="125"/>
      <c r="L45" s="125"/>
      <c r="M45" s="125"/>
      <c r="N45" s="125"/>
      <c r="O45" s="125"/>
      <c r="P45" s="125"/>
      <c r="Q45" s="125"/>
      <c r="R45" s="125"/>
      <c r="S45" s="125"/>
      <c r="T45" s="125"/>
    </row>
    <row r="46" spans="3:20" outlineLevel="1">
      <c r="D46" s="105"/>
      <c r="H46" s="58"/>
      <c r="J46" s="66"/>
      <c r="K46" s="66"/>
      <c r="L46" s="66"/>
      <c r="M46" s="66"/>
      <c r="N46" s="66"/>
      <c r="O46" s="66"/>
      <c r="P46" s="66"/>
      <c r="Q46" s="66"/>
      <c r="R46" s="66"/>
      <c r="S46" s="66"/>
      <c r="T46" s="66"/>
    </row>
    <row r="47" spans="3:20" outlineLevel="1">
      <c r="C47" s="37" t="s">
        <v>119</v>
      </c>
    </row>
    <row r="48" spans="3:20" ht="5.9" customHeight="1" outlineLevel="1"/>
    <row r="49" spans="3:20" outlineLevel="1">
      <c r="D49" s="37" t="str">
        <f>D42</f>
        <v>Capex Category</v>
      </c>
    </row>
    <row r="50" spans="3:20" ht="5.9" customHeight="1" outlineLevel="1"/>
    <row r="51" spans="3:20" outlineLevel="1">
      <c r="D51" s="102" t="str">
        <f>Work_Codes!D428</f>
        <v>3032 Ancilliary</v>
      </c>
      <c r="J51" s="163"/>
      <c r="K51" s="163"/>
      <c r="L51" s="163"/>
      <c r="M51" s="163"/>
      <c r="N51" s="163"/>
      <c r="O51" s="163"/>
      <c r="P51" s="163"/>
      <c r="Q51" s="163"/>
      <c r="R51" s="163"/>
      <c r="S51" s="163"/>
      <c r="T51" s="163"/>
    </row>
    <row r="52" spans="3:20" outlineLevel="1">
      <c r="D52" s="102" t="str">
        <f>Work_Codes!D429</f>
        <v>New Towns Category 2</v>
      </c>
      <c r="J52" s="163"/>
      <c r="K52" s="163"/>
      <c r="L52" s="163"/>
      <c r="M52" s="163"/>
      <c r="N52" s="163"/>
      <c r="O52" s="163"/>
      <c r="P52" s="163"/>
      <c r="Q52" s="163"/>
      <c r="R52" s="163"/>
      <c r="S52" s="163"/>
      <c r="T52" s="163"/>
    </row>
    <row r="53" spans="3:20" outlineLevel="1"/>
    <row r="54" spans="3:20" outlineLevel="1">
      <c r="C54" s="37" t="s">
        <v>193</v>
      </c>
    </row>
    <row r="55" spans="3:20" ht="5.9" customHeight="1" outlineLevel="1"/>
    <row r="56" spans="3:20" outlineLevel="1">
      <c r="D56" s="37" t="str">
        <f>D42</f>
        <v>Capex Category</v>
      </c>
    </row>
    <row r="57" spans="3:20" ht="5.9" customHeight="1" outlineLevel="1"/>
    <row r="58" spans="3:20" outlineLevel="1">
      <c r="D58" s="102" t="str">
        <f>Work_Codes!D428</f>
        <v>3032 Ancilliary</v>
      </c>
      <c r="J58" s="81">
        <f t="shared" ref="J58:T58" si="8">J44*J51</f>
        <v>0</v>
      </c>
      <c r="K58" s="81">
        <f t="shared" si="8"/>
        <v>0</v>
      </c>
      <c r="L58" s="81">
        <f t="shared" si="8"/>
        <v>0</v>
      </c>
      <c r="M58" s="81">
        <f t="shared" si="8"/>
        <v>0</v>
      </c>
      <c r="N58" s="81">
        <f t="shared" si="8"/>
        <v>0</v>
      </c>
      <c r="O58" s="81">
        <f t="shared" si="8"/>
        <v>0</v>
      </c>
      <c r="P58" s="81">
        <f t="shared" si="8"/>
        <v>0</v>
      </c>
      <c r="Q58" s="81">
        <f t="shared" si="8"/>
        <v>0</v>
      </c>
      <c r="R58" s="81">
        <f t="shared" si="8"/>
        <v>0</v>
      </c>
      <c r="S58" s="81">
        <f t="shared" si="8"/>
        <v>0</v>
      </c>
      <c r="T58" s="81">
        <f t="shared" si="8"/>
        <v>0</v>
      </c>
    </row>
    <row r="59" spans="3:20" outlineLevel="1">
      <c r="D59" s="102" t="str">
        <f>Work_Codes!D429</f>
        <v>New Towns Category 2</v>
      </c>
      <c r="J59" s="81">
        <f t="shared" ref="J59:T59" si="9">J45*J52</f>
        <v>0</v>
      </c>
      <c r="K59" s="81">
        <f t="shared" si="9"/>
        <v>0</v>
      </c>
      <c r="L59" s="81">
        <f t="shared" si="9"/>
        <v>0</v>
      </c>
      <c r="M59" s="81">
        <f t="shared" si="9"/>
        <v>0</v>
      </c>
      <c r="N59" s="81">
        <f t="shared" si="9"/>
        <v>0</v>
      </c>
      <c r="O59" s="81">
        <f t="shared" si="9"/>
        <v>0</v>
      </c>
      <c r="P59" s="81">
        <f t="shared" si="9"/>
        <v>0</v>
      </c>
      <c r="Q59" s="81">
        <f t="shared" si="9"/>
        <v>0</v>
      </c>
      <c r="R59" s="81">
        <f t="shared" si="9"/>
        <v>0</v>
      </c>
      <c r="S59" s="81">
        <f t="shared" si="9"/>
        <v>0</v>
      </c>
      <c r="T59" s="81">
        <f t="shared" si="9"/>
        <v>0</v>
      </c>
    </row>
    <row r="60" spans="3:20" ht="5.9" customHeight="1" outlineLevel="1">
      <c r="D60" s="37"/>
      <c r="J60" s="78"/>
      <c r="K60" s="78"/>
      <c r="L60" s="78"/>
      <c r="M60" s="78"/>
      <c r="N60" s="78"/>
      <c r="O60" s="78"/>
      <c r="P60" s="78"/>
      <c r="Q60" s="78"/>
      <c r="R60" s="78"/>
      <c r="S60" s="78"/>
      <c r="T60" s="78"/>
    </row>
    <row r="61" spans="3:20" outlineLevel="1">
      <c r="D61" s="249" t="str">
        <f>"Total "&amp;B25</f>
        <v>Total Extensions - New Towns</v>
      </c>
      <c r="E61" s="249"/>
      <c r="F61" s="249"/>
      <c r="G61" s="249"/>
      <c r="H61" s="249"/>
      <c r="I61" s="249"/>
      <c r="J61" s="82">
        <f t="shared" ref="J61:T61" si="10">SUM(J58:J60)</f>
        <v>0</v>
      </c>
      <c r="K61" s="82">
        <f t="shared" si="10"/>
        <v>0</v>
      </c>
      <c r="L61" s="82">
        <f t="shared" si="10"/>
        <v>0</v>
      </c>
      <c r="M61" s="82">
        <f t="shared" si="10"/>
        <v>0</v>
      </c>
      <c r="N61" s="82">
        <f t="shared" si="10"/>
        <v>0</v>
      </c>
      <c r="O61" s="82">
        <f t="shared" si="10"/>
        <v>0</v>
      </c>
      <c r="P61" s="82">
        <f t="shared" si="10"/>
        <v>0</v>
      </c>
      <c r="Q61" s="82">
        <f t="shared" si="10"/>
        <v>0</v>
      </c>
      <c r="R61" s="82">
        <f t="shared" si="10"/>
        <v>0</v>
      </c>
      <c r="S61" s="82">
        <f t="shared" si="10"/>
        <v>0</v>
      </c>
      <c r="T61" s="82">
        <f t="shared" si="10"/>
        <v>0</v>
      </c>
    </row>
    <row r="62" spans="3:20" outlineLevel="1"/>
    <row r="63" spans="3:20" outlineLevel="1">
      <c r="C63" s="37" t="s">
        <v>286</v>
      </c>
    </row>
    <row r="64" spans="3:20" ht="5.9" customHeight="1" outlineLevel="1"/>
    <row r="65" spans="3:20" outlineLevel="1">
      <c r="D65" s="143" t="str">
        <f>Work_Codes!D433</f>
        <v>Customer Contributions Category 1</v>
      </c>
      <c r="J65" s="148">
        <v>0</v>
      </c>
      <c r="K65" s="148">
        <v>0</v>
      </c>
      <c r="L65" s="148">
        <v>0</v>
      </c>
      <c r="M65" s="148">
        <v>0</v>
      </c>
      <c r="N65" s="148">
        <v>0</v>
      </c>
      <c r="O65" s="185">
        <f t="shared" ref="O65:P65" si="11">-O61/2</f>
        <v>0</v>
      </c>
      <c r="P65" s="185">
        <f t="shared" si="11"/>
        <v>0</v>
      </c>
      <c r="Q65" s="185">
        <f>-Q61/2</f>
        <v>0</v>
      </c>
      <c r="R65" s="185">
        <f t="shared" ref="R65:T65" si="12">-R61/2</f>
        <v>0</v>
      </c>
      <c r="S65" s="185">
        <f t="shared" si="12"/>
        <v>0</v>
      </c>
      <c r="T65" s="185">
        <f t="shared" si="12"/>
        <v>0</v>
      </c>
    </row>
    <row r="66" spans="3:20" ht="5.9" customHeight="1" outlineLevel="1"/>
    <row r="67" spans="3:20" outlineLevel="1">
      <c r="D67" s="249" t="str">
        <f>"Total "&amp;C63</f>
        <v>Total Customer Connections</v>
      </c>
      <c r="E67" s="249"/>
      <c r="F67" s="249"/>
      <c r="G67" s="249"/>
      <c r="H67" s="249"/>
      <c r="I67" s="249"/>
      <c r="J67" s="82">
        <f t="shared" ref="J67:T67" si="13">SUM(J65:J66)</f>
        <v>0</v>
      </c>
      <c r="K67" s="82">
        <f t="shared" si="13"/>
        <v>0</v>
      </c>
      <c r="L67" s="82">
        <f t="shared" si="13"/>
        <v>0</v>
      </c>
      <c r="M67" s="82">
        <f t="shared" si="13"/>
        <v>0</v>
      </c>
      <c r="N67" s="82">
        <f t="shared" si="13"/>
        <v>0</v>
      </c>
      <c r="O67" s="82">
        <f t="shared" si="13"/>
        <v>0</v>
      </c>
      <c r="P67" s="82">
        <f t="shared" si="13"/>
        <v>0</v>
      </c>
      <c r="Q67" s="82">
        <f t="shared" si="13"/>
        <v>0</v>
      </c>
      <c r="R67" s="82">
        <f t="shared" si="13"/>
        <v>0</v>
      </c>
      <c r="S67" s="82">
        <f t="shared" si="13"/>
        <v>0</v>
      </c>
      <c r="T67" s="82">
        <f t="shared" si="13"/>
        <v>0</v>
      </c>
    </row>
    <row r="68" spans="3:20" outlineLevel="1">
      <c r="C68" s="12"/>
      <c r="D68" s="12"/>
      <c r="E68" s="12"/>
      <c r="F68" s="12"/>
      <c r="G68" s="12"/>
      <c r="H68" s="12"/>
      <c r="I68" s="12"/>
      <c r="J68" s="12"/>
      <c r="K68" s="12"/>
      <c r="L68" s="12"/>
      <c r="M68" s="12"/>
      <c r="N68" s="12"/>
      <c r="O68" s="12"/>
      <c r="P68" s="12"/>
      <c r="Q68" s="12"/>
      <c r="R68" s="12"/>
      <c r="S68" s="12"/>
      <c r="T68" s="12"/>
    </row>
    <row r="69" spans="3:20" outlineLevel="1"/>
    <row r="70" spans="3:20" outlineLevel="1">
      <c r="C70" s="37" t="s">
        <v>213</v>
      </c>
    </row>
    <row r="71" spans="3:20" ht="5.9" hidden="1" customHeight="1" outlineLevel="2"/>
    <row r="72" spans="3:20" hidden="1" outlineLevel="2">
      <c r="C72" s="37" t="s">
        <v>128</v>
      </c>
    </row>
    <row r="73" spans="3:20" ht="5.9" hidden="1" customHeight="1" outlineLevel="2"/>
    <row r="74" spans="3:20" hidden="1" outlineLevel="2">
      <c r="D74" s="102" t="str">
        <f>Work_Codes!D428</f>
        <v>3032 Ancilliary</v>
      </c>
      <c r="J74" s="81">
        <f>Work_Codes!$I428*J58*J$29</f>
        <v>0</v>
      </c>
      <c r="K74" s="81">
        <f>Work_Codes!$I428*K58*K$29</f>
        <v>0</v>
      </c>
      <c r="L74" s="81">
        <f>Work_Codes!$I428*L58*L$29</f>
        <v>0</v>
      </c>
      <c r="M74" s="81">
        <f>Work_Codes!$I428*M58*M$29</f>
        <v>0</v>
      </c>
      <c r="N74" s="81">
        <f>Work_Codes!$I428*N58*N$29</f>
        <v>0</v>
      </c>
      <c r="O74" s="81">
        <f>Work_Codes!$I428*O58*O$29</f>
        <v>0</v>
      </c>
      <c r="P74" s="81">
        <f>Work_Codes!$I428*P58*P$29</f>
        <v>0</v>
      </c>
      <c r="Q74" s="81">
        <f>Work_Codes!$I428*Q58*Q$29</f>
        <v>0</v>
      </c>
      <c r="R74" s="81">
        <f>Work_Codes!$I428*R58*R$29</f>
        <v>0</v>
      </c>
      <c r="S74" s="81">
        <f>Work_Codes!$I428*S58*S$29</f>
        <v>0</v>
      </c>
      <c r="T74" s="81">
        <f>Work_Codes!$I428*T58*T$29</f>
        <v>0</v>
      </c>
    </row>
    <row r="75" spans="3:20" hidden="1" outlineLevel="2">
      <c r="D75" s="102" t="str">
        <f>Work_Codes!D429</f>
        <v>New Towns Category 2</v>
      </c>
      <c r="J75" s="81">
        <f>Work_Codes!$I429*J59*J$29</f>
        <v>0</v>
      </c>
      <c r="K75" s="81">
        <f>Work_Codes!$I429*K59*K$29</f>
        <v>0</v>
      </c>
      <c r="L75" s="81">
        <f>Work_Codes!$I429*L59*L$29</f>
        <v>0</v>
      </c>
      <c r="M75" s="81">
        <f>Work_Codes!$I429*M59*M$29</f>
        <v>0</v>
      </c>
      <c r="N75" s="81">
        <f>Work_Codes!$I429*N59*N$29</f>
        <v>0</v>
      </c>
      <c r="O75" s="81">
        <f>Work_Codes!$I429*O59*O$29</f>
        <v>0</v>
      </c>
      <c r="P75" s="81">
        <f>Work_Codes!$I429*P59*P$29</f>
        <v>0</v>
      </c>
      <c r="Q75" s="81">
        <f>Work_Codes!$I429*Q59*Q$29</f>
        <v>0</v>
      </c>
      <c r="R75" s="81">
        <f>Work_Codes!$I429*R59*R$29</f>
        <v>0</v>
      </c>
      <c r="S75" s="81">
        <f>Work_Codes!$I429*S59*S$29</f>
        <v>0</v>
      </c>
      <c r="T75" s="81">
        <f>Work_Codes!$I429*T59*T$29</f>
        <v>0</v>
      </c>
    </row>
    <row r="76" spans="3:20" ht="5.9" hidden="1" customHeight="1" outlineLevel="2"/>
    <row r="77" spans="3:20" hidden="1" outlineLevel="2">
      <c r="D77" s="249" t="str">
        <f>"Total "&amp;C72</f>
        <v>Total Internal Labour</v>
      </c>
      <c r="E77" s="249"/>
      <c r="F77" s="249"/>
      <c r="G77" s="249"/>
      <c r="H77" s="249"/>
      <c r="I77" s="249"/>
      <c r="J77" s="82">
        <f t="shared" ref="J77:T77" si="14">SUM(J74:J76)</f>
        <v>0</v>
      </c>
      <c r="K77" s="82">
        <f t="shared" si="14"/>
        <v>0</v>
      </c>
      <c r="L77" s="82">
        <f t="shared" si="14"/>
        <v>0</v>
      </c>
      <c r="M77" s="82">
        <f t="shared" si="14"/>
        <v>0</v>
      </c>
      <c r="N77" s="82">
        <f t="shared" si="14"/>
        <v>0</v>
      </c>
      <c r="O77" s="82">
        <f t="shared" si="14"/>
        <v>0</v>
      </c>
      <c r="P77" s="82">
        <f t="shared" si="14"/>
        <v>0</v>
      </c>
      <c r="Q77" s="82">
        <f t="shared" si="14"/>
        <v>0</v>
      </c>
      <c r="R77" s="82">
        <f t="shared" si="14"/>
        <v>0</v>
      </c>
      <c r="S77" s="82">
        <f t="shared" si="14"/>
        <v>0</v>
      </c>
      <c r="T77" s="82">
        <f t="shared" si="14"/>
        <v>0</v>
      </c>
    </row>
    <row r="78" spans="3:20" hidden="1" outlineLevel="2"/>
    <row r="79" spans="3:20" hidden="1" outlineLevel="2">
      <c r="C79" s="37" t="s">
        <v>129</v>
      </c>
    </row>
    <row r="80" spans="3:20" ht="5.9" hidden="1" customHeight="1" outlineLevel="2"/>
    <row r="81" spans="3:20" hidden="1" outlineLevel="2">
      <c r="D81" s="102" t="str">
        <f>Work_Codes!D428</f>
        <v>3032 Ancilliary</v>
      </c>
      <c r="J81" s="81">
        <f>Work_Codes!$J428*J58*J$30</f>
        <v>0</v>
      </c>
      <c r="K81" s="81">
        <f>Work_Codes!$J428*K58*K$30</f>
        <v>0</v>
      </c>
      <c r="L81" s="81">
        <f>Work_Codes!$J428*L58*L$30</f>
        <v>0</v>
      </c>
      <c r="M81" s="81">
        <f>Work_Codes!$J428*M58*M$30</f>
        <v>0</v>
      </c>
      <c r="N81" s="81">
        <f>Work_Codes!$J428*N58*N$30</f>
        <v>0</v>
      </c>
      <c r="O81" s="81">
        <f>Work_Codes!$J428*O58*O$30</f>
        <v>0</v>
      </c>
      <c r="P81" s="81">
        <f>Work_Codes!$J428*P58*P$30</f>
        <v>0</v>
      </c>
      <c r="Q81" s="81">
        <f>Work_Codes!$J428*Q58*Q$30</f>
        <v>0</v>
      </c>
      <c r="R81" s="81">
        <f>Work_Codes!$J428*R58*R$30</f>
        <v>0</v>
      </c>
      <c r="S81" s="81">
        <f>Work_Codes!$J428*S58*S$30</f>
        <v>0</v>
      </c>
      <c r="T81" s="81">
        <f>Work_Codes!$J428*T58*T$30</f>
        <v>0</v>
      </c>
    </row>
    <row r="82" spans="3:20" hidden="1" outlineLevel="2">
      <c r="D82" s="102" t="str">
        <f>Work_Codes!D429</f>
        <v>New Towns Category 2</v>
      </c>
      <c r="J82" s="81">
        <f>Work_Codes!$J429*J59*J$30</f>
        <v>0</v>
      </c>
      <c r="K82" s="81">
        <f>Work_Codes!$J429*K59*K$30</f>
        <v>0</v>
      </c>
      <c r="L82" s="81">
        <f>Work_Codes!$J429*L59*L$30</f>
        <v>0</v>
      </c>
      <c r="M82" s="81">
        <f>Work_Codes!$J429*M59*M$30</f>
        <v>0</v>
      </c>
      <c r="N82" s="81">
        <f>Work_Codes!$J429*N59*N$30</f>
        <v>0</v>
      </c>
      <c r="O82" s="81">
        <f>Work_Codes!$J429*O59*O$30</f>
        <v>0</v>
      </c>
      <c r="P82" s="81">
        <f>Work_Codes!$J429*P59*P$30</f>
        <v>0</v>
      </c>
      <c r="Q82" s="81">
        <f>Work_Codes!$J429*Q59*Q$30</f>
        <v>0</v>
      </c>
      <c r="R82" s="81">
        <f>Work_Codes!$J429*R59*R$30</f>
        <v>0</v>
      </c>
      <c r="S82" s="81">
        <f>Work_Codes!$J429*S59*S$30</f>
        <v>0</v>
      </c>
      <c r="T82" s="81">
        <f>Work_Codes!$J429*T59*T$30</f>
        <v>0</v>
      </c>
    </row>
    <row r="83" spans="3:20" ht="5.9" hidden="1" customHeight="1" outlineLevel="2"/>
    <row r="84" spans="3:20" hidden="1" outlineLevel="2">
      <c r="D84" s="249" t="str">
        <f>"Total "&amp;C79</f>
        <v>Total External Labour</v>
      </c>
      <c r="E84" s="249"/>
      <c r="F84" s="249"/>
      <c r="G84" s="249"/>
      <c r="H84" s="249"/>
      <c r="I84" s="249"/>
      <c r="J84" s="82">
        <f t="shared" ref="J84:T84" si="15">SUM(J81:J83)</f>
        <v>0</v>
      </c>
      <c r="K84" s="82">
        <f t="shared" si="15"/>
        <v>0</v>
      </c>
      <c r="L84" s="82">
        <f t="shared" si="15"/>
        <v>0</v>
      </c>
      <c r="M84" s="82">
        <f t="shared" si="15"/>
        <v>0</v>
      </c>
      <c r="N84" s="82">
        <f t="shared" si="15"/>
        <v>0</v>
      </c>
      <c r="O84" s="82">
        <f t="shared" si="15"/>
        <v>0</v>
      </c>
      <c r="P84" s="82">
        <f t="shared" si="15"/>
        <v>0</v>
      </c>
      <c r="Q84" s="82">
        <f t="shared" si="15"/>
        <v>0</v>
      </c>
      <c r="R84" s="82">
        <f t="shared" si="15"/>
        <v>0</v>
      </c>
      <c r="S84" s="82">
        <f t="shared" si="15"/>
        <v>0</v>
      </c>
      <c r="T84" s="82">
        <f t="shared" si="15"/>
        <v>0</v>
      </c>
    </row>
    <row r="85" spans="3:20" hidden="1" outlineLevel="2"/>
    <row r="86" spans="3:20" hidden="1" outlineLevel="2">
      <c r="C86" s="37" t="s">
        <v>130</v>
      </c>
    </row>
    <row r="87" spans="3:20" ht="5.9" hidden="1" customHeight="1" outlineLevel="2"/>
    <row r="88" spans="3:20" hidden="1" outlineLevel="2">
      <c r="D88" s="102" t="str">
        <f>Work_Codes!D428</f>
        <v>3032 Ancilliary</v>
      </c>
      <c r="J88" s="81">
        <f>Work_Codes!$K428*J58*J$31</f>
        <v>0</v>
      </c>
      <c r="K88" s="81">
        <f>Work_Codes!$K428*K58*K$31</f>
        <v>0</v>
      </c>
      <c r="L88" s="81">
        <f>Work_Codes!$K428*L58*L$31</f>
        <v>0</v>
      </c>
      <c r="M88" s="81">
        <f>Work_Codes!$K428*M58*M$31</f>
        <v>0</v>
      </c>
      <c r="N88" s="81">
        <f>Work_Codes!$K428*N58*N$31</f>
        <v>0</v>
      </c>
      <c r="O88" s="81">
        <f>Work_Codes!$K428*O58*O$31</f>
        <v>0</v>
      </c>
      <c r="P88" s="81">
        <f>Work_Codes!$K428*P58*P$31</f>
        <v>0</v>
      </c>
      <c r="Q88" s="81">
        <f>Work_Codes!$K428*Q58*Q$31</f>
        <v>0</v>
      </c>
      <c r="R88" s="81">
        <f>Work_Codes!$K428*R58*R$31</f>
        <v>0</v>
      </c>
      <c r="S88" s="81">
        <f>Work_Codes!$K428*S58*S$31</f>
        <v>0</v>
      </c>
      <c r="T88" s="81">
        <f>Work_Codes!$K428*T58*T$31</f>
        <v>0</v>
      </c>
    </row>
    <row r="89" spans="3:20" hidden="1" outlineLevel="2">
      <c r="D89" s="102" t="str">
        <f>Work_Codes!D429</f>
        <v>New Towns Category 2</v>
      </c>
      <c r="J89" s="81">
        <f>Work_Codes!$K429*J59*J$31</f>
        <v>0</v>
      </c>
      <c r="K89" s="81">
        <f>Work_Codes!$K429*K59*K$31</f>
        <v>0</v>
      </c>
      <c r="L89" s="81">
        <f>Work_Codes!$K429*L59*L$31</f>
        <v>0</v>
      </c>
      <c r="M89" s="81">
        <f>Work_Codes!$K429*M59*M$31</f>
        <v>0</v>
      </c>
      <c r="N89" s="81">
        <f>Work_Codes!$K429*N59*N$31</f>
        <v>0</v>
      </c>
      <c r="O89" s="81">
        <f>Work_Codes!$K429*O59*O$31</f>
        <v>0</v>
      </c>
      <c r="P89" s="81">
        <f>Work_Codes!$K429*P59*P$31</f>
        <v>0</v>
      </c>
      <c r="Q89" s="81">
        <f>Work_Codes!$K429*Q59*Q$31</f>
        <v>0</v>
      </c>
      <c r="R89" s="81">
        <f>Work_Codes!$K429*R59*R$31</f>
        <v>0</v>
      </c>
      <c r="S89" s="81">
        <f>Work_Codes!$K429*S59*S$31</f>
        <v>0</v>
      </c>
      <c r="T89" s="81">
        <f>Work_Codes!$K429*T59*T$31</f>
        <v>0</v>
      </c>
    </row>
    <row r="90" spans="3:20" ht="5.9" hidden="1" customHeight="1" outlineLevel="2"/>
    <row r="91" spans="3:20" hidden="1" outlineLevel="2">
      <c r="D91" s="249" t="str">
        <f>"Total "&amp;C86</f>
        <v>Total Materials</v>
      </c>
      <c r="E91" s="249"/>
      <c r="F91" s="249"/>
      <c r="G91" s="249"/>
      <c r="H91" s="249"/>
      <c r="I91" s="249"/>
      <c r="J91" s="82">
        <f t="shared" ref="J91:T91" si="16">SUM(J88:J90)</f>
        <v>0</v>
      </c>
      <c r="K91" s="82">
        <f t="shared" si="16"/>
        <v>0</v>
      </c>
      <c r="L91" s="82">
        <f t="shared" si="16"/>
        <v>0</v>
      </c>
      <c r="M91" s="82">
        <f t="shared" si="16"/>
        <v>0</v>
      </c>
      <c r="N91" s="82">
        <f t="shared" si="16"/>
        <v>0</v>
      </c>
      <c r="O91" s="82">
        <f t="shared" si="16"/>
        <v>0</v>
      </c>
      <c r="P91" s="82">
        <f t="shared" si="16"/>
        <v>0</v>
      </c>
      <c r="Q91" s="82">
        <f t="shared" si="16"/>
        <v>0</v>
      </c>
      <c r="R91" s="82">
        <f t="shared" si="16"/>
        <v>0</v>
      </c>
      <c r="S91" s="82">
        <f t="shared" si="16"/>
        <v>0</v>
      </c>
      <c r="T91" s="82">
        <f t="shared" si="16"/>
        <v>0</v>
      </c>
    </row>
    <row r="92" spans="3:20" outlineLevel="1" collapsed="1"/>
    <row r="93" spans="3:20" outlineLevel="1">
      <c r="C93" s="37" t="s">
        <v>217</v>
      </c>
    </row>
    <row r="94" spans="3:20" ht="5.9" customHeight="1" outlineLevel="1"/>
    <row r="95" spans="3:20" outlineLevel="1">
      <c r="D95" s="102" t="str">
        <f>Work_Codes!D428</f>
        <v>3032 Ancilliary</v>
      </c>
      <c r="J95" s="81">
        <f t="shared" ref="J95:T95" si="17">J74+J81+J88</f>
        <v>0</v>
      </c>
      <c r="K95" s="81">
        <f t="shared" si="17"/>
        <v>0</v>
      </c>
      <c r="L95" s="81">
        <f t="shared" si="17"/>
        <v>0</v>
      </c>
      <c r="M95" s="81">
        <f t="shared" si="17"/>
        <v>0</v>
      </c>
      <c r="N95" s="81">
        <f t="shared" si="17"/>
        <v>0</v>
      </c>
      <c r="O95" s="81">
        <f t="shared" si="17"/>
        <v>0</v>
      </c>
      <c r="P95" s="81">
        <f t="shared" si="17"/>
        <v>0</v>
      </c>
      <c r="Q95" s="81">
        <f t="shared" si="17"/>
        <v>0</v>
      </c>
      <c r="R95" s="81">
        <f t="shared" si="17"/>
        <v>0</v>
      </c>
      <c r="S95" s="81">
        <f t="shared" si="17"/>
        <v>0</v>
      </c>
      <c r="T95" s="81">
        <f t="shared" si="17"/>
        <v>0</v>
      </c>
    </row>
    <row r="96" spans="3:20" outlineLevel="1">
      <c r="D96" s="102" t="str">
        <f>Work_Codes!D429</f>
        <v>New Towns Category 2</v>
      </c>
      <c r="J96" s="81">
        <f t="shared" ref="J96:T96" si="18">J75+J82+J89</f>
        <v>0</v>
      </c>
      <c r="K96" s="81">
        <f t="shared" si="18"/>
        <v>0</v>
      </c>
      <c r="L96" s="81">
        <f t="shared" si="18"/>
        <v>0</v>
      </c>
      <c r="M96" s="81">
        <f t="shared" si="18"/>
        <v>0</v>
      </c>
      <c r="N96" s="81">
        <f t="shared" si="18"/>
        <v>0</v>
      </c>
      <c r="O96" s="81">
        <f t="shared" si="18"/>
        <v>0</v>
      </c>
      <c r="P96" s="81">
        <f t="shared" si="18"/>
        <v>0</v>
      </c>
      <c r="Q96" s="81">
        <f t="shared" si="18"/>
        <v>0</v>
      </c>
      <c r="R96" s="81">
        <f t="shared" si="18"/>
        <v>0</v>
      </c>
      <c r="S96" s="81">
        <f t="shared" si="18"/>
        <v>0</v>
      </c>
      <c r="T96" s="81">
        <f t="shared" si="18"/>
        <v>0</v>
      </c>
    </row>
    <row r="97" spans="2:20" ht="5.9" customHeight="1" outlineLevel="1"/>
    <row r="98" spans="2:20" outlineLevel="1">
      <c r="D98" s="249" t="str">
        <f>C93</f>
        <v>Total Direct Capex including Escalation (Non CPI)</v>
      </c>
      <c r="E98" s="249"/>
      <c r="F98" s="249"/>
      <c r="G98" s="249"/>
      <c r="H98" s="249"/>
      <c r="I98" s="249"/>
      <c r="J98" s="82">
        <f t="shared" ref="J98:T98" si="19">SUM(J95:J97)</f>
        <v>0</v>
      </c>
      <c r="K98" s="82">
        <f t="shared" si="19"/>
        <v>0</v>
      </c>
      <c r="L98" s="82">
        <f t="shared" si="19"/>
        <v>0</v>
      </c>
      <c r="M98" s="82">
        <f t="shared" si="19"/>
        <v>0</v>
      </c>
      <c r="N98" s="82">
        <f t="shared" si="19"/>
        <v>0</v>
      </c>
      <c r="O98" s="82">
        <f t="shared" si="19"/>
        <v>0</v>
      </c>
      <c r="P98" s="82">
        <f t="shared" si="19"/>
        <v>0</v>
      </c>
      <c r="Q98" s="82">
        <f t="shared" si="19"/>
        <v>0</v>
      </c>
      <c r="R98" s="82">
        <f t="shared" si="19"/>
        <v>0</v>
      </c>
      <c r="S98" s="82">
        <f t="shared" si="19"/>
        <v>0</v>
      </c>
      <c r="T98" s="82">
        <f t="shared" si="19"/>
        <v>0</v>
      </c>
    </row>
    <row r="99" spans="2:20" outlineLevel="1">
      <c r="B99" s="12"/>
      <c r="C99" s="12"/>
      <c r="D99" s="12"/>
      <c r="E99" s="12"/>
      <c r="F99" s="12"/>
      <c r="G99" s="12"/>
      <c r="H99" s="12"/>
      <c r="I99" s="12"/>
      <c r="J99" s="12"/>
      <c r="K99" s="12"/>
      <c r="L99" s="12"/>
      <c r="M99" s="12"/>
      <c r="N99" s="12"/>
      <c r="O99" s="12"/>
      <c r="P99" s="12"/>
      <c r="Q99" s="12"/>
      <c r="R99" s="12"/>
      <c r="S99" s="12"/>
      <c r="T99" s="12"/>
    </row>
    <row r="100" spans="2:20" outlineLevel="1"/>
    <row r="101" spans="2:20" outlineLevel="1">
      <c r="C101" s="37" t="s">
        <v>195</v>
      </c>
    </row>
    <row r="102" spans="2:20" ht="5.9" customHeight="1" outlineLevel="2"/>
    <row r="103" spans="2:20" outlineLevel="2">
      <c r="D103" s="37" t="s">
        <v>215</v>
      </c>
    </row>
    <row r="104" spans="2:20" ht="5.9" customHeight="1" outlineLevel="2"/>
    <row r="105" spans="2:20" ht="11.5" customHeight="1" outlineLevel="2">
      <c r="E105" s="247" t="str">
        <f>GC!C40</f>
        <v>Transmission pipelines</v>
      </c>
      <c r="F105" s="247"/>
      <c r="G105" s="247"/>
      <c r="H105" s="247"/>
      <c r="I105" s="247"/>
      <c r="J105" s="81">
        <f ca="1">SUMPRODUCT((Work_Codes!$N$425:$Y$425=$E105)*(Work_Codes!$N$428:$Y$429)*(J$95:J$96))</f>
        <v>0</v>
      </c>
      <c r="K105" s="81">
        <f ca="1">SUMPRODUCT((Work_Codes!$N$425:$Y$425=$E105)*(Work_Codes!$N$428:$Y$429)*(K$95:K$96))</f>
        <v>0</v>
      </c>
      <c r="L105" s="81">
        <f ca="1">SUMPRODUCT((Work_Codes!$N$425:$Y$425=$E105)*(Work_Codes!$N$428:$Y$429)*(L$95:L$96))</f>
        <v>0</v>
      </c>
      <c r="M105" s="81">
        <f ca="1">SUMPRODUCT((Work_Codes!$N$425:$Y$425=$E105)*(Work_Codes!$N$428:$Y$429)*(M$95:M$96))</f>
        <v>0</v>
      </c>
      <c r="N105" s="81">
        <f ca="1">SUMPRODUCT((Work_Codes!$N$425:$Y$425=$E105)*(Work_Codes!$N$428:$Y$429)*(N$95:N$96))</f>
        <v>0</v>
      </c>
      <c r="O105" s="81">
        <f ca="1">SUMPRODUCT((Work_Codes!$N$425:$Y$425=$E105)*(Work_Codes!$N$428:$Y$429)*(O$95:O$96))</f>
        <v>0</v>
      </c>
      <c r="P105" s="81">
        <f ca="1">SUMPRODUCT((Work_Codes!$N$425:$Y$425=$E105)*(Work_Codes!$N$428:$Y$429)*(P$95:P$96))</f>
        <v>0</v>
      </c>
      <c r="Q105" s="81">
        <f ca="1">SUMPRODUCT((Work_Codes!$N$425:$Y$425=$E105)*(Work_Codes!$N$428:$Y$429)*(Q$95:Q$96))</f>
        <v>0</v>
      </c>
      <c r="R105" s="81">
        <f ca="1">SUMPRODUCT((Work_Codes!$N$425:$Y$425=$E105)*(Work_Codes!$N$428:$Y$429)*(R$95:R$96))</f>
        <v>0</v>
      </c>
      <c r="S105" s="81">
        <f ca="1">SUMPRODUCT((Work_Codes!$N$425:$Y$425=$E105)*(Work_Codes!$N$428:$Y$429)*(S$95:S$96))</f>
        <v>0</v>
      </c>
      <c r="T105" s="81">
        <f ca="1">SUMPRODUCT((Work_Codes!$N$425:$Y$425=$E105)*(Work_Codes!$N$428:$Y$429)*(T$95:T$96))</f>
        <v>0</v>
      </c>
    </row>
    <row r="106" spans="2:20" ht="11.5" customHeight="1" outlineLevel="2">
      <c r="E106" s="247" t="str">
        <f>GC!C41</f>
        <v>Distribution pipelines</v>
      </c>
      <c r="F106" s="247"/>
      <c r="G106" s="247"/>
      <c r="H106" s="247"/>
      <c r="I106" s="247"/>
      <c r="J106" s="81">
        <f ca="1">SUMPRODUCT((Work_Codes!$N$425:$Y$425=$E106)*(Work_Codes!$N$428:$Y$429)*(J$95:J$96))</f>
        <v>0</v>
      </c>
      <c r="K106" s="81">
        <f ca="1">SUMPRODUCT((Work_Codes!$N$425:$Y$425=$E106)*(Work_Codes!$N$428:$Y$429)*(K$95:K$96))</f>
        <v>0</v>
      </c>
      <c r="L106" s="81">
        <f ca="1">SUMPRODUCT((Work_Codes!$N$425:$Y$425=$E106)*(Work_Codes!$N$428:$Y$429)*(L$95:L$96))</f>
        <v>0</v>
      </c>
      <c r="M106" s="81">
        <f ca="1">SUMPRODUCT((Work_Codes!$N$425:$Y$425=$E106)*(Work_Codes!$N$428:$Y$429)*(M$95:M$96))</f>
        <v>0</v>
      </c>
      <c r="N106" s="81">
        <f ca="1">SUMPRODUCT((Work_Codes!$N$425:$Y$425=$E106)*(Work_Codes!$N$428:$Y$429)*(N$95:N$96))</f>
        <v>0</v>
      </c>
      <c r="O106" s="81">
        <f ca="1">SUMPRODUCT((Work_Codes!$N$425:$Y$425=$E106)*(Work_Codes!$N$428:$Y$429)*(O$95:O$96))</f>
        <v>0</v>
      </c>
      <c r="P106" s="81">
        <f ca="1">SUMPRODUCT((Work_Codes!$N$425:$Y$425=$E106)*(Work_Codes!$N$428:$Y$429)*(P$95:P$96))</f>
        <v>0</v>
      </c>
      <c r="Q106" s="81">
        <f ca="1">SUMPRODUCT((Work_Codes!$N$425:$Y$425=$E106)*(Work_Codes!$N$428:$Y$429)*(Q$95:Q$96))</f>
        <v>0</v>
      </c>
      <c r="R106" s="81">
        <f ca="1">SUMPRODUCT((Work_Codes!$N$425:$Y$425=$E106)*(Work_Codes!$N$428:$Y$429)*(R$95:R$96))</f>
        <v>0</v>
      </c>
      <c r="S106" s="81">
        <f ca="1">SUMPRODUCT((Work_Codes!$N$425:$Y$425=$E106)*(Work_Codes!$N$428:$Y$429)*(S$95:S$96))</f>
        <v>0</v>
      </c>
      <c r="T106" s="81">
        <f ca="1">SUMPRODUCT((Work_Codes!$N$425:$Y$425=$E106)*(Work_Codes!$N$428:$Y$429)*(T$95:T$96))</f>
        <v>0</v>
      </c>
    </row>
    <row r="107" spans="2:20" ht="11.5" customHeight="1" outlineLevel="2">
      <c r="E107" s="247" t="str">
        <f>GC!C42</f>
        <v>Service pipes</v>
      </c>
      <c r="F107" s="247"/>
      <c r="G107" s="247"/>
      <c r="H107" s="247"/>
      <c r="I107" s="247"/>
      <c r="J107" s="81">
        <f ca="1">SUMPRODUCT((Work_Codes!$N$425:$Y$425=$E107)*(Work_Codes!$N$428:$Y$429)*(J$95:J$96))</f>
        <v>0</v>
      </c>
      <c r="K107" s="81">
        <f ca="1">SUMPRODUCT((Work_Codes!$N$425:$Y$425=$E107)*(Work_Codes!$N$428:$Y$429)*(K$95:K$96))</f>
        <v>0</v>
      </c>
      <c r="L107" s="81">
        <f ca="1">SUMPRODUCT((Work_Codes!$N$425:$Y$425=$E107)*(Work_Codes!$N$428:$Y$429)*(L$95:L$96))</f>
        <v>0</v>
      </c>
      <c r="M107" s="81">
        <f ca="1">SUMPRODUCT((Work_Codes!$N$425:$Y$425=$E107)*(Work_Codes!$N$428:$Y$429)*(M$95:M$96))</f>
        <v>0</v>
      </c>
      <c r="N107" s="81">
        <f ca="1">SUMPRODUCT((Work_Codes!$N$425:$Y$425=$E107)*(Work_Codes!$N$428:$Y$429)*(N$95:N$96))</f>
        <v>0</v>
      </c>
      <c r="O107" s="81">
        <f ca="1">SUMPRODUCT((Work_Codes!$N$425:$Y$425=$E107)*(Work_Codes!$N$428:$Y$429)*(O$95:O$96))</f>
        <v>0</v>
      </c>
      <c r="P107" s="81">
        <f ca="1">SUMPRODUCT((Work_Codes!$N$425:$Y$425=$E107)*(Work_Codes!$N$428:$Y$429)*(P$95:P$96))</f>
        <v>0</v>
      </c>
      <c r="Q107" s="81">
        <f ca="1">SUMPRODUCT((Work_Codes!$N$425:$Y$425=$E107)*(Work_Codes!$N$428:$Y$429)*(Q$95:Q$96))</f>
        <v>0</v>
      </c>
      <c r="R107" s="81">
        <f ca="1">SUMPRODUCT((Work_Codes!$N$425:$Y$425=$E107)*(Work_Codes!$N$428:$Y$429)*(R$95:R$96))</f>
        <v>0</v>
      </c>
      <c r="S107" s="81">
        <f ca="1">SUMPRODUCT((Work_Codes!$N$425:$Y$425=$E107)*(Work_Codes!$N$428:$Y$429)*(S$95:S$96))</f>
        <v>0</v>
      </c>
      <c r="T107" s="81">
        <f ca="1">SUMPRODUCT((Work_Codes!$N$425:$Y$425=$E107)*(Work_Codes!$N$428:$Y$429)*(T$95:T$96))</f>
        <v>0</v>
      </c>
    </row>
    <row r="108" spans="2:20" ht="11.5" customHeight="1" outlineLevel="2">
      <c r="E108" s="247" t="str">
        <f>GC!C43</f>
        <v>Cathodic protection</v>
      </c>
      <c r="F108" s="247"/>
      <c r="G108" s="247"/>
      <c r="H108" s="247"/>
      <c r="I108" s="247"/>
      <c r="J108" s="81">
        <f ca="1">SUMPRODUCT((Work_Codes!$N$425:$Y$425=$E108)*(Work_Codes!$N$428:$Y$429)*(J$95:J$96))</f>
        <v>0</v>
      </c>
      <c r="K108" s="81">
        <f ca="1">SUMPRODUCT((Work_Codes!$N$425:$Y$425=$E108)*(Work_Codes!$N$428:$Y$429)*(K$95:K$96))</f>
        <v>0</v>
      </c>
      <c r="L108" s="81">
        <f ca="1">SUMPRODUCT((Work_Codes!$N$425:$Y$425=$E108)*(Work_Codes!$N$428:$Y$429)*(L$95:L$96))</f>
        <v>0</v>
      </c>
      <c r="M108" s="81">
        <f ca="1">SUMPRODUCT((Work_Codes!$N$425:$Y$425=$E108)*(Work_Codes!$N$428:$Y$429)*(M$95:M$96))</f>
        <v>0</v>
      </c>
      <c r="N108" s="81">
        <f ca="1">SUMPRODUCT((Work_Codes!$N$425:$Y$425=$E108)*(Work_Codes!$N$428:$Y$429)*(N$95:N$96))</f>
        <v>0</v>
      </c>
      <c r="O108" s="81">
        <f ca="1">SUMPRODUCT((Work_Codes!$N$425:$Y$425=$E108)*(Work_Codes!$N$428:$Y$429)*(O$95:O$96))</f>
        <v>0</v>
      </c>
      <c r="P108" s="81">
        <f ca="1">SUMPRODUCT((Work_Codes!$N$425:$Y$425=$E108)*(Work_Codes!$N$428:$Y$429)*(P$95:P$96))</f>
        <v>0</v>
      </c>
      <c r="Q108" s="81">
        <f ca="1">SUMPRODUCT((Work_Codes!$N$425:$Y$425=$E108)*(Work_Codes!$N$428:$Y$429)*(Q$95:Q$96))</f>
        <v>0</v>
      </c>
      <c r="R108" s="81">
        <f ca="1">SUMPRODUCT((Work_Codes!$N$425:$Y$425=$E108)*(Work_Codes!$N$428:$Y$429)*(R$95:R$96))</f>
        <v>0</v>
      </c>
      <c r="S108" s="81">
        <f ca="1">SUMPRODUCT((Work_Codes!$N$425:$Y$425=$E108)*(Work_Codes!$N$428:$Y$429)*(S$95:S$96))</f>
        <v>0</v>
      </c>
      <c r="T108" s="81">
        <f ca="1">SUMPRODUCT((Work_Codes!$N$425:$Y$425=$E108)*(Work_Codes!$N$428:$Y$429)*(T$95:T$96))</f>
        <v>0</v>
      </c>
    </row>
    <row r="109" spans="2:20" ht="11.5" customHeight="1" outlineLevel="2">
      <c r="E109" s="247" t="str">
        <f>GC!C44</f>
        <v>Supply Regulators / Valve Stations</v>
      </c>
      <c r="F109" s="247"/>
      <c r="G109" s="247"/>
      <c r="H109" s="247"/>
      <c r="I109" s="247"/>
      <c r="J109" s="81">
        <f ca="1">SUMPRODUCT((Work_Codes!$N$425:$Y$425=$E109)*(Work_Codes!$N$428:$Y$429)*(J$95:J$96))</f>
        <v>0</v>
      </c>
      <c r="K109" s="81">
        <f ca="1">SUMPRODUCT((Work_Codes!$N$425:$Y$425=$E109)*(Work_Codes!$N$428:$Y$429)*(K$95:K$96))</f>
        <v>0</v>
      </c>
      <c r="L109" s="81">
        <f ca="1">SUMPRODUCT((Work_Codes!$N$425:$Y$425=$E109)*(Work_Codes!$N$428:$Y$429)*(L$95:L$96))</f>
        <v>0</v>
      </c>
      <c r="M109" s="81">
        <f ca="1">SUMPRODUCT((Work_Codes!$N$425:$Y$425=$E109)*(Work_Codes!$N$428:$Y$429)*(M$95:M$96))</f>
        <v>0</v>
      </c>
      <c r="N109" s="81">
        <f ca="1">SUMPRODUCT((Work_Codes!$N$425:$Y$425=$E109)*(Work_Codes!$N$428:$Y$429)*(N$95:N$96))</f>
        <v>0</v>
      </c>
      <c r="O109" s="81">
        <f ca="1">SUMPRODUCT((Work_Codes!$N$425:$Y$425=$E109)*(Work_Codes!$N$428:$Y$429)*(O$95:O$96))</f>
        <v>0</v>
      </c>
      <c r="P109" s="81">
        <f ca="1">SUMPRODUCT((Work_Codes!$N$425:$Y$425=$E109)*(Work_Codes!$N$428:$Y$429)*(P$95:P$96))</f>
        <v>0</v>
      </c>
      <c r="Q109" s="81">
        <f ca="1">SUMPRODUCT((Work_Codes!$N$425:$Y$425=$E109)*(Work_Codes!$N$428:$Y$429)*(Q$95:Q$96))</f>
        <v>0</v>
      </c>
      <c r="R109" s="81">
        <f ca="1">SUMPRODUCT((Work_Codes!$N$425:$Y$425=$E109)*(Work_Codes!$N$428:$Y$429)*(R$95:R$96))</f>
        <v>0</v>
      </c>
      <c r="S109" s="81">
        <f ca="1">SUMPRODUCT((Work_Codes!$N$425:$Y$425=$E109)*(Work_Codes!$N$428:$Y$429)*(S$95:S$96))</f>
        <v>0</v>
      </c>
      <c r="T109" s="81">
        <f ca="1">SUMPRODUCT((Work_Codes!$N$425:$Y$425=$E109)*(Work_Codes!$N$428:$Y$429)*(T$95:T$96))</f>
        <v>0</v>
      </c>
    </row>
    <row r="110" spans="2:20" ht="11.5" customHeight="1" outlineLevel="2">
      <c r="E110" s="247" t="str">
        <f>GC!C45</f>
        <v>Meters</v>
      </c>
      <c r="F110" s="247"/>
      <c r="G110" s="247"/>
      <c r="H110" s="247"/>
      <c r="I110" s="247"/>
      <c r="J110" s="81">
        <f ca="1">SUMPRODUCT((Work_Codes!$N$425:$Y$425=$E110)*(Work_Codes!$N$428:$Y$429)*(J$95:J$96))</f>
        <v>0</v>
      </c>
      <c r="K110" s="81">
        <f ca="1">SUMPRODUCT((Work_Codes!$N$425:$Y$425=$E110)*(Work_Codes!$N$428:$Y$429)*(K$95:K$96))</f>
        <v>0</v>
      </c>
      <c r="L110" s="81">
        <f ca="1">SUMPRODUCT((Work_Codes!$N$425:$Y$425=$E110)*(Work_Codes!$N$428:$Y$429)*(L$95:L$96))</f>
        <v>0</v>
      </c>
      <c r="M110" s="81">
        <f ca="1">SUMPRODUCT((Work_Codes!$N$425:$Y$425=$E110)*(Work_Codes!$N$428:$Y$429)*(M$95:M$96))</f>
        <v>0</v>
      </c>
      <c r="N110" s="81">
        <f ca="1">SUMPRODUCT((Work_Codes!$N$425:$Y$425=$E110)*(Work_Codes!$N$428:$Y$429)*(N$95:N$96))</f>
        <v>0</v>
      </c>
      <c r="O110" s="81">
        <f ca="1">SUMPRODUCT((Work_Codes!$N$425:$Y$425=$E110)*(Work_Codes!$N$428:$Y$429)*(O$95:O$96))</f>
        <v>0</v>
      </c>
      <c r="P110" s="81">
        <f ca="1">SUMPRODUCT((Work_Codes!$N$425:$Y$425=$E110)*(Work_Codes!$N$428:$Y$429)*(P$95:P$96))</f>
        <v>0</v>
      </c>
      <c r="Q110" s="81">
        <f ca="1">SUMPRODUCT((Work_Codes!$N$425:$Y$425=$E110)*(Work_Codes!$N$428:$Y$429)*(Q$95:Q$96))</f>
        <v>0</v>
      </c>
      <c r="R110" s="81">
        <f ca="1">SUMPRODUCT((Work_Codes!$N$425:$Y$425=$E110)*(Work_Codes!$N$428:$Y$429)*(R$95:R$96))</f>
        <v>0</v>
      </c>
      <c r="S110" s="81">
        <f ca="1">SUMPRODUCT((Work_Codes!$N$425:$Y$425=$E110)*(Work_Codes!$N$428:$Y$429)*(S$95:S$96))</f>
        <v>0</v>
      </c>
      <c r="T110" s="81">
        <f ca="1">SUMPRODUCT((Work_Codes!$N$425:$Y$425=$E110)*(Work_Codes!$N$428:$Y$429)*(T$95:T$96))</f>
        <v>0</v>
      </c>
    </row>
    <row r="111" spans="2:20" ht="11.5" customHeight="1" outlineLevel="2">
      <c r="E111" s="247" t="str">
        <f>GC!C46</f>
        <v>SCADA and remote control</v>
      </c>
      <c r="F111" s="247"/>
      <c r="G111" s="247"/>
      <c r="H111" s="247"/>
      <c r="I111" s="247"/>
      <c r="J111" s="81">
        <f ca="1">SUMPRODUCT((Work_Codes!$N$425:$Y$425=$E111)*(Work_Codes!$N$428:$Y$429)*(J$95:J$96))</f>
        <v>0</v>
      </c>
      <c r="K111" s="81">
        <f ca="1">SUMPRODUCT((Work_Codes!$N$425:$Y$425=$E111)*(Work_Codes!$N$428:$Y$429)*(K$95:K$96))</f>
        <v>0</v>
      </c>
      <c r="L111" s="81">
        <f ca="1">SUMPRODUCT((Work_Codes!$N$425:$Y$425=$E111)*(Work_Codes!$N$428:$Y$429)*(L$95:L$96))</f>
        <v>0</v>
      </c>
      <c r="M111" s="81">
        <f ca="1">SUMPRODUCT((Work_Codes!$N$425:$Y$425=$E111)*(Work_Codes!$N$428:$Y$429)*(M$95:M$96))</f>
        <v>0</v>
      </c>
      <c r="N111" s="81">
        <f ca="1">SUMPRODUCT((Work_Codes!$N$425:$Y$425=$E111)*(Work_Codes!$N$428:$Y$429)*(N$95:N$96))</f>
        <v>0</v>
      </c>
      <c r="O111" s="81">
        <f ca="1">SUMPRODUCT((Work_Codes!$N$425:$Y$425=$E111)*(Work_Codes!$N$428:$Y$429)*(O$95:O$96))</f>
        <v>0</v>
      </c>
      <c r="P111" s="81">
        <f ca="1">SUMPRODUCT((Work_Codes!$N$425:$Y$425=$E111)*(Work_Codes!$N$428:$Y$429)*(P$95:P$96))</f>
        <v>0</v>
      </c>
      <c r="Q111" s="81">
        <f ca="1">SUMPRODUCT((Work_Codes!$N$425:$Y$425=$E111)*(Work_Codes!$N$428:$Y$429)*(Q$95:Q$96))</f>
        <v>0</v>
      </c>
      <c r="R111" s="81">
        <f ca="1">SUMPRODUCT((Work_Codes!$N$425:$Y$425=$E111)*(Work_Codes!$N$428:$Y$429)*(R$95:R$96))</f>
        <v>0</v>
      </c>
      <c r="S111" s="81">
        <f ca="1">SUMPRODUCT((Work_Codes!$N$425:$Y$425=$E111)*(Work_Codes!$N$428:$Y$429)*(S$95:S$96))</f>
        <v>0</v>
      </c>
      <c r="T111" s="81">
        <f ca="1">SUMPRODUCT((Work_Codes!$N$425:$Y$425=$E111)*(Work_Codes!$N$428:$Y$429)*(T$95:T$96))</f>
        <v>0</v>
      </c>
    </row>
    <row r="112" spans="2:20" ht="11.5" customHeight="1" outlineLevel="2">
      <c r="E112" s="247" t="str">
        <f>GC!C47</f>
        <v>Buildings</v>
      </c>
      <c r="F112" s="247"/>
      <c r="G112" s="247"/>
      <c r="H112" s="247"/>
      <c r="I112" s="247"/>
      <c r="J112" s="81">
        <f ca="1">SUMPRODUCT((Work_Codes!$N$425:$Y$425=$E112)*(Work_Codes!$N$428:$Y$429)*(J$95:J$96))</f>
        <v>0</v>
      </c>
      <c r="K112" s="81">
        <f ca="1">SUMPRODUCT((Work_Codes!$N$425:$Y$425=$E112)*(Work_Codes!$N$428:$Y$429)*(K$95:K$96))</f>
        <v>0</v>
      </c>
      <c r="L112" s="81">
        <f ca="1">SUMPRODUCT((Work_Codes!$N$425:$Y$425=$E112)*(Work_Codes!$N$428:$Y$429)*(L$95:L$96))</f>
        <v>0</v>
      </c>
      <c r="M112" s="81">
        <f ca="1">SUMPRODUCT((Work_Codes!$N$425:$Y$425=$E112)*(Work_Codes!$N$428:$Y$429)*(M$95:M$96))</f>
        <v>0</v>
      </c>
      <c r="N112" s="81">
        <f ca="1">SUMPRODUCT((Work_Codes!$N$425:$Y$425=$E112)*(Work_Codes!$N$428:$Y$429)*(N$95:N$96))</f>
        <v>0</v>
      </c>
      <c r="O112" s="81">
        <f ca="1">SUMPRODUCT((Work_Codes!$N$425:$Y$425=$E112)*(Work_Codes!$N$428:$Y$429)*(O$95:O$96))</f>
        <v>0</v>
      </c>
      <c r="P112" s="81">
        <f ca="1">SUMPRODUCT((Work_Codes!$N$425:$Y$425=$E112)*(Work_Codes!$N$428:$Y$429)*(P$95:P$96))</f>
        <v>0</v>
      </c>
      <c r="Q112" s="81">
        <f ca="1">SUMPRODUCT((Work_Codes!$N$425:$Y$425=$E112)*(Work_Codes!$N$428:$Y$429)*(Q$95:Q$96))</f>
        <v>0</v>
      </c>
      <c r="R112" s="81">
        <f ca="1">SUMPRODUCT((Work_Codes!$N$425:$Y$425=$E112)*(Work_Codes!$N$428:$Y$429)*(R$95:R$96))</f>
        <v>0</v>
      </c>
      <c r="S112" s="81">
        <f ca="1">SUMPRODUCT((Work_Codes!$N$425:$Y$425=$E112)*(Work_Codes!$N$428:$Y$429)*(S$95:S$96))</f>
        <v>0</v>
      </c>
      <c r="T112" s="81">
        <f ca="1">SUMPRODUCT((Work_Codes!$N$425:$Y$425=$E112)*(Work_Codes!$N$428:$Y$429)*(T$95:T$96))</f>
        <v>0</v>
      </c>
    </row>
    <row r="113" spans="4:20" ht="11.5" customHeight="1" outlineLevel="2">
      <c r="E113" s="247" t="str">
        <f>GC!C48</f>
        <v>Other - IT</v>
      </c>
      <c r="F113" s="247"/>
      <c r="G113" s="247"/>
      <c r="H113" s="247"/>
      <c r="I113" s="247"/>
      <c r="J113" s="81">
        <f ca="1">SUMPRODUCT((Work_Codes!$N$425:$Y$425=$E113)*(Work_Codes!$N$428:$Y$429)*(J$95:J$96))</f>
        <v>0</v>
      </c>
      <c r="K113" s="81">
        <f ca="1">SUMPRODUCT((Work_Codes!$N$425:$Y$425=$E113)*(Work_Codes!$N$428:$Y$429)*(K$95:K$96))</f>
        <v>0</v>
      </c>
      <c r="L113" s="81">
        <f ca="1">SUMPRODUCT((Work_Codes!$N$425:$Y$425=$E113)*(Work_Codes!$N$428:$Y$429)*(L$95:L$96))</f>
        <v>0</v>
      </c>
      <c r="M113" s="81">
        <f ca="1">SUMPRODUCT((Work_Codes!$N$425:$Y$425=$E113)*(Work_Codes!$N$428:$Y$429)*(M$95:M$96))</f>
        <v>0</v>
      </c>
      <c r="N113" s="81">
        <f ca="1">SUMPRODUCT((Work_Codes!$N$425:$Y$425=$E113)*(Work_Codes!$N$428:$Y$429)*(N$95:N$96))</f>
        <v>0</v>
      </c>
      <c r="O113" s="81">
        <f ca="1">SUMPRODUCT((Work_Codes!$N$425:$Y$425=$E113)*(Work_Codes!$N$428:$Y$429)*(O$95:O$96))</f>
        <v>0</v>
      </c>
      <c r="P113" s="81">
        <f ca="1">SUMPRODUCT((Work_Codes!$N$425:$Y$425=$E113)*(Work_Codes!$N$428:$Y$429)*(P$95:P$96))</f>
        <v>0</v>
      </c>
      <c r="Q113" s="81">
        <f ca="1">SUMPRODUCT((Work_Codes!$N$425:$Y$425=$E113)*(Work_Codes!$N$428:$Y$429)*(Q$95:Q$96))</f>
        <v>0</v>
      </c>
      <c r="R113" s="81">
        <f ca="1">SUMPRODUCT((Work_Codes!$N$425:$Y$425=$E113)*(Work_Codes!$N$428:$Y$429)*(R$95:R$96))</f>
        <v>0</v>
      </c>
      <c r="S113" s="81">
        <f ca="1">SUMPRODUCT((Work_Codes!$N$425:$Y$425=$E113)*(Work_Codes!$N$428:$Y$429)*(S$95:S$96))</f>
        <v>0</v>
      </c>
      <c r="T113" s="81">
        <f ca="1">SUMPRODUCT((Work_Codes!$N$425:$Y$425=$E113)*(Work_Codes!$N$428:$Y$429)*(T$95:T$96))</f>
        <v>0</v>
      </c>
    </row>
    <row r="114" spans="4:20" ht="11.5" customHeight="1" outlineLevel="2">
      <c r="E114" s="247" t="str">
        <f>GC!C49</f>
        <v>Other - non IT</v>
      </c>
      <c r="F114" s="247"/>
      <c r="G114" s="247"/>
      <c r="H114" s="247"/>
      <c r="I114" s="247"/>
      <c r="J114" s="81">
        <f ca="1">SUMPRODUCT((Work_Codes!$N$425:$Y$425=$E114)*(Work_Codes!$N$428:$Y$429)*(J$95:J$96))</f>
        <v>0</v>
      </c>
      <c r="K114" s="81">
        <f ca="1">SUMPRODUCT((Work_Codes!$N$425:$Y$425=$E114)*(Work_Codes!$N$428:$Y$429)*(K$95:K$96))</f>
        <v>0</v>
      </c>
      <c r="L114" s="81">
        <f ca="1">SUMPRODUCT((Work_Codes!$N$425:$Y$425=$E114)*(Work_Codes!$N$428:$Y$429)*(L$95:L$96))</f>
        <v>0</v>
      </c>
      <c r="M114" s="81">
        <f ca="1">SUMPRODUCT((Work_Codes!$N$425:$Y$425=$E114)*(Work_Codes!$N$428:$Y$429)*(M$95:M$96))</f>
        <v>0</v>
      </c>
      <c r="N114" s="81">
        <f ca="1">SUMPRODUCT((Work_Codes!$N$425:$Y$425=$E114)*(Work_Codes!$N$428:$Y$429)*(N$95:N$96))</f>
        <v>0</v>
      </c>
      <c r="O114" s="81">
        <f ca="1">SUMPRODUCT((Work_Codes!$N$425:$Y$425=$E114)*(Work_Codes!$N$428:$Y$429)*(O$95:O$96))</f>
        <v>0</v>
      </c>
      <c r="P114" s="81">
        <f ca="1">SUMPRODUCT((Work_Codes!$N$425:$Y$425=$E114)*(Work_Codes!$N$428:$Y$429)*(P$95:P$96))</f>
        <v>0</v>
      </c>
      <c r="Q114" s="81">
        <f ca="1">SUMPRODUCT((Work_Codes!$N$425:$Y$425=$E114)*(Work_Codes!$N$428:$Y$429)*(Q$95:Q$96))</f>
        <v>0</v>
      </c>
      <c r="R114" s="81">
        <f ca="1">SUMPRODUCT((Work_Codes!$N$425:$Y$425=$E114)*(Work_Codes!$N$428:$Y$429)*(R$95:R$96))</f>
        <v>0</v>
      </c>
      <c r="S114" s="81">
        <f ca="1">SUMPRODUCT((Work_Codes!$N$425:$Y$425=$E114)*(Work_Codes!$N$428:$Y$429)*(S$95:S$96))</f>
        <v>0</v>
      </c>
      <c r="T114" s="81">
        <f ca="1">SUMPRODUCT((Work_Codes!$N$425:$Y$425=$E114)*(Work_Codes!$N$428:$Y$429)*(T$95:T$96))</f>
        <v>0</v>
      </c>
    </row>
    <row r="115" spans="4:20" ht="11.5" customHeight="1" outlineLevel="2">
      <c r="E115" s="247" t="str">
        <f>GC!C50</f>
        <v>Land</v>
      </c>
      <c r="F115" s="247"/>
      <c r="G115" s="247"/>
      <c r="H115" s="247"/>
      <c r="I115" s="247"/>
      <c r="J115" s="81">
        <f ca="1">SUMPRODUCT((Work_Codes!$N$425:$Y$425=$E115)*(Work_Codes!$N$428:$Y$429)*(J$95:J$96))</f>
        <v>0</v>
      </c>
      <c r="K115" s="81">
        <f ca="1">SUMPRODUCT((Work_Codes!$N$425:$Y$425=$E115)*(Work_Codes!$N$428:$Y$429)*(K$95:K$96))</f>
        <v>0</v>
      </c>
      <c r="L115" s="81">
        <f ca="1">SUMPRODUCT((Work_Codes!$N$425:$Y$425=$E115)*(Work_Codes!$N$428:$Y$429)*(L$95:L$96))</f>
        <v>0</v>
      </c>
      <c r="M115" s="81">
        <f ca="1">SUMPRODUCT((Work_Codes!$N$425:$Y$425=$E115)*(Work_Codes!$N$428:$Y$429)*(M$95:M$96))</f>
        <v>0</v>
      </c>
      <c r="N115" s="81">
        <f ca="1">SUMPRODUCT((Work_Codes!$N$425:$Y$425=$E115)*(Work_Codes!$N$428:$Y$429)*(N$95:N$96))</f>
        <v>0</v>
      </c>
      <c r="O115" s="81">
        <f ca="1">SUMPRODUCT((Work_Codes!$N$425:$Y$425=$E115)*(Work_Codes!$N$428:$Y$429)*(O$95:O$96))</f>
        <v>0</v>
      </c>
      <c r="P115" s="81">
        <f ca="1">SUMPRODUCT((Work_Codes!$N$425:$Y$425=$E115)*(Work_Codes!$N$428:$Y$429)*(P$95:P$96))</f>
        <v>0</v>
      </c>
      <c r="Q115" s="81">
        <f ca="1">SUMPRODUCT((Work_Codes!$N$425:$Y$425=$E115)*(Work_Codes!$N$428:$Y$429)*(Q$95:Q$96))</f>
        <v>0</v>
      </c>
      <c r="R115" s="81">
        <f ca="1">SUMPRODUCT((Work_Codes!$N$425:$Y$425=$E115)*(Work_Codes!$N$428:$Y$429)*(R$95:R$96))</f>
        <v>0</v>
      </c>
      <c r="S115" s="81">
        <f ca="1">SUMPRODUCT((Work_Codes!$N$425:$Y$425=$E115)*(Work_Codes!$N$428:$Y$429)*(S$95:S$96))</f>
        <v>0</v>
      </c>
      <c r="T115" s="81">
        <f ca="1">SUMPRODUCT((Work_Codes!$N$425:$Y$425=$E115)*(Work_Codes!$N$428:$Y$429)*(T$95:T$96))</f>
        <v>0</v>
      </c>
    </row>
    <row r="116" spans="4:20" outlineLevel="2">
      <c r="E116" s="247" t="str">
        <f>GC!C51</f>
        <v>Capitalised Leases</v>
      </c>
      <c r="F116" s="247"/>
      <c r="G116" s="247"/>
      <c r="H116" s="247"/>
      <c r="I116" s="247"/>
      <c r="J116" s="81">
        <f ca="1">SUMPRODUCT((Work_Codes!$N$425:$Y$425=$E116)*(Work_Codes!$N$428:$Y$429)*(J$95:J$96))</f>
        <v>0</v>
      </c>
      <c r="K116" s="81">
        <f ca="1">SUMPRODUCT((Work_Codes!$N$425:$Y$425=$E116)*(Work_Codes!$N$428:$Y$429)*(K$95:K$96))</f>
        <v>0</v>
      </c>
      <c r="L116" s="81">
        <f ca="1">SUMPRODUCT((Work_Codes!$N$425:$Y$425=$E116)*(Work_Codes!$N$428:$Y$429)*(L$95:L$96))</f>
        <v>0</v>
      </c>
      <c r="M116" s="81">
        <f ca="1">SUMPRODUCT((Work_Codes!$N$425:$Y$425=$E116)*(Work_Codes!$N$428:$Y$429)*(M$95:M$96))</f>
        <v>0</v>
      </c>
      <c r="N116" s="81">
        <f ca="1">SUMPRODUCT((Work_Codes!$N$425:$Y$425=$E116)*(Work_Codes!$N$428:$Y$429)*(N$95:N$96))</f>
        <v>0</v>
      </c>
      <c r="O116" s="81">
        <f ca="1">SUMPRODUCT((Work_Codes!$N$425:$Y$425=$E116)*(Work_Codes!$N$428:$Y$429)*(O$95:O$96))</f>
        <v>0</v>
      </c>
      <c r="P116" s="81">
        <f ca="1">SUMPRODUCT((Work_Codes!$N$425:$Y$425=$E116)*(Work_Codes!$N$428:$Y$429)*(P$95:P$96))</f>
        <v>0</v>
      </c>
      <c r="Q116" s="81">
        <f ca="1">SUMPRODUCT((Work_Codes!$N$425:$Y$425=$E116)*(Work_Codes!$N$428:$Y$429)*(Q$95:Q$96))</f>
        <v>0</v>
      </c>
      <c r="R116" s="81">
        <f ca="1">SUMPRODUCT((Work_Codes!$N$425:$Y$425=$E116)*(Work_Codes!$N$428:$Y$429)*(R$95:R$96))</f>
        <v>0</v>
      </c>
      <c r="S116" s="81">
        <f ca="1">SUMPRODUCT((Work_Codes!$N$425:$Y$425=$E116)*(Work_Codes!$N$428:$Y$429)*(S$95:S$96))</f>
        <v>0</v>
      </c>
      <c r="T116" s="81">
        <f ca="1">SUMPRODUCT((Work_Codes!$N$425:$Y$425=$E116)*(Work_Codes!$N$428:$Y$429)*(T$95:T$96))</f>
        <v>0</v>
      </c>
    </row>
    <row r="117" spans="4:20" outlineLevel="2">
      <c r="E117" s="247" t="str">
        <f>GC!C52</f>
        <v>Transmission pipelines - post 1998</v>
      </c>
      <c r="F117" s="247"/>
      <c r="G117" s="247"/>
      <c r="H117" s="247"/>
      <c r="I117" s="247"/>
      <c r="J117" s="81">
        <f ca="1">SUMPRODUCT((Work_Codes!$N$425:$Y$425=$E117)*(Work_Codes!$N$428:$Y$429)*(J$95:J$96))</f>
        <v>0</v>
      </c>
      <c r="K117" s="81">
        <f ca="1">SUMPRODUCT((Work_Codes!$N$425:$Y$425=$E117)*(Work_Codes!$N$428:$Y$429)*(K$95:K$96))</f>
        <v>0</v>
      </c>
      <c r="L117" s="81">
        <f ca="1">SUMPRODUCT((Work_Codes!$N$425:$Y$425=$E117)*(Work_Codes!$N$428:$Y$429)*(L$95:L$96))</f>
        <v>0</v>
      </c>
      <c r="M117" s="81">
        <f ca="1">SUMPRODUCT((Work_Codes!$N$425:$Y$425=$E117)*(Work_Codes!$N$428:$Y$429)*(M$95:M$96))</f>
        <v>0</v>
      </c>
      <c r="N117" s="81">
        <f ca="1">SUMPRODUCT((Work_Codes!$N$425:$Y$425=$E117)*(Work_Codes!$N$428:$Y$429)*(N$95:N$96))</f>
        <v>0</v>
      </c>
      <c r="O117" s="81">
        <f ca="1">SUMPRODUCT((Work_Codes!$N$425:$Y$425=$E117)*(Work_Codes!$N$428:$Y$429)*(O$95:O$96))</f>
        <v>0</v>
      </c>
      <c r="P117" s="81">
        <f ca="1">SUMPRODUCT((Work_Codes!$N$425:$Y$425=$E117)*(Work_Codes!$N$428:$Y$429)*(P$95:P$96))</f>
        <v>0</v>
      </c>
      <c r="Q117" s="81">
        <f ca="1">SUMPRODUCT((Work_Codes!$N$425:$Y$425=$E117)*(Work_Codes!$N$428:$Y$429)*(Q$95:Q$96))</f>
        <v>0</v>
      </c>
      <c r="R117" s="81">
        <f ca="1">SUMPRODUCT((Work_Codes!$N$425:$Y$425=$E117)*(Work_Codes!$N$428:$Y$429)*(R$95:R$96))</f>
        <v>0</v>
      </c>
      <c r="S117" s="81">
        <f ca="1">SUMPRODUCT((Work_Codes!$N$425:$Y$425=$E117)*(Work_Codes!$N$428:$Y$429)*(S$95:S$96))</f>
        <v>0</v>
      </c>
      <c r="T117" s="81">
        <f ca="1">SUMPRODUCT((Work_Codes!$N$425:$Y$425=$E117)*(Work_Codes!$N$428:$Y$429)*(T$95:T$96))</f>
        <v>0</v>
      </c>
    </row>
    <row r="118" spans="4:20" outlineLevel="2">
      <c r="E118" s="247" t="str">
        <f>GC!C53</f>
        <v>Distribution pipelines - post 1998</v>
      </c>
      <c r="F118" s="247"/>
      <c r="G118" s="247"/>
      <c r="H118" s="247"/>
      <c r="I118" s="247"/>
      <c r="J118" s="81">
        <f ca="1">SUMPRODUCT((Work_Codes!$N$425:$Y$425=$E118)*(Work_Codes!$N$428:$Y$429)*(J$95:J$96))</f>
        <v>0</v>
      </c>
      <c r="K118" s="81">
        <f ca="1">SUMPRODUCT((Work_Codes!$N$425:$Y$425=$E118)*(Work_Codes!$N$428:$Y$429)*(K$95:K$96))</f>
        <v>0</v>
      </c>
      <c r="L118" s="81">
        <f ca="1">SUMPRODUCT((Work_Codes!$N$425:$Y$425=$E118)*(Work_Codes!$N$428:$Y$429)*(L$95:L$96))</f>
        <v>0</v>
      </c>
      <c r="M118" s="81">
        <f ca="1">SUMPRODUCT((Work_Codes!$N$425:$Y$425=$E118)*(Work_Codes!$N$428:$Y$429)*(M$95:M$96))</f>
        <v>0</v>
      </c>
      <c r="N118" s="81">
        <f ca="1">SUMPRODUCT((Work_Codes!$N$425:$Y$425=$E118)*(Work_Codes!$N$428:$Y$429)*(N$95:N$96))</f>
        <v>0</v>
      </c>
      <c r="O118" s="81">
        <f ca="1">SUMPRODUCT((Work_Codes!$N$425:$Y$425=$E118)*(Work_Codes!$N$428:$Y$429)*(O$95:O$96))</f>
        <v>0</v>
      </c>
      <c r="P118" s="81">
        <f ca="1">SUMPRODUCT((Work_Codes!$N$425:$Y$425=$E118)*(Work_Codes!$N$428:$Y$429)*(P$95:P$96))</f>
        <v>0</v>
      </c>
      <c r="Q118" s="81">
        <f ca="1">SUMPRODUCT((Work_Codes!$N$425:$Y$425=$E118)*(Work_Codes!$N$428:$Y$429)*(Q$95:Q$96))</f>
        <v>0</v>
      </c>
      <c r="R118" s="81">
        <f ca="1">SUMPRODUCT((Work_Codes!$N$425:$Y$425=$E118)*(Work_Codes!$N$428:$Y$429)*(R$95:R$96))</f>
        <v>0</v>
      </c>
      <c r="S118" s="81">
        <f ca="1">SUMPRODUCT((Work_Codes!$N$425:$Y$425=$E118)*(Work_Codes!$N$428:$Y$429)*(S$95:S$96))</f>
        <v>0</v>
      </c>
      <c r="T118" s="81">
        <f ca="1">SUMPRODUCT((Work_Codes!$N$425:$Y$425=$E118)*(Work_Codes!$N$428:$Y$429)*(T$95:T$96))</f>
        <v>0</v>
      </c>
    </row>
    <row r="119" spans="4:20" outlineLevel="2">
      <c r="E119" s="247" t="str">
        <f>GC!C54</f>
        <v>Service pipes - post 1998</v>
      </c>
      <c r="F119" s="247"/>
      <c r="G119" s="247"/>
      <c r="H119" s="247"/>
      <c r="I119" s="247"/>
      <c r="J119" s="81">
        <f ca="1">SUMPRODUCT((Work_Codes!$N$425:$Y$425=$E119)*(Work_Codes!$N$428:$Y$429)*(J$95:J$96))</f>
        <v>0</v>
      </c>
      <c r="K119" s="81">
        <f ca="1">SUMPRODUCT((Work_Codes!$N$425:$Y$425=$E119)*(Work_Codes!$N$428:$Y$429)*(K$95:K$96))</f>
        <v>0</v>
      </c>
      <c r="L119" s="81">
        <f ca="1">SUMPRODUCT((Work_Codes!$N$425:$Y$425=$E119)*(Work_Codes!$N$428:$Y$429)*(L$95:L$96))</f>
        <v>0</v>
      </c>
      <c r="M119" s="81">
        <f ca="1">SUMPRODUCT((Work_Codes!$N$425:$Y$425=$E119)*(Work_Codes!$N$428:$Y$429)*(M$95:M$96))</f>
        <v>0</v>
      </c>
      <c r="N119" s="81">
        <f ca="1">SUMPRODUCT((Work_Codes!$N$425:$Y$425=$E119)*(Work_Codes!$N$428:$Y$429)*(N$95:N$96))</f>
        <v>0</v>
      </c>
      <c r="O119" s="81">
        <f ca="1">SUMPRODUCT((Work_Codes!$N$425:$Y$425=$E119)*(Work_Codes!$N$428:$Y$429)*(O$95:O$96))</f>
        <v>0</v>
      </c>
      <c r="P119" s="81">
        <f ca="1">SUMPRODUCT((Work_Codes!$N$425:$Y$425=$E119)*(Work_Codes!$N$428:$Y$429)*(P$95:P$96))</f>
        <v>0</v>
      </c>
      <c r="Q119" s="81">
        <f ca="1">SUMPRODUCT((Work_Codes!$N$425:$Y$425=$E119)*(Work_Codes!$N$428:$Y$429)*(Q$95:Q$96))</f>
        <v>0</v>
      </c>
      <c r="R119" s="81">
        <f ca="1">SUMPRODUCT((Work_Codes!$N$425:$Y$425=$E119)*(Work_Codes!$N$428:$Y$429)*(R$95:R$96))</f>
        <v>0</v>
      </c>
      <c r="S119" s="81">
        <f ca="1">SUMPRODUCT((Work_Codes!$N$425:$Y$425=$E119)*(Work_Codes!$N$428:$Y$429)*(S$95:S$96))</f>
        <v>0</v>
      </c>
      <c r="T119" s="81">
        <f ca="1">SUMPRODUCT((Work_Codes!$N$425:$Y$425=$E119)*(Work_Codes!$N$428:$Y$429)*(T$95:T$96))</f>
        <v>0</v>
      </c>
    </row>
    <row r="120" spans="4:20" outlineLevel="2">
      <c r="E120" s="247" t="str">
        <f>GC!C55</f>
        <v>Cathodic protection - post 1998</v>
      </c>
      <c r="F120" s="247"/>
      <c r="G120" s="247"/>
      <c r="H120" s="247"/>
      <c r="I120" s="247"/>
      <c r="J120" s="81">
        <f ca="1">SUMPRODUCT((Work_Codes!$N$425:$Y$425=$E120)*(Work_Codes!$N$428:$Y$429)*(J$95:J$96))</f>
        <v>0</v>
      </c>
      <c r="K120" s="81">
        <f ca="1">SUMPRODUCT((Work_Codes!$N$425:$Y$425=$E120)*(Work_Codes!$N$428:$Y$429)*(K$95:K$96))</f>
        <v>0</v>
      </c>
      <c r="L120" s="81">
        <f ca="1">SUMPRODUCT((Work_Codes!$N$425:$Y$425=$E120)*(Work_Codes!$N$428:$Y$429)*(L$95:L$96))</f>
        <v>0</v>
      </c>
      <c r="M120" s="81">
        <f ca="1">SUMPRODUCT((Work_Codes!$N$425:$Y$425=$E120)*(Work_Codes!$N$428:$Y$429)*(M$95:M$96))</f>
        <v>0</v>
      </c>
      <c r="N120" s="81">
        <f ca="1">SUMPRODUCT((Work_Codes!$N$425:$Y$425=$E120)*(Work_Codes!$N$428:$Y$429)*(N$95:N$96))</f>
        <v>0</v>
      </c>
      <c r="O120" s="81">
        <f ca="1">SUMPRODUCT((Work_Codes!$N$425:$Y$425=$E120)*(Work_Codes!$N$428:$Y$429)*(O$95:O$96))</f>
        <v>0</v>
      </c>
      <c r="P120" s="81">
        <f ca="1">SUMPRODUCT((Work_Codes!$N$425:$Y$425=$E120)*(Work_Codes!$N$428:$Y$429)*(P$95:P$96))</f>
        <v>0</v>
      </c>
      <c r="Q120" s="81">
        <f ca="1">SUMPRODUCT((Work_Codes!$N$425:$Y$425=$E120)*(Work_Codes!$N$428:$Y$429)*(Q$95:Q$96))</f>
        <v>0</v>
      </c>
      <c r="R120" s="81">
        <f ca="1">SUMPRODUCT((Work_Codes!$N$425:$Y$425=$E120)*(Work_Codes!$N$428:$Y$429)*(R$95:R$96))</f>
        <v>0</v>
      </c>
      <c r="S120" s="81">
        <f ca="1">SUMPRODUCT((Work_Codes!$N$425:$Y$425=$E120)*(Work_Codes!$N$428:$Y$429)*(S$95:S$96))</f>
        <v>0</v>
      </c>
      <c r="T120" s="81">
        <f ca="1">SUMPRODUCT((Work_Codes!$N$425:$Y$425=$E120)*(Work_Codes!$N$428:$Y$429)*(T$95:T$96))</f>
        <v>0</v>
      </c>
    </row>
    <row r="121" spans="4:20" ht="12" customHeight="1" outlineLevel="2">
      <c r="E121" s="249" t="str">
        <f>"Total "&amp;D103</f>
        <v>Total Direct Costs</v>
      </c>
      <c r="F121" s="249"/>
      <c r="G121" s="249"/>
      <c r="H121" s="249"/>
      <c r="I121" s="249"/>
      <c r="J121" s="82">
        <f t="shared" ref="J121:T121" ca="1" si="20">SUM(J105:J120)</f>
        <v>0</v>
      </c>
      <c r="K121" s="82">
        <f t="shared" ca="1" si="20"/>
        <v>0</v>
      </c>
      <c r="L121" s="82">
        <f t="shared" ca="1" si="20"/>
        <v>0</v>
      </c>
      <c r="M121" s="82">
        <f t="shared" ca="1" si="20"/>
        <v>0</v>
      </c>
      <c r="N121" s="82">
        <f t="shared" ca="1" si="20"/>
        <v>0</v>
      </c>
      <c r="O121" s="82">
        <f t="shared" ca="1" si="20"/>
        <v>0</v>
      </c>
      <c r="P121" s="82">
        <f t="shared" ca="1" si="20"/>
        <v>0</v>
      </c>
      <c r="Q121" s="82">
        <f t="shared" ca="1" si="20"/>
        <v>0</v>
      </c>
      <c r="R121" s="82">
        <f t="shared" ca="1" si="20"/>
        <v>0</v>
      </c>
      <c r="S121" s="82">
        <f t="shared" ca="1" si="20"/>
        <v>0</v>
      </c>
      <c r="T121" s="82">
        <f t="shared" ca="1" si="20"/>
        <v>0</v>
      </c>
    </row>
    <row r="122" spans="4:20" outlineLevel="2"/>
    <row r="123" spans="4:20" outlineLevel="2">
      <c r="D123" s="37" t="s">
        <v>364</v>
      </c>
    </row>
    <row r="124" spans="4:20" ht="5.9" customHeight="1" outlineLevel="2"/>
    <row r="125" spans="4:20" outlineLevel="2">
      <c r="E125" s="247" t="str">
        <f>GC!C40</f>
        <v>Transmission pipelines</v>
      </c>
      <c r="F125" s="247"/>
      <c r="G125" s="247"/>
      <c r="H125" s="247"/>
      <c r="I125" s="247"/>
      <c r="J125" s="81">
        <f ca="1">J105*(INDEX(J$35:J$37,MATCH(Work_Codes!$I$422,$D$35:$D$37,0)))</f>
        <v>0</v>
      </c>
      <c r="K125" s="81">
        <f ca="1">K105*(INDEX(K$35:K$37,MATCH(Work_Codes!$I$422,$D$35:$D$37,0)))</f>
        <v>0</v>
      </c>
      <c r="L125" s="81">
        <f ca="1">L105*(INDEX(L$35:L$37,MATCH(Work_Codes!$I$422,$D$35:$D$37,0)))</f>
        <v>0</v>
      </c>
      <c r="M125" s="81">
        <f ca="1">M105*(INDEX(M$35:M$37,MATCH(Work_Codes!$I$422,$D$35:$D$37,0)))</f>
        <v>0</v>
      </c>
      <c r="N125" s="81">
        <f ca="1">N105*(INDEX(N$35:N$37,MATCH(Work_Codes!$I$422,$D$35:$D$37,0)))</f>
        <v>0</v>
      </c>
      <c r="O125" s="81">
        <f ca="1">O105*(INDEX(O$35:O$37,MATCH(Work_Codes!$I$422,$D$35:$D$37,0)))</f>
        <v>0</v>
      </c>
      <c r="P125" s="81">
        <f ca="1">P105*(INDEX(P$35:P$37,MATCH(Work_Codes!$I$422,$D$35:$D$37,0)))</f>
        <v>0</v>
      </c>
      <c r="Q125" s="81">
        <f ca="1">Q105*(INDEX(Q$35:Q$37,MATCH(Work_Codes!$I$422,$D$35:$D$37,0)))</f>
        <v>0</v>
      </c>
      <c r="R125" s="81">
        <f ca="1">R105*(INDEX(R$35:R$37,MATCH(Work_Codes!$I$422,$D$35:$D$37,0)))</f>
        <v>0</v>
      </c>
      <c r="S125" s="81">
        <f ca="1">S105*(INDEX(S$35:S$37,MATCH(Work_Codes!$I$422,$D$35:$D$37,0)))</f>
        <v>0</v>
      </c>
      <c r="T125" s="81">
        <f ca="1">T105*(INDEX(T$35:T$37,MATCH(Work_Codes!$I$422,$D$35:$D$37,0)))</f>
        <v>0</v>
      </c>
    </row>
    <row r="126" spans="4:20" outlineLevel="2">
      <c r="E126" s="247" t="str">
        <f>GC!C41</f>
        <v>Distribution pipelines</v>
      </c>
      <c r="F126" s="247"/>
      <c r="G126" s="247"/>
      <c r="H126" s="247"/>
      <c r="I126" s="247"/>
      <c r="J126" s="81">
        <f ca="1">J106*(INDEX(J$35:J$37,MATCH(Work_Codes!$I$422,$D$35:$D$37,0)))</f>
        <v>0</v>
      </c>
      <c r="K126" s="81">
        <f ca="1">K106*(INDEX(K$35:K$37,MATCH(Work_Codes!$I$422,$D$35:$D$37,0)))</f>
        <v>0</v>
      </c>
      <c r="L126" s="81">
        <f ca="1">L106*(INDEX(L$35:L$37,MATCH(Work_Codes!$I$422,$D$35:$D$37,0)))</f>
        <v>0</v>
      </c>
      <c r="M126" s="81">
        <f ca="1">M106*(INDEX(M$35:M$37,MATCH(Work_Codes!$I$422,$D$35:$D$37,0)))</f>
        <v>0</v>
      </c>
      <c r="N126" s="81">
        <f ca="1">N106*(INDEX(N$35:N$37,MATCH(Work_Codes!$I$422,$D$35:$D$37,0)))</f>
        <v>0</v>
      </c>
      <c r="O126" s="81">
        <f ca="1">O106*(INDEX(O$35:O$37,MATCH(Work_Codes!$I$422,$D$35:$D$37,0)))</f>
        <v>0</v>
      </c>
      <c r="P126" s="81">
        <f ca="1">P106*(INDEX(P$35:P$37,MATCH(Work_Codes!$I$422,$D$35:$D$37,0)))</f>
        <v>0</v>
      </c>
      <c r="Q126" s="81">
        <f ca="1">Q106*(INDEX(Q$35:Q$37,MATCH(Work_Codes!$I$422,$D$35:$D$37,0)))</f>
        <v>0</v>
      </c>
      <c r="R126" s="81">
        <f ca="1">R106*(INDEX(R$35:R$37,MATCH(Work_Codes!$I$422,$D$35:$D$37,0)))</f>
        <v>0</v>
      </c>
      <c r="S126" s="81">
        <f ca="1">S106*(INDEX(S$35:S$37,MATCH(Work_Codes!$I$422,$D$35:$D$37,0)))</f>
        <v>0</v>
      </c>
      <c r="T126" s="81">
        <f ca="1">T106*(INDEX(T$35:T$37,MATCH(Work_Codes!$I$422,$D$35:$D$37,0)))</f>
        <v>0</v>
      </c>
    </row>
    <row r="127" spans="4:20" outlineLevel="2">
      <c r="E127" s="247" t="str">
        <f>GC!C42</f>
        <v>Service pipes</v>
      </c>
      <c r="F127" s="247"/>
      <c r="G127" s="247"/>
      <c r="H127" s="247"/>
      <c r="I127" s="247"/>
      <c r="J127" s="81">
        <f ca="1">J107*(INDEX(J$35:J$37,MATCH(Work_Codes!$I$422,$D$35:$D$37,0)))</f>
        <v>0</v>
      </c>
      <c r="K127" s="81">
        <f ca="1">K107*(INDEX(K$35:K$37,MATCH(Work_Codes!$I$422,$D$35:$D$37,0)))</f>
        <v>0</v>
      </c>
      <c r="L127" s="81">
        <f ca="1">L107*(INDEX(L$35:L$37,MATCH(Work_Codes!$I$422,$D$35:$D$37,0)))</f>
        <v>0</v>
      </c>
      <c r="M127" s="81">
        <f ca="1">M107*(INDEX(M$35:M$37,MATCH(Work_Codes!$I$422,$D$35:$D$37,0)))</f>
        <v>0</v>
      </c>
      <c r="N127" s="81">
        <f ca="1">N107*(INDEX(N$35:N$37,MATCH(Work_Codes!$I$422,$D$35:$D$37,0)))</f>
        <v>0</v>
      </c>
      <c r="O127" s="81">
        <f ca="1">O107*(INDEX(O$35:O$37,MATCH(Work_Codes!$I$422,$D$35:$D$37,0)))</f>
        <v>0</v>
      </c>
      <c r="P127" s="81">
        <f ca="1">P107*(INDEX(P$35:P$37,MATCH(Work_Codes!$I$422,$D$35:$D$37,0)))</f>
        <v>0</v>
      </c>
      <c r="Q127" s="81">
        <f ca="1">Q107*(INDEX(Q$35:Q$37,MATCH(Work_Codes!$I$422,$D$35:$D$37,0)))</f>
        <v>0</v>
      </c>
      <c r="R127" s="81">
        <f ca="1">R107*(INDEX(R$35:R$37,MATCH(Work_Codes!$I$422,$D$35:$D$37,0)))</f>
        <v>0</v>
      </c>
      <c r="S127" s="81">
        <f ca="1">S107*(INDEX(S$35:S$37,MATCH(Work_Codes!$I$422,$D$35:$D$37,0)))</f>
        <v>0</v>
      </c>
      <c r="T127" s="81">
        <f ca="1">T107*(INDEX(T$35:T$37,MATCH(Work_Codes!$I$422,$D$35:$D$37,0)))</f>
        <v>0</v>
      </c>
    </row>
    <row r="128" spans="4:20" outlineLevel="2">
      <c r="E128" s="247" t="str">
        <f>GC!C43</f>
        <v>Cathodic protection</v>
      </c>
      <c r="F128" s="247"/>
      <c r="G128" s="247"/>
      <c r="H128" s="247"/>
      <c r="I128" s="247"/>
      <c r="J128" s="81">
        <f ca="1">J108*(INDEX(J$35:J$37,MATCH(Work_Codes!$I$422,$D$35:$D$37,0)))</f>
        <v>0</v>
      </c>
      <c r="K128" s="81">
        <f ca="1">K108*(INDEX(K$35:K$37,MATCH(Work_Codes!$I$422,$D$35:$D$37,0)))</f>
        <v>0</v>
      </c>
      <c r="L128" s="81">
        <f ca="1">L108*(INDEX(L$35:L$37,MATCH(Work_Codes!$I$422,$D$35:$D$37,0)))</f>
        <v>0</v>
      </c>
      <c r="M128" s="81">
        <f ca="1">M108*(INDEX(M$35:M$37,MATCH(Work_Codes!$I$422,$D$35:$D$37,0)))</f>
        <v>0</v>
      </c>
      <c r="N128" s="81">
        <f ca="1">N108*(INDEX(N$35:N$37,MATCH(Work_Codes!$I$422,$D$35:$D$37,0)))</f>
        <v>0</v>
      </c>
      <c r="O128" s="81">
        <f ca="1">O108*(INDEX(O$35:O$37,MATCH(Work_Codes!$I$422,$D$35:$D$37,0)))</f>
        <v>0</v>
      </c>
      <c r="P128" s="81">
        <f ca="1">P108*(INDEX(P$35:P$37,MATCH(Work_Codes!$I$422,$D$35:$D$37,0)))</f>
        <v>0</v>
      </c>
      <c r="Q128" s="81">
        <f ca="1">Q108*(INDEX(Q$35:Q$37,MATCH(Work_Codes!$I$422,$D$35:$D$37,0)))</f>
        <v>0</v>
      </c>
      <c r="R128" s="81">
        <f ca="1">R108*(INDEX(R$35:R$37,MATCH(Work_Codes!$I$422,$D$35:$D$37,0)))</f>
        <v>0</v>
      </c>
      <c r="S128" s="81">
        <f ca="1">S108*(INDEX(S$35:S$37,MATCH(Work_Codes!$I$422,$D$35:$D$37,0)))</f>
        <v>0</v>
      </c>
      <c r="T128" s="81">
        <f ca="1">T108*(INDEX(T$35:T$37,MATCH(Work_Codes!$I$422,$D$35:$D$37,0)))</f>
        <v>0</v>
      </c>
    </row>
    <row r="129" spans="4:20" outlineLevel="2">
      <c r="E129" s="247" t="str">
        <f>GC!C44</f>
        <v>Supply Regulators / Valve Stations</v>
      </c>
      <c r="F129" s="247"/>
      <c r="G129" s="247"/>
      <c r="H129" s="247"/>
      <c r="I129" s="247"/>
      <c r="J129" s="81">
        <f ca="1">J109*(INDEX(J$35:J$37,MATCH(Work_Codes!$I$422,$D$35:$D$37,0)))</f>
        <v>0</v>
      </c>
      <c r="K129" s="81">
        <f ca="1">K109*(INDEX(K$35:K$37,MATCH(Work_Codes!$I$422,$D$35:$D$37,0)))</f>
        <v>0</v>
      </c>
      <c r="L129" s="81">
        <f ca="1">L109*(INDEX(L$35:L$37,MATCH(Work_Codes!$I$422,$D$35:$D$37,0)))</f>
        <v>0</v>
      </c>
      <c r="M129" s="81">
        <f ca="1">M109*(INDEX(M$35:M$37,MATCH(Work_Codes!$I$422,$D$35:$D$37,0)))</f>
        <v>0</v>
      </c>
      <c r="N129" s="81">
        <f ca="1">N109*(INDEX(N$35:N$37,MATCH(Work_Codes!$I$422,$D$35:$D$37,0)))</f>
        <v>0</v>
      </c>
      <c r="O129" s="81">
        <f ca="1">O109*(INDEX(O$35:O$37,MATCH(Work_Codes!$I$422,$D$35:$D$37,0)))</f>
        <v>0</v>
      </c>
      <c r="P129" s="81">
        <f ca="1">P109*(INDEX(P$35:P$37,MATCH(Work_Codes!$I$422,$D$35:$D$37,0)))</f>
        <v>0</v>
      </c>
      <c r="Q129" s="81">
        <f ca="1">Q109*(INDEX(Q$35:Q$37,MATCH(Work_Codes!$I$422,$D$35:$D$37,0)))</f>
        <v>0</v>
      </c>
      <c r="R129" s="81">
        <f ca="1">R109*(INDEX(R$35:R$37,MATCH(Work_Codes!$I$422,$D$35:$D$37,0)))</f>
        <v>0</v>
      </c>
      <c r="S129" s="81">
        <f ca="1">S109*(INDEX(S$35:S$37,MATCH(Work_Codes!$I$422,$D$35:$D$37,0)))</f>
        <v>0</v>
      </c>
      <c r="T129" s="81">
        <f ca="1">T109*(INDEX(T$35:T$37,MATCH(Work_Codes!$I$422,$D$35:$D$37,0)))</f>
        <v>0</v>
      </c>
    </row>
    <row r="130" spans="4:20" outlineLevel="2">
      <c r="E130" s="247" t="str">
        <f>GC!C45</f>
        <v>Meters</v>
      </c>
      <c r="F130" s="247"/>
      <c r="G130" s="247"/>
      <c r="H130" s="247"/>
      <c r="I130" s="247"/>
      <c r="J130" s="81">
        <f ca="1">J110*(INDEX(J$35:J$37,MATCH(Work_Codes!$I$422,$D$35:$D$37,0)))</f>
        <v>0</v>
      </c>
      <c r="K130" s="81">
        <f ca="1">K110*(INDEX(K$35:K$37,MATCH(Work_Codes!$I$422,$D$35:$D$37,0)))</f>
        <v>0</v>
      </c>
      <c r="L130" s="81">
        <f ca="1">L110*(INDEX(L$35:L$37,MATCH(Work_Codes!$I$422,$D$35:$D$37,0)))</f>
        <v>0</v>
      </c>
      <c r="M130" s="81">
        <f ca="1">M110*(INDEX(M$35:M$37,MATCH(Work_Codes!$I$422,$D$35:$D$37,0)))</f>
        <v>0</v>
      </c>
      <c r="N130" s="81">
        <f ca="1">N110*(INDEX(N$35:N$37,MATCH(Work_Codes!$I$422,$D$35:$D$37,0)))</f>
        <v>0</v>
      </c>
      <c r="O130" s="81">
        <f ca="1">O110*(INDEX(O$35:O$37,MATCH(Work_Codes!$I$422,$D$35:$D$37,0)))</f>
        <v>0</v>
      </c>
      <c r="P130" s="81">
        <f ca="1">P110*(INDEX(P$35:P$37,MATCH(Work_Codes!$I$422,$D$35:$D$37,0)))</f>
        <v>0</v>
      </c>
      <c r="Q130" s="81">
        <f ca="1">Q110*(INDEX(Q$35:Q$37,MATCH(Work_Codes!$I$422,$D$35:$D$37,0)))</f>
        <v>0</v>
      </c>
      <c r="R130" s="81">
        <f ca="1">R110*(INDEX(R$35:R$37,MATCH(Work_Codes!$I$422,$D$35:$D$37,0)))</f>
        <v>0</v>
      </c>
      <c r="S130" s="81">
        <f ca="1">S110*(INDEX(S$35:S$37,MATCH(Work_Codes!$I$422,$D$35:$D$37,0)))</f>
        <v>0</v>
      </c>
      <c r="T130" s="81">
        <f ca="1">T110*(INDEX(T$35:T$37,MATCH(Work_Codes!$I$422,$D$35:$D$37,0)))</f>
        <v>0</v>
      </c>
    </row>
    <row r="131" spans="4:20" outlineLevel="2">
      <c r="E131" s="247" t="str">
        <f>GC!C46</f>
        <v>SCADA and remote control</v>
      </c>
      <c r="F131" s="247"/>
      <c r="G131" s="247"/>
      <c r="H131" s="247"/>
      <c r="I131" s="247"/>
      <c r="J131" s="81">
        <f ca="1">J111*(INDEX(J$35:J$37,MATCH(Work_Codes!$I$422,$D$35:$D$37,0)))</f>
        <v>0</v>
      </c>
      <c r="K131" s="81">
        <f ca="1">K111*(INDEX(K$35:K$37,MATCH(Work_Codes!$I$422,$D$35:$D$37,0)))</f>
        <v>0</v>
      </c>
      <c r="L131" s="81">
        <f ca="1">L111*(INDEX(L$35:L$37,MATCH(Work_Codes!$I$422,$D$35:$D$37,0)))</f>
        <v>0</v>
      </c>
      <c r="M131" s="81">
        <f ca="1">M111*(INDEX(M$35:M$37,MATCH(Work_Codes!$I$422,$D$35:$D$37,0)))</f>
        <v>0</v>
      </c>
      <c r="N131" s="81">
        <f ca="1">N111*(INDEX(N$35:N$37,MATCH(Work_Codes!$I$422,$D$35:$D$37,0)))</f>
        <v>0</v>
      </c>
      <c r="O131" s="81">
        <f ca="1">O111*(INDEX(O$35:O$37,MATCH(Work_Codes!$I$422,$D$35:$D$37,0)))</f>
        <v>0</v>
      </c>
      <c r="P131" s="81">
        <f ca="1">P111*(INDEX(P$35:P$37,MATCH(Work_Codes!$I$422,$D$35:$D$37,0)))</f>
        <v>0</v>
      </c>
      <c r="Q131" s="81">
        <f ca="1">Q111*(INDEX(Q$35:Q$37,MATCH(Work_Codes!$I$422,$D$35:$D$37,0)))</f>
        <v>0</v>
      </c>
      <c r="R131" s="81">
        <f ca="1">R111*(INDEX(R$35:R$37,MATCH(Work_Codes!$I$422,$D$35:$D$37,0)))</f>
        <v>0</v>
      </c>
      <c r="S131" s="81">
        <f ca="1">S111*(INDEX(S$35:S$37,MATCH(Work_Codes!$I$422,$D$35:$D$37,0)))</f>
        <v>0</v>
      </c>
      <c r="T131" s="81">
        <f ca="1">T111*(INDEX(T$35:T$37,MATCH(Work_Codes!$I$422,$D$35:$D$37,0)))</f>
        <v>0</v>
      </c>
    </row>
    <row r="132" spans="4:20" outlineLevel="2">
      <c r="E132" s="247" t="str">
        <f>GC!C47</f>
        <v>Buildings</v>
      </c>
      <c r="F132" s="247"/>
      <c r="G132" s="247"/>
      <c r="H132" s="247"/>
      <c r="I132" s="247"/>
      <c r="J132" s="81">
        <f ca="1">J112*(INDEX(J$35:J$37,MATCH(Work_Codes!$I$422,$D$35:$D$37,0)))</f>
        <v>0</v>
      </c>
      <c r="K132" s="81">
        <f ca="1">K112*(INDEX(K$35:K$37,MATCH(Work_Codes!$I$422,$D$35:$D$37,0)))</f>
        <v>0</v>
      </c>
      <c r="L132" s="81">
        <f ca="1">L112*(INDEX(L$35:L$37,MATCH(Work_Codes!$I$422,$D$35:$D$37,0)))</f>
        <v>0</v>
      </c>
      <c r="M132" s="81">
        <f ca="1">M112*(INDEX(M$35:M$37,MATCH(Work_Codes!$I$422,$D$35:$D$37,0)))</f>
        <v>0</v>
      </c>
      <c r="N132" s="81">
        <f ca="1">N112*(INDEX(N$35:N$37,MATCH(Work_Codes!$I$422,$D$35:$D$37,0)))</f>
        <v>0</v>
      </c>
      <c r="O132" s="81">
        <f ca="1">O112*(INDEX(O$35:O$37,MATCH(Work_Codes!$I$422,$D$35:$D$37,0)))</f>
        <v>0</v>
      </c>
      <c r="P132" s="81">
        <f ca="1">P112*(INDEX(P$35:P$37,MATCH(Work_Codes!$I$422,$D$35:$D$37,0)))</f>
        <v>0</v>
      </c>
      <c r="Q132" s="81">
        <f ca="1">Q112*(INDEX(Q$35:Q$37,MATCH(Work_Codes!$I$422,$D$35:$D$37,0)))</f>
        <v>0</v>
      </c>
      <c r="R132" s="81">
        <f ca="1">R112*(INDEX(R$35:R$37,MATCH(Work_Codes!$I$422,$D$35:$D$37,0)))</f>
        <v>0</v>
      </c>
      <c r="S132" s="81">
        <f ca="1">S112*(INDEX(S$35:S$37,MATCH(Work_Codes!$I$422,$D$35:$D$37,0)))</f>
        <v>0</v>
      </c>
      <c r="T132" s="81">
        <f ca="1">T112*(INDEX(T$35:T$37,MATCH(Work_Codes!$I$422,$D$35:$D$37,0)))</f>
        <v>0</v>
      </c>
    </row>
    <row r="133" spans="4:20" outlineLevel="2">
      <c r="E133" s="247" t="str">
        <f>GC!C48</f>
        <v>Other - IT</v>
      </c>
      <c r="F133" s="247"/>
      <c r="G133" s="247"/>
      <c r="H133" s="247"/>
      <c r="I133" s="247"/>
      <c r="J133" s="81">
        <f ca="1">J113*(INDEX(J$35:J$37,MATCH(Work_Codes!$I$422,$D$35:$D$37,0)))</f>
        <v>0</v>
      </c>
      <c r="K133" s="81">
        <f ca="1">K113*(INDEX(K$35:K$37,MATCH(Work_Codes!$I$422,$D$35:$D$37,0)))</f>
        <v>0</v>
      </c>
      <c r="L133" s="81">
        <f ca="1">L113*(INDEX(L$35:L$37,MATCH(Work_Codes!$I$422,$D$35:$D$37,0)))</f>
        <v>0</v>
      </c>
      <c r="M133" s="81">
        <f ca="1">M113*(INDEX(M$35:M$37,MATCH(Work_Codes!$I$422,$D$35:$D$37,0)))</f>
        <v>0</v>
      </c>
      <c r="N133" s="81">
        <f ca="1">N113*(INDEX(N$35:N$37,MATCH(Work_Codes!$I$422,$D$35:$D$37,0)))</f>
        <v>0</v>
      </c>
      <c r="O133" s="81">
        <f ca="1">O113*(INDEX(O$35:O$37,MATCH(Work_Codes!$I$422,$D$35:$D$37,0)))</f>
        <v>0</v>
      </c>
      <c r="P133" s="81">
        <f ca="1">P113*(INDEX(P$35:P$37,MATCH(Work_Codes!$I$422,$D$35:$D$37,0)))</f>
        <v>0</v>
      </c>
      <c r="Q133" s="81">
        <f ca="1">Q113*(INDEX(Q$35:Q$37,MATCH(Work_Codes!$I$422,$D$35:$D$37,0)))</f>
        <v>0</v>
      </c>
      <c r="R133" s="81">
        <f ca="1">R113*(INDEX(R$35:R$37,MATCH(Work_Codes!$I$422,$D$35:$D$37,0)))</f>
        <v>0</v>
      </c>
      <c r="S133" s="81">
        <f ca="1">S113*(INDEX(S$35:S$37,MATCH(Work_Codes!$I$422,$D$35:$D$37,0)))</f>
        <v>0</v>
      </c>
      <c r="T133" s="81">
        <f ca="1">T113*(INDEX(T$35:T$37,MATCH(Work_Codes!$I$422,$D$35:$D$37,0)))</f>
        <v>0</v>
      </c>
    </row>
    <row r="134" spans="4:20" outlineLevel="2">
      <c r="E134" s="247" t="str">
        <f>GC!C49</f>
        <v>Other - non IT</v>
      </c>
      <c r="F134" s="247"/>
      <c r="G134" s="247"/>
      <c r="H134" s="247"/>
      <c r="I134" s="247"/>
      <c r="J134" s="81">
        <f ca="1">J114*(INDEX(J$35:J$37,MATCH(Work_Codes!$I$422,$D$35:$D$37,0)))</f>
        <v>0</v>
      </c>
      <c r="K134" s="81">
        <f ca="1">K114*(INDEX(K$35:K$37,MATCH(Work_Codes!$I$422,$D$35:$D$37,0)))</f>
        <v>0</v>
      </c>
      <c r="L134" s="81">
        <f ca="1">L114*(INDEX(L$35:L$37,MATCH(Work_Codes!$I$422,$D$35:$D$37,0)))</f>
        <v>0</v>
      </c>
      <c r="M134" s="81">
        <f ca="1">M114*(INDEX(M$35:M$37,MATCH(Work_Codes!$I$422,$D$35:$D$37,0)))</f>
        <v>0</v>
      </c>
      <c r="N134" s="81">
        <f ca="1">N114*(INDEX(N$35:N$37,MATCH(Work_Codes!$I$422,$D$35:$D$37,0)))</f>
        <v>0</v>
      </c>
      <c r="O134" s="81">
        <f ca="1">O114*(INDEX(O$35:O$37,MATCH(Work_Codes!$I$422,$D$35:$D$37,0)))</f>
        <v>0</v>
      </c>
      <c r="P134" s="81">
        <f ca="1">P114*(INDEX(P$35:P$37,MATCH(Work_Codes!$I$422,$D$35:$D$37,0)))</f>
        <v>0</v>
      </c>
      <c r="Q134" s="81">
        <f ca="1">Q114*(INDEX(Q$35:Q$37,MATCH(Work_Codes!$I$422,$D$35:$D$37,0)))</f>
        <v>0</v>
      </c>
      <c r="R134" s="81">
        <f ca="1">R114*(INDEX(R$35:R$37,MATCH(Work_Codes!$I$422,$D$35:$D$37,0)))</f>
        <v>0</v>
      </c>
      <c r="S134" s="81">
        <f ca="1">S114*(INDEX(S$35:S$37,MATCH(Work_Codes!$I$422,$D$35:$D$37,0)))</f>
        <v>0</v>
      </c>
      <c r="T134" s="81">
        <f ca="1">T114*(INDEX(T$35:T$37,MATCH(Work_Codes!$I$422,$D$35:$D$37,0)))</f>
        <v>0</v>
      </c>
    </row>
    <row r="135" spans="4:20" outlineLevel="2">
      <c r="E135" s="247" t="str">
        <f>GC!C50</f>
        <v>Land</v>
      </c>
      <c r="F135" s="247"/>
      <c r="G135" s="247"/>
      <c r="H135" s="247"/>
      <c r="I135" s="247"/>
      <c r="J135" s="81">
        <f ca="1">J115*(INDEX(J$35:J$37,MATCH(Work_Codes!$I$422,$D$35:$D$37,0)))</f>
        <v>0</v>
      </c>
      <c r="K135" s="81">
        <f ca="1">K115*(INDEX(K$35:K$37,MATCH(Work_Codes!$I$422,$D$35:$D$37,0)))</f>
        <v>0</v>
      </c>
      <c r="L135" s="81">
        <f ca="1">L115*(INDEX(L$35:L$37,MATCH(Work_Codes!$I$422,$D$35:$D$37,0)))</f>
        <v>0</v>
      </c>
      <c r="M135" s="81">
        <f ca="1">M115*(INDEX(M$35:M$37,MATCH(Work_Codes!$I$422,$D$35:$D$37,0)))</f>
        <v>0</v>
      </c>
      <c r="N135" s="81">
        <f ca="1">N115*(INDEX(N$35:N$37,MATCH(Work_Codes!$I$422,$D$35:$D$37,0)))</f>
        <v>0</v>
      </c>
      <c r="O135" s="81">
        <f ca="1">O115*(INDEX(O$35:O$37,MATCH(Work_Codes!$I$422,$D$35:$D$37,0)))</f>
        <v>0</v>
      </c>
      <c r="P135" s="81">
        <f ca="1">P115*(INDEX(P$35:P$37,MATCH(Work_Codes!$I$422,$D$35:$D$37,0)))</f>
        <v>0</v>
      </c>
      <c r="Q135" s="81">
        <f ca="1">Q115*(INDEX(Q$35:Q$37,MATCH(Work_Codes!$I$422,$D$35:$D$37,0)))</f>
        <v>0</v>
      </c>
      <c r="R135" s="81">
        <f ca="1">R115*(INDEX(R$35:R$37,MATCH(Work_Codes!$I$422,$D$35:$D$37,0)))</f>
        <v>0</v>
      </c>
      <c r="S135" s="81">
        <f ca="1">S115*(INDEX(S$35:S$37,MATCH(Work_Codes!$I$422,$D$35:$D$37,0)))</f>
        <v>0</v>
      </c>
      <c r="T135" s="81">
        <f ca="1">T115*(INDEX(T$35:T$37,MATCH(Work_Codes!$I$422,$D$35:$D$37,0)))</f>
        <v>0</v>
      </c>
    </row>
    <row r="136" spans="4:20" outlineLevel="2">
      <c r="E136" s="247" t="str">
        <f>GC!C51</f>
        <v>Capitalised Leases</v>
      </c>
      <c r="F136" s="247"/>
      <c r="G136" s="247"/>
      <c r="H136" s="247"/>
      <c r="I136" s="247"/>
      <c r="J136" s="81">
        <f ca="1">J116*(INDEX(J$35:J$37,MATCH(Work_Codes!$I$422,$D$35:$D$37,0)))</f>
        <v>0</v>
      </c>
      <c r="K136" s="81">
        <f ca="1">K116*(INDEX(K$35:K$37,MATCH(Work_Codes!$I$422,$D$35:$D$37,0)))</f>
        <v>0</v>
      </c>
      <c r="L136" s="81">
        <f ca="1">L116*(INDEX(L$35:L$37,MATCH(Work_Codes!$I$422,$D$35:$D$37,0)))</f>
        <v>0</v>
      </c>
      <c r="M136" s="81">
        <f ca="1">M116*(INDEX(M$35:M$37,MATCH(Work_Codes!$I$422,$D$35:$D$37,0)))</f>
        <v>0</v>
      </c>
      <c r="N136" s="81">
        <f ca="1">N116*(INDEX(N$35:N$37,MATCH(Work_Codes!$I$422,$D$35:$D$37,0)))</f>
        <v>0</v>
      </c>
      <c r="O136" s="81">
        <f ca="1">O116*(INDEX(O$35:O$37,MATCH(Work_Codes!$I$422,$D$35:$D$37,0)))</f>
        <v>0</v>
      </c>
      <c r="P136" s="81">
        <f ca="1">P116*(INDEX(P$35:P$37,MATCH(Work_Codes!$I$422,$D$35:$D$37,0)))</f>
        <v>0</v>
      </c>
      <c r="Q136" s="81">
        <f ca="1">Q116*(INDEX(Q$35:Q$37,MATCH(Work_Codes!$I$422,$D$35:$D$37,0)))</f>
        <v>0</v>
      </c>
      <c r="R136" s="81">
        <f ca="1">R116*(INDEX(R$35:R$37,MATCH(Work_Codes!$I$422,$D$35:$D$37,0)))</f>
        <v>0</v>
      </c>
      <c r="S136" s="81">
        <f ca="1">S116*(INDEX(S$35:S$37,MATCH(Work_Codes!$I$422,$D$35:$D$37,0)))</f>
        <v>0</v>
      </c>
      <c r="T136" s="81">
        <f ca="1">T116*(INDEX(T$35:T$37,MATCH(Work_Codes!$I$422,$D$35:$D$37,0)))</f>
        <v>0</v>
      </c>
    </row>
    <row r="137" spans="4:20" outlineLevel="2">
      <c r="E137" s="247" t="str">
        <f>GC!C52</f>
        <v>Transmission pipelines - post 1998</v>
      </c>
      <c r="F137" s="247"/>
      <c r="G137" s="247"/>
      <c r="H137" s="247"/>
      <c r="I137" s="247"/>
      <c r="J137" s="81">
        <f ca="1">J117*(INDEX(J$35:J$37,MATCH(Work_Codes!$I$422,$D$35:$D$37,0)))</f>
        <v>0</v>
      </c>
      <c r="K137" s="81">
        <f ca="1">K117*(INDEX(K$35:K$37,MATCH(Work_Codes!$I$422,$D$35:$D$37,0)))</f>
        <v>0</v>
      </c>
      <c r="L137" s="81">
        <f ca="1">L117*(INDEX(L$35:L$37,MATCH(Work_Codes!$I$422,$D$35:$D$37,0)))</f>
        <v>0</v>
      </c>
      <c r="M137" s="81">
        <f ca="1">M117*(INDEX(M$35:M$37,MATCH(Work_Codes!$I$422,$D$35:$D$37,0)))</f>
        <v>0</v>
      </c>
      <c r="N137" s="81">
        <f ca="1">N117*(INDEX(N$35:N$37,MATCH(Work_Codes!$I$422,$D$35:$D$37,0)))</f>
        <v>0</v>
      </c>
      <c r="O137" s="81">
        <f ca="1">O117*(INDEX(O$35:O$37,MATCH(Work_Codes!$I$422,$D$35:$D$37,0)))</f>
        <v>0</v>
      </c>
      <c r="P137" s="81">
        <f ca="1">P117*(INDEX(P$35:P$37,MATCH(Work_Codes!$I$422,$D$35:$D$37,0)))</f>
        <v>0</v>
      </c>
      <c r="Q137" s="81">
        <f ca="1">Q117*(INDEX(Q$35:Q$37,MATCH(Work_Codes!$I$422,$D$35:$D$37,0)))</f>
        <v>0</v>
      </c>
      <c r="R137" s="81">
        <f ca="1">R117*(INDEX(R$35:R$37,MATCH(Work_Codes!$I$422,$D$35:$D$37,0)))</f>
        <v>0</v>
      </c>
      <c r="S137" s="81">
        <f ca="1">S117*(INDEX(S$35:S$37,MATCH(Work_Codes!$I$422,$D$35:$D$37,0)))</f>
        <v>0</v>
      </c>
      <c r="T137" s="81">
        <f ca="1">T117*(INDEX(T$35:T$37,MATCH(Work_Codes!$I$422,$D$35:$D$37,0)))</f>
        <v>0</v>
      </c>
    </row>
    <row r="138" spans="4:20" outlineLevel="2">
      <c r="E138" s="247" t="str">
        <f>GC!C53</f>
        <v>Distribution pipelines - post 1998</v>
      </c>
      <c r="F138" s="247"/>
      <c r="G138" s="247"/>
      <c r="H138" s="247"/>
      <c r="I138" s="247"/>
      <c r="J138" s="81">
        <f ca="1">J118*(INDEX(J$35:J$37,MATCH(Work_Codes!$I$422,$D$35:$D$37,0)))</f>
        <v>0</v>
      </c>
      <c r="K138" s="81">
        <f ca="1">K118*(INDEX(K$35:K$37,MATCH(Work_Codes!$I$422,$D$35:$D$37,0)))</f>
        <v>0</v>
      </c>
      <c r="L138" s="81">
        <f ca="1">L118*(INDEX(L$35:L$37,MATCH(Work_Codes!$I$422,$D$35:$D$37,0)))</f>
        <v>0</v>
      </c>
      <c r="M138" s="81">
        <f ca="1">M118*(INDEX(M$35:M$37,MATCH(Work_Codes!$I$422,$D$35:$D$37,0)))</f>
        <v>0</v>
      </c>
      <c r="N138" s="81">
        <f ca="1">N118*(INDEX(N$35:N$37,MATCH(Work_Codes!$I$422,$D$35:$D$37,0)))</f>
        <v>0</v>
      </c>
      <c r="O138" s="81">
        <f ca="1">O118*(INDEX(O$35:O$37,MATCH(Work_Codes!$I$422,$D$35:$D$37,0)))</f>
        <v>0</v>
      </c>
      <c r="P138" s="81">
        <f ca="1">P118*(INDEX(P$35:P$37,MATCH(Work_Codes!$I$422,$D$35:$D$37,0)))</f>
        <v>0</v>
      </c>
      <c r="Q138" s="81">
        <f ca="1">Q118*(INDEX(Q$35:Q$37,MATCH(Work_Codes!$I$422,$D$35:$D$37,0)))</f>
        <v>0</v>
      </c>
      <c r="R138" s="81">
        <f ca="1">R118*(INDEX(R$35:R$37,MATCH(Work_Codes!$I$422,$D$35:$D$37,0)))</f>
        <v>0</v>
      </c>
      <c r="S138" s="81">
        <f ca="1">S118*(INDEX(S$35:S$37,MATCH(Work_Codes!$I$422,$D$35:$D$37,0)))</f>
        <v>0</v>
      </c>
      <c r="T138" s="81">
        <f ca="1">T118*(INDEX(T$35:T$37,MATCH(Work_Codes!$I$422,$D$35:$D$37,0)))</f>
        <v>0</v>
      </c>
    </row>
    <row r="139" spans="4:20" outlineLevel="2">
      <c r="E139" s="247" t="str">
        <f>GC!C54</f>
        <v>Service pipes - post 1998</v>
      </c>
      <c r="F139" s="247"/>
      <c r="G139" s="247"/>
      <c r="H139" s="247"/>
      <c r="I139" s="247"/>
      <c r="J139" s="81">
        <f ca="1">J119*(INDEX(J$35:J$37,MATCH(Work_Codes!$I$422,$D$35:$D$37,0)))</f>
        <v>0</v>
      </c>
      <c r="K139" s="81">
        <f ca="1">K119*(INDEX(K$35:K$37,MATCH(Work_Codes!$I$422,$D$35:$D$37,0)))</f>
        <v>0</v>
      </c>
      <c r="L139" s="81">
        <f ca="1">L119*(INDEX(L$35:L$37,MATCH(Work_Codes!$I$422,$D$35:$D$37,0)))</f>
        <v>0</v>
      </c>
      <c r="M139" s="81">
        <f ca="1">M119*(INDEX(M$35:M$37,MATCH(Work_Codes!$I$422,$D$35:$D$37,0)))</f>
        <v>0</v>
      </c>
      <c r="N139" s="81">
        <f ca="1">N119*(INDEX(N$35:N$37,MATCH(Work_Codes!$I$422,$D$35:$D$37,0)))</f>
        <v>0</v>
      </c>
      <c r="O139" s="81">
        <f ca="1">O119*(INDEX(O$35:O$37,MATCH(Work_Codes!$I$422,$D$35:$D$37,0)))</f>
        <v>0</v>
      </c>
      <c r="P139" s="81">
        <f ca="1">P119*(INDEX(P$35:P$37,MATCH(Work_Codes!$I$422,$D$35:$D$37,0)))</f>
        <v>0</v>
      </c>
      <c r="Q139" s="81">
        <f ca="1">Q119*(INDEX(Q$35:Q$37,MATCH(Work_Codes!$I$422,$D$35:$D$37,0)))</f>
        <v>0</v>
      </c>
      <c r="R139" s="81">
        <f ca="1">R119*(INDEX(R$35:R$37,MATCH(Work_Codes!$I$422,$D$35:$D$37,0)))</f>
        <v>0</v>
      </c>
      <c r="S139" s="81">
        <f ca="1">S119*(INDEX(S$35:S$37,MATCH(Work_Codes!$I$422,$D$35:$D$37,0)))</f>
        <v>0</v>
      </c>
      <c r="T139" s="81">
        <f ca="1">T119*(INDEX(T$35:T$37,MATCH(Work_Codes!$I$422,$D$35:$D$37,0)))</f>
        <v>0</v>
      </c>
    </row>
    <row r="140" spans="4:20" outlineLevel="2">
      <c r="E140" s="247" t="str">
        <f>GC!C55</f>
        <v>Cathodic protection - post 1998</v>
      </c>
      <c r="F140" s="247"/>
      <c r="G140" s="247"/>
      <c r="H140" s="247"/>
      <c r="I140" s="247"/>
      <c r="J140" s="81">
        <f ca="1">J120*(INDEX(J$35:J$37,MATCH(Work_Codes!$I$422,$D$35:$D$37,0)))</f>
        <v>0</v>
      </c>
      <c r="K140" s="81">
        <f ca="1">K120*(INDEX(K$35:K$37,MATCH(Work_Codes!$I$422,$D$35:$D$37,0)))</f>
        <v>0</v>
      </c>
      <c r="L140" s="81">
        <f ca="1">L120*(INDEX(L$35:L$37,MATCH(Work_Codes!$I$422,$D$35:$D$37,0)))</f>
        <v>0</v>
      </c>
      <c r="M140" s="81">
        <f ca="1">M120*(INDEX(M$35:M$37,MATCH(Work_Codes!$I$422,$D$35:$D$37,0)))</f>
        <v>0</v>
      </c>
      <c r="N140" s="81">
        <f ca="1">N120*(INDEX(N$35:N$37,MATCH(Work_Codes!$I$422,$D$35:$D$37,0)))</f>
        <v>0</v>
      </c>
      <c r="O140" s="81">
        <f ca="1">O120*(INDEX(O$35:O$37,MATCH(Work_Codes!$I$422,$D$35:$D$37,0)))</f>
        <v>0</v>
      </c>
      <c r="P140" s="81">
        <f ca="1">P120*(INDEX(P$35:P$37,MATCH(Work_Codes!$I$422,$D$35:$D$37,0)))</f>
        <v>0</v>
      </c>
      <c r="Q140" s="81">
        <f ca="1">Q120*(INDEX(Q$35:Q$37,MATCH(Work_Codes!$I$422,$D$35:$D$37,0)))</f>
        <v>0</v>
      </c>
      <c r="R140" s="81">
        <f ca="1">R120*(INDEX(R$35:R$37,MATCH(Work_Codes!$I$422,$D$35:$D$37,0)))</f>
        <v>0</v>
      </c>
      <c r="S140" s="81">
        <f ca="1">S120*(INDEX(S$35:S$37,MATCH(Work_Codes!$I$422,$D$35:$D$37,0)))</f>
        <v>0</v>
      </c>
      <c r="T140" s="81">
        <f ca="1">T120*(INDEX(T$35:T$37,MATCH(Work_Codes!$I$422,$D$35:$D$37,0)))</f>
        <v>0</v>
      </c>
    </row>
    <row r="141" spans="4:20" outlineLevel="2">
      <c r="E141" s="249" t="str">
        <f>"Total "&amp;D123</f>
        <v>Total Overheads</v>
      </c>
      <c r="F141" s="249"/>
      <c r="G141" s="249"/>
      <c r="H141" s="249"/>
      <c r="I141" s="249"/>
      <c r="J141" s="82">
        <f t="shared" ref="J141:T141" ca="1" si="21">SUM(J125:J140)</f>
        <v>0</v>
      </c>
      <c r="K141" s="82">
        <f t="shared" ca="1" si="21"/>
        <v>0</v>
      </c>
      <c r="L141" s="82">
        <f t="shared" ca="1" si="21"/>
        <v>0</v>
      </c>
      <c r="M141" s="82">
        <f t="shared" ca="1" si="21"/>
        <v>0</v>
      </c>
      <c r="N141" s="82">
        <f t="shared" ca="1" si="21"/>
        <v>0</v>
      </c>
      <c r="O141" s="82">
        <f t="shared" ca="1" si="21"/>
        <v>0</v>
      </c>
      <c r="P141" s="82">
        <f t="shared" ca="1" si="21"/>
        <v>0</v>
      </c>
      <c r="Q141" s="82">
        <f t="shared" ca="1" si="21"/>
        <v>0</v>
      </c>
      <c r="R141" s="82">
        <f t="shared" ca="1" si="21"/>
        <v>0</v>
      </c>
      <c r="S141" s="82">
        <f t="shared" ca="1" si="21"/>
        <v>0</v>
      </c>
      <c r="T141" s="82">
        <f t="shared" ca="1" si="21"/>
        <v>0</v>
      </c>
    </row>
    <row r="142" spans="4:20" outlineLevel="2"/>
    <row r="143" spans="4:20" outlineLevel="2">
      <c r="D143" s="37" t="s">
        <v>216</v>
      </c>
    </row>
    <row r="144" spans="4:20" ht="5.9" customHeight="1" outlineLevel="2"/>
    <row r="145" spans="5:20" ht="11.5" customHeight="1" outlineLevel="2">
      <c r="E145" s="247" t="str">
        <f>GC!C40</f>
        <v>Transmission pipelines</v>
      </c>
      <c r="F145" s="247"/>
      <c r="G145" s="247"/>
      <c r="H145" s="247"/>
      <c r="I145" s="247"/>
      <c r="J145" s="81">
        <f ca="1">J105*(1+INDEX(J$35:J$37,MATCH(Work_Codes!$I$422,$D$35:$D$37,0)))</f>
        <v>0</v>
      </c>
      <c r="K145" s="81">
        <f ca="1">K105*(1+INDEX(K$35:K$37,MATCH(Work_Codes!$I$422,$D$35:$D$37,0)))</f>
        <v>0</v>
      </c>
      <c r="L145" s="81">
        <f ca="1">L105*(1+INDEX(L$35:L$37,MATCH(Work_Codes!$I$422,$D$35:$D$37,0)))</f>
        <v>0</v>
      </c>
      <c r="M145" s="81">
        <f ca="1">M105*(1+INDEX(M$35:M$37,MATCH(Work_Codes!$I$422,$D$35:$D$37,0)))</f>
        <v>0</v>
      </c>
      <c r="N145" s="81">
        <f ca="1">N105*(1+INDEX(N$35:N$37,MATCH(Work_Codes!$I$422,$D$35:$D$37,0)))</f>
        <v>0</v>
      </c>
      <c r="O145" s="81">
        <f ca="1">O105*(1+INDEX(O$35:O$37,MATCH(Work_Codes!$I$422,$D$35:$D$37,0)))</f>
        <v>0</v>
      </c>
      <c r="P145" s="81">
        <f ca="1">P105*(1+INDEX(P$35:P$37,MATCH(Work_Codes!$I$422,$D$35:$D$37,0)))</f>
        <v>0</v>
      </c>
      <c r="Q145" s="81">
        <f ca="1">Q105*(1+INDEX(Q$35:Q$37,MATCH(Work_Codes!$I$422,$D$35:$D$37,0)))</f>
        <v>0</v>
      </c>
      <c r="R145" s="81">
        <f ca="1">R105*(1+INDEX(R$35:R$37,MATCH(Work_Codes!$I$422,$D$35:$D$37,0)))</f>
        <v>0</v>
      </c>
      <c r="S145" s="81">
        <f ca="1">S105*(1+INDEX(S$35:S$37,MATCH(Work_Codes!$I$422,$D$35:$D$37,0)))</f>
        <v>0</v>
      </c>
      <c r="T145" s="81">
        <f ca="1">T105*(1+INDEX(T$35:T$37,MATCH(Work_Codes!$I$422,$D$35:$D$37,0)))</f>
        <v>0</v>
      </c>
    </row>
    <row r="146" spans="5:20" ht="11.5" customHeight="1" outlineLevel="2">
      <c r="E146" s="247" t="str">
        <f>GC!C41</f>
        <v>Distribution pipelines</v>
      </c>
      <c r="F146" s="247"/>
      <c r="G146" s="247"/>
      <c r="H146" s="247"/>
      <c r="I146" s="247"/>
      <c r="J146" s="81">
        <f ca="1">J106*(1+INDEX(J$35:J$37,MATCH(Work_Codes!$I$422,$D$35:$D$37,0)))</f>
        <v>0</v>
      </c>
      <c r="K146" s="81">
        <f ca="1">K106*(1+INDEX(K$35:K$37,MATCH(Work_Codes!$I$422,$D$35:$D$37,0)))</f>
        <v>0</v>
      </c>
      <c r="L146" s="81">
        <f ca="1">L106*(1+INDEX(L$35:L$37,MATCH(Work_Codes!$I$422,$D$35:$D$37,0)))</f>
        <v>0</v>
      </c>
      <c r="M146" s="81">
        <f ca="1">M106*(1+INDEX(M$35:M$37,MATCH(Work_Codes!$I$422,$D$35:$D$37,0)))</f>
        <v>0</v>
      </c>
      <c r="N146" s="81">
        <f ca="1">N106*(1+INDEX(N$35:N$37,MATCH(Work_Codes!$I$422,$D$35:$D$37,0)))</f>
        <v>0</v>
      </c>
      <c r="O146" s="81">
        <f ca="1">O106*(1+INDEX(O$35:O$37,MATCH(Work_Codes!$I$422,$D$35:$D$37,0)))</f>
        <v>0</v>
      </c>
      <c r="P146" s="81">
        <f ca="1">P106*(1+INDEX(P$35:P$37,MATCH(Work_Codes!$I$422,$D$35:$D$37,0)))</f>
        <v>0</v>
      </c>
      <c r="Q146" s="81">
        <f ca="1">Q106*(1+INDEX(Q$35:Q$37,MATCH(Work_Codes!$I$422,$D$35:$D$37,0)))</f>
        <v>0</v>
      </c>
      <c r="R146" s="81">
        <f ca="1">R106*(1+INDEX(R$35:R$37,MATCH(Work_Codes!$I$422,$D$35:$D$37,0)))</f>
        <v>0</v>
      </c>
      <c r="S146" s="81">
        <f ca="1">S106*(1+INDEX(S$35:S$37,MATCH(Work_Codes!$I$422,$D$35:$D$37,0)))</f>
        <v>0</v>
      </c>
      <c r="T146" s="81">
        <f ca="1">T106*(1+INDEX(T$35:T$37,MATCH(Work_Codes!$I$422,$D$35:$D$37,0)))</f>
        <v>0</v>
      </c>
    </row>
    <row r="147" spans="5:20" ht="11.5" customHeight="1" outlineLevel="2">
      <c r="E147" s="247" t="str">
        <f>GC!C42</f>
        <v>Service pipes</v>
      </c>
      <c r="F147" s="247"/>
      <c r="G147" s="247"/>
      <c r="H147" s="247"/>
      <c r="I147" s="247"/>
      <c r="J147" s="81">
        <f ca="1">J107*(1+INDEX(J$35:J$37,MATCH(Work_Codes!$I$422,$D$35:$D$37,0)))</f>
        <v>0</v>
      </c>
      <c r="K147" s="81">
        <f ca="1">K107*(1+INDEX(K$35:K$37,MATCH(Work_Codes!$I$422,$D$35:$D$37,0)))</f>
        <v>0</v>
      </c>
      <c r="L147" s="81">
        <f ca="1">L107*(1+INDEX(L$35:L$37,MATCH(Work_Codes!$I$422,$D$35:$D$37,0)))</f>
        <v>0</v>
      </c>
      <c r="M147" s="81">
        <f ca="1">M107*(1+INDEX(M$35:M$37,MATCH(Work_Codes!$I$422,$D$35:$D$37,0)))</f>
        <v>0</v>
      </c>
      <c r="N147" s="81">
        <f ca="1">N107*(1+INDEX(N$35:N$37,MATCH(Work_Codes!$I$422,$D$35:$D$37,0)))</f>
        <v>0</v>
      </c>
      <c r="O147" s="81">
        <f ca="1">O107*(1+INDEX(O$35:O$37,MATCH(Work_Codes!$I$422,$D$35:$D$37,0)))</f>
        <v>0</v>
      </c>
      <c r="P147" s="81">
        <f ca="1">P107*(1+INDEX(P$35:P$37,MATCH(Work_Codes!$I$422,$D$35:$D$37,0)))</f>
        <v>0</v>
      </c>
      <c r="Q147" s="81">
        <f ca="1">Q107*(1+INDEX(Q$35:Q$37,MATCH(Work_Codes!$I$422,$D$35:$D$37,0)))</f>
        <v>0</v>
      </c>
      <c r="R147" s="81">
        <f ca="1">R107*(1+INDEX(R$35:R$37,MATCH(Work_Codes!$I$422,$D$35:$D$37,0)))</f>
        <v>0</v>
      </c>
      <c r="S147" s="81">
        <f ca="1">S107*(1+INDEX(S$35:S$37,MATCH(Work_Codes!$I$422,$D$35:$D$37,0)))</f>
        <v>0</v>
      </c>
      <c r="T147" s="81">
        <f ca="1">T107*(1+INDEX(T$35:T$37,MATCH(Work_Codes!$I$422,$D$35:$D$37,0)))</f>
        <v>0</v>
      </c>
    </row>
    <row r="148" spans="5:20" ht="11.5" customHeight="1" outlineLevel="2">
      <c r="E148" s="247" t="str">
        <f>GC!C43</f>
        <v>Cathodic protection</v>
      </c>
      <c r="F148" s="247"/>
      <c r="G148" s="247"/>
      <c r="H148" s="247"/>
      <c r="I148" s="247"/>
      <c r="J148" s="81">
        <f ca="1">J108*(1+INDEX(J$35:J$37,MATCH(Work_Codes!$I$422,$D$35:$D$37,0)))</f>
        <v>0</v>
      </c>
      <c r="K148" s="81">
        <f ca="1">K108*(1+INDEX(K$35:K$37,MATCH(Work_Codes!$I$422,$D$35:$D$37,0)))</f>
        <v>0</v>
      </c>
      <c r="L148" s="81">
        <f ca="1">L108*(1+INDEX(L$35:L$37,MATCH(Work_Codes!$I$422,$D$35:$D$37,0)))</f>
        <v>0</v>
      </c>
      <c r="M148" s="81">
        <f ca="1">M108*(1+INDEX(M$35:M$37,MATCH(Work_Codes!$I$422,$D$35:$D$37,0)))</f>
        <v>0</v>
      </c>
      <c r="N148" s="81">
        <f ca="1">N108*(1+INDEX(N$35:N$37,MATCH(Work_Codes!$I$422,$D$35:$D$37,0)))</f>
        <v>0</v>
      </c>
      <c r="O148" s="81">
        <f ca="1">O108*(1+INDEX(O$35:O$37,MATCH(Work_Codes!$I$422,$D$35:$D$37,0)))</f>
        <v>0</v>
      </c>
      <c r="P148" s="81">
        <f ca="1">P108*(1+INDEX(P$35:P$37,MATCH(Work_Codes!$I$422,$D$35:$D$37,0)))</f>
        <v>0</v>
      </c>
      <c r="Q148" s="81">
        <f ca="1">Q108*(1+INDEX(Q$35:Q$37,MATCH(Work_Codes!$I$422,$D$35:$D$37,0)))</f>
        <v>0</v>
      </c>
      <c r="R148" s="81">
        <f ca="1">R108*(1+INDEX(R$35:R$37,MATCH(Work_Codes!$I$422,$D$35:$D$37,0)))</f>
        <v>0</v>
      </c>
      <c r="S148" s="81">
        <f ca="1">S108*(1+INDEX(S$35:S$37,MATCH(Work_Codes!$I$422,$D$35:$D$37,0)))</f>
        <v>0</v>
      </c>
      <c r="T148" s="81">
        <f ca="1">T108*(1+INDEX(T$35:T$37,MATCH(Work_Codes!$I$422,$D$35:$D$37,0)))</f>
        <v>0</v>
      </c>
    </row>
    <row r="149" spans="5:20" ht="11.5" customHeight="1" outlineLevel="2">
      <c r="E149" s="247" t="str">
        <f>GC!C44</f>
        <v>Supply Regulators / Valve Stations</v>
      </c>
      <c r="F149" s="247"/>
      <c r="G149" s="247"/>
      <c r="H149" s="247"/>
      <c r="I149" s="247"/>
      <c r="J149" s="81">
        <f ca="1">J109*(1+INDEX(J$35:J$37,MATCH(Work_Codes!$I$422,$D$35:$D$37,0)))</f>
        <v>0</v>
      </c>
      <c r="K149" s="81">
        <f ca="1">K109*(1+INDEX(K$35:K$37,MATCH(Work_Codes!$I$422,$D$35:$D$37,0)))</f>
        <v>0</v>
      </c>
      <c r="L149" s="81">
        <f ca="1">L109*(1+INDEX(L$35:L$37,MATCH(Work_Codes!$I$422,$D$35:$D$37,0)))</f>
        <v>0</v>
      </c>
      <c r="M149" s="81">
        <f ca="1">M109*(1+INDEX(M$35:M$37,MATCH(Work_Codes!$I$422,$D$35:$D$37,0)))</f>
        <v>0</v>
      </c>
      <c r="N149" s="81">
        <f ca="1">N109*(1+INDEX(N$35:N$37,MATCH(Work_Codes!$I$422,$D$35:$D$37,0)))</f>
        <v>0</v>
      </c>
      <c r="O149" s="81">
        <f ca="1">O109*(1+INDEX(O$35:O$37,MATCH(Work_Codes!$I$422,$D$35:$D$37,0)))</f>
        <v>0</v>
      </c>
      <c r="P149" s="81">
        <f ca="1">P109*(1+INDEX(P$35:P$37,MATCH(Work_Codes!$I$422,$D$35:$D$37,0)))</f>
        <v>0</v>
      </c>
      <c r="Q149" s="81">
        <f ca="1">Q109*(1+INDEX(Q$35:Q$37,MATCH(Work_Codes!$I$422,$D$35:$D$37,0)))</f>
        <v>0</v>
      </c>
      <c r="R149" s="81">
        <f ca="1">R109*(1+INDEX(R$35:R$37,MATCH(Work_Codes!$I$422,$D$35:$D$37,0)))</f>
        <v>0</v>
      </c>
      <c r="S149" s="81">
        <f ca="1">S109*(1+INDEX(S$35:S$37,MATCH(Work_Codes!$I$422,$D$35:$D$37,0)))</f>
        <v>0</v>
      </c>
      <c r="T149" s="81">
        <f ca="1">T109*(1+INDEX(T$35:T$37,MATCH(Work_Codes!$I$422,$D$35:$D$37,0)))</f>
        <v>0</v>
      </c>
    </row>
    <row r="150" spans="5:20" ht="11.5" customHeight="1" outlineLevel="2">
      <c r="E150" s="247" t="str">
        <f>GC!C45</f>
        <v>Meters</v>
      </c>
      <c r="F150" s="247"/>
      <c r="G150" s="247"/>
      <c r="H150" s="247"/>
      <c r="I150" s="247"/>
      <c r="J150" s="81">
        <f ca="1">J110*(1+INDEX(J$35:J$37,MATCH(Work_Codes!$I$422,$D$35:$D$37,0)))</f>
        <v>0</v>
      </c>
      <c r="K150" s="81">
        <f ca="1">K110*(1+INDEX(K$35:K$37,MATCH(Work_Codes!$I$422,$D$35:$D$37,0)))</f>
        <v>0</v>
      </c>
      <c r="L150" s="81">
        <f ca="1">L110*(1+INDEX(L$35:L$37,MATCH(Work_Codes!$I$422,$D$35:$D$37,0)))</f>
        <v>0</v>
      </c>
      <c r="M150" s="81">
        <f ca="1">M110*(1+INDEX(M$35:M$37,MATCH(Work_Codes!$I$422,$D$35:$D$37,0)))</f>
        <v>0</v>
      </c>
      <c r="N150" s="81">
        <f ca="1">N110*(1+INDEX(N$35:N$37,MATCH(Work_Codes!$I$422,$D$35:$D$37,0)))</f>
        <v>0</v>
      </c>
      <c r="O150" s="81">
        <f ca="1">O110*(1+INDEX(O$35:O$37,MATCH(Work_Codes!$I$422,$D$35:$D$37,0)))</f>
        <v>0</v>
      </c>
      <c r="P150" s="81">
        <f ca="1">P110*(1+INDEX(P$35:P$37,MATCH(Work_Codes!$I$422,$D$35:$D$37,0)))</f>
        <v>0</v>
      </c>
      <c r="Q150" s="81">
        <f ca="1">Q110*(1+INDEX(Q$35:Q$37,MATCH(Work_Codes!$I$422,$D$35:$D$37,0)))</f>
        <v>0</v>
      </c>
      <c r="R150" s="81">
        <f ca="1">R110*(1+INDEX(R$35:R$37,MATCH(Work_Codes!$I$422,$D$35:$D$37,0)))</f>
        <v>0</v>
      </c>
      <c r="S150" s="81">
        <f ca="1">S110*(1+INDEX(S$35:S$37,MATCH(Work_Codes!$I$422,$D$35:$D$37,0)))</f>
        <v>0</v>
      </c>
      <c r="T150" s="81">
        <f ca="1">T110*(1+INDEX(T$35:T$37,MATCH(Work_Codes!$I$422,$D$35:$D$37,0)))</f>
        <v>0</v>
      </c>
    </row>
    <row r="151" spans="5:20" ht="11.5" customHeight="1" outlineLevel="2">
      <c r="E151" s="247" t="str">
        <f>GC!C46</f>
        <v>SCADA and remote control</v>
      </c>
      <c r="F151" s="247"/>
      <c r="G151" s="247"/>
      <c r="H151" s="247"/>
      <c r="I151" s="247"/>
      <c r="J151" s="81">
        <f ca="1">J111*(1+INDEX(J$35:J$37,MATCH(Work_Codes!$I$422,$D$35:$D$37,0)))</f>
        <v>0</v>
      </c>
      <c r="K151" s="81">
        <f ca="1">K111*(1+INDEX(K$35:K$37,MATCH(Work_Codes!$I$422,$D$35:$D$37,0)))</f>
        <v>0</v>
      </c>
      <c r="L151" s="81">
        <f ca="1">L111*(1+INDEX(L$35:L$37,MATCH(Work_Codes!$I$422,$D$35:$D$37,0)))</f>
        <v>0</v>
      </c>
      <c r="M151" s="81">
        <f ca="1">M111*(1+INDEX(M$35:M$37,MATCH(Work_Codes!$I$422,$D$35:$D$37,0)))</f>
        <v>0</v>
      </c>
      <c r="N151" s="81">
        <f ca="1">N111*(1+INDEX(N$35:N$37,MATCH(Work_Codes!$I$422,$D$35:$D$37,0)))</f>
        <v>0</v>
      </c>
      <c r="O151" s="81">
        <f ca="1">O111*(1+INDEX(O$35:O$37,MATCH(Work_Codes!$I$422,$D$35:$D$37,0)))</f>
        <v>0</v>
      </c>
      <c r="P151" s="81">
        <f ca="1">P111*(1+INDEX(P$35:P$37,MATCH(Work_Codes!$I$422,$D$35:$D$37,0)))</f>
        <v>0</v>
      </c>
      <c r="Q151" s="81">
        <f ca="1">Q111*(1+INDEX(Q$35:Q$37,MATCH(Work_Codes!$I$422,$D$35:$D$37,0)))</f>
        <v>0</v>
      </c>
      <c r="R151" s="81">
        <f ca="1">R111*(1+INDEX(R$35:R$37,MATCH(Work_Codes!$I$422,$D$35:$D$37,0)))</f>
        <v>0</v>
      </c>
      <c r="S151" s="81">
        <f ca="1">S111*(1+INDEX(S$35:S$37,MATCH(Work_Codes!$I$422,$D$35:$D$37,0)))</f>
        <v>0</v>
      </c>
      <c r="T151" s="81">
        <f ca="1">T111*(1+INDEX(T$35:T$37,MATCH(Work_Codes!$I$422,$D$35:$D$37,0)))</f>
        <v>0</v>
      </c>
    </row>
    <row r="152" spans="5:20" ht="11.5" customHeight="1" outlineLevel="2">
      <c r="E152" s="247" t="str">
        <f>GC!C47</f>
        <v>Buildings</v>
      </c>
      <c r="F152" s="247"/>
      <c r="G152" s="247"/>
      <c r="H152" s="247"/>
      <c r="I152" s="247"/>
      <c r="J152" s="81">
        <f ca="1">J112*(1+INDEX(J$35:J$37,MATCH(Work_Codes!$I$422,$D$35:$D$37,0)))</f>
        <v>0</v>
      </c>
      <c r="K152" s="81">
        <f ca="1">K112*(1+INDEX(K$35:K$37,MATCH(Work_Codes!$I$422,$D$35:$D$37,0)))</f>
        <v>0</v>
      </c>
      <c r="L152" s="81">
        <f ca="1">L112*(1+INDEX(L$35:L$37,MATCH(Work_Codes!$I$422,$D$35:$D$37,0)))</f>
        <v>0</v>
      </c>
      <c r="M152" s="81">
        <f ca="1">M112*(1+INDEX(M$35:M$37,MATCH(Work_Codes!$I$422,$D$35:$D$37,0)))</f>
        <v>0</v>
      </c>
      <c r="N152" s="81">
        <f ca="1">N112*(1+INDEX(N$35:N$37,MATCH(Work_Codes!$I$422,$D$35:$D$37,0)))</f>
        <v>0</v>
      </c>
      <c r="O152" s="81">
        <f ca="1">O112*(1+INDEX(O$35:O$37,MATCH(Work_Codes!$I$422,$D$35:$D$37,0)))</f>
        <v>0</v>
      </c>
      <c r="P152" s="81">
        <f ca="1">P112*(1+INDEX(P$35:P$37,MATCH(Work_Codes!$I$422,$D$35:$D$37,0)))</f>
        <v>0</v>
      </c>
      <c r="Q152" s="81">
        <f ca="1">Q112*(1+INDEX(Q$35:Q$37,MATCH(Work_Codes!$I$422,$D$35:$D$37,0)))</f>
        <v>0</v>
      </c>
      <c r="R152" s="81">
        <f ca="1">R112*(1+INDEX(R$35:R$37,MATCH(Work_Codes!$I$422,$D$35:$D$37,0)))</f>
        <v>0</v>
      </c>
      <c r="S152" s="81">
        <f ca="1">S112*(1+INDEX(S$35:S$37,MATCH(Work_Codes!$I$422,$D$35:$D$37,0)))</f>
        <v>0</v>
      </c>
      <c r="T152" s="81">
        <f ca="1">T112*(1+INDEX(T$35:T$37,MATCH(Work_Codes!$I$422,$D$35:$D$37,0)))</f>
        <v>0</v>
      </c>
    </row>
    <row r="153" spans="5:20" ht="11.5" customHeight="1" outlineLevel="2">
      <c r="E153" s="247" t="str">
        <f>GC!C48</f>
        <v>Other - IT</v>
      </c>
      <c r="F153" s="247"/>
      <c r="G153" s="247"/>
      <c r="H153" s="247"/>
      <c r="I153" s="247"/>
      <c r="J153" s="81">
        <f ca="1">J113*(1+INDEX(J$35:J$37,MATCH(Work_Codes!$I$422,$D$35:$D$37,0)))</f>
        <v>0</v>
      </c>
      <c r="K153" s="81">
        <f ca="1">K113*(1+INDEX(K$35:K$37,MATCH(Work_Codes!$I$422,$D$35:$D$37,0)))</f>
        <v>0</v>
      </c>
      <c r="L153" s="81">
        <f ca="1">L113*(1+INDEX(L$35:L$37,MATCH(Work_Codes!$I$422,$D$35:$D$37,0)))</f>
        <v>0</v>
      </c>
      <c r="M153" s="81">
        <f ca="1">M113*(1+INDEX(M$35:M$37,MATCH(Work_Codes!$I$422,$D$35:$D$37,0)))</f>
        <v>0</v>
      </c>
      <c r="N153" s="81">
        <f ca="1">N113*(1+INDEX(N$35:N$37,MATCH(Work_Codes!$I$422,$D$35:$D$37,0)))</f>
        <v>0</v>
      </c>
      <c r="O153" s="81">
        <f ca="1">O113*(1+INDEX(O$35:O$37,MATCH(Work_Codes!$I$422,$D$35:$D$37,0)))</f>
        <v>0</v>
      </c>
      <c r="P153" s="81">
        <f ca="1">P113*(1+INDEX(P$35:P$37,MATCH(Work_Codes!$I$422,$D$35:$D$37,0)))</f>
        <v>0</v>
      </c>
      <c r="Q153" s="81">
        <f ca="1">Q113*(1+INDEX(Q$35:Q$37,MATCH(Work_Codes!$I$422,$D$35:$D$37,0)))</f>
        <v>0</v>
      </c>
      <c r="R153" s="81">
        <f ca="1">R113*(1+INDEX(R$35:R$37,MATCH(Work_Codes!$I$422,$D$35:$D$37,0)))</f>
        <v>0</v>
      </c>
      <c r="S153" s="81">
        <f ca="1">S113*(1+INDEX(S$35:S$37,MATCH(Work_Codes!$I$422,$D$35:$D$37,0)))</f>
        <v>0</v>
      </c>
      <c r="T153" s="81">
        <f ca="1">T113*(1+INDEX(T$35:T$37,MATCH(Work_Codes!$I$422,$D$35:$D$37,0)))</f>
        <v>0</v>
      </c>
    </row>
    <row r="154" spans="5:20" ht="11.5" customHeight="1" outlineLevel="2">
      <c r="E154" s="247" t="str">
        <f>GC!C49</f>
        <v>Other - non IT</v>
      </c>
      <c r="F154" s="247"/>
      <c r="G154" s="247"/>
      <c r="H154" s="247"/>
      <c r="I154" s="247"/>
      <c r="J154" s="81">
        <f ca="1">J114*(1+INDEX(J$35:J$37,MATCH(Work_Codes!$I$422,$D$35:$D$37,0)))</f>
        <v>0</v>
      </c>
      <c r="K154" s="81">
        <f ca="1">K114*(1+INDEX(K$35:K$37,MATCH(Work_Codes!$I$422,$D$35:$D$37,0)))</f>
        <v>0</v>
      </c>
      <c r="L154" s="81">
        <f ca="1">L114*(1+INDEX(L$35:L$37,MATCH(Work_Codes!$I$422,$D$35:$D$37,0)))</f>
        <v>0</v>
      </c>
      <c r="M154" s="81">
        <f ca="1">M114*(1+INDEX(M$35:M$37,MATCH(Work_Codes!$I$422,$D$35:$D$37,0)))</f>
        <v>0</v>
      </c>
      <c r="N154" s="81">
        <f ca="1">N114*(1+INDEX(N$35:N$37,MATCH(Work_Codes!$I$422,$D$35:$D$37,0)))</f>
        <v>0</v>
      </c>
      <c r="O154" s="81">
        <f ca="1">O114*(1+INDEX(O$35:O$37,MATCH(Work_Codes!$I$422,$D$35:$D$37,0)))</f>
        <v>0</v>
      </c>
      <c r="P154" s="81">
        <f ca="1">P114*(1+INDEX(P$35:P$37,MATCH(Work_Codes!$I$422,$D$35:$D$37,0)))</f>
        <v>0</v>
      </c>
      <c r="Q154" s="81">
        <f ca="1">Q114*(1+INDEX(Q$35:Q$37,MATCH(Work_Codes!$I$422,$D$35:$D$37,0)))</f>
        <v>0</v>
      </c>
      <c r="R154" s="81">
        <f ca="1">R114*(1+INDEX(R$35:R$37,MATCH(Work_Codes!$I$422,$D$35:$D$37,0)))</f>
        <v>0</v>
      </c>
      <c r="S154" s="81">
        <f ca="1">S114*(1+INDEX(S$35:S$37,MATCH(Work_Codes!$I$422,$D$35:$D$37,0)))</f>
        <v>0</v>
      </c>
      <c r="T154" s="81">
        <f ca="1">T114*(1+INDEX(T$35:T$37,MATCH(Work_Codes!$I$422,$D$35:$D$37,0)))</f>
        <v>0</v>
      </c>
    </row>
    <row r="155" spans="5:20" ht="11.5" customHeight="1" outlineLevel="2">
      <c r="E155" s="247" t="str">
        <f>GC!C50</f>
        <v>Land</v>
      </c>
      <c r="F155" s="247"/>
      <c r="G155" s="247"/>
      <c r="H155" s="247"/>
      <c r="I155" s="247"/>
      <c r="J155" s="81">
        <f ca="1">J115*(1+INDEX(J$35:J$37,MATCH(Work_Codes!$I$422,$D$35:$D$37,0)))</f>
        <v>0</v>
      </c>
      <c r="K155" s="81">
        <f ca="1">K115*(1+INDEX(K$35:K$37,MATCH(Work_Codes!$I$422,$D$35:$D$37,0)))</f>
        <v>0</v>
      </c>
      <c r="L155" s="81">
        <f ca="1">L115*(1+INDEX(L$35:L$37,MATCH(Work_Codes!$I$422,$D$35:$D$37,0)))</f>
        <v>0</v>
      </c>
      <c r="M155" s="81">
        <f ca="1">M115*(1+INDEX(M$35:M$37,MATCH(Work_Codes!$I$422,$D$35:$D$37,0)))</f>
        <v>0</v>
      </c>
      <c r="N155" s="81">
        <f ca="1">N115*(1+INDEX(N$35:N$37,MATCH(Work_Codes!$I$422,$D$35:$D$37,0)))</f>
        <v>0</v>
      </c>
      <c r="O155" s="81">
        <f ca="1">O115*(1+INDEX(O$35:O$37,MATCH(Work_Codes!$I$422,$D$35:$D$37,0)))</f>
        <v>0</v>
      </c>
      <c r="P155" s="81">
        <f ca="1">P115*(1+INDEX(P$35:P$37,MATCH(Work_Codes!$I$422,$D$35:$D$37,0)))</f>
        <v>0</v>
      </c>
      <c r="Q155" s="81">
        <f ca="1">Q115*(1+INDEX(Q$35:Q$37,MATCH(Work_Codes!$I$422,$D$35:$D$37,0)))</f>
        <v>0</v>
      </c>
      <c r="R155" s="81">
        <f ca="1">R115*(1+INDEX(R$35:R$37,MATCH(Work_Codes!$I$422,$D$35:$D$37,0)))</f>
        <v>0</v>
      </c>
      <c r="S155" s="81">
        <f ca="1">S115*(1+INDEX(S$35:S$37,MATCH(Work_Codes!$I$422,$D$35:$D$37,0)))</f>
        <v>0</v>
      </c>
      <c r="T155" s="81">
        <f ca="1">T115*(1+INDEX(T$35:T$37,MATCH(Work_Codes!$I$422,$D$35:$D$37,0)))</f>
        <v>0</v>
      </c>
    </row>
    <row r="156" spans="5:20" outlineLevel="2">
      <c r="E156" s="247" t="str">
        <f>GC!C51</f>
        <v>Capitalised Leases</v>
      </c>
      <c r="F156" s="247"/>
      <c r="G156" s="247"/>
      <c r="H156" s="247"/>
      <c r="I156" s="247"/>
      <c r="J156" s="81">
        <f ca="1">J116*(1+INDEX(J$35:J$37,MATCH(Work_Codes!$I$422,$D$35:$D$37,0)))</f>
        <v>0</v>
      </c>
      <c r="K156" s="81">
        <f ca="1">K116*(1+INDEX(K$35:K$37,MATCH(Work_Codes!$I$422,$D$35:$D$37,0)))</f>
        <v>0</v>
      </c>
      <c r="L156" s="81">
        <f ca="1">L116*(1+INDEX(L$35:L$37,MATCH(Work_Codes!$I$422,$D$35:$D$37,0)))</f>
        <v>0</v>
      </c>
      <c r="M156" s="81">
        <f ca="1">M116*(1+INDEX(M$35:M$37,MATCH(Work_Codes!$I$422,$D$35:$D$37,0)))</f>
        <v>0</v>
      </c>
      <c r="N156" s="81">
        <f ca="1">N116*(1+INDEX(N$35:N$37,MATCH(Work_Codes!$I$422,$D$35:$D$37,0)))</f>
        <v>0</v>
      </c>
      <c r="O156" s="81">
        <f ca="1">O116*(1+INDEX(O$35:O$37,MATCH(Work_Codes!$I$422,$D$35:$D$37,0)))</f>
        <v>0</v>
      </c>
      <c r="P156" s="81">
        <f ca="1">P116*(1+INDEX(P$35:P$37,MATCH(Work_Codes!$I$422,$D$35:$D$37,0)))</f>
        <v>0</v>
      </c>
      <c r="Q156" s="81">
        <f ca="1">Q116*(1+INDEX(Q$35:Q$37,MATCH(Work_Codes!$I$422,$D$35:$D$37,0)))</f>
        <v>0</v>
      </c>
      <c r="R156" s="81">
        <f ca="1">R116*(1+INDEX(R$35:R$37,MATCH(Work_Codes!$I$422,$D$35:$D$37,0)))</f>
        <v>0</v>
      </c>
      <c r="S156" s="81">
        <f ca="1">S116*(1+INDEX(S$35:S$37,MATCH(Work_Codes!$I$422,$D$35:$D$37,0)))</f>
        <v>0</v>
      </c>
      <c r="T156" s="81">
        <f ca="1">T116*(1+INDEX(T$35:T$37,MATCH(Work_Codes!$I$422,$D$35:$D$37,0)))</f>
        <v>0</v>
      </c>
    </row>
    <row r="157" spans="5:20" outlineLevel="2">
      <c r="E157" s="247" t="str">
        <f>GC!C52</f>
        <v>Transmission pipelines - post 1998</v>
      </c>
      <c r="F157" s="247"/>
      <c r="G157" s="247"/>
      <c r="H157" s="247"/>
      <c r="I157" s="247"/>
      <c r="J157" s="81">
        <f ca="1">J117*(1+INDEX(J$35:J$37,MATCH(Work_Codes!$I$422,$D$35:$D$37,0)))</f>
        <v>0</v>
      </c>
      <c r="K157" s="81">
        <f ca="1">K117*(1+INDEX(K$35:K$37,MATCH(Work_Codes!$I$422,$D$35:$D$37,0)))</f>
        <v>0</v>
      </c>
      <c r="L157" s="81">
        <f ca="1">L117*(1+INDEX(L$35:L$37,MATCH(Work_Codes!$I$422,$D$35:$D$37,0)))</f>
        <v>0</v>
      </c>
      <c r="M157" s="81">
        <f ca="1">M117*(1+INDEX(M$35:M$37,MATCH(Work_Codes!$I$422,$D$35:$D$37,0)))</f>
        <v>0</v>
      </c>
      <c r="N157" s="81">
        <f ca="1">N117*(1+INDEX(N$35:N$37,MATCH(Work_Codes!$I$422,$D$35:$D$37,0)))</f>
        <v>0</v>
      </c>
      <c r="O157" s="81">
        <f ca="1">O117*(1+INDEX(O$35:O$37,MATCH(Work_Codes!$I$422,$D$35:$D$37,0)))</f>
        <v>0</v>
      </c>
      <c r="P157" s="81">
        <f ca="1">P117*(1+INDEX(P$35:P$37,MATCH(Work_Codes!$I$422,$D$35:$D$37,0)))</f>
        <v>0</v>
      </c>
      <c r="Q157" s="81">
        <f ca="1">Q117*(1+INDEX(Q$35:Q$37,MATCH(Work_Codes!$I$422,$D$35:$D$37,0)))</f>
        <v>0</v>
      </c>
      <c r="R157" s="81">
        <f ca="1">R117*(1+INDEX(R$35:R$37,MATCH(Work_Codes!$I$422,$D$35:$D$37,0)))</f>
        <v>0</v>
      </c>
      <c r="S157" s="81">
        <f ca="1">S117*(1+INDEX(S$35:S$37,MATCH(Work_Codes!$I$422,$D$35:$D$37,0)))</f>
        <v>0</v>
      </c>
      <c r="T157" s="81">
        <f ca="1">T117*(1+INDEX(T$35:T$37,MATCH(Work_Codes!$I$422,$D$35:$D$37,0)))</f>
        <v>0</v>
      </c>
    </row>
    <row r="158" spans="5:20" outlineLevel="2">
      <c r="E158" s="247" t="str">
        <f>GC!C53</f>
        <v>Distribution pipelines - post 1998</v>
      </c>
      <c r="F158" s="247"/>
      <c r="G158" s="247"/>
      <c r="H158" s="247"/>
      <c r="I158" s="247"/>
      <c r="J158" s="81">
        <f ca="1">J118*(1+INDEX(J$35:J$37,MATCH(Work_Codes!$I$422,$D$35:$D$37,0)))</f>
        <v>0</v>
      </c>
      <c r="K158" s="81">
        <f ca="1">K118*(1+INDEX(K$35:K$37,MATCH(Work_Codes!$I$422,$D$35:$D$37,0)))</f>
        <v>0</v>
      </c>
      <c r="L158" s="81">
        <f ca="1">L118*(1+INDEX(L$35:L$37,MATCH(Work_Codes!$I$422,$D$35:$D$37,0)))</f>
        <v>0</v>
      </c>
      <c r="M158" s="81">
        <f ca="1">M118*(1+INDEX(M$35:M$37,MATCH(Work_Codes!$I$422,$D$35:$D$37,0)))</f>
        <v>0</v>
      </c>
      <c r="N158" s="81">
        <f ca="1">N118*(1+INDEX(N$35:N$37,MATCH(Work_Codes!$I$422,$D$35:$D$37,0)))</f>
        <v>0</v>
      </c>
      <c r="O158" s="81">
        <f ca="1">O118*(1+INDEX(O$35:O$37,MATCH(Work_Codes!$I$422,$D$35:$D$37,0)))</f>
        <v>0</v>
      </c>
      <c r="P158" s="81">
        <f ca="1">P118*(1+INDEX(P$35:P$37,MATCH(Work_Codes!$I$422,$D$35:$D$37,0)))</f>
        <v>0</v>
      </c>
      <c r="Q158" s="81">
        <f ca="1">Q118*(1+INDEX(Q$35:Q$37,MATCH(Work_Codes!$I$422,$D$35:$D$37,0)))</f>
        <v>0</v>
      </c>
      <c r="R158" s="81">
        <f ca="1">R118*(1+INDEX(R$35:R$37,MATCH(Work_Codes!$I$422,$D$35:$D$37,0)))</f>
        <v>0</v>
      </c>
      <c r="S158" s="81">
        <f ca="1">S118*(1+INDEX(S$35:S$37,MATCH(Work_Codes!$I$422,$D$35:$D$37,0)))</f>
        <v>0</v>
      </c>
      <c r="T158" s="81">
        <f ca="1">T118*(1+INDEX(T$35:T$37,MATCH(Work_Codes!$I$422,$D$35:$D$37,0)))</f>
        <v>0</v>
      </c>
    </row>
    <row r="159" spans="5:20" outlineLevel="2">
      <c r="E159" s="247" t="str">
        <f>GC!C54</f>
        <v>Service pipes - post 1998</v>
      </c>
      <c r="F159" s="247"/>
      <c r="G159" s="247"/>
      <c r="H159" s="247"/>
      <c r="I159" s="247"/>
      <c r="J159" s="81">
        <f ca="1">J119*(1+INDEX(J$35:J$37,MATCH(Work_Codes!$I$422,$D$35:$D$37,0)))</f>
        <v>0</v>
      </c>
      <c r="K159" s="81">
        <f ca="1">K119*(1+INDEX(K$35:K$37,MATCH(Work_Codes!$I$422,$D$35:$D$37,0)))</f>
        <v>0</v>
      </c>
      <c r="L159" s="81">
        <f ca="1">L119*(1+INDEX(L$35:L$37,MATCH(Work_Codes!$I$422,$D$35:$D$37,0)))</f>
        <v>0</v>
      </c>
      <c r="M159" s="81">
        <f ca="1">M119*(1+INDEX(M$35:M$37,MATCH(Work_Codes!$I$422,$D$35:$D$37,0)))</f>
        <v>0</v>
      </c>
      <c r="N159" s="81">
        <f ca="1">N119*(1+INDEX(N$35:N$37,MATCH(Work_Codes!$I$422,$D$35:$D$37,0)))</f>
        <v>0</v>
      </c>
      <c r="O159" s="81">
        <f ca="1">O119*(1+INDEX(O$35:O$37,MATCH(Work_Codes!$I$422,$D$35:$D$37,0)))</f>
        <v>0</v>
      </c>
      <c r="P159" s="81">
        <f ca="1">P119*(1+INDEX(P$35:P$37,MATCH(Work_Codes!$I$422,$D$35:$D$37,0)))</f>
        <v>0</v>
      </c>
      <c r="Q159" s="81">
        <f ca="1">Q119*(1+INDEX(Q$35:Q$37,MATCH(Work_Codes!$I$422,$D$35:$D$37,0)))</f>
        <v>0</v>
      </c>
      <c r="R159" s="81">
        <f ca="1">R119*(1+INDEX(R$35:R$37,MATCH(Work_Codes!$I$422,$D$35:$D$37,0)))</f>
        <v>0</v>
      </c>
      <c r="S159" s="81">
        <f ca="1">S119*(1+INDEX(S$35:S$37,MATCH(Work_Codes!$I$422,$D$35:$D$37,0)))</f>
        <v>0</v>
      </c>
      <c r="T159" s="81">
        <f ca="1">T119*(1+INDEX(T$35:T$37,MATCH(Work_Codes!$I$422,$D$35:$D$37,0)))</f>
        <v>0</v>
      </c>
    </row>
    <row r="160" spans="5:20" outlineLevel="2">
      <c r="E160" s="247" t="str">
        <f>GC!C55</f>
        <v>Cathodic protection - post 1998</v>
      </c>
      <c r="F160" s="247"/>
      <c r="G160" s="247"/>
      <c r="H160" s="247"/>
      <c r="I160" s="247"/>
      <c r="J160" s="81">
        <f ca="1">J120*(1+INDEX(J$35:J$37,MATCH(Work_Codes!$I$422,$D$35:$D$37,0)))</f>
        <v>0</v>
      </c>
      <c r="K160" s="81">
        <f ca="1">K120*(1+INDEX(K$35:K$37,MATCH(Work_Codes!$I$422,$D$35:$D$37,0)))</f>
        <v>0</v>
      </c>
      <c r="L160" s="81">
        <f ca="1">L120*(1+INDEX(L$35:L$37,MATCH(Work_Codes!$I$422,$D$35:$D$37,0)))</f>
        <v>0</v>
      </c>
      <c r="M160" s="81">
        <f ca="1">M120*(1+INDEX(M$35:M$37,MATCH(Work_Codes!$I$422,$D$35:$D$37,0)))</f>
        <v>0</v>
      </c>
      <c r="N160" s="81">
        <f ca="1">N120*(1+INDEX(N$35:N$37,MATCH(Work_Codes!$I$422,$D$35:$D$37,0)))</f>
        <v>0</v>
      </c>
      <c r="O160" s="81">
        <f ca="1">O120*(1+INDEX(O$35:O$37,MATCH(Work_Codes!$I$422,$D$35:$D$37,0)))</f>
        <v>0</v>
      </c>
      <c r="P160" s="81">
        <f ca="1">P120*(1+INDEX(P$35:P$37,MATCH(Work_Codes!$I$422,$D$35:$D$37,0)))</f>
        <v>0</v>
      </c>
      <c r="Q160" s="81">
        <f ca="1">Q120*(1+INDEX(Q$35:Q$37,MATCH(Work_Codes!$I$422,$D$35:$D$37,0)))</f>
        <v>0</v>
      </c>
      <c r="R160" s="81">
        <f ca="1">R120*(1+INDEX(R$35:R$37,MATCH(Work_Codes!$I$422,$D$35:$D$37,0)))</f>
        <v>0</v>
      </c>
      <c r="S160" s="81">
        <f ca="1">S120*(1+INDEX(S$35:S$37,MATCH(Work_Codes!$I$422,$D$35:$D$37,0)))</f>
        <v>0</v>
      </c>
      <c r="T160" s="81">
        <f ca="1">T120*(1+INDEX(T$35:T$37,MATCH(Work_Codes!$I$422,$D$35:$D$37,0)))</f>
        <v>0</v>
      </c>
    </row>
    <row r="161" spans="4:20" ht="12" customHeight="1" outlineLevel="2">
      <c r="E161" s="249" t="str">
        <f>"Total "&amp;D143</f>
        <v>Total Direct Costs + Overheads</v>
      </c>
      <c r="F161" s="249"/>
      <c r="G161" s="249"/>
      <c r="H161" s="249"/>
      <c r="I161" s="249"/>
      <c r="J161" s="82">
        <f t="shared" ref="J161:T161" ca="1" si="22">SUM(J145:J160)</f>
        <v>0</v>
      </c>
      <c r="K161" s="82">
        <f t="shared" ca="1" si="22"/>
        <v>0</v>
      </c>
      <c r="L161" s="82">
        <f t="shared" ca="1" si="22"/>
        <v>0</v>
      </c>
      <c r="M161" s="82">
        <f t="shared" ca="1" si="22"/>
        <v>0</v>
      </c>
      <c r="N161" s="82">
        <f t="shared" ca="1" si="22"/>
        <v>0</v>
      </c>
      <c r="O161" s="82">
        <f t="shared" ca="1" si="22"/>
        <v>0</v>
      </c>
      <c r="P161" s="82">
        <f t="shared" ca="1" si="22"/>
        <v>0</v>
      </c>
      <c r="Q161" s="82">
        <f t="shared" ca="1" si="22"/>
        <v>0</v>
      </c>
      <c r="R161" s="82">
        <f t="shared" ca="1" si="22"/>
        <v>0</v>
      </c>
      <c r="S161" s="82">
        <f t="shared" ca="1" si="22"/>
        <v>0</v>
      </c>
      <c r="T161" s="82">
        <f t="shared" ca="1" si="22"/>
        <v>0</v>
      </c>
    </row>
    <row r="162" spans="4:20" outlineLevel="2"/>
    <row r="163" spans="4:20" outlineLevel="2">
      <c r="D163" s="37" t="s">
        <v>367</v>
      </c>
    </row>
    <row r="164" spans="4:20" ht="5.9" customHeight="1" outlineLevel="2"/>
    <row r="165" spans="4:20" outlineLevel="2">
      <c r="E165" s="247" t="str">
        <f>GC!C40</f>
        <v>Transmission pipelines</v>
      </c>
      <c r="F165" s="247"/>
      <c r="G165" s="247"/>
      <c r="H165" s="247"/>
      <c r="I165" s="247"/>
      <c r="J165" s="81">
        <f ca="1">SUMPRODUCT((Work_Codes!$N$425:$Y$425=$E165)*(Work_Codes!$N$433:$Y$433)*(J$65:J$65))</f>
        <v>0</v>
      </c>
      <c r="K165" s="81">
        <f ca="1">SUMPRODUCT((Work_Codes!$N$425:$Y$425=$E165)*(Work_Codes!$N$433:$Y$433)*(K$65:K$65))</f>
        <v>0</v>
      </c>
      <c r="L165" s="81">
        <f ca="1">SUMPRODUCT((Work_Codes!$N$425:$Y$425=$E165)*(Work_Codes!$N$433:$Y$433)*(L$65:L$65))</f>
        <v>0</v>
      </c>
      <c r="M165" s="81">
        <f ca="1">SUMPRODUCT((Work_Codes!$N$425:$Y$425=$E165)*(Work_Codes!$N$433:$Y$433)*(M$65:M$65))</f>
        <v>0</v>
      </c>
      <c r="N165" s="81">
        <f ca="1">SUMPRODUCT((Work_Codes!$N$425:$Y$425=$E165)*(Work_Codes!$N$433:$Y$433)*(N$65:N$65))</f>
        <v>0</v>
      </c>
      <c r="O165" s="81">
        <f ca="1">SUMPRODUCT((Work_Codes!$N$425:$Y$425=$E165)*(Work_Codes!$N$433:$Y$433)*(O$65:O$65))</f>
        <v>0</v>
      </c>
      <c r="P165" s="81">
        <f ca="1">SUMPRODUCT((Work_Codes!$N$425:$Y$425=$E165)*(Work_Codes!$N$433:$Y$433)*(P$65:P$65))</f>
        <v>0</v>
      </c>
      <c r="Q165" s="81">
        <f ca="1">SUMPRODUCT((Work_Codes!$N$425:$Y$425=$E165)*(Work_Codes!$N$433:$Y$433)*(Q$65:Q$65))</f>
        <v>0</v>
      </c>
      <c r="R165" s="81">
        <f ca="1">SUMPRODUCT((Work_Codes!$N$425:$Y$425=$E165)*(Work_Codes!$N$433:$Y$433)*(R$65:R$65))</f>
        <v>0</v>
      </c>
      <c r="S165" s="81">
        <f ca="1">SUMPRODUCT((Work_Codes!$N$425:$Y$425=$E165)*(Work_Codes!$N$433:$Y$433)*(S$65:S$65))</f>
        <v>0</v>
      </c>
      <c r="T165" s="81">
        <f ca="1">SUMPRODUCT((Work_Codes!$N$425:$Y$425=$E165)*(Work_Codes!$N$433:$Y$433)*(T$65:T$65))</f>
        <v>0</v>
      </c>
    </row>
    <row r="166" spans="4:20" outlineLevel="2">
      <c r="E166" s="247" t="str">
        <f>GC!C41</f>
        <v>Distribution pipelines</v>
      </c>
      <c r="F166" s="247"/>
      <c r="G166" s="247"/>
      <c r="H166" s="247"/>
      <c r="I166" s="247"/>
      <c r="J166" s="81">
        <f ca="1">SUMPRODUCT((Work_Codes!$N$425:$Y$425=$E166)*(Work_Codes!$N$433:$Y$433)*(J$65:J$65))</f>
        <v>0</v>
      </c>
      <c r="K166" s="81">
        <f ca="1">SUMPRODUCT((Work_Codes!$N$425:$Y$425=$E166)*(Work_Codes!$N$433:$Y$433)*(K$65:K$65))</f>
        <v>0</v>
      </c>
      <c r="L166" s="81">
        <f ca="1">SUMPRODUCT((Work_Codes!$N$425:$Y$425=$E166)*(Work_Codes!$N$433:$Y$433)*(L$65:L$65))</f>
        <v>0</v>
      </c>
      <c r="M166" s="81">
        <f ca="1">SUMPRODUCT((Work_Codes!$N$425:$Y$425=$E166)*(Work_Codes!$N$433:$Y$433)*(M$65:M$65))</f>
        <v>0</v>
      </c>
      <c r="N166" s="81">
        <f ca="1">SUMPRODUCT((Work_Codes!$N$425:$Y$425=$E166)*(Work_Codes!$N$433:$Y$433)*(N$65:N$65))</f>
        <v>0</v>
      </c>
      <c r="O166" s="81">
        <f ca="1">SUMPRODUCT((Work_Codes!$N$425:$Y$425=$E166)*(Work_Codes!$N$433:$Y$433)*(O$65:O$65))</f>
        <v>0</v>
      </c>
      <c r="P166" s="81">
        <f ca="1">SUMPRODUCT((Work_Codes!$N$425:$Y$425=$E166)*(Work_Codes!$N$433:$Y$433)*(P$65:P$65))</f>
        <v>0</v>
      </c>
      <c r="Q166" s="81">
        <f ca="1">SUMPRODUCT((Work_Codes!$N$425:$Y$425=$E166)*(Work_Codes!$N$433:$Y$433)*(Q$65:Q$65))</f>
        <v>0</v>
      </c>
      <c r="R166" s="81">
        <f ca="1">SUMPRODUCT((Work_Codes!$N$425:$Y$425=$E166)*(Work_Codes!$N$433:$Y$433)*(R$65:R$65))</f>
        <v>0</v>
      </c>
      <c r="S166" s="81">
        <f ca="1">SUMPRODUCT((Work_Codes!$N$425:$Y$425=$E166)*(Work_Codes!$N$433:$Y$433)*(S$65:S$65))</f>
        <v>0</v>
      </c>
      <c r="T166" s="81">
        <f ca="1">SUMPRODUCT((Work_Codes!$N$425:$Y$425=$E166)*(Work_Codes!$N$433:$Y$433)*(T$65:T$65))</f>
        <v>0</v>
      </c>
    </row>
    <row r="167" spans="4:20" outlineLevel="2">
      <c r="E167" s="247" t="str">
        <f>GC!C42</f>
        <v>Service pipes</v>
      </c>
      <c r="F167" s="247"/>
      <c r="G167" s="247"/>
      <c r="H167" s="247"/>
      <c r="I167" s="247"/>
      <c r="J167" s="81">
        <f ca="1">SUMPRODUCT((Work_Codes!$N$425:$Y$425=$E167)*(Work_Codes!$N$433:$Y$433)*(J$65:J$65))</f>
        <v>0</v>
      </c>
      <c r="K167" s="81">
        <f ca="1">SUMPRODUCT((Work_Codes!$N$425:$Y$425=$E167)*(Work_Codes!$N$433:$Y$433)*(K$65:K$65))</f>
        <v>0</v>
      </c>
      <c r="L167" s="81">
        <f ca="1">SUMPRODUCT((Work_Codes!$N$425:$Y$425=$E167)*(Work_Codes!$N$433:$Y$433)*(L$65:L$65))</f>
        <v>0</v>
      </c>
      <c r="M167" s="81">
        <f ca="1">SUMPRODUCT((Work_Codes!$N$425:$Y$425=$E167)*(Work_Codes!$N$433:$Y$433)*(M$65:M$65))</f>
        <v>0</v>
      </c>
      <c r="N167" s="81">
        <f ca="1">SUMPRODUCT((Work_Codes!$N$425:$Y$425=$E167)*(Work_Codes!$N$433:$Y$433)*(N$65:N$65))</f>
        <v>0</v>
      </c>
      <c r="O167" s="81">
        <f ca="1">SUMPRODUCT((Work_Codes!$N$425:$Y$425=$E167)*(Work_Codes!$N$433:$Y$433)*(O$65:O$65))</f>
        <v>0</v>
      </c>
      <c r="P167" s="81">
        <f ca="1">SUMPRODUCT((Work_Codes!$N$425:$Y$425=$E167)*(Work_Codes!$N$433:$Y$433)*(P$65:P$65))</f>
        <v>0</v>
      </c>
      <c r="Q167" s="81">
        <f ca="1">SUMPRODUCT((Work_Codes!$N$425:$Y$425=$E167)*(Work_Codes!$N$433:$Y$433)*(Q$65:Q$65))</f>
        <v>0</v>
      </c>
      <c r="R167" s="81">
        <f ca="1">SUMPRODUCT((Work_Codes!$N$425:$Y$425=$E167)*(Work_Codes!$N$433:$Y$433)*(R$65:R$65))</f>
        <v>0</v>
      </c>
      <c r="S167" s="81">
        <f ca="1">SUMPRODUCT((Work_Codes!$N$425:$Y$425=$E167)*(Work_Codes!$N$433:$Y$433)*(S$65:S$65))</f>
        <v>0</v>
      </c>
      <c r="T167" s="81">
        <f ca="1">SUMPRODUCT((Work_Codes!$N$425:$Y$425=$E167)*(Work_Codes!$N$433:$Y$433)*(T$65:T$65))</f>
        <v>0</v>
      </c>
    </row>
    <row r="168" spans="4:20" outlineLevel="2">
      <c r="E168" s="247" t="str">
        <f>GC!C43</f>
        <v>Cathodic protection</v>
      </c>
      <c r="F168" s="247"/>
      <c r="G168" s="247"/>
      <c r="H168" s="247"/>
      <c r="I168" s="247"/>
      <c r="J168" s="81">
        <f ca="1">SUMPRODUCT((Work_Codes!$N$425:$Y$425=$E168)*(Work_Codes!$N$433:$Y$433)*(J$65:J$65))</f>
        <v>0</v>
      </c>
      <c r="K168" s="81">
        <f ca="1">SUMPRODUCT((Work_Codes!$N$425:$Y$425=$E168)*(Work_Codes!$N$433:$Y$433)*(K$65:K$65))</f>
        <v>0</v>
      </c>
      <c r="L168" s="81">
        <f ca="1">SUMPRODUCT((Work_Codes!$N$425:$Y$425=$E168)*(Work_Codes!$N$433:$Y$433)*(L$65:L$65))</f>
        <v>0</v>
      </c>
      <c r="M168" s="81">
        <f ca="1">SUMPRODUCT((Work_Codes!$N$425:$Y$425=$E168)*(Work_Codes!$N$433:$Y$433)*(M$65:M$65))</f>
        <v>0</v>
      </c>
      <c r="N168" s="81">
        <f ca="1">SUMPRODUCT((Work_Codes!$N$425:$Y$425=$E168)*(Work_Codes!$N$433:$Y$433)*(N$65:N$65))</f>
        <v>0</v>
      </c>
      <c r="O168" s="81">
        <f ca="1">SUMPRODUCT((Work_Codes!$N$425:$Y$425=$E168)*(Work_Codes!$N$433:$Y$433)*(O$65:O$65))</f>
        <v>0</v>
      </c>
      <c r="P168" s="81">
        <f ca="1">SUMPRODUCT((Work_Codes!$N$425:$Y$425=$E168)*(Work_Codes!$N$433:$Y$433)*(P$65:P$65))</f>
        <v>0</v>
      </c>
      <c r="Q168" s="81">
        <f ca="1">SUMPRODUCT((Work_Codes!$N$425:$Y$425=$E168)*(Work_Codes!$N$433:$Y$433)*(Q$65:Q$65))</f>
        <v>0</v>
      </c>
      <c r="R168" s="81">
        <f ca="1">SUMPRODUCT((Work_Codes!$N$425:$Y$425=$E168)*(Work_Codes!$N$433:$Y$433)*(R$65:R$65))</f>
        <v>0</v>
      </c>
      <c r="S168" s="81">
        <f ca="1">SUMPRODUCT((Work_Codes!$N$425:$Y$425=$E168)*(Work_Codes!$N$433:$Y$433)*(S$65:S$65))</f>
        <v>0</v>
      </c>
      <c r="T168" s="81">
        <f ca="1">SUMPRODUCT((Work_Codes!$N$425:$Y$425=$E168)*(Work_Codes!$N$433:$Y$433)*(T$65:T$65))</f>
        <v>0</v>
      </c>
    </row>
    <row r="169" spans="4:20" outlineLevel="2">
      <c r="E169" s="247" t="str">
        <f>GC!C44</f>
        <v>Supply Regulators / Valve Stations</v>
      </c>
      <c r="F169" s="247"/>
      <c r="G169" s="247"/>
      <c r="H169" s="247"/>
      <c r="I169" s="247"/>
      <c r="J169" s="81">
        <f ca="1">SUMPRODUCT((Work_Codes!$N$425:$Y$425=$E169)*(Work_Codes!$N$433:$Y$433)*(J$65:J$65))</f>
        <v>0</v>
      </c>
      <c r="K169" s="81">
        <f ca="1">SUMPRODUCT((Work_Codes!$N$425:$Y$425=$E169)*(Work_Codes!$N$433:$Y$433)*(K$65:K$65))</f>
        <v>0</v>
      </c>
      <c r="L169" s="81">
        <f ca="1">SUMPRODUCT((Work_Codes!$N$425:$Y$425=$E169)*(Work_Codes!$N$433:$Y$433)*(L$65:L$65))</f>
        <v>0</v>
      </c>
      <c r="M169" s="81">
        <f ca="1">SUMPRODUCT((Work_Codes!$N$425:$Y$425=$E169)*(Work_Codes!$N$433:$Y$433)*(M$65:M$65))</f>
        <v>0</v>
      </c>
      <c r="N169" s="81">
        <f ca="1">SUMPRODUCT((Work_Codes!$N$425:$Y$425=$E169)*(Work_Codes!$N$433:$Y$433)*(N$65:N$65))</f>
        <v>0</v>
      </c>
      <c r="O169" s="81">
        <f ca="1">SUMPRODUCT((Work_Codes!$N$425:$Y$425=$E169)*(Work_Codes!$N$433:$Y$433)*(O$65:O$65))</f>
        <v>0</v>
      </c>
      <c r="P169" s="81">
        <f ca="1">SUMPRODUCT((Work_Codes!$N$425:$Y$425=$E169)*(Work_Codes!$N$433:$Y$433)*(P$65:P$65))</f>
        <v>0</v>
      </c>
      <c r="Q169" s="81">
        <f ca="1">SUMPRODUCT((Work_Codes!$N$425:$Y$425=$E169)*(Work_Codes!$N$433:$Y$433)*(Q$65:Q$65))</f>
        <v>0</v>
      </c>
      <c r="R169" s="81">
        <f ca="1">SUMPRODUCT((Work_Codes!$N$425:$Y$425=$E169)*(Work_Codes!$N$433:$Y$433)*(R$65:R$65))</f>
        <v>0</v>
      </c>
      <c r="S169" s="81">
        <f ca="1">SUMPRODUCT((Work_Codes!$N$425:$Y$425=$E169)*(Work_Codes!$N$433:$Y$433)*(S$65:S$65))</f>
        <v>0</v>
      </c>
      <c r="T169" s="81">
        <f ca="1">SUMPRODUCT((Work_Codes!$N$425:$Y$425=$E169)*(Work_Codes!$N$433:$Y$433)*(T$65:T$65))</f>
        <v>0</v>
      </c>
    </row>
    <row r="170" spans="4:20" outlineLevel="2">
      <c r="E170" s="247" t="str">
        <f>GC!C45</f>
        <v>Meters</v>
      </c>
      <c r="F170" s="247"/>
      <c r="G170" s="247"/>
      <c r="H170" s="247"/>
      <c r="I170" s="247"/>
      <c r="J170" s="81">
        <f ca="1">SUMPRODUCT((Work_Codes!$N$425:$Y$425=$E170)*(Work_Codes!$N$433:$Y$433)*(J$65:J$65))</f>
        <v>0</v>
      </c>
      <c r="K170" s="81">
        <f ca="1">SUMPRODUCT((Work_Codes!$N$425:$Y$425=$E170)*(Work_Codes!$N$433:$Y$433)*(K$65:K$65))</f>
        <v>0</v>
      </c>
      <c r="L170" s="81">
        <f ca="1">SUMPRODUCT((Work_Codes!$N$425:$Y$425=$E170)*(Work_Codes!$N$433:$Y$433)*(L$65:L$65))</f>
        <v>0</v>
      </c>
      <c r="M170" s="81">
        <f ca="1">SUMPRODUCT((Work_Codes!$N$425:$Y$425=$E170)*(Work_Codes!$N$433:$Y$433)*(M$65:M$65))</f>
        <v>0</v>
      </c>
      <c r="N170" s="81">
        <f ca="1">SUMPRODUCT((Work_Codes!$N$425:$Y$425=$E170)*(Work_Codes!$N$433:$Y$433)*(N$65:N$65))</f>
        <v>0</v>
      </c>
      <c r="O170" s="81">
        <f ca="1">SUMPRODUCT((Work_Codes!$N$425:$Y$425=$E170)*(Work_Codes!$N$433:$Y$433)*(O$65:O$65))</f>
        <v>0</v>
      </c>
      <c r="P170" s="81">
        <f ca="1">SUMPRODUCT((Work_Codes!$N$425:$Y$425=$E170)*(Work_Codes!$N$433:$Y$433)*(P$65:P$65))</f>
        <v>0</v>
      </c>
      <c r="Q170" s="81">
        <f ca="1">SUMPRODUCT((Work_Codes!$N$425:$Y$425=$E170)*(Work_Codes!$N$433:$Y$433)*(Q$65:Q$65))</f>
        <v>0</v>
      </c>
      <c r="R170" s="81">
        <f ca="1">SUMPRODUCT((Work_Codes!$N$425:$Y$425=$E170)*(Work_Codes!$N$433:$Y$433)*(R$65:R$65))</f>
        <v>0</v>
      </c>
      <c r="S170" s="81">
        <f ca="1">SUMPRODUCT((Work_Codes!$N$425:$Y$425=$E170)*(Work_Codes!$N$433:$Y$433)*(S$65:S$65))</f>
        <v>0</v>
      </c>
      <c r="T170" s="81">
        <f ca="1">SUMPRODUCT((Work_Codes!$N$425:$Y$425=$E170)*(Work_Codes!$N$433:$Y$433)*(T$65:T$65))</f>
        <v>0</v>
      </c>
    </row>
    <row r="171" spans="4:20" outlineLevel="2">
      <c r="E171" s="247" t="str">
        <f>GC!C46</f>
        <v>SCADA and remote control</v>
      </c>
      <c r="F171" s="247"/>
      <c r="G171" s="247"/>
      <c r="H171" s="247"/>
      <c r="I171" s="247"/>
      <c r="J171" s="81">
        <f ca="1">SUMPRODUCT((Work_Codes!$N$425:$Y$425=$E171)*(Work_Codes!$N$433:$Y$433)*(J$65:J$65))</f>
        <v>0</v>
      </c>
      <c r="K171" s="81">
        <f ca="1">SUMPRODUCT((Work_Codes!$N$425:$Y$425=$E171)*(Work_Codes!$N$433:$Y$433)*(K$65:K$65))</f>
        <v>0</v>
      </c>
      <c r="L171" s="81">
        <f ca="1">SUMPRODUCT((Work_Codes!$N$425:$Y$425=$E171)*(Work_Codes!$N$433:$Y$433)*(L$65:L$65))</f>
        <v>0</v>
      </c>
      <c r="M171" s="81">
        <f ca="1">SUMPRODUCT((Work_Codes!$N$425:$Y$425=$E171)*(Work_Codes!$N$433:$Y$433)*(M$65:M$65))</f>
        <v>0</v>
      </c>
      <c r="N171" s="81">
        <f ca="1">SUMPRODUCT((Work_Codes!$N$425:$Y$425=$E171)*(Work_Codes!$N$433:$Y$433)*(N$65:N$65))</f>
        <v>0</v>
      </c>
      <c r="O171" s="81">
        <f ca="1">SUMPRODUCT((Work_Codes!$N$425:$Y$425=$E171)*(Work_Codes!$N$433:$Y$433)*(O$65:O$65))</f>
        <v>0</v>
      </c>
      <c r="P171" s="81">
        <f ca="1">SUMPRODUCT((Work_Codes!$N$425:$Y$425=$E171)*(Work_Codes!$N$433:$Y$433)*(P$65:P$65))</f>
        <v>0</v>
      </c>
      <c r="Q171" s="81">
        <f ca="1">SUMPRODUCT((Work_Codes!$N$425:$Y$425=$E171)*(Work_Codes!$N$433:$Y$433)*(Q$65:Q$65))</f>
        <v>0</v>
      </c>
      <c r="R171" s="81">
        <f ca="1">SUMPRODUCT((Work_Codes!$N$425:$Y$425=$E171)*(Work_Codes!$N$433:$Y$433)*(R$65:R$65))</f>
        <v>0</v>
      </c>
      <c r="S171" s="81">
        <f ca="1">SUMPRODUCT((Work_Codes!$N$425:$Y$425=$E171)*(Work_Codes!$N$433:$Y$433)*(S$65:S$65))</f>
        <v>0</v>
      </c>
      <c r="T171" s="81">
        <f ca="1">SUMPRODUCT((Work_Codes!$N$425:$Y$425=$E171)*(Work_Codes!$N$433:$Y$433)*(T$65:T$65))</f>
        <v>0</v>
      </c>
    </row>
    <row r="172" spans="4:20" outlineLevel="2">
      <c r="E172" s="247" t="str">
        <f>GC!C47</f>
        <v>Buildings</v>
      </c>
      <c r="F172" s="247"/>
      <c r="G172" s="247"/>
      <c r="H172" s="247"/>
      <c r="I172" s="247"/>
      <c r="J172" s="81">
        <f ca="1">SUMPRODUCT((Work_Codes!$N$425:$Y$425=$E172)*(Work_Codes!$N$433:$Y$433)*(J$65:J$65))</f>
        <v>0</v>
      </c>
      <c r="K172" s="81">
        <f ca="1">SUMPRODUCT((Work_Codes!$N$425:$Y$425=$E172)*(Work_Codes!$N$433:$Y$433)*(K$65:K$65))</f>
        <v>0</v>
      </c>
      <c r="L172" s="81">
        <f ca="1">SUMPRODUCT((Work_Codes!$N$425:$Y$425=$E172)*(Work_Codes!$N$433:$Y$433)*(L$65:L$65))</f>
        <v>0</v>
      </c>
      <c r="M172" s="81">
        <f ca="1">SUMPRODUCT((Work_Codes!$N$425:$Y$425=$E172)*(Work_Codes!$N$433:$Y$433)*(M$65:M$65))</f>
        <v>0</v>
      </c>
      <c r="N172" s="81">
        <f ca="1">SUMPRODUCT((Work_Codes!$N$425:$Y$425=$E172)*(Work_Codes!$N$433:$Y$433)*(N$65:N$65))</f>
        <v>0</v>
      </c>
      <c r="O172" s="81">
        <f ca="1">SUMPRODUCT((Work_Codes!$N$425:$Y$425=$E172)*(Work_Codes!$N$433:$Y$433)*(O$65:O$65))</f>
        <v>0</v>
      </c>
      <c r="P172" s="81">
        <f ca="1">SUMPRODUCT((Work_Codes!$N$425:$Y$425=$E172)*(Work_Codes!$N$433:$Y$433)*(P$65:P$65))</f>
        <v>0</v>
      </c>
      <c r="Q172" s="81">
        <f ca="1">SUMPRODUCT((Work_Codes!$N$425:$Y$425=$E172)*(Work_Codes!$N$433:$Y$433)*(Q$65:Q$65))</f>
        <v>0</v>
      </c>
      <c r="R172" s="81">
        <f ca="1">SUMPRODUCT((Work_Codes!$N$425:$Y$425=$E172)*(Work_Codes!$N$433:$Y$433)*(R$65:R$65))</f>
        <v>0</v>
      </c>
      <c r="S172" s="81">
        <f ca="1">SUMPRODUCT((Work_Codes!$N$425:$Y$425=$E172)*(Work_Codes!$N$433:$Y$433)*(S$65:S$65))</f>
        <v>0</v>
      </c>
      <c r="T172" s="81">
        <f ca="1">SUMPRODUCT((Work_Codes!$N$425:$Y$425=$E172)*(Work_Codes!$N$433:$Y$433)*(T$65:T$65))</f>
        <v>0</v>
      </c>
    </row>
    <row r="173" spans="4:20" outlineLevel="2">
      <c r="E173" s="247" t="str">
        <f>GC!C48</f>
        <v>Other - IT</v>
      </c>
      <c r="F173" s="247"/>
      <c r="G173" s="247"/>
      <c r="H173" s="247"/>
      <c r="I173" s="247"/>
      <c r="J173" s="81">
        <f ca="1">SUMPRODUCT((Work_Codes!$N$425:$Y$425=$E173)*(Work_Codes!$N$433:$Y$433)*(J$65:J$65))</f>
        <v>0</v>
      </c>
      <c r="K173" s="81">
        <f ca="1">SUMPRODUCT((Work_Codes!$N$425:$Y$425=$E173)*(Work_Codes!$N$433:$Y$433)*(K$65:K$65))</f>
        <v>0</v>
      </c>
      <c r="L173" s="81">
        <f ca="1">SUMPRODUCT((Work_Codes!$N$425:$Y$425=$E173)*(Work_Codes!$N$433:$Y$433)*(L$65:L$65))</f>
        <v>0</v>
      </c>
      <c r="M173" s="81">
        <f ca="1">SUMPRODUCT((Work_Codes!$N$425:$Y$425=$E173)*(Work_Codes!$N$433:$Y$433)*(M$65:M$65))</f>
        <v>0</v>
      </c>
      <c r="N173" s="81">
        <f ca="1">SUMPRODUCT((Work_Codes!$N$425:$Y$425=$E173)*(Work_Codes!$N$433:$Y$433)*(N$65:N$65))</f>
        <v>0</v>
      </c>
      <c r="O173" s="81">
        <f ca="1">SUMPRODUCT((Work_Codes!$N$425:$Y$425=$E173)*(Work_Codes!$N$433:$Y$433)*(O$65:O$65))</f>
        <v>0</v>
      </c>
      <c r="P173" s="81">
        <f ca="1">SUMPRODUCT((Work_Codes!$N$425:$Y$425=$E173)*(Work_Codes!$N$433:$Y$433)*(P$65:P$65))</f>
        <v>0</v>
      </c>
      <c r="Q173" s="81">
        <f ca="1">SUMPRODUCT((Work_Codes!$N$425:$Y$425=$E173)*(Work_Codes!$N$433:$Y$433)*(Q$65:Q$65))</f>
        <v>0</v>
      </c>
      <c r="R173" s="81">
        <f ca="1">SUMPRODUCT((Work_Codes!$N$425:$Y$425=$E173)*(Work_Codes!$N$433:$Y$433)*(R$65:R$65))</f>
        <v>0</v>
      </c>
      <c r="S173" s="81">
        <f ca="1">SUMPRODUCT((Work_Codes!$N$425:$Y$425=$E173)*(Work_Codes!$N$433:$Y$433)*(S$65:S$65))</f>
        <v>0</v>
      </c>
      <c r="T173" s="81">
        <f ca="1">SUMPRODUCT((Work_Codes!$N$425:$Y$425=$E173)*(Work_Codes!$N$433:$Y$433)*(T$65:T$65))</f>
        <v>0</v>
      </c>
    </row>
    <row r="174" spans="4:20" outlineLevel="2">
      <c r="E174" s="247" t="str">
        <f>GC!C49</f>
        <v>Other - non IT</v>
      </c>
      <c r="F174" s="247"/>
      <c r="G174" s="247"/>
      <c r="H174" s="247"/>
      <c r="I174" s="247"/>
      <c r="J174" s="81">
        <f ca="1">SUMPRODUCT((Work_Codes!$N$425:$Y$425=$E174)*(Work_Codes!$N$433:$Y$433)*(J$65:J$65))</f>
        <v>0</v>
      </c>
      <c r="K174" s="81">
        <f ca="1">SUMPRODUCT((Work_Codes!$N$425:$Y$425=$E174)*(Work_Codes!$N$433:$Y$433)*(K$65:K$65))</f>
        <v>0</v>
      </c>
      <c r="L174" s="81">
        <f ca="1">SUMPRODUCT((Work_Codes!$N$425:$Y$425=$E174)*(Work_Codes!$N$433:$Y$433)*(L$65:L$65))</f>
        <v>0</v>
      </c>
      <c r="M174" s="81">
        <f ca="1">SUMPRODUCT((Work_Codes!$N$425:$Y$425=$E174)*(Work_Codes!$N$433:$Y$433)*(M$65:M$65))</f>
        <v>0</v>
      </c>
      <c r="N174" s="81">
        <f ca="1">SUMPRODUCT((Work_Codes!$N$425:$Y$425=$E174)*(Work_Codes!$N$433:$Y$433)*(N$65:N$65))</f>
        <v>0</v>
      </c>
      <c r="O174" s="81">
        <f ca="1">SUMPRODUCT((Work_Codes!$N$425:$Y$425=$E174)*(Work_Codes!$N$433:$Y$433)*(O$65:O$65))</f>
        <v>0</v>
      </c>
      <c r="P174" s="81">
        <f ca="1">SUMPRODUCT((Work_Codes!$N$425:$Y$425=$E174)*(Work_Codes!$N$433:$Y$433)*(P$65:P$65))</f>
        <v>0</v>
      </c>
      <c r="Q174" s="81">
        <f ca="1">SUMPRODUCT((Work_Codes!$N$425:$Y$425=$E174)*(Work_Codes!$N$433:$Y$433)*(Q$65:Q$65))</f>
        <v>0</v>
      </c>
      <c r="R174" s="81">
        <f ca="1">SUMPRODUCT((Work_Codes!$N$425:$Y$425=$E174)*(Work_Codes!$N$433:$Y$433)*(R$65:R$65))</f>
        <v>0</v>
      </c>
      <c r="S174" s="81">
        <f ca="1">SUMPRODUCT((Work_Codes!$N$425:$Y$425=$E174)*(Work_Codes!$N$433:$Y$433)*(S$65:S$65))</f>
        <v>0</v>
      </c>
      <c r="T174" s="81">
        <f ca="1">SUMPRODUCT((Work_Codes!$N$425:$Y$425=$E174)*(Work_Codes!$N$433:$Y$433)*(T$65:T$65))</f>
        <v>0</v>
      </c>
    </row>
    <row r="175" spans="4:20" outlineLevel="2">
      <c r="E175" s="247" t="str">
        <f>GC!C50</f>
        <v>Land</v>
      </c>
      <c r="F175" s="247"/>
      <c r="G175" s="247"/>
      <c r="H175" s="247"/>
      <c r="I175" s="247"/>
      <c r="J175" s="81">
        <f ca="1">SUMPRODUCT((Work_Codes!$N$425:$Y$425=$E175)*(Work_Codes!$N$433:$Y$433)*(J$65:J$65))</f>
        <v>0</v>
      </c>
      <c r="K175" s="81">
        <f ca="1">SUMPRODUCT((Work_Codes!$N$425:$Y$425=$E175)*(Work_Codes!$N$433:$Y$433)*(K$65:K$65))</f>
        <v>0</v>
      </c>
      <c r="L175" s="81">
        <f ca="1">SUMPRODUCT((Work_Codes!$N$425:$Y$425=$E175)*(Work_Codes!$N$433:$Y$433)*(L$65:L$65))</f>
        <v>0</v>
      </c>
      <c r="M175" s="81">
        <f ca="1">SUMPRODUCT((Work_Codes!$N$425:$Y$425=$E175)*(Work_Codes!$N$433:$Y$433)*(M$65:M$65))</f>
        <v>0</v>
      </c>
      <c r="N175" s="81">
        <f ca="1">SUMPRODUCT((Work_Codes!$N$425:$Y$425=$E175)*(Work_Codes!$N$433:$Y$433)*(N$65:N$65))</f>
        <v>0</v>
      </c>
      <c r="O175" s="81">
        <f ca="1">SUMPRODUCT((Work_Codes!$N$425:$Y$425=$E175)*(Work_Codes!$N$433:$Y$433)*(O$65:O$65))</f>
        <v>0</v>
      </c>
      <c r="P175" s="81">
        <f ca="1">SUMPRODUCT((Work_Codes!$N$425:$Y$425=$E175)*(Work_Codes!$N$433:$Y$433)*(P$65:P$65))</f>
        <v>0</v>
      </c>
      <c r="Q175" s="81">
        <f ca="1">SUMPRODUCT((Work_Codes!$N$425:$Y$425=$E175)*(Work_Codes!$N$433:$Y$433)*(Q$65:Q$65))</f>
        <v>0</v>
      </c>
      <c r="R175" s="81">
        <f ca="1">SUMPRODUCT((Work_Codes!$N$425:$Y$425=$E175)*(Work_Codes!$N$433:$Y$433)*(R$65:R$65))</f>
        <v>0</v>
      </c>
      <c r="S175" s="81">
        <f ca="1">SUMPRODUCT((Work_Codes!$N$425:$Y$425=$E175)*(Work_Codes!$N$433:$Y$433)*(S$65:S$65))</f>
        <v>0</v>
      </c>
      <c r="T175" s="81">
        <f ca="1">SUMPRODUCT((Work_Codes!$N$425:$Y$425=$E175)*(Work_Codes!$N$433:$Y$433)*(T$65:T$65))</f>
        <v>0</v>
      </c>
    </row>
    <row r="176" spans="4:20" outlineLevel="2">
      <c r="E176" s="247" t="str">
        <f>GC!C51</f>
        <v>Capitalised Leases</v>
      </c>
      <c r="F176" s="247"/>
      <c r="G176" s="247"/>
      <c r="H176" s="247"/>
      <c r="I176" s="247"/>
      <c r="J176" s="81">
        <f ca="1">SUMPRODUCT((Work_Codes!$N$425:$Y$425=$E176)*(Work_Codes!$N$433:$Y$433)*(J$65:J$65))</f>
        <v>0</v>
      </c>
      <c r="K176" s="81">
        <f ca="1">SUMPRODUCT((Work_Codes!$N$425:$Y$425=$E176)*(Work_Codes!$N$433:$Y$433)*(K$65:K$65))</f>
        <v>0</v>
      </c>
      <c r="L176" s="81">
        <f ca="1">SUMPRODUCT((Work_Codes!$N$425:$Y$425=$E176)*(Work_Codes!$N$433:$Y$433)*(L$65:L$65))</f>
        <v>0</v>
      </c>
      <c r="M176" s="81">
        <f ca="1">SUMPRODUCT((Work_Codes!$N$425:$Y$425=$E176)*(Work_Codes!$N$433:$Y$433)*(M$65:M$65))</f>
        <v>0</v>
      </c>
      <c r="N176" s="81">
        <f ca="1">SUMPRODUCT((Work_Codes!$N$425:$Y$425=$E176)*(Work_Codes!$N$433:$Y$433)*(N$65:N$65))</f>
        <v>0</v>
      </c>
      <c r="O176" s="81">
        <f ca="1">SUMPRODUCT((Work_Codes!$N$425:$Y$425=$E176)*(Work_Codes!$N$433:$Y$433)*(O$65:O$65))</f>
        <v>0</v>
      </c>
      <c r="P176" s="81">
        <f ca="1">SUMPRODUCT((Work_Codes!$N$425:$Y$425=$E176)*(Work_Codes!$N$433:$Y$433)*(P$65:P$65))</f>
        <v>0</v>
      </c>
      <c r="Q176" s="81">
        <f ca="1">SUMPRODUCT((Work_Codes!$N$425:$Y$425=$E176)*(Work_Codes!$N$433:$Y$433)*(Q$65:Q$65))</f>
        <v>0</v>
      </c>
      <c r="R176" s="81">
        <f ca="1">SUMPRODUCT((Work_Codes!$N$425:$Y$425=$E176)*(Work_Codes!$N$433:$Y$433)*(R$65:R$65))</f>
        <v>0</v>
      </c>
      <c r="S176" s="81">
        <f ca="1">SUMPRODUCT((Work_Codes!$N$425:$Y$425=$E176)*(Work_Codes!$N$433:$Y$433)*(S$65:S$65))</f>
        <v>0</v>
      </c>
      <c r="T176" s="81">
        <f ca="1">SUMPRODUCT((Work_Codes!$N$425:$Y$425=$E176)*(Work_Codes!$N$433:$Y$433)*(T$65:T$65))</f>
        <v>0</v>
      </c>
    </row>
    <row r="177" spans="2:20" outlineLevel="2">
      <c r="E177" s="247" t="str">
        <f>GC!C52</f>
        <v>Transmission pipelines - post 1998</v>
      </c>
      <c r="F177" s="247"/>
      <c r="G177" s="247"/>
      <c r="H177" s="247"/>
      <c r="I177" s="247"/>
      <c r="J177" s="81">
        <f ca="1">SUMPRODUCT((Work_Codes!$N$425:$Y$425=$E177)*(Work_Codes!$N$433:$Y$433)*(J$65:J$65))</f>
        <v>0</v>
      </c>
      <c r="K177" s="81">
        <f ca="1">SUMPRODUCT((Work_Codes!$N$425:$Y$425=$E177)*(Work_Codes!$N$433:$Y$433)*(K$65:K$65))</f>
        <v>0</v>
      </c>
      <c r="L177" s="81">
        <f ca="1">SUMPRODUCT((Work_Codes!$N$425:$Y$425=$E177)*(Work_Codes!$N$433:$Y$433)*(L$65:L$65))</f>
        <v>0</v>
      </c>
      <c r="M177" s="81">
        <f ca="1">SUMPRODUCT((Work_Codes!$N$425:$Y$425=$E177)*(Work_Codes!$N$433:$Y$433)*(M$65:M$65))</f>
        <v>0</v>
      </c>
      <c r="N177" s="81">
        <f ca="1">SUMPRODUCT((Work_Codes!$N$425:$Y$425=$E177)*(Work_Codes!$N$433:$Y$433)*(N$65:N$65))</f>
        <v>0</v>
      </c>
      <c r="O177" s="81">
        <f ca="1">SUMPRODUCT((Work_Codes!$N$425:$Y$425=$E177)*(Work_Codes!$N$433:$Y$433)*(O$65:O$65))</f>
        <v>0</v>
      </c>
      <c r="P177" s="81">
        <f ca="1">SUMPRODUCT((Work_Codes!$N$425:$Y$425=$E177)*(Work_Codes!$N$433:$Y$433)*(P$65:P$65))</f>
        <v>0</v>
      </c>
      <c r="Q177" s="81">
        <f ca="1">SUMPRODUCT((Work_Codes!$N$425:$Y$425=$E177)*(Work_Codes!$N$433:$Y$433)*(Q$65:Q$65))</f>
        <v>0</v>
      </c>
      <c r="R177" s="81">
        <f ca="1">SUMPRODUCT((Work_Codes!$N$425:$Y$425=$E177)*(Work_Codes!$N$433:$Y$433)*(R$65:R$65))</f>
        <v>0</v>
      </c>
      <c r="S177" s="81">
        <f ca="1">SUMPRODUCT((Work_Codes!$N$425:$Y$425=$E177)*(Work_Codes!$N$433:$Y$433)*(S$65:S$65))</f>
        <v>0</v>
      </c>
      <c r="T177" s="81">
        <f ca="1">SUMPRODUCT((Work_Codes!$N$425:$Y$425=$E177)*(Work_Codes!$N$433:$Y$433)*(T$65:T$65))</f>
        <v>0</v>
      </c>
    </row>
    <row r="178" spans="2:20" outlineLevel="2">
      <c r="E178" s="247" t="str">
        <f>GC!C53</f>
        <v>Distribution pipelines - post 1998</v>
      </c>
      <c r="F178" s="247"/>
      <c r="G178" s="247"/>
      <c r="H178" s="247"/>
      <c r="I178" s="247"/>
      <c r="J178" s="81">
        <f ca="1">SUMPRODUCT((Work_Codes!$N$425:$Y$425=$E178)*(Work_Codes!$N$433:$Y$433)*(J$65:J$65))</f>
        <v>0</v>
      </c>
      <c r="K178" s="81">
        <f ca="1">SUMPRODUCT((Work_Codes!$N$425:$Y$425=$E178)*(Work_Codes!$N$433:$Y$433)*(K$65:K$65))</f>
        <v>0</v>
      </c>
      <c r="L178" s="81">
        <f ca="1">SUMPRODUCT((Work_Codes!$N$425:$Y$425=$E178)*(Work_Codes!$N$433:$Y$433)*(L$65:L$65))</f>
        <v>0</v>
      </c>
      <c r="M178" s="81">
        <f ca="1">SUMPRODUCT((Work_Codes!$N$425:$Y$425=$E178)*(Work_Codes!$N$433:$Y$433)*(M$65:M$65))</f>
        <v>0</v>
      </c>
      <c r="N178" s="81">
        <f ca="1">SUMPRODUCT((Work_Codes!$N$425:$Y$425=$E178)*(Work_Codes!$N$433:$Y$433)*(N$65:N$65))</f>
        <v>0</v>
      </c>
      <c r="O178" s="81">
        <f ca="1">SUMPRODUCT((Work_Codes!$N$425:$Y$425=$E178)*(Work_Codes!$N$433:$Y$433)*(O$65:O$65))</f>
        <v>0</v>
      </c>
      <c r="P178" s="81">
        <f ca="1">SUMPRODUCT((Work_Codes!$N$425:$Y$425=$E178)*(Work_Codes!$N$433:$Y$433)*(P$65:P$65))</f>
        <v>0</v>
      </c>
      <c r="Q178" s="81">
        <f ca="1">SUMPRODUCT((Work_Codes!$N$425:$Y$425=$E178)*(Work_Codes!$N$433:$Y$433)*(Q$65:Q$65))</f>
        <v>0</v>
      </c>
      <c r="R178" s="81">
        <f ca="1">SUMPRODUCT((Work_Codes!$N$425:$Y$425=$E178)*(Work_Codes!$N$433:$Y$433)*(R$65:R$65))</f>
        <v>0</v>
      </c>
      <c r="S178" s="81">
        <f ca="1">SUMPRODUCT((Work_Codes!$N$425:$Y$425=$E178)*(Work_Codes!$N$433:$Y$433)*(S$65:S$65))</f>
        <v>0</v>
      </c>
      <c r="T178" s="81">
        <f ca="1">SUMPRODUCT((Work_Codes!$N$425:$Y$425=$E178)*(Work_Codes!$N$433:$Y$433)*(T$65:T$65))</f>
        <v>0</v>
      </c>
    </row>
    <row r="179" spans="2:20" outlineLevel="2">
      <c r="E179" s="247" t="str">
        <f>GC!C54</f>
        <v>Service pipes - post 1998</v>
      </c>
      <c r="F179" s="247"/>
      <c r="G179" s="247"/>
      <c r="H179" s="247"/>
      <c r="I179" s="247"/>
      <c r="J179" s="81">
        <f ca="1">SUMPRODUCT((Work_Codes!$N$425:$Y$425=$E179)*(Work_Codes!$N$433:$Y$433)*(J$65:J$65))</f>
        <v>0</v>
      </c>
      <c r="K179" s="81">
        <f ca="1">SUMPRODUCT((Work_Codes!$N$425:$Y$425=$E179)*(Work_Codes!$N$433:$Y$433)*(K$65:K$65))</f>
        <v>0</v>
      </c>
      <c r="L179" s="81">
        <f ca="1">SUMPRODUCT((Work_Codes!$N$425:$Y$425=$E179)*(Work_Codes!$N$433:$Y$433)*(L$65:L$65))</f>
        <v>0</v>
      </c>
      <c r="M179" s="81">
        <f ca="1">SUMPRODUCT((Work_Codes!$N$425:$Y$425=$E179)*(Work_Codes!$N$433:$Y$433)*(M$65:M$65))</f>
        <v>0</v>
      </c>
      <c r="N179" s="81">
        <f ca="1">SUMPRODUCT((Work_Codes!$N$425:$Y$425=$E179)*(Work_Codes!$N$433:$Y$433)*(N$65:N$65))</f>
        <v>0</v>
      </c>
      <c r="O179" s="81">
        <f ca="1">SUMPRODUCT((Work_Codes!$N$425:$Y$425=$E179)*(Work_Codes!$N$433:$Y$433)*(O$65:O$65))</f>
        <v>0</v>
      </c>
      <c r="P179" s="81">
        <f ca="1">SUMPRODUCT((Work_Codes!$N$425:$Y$425=$E179)*(Work_Codes!$N$433:$Y$433)*(P$65:P$65))</f>
        <v>0</v>
      </c>
      <c r="Q179" s="81">
        <f ca="1">SUMPRODUCT((Work_Codes!$N$425:$Y$425=$E179)*(Work_Codes!$N$433:$Y$433)*(Q$65:Q$65))</f>
        <v>0</v>
      </c>
      <c r="R179" s="81">
        <f ca="1">SUMPRODUCT((Work_Codes!$N$425:$Y$425=$E179)*(Work_Codes!$N$433:$Y$433)*(R$65:R$65))</f>
        <v>0</v>
      </c>
      <c r="S179" s="81">
        <f ca="1">SUMPRODUCT((Work_Codes!$N$425:$Y$425=$E179)*(Work_Codes!$N$433:$Y$433)*(S$65:S$65))</f>
        <v>0</v>
      </c>
      <c r="T179" s="81">
        <f ca="1">SUMPRODUCT((Work_Codes!$N$425:$Y$425=$E179)*(Work_Codes!$N$433:$Y$433)*(T$65:T$65))</f>
        <v>0</v>
      </c>
    </row>
    <row r="180" spans="2:20" outlineLevel="2">
      <c r="E180" s="247" t="str">
        <f>GC!C55</f>
        <v>Cathodic protection - post 1998</v>
      </c>
      <c r="F180" s="247"/>
      <c r="G180" s="247"/>
      <c r="H180" s="247"/>
      <c r="I180" s="247"/>
      <c r="J180" s="81">
        <f ca="1">SUMPRODUCT((Work_Codes!$N$425:$Y$425=$E180)*(Work_Codes!$N$433:$Y$433)*(J$65:J$65))</f>
        <v>0</v>
      </c>
      <c r="K180" s="81">
        <f ca="1">SUMPRODUCT((Work_Codes!$N$425:$Y$425=$E180)*(Work_Codes!$N$433:$Y$433)*(K$65:K$65))</f>
        <v>0</v>
      </c>
      <c r="L180" s="81">
        <f ca="1">SUMPRODUCT((Work_Codes!$N$425:$Y$425=$E180)*(Work_Codes!$N$433:$Y$433)*(L$65:L$65))</f>
        <v>0</v>
      </c>
      <c r="M180" s="81">
        <f ca="1">SUMPRODUCT((Work_Codes!$N$425:$Y$425=$E180)*(Work_Codes!$N$433:$Y$433)*(M$65:M$65))</f>
        <v>0</v>
      </c>
      <c r="N180" s="81">
        <f ca="1">SUMPRODUCT((Work_Codes!$N$425:$Y$425=$E180)*(Work_Codes!$N$433:$Y$433)*(N$65:N$65))</f>
        <v>0</v>
      </c>
      <c r="O180" s="81">
        <f ca="1">SUMPRODUCT((Work_Codes!$N$425:$Y$425=$E180)*(Work_Codes!$N$433:$Y$433)*(O$65:O$65))</f>
        <v>0</v>
      </c>
      <c r="P180" s="81">
        <f ca="1">SUMPRODUCT((Work_Codes!$N$425:$Y$425=$E180)*(Work_Codes!$N$433:$Y$433)*(P$65:P$65))</f>
        <v>0</v>
      </c>
      <c r="Q180" s="81">
        <f ca="1">SUMPRODUCT((Work_Codes!$N$425:$Y$425=$E180)*(Work_Codes!$N$433:$Y$433)*(Q$65:Q$65))</f>
        <v>0</v>
      </c>
      <c r="R180" s="81">
        <f ca="1">SUMPRODUCT((Work_Codes!$N$425:$Y$425=$E180)*(Work_Codes!$N$433:$Y$433)*(R$65:R$65))</f>
        <v>0</v>
      </c>
      <c r="S180" s="81">
        <f ca="1">SUMPRODUCT((Work_Codes!$N$425:$Y$425=$E180)*(Work_Codes!$N$433:$Y$433)*(S$65:S$65))</f>
        <v>0</v>
      </c>
      <c r="T180" s="81">
        <f ca="1">SUMPRODUCT((Work_Codes!$N$425:$Y$425=$E180)*(Work_Codes!$N$433:$Y$433)*(T$65:T$65))</f>
        <v>0</v>
      </c>
    </row>
    <row r="181" spans="2:20" outlineLevel="2">
      <c r="E181" s="249" t="str">
        <f>"Total "&amp;D163</f>
        <v>Total Customer Contributions</v>
      </c>
      <c r="F181" s="249"/>
      <c r="G181" s="249"/>
      <c r="H181" s="249"/>
      <c r="I181" s="249"/>
      <c r="J181" s="82">
        <f t="shared" ref="J181:T181" ca="1" si="23">SUM(J165:J180)</f>
        <v>0</v>
      </c>
      <c r="K181" s="82">
        <f t="shared" ca="1" si="23"/>
        <v>0</v>
      </c>
      <c r="L181" s="82">
        <f t="shared" ca="1" si="23"/>
        <v>0</v>
      </c>
      <c r="M181" s="82">
        <f t="shared" ca="1" si="23"/>
        <v>0</v>
      </c>
      <c r="N181" s="82">
        <f t="shared" ca="1" si="23"/>
        <v>0</v>
      </c>
      <c r="O181" s="82">
        <f t="shared" ca="1" si="23"/>
        <v>0</v>
      </c>
      <c r="P181" s="82">
        <f t="shared" ca="1" si="23"/>
        <v>0</v>
      </c>
      <c r="Q181" s="82">
        <f t="shared" ca="1" si="23"/>
        <v>0</v>
      </c>
      <c r="R181" s="82">
        <f t="shared" ca="1" si="23"/>
        <v>0</v>
      </c>
      <c r="S181" s="82">
        <f t="shared" ca="1" si="23"/>
        <v>0</v>
      </c>
      <c r="T181" s="82">
        <f t="shared" ca="1" si="23"/>
        <v>0</v>
      </c>
    </row>
    <row r="182" spans="2:20" outlineLevel="1">
      <c r="B182" s="12"/>
      <c r="C182" s="12"/>
      <c r="D182" s="12"/>
      <c r="E182" s="12"/>
      <c r="F182" s="12"/>
      <c r="G182" s="12"/>
      <c r="H182" s="12"/>
      <c r="I182" s="12"/>
      <c r="J182" s="12"/>
      <c r="K182" s="12"/>
      <c r="L182" s="12"/>
      <c r="M182" s="12"/>
      <c r="N182" s="12"/>
      <c r="O182" s="12"/>
      <c r="P182" s="12"/>
      <c r="Q182" s="12"/>
      <c r="R182" s="12"/>
      <c r="S182" s="12"/>
      <c r="T182" s="12"/>
    </row>
    <row r="183" spans="2:20" outlineLevel="1"/>
    <row r="184" spans="2:20" outlineLevel="1">
      <c r="C184" s="37" t="s">
        <v>196</v>
      </c>
    </row>
    <row r="185" spans="2:20" ht="5.9" customHeight="1" outlineLevel="2"/>
    <row r="186" spans="2:20" outlineLevel="2">
      <c r="D186" s="37" t="s">
        <v>215</v>
      </c>
    </row>
    <row r="187" spans="2:20" ht="5.9" customHeight="1" outlineLevel="2"/>
    <row r="188" spans="2:20" ht="12" customHeight="1" outlineLevel="2">
      <c r="E188" s="247" t="str">
        <f>GC!C60</f>
        <v>Mains replacement</v>
      </c>
      <c r="F188" s="247"/>
      <c r="G188" s="247"/>
      <c r="H188" s="247"/>
      <c r="I188" s="247"/>
      <c r="J188" s="81">
        <f ca="1">SUMPRODUCT((Work_Codes!$AC$425:$AO$425=$E188)*(Work_Codes!$AC$428:$AO$429)*(J$95:J$96))</f>
        <v>0</v>
      </c>
      <c r="K188" s="81">
        <f ca="1">SUMPRODUCT((Work_Codes!$AC$425:$AO$425=$E188)*(Work_Codes!$AC$428:$AO$429)*(K$95:K$96))</f>
        <v>0</v>
      </c>
      <c r="L188" s="81">
        <f ca="1">SUMPRODUCT((Work_Codes!$AC$425:$AO$425=$E188)*(Work_Codes!$AC$428:$AO$429)*(L$95:L$96))</f>
        <v>0</v>
      </c>
      <c r="M188" s="81">
        <f ca="1">SUMPRODUCT((Work_Codes!$AC$425:$AO$425=$E188)*(Work_Codes!$AC$428:$AO$429)*(M$95:M$96))</f>
        <v>0</v>
      </c>
      <c r="N188" s="81">
        <f ca="1">SUMPRODUCT((Work_Codes!$AC$425:$AO$425=$E188)*(Work_Codes!$AC$428:$AO$429)*(N$95:N$96))</f>
        <v>0</v>
      </c>
      <c r="O188" s="81">
        <f ca="1">SUMPRODUCT((Work_Codes!$AC$425:$AO$425=$E188)*(Work_Codes!$AC$428:$AO$429)*(O$95:O$96))</f>
        <v>0</v>
      </c>
      <c r="P188" s="81">
        <f ca="1">SUMPRODUCT((Work_Codes!$AC$425:$AO$425=$E188)*(Work_Codes!$AC$428:$AO$429)*(P$95:P$96))</f>
        <v>0</v>
      </c>
      <c r="Q188" s="81">
        <f ca="1">SUMPRODUCT((Work_Codes!$AC$425:$AO$425=$E188)*(Work_Codes!$AC$428:$AO$429)*(Q$95:Q$96))</f>
        <v>0</v>
      </c>
      <c r="R188" s="81">
        <f ca="1">SUMPRODUCT((Work_Codes!$AC$425:$AO$425=$E188)*(Work_Codes!$AC$428:$AO$429)*(R$95:R$96))</f>
        <v>0</v>
      </c>
      <c r="S188" s="81">
        <f ca="1">SUMPRODUCT((Work_Codes!$AC$425:$AO$425=$E188)*(Work_Codes!$AC$428:$AO$429)*(S$95:S$96))</f>
        <v>0</v>
      </c>
      <c r="T188" s="81">
        <f ca="1">SUMPRODUCT((Work_Codes!$AC$425:$AO$425=$E188)*(Work_Codes!$AC$428:$AO$429)*(T$95:T$96))</f>
        <v>0</v>
      </c>
    </row>
    <row r="189" spans="2:20" ht="12" customHeight="1" outlineLevel="2">
      <c r="E189" s="247" t="str">
        <f>GC!C61</f>
        <v>Residential new customer connections</v>
      </c>
      <c r="F189" s="247"/>
      <c r="G189" s="247"/>
      <c r="H189" s="247"/>
      <c r="I189" s="247"/>
      <c r="J189" s="81">
        <f ca="1">SUMPRODUCT((Work_Codes!$AC$425:$AO$425=$E189)*(Work_Codes!$AC$428:$AO$429)*(J$95:J$96))</f>
        <v>0</v>
      </c>
      <c r="K189" s="81">
        <f ca="1">SUMPRODUCT((Work_Codes!$AC$425:$AO$425=$E189)*(Work_Codes!$AC$428:$AO$429)*(K$95:K$96))</f>
        <v>0</v>
      </c>
      <c r="L189" s="81">
        <f ca="1">SUMPRODUCT((Work_Codes!$AC$425:$AO$425=$E189)*(Work_Codes!$AC$428:$AO$429)*(L$95:L$96))</f>
        <v>0</v>
      </c>
      <c r="M189" s="81">
        <f ca="1">SUMPRODUCT((Work_Codes!$AC$425:$AO$425=$E189)*(Work_Codes!$AC$428:$AO$429)*(M$95:M$96))</f>
        <v>0</v>
      </c>
      <c r="N189" s="81">
        <f ca="1">SUMPRODUCT((Work_Codes!$AC$425:$AO$425=$E189)*(Work_Codes!$AC$428:$AO$429)*(N$95:N$96))</f>
        <v>0</v>
      </c>
      <c r="O189" s="81">
        <f ca="1">SUMPRODUCT((Work_Codes!$AC$425:$AO$425=$E189)*(Work_Codes!$AC$428:$AO$429)*(O$95:O$96))</f>
        <v>0</v>
      </c>
      <c r="P189" s="81">
        <f ca="1">SUMPRODUCT((Work_Codes!$AC$425:$AO$425=$E189)*(Work_Codes!$AC$428:$AO$429)*(P$95:P$96))</f>
        <v>0</v>
      </c>
      <c r="Q189" s="81">
        <f ca="1">SUMPRODUCT((Work_Codes!$AC$425:$AO$425=$E189)*(Work_Codes!$AC$428:$AO$429)*(Q$95:Q$96))</f>
        <v>0</v>
      </c>
      <c r="R189" s="81">
        <f ca="1">SUMPRODUCT((Work_Codes!$AC$425:$AO$425=$E189)*(Work_Codes!$AC$428:$AO$429)*(R$95:R$96))</f>
        <v>0</v>
      </c>
      <c r="S189" s="81">
        <f ca="1">SUMPRODUCT((Work_Codes!$AC$425:$AO$425=$E189)*(Work_Codes!$AC$428:$AO$429)*(S$95:S$96))</f>
        <v>0</v>
      </c>
      <c r="T189" s="81">
        <f ca="1">SUMPRODUCT((Work_Codes!$AC$425:$AO$425=$E189)*(Work_Codes!$AC$428:$AO$429)*(T$95:T$96))</f>
        <v>0</v>
      </c>
    </row>
    <row r="190" spans="2:20" ht="12" customHeight="1" outlineLevel="2">
      <c r="E190" s="247" t="str">
        <f>GC!C62</f>
        <v>Commercial and industrial new customer connections</v>
      </c>
      <c r="F190" s="247"/>
      <c r="G190" s="247"/>
      <c r="H190" s="247"/>
      <c r="I190" s="247"/>
      <c r="J190" s="81">
        <f ca="1">SUMPRODUCT((Work_Codes!$AC$425:$AO$425=$E190)*(Work_Codes!$AC$428:$AO$429)*(J$95:J$96))</f>
        <v>0</v>
      </c>
      <c r="K190" s="81">
        <f ca="1">SUMPRODUCT((Work_Codes!$AC$425:$AO$425=$E190)*(Work_Codes!$AC$428:$AO$429)*(K$95:K$96))</f>
        <v>0</v>
      </c>
      <c r="L190" s="81">
        <f ca="1">SUMPRODUCT((Work_Codes!$AC$425:$AO$425=$E190)*(Work_Codes!$AC$428:$AO$429)*(L$95:L$96))</f>
        <v>0</v>
      </c>
      <c r="M190" s="81">
        <f ca="1">SUMPRODUCT((Work_Codes!$AC$425:$AO$425=$E190)*(Work_Codes!$AC$428:$AO$429)*(M$95:M$96))</f>
        <v>0</v>
      </c>
      <c r="N190" s="81">
        <f ca="1">SUMPRODUCT((Work_Codes!$AC$425:$AO$425=$E190)*(Work_Codes!$AC$428:$AO$429)*(N$95:N$96))</f>
        <v>0</v>
      </c>
      <c r="O190" s="81">
        <f ca="1">SUMPRODUCT((Work_Codes!$AC$425:$AO$425=$E190)*(Work_Codes!$AC$428:$AO$429)*(O$95:O$96))</f>
        <v>0</v>
      </c>
      <c r="P190" s="81">
        <f ca="1">SUMPRODUCT((Work_Codes!$AC$425:$AO$425=$E190)*(Work_Codes!$AC$428:$AO$429)*(P$95:P$96))</f>
        <v>0</v>
      </c>
      <c r="Q190" s="81">
        <f ca="1">SUMPRODUCT((Work_Codes!$AC$425:$AO$425=$E190)*(Work_Codes!$AC$428:$AO$429)*(Q$95:Q$96))</f>
        <v>0</v>
      </c>
      <c r="R190" s="81">
        <f ca="1">SUMPRODUCT((Work_Codes!$AC$425:$AO$425=$E190)*(Work_Codes!$AC$428:$AO$429)*(R$95:R$96))</f>
        <v>0</v>
      </c>
      <c r="S190" s="81">
        <f ca="1">SUMPRODUCT((Work_Codes!$AC$425:$AO$425=$E190)*(Work_Codes!$AC$428:$AO$429)*(S$95:S$96))</f>
        <v>0</v>
      </c>
      <c r="T190" s="81">
        <f ca="1">SUMPRODUCT((Work_Codes!$AC$425:$AO$425=$E190)*(Work_Codes!$AC$428:$AO$429)*(T$95:T$96))</f>
        <v>0</v>
      </c>
    </row>
    <row r="191" spans="2:20" ht="12" customHeight="1" outlineLevel="2">
      <c r="E191" s="247" t="str">
        <f>GC!C63</f>
        <v>Residential meter replacement</v>
      </c>
      <c r="F191" s="247"/>
      <c r="G191" s="247"/>
      <c r="H191" s="247"/>
      <c r="I191" s="247"/>
      <c r="J191" s="81">
        <f ca="1">SUMPRODUCT((Work_Codes!$AC$425:$AO$425=$E191)*(Work_Codes!$AC$428:$AO$429)*(J$95:J$96))</f>
        <v>0</v>
      </c>
      <c r="K191" s="81">
        <f ca="1">SUMPRODUCT((Work_Codes!$AC$425:$AO$425=$E191)*(Work_Codes!$AC$428:$AO$429)*(K$95:K$96))</f>
        <v>0</v>
      </c>
      <c r="L191" s="81">
        <f ca="1">SUMPRODUCT((Work_Codes!$AC$425:$AO$425=$E191)*(Work_Codes!$AC$428:$AO$429)*(L$95:L$96))</f>
        <v>0</v>
      </c>
      <c r="M191" s="81">
        <f ca="1">SUMPRODUCT((Work_Codes!$AC$425:$AO$425=$E191)*(Work_Codes!$AC$428:$AO$429)*(M$95:M$96))</f>
        <v>0</v>
      </c>
      <c r="N191" s="81">
        <f ca="1">SUMPRODUCT((Work_Codes!$AC$425:$AO$425=$E191)*(Work_Codes!$AC$428:$AO$429)*(N$95:N$96))</f>
        <v>0</v>
      </c>
      <c r="O191" s="81">
        <f ca="1">SUMPRODUCT((Work_Codes!$AC$425:$AO$425=$E191)*(Work_Codes!$AC$428:$AO$429)*(O$95:O$96))</f>
        <v>0</v>
      </c>
      <c r="P191" s="81">
        <f ca="1">SUMPRODUCT((Work_Codes!$AC$425:$AO$425=$E191)*(Work_Codes!$AC$428:$AO$429)*(P$95:P$96))</f>
        <v>0</v>
      </c>
      <c r="Q191" s="81">
        <f ca="1">SUMPRODUCT((Work_Codes!$AC$425:$AO$425=$E191)*(Work_Codes!$AC$428:$AO$429)*(Q$95:Q$96))</f>
        <v>0</v>
      </c>
      <c r="R191" s="81">
        <f ca="1">SUMPRODUCT((Work_Codes!$AC$425:$AO$425=$E191)*(Work_Codes!$AC$428:$AO$429)*(R$95:R$96))</f>
        <v>0</v>
      </c>
      <c r="S191" s="81">
        <f ca="1">SUMPRODUCT((Work_Codes!$AC$425:$AO$425=$E191)*(Work_Codes!$AC$428:$AO$429)*(S$95:S$96))</f>
        <v>0</v>
      </c>
      <c r="T191" s="81">
        <f ca="1">SUMPRODUCT((Work_Codes!$AC$425:$AO$425=$E191)*(Work_Codes!$AC$428:$AO$429)*(T$95:T$96))</f>
        <v>0</v>
      </c>
    </row>
    <row r="192" spans="2:20" ht="12" customHeight="1" outlineLevel="2">
      <c r="E192" s="247" t="str">
        <f>GC!C64</f>
        <v>Commercial and industrial meter replacement</v>
      </c>
      <c r="F192" s="247"/>
      <c r="G192" s="247"/>
      <c r="H192" s="247"/>
      <c r="I192" s="247"/>
      <c r="J192" s="81">
        <f ca="1">SUMPRODUCT((Work_Codes!$AC$425:$AO$425=$E192)*(Work_Codes!$AC$428:$AO$429)*(J$95:J$96))</f>
        <v>0</v>
      </c>
      <c r="K192" s="81">
        <f ca="1">SUMPRODUCT((Work_Codes!$AC$425:$AO$425=$E192)*(Work_Codes!$AC$428:$AO$429)*(K$95:K$96))</f>
        <v>0</v>
      </c>
      <c r="L192" s="81">
        <f ca="1">SUMPRODUCT((Work_Codes!$AC$425:$AO$425=$E192)*(Work_Codes!$AC$428:$AO$429)*(L$95:L$96))</f>
        <v>0</v>
      </c>
      <c r="M192" s="81">
        <f ca="1">SUMPRODUCT((Work_Codes!$AC$425:$AO$425=$E192)*(Work_Codes!$AC$428:$AO$429)*(M$95:M$96))</f>
        <v>0</v>
      </c>
      <c r="N192" s="81">
        <f ca="1">SUMPRODUCT((Work_Codes!$AC$425:$AO$425=$E192)*(Work_Codes!$AC$428:$AO$429)*(N$95:N$96))</f>
        <v>0</v>
      </c>
      <c r="O192" s="81">
        <f ca="1">SUMPRODUCT((Work_Codes!$AC$425:$AO$425=$E192)*(Work_Codes!$AC$428:$AO$429)*(O$95:O$96))</f>
        <v>0</v>
      </c>
      <c r="P192" s="81">
        <f ca="1">SUMPRODUCT((Work_Codes!$AC$425:$AO$425=$E192)*(Work_Codes!$AC$428:$AO$429)*(P$95:P$96))</f>
        <v>0</v>
      </c>
      <c r="Q192" s="81">
        <f ca="1">SUMPRODUCT((Work_Codes!$AC$425:$AO$425=$E192)*(Work_Codes!$AC$428:$AO$429)*(Q$95:Q$96))</f>
        <v>0</v>
      </c>
      <c r="R192" s="81">
        <f ca="1">SUMPRODUCT((Work_Codes!$AC$425:$AO$425=$E192)*(Work_Codes!$AC$428:$AO$429)*(R$95:R$96))</f>
        <v>0</v>
      </c>
      <c r="S192" s="81">
        <f ca="1">SUMPRODUCT((Work_Codes!$AC$425:$AO$425=$E192)*(Work_Codes!$AC$428:$AO$429)*(S$95:S$96))</f>
        <v>0</v>
      </c>
      <c r="T192" s="81">
        <f ca="1">SUMPRODUCT((Work_Codes!$AC$425:$AO$425=$E192)*(Work_Codes!$AC$428:$AO$429)*(T$95:T$96))</f>
        <v>0</v>
      </c>
    </row>
    <row r="193" spans="4:20" ht="12" customHeight="1" outlineLevel="2">
      <c r="E193" s="247" t="str">
        <f>GC!C65</f>
        <v>Augmentation</v>
      </c>
      <c r="F193" s="247"/>
      <c r="G193" s="247"/>
      <c r="H193" s="247"/>
      <c r="I193" s="247"/>
      <c r="J193" s="81">
        <f ca="1">SUMPRODUCT((Work_Codes!$AC$425:$AO$425=$E193)*(Work_Codes!$AC$428:$AO$429)*(J$95:J$96))</f>
        <v>0</v>
      </c>
      <c r="K193" s="81">
        <f ca="1">SUMPRODUCT((Work_Codes!$AC$425:$AO$425=$E193)*(Work_Codes!$AC$428:$AO$429)*(K$95:K$96))</f>
        <v>0</v>
      </c>
      <c r="L193" s="81">
        <f ca="1">SUMPRODUCT((Work_Codes!$AC$425:$AO$425=$E193)*(Work_Codes!$AC$428:$AO$429)*(L$95:L$96))</f>
        <v>0</v>
      </c>
      <c r="M193" s="81">
        <f ca="1">SUMPRODUCT((Work_Codes!$AC$425:$AO$425=$E193)*(Work_Codes!$AC$428:$AO$429)*(M$95:M$96))</f>
        <v>0</v>
      </c>
      <c r="N193" s="81">
        <f ca="1">SUMPRODUCT((Work_Codes!$AC$425:$AO$425=$E193)*(Work_Codes!$AC$428:$AO$429)*(N$95:N$96))</f>
        <v>0</v>
      </c>
      <c r="O193" s="81">
        <f ca="1">SUMPRODUCT((Work_Codes!$AC$425:$AO$425=$E193)*(Work_Codes!$AC$428:$AO$429)*(O$95:O$96))</f>
        <v>0</v>
      </c>
      <c r="P193" s="81">
        <f ca="1">SUMPRODUCT((Work_Codes!$AC$425:$AO$425=$E193)*(Work_Codes!$AC$428:$AO$429)*(P$95:P$96))</f>
        <v>0</v>
      </c>
      <c r="Q193" s="81">
        <f ca="1">SUMPRODUCT((Work_Codes!$AC$425:$AO$425=$E193)*(Work_Codes!$AC$428:$AO$429)*(Q$95:Q$96))</f>
        <v>0</v>
      </c>
      <c r="R193" s="81">
        <f ca="1">SUMPRODUCT((Work_Codes!$AC$425:$AO$425=$E193)*(Work_Codes!$AC$428:$AO$429)*(R$95:R$96))</f>
        <v>0</v>
      </c>
      <c r="S193" s="81">
        <f ca="1">SUMPRODUCT((Work_Codes!$AC$425:$AO$425=$E193)*(Work_Codes!$AC$428:$AO$429)*(S$95:S$96))</f>
        <v>0</v>
      </c>
      <c r="T193" s="81">
        <f ca="1">SUMPRODUCT((Work_Codes!$AC$425:$AO$425=$E193)*(Work_Codes!$AC$428:$AO$429)*(T$95:T$96))</f>
        <v>0</v>
      </c>
    </row>
    <row r="194" spans="4:20" ht="12" customHeight="1" outlineLevel="2">
      <c r="E194" s="247" t="str">
        <f>GC!C66</f>
        <v>IT capex</v>
      </c>
      <c r="F194" s="247"/>
      <c r="G194" s="247"/>
      <c r="H194" s="247"/>
      <c r="I194" s="247"/>
      <c r="J194" s="81">
        <f ca="1">SUMPRODUCT((Work_Codes!$AC$425:$AO$425=$E194)*(Work_Codes!$AC$428:$AO$429)*(J$95:J$96))</f>
        <v>0</v>
      </c>
      <c r="K194" s="81">
        <f ca="1">SUMPRODUCT((Work_Codes!$AC$425:$AO$425=$E194)*(Work_Codes!$AC$428:$AO$429)*(K$95:K$96))</f>
        <v>0</v>
      </c>
      <c r="L194" s="81">
        <f ca="1">SUMPRODUCT((Work_Codes!$AC$425:$AO$425=$E194)*(Work_Codes!$AC$428:$AO$429)*(L$95:L$96))</f>
        <v>0</v>
      </c>
      <c r="M194" s="81">
        <f ca="1">SUMPRODUCT((Work_Codes!$AC$425:$AO$425=$E194)*(Work_Codes!$AC$428:$AO$429)*(M$95:M$96))</f>
        <v>0</v>
      </c>
      <c r="N194" s="81">
        <f ca="1">SUMPRODUCT((Work_Codes!$AC$425:$AO$425=$E194)*(Work_Codes!$AC$428:$AO$429)*(N$95:N$96))</f>
        <v>0</v>
      </c>
      <c r="O194" s="81">
        <f ca="1">SUMPRODUCT((Work_Codes!$AC$425:$AO$425=$E194)*(Work_Codes!$AC$428:$AO$429)*(O$95:O$96))</f>
        <v>0</v>
      </c>
      <c r="P194" s="81">
        <f ca="1">SUMPRODUCT((Work_Codes!$AC$425:$AO$425=$E194)*(Work_Codes!$AC$428:$AO$429)*(P$95:P$96))</f>
        <v>0</v>
      </c>
      <c r="Q194" s="81">
        <f ca="1">SUMPRODUCT((Work_Codes!$AC$425:$AO$425=$E194)*(Work_Codes!$AC$428:$AO$429)*(Q$95:Q$96))</f>
        <v>0</v>
      </c>
      <c r="R194" s="81">
        <f ca="1">SUMPRODUCT((Work_Codes!$AC$425:$AO$425=$E194)*(Work_Codes!$AC$428:$AO$429)*(R$95:R$96))</f>
        <v>0</v>
      </c>
      <c r="S194" s="81">
        <f ca="1">SUMPRODUCT((Work_Codes!$AC$425:$AO$425=$E194)*(Work_Codes!$AC$428:$AO$429)*(S$95:S$96))</f>
        <v>0</v>
      </c>
      <c r="T194" s="81">
        <f ca="1">SUMPRODUCT((Work_Codes!$AC$425:$AO$425=$E194)*(Work_Codes!$AC$428:$AO$429)*(T$95:T$96))</f>
        <v>0</v>
      </c>
    </row>
    <row r="195" spans="4:20" ht="12" customHeight="1" outlineLevel="2">
      <c r="E195" s="247" t="str">
        <f>GC!C67</f>
        <v>SCADA</v>
      </c>
      <c r="F195" s="247"/>
      <c r="G195" s="247"/>
      <c r="H195" s="247"/>
      <c r="I195" s="247"/>
      <c r="J195" s="81">
        <f ca="1">SUMPRODUCT((Work_Codes!$AC$425:$AO$425=$E195)*(Work_Codes!$AC$428:$AO$429)*(J$95:J$96))</f>
        <v>0</v>
      </c>
      <c r="K195" s="81">
        <f ca="1">SUMPRODUCT((Work_Codes!$AC$425:$AO$425=$E195)*(Work_Codes!$AC$428:$AO$429)*(K$95:K$96))</f>
        <v>0</v>
      </c>
      <c r="L195" s="81">
        <f ca="1">SUMPRODUCT((Work_Codes!$AC$425:$AO$425=$E195)*(Work_Codes!$AC$428:$AO$429)*(L$95:L$96))</f>
        <v>0</v>
      </c>
      <c r="M195" s="81">
        <f ca="1">SUMPRODUCT((Work_Codes!$AC$425:$AO$425=$E195)*(Work_Codes!$AC$428:$AO$429)*(M$95:M$96))</f>
        <v>0</v>
      </c>
      <c r="N195" s="81">
        <f ca="1">SUMPRODUCT((Work_Codes!$AC$425:$AO$425=$E195)*(Work_Codes!$AC$428:$AO$429)*(N$95:N$96))</f>
        <v>0</v>
      </c>
      <c r="O195" s="81">
        <f ca="1">SUMPRODUCT((Work_Codes!$AC$425:$AO$425=$E195)*(Work_Codes!$AC$428:$AO$429)*(O$95:O$96))</f>
        <v>0</v>
      </c>
      <c r="P195" s="81">
        <f ca="1">SUMPRODUCT((Work_Codes!$AC$425:$AO$425=$E195)*(Work_Codes!$AC$428:$AO$429)*(P$95:P$96))</f>
        <v>0</v>
      </c>
      <c r="Q195" s="81">
        <f ca="1">SUMPRODUCT((Work_Codes!$AC$425:$AO$425=$E195)*(Work_Codes!$AC$428:$AO$429)*(Q$95:Q$96))</f>
        <v>0</v>
      </c>
      <c r="R195" s="81">
        <f ca="1">SUMPRODUCT((Work_Codes!$AC$425:$AO$425=$E195)*(Work_Codes!$AC$428:$AO$429)*(R$95:R$96))</f>
        <v>0</v>
      </c>
      <c r="S195" s="81">
        <f ca="1">SUMPRODUCT((Work_Codes!$AC$425:$AO$425=$E195)*(Work_Codes!$AC$428:$AO$429)*(S$95:S$96))</f>
        <v>0</v>
      </c>
      <c r="T195" s="81">
        <f ca="1">SUMPRODUCT((Work_Codes!$AC$425:$AO$425=$E195)*(Work_Codes!$AC$428:$AO$429)*(T$95:T$96))</f>
        <v>0</v>
      </c>
    </row>
    <row r="196" spans="4:20" ht="12" customHeight="1" outlineLevel="2">
      <c r="E196" s="247" t="str">
        <f>GC!C68</f>
        <v>Other</v>
      </c>
      <c r="F196" s="247"/>
      <c r="G196" s="247"/>
      <c r="H196" s="247"/>
      <c r="I196" s="247"/>
      <c r="J196" s="81">
        <f ca="1">SUMPRODUCT((Work_Codes!$AC$425:$AO$425=$E196)*(Work_Codes!$AC$428:$AO$429)*(J$95:J$96))</f>
        <v>0</v>
      </c>
      <c r="K196" s="81">
        <f ca="1">SUMPRODUCT((Work_Codes!$AC$425:$AO$425=$E196)*(Work_Codes!$AC$428:$AO$429)*(K$95:K$96))</f>
        <v>0</v>
      </c>
      <c r="L196" s="81">
        <f ca="1">SUMPRODUCT((Work_Codes!$AC$425:$AO$425=$E196)*(Work_Codes!$AC$428:$AO$429)*(L$95:L$96))</f>
        <v>0</v>
      </c>
      <c r="M196" s="81">
        <f ca="1">SUMPRODUCT((Work_Codes!$AC$425:$AO$425=$E196)*(Work_Codes!$AC$428:$AO$429)*(M$95:M$96))</f>
        <v>0</v>
      </c>
      <c r="N196" s="81">
        <f ca="1">SUMPRODUCT((Work_Codes!$AC$425:$AO$425=$E196)*(Work_Codes!$AC$428:$AO$429)*(N$95:N$96))</f>
        <v>0</v>
      </c>
      <c r="O196" s="81">
        <f ca="1">SUMPRODUCT((Work_Codes!$AC$425:$AO$425=$E196)*(Work_Codes!$AC$428:$AO$429)*(O$95:O$96))</f>
        <v>0</v>
      </c>
      <c r="P196" s="81">
        <f ca="1">SUMPRODUCT((Work_Codes!$AC$425:$AO$425=$E196)*(Work_Codes!$AC$428:$AO$429)*(P$95:P$96))</f>
        <v>0</v>
      </c>
      <c r="Q196" s="81">
        <f ca="1">SUMPRODUCT((Work_Codes!$AC$425:$AO$425=$E196)*(Work_Codes!$AC$428:$AO$429)*(Q$95:Q$96))</f>
        <v>0</v>
      </c>
      <c r="R196" s="81">
        <f ca="1">SUMPRODUCT((Work_Codes!$AC$425:$AO$425=$E196)*(Work_Codes!$AC$428:$AO$429)*(R$95:R$96))</f>
        <v>0</v>
      </c>
      <c r="S196" s="81">
        <f ca="1">SUMPRODUCT((Work_Codes!$AC$425:$AO$425=$E196)*(Work_Codes!$AC$428:$AO$429)*(S$95:S$96))</f>
        <v>0</v>
      </c>
      <c r="T196" s="81">
        <f ca="1">SUMPRODUCT((Work_Codes!$AC$425:$AO$425=$E196)*(Work_Codes!$AC$428:$AO$429)*(T$95:T$96))</f>
        <v>0</v>
      </c>
    </row>
    <row r="197" spans="4:20" outlineLevel="2">
      <c r="E197" s="247" t="str">
        <f>GC!C69</f>
        <v>Capitalised Leases</v>
      </c>
      <c r="F197" s="247"/>
      <c r="G197" s="247"/>
      <c r="H197" s="247"/>
      <c r="I197" s="247"/>
      <c r="J197" s="81">
        <f ca="1">SUMPRODUCT((Work_Codes!$AC$425:$AO$425=$E197)*(Work_Codes!$AC$428:$AO$429)*(J$95:J$96))</f>
        <v>0</v>
      </c>
      <c r="K197" s="81">
        <f ca="1">SUMPRODUCT((Work_Codes!$AC$425:$AO$425=$E197)*(Work_Codes!$AC$428:$AO$429)*(K$95:K$96))</f>
        <v>0</v>
      </c>
      <c r="L197" s="81">
        <f ca="1">SUMPRODUCT((Work_Codes!$AC$425:$AO$425=$E197)*(Work_Codes!$AC$428:$AO$429)*(L$95:L$96))</f>
        <v>0</v>
      </c>
      <c r="M197" s="81">
        <f ca="1">SUMPRODUCT((Work_Codes!$AC$425:$AO$425=$E197)*(Work_Codes!$AC$428:$AO$429)*(M$95:M$96))</f>
        <v>0</v>
      </c>
      <c r="N197" s="81">
        <f ca="1">SUMPRODUCT((Work_Codes!$AC$425:$AO$425=$E197)*(Work_Codes!$AC$428:$AO$429)*(N$95:N$96))</f>
        <v>0</v>
      </c>
      <c r="O197" s="81">
        <f ca="1">SUMPRODUCT((Work_Codes!$AC$425:$AO$425=$E197)*(Work_Codes!$AC$428:$AO$429)*(O$95:O$96))</f>
        <v>0</v>
      </c>
      <c r="P197" s="81">
        <f ca="1">SUMPRODUCT((Work_Codes!$AC$425:$AO$425=$E197)*(Work_Codes!$AC$428:$AO$429)*(P$95:P$96))</f>
        <v>0</v>
      </c>
      <c r="Q197" s="81">
        <f ca="1">SUMPRODUCT((Work_Codes!$AC$425:$AO$425=$E197)*(Work_Codes!$AC$428:$AO$429)*(Q$95:Q$96))</f>
        <v>0</v>
      </c>
      <c r="R197" s="81">
        <f ca="1">SUMPRODUCT((Work_Codes!$AC$425:$AO$425=$E197)*(Work_Codes!$AC$428:$AO$429)*(R$95:R$96))</f>
        <v>0</v>
      </c>
      <c r="S197" s="81">
        <f ca="1">SUMPRODUCT((Work_Codes!$AC$425:$AO$425=$E197)*(Work_Codes!$AC$428:$AO$429)*(S$95:S$96))</f>
        <v>0</v>
      </c>
      <c r="T197" s="81">
        <f ca="1">SUMPRODUCT((Work_Codes!$AC$425:$AO$425=$E197)*(Work_Codes!$AC$428:$AO$429)*(T$95:T$96))</f>
        <v>0</v>
      </c>
    </row>
    <row r="198" spans="4:20" ht="12" customHeight="1" outlineLevel="2">
      <c r="E198" s="247" t="str">
        <f>GC!C70</f>
        <v>Gas Extensions - Energy for the Regions</v>
      </c>
      <c r="F198" s="247"/>
      <c r="G198" s="247"/>
      <c r="H198" s="247"/>
      <c r="I198" s="247"/>
      <c r="J198" s="81">
        <f ca="1">SUMPRODUCT((Work_Codes!$AC$425:$AO$425=$E198)*(Work_Codes!$AC$428:$AO$429)*(J$95:J$96))</f>
        <v>0</v>
      </c>
      <c r="K198" s="81">
        <f ca="1">SUMPRODUCT((Work_Codes!$AC$425:$AO$425=$E198)*(Work_Codes!$AC$428:$AO$429)*(K$95:K$96))</f>
        <v>0</v>
      </c>
      <c r="L198" s="81">
        <f ca="1">SUMPRODUCT((Work_Codes!$AC$425:$AO$425=$E198)*(Work_Codes!$AC$428:$AO$429)*(L$95:L$96))</f>
        <v>0</v>
      </c>
      <c r="M198" s="81">
        <f ca="1">SUMPRODUCT((Work_Codes!$AC$425:$AO$425=$E198)*(Work_Codes!$AC$428:$AO$429)*(M$95:M$96))</f>
        <v>0</v>
      </c>
      <c r="N198" s="81">
        <f ca="1">SUMPRODUCT((Work_Codes!$AC$425:$AO$425=$E198)*(Work_Codes!$AC$428:$AO$429)*(N$95:N$96))</f>
        <v>0</v>
      </c>
      <c r="O198" s="81">
        <f ca="1">SUMPRODUCT((Work_Codes!$AC$425:$AO$425=$E198)*(Work_Codes!$AC$428:$AO$429)*(O$95:O$96))</f>
        <v>0</v>
      </c>
      <c r="P198" s="81">
        <f ca="1">SUMPRODUCT((Work_Codes!$AC$425:$AO$425=$E198)*(Work_Codes!$AC$428:$AO$429)*(P$95:P$96))</f>
        <v>0</v>
      </c>
      <c r="Q198" s="81">
        <f ca="1">SUMPRODUCT((Work_Codes!$AC$425:$AO$425=$E198)*(Work_Codes!$AC$428:$AO$429)*(Q$95:Q$96))</f>
        <v>0</v>
      </c>
      <c r="R198" s="81">
        <f ca="1">SUMPRODUCT((Work_Codes!$AC$425:$AO$425=$E198)*(Work_Codes!$AC$428:$AO$429)*(R$95:R$96))</f>
        <v>0</v>
      </c>
      <c r="S198" s="81">
        <f ca="1">SUMPRODUCT((Work_Codes!$AC$425:$AO$425=$E198)*(Work_Codes!$AC$428:$AO$429)*(S$95:S$96))</f>
        <v>0</v>
      </c>
      <c r="T198" s="81">
        <f ca="1">SUMPRODUCT((Work_Codes!$AC$425:$AO$425=$E198)*(Work_Codes!$AC$428:$AO$429)*(T$95:T$96))</f>
        <v>0</v>
      </c>
    </row>
    <row r="199" spans="4:20" ht="12" customHeight="1" outlineLevel="2">
      <c r="E199" s="247" t="str">
        <f>GC!C71</f>
        <v>Gas Extensions - Other</v>
      </c>
      <c r="F199" s="247"/>
      <c r="G199" s="247"/>
      <c r="H199" s="247"/>
      <c r="I199" s="247"/>
      <c r="J199" s="81">
        <f ca="1">SUMPRODUCT((Work_Codes!$AC$425:$AO$425=$E199)*(Work_Codes!$AC$428:$AO$429)*(J$95:J$96))</f>
        <v>0</v>
      </c>
      <c r="K199" s="81">
        <f ca="1">SUMPRODUCT((Work_Codes!$AC$425:$AO$425=$E199)*(Work_Codes!$AC$428:$AO$429)*(K$95:K$96))</f>
        <v>0</v>
      </c>
      <c r="L199" s="81">
        <f ca="1">SUMPRODUCT((Work_Codes!$AC$425:$AO$425=$E199)*(Work_Codes!$AC$428:$AO$429)*(L$95:L$96))</f>
        <v>0</v>
      </c>
      <c r="M199" s="81">
        <f ca="1">SUMPRODUCT((Work_Codes!$AC$425:$AO$425=$E199)*(Work_Codes!$AC$428:$AO$429)*(M$95:M$96))</f>
        <v>0</v>
      </c>
      <c r="N199" s="81">
        <f ca="1">SUMPRODUCT((Work_Codes!$AC$425:$AO$425=$E199)*(Work_Codes!$AC$428:$AO$429)*(N$95:N$96))</f>
        <v>0</v>
      </c>
      <c r="O199" s="81">
        <f ca="1">SUMPRODUCT((Work_Codes!$AC$425:$AO$425=$E199)*(Work_Codes!$AC$428:$AO$429)*(O$95:O$96))</f>
        <v>0</v>
      </c>
      <c r="P199" s="81">
        <f ca="1">SUMPRODUCT((Work_Codes!$AC$425:$AO$425=$E199)*(Work_Codes!$AC$428:$AO$429)*(P$95:P$96))</f>
        <v>0</v>
      </c>
      <c r="Q199" s="81">
        <f ca="1">SUMPRODUCT((Work_Codes!$AC$425:$AO$425=$E199)*(Work_Codes!$AC$428:$AO$429)*(Q$95:Q$96))</f>
        <v>0</v>
      </c>
      <c r="R199" s="81">
        <f ca="1">SUMPRODUCT((Work_Codes!$AC$425:$AO$425=$E199)*(Work_Codes!$AC$428:$AO$429)*(R$95:R$96))</f>
        <v>0</v>
      </c>
      <c r="S199" s="81">
        <f ca="1">SUMPRODUCT((Work_Codes!$AC$425:$AO$425=$E199)*(Work_Codes!$AC$428:$AO$429)*(S$95:S$96))</f>
        <v>0</v>
      </c>
      <c r="T199" s="81">
        <f ca="1">SUMPRODUCT((Work_Codes!$AC$425:$AO$425=$E199)*(Work_Codes!$AC$428:$AO$429)*(T$95:T$96))</f>
        <v>0</v>
      </c>
    </row>
    <row r="200" spans="4:20" ht="12" customHeight="1" outlineLevel="2">
      <c r="E200" s="247" t="str">
        <f>GC!C72</f>
        <v>Customer contributions</v>
      </c>
      <c r="F200" s="247"/>
      <c r="G200" s="247"/>
      <c r="H200" s="247"/>
      <c r="I200" s="247"/>
      <c r="J200" s="81">
        <f ca="1">SUMPRODUCT((Work_Codes!$AC$425:$AO$425=$E200)*(Work_Codes!$AC$428:$AO$429)*(J$95:J$96))</f>
        <v>0</v>
      </c>
      <c r="K200" s="81">
        <f ca="1">SUMPRODUCT((Work_Codes!$AC$425:$AO$425=$E200)*(Work_Codes!$AC$428:$AO$429)*(K$95:K$96))</f>
        <v>0</v>
      </c>
      <c r="L200" s="81">
        <f ca="1">SUMPRODUCT((Work_Codes!$AC$425:$AO$425=$E200)*(Work_Codes!$AC$428:$AO$429)*(L$95:L$96))</f>
        <v>0</v>
      </c>
      <c r="M200" s="81">
        <f ca="1">SUMPRODUCT((Work_Codes!$AC$425:$AO$425=$E200)*(Work_Codes!$AC$428:$AO$429)*(M$95:M$96))</f>
        <v>0</v>
      </c>
      <c r="N200" s="81">
        <f ca="1">SUMPRODUCT((Work_Codes!$AC$425:$AO$425=$E200)*(Work_Codes!$AC$428:$AO$429)*(N$95:N$96))</f>
        <v>0</v>
      </c>
      <c r="O200" s="81">
        <f ca="1">SUMPRODUCT((Work_Codes!$AC$425:$AO$425=$E200)*(Work_Codes!$AC$428:$AO$429)*(O$95:O$96))</f>
        <v>0</v>
      </c>
      <c r="P200" s="81">
        <f ca="1">SUMPRODUCT((Work_Codes!$AC$425:$AO$425=$E200)*(Work_Codes!$AC$428:$AO$429)*(P$95:P$96))</f>
        <v>0</v>
      </c>
      <c r="Q200" s="81">
        <f ca="1">SUMPRODUCT((Work_Codes!$AC$425:$AO$425=$E200)*(Work_Codes!$AC$428:$AO$429)*(Q$95:Q$96))</f>
        <v>0</v>
      </c>
      <c r="R200" s="81">
        <f ca="1">SUMPRODUCT((Work_Codes!$AC$425:$AO$425=$E200)*(Work_Codes!$AC$428:$AO$429)*(R$95:R$96))</f>
        <v>0</v>
      </c>
      <c r="S200" s="81">
        <f ca="1">SUMPRODUCT((Work_Codes!$AC$425:$AO$425=$E200)*(Work_Codes!$AC$428:$AO$429)*(S$95:S$96))</f>
        <v>0</v>
      </c>
      <c r="T200" s="81">
        <f ca="1">SUMPRODUCT((Work_Codes!$AC$425:$AO$425=$E200)*(Work_Codes!$AC$428:$AO$429)*(T$95:T$96))</f>
        <v>0</v>
      </c>
    </row>
    <row r="201" spans="4:20" ht="12" customHeight="1" outlineLevel="2">
      <c r="E201" s="247" t="str">
        <f>GC!C73</f>
        <v>Government contributions</v>
      </c>
      <c r="F201" s="247"/>
      <c r="G201" s="247"/>
      <c r="H201" s="247"/>
      <c r="I201" s="247"/>
      <c r="J201" s="81">
        <f ca="1">SUMPRODUCT((Work_Codes!$AC$425:$AO$425=$E201)*(Work_Codes!$AC$428:$AO$429)*(J$95:J$96))</f>
        <v>0</v>
      </c>
      <c r="K201" s="81">
        <f ca="1">SUMPRODUCT((Work_Codes!$AC$425:$AO$425=$E201)*(Work_Codes!$AC$428:$AO$429)*(K$95:K$96))</f>
        <v>0</v>
      </c>
      <c r="L201" s="81">
        <f ca="1">SUMPRODUCT((Work_Codes!$AC$425:$AO$425=$E201)*(Work_Codes!$AC$428:$AO$429)*(L$95:L$96))</f>
        <v>0</v>
      </c>
      <c r="M201" s="81">
        <f ca="1">SUMPRODUCT((Work_Codes!$AC$425:$AO$425=$E201)*(Work_Codes!$AC$428:$AO$429)*(M$95:M$96))</f>
        <v>0</v>
      </c>
      <c r="N201" s="81">
        <f ca="1">SUMPRODUCT((Work_Codes!$AC$425:$AO$425=$E201)*(Work_Codes!$AC$428:$AO$429)*(N$95:N$96))</f>
        <v>0</v>
      </c>
      <c r="O201" s="81">
        <f ca="1">SUMPRODUCT((Work_Codes!$AC$425:$AO$425=$E201)*(Work_Codes!$AC$428:$AO$429)*(O$95:O$96))</f>
        <v>0</v>
      </c>
      <c r="P201" s="81">
        <f ca="1">SUMPRODUCT((Work_Codes!$AC$425:$AO$425=$E201)*(Work_Codes!$AC$428:$AO$429)*(P$95:P$96))</f>
        <v>0</v>
      </c>
      <c r="Q201" s="81">
        <f ca="1">SUMPRODUCT((Work_Codes!$AC$425:$AO$425=$E201)*(Work_Codes!$AC$428:$AO$429)*(Q$95:Q$96))</f>
        <v>0</v>
      </c>
      <c r="R201" s="81">
        <f ca="1">SUMPRODUCT((Work_Codes!$AC$425:$AO$425=$E201)*(Work_Codes!$AC$428:$AO$429)*(R$95:R$96))</f>
        <v>0</v>
      </c>
      <c r="S201" s="81">
        <f ca="1">SUMPRODUCT((Work_Codes!$AC$425:$AO$425=$E201)*(Work_Codes!$AC$428:$AO$429)*(S$95:S$96))</f>
        <v>0</v>
      </c>
      <c r="T201" s="81">
        <f ca="1">SUMPRODUCT((Work_Codes!$AC$425:$AO$425=$E201)*(Work_Codes!$AC$428:$AO$429)*(T$95:T$96))</f>
        <v>0</v>
      </c>
    </row>
    <row r="202" spans="4:20" ht="12" customHeight="1" outlineLevel="2">
      <c r="E202" s="249" t="str">
        <f>"Total "&amp;D186</f>
        <v>Total Direct Costs</v>
      </c>
      <c r="F202" s="249"/>
      <c r="G202" s="249"/>
      <c r="H202" s="249"/>
      <c r="I202" s="249"/>
      <c r="J202" s="82">
        <f t="shared" ref="J202:T202" ca="1" si="24">SUM(J188:J201)</f>
        <v>0</v>
      </c>
      <c r="K202" s="82">
        <f t="shared" ca="1" si="24"/>
        <v>0</v>
      </c>
      <c r="L202" s="82">
        <f t="shared" ca="1" si="24"/>
        <v>0</v>
      </c>
      <c r="M202" s="82">
        <f t="shared" ca="1" si="24"/>
        <v>0</v>
      </c>
      <c r="N202" s="82">
        <f t="shared" ca="1" si="24"/>
        <v>0</v>
      </c>
      <c r="O202" s="82">
        <f t="shared" ca="1" si="24"/>
        <v>0</v>
      </c>
      <c r="P202" s="82">
        <f t="shared" ca="1" si="24"/>
        <v>0</v>
      </c>
      <c r="Q202" s="82">
        <f t="shared" ca="1" si="24"/>
        <v>0</v>
      </c>
      <c r="R202" s="82">
        <f t="shared" ca="1" si="24"/>
        <v>0</v>
      </c>
      <c r="S202" s="82">
        <f t="shared" ca="1" si="24"/>
        <v>0</v>
      </c>
      <c r="T202" s="82">
        <f t="shared" ca="1" si="24"/>
        <v>0</v>
      </c>
    </row>
    <row r="203" spans="4:20" outlineLevel="2"/>
    <row r="204" spans="4:20" outlineLevel="2">
      <c r="D204" s="37" t="s">
        <v>216</v>
      </c>
    </row>
    <row r="205" spans="4:20" ht="5.9" customHeight="1" outlineLevel="2"/>
    <row r="206" spans="4:20" ht="12" customHeight="1" outlineLevel="2">
      <c r="E206" s="247" t="str">
        <f>GC!C60</f>
        <v>Mains replacement</v>
      </c>
      <c r="F206" s="247"/>
      <c r="G206" s="247"/>
      <c r="H206" s="247"/>
      <c r="I206" s="247"/>
      <c r="J206" s="81">
        <f ca="1">J188*(1+INDEX(J$35:J$37,MATCH(Work_Codes!$I$422,$D$35:$D$37,0)))</f>
        <v>0</v>
      </c>
      <c r="K206" s="81">
        <f ca="1">K188*(1+INDEX(K$35:K$37,MATCH(Work_Codes!$I$422,$D$35:$D$37,0)))</f>
        <v>0</v>
      </c>
      <c r="L206" s="81">
        <f ca="1">L188*(1+INDEX(L$35:L$37,MATCH(Work_Codes!$I$422,$D$35:$D$37,0)))</f>
        <v>0</v>
      </c>
      <c r="M206" s="81">
        <f ca="1">M188*(1+INDEX(M$35:M$37,MATCH(Work_Codes!$I$422,$D$35:$D$37,0)))</f>
        <v>0</v>
      </c>
      <c r="N206" s="81">
        <f ca="1">N188*(1+INDEX(N$35:N$37,MATCH(Work_Codes!$I$422,$D$35:$D$37,0)))</f>
        <v>0</v>
      </c>
      <c r="O206" s="81">
        <f ca="1">O188*(1+INDEX(O$35:O$37,MATCH(Work_Codes!$I$422,$D$35:$D$37,0)))</f>
        <v>0</v>
      </c>
      <c r="P206" s="81">
        <f ca="1">P188*(1+INDEX(P$35:P$37,MATCH(Work_Codes!$I$422,$D$35:$D$37,0)))</f>
        <v>0</v>
      </c>
      <c r="Q206" s="81">
        <f ca="1">Q188*(1+INDEX(Q$35:Q$37,MATCH(Work_Codes!$I$422,$D$35:$D$37,0)))</f>
        <v>0</v>
      </c>
      <c r="R206" s="81">
        <f ca="1">R188*(1+INDEX(R$35:R$37,MATCH(Work_Codes!$I$422,$D$35:$D$37,0)))</f>
        <v>0</v>
      </c>
      <c r="S206" s="81">
        <f ca="1">S188*(1+INDEX(S$35:S$37,MATCH(Work_Codes!$I$422,$D$35:$D$37,0)))</f>
        <v>0</v>
      </c>
      <c r="T206" s="81">
        <f ca="1">T188*(1+INDEX(T$35:T$37,MATCH(Work_Codes!$I$422,$D$35:$D$37,0)))</f>
        <v>0</v>
      </c>
    </row>
    <row r="207" spans="4:20" ht="12" customHeight="1" outlineLevel="2">
      <c r="E207" s="247" t="str">
        <f>GC!C61</f>
        <v>Residential new customer connections</v>
      </c>
      <c r="F207" s="247"/>
      <c r="G207" s="247"/>
      <c r="H207" s="247"/>
      <c r="I207" s="247"/>
      <c r="J207" s="81">
        <f ca="1">J189*(1+INDEX(J$35:J$37,MATCH(Work_Codes!$I$422,$D$35:$D$37,0)))</f>
        <v>0</v>
      </c>
      <c r="K207" s="81">
        <f ca="1">K189*(1+INDEX(K$35:K$37,MATCH(Work_Codes!$I$422,$D$35:$D$37,0)))</f>
        <v>0</v>
      </c>
      <c r="L207" s="81">
        <f ca="1">L189*(1+INDEX(L$35:L$37,MATCH(Work_Codes!$I$422,$D$35:$D$37,0)))</f>
        <v>0</v>
      </c>
      <c r="M207" s="81">
        <f ca="1">M189*(1+INDEX(M$35:M$37,MATCH(Work_Codes!$I$422,$D$35:$D$37,0)))</f>
        <v>0</v>
      </c>
      <c r="N207" s="81">
        <f ca="1">N189*(1+INDEX(N$35:N$37,MATCH(Work_Codes!$I$422,$D$35:$D$37,0)))</f>
        <v>0</v>
      </c>
      <c r="O207" s="81">
        <f ca="1">O189*(1+INDEX(O$35:O$37,MATCH(Work_Codes!$I$422,$D$35:$D$37,0)))</f>
        <v>0</v>
      </c>
      <c r="P207" s="81">
        <f ca="1">P189*(1+INDEX(P$35:P$37,MATCH(Work_Codes!$I$422,$D$35:$D$37,0)))</f>
        <v>0</v>
      </c>
      <c r="Q207" s="81">
        <f ca="1">Q189*(1+INDEX(Q$35:Q$37,MATCH(Work_Codes!$I$422,$D$35:$D$37,0)))</f>
        <v>0</v>
      </c>
      <c r="R207" s="81">
        <f ca="1">R189*(1+INDEX(R$35:R$37,MATCH(Work_Codes!$I$422,$D$35:$D$37,0)))</f>
        <v>0</v>
      </c>
      <c r="S207" s="81">
        <f ca="1">S189*(1+INDEX(S$35:S$37,MATCH(Work_Codes!$I$422,$D$35:$D$37,0)))</f>
        <v>0</v>
      </c>
      <c r="T207" s="81">
        <f ca="1">T189*(1+INDEX(T$35:T$37,MATCH(Work_Codes!$I$422,$D$35:$D$37,0)))</f>
        <v>0</v>
      </c>
    </row>
    <row r="208" spans="4:20" ht="12" customHeight="1" outlineLevel="2">
      <c r="E208" s="247" t="str">
        <f>GC!C62</f>
        <v>Commercial and industrial new customer connections</v>
      </c>
      <c r="F208" s="247"/>
      <c r="G208" s="247"/>
      <c r="H208" s="247"/>
      <c r="I208" s="247"/>
      <c r="J208" s="81">
        <f ca="1">J190*(1+INDEX(J$35:J$37,MATCH(Work_Codes!$I$422,$D$35:$D$37,0)))</f>
        <v>0</v>
      </c>
      <c r="K208" s="81">
        <f ca="1">K190*(1+INDEX(K$35:K$37,MATCH(Work_Codes!$I$422,$D$35:$D$37,0)))</f>
        <v>0</v>
      </c>
      <c r="L208" s="81">
        <f ca="1">L190*(1+INDEX(L$35:L$37,MATCH(Work_Codes!$I$422,$D$35:$D$37,0)))</f>
        <v>0</v>
      </c>
      <c r="M208" s="81">
        <f ca="1">M190*(1+INDEX(M$35:M$37,MATCH(Work_Codes!$I$422,$D$35:$D$37,0)))</f>
        <v>0</v>
      </c>
      <c r="N208" s="81">
        <f ca="1">N190*(1+INDEX(N$35:N$37,MATCH(Work_Codes!$I$422,$D$35:$D$37,0)))</f>
        <v>0</v>
      </c>
      <c r="O208" s="81">
        <f ca="1">O190*(1+INDEX(O$35:O$37,MATCH(Work_Codes!$I$422,$D$35:$D$37,0)))</f>
        <v>0</v>
      </c>
      <c r="P208" s="81">
        <f ca="1">P190*(1+INDEX(P$35:P$37,MATCH(Work_Codes!$I$422,$D$35:$D$37,0)))</f>
        <v>0</v>
      </c>
      <c r="Q208" s="81">
        <f ca="1">Q190*(1+INDEX(Q$35:Q$37,MATCH(Work_Codes!$I$422,$D$35:$D$37,0)))</f>
        <v>0</v>
      </c>
      <c r="R208" s="81">
        <f ca="1">R190*(1+INDEX(R$35:R$37,MATCH(Work_Codes!$I$422,$D$35:$D$37,0)))</f>
        <v>0</v>
      </c>
      <c r="S208" s="81">
        <f ca="1">S190*(1+INDEX(S$35:S$37,MATCH(Work_Codes!$I$422,$D$35:$D$37,0)))</f>
        <v>0</v>
      </c>
      <c r="T208" s="81">
        <f ca="1">T190*(1+INDEX(T$35:T$37,MATCH(Work_Codes!$I$422,$D$35:$D$37,0)))</f>
        <v>0</v>
      </c>
    </row>
    <row r="209" spans="4:20" ht="12" customHeight="1" outlineLevel="2">
      <c r="E209" s="247" t="str">
        <f>GC!C63</f>
        <v>Residential meter replacement</v>
      </c>
      <c r="F209" s="247"/>
      <c r="G209" s="247"/>
      <c r="H209" s="247"/>
      <c r="I209" s="247"/>
      <c r="J209" s="81">
        <f ca="1">J191*(1+INDEX(J$35:J$37,MATCH(Work_Codes!$I$422,$D$35:$D$37,0)))</f>
        <v>0</v>
      </c>
      <c r="K209" s="81">
        <f ca="1">K191*(1+INDEX(K$35:K$37,MATCH(Work_Codes!$I$422,$D$35:$D$37,0)))</f>
        <v>0</v>
      </c>
      <c r="L209" s="81">
        <f ca="1">L191*(1+INDEX(L$35:L$37,MATCH(Work_Codes!$I$422,$D$35:$D$37,0)))</f>
        <v>0</v>
      </c>
      <c r="M209" s="81">
        <f ca="1">M191*(1+INDEX(M$35:M$37,MATCH(Work_Codes!$I$422,$D$35:$D$37,0)))</f>
        <v>0</v>
      </c>
      <c r="N209" s="81">
        <f ca="1">N191*(1+INDEX(N$35:N$37,MATCH(Work_Codes!$I$422,$D$35:$D$37,0)))</f>
        <v>0</v>
      </c>
      <c r="O209" s="81">
        <f ca="1">O191*(1+INDEX(O$35:O$37,MATCH(Work_Codes!$I$422,$D$35:$D$37,0)))</f>
        <v>0</v>
      </c>
      <c r="P209" s="81">
        <f ca="1">P191*(1+INDEX(P$35:P$37,MATCH(Work_Codes!$I$422,$D$35:$D$37,0)))</f>
        <v>0</v>
      </c>
      <c r="Q209" s="81">
        <f ca="1">Q191*(1+INDEX(Q$35:Q$37,MATCH(Work_Codes!$I$422,$D$35:$D$37,0)))</f>
        <v>0</v>
      </c>
      <c r="R209" s="81">
        <f ca="1">R191*(1+INDEX(R$35:R$37,MATCH(Work_Codes!$I$422,$D$35:$D$37,0)))</f>
        <v>0</v>
      </c>
      <c r="S209" s="81">
        <f ca="1">S191*(1+INDEX(S$35:S$37,MATCH(Work_Codes!$I$422,$D$35:$D$37,0)))</f>
        <v>0</v>
      </c>
      <c r="T209" s="81">
        <f ca="1">T191*(1+INDEX(T$35:T$37,MATCH(Work_Codes!$I$422,$D$35:$D$37,0)))</f>
        <v>0</v>
      </c>
    </row>
    <row r="210" spans="4:20" ht="12" customHeight="1" outlineLevel="2">
      <c r="E210" s="247" t="str">
        <f>GC!C64</f>
        <v>Commercial and industrial meter replacement</v>
      </c>
      <c r="F210" s="247"/>
      <c r="G210" s="247"/>
      <c r="H210" s="247"/>
      <c r="I210" s="247"/>
      <c r="J210" s="81">
        <f ca="1">J192*(1+INDEX(J$35:J$37,MATCH(Work_Codes!$I$422,$D$35:$D$37,0)))</f>
        <v>0</v>
      </c>
      <c r="K210" s="81">
        <f ca="1">K192*(1+INDEX(K$35:K$37,MATCH(Work_Codes!$I$422,$D$35:$D$37,0)))</f>
        <v>0</v>
      </c>
      <c r="L210" s="81">
        <f ca="1">L192*(1+INDEX(L$35:L$37,MATCH(Work_Codes!$I$422,$D$35:$D$37,0)))</f>
        <v>0</v>
      </c>
      <c r="M210" s="81">
        <f ca="1">M192*(1+INDEX(M$35:M$37,MATCH(Work_Codes!$I$422,$D$35:$D$37,0)))</f>
        <v>0</v>
      </c>
      <c r="N210" s="81">
        <f ca="1">N192*(1+INDEX(N$35:N$37,MATCH(Work_Codes!$I$422,$D$35:$D$37,0)))</f>
        <v>0</v>
      </c>
      <c r="O210" s="81">
        <f ca="1">O192*(1+INDEX(O$35:O$37,MATCH(Work_Codes!$I$422,$D$35:$D$37,0)))</f>
        <v>0</v>
      </c>
      <c r="P210" s="81">
        <f ca="1">P192*(1+INDEX(P$35:P$37,MATCH(Work_Codes!$I$422,$D$35:$D$37,0)))</f>
        <v>0</v>
      </c>
      <c r="Q210" s="81">
        <f ca="1">Q192*(1+INDEX(Q$35:Q$37,MATCH(Work_Codes!$I$422,$D$35:$D$37,0)))</f>
        <v>0</v>
      </c>
      <c r="R210" s="81">
        <f ca="1">R192*(1+INDEX(R$35:R$37,MATCH(Work_Codes!$I$422,$D$35:$D$37,0)))</f>
        <v>0</v>
      </c>
      <c r="S210" s="81">
        <f ca="1">S192*(1+INDEX(S$35:S$37,MATCH(Work_Codes!$I$422,$D$35:$D$37,0)))</f>
        <v>0</v>
      </c>
      <c r="T210" s="81">
        <f ca="1">T192*(1+INDEX(T$35:T$37,MATCH(Work_Codes!$I$422,$D$35:$D$37,0)))</f>
        <v>0</v>
      </c>
    </row>
    <row r="211" spans="4:20" ht="12" customHeight="1" outlineLevel="2">
      <c r="E211" s="247" t="str">
        <f>GC!C65</f>
        <v>Augmentation</v>
      </c>
      <c r="F211" s="247"/>
      <c r="G211" s="247"/>
      <c r="H211" s="247"/>
      <c r="I211" s="247"/>
      <c r="J211" s="81">
        <f ca="1">J193*(1+INDEX(J$35:J$37,MATCH(Work_Codes!$I$422,$D$35:$D$37,0)))</f>
        <v>0</v>
      </c>
      <c r="K211" s="81">
        <f ca="1">K193*(1+INDEX(K$35:K$37,MATCH(Work_Codes!$I$422,$D$35:$D$37,0)))</f>
        <v>0</v>
      </c>
      <c r="L211" s="81">
        <f ca="1">L193*(1+INDEX(L$35:L$37,MATCH(Work_Codes!$I$422,$D$35:$D$37,0)))</f>
        <v>0</v>
      </c>
      <c r="M211" s="81">
        <f ca="1">M193*(1+INDEX(M$35:M$37,MATCH(Work_Codes!$I$422,$D$35:$D$37,0)))</f>
        <v>0</v>
      </c>
      <c r="N211" s="81">
        <f ca="1">N193*(1+INDEX(N$35:N$37,MATCH(Work_Codes!$I$422,$D$35:$D$37,0)))</f>
        <v>0</v>
      </c>
      <c r="O211" s="81">
        <f ca="1">O193*(1+INDEX(O$35:O$37,MATCH(Work_Codes!$I$422,$D$35:$D$37,0)))</f>
        <v>0</v>
      </c>
      <c r="P211" s="81">
        <f ca="1">P193*(1+INDEX(P$35:P$37,MATCH(Work_Codes!$I$422,$D$35:$D$37,0)))</f>
        <v>0</v>
      </c>
      <c r="Q211" s="81">
        <f ca="1">Q193*(1+INDEX(Q$35:Q$37,MATCH(Work_Codes!$I$422,$D$35:$D$37,0)))</f>
        <v>0</v>
      </c>
      <c r="R211" s="81">
        <f ca="1">R193*(1+INDEX(R$35:R$37,MATCH(Work_Codes!$I$422,$D$35:$D$37,0)))</f>
        <v>0</v>
      </c>
      <c r="S211" s="81">
        <f ca="1">S193*(1+INDEX(S$35:S$37,MATCH(Work_Codes!$I$422,$D$35:$D$37,0)))</f>
        <v>0</v>
      </c>
      <c r="T211" s="81">
        <f ca="1">T193*(1+INDEX(T$35:T$37,MATCH(Work_Codes!$I$422,$D$35:$D$37,0)))</f>
        <v>0</v>
      </c>
    </row>
    <row r="212" spans="4:20" ht="12" customHeight="1" outlineLevel="2">
      <c r="E212" s="247" t="str">
        <f>GC!C66</f>
        <v>IT capex</v>
      </c>
      <c r="F212" s="247"/>
      <c r="G212" s="247"/>
      <c r="H212" s="247"/>
      <c r="I212" s="247"/>
      <c r="J212" s="81">
        <f ca="1">J194*(1+INDEX(J$35:J$37,MATCH(Work_Codes!$I$422,$D$35:$D$37,0)))</f>
        <v>0</v>
      </c>
      <c r="K212" s="81">
        <f ca="1">K194*(1+INDEX(K$35:K$37,MATCH(Work_Codes!$I$422,$D$35:$D$37,0)))</f>
        <v>0</v>
      </c>
      <c r="L212" s="81">
        <f ca="1">L194*(1+INDEX(L$35:L$37,MATCH(Work_Codes!$I$422,$D$35:$D$37,0)))</f>
        <v>0</v>
      </c>
      <c r="M212" s="81">
        <f ca="1">M194*(1+INDEX(M$35:M$37,MATCH(Work_Codes!$I$422,$D$35:$D$37,0)))</f>
        <v>0</v>
      </c>
      <c r="N212" s="81">
        <f ca="1">N194*(1+INDEX(N$35:N$37,MATCH(Work_Codes!$I$422,$D$35:$D$37,0)))</f>
        <v>0</v>
      </c>
      <c r="O212" s="81">
        <f ca="1">O194*(1+INDEX(O$35:O$37,MATCH(Work_Codes!$I$422,$D$35:$D$37,0)))</f>
        <v>0</v>
      </c>
      <c r="P212" s="81">
        <f ca="1">P194*(1+INDEX(P$35:P$37,MATCH(Work_Codes!$I$422,$D$35:$D$37,0)))</f>
        <v>0</v>
      </c>
      <c r="Q212" s="81">
        <f ca="1">Q194*(1+INDEX(Q$35:Q$37,MATCH(Work_Codes!$I$422,$D$35:$D$37,0)))</f>
        <v>0</v>
      </c>
      <c r="R212" s="81">
        <f ca="1">R194*(1+INDEX(R$35:R$37,MATCH(Work_Codes!$I$422,$D$35:$D$37,0)))</f>
        <v>0</v>
      </c>
      <c r="S212" s="81">
        <f ca="1">S194*(1+INDEX(S$35:S$37,MATCH(Work_Codes!$I$422,$D$35:$D$37,0)))</f>
        <v>0</v>
      </c>
      <c r="T212" s="81">
        <f ca="1">T194*(1+INDEX(T$35:T$37,MATCH(Work_Codes!$I$422,$D$35:$D$37,0)))</f>
        <v>0</v>
      </c>
    </row>
    <row r="213" spans="4:20" ht="12" customHeight="1" outlineLevel="2">
      <c r="E213" s="247" t="str">
        <f>GC!C67</f>
        <v>SCADA</v>
      </c>
      <c r="F213" s="247"/>
      <c r="G213" s="247"/>
      <c r="H213" s="247"/>
      <c r="I213" s="247"/>
      <c r="J213" s="81">
        <f ca="1">J195*(1+INDEX(J$35:J$37,MATCH(Work_Codes!$I$422,$D$35:$D$37,0)))</f>
        <v>0</v>
      </c>
      <c r="K213" s="81">
        <f ca="1">K195*(1+INDEX(K$35:K$37,MATCH(Work_Codes!$I$422,$D$35:$D$37,0)))</f>
        <v>0</v>
      </c>
      <c r="L213" s="81">
        <f ca="1">L195*(1+INDEX(L$35:L$37,MATCH(Work_Codes!$I$422,$D$35:$D$37,0)))</f>
        <v>0</v>
      </c>
      <c r="M213" s="81">
        <f ca="1">M195*(1+INDEX(M$35:M$37,MATCH(Work_Codes!$I$422,$D$35:$D$37,0)))</f>
        <v>0</v>
      </c>
      <c r="N213" s="81">
        <f ca="1">N195*(1+INDEX(N$35:N$37,MATCH(Work_Codes!$I$422,$D$35:$D$37,0)))</f>
        <v>0</v>
      </c>
      <c r="O213" s="81">
        <f ca="1">O195*(1+INDEX(O$35:O$37,MATCH(Work_Codes!$I$422,$D$35:$D$37,0)))</f>
        <v>0</v>
      </c>
      <c r="P213" s="81">
        <f ca="1">P195*(1+INDEX(P$35:P$37,MATCH(Work_Codes!$I$422,$D$35:$D$37,0)))</f>
        <v>0</v>
      </c>
      <c r="Q213" s="81">
        <f ca="1">Q195*(1+INDEX(Q$35:Q$37,MATCH(Work_Codes!$I$422,$D$35:$D$37,0)))</f>
        <v>0</v>
      </c>
      <c r="R213" s="81">
        <f ca="1">R195*(1+INDEX(R$35:R$37,MATCH(Work_Codes!$I$422,$D$35:$D$37,0)))</f>
        <v>0</v>
      </c>
      <c r="S213" s="81">
        <f ca="1">S195*(1+INDEX(S$35:S$37,MATCH(Work_Codes!$I$422,$D$35:$D$37,0)))</f>
        <v>0</v>
      </c>
      <c r="T213" s="81">
        <f ca="1">T195*(1+INDEX(T$35:T$37,MATCH(Work_Codes!$I$422,$D$35:$D$37,0)))</f>
        <v>0</v>
      </c>
    </row>
    <row r="214" spans="4:20" ht="12" customHeight="1" outlineLevel="2">
      <c r="E214" s="247" t="str">
        <f>GC!C68</f>
        <v>Other</v>
      </c>
      <c r="F214" s="247"/>
      <c r="G214" s="247"/>
      <c r="H214" s="247"/>
      <c r="I214" s="247"/>
      <c r="J214" s="81">
        <f ca="1">J196*(1+INDEX(J$35:J$37,MATCH(Work_Codes!$I$422,$D$35:$D$37,0)))</f>
        <v>0</v>
      </c>
      <c r="K214" s="81">
        <f ca="1">K196*(1+INDEX(K$35:K$37,MATCH(Work_Codes!$I$422,$D$35:$D$37,0)))</f>
        <v>0</v>
      </c>
      <c r="L214" s="81">
        <f ca="1">L196*(1+INDEX(L$35:L$37,MATCH(Work_Codes!$I$422,$D$35:$D$37,0)))</f>
        <v>0</v>
      </c>
      <c r="M214" s="81">
        <f ca="1">M196*(1+INDEX(M$35:M$37,MATCH(Work_Codes!$I$422,$D$35:$D$37,0)))</f>
        <v>0</v>
      </c>
      <c r="N214" s="81">
        <f ca="1">N196*(1+INDEX(N$35:N$37,MATCH(Work_Codes!$I$422,$D$35:$D$37,0)))</f>
        <v>0</v>
      </c>
      <c r="O214" s="81">
        <f ca="1">O196*(1+INDEX(O$35:O$37,MATCH(Work_Codes!$I$422,$D$35:$D$37,0)))</f>
        <v>0</v>
      </c>
      <c r="P214" s="81">
        <f ca="1">P196*(1+INDEX(P$35:P$37,MATCH(Work_Codes!$I$422,$D$35:$D$37,0)))</f>
        <v>0</v>
      </c>
      <c r="Q214" s="81">
        <f ca="1">Q196*(1+INDEX(Q$35:Q$37,MATCH(Work_Codes!$I$422,$D$35:$D$37,0)))</f>
        <v>0</v>
      </c>
      <c r="R214" s="81">
        <f ca="1">R196*(1+INDEX(R$35:R$37,MATCH(Work_Codes!$I$422,$D$35:$D$37,0)))</f>
        <v>0</v>
      </c>
      <c r="S214" s="81">
        <f ca="1">S196*(1+INDEX(S$35:S$37,MATCH(Work_Codes!$I$422,$D$35:$D$37,0)))</f>
        <v>0</v>
      </c>
      <c r="T214" s="81">
        <f ca="1">T196*(1+INDEX(T$35:T$37,MATCH(Work_Codes!$I$422,$D$35:$D$37,0)))</f>
        <v>0</v>
      </c>
    </row>
    <row r="215" spans="4:20" outlineLevel="2">
      <c r="E215" s="247" t="str">
        <f>GC!C69</f>
        <v>Capitalised Leases</v>
      </c>
      <c r="F215" s="247"/>
      <c r="G215" s="247"/>
      <c r="H215" s="247"/>
      <c r="I215" s="247"/>
      <c r="J215" s="81">
        <f ca="1">J197*(1+INDEX(J$35:J$37,MATCH(Work_Codes!$I$422,$D$35:$D$37,0)))</f>
        <v>0</v>
      </c>
      <c r="K215" s="81">
        <f ca="1">K197*(1+INDEX(K$35:K$37,MATCH(Work_Codes!$I$422,$D$35:$D$37,0)))</f>
        <v>0</v>
      </c>
      <c r="L215" s="81">
        <f ca="1">L197*(1+INDEX(L$35:L$37,MATCH(Work_Codes!$I$422,$D$35:$D$37,0)))</f>
        <v>0</v>
      </c>
      <c r="M215" s="81">
        <f ca="1">M197*(1+INDEX(M$35:M$37,MATCH(Work_Codes!$I$422,$D$35:$D$37,0)))</f>
        <v>0</v>
      </c>
      <c r="N215" s="81">
        <f ca="1">N197*(1+INDEX(N$35:N$37,MATCH(Work_Codes!$I$422,$D$35:$D$37,0)))</f>
        <v>0</v>
      </c>
      <c r="O215" s="81">
        <f ca="1">O197*(1+INDEX(O$35:O$37,MATCH(Work_Codes!$I$422,$D$35:$D$37,0)))</f>
        <v>0</v>
      </c>
      <c r="P215" s="81">
        <f ca="1">P197*(1+INDEX(P$35:P$37,MATCH(Work_Codes!$I$422,$D$35:$D$37,0)))</f>
        <v>0</v>
      </c>
      <c r="Q215" s="81">
        <f ca="1">Q197*(1+INDEX(Q$35:Q$37,MATCH(Work_Codes!$I$422,$D$35:$D$37,0)))</f>
        <v>0</v>
      </c>
      <c r="R215" s="81">
        <f ca="1">R197*(1+INDEX(R$35:R$37,MATCH(Work_Codes!$I$422,$D$35:$D$37,0)))</f>
        <v>0</v>
      </c>
      <c r="S215" s="81">
        <f ca="1">S197*(1+INDEX(S$35:S$37,MATCH(Work_Codes!$I$422,$D$35:$D$37,0)))</f>
        <v>0</v>
      </c>
      <c r="T215" s="81">
        <f ca="1">T197*(1+INDEX(T$35:T$37,MATCH(Work_Codes!$I$422,$D$35:$D$37,0)))</f>
        <v>0</v>
      </c>
    </row>
    <row r="216" spans="4:20" ht="12" customHeight="1" outlineLevel="2">
      <c r="E216" s="247" t="str">
        <f>GC!C70</f>
        <v>Gas Extensions - Energy for the Regions</v>
      </c>
      <c r="F216" s="247"/>
      <c r="G216" s="247"/>
      <c r="H216" s="247"/>
      <c r="I216" s="247"/>
      <c r="J216" s="81">
        <f ca="1">J198*(1+INDEX(J$35:J$37,MATCH(Work_Codes!$I$422,$D$35:$D$37,0)))</f>
        <v>0</v>
      </c>
      <c r="K216" s="81">
        <f ca="1">K198*(1+INDEX(K$35:K$37,MATCH(Work_Codes!$I$422,$D$35:$D$37,0)))</f>
        <v>0</v>
      </c>
      <c r="L216" s="81">
        <f ca="1">L198*(1+INDEX(L$35:L$37,MATCH(Work_Codes!$I$422,$D$35:$D$37,0)))</f>
        <v>0</v>
      </c>
      <c r="M216" s="81">
        <f ca="1">M198*(1+INDEX(M$35:M$37,MATCH(Work_Codes!$I$422,$D$35:$D$37,0)))</f>
        <v>0</v>
      </c>
      <c r="N216" s="81">
        <f ca="1">N198*(1+INDEX(N$35:N$37,MATCH(Work_Codes!$I$422,$D$35:$D$37,0)))</f>
        <v>0</v>
      </c>
      <c r="O216" s="81">
        <f ca="1">O198*(1+INDEX(O$35:O$37,MATCH(Work_Codes!$I$422,$D$35:$D$37,0)))</f>
        <v>0</v>
      </c>
      <c r="P216" s="81">
        <f ca="1">P198*(1+INDEX(P$35:P$37,MATCH(Work_Codes!$I$422,$D$35:$D$37,0)))</f>
        <v>0</v>
      </c>
      <c r="Q216" s="81">
        <f ca="1">Q198*(1+INDEX(Q$35:Q$37,MATCH(Work_Codes!$I$422,$D$35:$D$37,0)))</f>
        <v>0</v>
      </c>
      <c r="R216" s="81">
        <f ca="1">R198*(1+INDEX(R$35:R$37,MATCH(Work_Codes!$I$422,$D$35:$D$37,0)))</f>
        <v>0</v>
      </c>
      <c r="S216" s="81">
        <f ca="1">S198*(1+INDEX(S$35:S$37,MATCH(Work_Codes!$I$422,$D$35:$D$37,0)))</f>
        <v>0</v>
      </c>
      <c r="T216" s="81">
        <f ca="1">T198*(1+INDEX(T$35:T$37,MATCH(Work_Codes!$I$422,$D$35:$D$37,0)))</f>
        <v>0</v>
      </c>
    </row>
    <row r="217" spans="4:20" ht="12" customHeight="1" outlineLevel="2">
      <c r="E217" s="247" t="str">
        <f>GC!C71</f>
        <v>Gas Extensions - Other</v>
      </c>
      <c r="F217" s="247"/>
      <c r="G217" s="247"/>
      <c r="H217" s="247"/>
      <c r="I217" s="247"/>
      <c r="J217" s="81">
        <f ca="1">J199*(1+INDEX(J$35:J$37,MATCH(Work_Codes!$I$422,$D$35:$D$37,0)))</f>
        <v>0</v>
      </c>
      <c r="K217" s="81">
        <f ca="1">K199*(1+INDEX(K$35:K$37,MATCH(Work_Codes!$I$422,$D$35:$D$37,0)))</f>
        <v>0</v>
      </c>
      <c r="L217" s="81">
        <f ca="1">L199*(1+INDEX(L$35:L$37,MATCH(Work_Codes!$I$422,$D$35:$D$37,0)))</f>
        <v>0</v>
      </c>
      <c r="M217" s="81">
        <f ca="1">M199*(1+INDEX(M$35:M$37,MATCH(Work_Codes!$I$422,$D$35:$D$37,0)))</f>
        <v>0</v>
      </c>
      <c r="N217" s="81">
        <f ca="1">N199*(1+INDEX(N$35:N$37,MATCH(Work_Codes!$I$422,$D$35:$D$37,0)))</f>
        <v>0</v>
      </c>
      <c r="O217" s="81">
        <f ca="1">O199*(1+INDEX(O$35:O$37,MATCH(Work_Codes!$I$422,$D$35:$D$37,0)))</f>
        <v>0</v>
      </c>
      <c r="P217" s="81">
        <f ca="1">P199*(1+INDEX(P$35:P$37,MATCH(Work_Codes!$I$422,$D$35:$D$37,0)))</f>
        <v>0</v>
      </c>
      <c r="Q217" s="81">
        <f ca="1">Q199*(1+INDEX(Q$35:Q$37,MATCH(Work_Codes!$I$422,$D$35:$D$37,0)))</f>
        <v>0</v>
      </c>
      <c r="R217" s="81">
        <f ca="1">R199*(1+INDEX(R$35:R$37,MATCH(Work_Codes!$I$422,$D$35:$D$37,0)))</f>
        <v>0</v>
      </c>
      <c r="S217" s="81">
        <f ca="1">S199*(1+INDEX(S$35:S$37,MATCH(Work_Codes!$I$422,$D$35:$D$37,0)))</f>
        <v>0</v>
      </c>
      <c r="T217" s="81">
        <f ca="1">T199*(1+INDEX(T$35:T$37,MATCH(Work_Codes!$I$422,$D$35:$D$37,0)))</f>
        <v>0</v>
      </c>
    </row>
    <row r="218" spans="4:20" ht="12" customHeight="1" outlineLevel="2">
      <c r="E218" s="247" t="str">
        <f>GC!C72</f>
        <v>Customer contributions</v>
      </c>
      <c r="F218" s="247"/>
      <c r="G218" s="247"/>
      <c r="H218" s="247"/>
      <c r="I218" s="247"/>
      <c r="J218" s="81">
        <f ca="1">J200*(1+INDEX(J$35:J$37,MATCH(Work_Codes!$I$422,$D$35:$D$37,0)))</f>
        <v>0</v>
      </c>
      <c r="K218" s="81">
        <f ca="1">K200*(1+INDEX(K$35:K$37,MATCH(Work_Codes!$I$422,$D$35:$D$37,0)))</f>
        <v>0</v>
      </c>
      <c r="L218" s="81">
        <f ca="1">L200*(1+INDEX(L$35:L$37,MATCH(Work_Codes!$I$422,$D$35:$D$37,0)))</f>
        <v>0</v>
      </c>
      <c r="M218" s="81">
        <f ca="1">M200*(1+INDEX(M$35:M$37,MATCH(Work_Codes!$I$422,$D$35:$D$37,0)))</f>
        <v>0</v>
      </c>
      <c r="N218" s="81">
        <f ca="1">N200*(1+INDEX(N$35:N$37,MATCH(Work_Codes!$I$422,$D$35:$D$37,0)))</f>
        <v>0</v>
      </c>
      <c r="O218" s="81">
        <f ca="1">O200*(1+INDEX(O$35:O$37,MATCH(Work_Codes!$I$422,$D$35:$D$37,0)))</f>
        <v>0</v>
      </c>
      <c r="P218" s="81">
        <f ca="1">P200*(1+INDEX(P$35:P$37,MATCH(Work_Codes!$I$422,$D$35:$D$37,0)))</f>
        <v>0</v>
      </c>
      <c r="Q218" s="81">
        <f ca="1">Q200*(1+INDEX(Q$35:Q$37,MATCH(Work_Codes!$I$422,$D$35:$D$37,0)))</f>
        <v>0</v>
      </c>
      <c r="R218" s="81">
        <f ca="1">R200*(1+INDEX(R$35:R$37,MATCH(Work_Codes!$I$422,$D$35:$D$37,0)))</f>
        <v>0</v>
      </c>
      <c r="S218" s="81">
        <f ca="1">S200*(1+INDEX(S$35:S$37,MATCH(Work_Codes!$I$422,$D$35:$D$37,0)))</f>
        <v>0</v>
      </c>
      <c r="T218" s="81">
        <f ca="1">T200*(1+INDEX(T$35:T$37,MATCH(Work_Codes!$I$422,$D$35:$D$37,0)))</f>
        <v>0</v>
      </c>
    </row>
    <row r="219" spans="4:20" ht="12" customHeight="1" outlineLevel="2">
      <c r="E219" s="247" t="str">
        <f>GC!C73</f>
        <v>Government contributions</v>
      </c>
      <c r="F219" s="247"/>
      <c r="G219" s="247"/>
      <c r="H219" s="247"/>
      <c r="I219" s="247"/>
      <c r="J219" s="81">
        <f ca="1">J201*(1+INDEX(J$35:J$37,MATCH(Work_Codes!$I$422,$D$35:$D$37,0)))</f>
        <v>0</v>
      </c>
      <c r="K219" s="81">
        <f ca="1">K201*(1+INDEX(K$35:K$37,MATCH(Work_Codes!$I$422,$D$35:$D$37,0)))</f>
        <v>0</v>
      </c>
      <c r="L219" s="81">
        <f ca="1">L201*(1+INDEX(L$35:L$37,MATCH(Work_Codes!$I$422,$D$35:$D$37,0)))</f>
        <v>0</v>
      </c>
      <c r="M219" s="81">
        <f ca="1">M201*(1+INDEX(M$35:M$37,MATCH(Work_Codes!$I$422,$D$35:$D$37,0)))</f>
        <v>0</v>
      </c>
      <c r="N219" s="81">
        <f ca="1">N201*(1+INDEX(N$35:N$37,MATCH(Work_Codes!$I$422,$D$35:$D$37,0)))</f>
        <v>0</v>
      </c>
      <c r="O219" s="81">
        <f ca="1">O201*(1+INDEX(O$35:O$37,MATCH(Work_Codes!$I$422,$D$35:$D$37,0)))</f>
        <v>0</v>
      </c>
      <c r="P219" s="81">
        <f ca="1">P201*(1+INDEX(P$35:P$37,MATCH(Work_Codes!$I$422,$D$35:$D$37,0)))</f>
        <v>0</v>
      </c>
      <c r="Q219" s="81">
        <f ca="1">Q201*(1+INDEX(Q$35:Q$37,MATCH(Work_Codes!$I$422,$D$35:$D$37,0)))</f>
        <v>0</v>
      </c>
      <c r="R219" s="81">
        <f ca="1">R201*(1+INDEX(R$35:R$37,MATCH(Work_Codes!$I$422,$D$35:$D$37,0)))</f>
        <v>0</v>
      </c>
      <c r="S219" s="81">
        <f ca="1">S201*(1+INDEX(S$35:S$37,MATCH(Work_Codes!$I$422,$D$35:$D$37,0)))</f>
        <v>0</v>
      </c>
      <c r="T219" s="81">
        <f ca="1">T201*(1+INDEX(T$35:T$37,MATCH(Work_Codes!$I$422,$D$35:$D$37,0)))</f>
        <v>0</v>
      </c>
    </row>
    <row r="220" spans="4:20" ht="12" customHeight="1" outlineLevel="2">
      <c r="E220" s="249" t="str">
        <f>"Total "&amp;D204</f>
        <v>Total Direct Costs + Overheads</v>
      </c>
      <c r="F220" s="249"/>
      <c r="G220" s="249"/>
      <c r="H220" s="249"/>
      <c r="I220" s="249"/>
      <c r="J220" s="82">
        <f t="shared" ref="J220:T220" ca="1" si="25">SUM(J206:J219)</f>
        <v>0</v>
      </c>
      <c r="K220" s="82">
        <f t="shared" ca="1" si="25"/>
        <v>0</v>
      </c>
      <c r="L220" s="82">
        <f t="shared" ca="1" si="25"/>
        <v>0</v>
      </c>
      <c r="M220" s="82">
        <f t="shared" ca="1" si="25"/>
        <v>0</v>
      </c>
      <c r="N220" s="82">
        <f t="shared" ca="1" si="25"/>
        <v>0</v>
      </c>
      <c r="O220" s="82">
        <f t="shared" ca="1" si="25"/>
        <v>0</v>
      </c>
      <c r="P220" s="82">
        <f t="shared" ca="1" si="25"/>
        <v>0</v>
      </c>
      <c r="Q220" s="82">
        <f t="shared" ca="1" si="25"/>
        <v>0</v>
      </c>
      <c r="R220" s="82">
        <f t="shared" ca="1" si="25"/>
        <v>0</v>
      </c>
      <c r="S220" s="82">
        <f t="shared" ca="1" si="25"/>
        <v>0</v>
      </c>
      <c r="T220" s="82">
        <f t="shared" ca="1" si="25"/>
        <v>0</v>
      </c>
    </row>
    <row r="221" spans="4:20" outlineLevel="2"/>
    <row r="222" spans="4:20" outlineLevel="2">
      <c r="D222" s="37" t="s">
        <v>367</v>
      </c>
    </row>
    <row r="223" spans="4:20" ht="5.75" customHeight="1" outlineLevel="2"/>
    <row r="224" spans="4:20" outlineLevel="2">
      <c r="E224" s="247" t="str">
        <f>GC!C60</f>
        <v>Mains replacement</v>
      </c>
      <c r="F224" s="247"/>
      <c r="G224" s="247"/>
      <c r="H224" s="247"/>
      <c r="I224" s="247"/>
      <c r="J224" s="81">
        <f ca="1">SUMPRODUCT((Work_Codes!$AC$425:$AO$425=$E224)*(Work_Codes!$AC$433:$AO$433)*(J$65:J$65))</f>
        <v>0</v>
      </c>
      <c r="K224" s="81">
        <f ca="1">SUMPRODUCT((Work_Codes!$AC$425:$AO$425=$E224)*(Work_Codes!$AC$433:$AO$433)*(K$65:K$65))</f>
        <v>0</v>
      </c>
      <c r="L224" s="81">
        <f ca="1">SUMPRODUCT((Work_Codes!$AC$425:$AO$425=$E224)*(Work_Codes!$AC$433:$AO$433)*(L$65:L$65))</f>
        <v>0</v>
      </c>
      <c r="M224" s="81">
        <f ca="1">SUMPRODUCT((Work_Codes!$AC$425:$AO$425=$E224)*(Work_Codes!$AC$433:$AO$433)*(M$65:M$65))</f>
        <v>0</v>
      </c>
      <c r="N224" s="81">
        <f ca="1">SUMPRODUCT((Work_Codes!$AC$425:$AO$425=$E224)*(Work_Codes!$AC$433:$AO$433)*(N$65:N$65))</f>
        <v>0</v>
      </c>
      <c r="O224" s="81">
        <f ca="1">SUMPRODUCT((Work_Codes!$AC$425:$AO$425=$E224)*(Work_Codes!$AC$433:$AO$433)*(O$65:O$65))</f>
        <v>0</v>
      </c>
      <c r="P224" s="81">
        <f ca="1">SUMPRODUCT((Work_Codes!$AC$425:$AO$425=$E224)*(Work_Codes!$AC$433:$AO$433)*(P$65:P$65))</f>
        <v>0</v>
      </c>
      <c r="Q224" s="81">
        <f ca="1">SUMPRODUCT((Work_Codes!$AC$425:$AO$425=$E224)*(Work_Codes!$AC$433:$AO$433)*(Q$65:Q$65))</f>
        <v>0</v>
      </c>
      <c r="R224" s="81">
        <f ca="1">SUMPRODUCT((Work_Codes!$AC$425:$AO$425=$E224)*(Work_Codes!$AC$433:$AO$433)*(R$65:R$65))</f>
        <v>0</v>
      </c>
      <c r="S224" s="81">
        <f ca="1">SUMPRODUCT((Work_Codes!$AC$425:$AO$425=$E224)*(Work_Codes!$AC$433:$AO$433)*(S$65:S$65))</f>
        <v>0</v>
      </c>
      <c r="T224" s="81">
        <f ca="1">SUMPRODUCT((Work_Codes!$AC$425:$AO$425=$E224)*(Work_Codes!$AC$433:$AO$433)*(T$65:T$65))</f>
        <v>0</v>
      </c>
    </row>
    <row r="225" spans="2:20" outlineLevel="2">
      <c r="E225" s="247" t="str">
        <f>GC!C61</f>
        <v>Residential new customer connections</v>
      </c>
      <c r="F225" s="247"/>
      <c r="G225" s="247"/>
      <c r="H225" s="247"/>
      <c r="I225" s="247"/>
      <c r="J225" s="81">
        <f ca="1">SUMPRODUCT((Work_Codes!$AC$425:$AO$425=$E225)*(Work_Codes!$AC$433:$AO$433)*(J$65:J$65))</f>
        <v>0</v>
      </c>
      <c r="K225" s="81">
        <f ca="1">SUMPRODUCT((Work_Codes!$AC$425:$AO$425=$E225)*(Work_Codes!$AC$433:$AO$433)*(K$65:K$65))</f>
        <v>0</v>
      </c>
      <c r="L225" s="81">
        <f ca="1">SUMPRODUCT((Work_Codes!$AC$425:$AO$425=$E225)*(Work_Codes!$AC$433:$AO$433)*(L$65:L$65))</f>
        <v>0</v>
      </c>
      <c r="M225" s="81">
        <f ca="1">SUMPRODUCT((Work_Codes!$AC$425:$AO$425=$E225)*(Work_Codes!$AC$433:$AO$433)*(M$65:M$65))</f>
        <v>0</v>
      </c>
      <c r="N225" s="81">
        <f ca="1">SUMPRODUCT((Work_Codes!$AC$425:$AO$425=$E225)*(Work_Codes!$AC$433:$AO$433)*(N$65:N$65))</f>
        <v>0</v>
      </c>
      <c r="O225" s="81">
        <f ca="1">SUMPRODUCT((Work_Codes!$AC$425:$AO$425=$E225)*(Work_Codes!$AC$433:$AO$433)*(O$65:O$65))</f>
        <v>0</v>
      </c>
      <c r="P225" s="81">
        <f ca="1">SUMPRODUCT((Work_Codes!$AC$425:$AO$425=$E225)*(Work_Codes!$AC$433:$AO$433)*(P$65:P$65))</f>
        <v>0</v>
      </c>
      <c r="Q225" s="81">
        <f ca="1">SUMPRODUCT((Work_Codes!$AC$425:$AO$425=$E225)*(Work_Codes!$AC$433:$AO$433)*(Q$65:Q$65))</f>
        <v>0</v>
      </c>
      <c r="R225" s="81">
        <f ca="1">SUMPRODUCT((Work_Codes!$AC$425:$AO$425=$E225)*(Work_Codes!$AC$433:$AO$433)*(R$65:R$65))</f>
        <v>0</v>
      </c>
      <c r="S225" s="81">
        <f ca="1">SUMPRODUCT((Work_Codes!$AC$425:$AO$425=$E225)*(Work_Codes!$AC$433:$AO$433)*(S$65:S$65))</f>
        <v>0</v>
      </c>
      <c r="T225" s="81">
        <f ca="1">SUMPRODUCT((Work_Codes!$AC$425:$AO$425=$E225)*(Work_Codes!$AC$433:$AO$433)*(T$65:T$65))</f>
        <v>0</v>
      </c>
    </row>
    <row r="226" spans="2:20" outlineLevel="2">
      <c r="E226" s="247" t="str">
        <f>GC!C62</f>
        <v>Commercial and industrial new customer connections</v>
      </c>
      <c r="F226" s="247"/>
      <c r="G226" s="247"/>
      <c r="H226" s="247"/>
      <c r="I226" s="247"/>
      <c r="J226" s="81">
        <f ca="1">SUMPRODUCT((Work_Codes!$AC$425:$AO$425=$E226)*(Work_Codes!$AC$433:$AO$433)*(J$65:J$65))</f>
        <v>0</v>
      </c>
      <c r="K226" s="81">
        <f ca="1">SUMPRODUCT((Work_Codes!$AC$425:$AO$425=$E226)*(Work_Codes!$AC$433:$AO$433)*(K$65:K$65))</f>
        <v>0</v>
      </c>
      <c r="L226" s="81">
        <f ca="1">SUMPRODUCT((Work_Codes!$AC$425:$AO$425=$E226)*(Work_Codes!$AC$433:$AO$433)*(L$65:L$65))</f>
        <v>0</v>
      </c>
      <c r="M226" s="81">
        <f ca="1">SUMPRODUCT((Work_Codes!$AC$425:$AO$425=$E226)*(Work_Codes!$AC$433:$AO$433)*(M$65:M$65))</f>
        <v>0</v>
      </c>
      <c r="N226" s="81">
        <f ca="1">SUMPRODUCT((Work_Codes!$AC$425:$AO$425=$E226)*(Work_Codes!$AC$433:$AO$433)*(N$65:N$65))</f>
        <v>0</v>
      </c>
      <c r="O226" s="81">
        <f ca="1">SUMPRODUCT((Work_Codes!$AC$425:$AO$425=$E226)*(Work_Codes!$AC$433:$AO$433)*(O$65:O$65))</f>
        <v>0</v>
      </c>
      <c r="P226" s="81">
        <f ca="1">SUMPRODUCT((Work_Codes!$AC$425:$AO$425=$E226)*(Work_Codes!$AC$433:$AO$433)*(P$65:P$65))</f>
        <v>0</v>
      </c>
      <c r="Q226" s="81">
        <f ca="1">SUMPRODUCT((Work_Codes!$AC$425:$AO$425=$E226)*(Work_Codes!$AC$433:$AO$433)*(Q$65:Q$65))</f>
        <v>0</v>
      </c>
      <c r="R226" s="81">
        <f ca="1">SUMPRODUCT((Work_Codes!$AC$425:$AO$425=$E226)*(Work_Codes!$AC$433:$AO$433)*(R$65:R$65))</f>
        <v>0</v>
      </c>
      <c r="S226" s="81">
        <f ca="1">SUMPRODUCT((Work_Codes!$AC$425:$AO$425=$E226)*(Work_Codes!$AC$433:$AO$433)*(S$65:S$65))</f>
        <v>0</v>
      </c>
      <c r="T226" s="81">
        <f ca="1">SUMPRODUCT((Work_Codes!$AC$425:$AO$425=$E226)*(Work_Codes!$AC$433:$AO$433)*(T$65:T$65))</f>
        <v>0</v>
      </c>
    </row>
    <row r="227" spans="2:20" outlineLevel="2">
      <c r="E227" s="247" t="str">
        <f>GC!C63</f>
        <v>Residential meter replacement</v>
      </c>
      <c r="F227" s="247"/>
      <c r="G227" s="247"/>
      <c r="H227" s="247"/>
      <c r="I227" s="247"/>
      <c r="J227" s="81">
        <f ca="1">SUMPRODUCT((Work_Codes!$AC$425:$AO$425=$E227)*(Work_Codes!$AC$433:$AO$433)*(J$65:J$65))</f>
        <v>0</v>
      </c>
      <c r="K227" s="81">
        <f ca="1">SUMPRODUCT((Work_Codes!$AC$425:$AO$425=$E227)*(Work_Codes!$AC$433:$AO$433)*(K$65:K$65))</f>
        <v>0</v>
      </c>
      <c r="L227" s="81">
        <f ca="1">SUMPRODUCT((Work_Codes!$AC$425:$AO$425=$E227)*(Work_Codes!$AC$433:$AO$433)*(L$65:L$65))</f>
        <v>0</v>
      </c>
      <c r="M227" s="81">
        <f ca="1">SUMPRODUCT((Work_Codes!$AC$425:$AO$425=$E227)*(Work_Codes!$AC$433:$AO$433)*(M$65:M$65))</f>
        <v>0</v>
      </c>
      <c r="N227" s="81">
        <f ca="1">SUMPRODUCT((Work_Codes!$AC$425:$AO$425=$E227)*(Work_Codes!$AC$433:$AO$433)*(N$65:N$65))</f>
        <v>0</v>
      </c>
      <c r="O227" s="81">
        <f ca="1">SUMPRODUCT((Work_Codes!$AC$425:$AO$425=$E227)*(Work_Codes!$AC$433:$AO$433)*(O$65:O$65))</f>
        <v>0</v>
      </c>
      <c r="P227" s="81">
        <f ca="1">SUMPRODUCT((Work_Codes!$AC$425:$AO$425=$E227)*(Work_Codes!$AC$433:$AO$433)*(P$65:P$65))</f>
        <v>0</v>
      </c>
      <c r="Q227" s="81">
        <f ca="1">SUMPRODUCT((Work_Codes!$AC$425:$AO$425=$E227)*(Work_Codes!$AC$433:$AO$433)*(Q$65:Q$65))</f>
        <v>0</v>
      </c>
      <c r="R227" s="81">
        <f ca="1">SUMPRODUCT((Work_Codes!$AC$425:$AO$425=$E227)*(Work_Codes!$AC$433:$AO$433)*(R$65:R$65))</f>
        <v>0</v>
      </c>
      <c r="S227" s="81">
        <f ca="1">SUMPRODUCT((Work_Codes!$AC$425:$AO$425=$E227)*(Work_Codes!$AC$433:$AO$433)*(S$65:S$65))</f>
        <v>0</v>
      </c>
      <c r="T227" s="81">
        <f ca="1">SUMPRODUCT((Work_Codes!$AC$425:$AO$425=$E227)*(Work_Codes!$AC$433:$AO$433)*(T$65:T$65))</f>
        <v>0</v>
      </c>
    </row>
    <row r="228" spans="2:20" outlineLevel="2">
      <c r="E228" s="247" t="str">
        <f>GC!C64</f>
        <v>Commercial and industrial meter replacement</v>
      </c>
      <c r="F228" s="247"/>
      <c r="G228" s="247"/>
      <c r="H228" s="247"/>
      <c r="I228" s="247"/>
      <c r="J228" s="81">
        <f ca="1">SUMPRODUCT((Work_Codes!$AC$425:$AO$425=$E228)*(Work_Codes!$AC$433:$AO$433)*(J$65:J$65))</f>
        <v>0</v>
      </c>
      <c r="K228" s="81">
        <f ca="1">SUMPRODUCT((Work_Codes!$AC$425:$AO$425=$E228)*(Work_Codes!$AC$433:$AO$433)*(K$65:K$65))</f>
        <v>0</v>
      </c>
      <c r="L228" s="81">
        <f ca="1">SUMPRODUCT((Work_Codes!$AC$425:$AO$425=$E228)*(Work_Codes!$AC$433:$AO$433)*(L$65:L$65))</f>
        <v>0</v>
      </c>
      <c r="M228" s="81">
        <f ca="1">SUMPRODUCT((Work_Codes!$AC$425:$AO$425=$E228)*(Work_Codes!$AC$433:$AO$433)*(M$65:M$65))</f>
        <v>0</v>
      </c>
      <c r="N228" s="81">
        <f ca="1">SUMPRODUCT((Work_Codes!$AC$425:$AO$425=$E228)*(Work_Codes!$AC$433:$AO$433)*(N$65:N$65))</f>
        <v>0</v>
      </c>
      <c r="O228" s="81">
        <f ca="1">SUMPRODUCT((Work_Codes!$AC$425:$AO$425=$E228)*(Work_Codes!$AC$433:$AO$433)*(O$65:O$65))</f>
        <v>0</v>
      </c>
      <c r="P228" s="81">
        <f ca="1">SUMPRODUCT((Work_Codes!$AC$425:$AO$425=$E228)*(Work_Codes!$AC$433:$AO$433)*(P$65:P$65))</f>
        <v>0</v>
      </c>
      <c r="Q228" s="81">
        <f ca="1">SUMPRODUCT((Work_Codes!$AC$425:$AO$425=$E228)*(Work_Codes!$AC$433:$AO$433)*(Q$65:Q$65))</f>
        <v>0</v>
      </c>
      <c r="R228" s="81">
        <f ca="1">SUMPRODUCT((Work_Codes!$AC$425:$AO$425=$E228)*(Work_Codes!$AC$433:$AO$433)*(R$65:R$65))</f>
        <v>0</v>
      </c>
      <c r="S228" s="81">
        <f ca="1">SUMPRODUCT((Work_Codes!$AC$425:$AO$425=$E228)*(Work_Codes!$AC$433:$AO$433)*(S$65:S$65))</f>
        <v>0</v>
      </c>
      <c r="T228" s="81">
        <f ca="1">SUMPRODUCT((Work_Codes!$AC$425:$AO$425=$E228)*(Work_Codes!$AC$433:$AO$433)*(T$65:T$65))</f>
        <v>0</v>
      </c>
    </row>
    <row r="229" spans="2:20" outlineLevel="2">
      <c r="E229" s="247" t="str">
        <f>GC!C65</f>
        <v>Augmentation</v>
      </c>
      <c r="F229" s="247"/>
      <c r="G229" s="247"/>
      <c r="H229" s="247"/>
      <c r="I229" s="247"/>
      <c r="J229" s="81">
        <f ca="1">SUMPRODUCT((Work_Codes!$AC$425:$AO$425=$E229)*(Work_Codes!$AC$433:$AO$433)*(J$65:J$65))</f>
        <v>0</v>
      </c>
      <c r="K229" s="81">
        <f ca="1">SUMPRODUCT((Work_Codes!$AC$425:$AO$425=$E229)*(Work_Codes!$AC$433:$AO$433)*(K$65:K$65))</f>
        <v>0</v>
      </c>
      <c r="L229" s="81">
        <f ca="1">SUMPRODUCT((Work_Codes!$AC$425:$AO$425=$E229)*(Work_Codes!$AC$433:$AO$433)*(L$65:L$65))</f>
        <v>0</v>
      </c>
      <c r="M229" s="81">
        <f ca="1">SUMPRODUCT((Work_Codes!$AC$425:$AO$425=$E229)*(Work_Codes!$AC$433:$AO$433)*(M$65:M$65))</f>
        <v>0</v>
      </c>
      <c r="N229" s="81">
        <f ca="1">SUMPRODUCT((Work_Codes!$AC$425:$AO$425=$E229)*(Work_Codes!$AC$433:$AO$433)*(N$65:N$65))</f>
        <v>0</v>
      </c>
      <c r="O229" s="81">
        <f ca="1">SUMPRODUCT((Work_Codes!$AC$425:$AO$425=$E229)*(Work_Codes!$AC$433:$AO$433)*(O$65:O$65))</f>
        <v>0</v>
      </c>
      <c r="P229" s="81">
        <f ca="1">SUMPRODUCT((Work_Codes!$AC$425:$AO$425=$E229)*(Work_Codes!$AC$433:$AO$433)*(P$65:P$65))</f>
        <v>0</v>
      </c>
      <c r="Q229" s="81">
        <f ca="1">SUMPRODUCT((Work_Codes!$AC$425:$AO$425=$E229)*(Work_Codes!$AC$433:$AO$433)*(Q$65:Q$65))</f>
        <v>0</v>
      </c>
      <c r="R229" s="81">
        <f ca="1">SUMPRODUCT((Work_Codes!$AC$425:$AO$425=$E229)*(Work_Codes!$AC$433:$AO$433)*(R$65:R$65))</f>
        <v>0</v>
      </c>
      <c r="S229" s="81">
        <f ca="1">SUMPRODUCT((Work_Codes!$AC$425:$AO$425=$E229)*(Work_Codes!$AC$433:$AO$433)*(S$65:S$65))</f>
        <v>0</v>
      </c>
      <c r="T229" s="81">
        <f ca="1">SUMPRODUCT((Work_Codes!$AC$425:$AO$425=$E229)*(Work_Codes!$AC$433:$AO$433)*(T$65:T$65))</f>
        <v>0</v>
      </c>
    </row>
    <row r="230" spans="2:20" outlineLevel="2">
      <c r="E230" s="247" t="str">
        <f>GC!C66</f>
        <v>IT capex</v>
      </c>
      <c r="F230" s="247"/>
      <c r="G230" s="247"/>
      <c r="H230" s="247"/>
      <c r="I230" s="247"/>
      <c r="J230" s="81">
        <f ca="1">SUMPRODUCT((Work_Codes!$AC$425:$AO$425=$E230)*(Work_Codes!$AC$433:$AO$433)*(J$65:J$65))</f>
        <v>0</v>
      </c>
      <c r="K230" s="81">
        <f ca="1">SUMPRODUCT((Work_Codes!$AC$425:$AO$425=$E230)*(Work_Codes!$AC$433:$AO$433)*(K$65:K$65))</f>
        <v>0</v>
      </c>
      <c r="L230" s="81">
        <f ca="1">SUMPRODUCT((Work_Codes!$AC$425:$AO$425=$E230)*(Work_Codes!$AC$433:$AO$433)*(L$65:L$65))</f>
        <v>0</v>
      </c>
      <c r="M230" s="81">
        <f ca="1">SUMPRODUCT((Work_Codes!$AC$425:$AO$425=$E230)*(Work_Codes!$AC$433:$AO$433)*(M$65:M$65))</f>
        <v>0</v>
      </c>
      <c r="N230" s="81">
        <f ca="1">SUMPRODUCT((Work_Codes!$AC$425:$AO$425=$E230)*(Work_Codes!$AC$433:$AO$433)*(N$65:N$65))</f>
        <v>0</v>
      </c>
      <c r="O230" s="81">
        <f ca="1">SUMPRODUCT((Work_Codes!$AC$425:$AO$425=$E230)*(Work_Codes!$AC$433:$AO$433)*(O$65:O$65))</f>
        <v>0</v>
      </c>
      <c r="P230" s="81">
        <f ca="1">SUMPRODUCT((Work_Codes!$AC$425:$AO$425=$E230)*(Work_Codes!$AC$433:$AO$433)*(P$65:P$65))</f>
        <v>0</v>
      </c>
      <c r="Q230" s="81">
        <f ca="1">SUMPRODUCT((Work_Codes!$AC$425:$AO$425=$E230)*(Work_Codes!$AC$433:$AO$433)*(Q$65:Q$65))</f>
        <v>0</v>
      </c>
      <c r="R230" s="81">
        <f ca="1">SUMPRODUCT((Work_Codes!$AC$425:$AO$425=$E230)*(Work_Codes!$AC$433:$AO$433)*(R$65:R$65))</f>
        <v>0</v>
      </c>
      <c r="S230" s="81">
        <f ca="1">SUMPRODUCT((Work_Codes!$AC$425:$AO$425=$E230)*(Work_Codes!$AC$433:$AO$433)*(S$65:S$65))</f>
        <v>0</v>
      </c>
      <c r="T230" s="81">
        <f ca="1">SUMPRODUCT((Work_Codes!$AC$425:$AO$425=$E230)*(Work_Codes!$AC$433:$AO$433)*(T$65:T$65))</f>
        <v>0</v>
      </c>
    </row>
    <row r="231" spans="2:20" outlineLevel="2">
      <c r="E231" s="247" t="str">
        <f>GC!C67</f>
        <v>SCADA</v>
      </c>
      <c r="F231" s="247"/>
      <c r="G231" s="247"/>
      <c r="H231" s="247"/>
      <c r="I231" s="247"/>
      <c r="J231" s="81">
        <f ca="1">SUMPRODUCT((Work_Codes!$AC$425:$AO$425=$E231)*(Work_Codes!$AC$433:$AO$433)*(J$65:J$65))</f>
        <v>0</v>
      </c>
      <c r="K231" s="81">
        <f ca="1">SUMPRODUCT((Work_Codes!$AC$425:$AO$425=$E231)*(Work_Codes!$AC$433:$AO$433)*(K$65:K$65))</f>
        <v>0</v>
      </c>
      <c r="L231" s="81">
        <f ca="1">SUMPRODUCT((Work_Codes!$AC$425:$AO$425=$E231)*(Work_Codes!$AC$433:$AO$433)*(L$65:L$65))</f>
        <v>0</v>
      </c>
      <c r="M231" s="81">
        <f ca="1">SUMPRODUCT((Work_Codes!$AC$425:$AO$425=$E231)*(Work_Codes!$AC$433:$AO$433)*(M$65:M$65))</f>
        <v>0</v>
      </c>
      <c r="N231" s="81">
        <f ca="1">SUMPRODUCT((Work_Codes!$AC$425:$AO$425=$E231)*(Work_Codes!$AC$433:$AO$433)*(N$65:N$65))</f>
        <v>0</v>
      </c>
      <c r="O231" s="81">
        <f ca="1">SUMPRODUCT((Work_Codes!$AC$425:$AO$425=$E231)*(Work_Codes!$AC$433:$AO$433)*(O$65:O$65))</f>
        <v>0</v>
      </c>
      <c r="P231" s="81">
        <f ca="1">SUMPRODUCT((Work_Codes!$AC$425:$AO$425=$E231)*(Work_Codes!$AC$433:$AO$433)*(P$65:P$65))</f>
        <v>0</v>
      </c>
      <c r="Q231" s="81">
        <f ca="1">SUMPRODUCT((Work_Codes!$AC$425:$AO$425=$E231)*(Work_Codes!$AC$433:$AO$433)*(Q$65:Q$65))</f>
        <v>0</v>
      </c>
      <c r="R231" s="81">
        <f ca="1">SUMPRODUCT((Work_Codes!$AC$425:$AO$425=$E231)*(Work_Codes!$AC$433:$AO$433)*(R$65:R$65))</f>
        <v>0</v>
      </c>
      <c r="S231" s="81">
        <f ca="1">SUMPRODUCT((Work_Codes!$AC$425:$AO$425=$E231)*(Work_Codes!$AC$433:$AO$433)*(S$65:S$65))</f>
        <v>0</v>
      </c>
      <c r="T231" s="81">
        <f ca="1">SUMPRODUCT((Work_Codes!$AC$425:$AO$425=$E231)*(Work_Codes!$AC$433:$AO$433)*(T$65:T$65))</f>
        <v>0</v>
      </c>
    </row>
    <row r="232" spans="2:20" outlineLevel="2">
      <c r="E232" s="247" t="str">
        <f>GC!C68</f>
        <v>Other</v>
      </c>
      <c r="F232" s="247"/>
      <c r="G232" s="247"/>
      <c r="H232" s="247"/>
      <c r="I232" s="247"/>
      <c r="J232" s="81">
        <f ca="1">SUMPRODUCT((Work_Codes!$AC$425:$AO$425=$E232)*(Work_Codes!$AC$433:$AO$433)*(J$65:J$65))</f>
        <v>0</v>
      </c>
      <c r="K232" s="81">
        <f ca="1">SUMPRODUCT((Work_Codes!$AC$425:$AO$425=$E232)*(Work_Codes!$AC$433:$AO$433)*(K$65:K$65))</f>
        <v>0</v>
      </c>
      <c r="L232" s="81">
        <f ca="1">SUMPRODUCT((Work_Codes!$AC$425:$AO$425=$E232)*(Work_Codes!$AC$433:$AO$433)*(L$65:L$65))</f>
        <v>0</v>
      </c>
      <c r="M232" s="81">
        <f ca="1">SUMPRODUCT((Work_Codes!$AC$425:$AO$425=$E232)*(Work_Codes!$AC$433:$AO$433)*(M$65:M$65))</f>
        <v>0</v>
      </c>
      <c r="N232" s="81">
        <f ca="1">SUMPRODUCT((Work_Codes!$AC$425:$AO$425=$E232)*(Work_Codes!$AC$433:$AO$433)*(N$65:N$65))</f>
        <v>0</v>
      </c>
      <c r="O232" s="81">
        <f ca="1">SUMPRODUCT((Work_Codes!$AC$425:$AO$425=$E232)*(Work_Codes!$AC$433:$AO$433)*(O$65:O$65))</f>
        <v>0</v>
      </c>
      <c r="P232" s="81">
        <f ca="1">SUMPRODUCT((Work_Codes!$AC$425:$AO$425=$E232)*(Work_Codes!$AC$433:$AO$433)*(P$65:P$65))</f>
        <v>0</v>
      </c>
      <c r="Q232" s="81">
        <f ca="1">SUMPRODUCT((Work_Codes!$AC$425:$AO$425=$E232)*(Work_Codes!$AC$433:$AO$433)*(Q$65:Q$65))</f>
        <v>0</v>
      </c>
      <c r="R232" s="81">
        <f ca="1">SUMPRODUCT((Work_Codes!$AC$425:$AO$425=$E232)*(Work_Codes!$AC$433:$AO$433)*(R$65:R$65))</f>
        <v>0</v>
      </c>
      <c r="S232" s="81">
        <f ca="1">SUMPRODUCT((Work_Codes!$AC$425:$AO$425=$E232)*(Work_Codes!$AC$433:$AO$433)*(S$65:S$65))</f>
        <v>0</v>
      </c>
      <c r="T232" s="81">
        <f ca="1">SUMPRODUCT((Work_Codes!$AC$425:$AO$425=$E232)*(Work_Codes!$AC$433:$AO$433)*(T$65:T$65))</f>
        <v>0</v>
      </c>
    </row>
    <row r="233" spans="2:20" outlineLevel="2">
      <c r="E233" s="247" t="str">
        <f>GC!C69</f>
        <v>Capitalised Leases</v>
      </c>
      <c r="F233" s="247"/>
      <c r="G233" s="247"/>
      <c r="H233" s="247"/>
      <c r="I233" s="247"/>
      <c r="J233" s="81">
        <f ca="1">SUMPRODUCT((Work_Codes!$AC$425:$AO$425=$E233)*(Work_Codes!$AC$433:$AO$433)*(J$65:J$65))</f>
        <v>0</v>
      </c>
      <c r="K233" s="81">
        <f ca="1">SUMPRODUCT((Work_Codes!$AC$425:$AO$425=$E233)*(Work_Codes!$AC$433:$AO$433)*(K$65:K$65))</f>
        <v>0</v>
      </c>
      <c r="L233" s="81">
        <f ca="1">SUMPRODUCT((Work_Codes!$AC$425:$AO$425=$E233)*(Work_Codes!$AC$433:$AO$433)*(L$65:L$65))</f>
        <v>0</v>
      </c>
      <c r="M233" s="81">
        <f ca="1">SUMPRODUCT((Work_Codes!$AC$425:$AO$425=$E233)*(Work_Codes!$AC$433:$AO$433)*(M$65:M$65))</f>
        <v>0</v>
      </c>
      <c r="N233" s="81">
        <f ca="1">SUMPRODUCT((Work_Codes!$AC$425:$AO$425=$E233)*(Work_Codes!$AC$433:$AO$433)*(N$65:N$65))</f>
        <v>0</v>
      </c>
      <c r="O233" s="81">
        <f ca="1">SUMPRODUCT((Work_Codes!$AC$425:$AO$425=$E233)*(Work_Codes!$AC$433:$AO$433)*(O$65:O$65))</f>
        <v>0</v>
      </c>
      <c r="P233" s="81">
        <f ca="1">SUMPRODUCT((Work_Codes!$AC$425:$AO$425=$E233)*(Work_Codes!$AC$433:$AO$433)*(P$65:P$65))</f>
        <v>0</v>
      </c>
      <c r="Q233" s="81">
        <f ca="1">SUMPRODUCT((Work_Codes!$AC$425:$AO$425=$E233)*(Work_Codes!$AC$433:$AO$433)*(Q$65:Q$65))</f>
        <v>0</v>
      </c>
      <c r="R233" s="81">
        <f ca="1">SUMPRODUCT((Work_Codes!$AC$425:$AO$425=$E233)*(Work_Codes!$AC$433:$AO$433)*(R$65:R$65))</f>
        <v>0</v>
      </c>
      <c r="S233" s="81">
        <f ca="1">SUMPRODUCT((Work_Codes!$AC$425:$AO$425=$E233)*(Work_Codes!$AC$433:$AO$433)*(S$65:S$65))</f>
        <v>0</v>
      </c>
      <c r="T233" s="81">
        <f ca="1">SUMPRODUCT((Work_Codes!$AC$425:$AO$425=$E233)*(Work_Codes!$AC$433:$AO$433)*(T$65:T$65))</f>
        <v>0</v>
      </c>
    </row>
    <row r="234" spans="2:20" outlineLevel="2">
      <c r="E234" s="247" t="str">
        <f>GC!C70</f>
        <v>Gas Extensions - Energy for the Regions</v>
      </c>
      <c r="F234" s="247"/>
      <c r="G234" s="247"/>
      <c r="H234" s="247"/>
      <c r="I234" s="247"/>
      <c r="J234" s="81">
        <f ca="1">SUMPRODUCT((Work_Codes!$AC$425:$AO$425=$E234)*(Work_Codes!$AC$433:$AO$433)*(J$65:J$65))</f>
        <v>0</v>
      </c>
      <c r="K234" s="81">
        <f ca="1">SUMPRODUCT((Work_Codes!$AC$425:$AO$425=$E234)*(Work_Codes!$AC$433:$AO$433)*(K$65:K$65))</f>
        <v>0</v>
      </c>
      <c r="L234" s="81">
        <f ca="1">SUMPRODUCT((Work_Codes!$AC$425:$AO$425=$E234)*(Work_Codes!$AC$433:$AO$433)*(L$65:L$65))</f>
        <v>0</v>
      </c>
      <c r="M234" s="81">
        <f ca="1">SUMPRODUCT((Work_Codes!$AC$425:$AO$425=$E234)*(Work_Codes!$AC$433:$AO$433)*(M$65:M$65))</f>
        <v>0</v>
      </c>
      <c r="N234" s="81">
        <f ca="1">SUMPRODUCT((Work_Codes!$AC$425:$AO$425=$E234)*(Work_Codes!$AC$433:$AO$433)*(N$65:N$65))</f>
        <v>0</v>
      </c>
      <c r="O234" s="81">
        <f ca="1">SUMPRODUCT((Work_Codes!$AC$425:$AO$425=$E234)*(Work_Codes!$AC$433:$AO$433)*(O$65:O$65))</f>
        <v>0</v>
      </c>
      <c r="P234" s="81">
        <f ca="1">SUMPRODUCT((Work_Codes!$AC$425:$AO$425=$E234)*(Work_Codes!$AC$433:$AO$433)*(P$65:P$65))</f>
        <v>0</v>
      </c>
      <c r="Q234" s="81">
        <f ca="1">SUMPRODUCT((Work_Codes!$AC$425:$AO$425=$E234)*(Work_Codes!$AC$433:$AO$433)*(Q$65:Q$65))</f>
        <v>0</v>
      </c>
      <c r="R234" s="81">
        <f ca="1">SUMPRODUCT((Work_Codes!$AC$425:$AO$425=$E234)*(Work_Codes!$AC$433:$AO$433)*(R$65:R$65))</f>
        <v>0</v>
      </c>
      <c r="S234" s="81">
        <f ca="1">SUMPRODUCT((Work_Codes!$AC$425:$AO$425=$E234)*(Work_Codes!$AC$433:$AO$433)*(S$65:S$65))</f>
        <v>0</v>
      </c>
      <c r="T234" s="81">
        <f ca="1">SUMPRODUCT((Work_Codes!$AC$425:$AO$425=$E234)*(Work_Codes!$AC$433:$AO$433)*(T$65:T$65))</f>
        <v>0</v>
      </c>
    </row>
    <row r="235" spans="2:20" outlineLevel="2">
      <c r="E235" s="247" t="str">
        <f>GC!C71</f>
        <v>Gas Extensions - Other</v>
      </c>
      <c r="F235" s="247"/>
      <c r="G235" s="247"/>
      <c r="H235" s="247"/>
      <c r="I235" s="247"/>
      <c r="J235" s="81">
        <f ca="1">SUMPRODUCT((Work_Codes!$AC$425:$AO$425=$E235)*(Work_Codes!$AC$433:$AO$433)*(J$65:J$65))</f>
        <v>0</v>
      </c>
      <c r="K235" s="81">
        <f ca="1">SUMPRODUCT((Work_Codes!$AC$425:$AO$425=$E235)*(Work_Codes!$AC$433:$AO$433)*(K$65:K$65))</f>
        <v>0</v>
      </c>
      <c r="L235" s="81">
        <f ca="1">SUMPRODUCT((Work_Codes!$AC$425:$AO$425=$E235)*(Work_Codes!$AC$433:$AO$433)*(L$65:L$65))</f>
        <v>0</v>
      </c>
      <c r="M235" s="81">
        <f ca="1">SUMPRODUCT((Work_Codes!$AC$425:$AO$425=$E235)*(Work_Codes!$AC$433:$AO$433)*(M$65:M$65))</f>
        <v>0</v>
      </c>
      <c r="N235" s="81">
        <f ca="1">SUMPRODUCT((Work_Codes!$AC$425:$AO$425=$E235)*(Work_Codes!$AC$433:$AO$433)*(N$65:N$65))</f>
        <v>0</v>
      </c>
      <c r="O235" s="81">
        <f ca="1">SUMPRODUCT((Work_Codes!$AC$425:$AO$425=$E235)*(Work_Codes!$AC$433:$AO$433)*(O$65:O$65))</f>
        <v>0</v>
      </c>
      <c r="P235" s="81">
        <f ca="1">SUMPRODUCT((Work_Codes!$AC$425:$AO$425=$E235)*(Work_Codes!$AC$433:$AO$433)*(P$65:P$65))</f>
        <v>0</v>
      </c>
      <c r="Q235" s="81">
        <f ca="1">SUMPRODUCT((Work_Codes!$AC$425:$AO$425=$E235)*(Work_Codes!$AC$433:$AO$433)*(Q$65:Q$65))</f>
        <v>0</v>
      </c>
      <c r="R235" s="81">
        <f ca="1">SUMPRODUCT((Work_Codes!$AC$425:$AO$425=$E235)*(Work_Codes!$AC$433:$AO$433)*(R$65:R$65))</f>
        <v>0</v>
      </c>
      <c r="S235" s="81">
        <f ca="1">SUMPRODUCT((Work_Codes!$AC$425:$AO$425=$E235)*(Work_Codes!$AC$433:$AO$433)*(S$65:S$65))</f>
        <v>0</v>
      </c>
      <c r="T235" s="81">
        <f ca="1">SUMPRODUCT((Work_Codes!$AC$425:$AO$425=$E235)*(Work_Codes!$AC$433:$AO$433)*(T$65:T$65))</f>
        <v>0</v>
      </c>
    </row>
    <row r="236" spans="2:20" outlineLevel="2">
      <c r="E236" s="247" t="str">
        <f>GC!C72</f>
        <v>Customer contributions</v>
      </c>
      <c r="F236" s="247"/>
      <c r="G236" s="247"/>
      <c r="H236" s="247"/>
      <c r="I236" s="247"/>
      <c r="J236" s="81">
        <f ca="1">SUMPRODUCT((Work_Codes!$AC$425:$AO$425=$E236)*(Work_Codes!$AC$433:$AO$433)*(J$65:J$65))</f>
        <v>0</v>
      </c>
      <c r="K236" s="81">
        <f ca="1">SUMPRODUCT((Work_Codes!$AC$425:$AO$425=$E236)*(Work_Codes!$AC$433:$AO$433)*(K$65:K$65))</f>
        <v>0</v>
      </c>
      <c r="L236" s="81">
        <f ca="1">SUMPRODUCT((Work_Codes!$AC$425:$AO$425=$E236)*(Work_Codes!$AC$433:$AO$433)*(L$65:L$65))</f>
        <v>0</v>
      </c>
      <c r="M236" s="81">
        <f ca="1">SUMPRODUCT((Work_Codes!$AC$425:$AO$425=$E236)*(Work_Codes!$AC$433:$AO$433)*(M$65:M$65))</f>
        <v>0</v>
      </c>
      <c r="N236" s="81">
        <f ca="1">SUMPRODUCT((Work_Codes!$AC$425:$AO$425=$E236)*(Work_Codes!$AC$433:$AO$433)*(N$65:N$65))</f>
        <v>0</v>
      </c>
      <c r="O236" s="81">
        <f ca="1">SUMPRODUCT((Work_Codes!$AC$425:$AO$425=$E236)*(Work_Codes!$AC$433:$AO$433)*(O$65:O$65))</f>
        <v>0</v>
      </c>
      <c r="P236" s="81">
        <f ca="1">SUMPRODUCT((Work_Codes!$AC$425:$AO$425=$E236)*(Work_Codes!$AC$433:$AO$433)*(P$65:P$65))</f>
        <v>0</v>
      </c>
      <c r="Q236" s="81">
        <f ca="1">SUMPRODUCT((Work_Codes!$AC$425:$AO$425=$E236)*(Work_Codes!$AC$433:$AO$433)*(Q$65:Q$65))</f>
        <v>0</v>
      </c>
      <c r="R236" s="81">
        <f ca="1">SUMPRODUCT((Work_Codes!$AC$425:$AO$425=$E236)*(Work_Codes!$AC$433:$AO$433)*(R$65:R$65))</f>
        <v>0</v>
      </c>
      <c r="S236" s="81">
        <f ca="1">SUMPRODUCT((Work_Codes!$AC$425:$AO$425=$E236)*(Work_Codes!$AC$433:$AO$433)*(S$65:S$65))</f>
        <v>0</v>
      </c>
      <c r="T236" s="81">
        <f ca="1">SUMPRODUCT((Work_Codes!$AC$425:$AO$425=$E236)*(Work_Codes!$AC$433:$AO$433)*(T$65:T$65))</f>
        <v>0</v>
      </c>
    </row>
    <row r="237" spans="2:20" outlineLevel="2">
      <c r="E237" s="247" t="str">
        <f>GC!C73</f>
        <v>Government contributions</v>
      </c>
      <c r="F237" s="247"/>
      <c r="G237" s="247"/>
      <c r="H237" s="247"/>
      <c r="I237" s="247"/>
      <c r="J237" s="81">
        <f ca="1">SUMPRODUCT((Work_Codes!$AC$425:$AO$425=$E237)*(Work_Codes!$AC$433:$AO$433)*(J$65:J$65))</f>
        <v>0</v>
      </c>
      <c r="K237" s="81">
        <f ca="1">SUMPRODUCT((Work_Codes!$AC$425:$AO$425=$E237)*(Work_Codes!$AC$433:$AO$433)*(K$65:K$65))</f>
        <v>0</v>
      </c>
      <c r="L237" s="81">
        <f ca="1">SUMPRODUCT((Work_Codes!$AC$425:$AO$425=$E237)*(Work_Codes!$AC$433:$AO$433)*(L$65:L$65))</f>
        <v>0</v>
      </c>
      <c r="M237" s="81">
        <f ca="1">SUMPRODUCT((Work_Codes!$AC$425:$AO$425=$E237)*(Work_Codes!$AC$433:$AO$433)*(M$65:M$65))</f>
        <v>0</v>
      </c>
      <c r="N237" s="81">
        <f ca="1">SUMPRODUCT((Work_Codes!$AC$425:$AO$425=$E237)*(Work_Codes!$AC$433:$AO$433)*(N$65:N$65))</f>
        <v>0</v>
      </c>
      <c r="O237" s="81">
        <f ca="1">SUMPRODUCT((Work_Codes!$AC$425:$AO$425=$E237)*(Work_Codes!$AC$433:$AO$433)*(O$65:O$65))</f>
        <v>0</v>
      </c>
      <c r="P237" s="81">
        <f ca="1">SUMPRODUCT((Work_Codes!$AC$425:$AO$425=$E237)*(Work_Codes!$AC$433:$AO$433)*(P$65:P$65))</f>
        <v>0</v>
      </c>
      <c r="Q237" s="81">
        <f ca="1">SUMPRODUCT((Work_Codes!$AC$425:$AO$425=$E237)*(Work_Codes!$AC$433:$AO$433)*(Q$65:Q$65))</f>
        <v>0</v>
      </c>
      <c r="R237" s="81">
        <f ca="1">SUMPRODUCT((Work_Codes!$AC$425:$AO$425=$E237)*(Work_Codes!$AC$433:$AO$433)*(R$65:R$65))</f>
        <v>0</v>
      </c>
      <c r="S237" s="81">
        <f ca="1">SUMPRODUCT((Work_Codes!$AC$425:$AO$425=$E237)*(Work_Codes!$AC$433:$AO$433)*(S$65:S$65))</f>
        <v>0</v>
      </c>
      <c r="T237" s="81">
        <f ca="1">SUMPRODUCT((Work_Codes!$AC$425:$AO$425=$E237)*(Work_Codes!$AC$433:$AO$433)*(T$65:T$65))</f>
        <v>0</v>
      </c>
    </row>
    <row r="238" spans="2:20" outlineLevel="2">
      <c r="E238" s="249" t="str">
        <f t="shared" ref="E238" si="26">"Total "&amp;D222</f>
        <v>Total Customer Contributions</v>
      </c>
      <c r="F238" s="249"/>
      <c r="G238" s="249"/>
      <c r="H238" s="249"/>
      <c r="I238" s="249"/>
      <c r="J238" s="82">
        <f t="shared" ref="J238:T238" ca="1" si="27">SUM(J224:J237)</f>
        <v>0</v>
      </c>
      <c r="K238" s="82">
        <f t="shared" ca="1" si="27"/>
        <v>0</v>
      </c>
      <c r="L238" s="82">
        <f t="shared" ca="1" si="27"/>
        <v>0</v>
      </c>
      <c r="M238" s="82">
        <f t="shared" ca="1" si="27"/>
        <v>0</v>
      </c>
      <c r="N238" s="82">
        <f t="shared" ca="1" si="27"/>
        <v>0</v>
      </c>
      <c r="O238" s="82">
        <f t="shared" ca="1" si="27"/>
        <v>0</v>
      </c>
      <c r="P238" s="82">
        <f t="shared" ca="1" si="27"/>
        <v>0</v>
      </c>
      <c r="Q238" s="82">
        <f t="shared" ca="1" si="27"/>
        <v>0</v>
      </c>
      <c r="R238" s="82">
        <f t="shared" ca="1" si="27"/>
        <v>0</v>
      </c>
      <c r="S238" s="82">
        <f t="shared" ca="1" si="27"/>
        <v>0</v>
      </c>
      <c r="T238" s="82">
        <f t="shared" ca="1" si="27"/>
        <v>0</v>
      </c>
    </row>
    <row r="239" spans="2:20" outlineLevel="2">
      <c r="B239" s="12"/>
      <c r="C239" s="12"/>
      <c r="D239" s="12"/>
      <c r="E239" s="12"/>
      <c r="F239" s="12"/>
      <c r="G239" s="12"/>
      <c r="H239" s="12"/>
      <c r="I239" s="12"/>
      <c r="J239" s="12"/>
      <c r="K239" s="12"/>
      <c r="L239" s="12"/>
      <c r="M239" s="12"/>
      <c r="N239" s="12"/>
      <c r="O239" s="12"/>
      <c r="P239" s="12"/>
      <c r="Q239" s="12"/>
      <c r="R239" s="12"/>
      <c r="S239" s="12"/>
      <c r="T239" s="12"/>
    </row>
    <row r="240" spans="2:20" outlineLevel="2"/>
    <row r="241" spans="3:20" outlineLevel="2">
      <c r="C241" s="37" t="s">
        <v>311</v>
      </c>
    </row>
    <row r="242" spans="3:20" ht="5.9" customHeight="1" outlineLevel="2"/>
    <row r="243" spans="3:20" outlineLevel="2">
      <c r="D243" s="37" t="s">
        <v>215</v>
      </c>
    </row>
    <row r="244" spans="3:20" ht="5.9" customHeight="1" outlineLevel="2"/>
    <row r="245" spans="3:20" outlineLevel="2">
      <c r="E245" s="247" t="str">
        <f>GC!C78</f>
        <v>Mains &amp; Services</v>
      </c>
      <c r="F245" s="247"/>
      <c r="G245" s="247"/>
      <c r="H245" s="247"/>
      <c r="I245" s="247"/>
      <c r="J245" s="81">
        <f ca="1">SUMPRODUCT((Work_Codes!$AR$425:$AX$425=$E245)*(Work_Codes!$AR$428:$AX$429)*(J$95:J$96))</f>
        <v>0</v>
      </c>
      <c r="K245" s="81">
        <f ca="1">SUMPRODUCT((Work_Codes!$AR$425:$AX$425=$E245)*(Work_Codes!$AR$428:$AX$429)*(K$95:K$96))</f>
        <v>0</v>
      </c>
      <c r="L245" s="81">
        <f ca="1">SUMPRODUCT((Work_Codes!$AR$425:$AX$425=$E245)*(Work_Codes!$AR$428:$AX$429)*(L$95:L$96))</f>
        <v>0</v>
      </c>
      <c r="M245" s="81">
        <f ca="1">SUMPRODUCT((Work_Codes!$AR$425:$AX$425=$E245)*(Work_Codes!$AR$428:$AX$429)*(M$95:M$96))</f>
        <v>0</v>
      </c>
      <c r="N245" s="81">
        <f ca="1">SUMPRODUCT((Work_Codes!$AR$425:$AX$425=$E245)*(Work_Codes!$AR$428:$AX$429)*(N$95:N$96))</f>
        <v>0</v>
      </c>
      <c r="O245" s="81">
        <f ca="1">SUMPRODUCT((Work_Codes!$AR$425:$AX$425=$E245)*(Work_Codes!$AR$428:$AX$429)*(O$95:O$96))</f>
        <v>0</v>
      </c>
      <c r="P245" s="81">
        <f ca="1">SUMPRODUCT((Work_Codes!$AR$425:$AX$425=$E245)*(Work_Codes!$AR$428:$AX$429)*(P$95:P$96))</f>
        <v>0</v>
      </c>
      <c r="Q245" s="81">
        <f ca="1">SUMPRODUCT((Work_Codes!$AR$425:$AX$425=$E245)*(Work_Codes!$AR$428:$AX$429)*(Q$95:Q$96))</f>
        <v>0</v>
      </c>
      <c r="R245" s="81">
        <f ca="1">SUMPRODUCT((Work_Codes!$AR$425:$AX$425=$E245)*(Work_Codes!$AR$428:$AX$429)*(R$95:R$96))</f>
        <v>0</v>
      </c>
      <c r="S245" s="81">
        <f ca="1">SUMPRODUCT((Work_Codes!$AR$425:$AX$425=$E245)*(Work_Codes!$AR$428:$AX$429)*(S$95:S$96))</f>
        <v>0</v>
      </c>
      <c r="T245" s="81">
        <f ca="1">SUMPRODUCT((Work_Codes!$AR$425:$AX$425=$E245)*(Work_Codes!$AR$428:$AX$429)*(T$95:T$96))</f>
        <v>0</v>
      </c>
    </row>
    <row r="246" spans="3:20" outlineLevel="2">
      <c r="E246" s="247" t="str">
        <f>GC!C79</f>
        <v>Meters Domestic</v>
      </c>
      <c r="F246" s="247"/>
      <c r="G246" s="247"/>
      <c r="H246" s="247"/>
      <c r="I246" s="247"/>
      <c r="J246" s="81">
        <f ca="1">SUMPRODUCT((Work_Codes!$AR$425:$AX$425=$E246)*(Work_Codes!$AR$428:$AX$429)*(J$95:J$96))</f>
        <v>0</v>
      </c>
      <c r="K246" s="81">
        <f ca="1">SUMPRODUCT((Work_Codes!$AR$425:$AX$425=$E246)*(Work_Codes!$AR$428:$AX$429)*(K$95:K$96))</f>
        <v>0</v>
      </c>
      <c r="L246" s="81">
        <f ca="1">SUMPRODUCT((Work_Codes!$AR$425:$AX$425=$E246)*(Work_Codes!$AR$428:$AX$429)*(L$95:L$96))</f>
        <v>0</v>
      </c>
      <c r="M246" s="81">
        <f ca="1">SUMPRODUCT((Work_Codes!$AR$425:$AX$425=$E246)*(Work_Codes!$AR$428:$AX$429)*(M$95:M$96))</f>
        <v>0</v>
      </c>
      <c r="N246" s="81">
        <f ca="1">SUMPRODUCT((Work_Codes!$AR$425:$AX$425=$E246)*(Work_Codes!$AR$428:$AX$429)*(N$95:N$96))</f>
        <v>0</v>
      </c>
      <c r="O246" s="81">
        <f ca="1">SUMPRODUCT((Work_Codes!$AR$425:$AX$425=$E246)*(Work_Codes!$AR$428:$AX$429)*(O$95:O$96))</f>
        <v>0</v>
      </c>
      <c r="P246" s="81">
        <f ca="1">SUMPRODUCT((Work_Codes!$AR$425:$AX$425=$E246)*(Work_Codes!$AR$428:$AX$429)*(P$95:P$96))</f>
        <v>0</v>
      </c>
      <c r="Q246" s="81">
        <f ca="1">SUMPRODUCT((Work_Codes!$AR$425:$AX$425=$E246)*(Work_Codes!$AR$428:$AX$429)*(Q$95:Q$96))</f>
        <v>0</v>
      </c>
      <c r="R246" s="81">
        <f ca="1">SUMPRODUCT((Work_Codes!$AR$425:$AX$425=$E246)*(Work_Codes!$AR$428:$AX$429)*(R$95:R$96))</f>
        <v>0</v>
      </c>
      <c r="S246" s="81">
        <f ca="1">SUMPRODUCT((Work_Codes!$AR$425:$AX$425=$E246)*(Work_Codes!$AR$428:$AX$429)*(S$95:S$96))</f>
        <v>0</v>
      </c>
      <c r="T246" s="81">
        <f ca="1">SUMPRODUCT((Work_Codes!$AR$425:$AX$425=$E246)*(Work_Codes!$AR$428:$AX$429)*(T$95:T$96))</f>
        <v>0</v>
      </c>
    </row>
    <row r="247" spans="3:20" outlineLevel="2">
      <c r="E247" s="247" t="str">
        <f>GC!C80</f>
        <v>Meters Industrial &amp; Commercial</v>
      </c>
      <c r="F247" s="247"/>
      <c r="G247" s="247"/>
      <c r="H247" s="247"/>
      <c r="I247" s="247"/>
      <c r="J247" s="81">
        <f ca="1">SUMPRODUCT((Work_Codes!$AR$425:$AX$425=$E247)*(Work_Codes!$AR$428:$AX$429)*(J$95:J$96))</f>
        <v>0</v>
      </c>
      <c r="K247" s="81">
        <f ca="1">SUMPRODUCT((Work_Codes!$AR$425:$AX$425=$E247)*(Work_Codes!$AR$428:$AX$429)*(K$95:K$96))</f>
        <v>0</v>
      </c>
      <c r="L247" s="81">
        <f ca="1">SUMPRODUCT((Work_Codes!$AR$425:$AX$425=$E247)*(Work_Codes!$AR$428:$AX$429)*(L$95:L$96))</f>
        <v>0</v>
      </c>
      <c r="M247" s="81">
        <f ca="1">SUMPRODUCT((Work_Codes!$AR$425:$AX$425=$E247)*(Work_Codes!$AR$428:$AX$429)*(M$95:M$96))</f>
        <v>0</v>
      </c>
      <c r="N247" s="81">
        <f ca="1">SUMPRODUCT((Work_Codes!$AR$425:$AX$425=$E247)*(Work_Codes!$AR$428:$AX$429)*(N$95:N$96))</f>
        <v>0</v>
      </c>
      <c r="O247" s="81">
        <f ca="1">SUMPRODUCT((Work_Codes!$AR$425:$AX$425=$E247)*(Work_Codes!$AR$428:$AX$429)*(O$95:O$96))</f>
        <v>0</v>
      </c>
      <c r="P247" s="81">
        <f ca="1">SUMPRODUCT((Work_Codes!$AR$425:$AX$425=$E247)*(Work_Codes!$AR$428:$AX$429)*(P$95:P$96))</f>
        <v>0</v>
      </c>
      <c r="Q247" s="81">
        <f ca="1">SUMPRODUCT((Work_Codes!$AR$425:$AX$425=$E247)*(Work_Codes!$AR$428:$AX$429)*(Q$95:Q$96))</f>
        <v>0</v>
      </c>
      <c r="R247" s="81">
        <f ca="1">SUMPRODUCT((Work_Codes!$AR$425:$AX$425=$E247)*(Work_Codes!$AR$428:$AX$429)*(R$95:R$96))</f>
        <v>0</v>
      </c>
      <c r="S247" s="81">
        <f ca="1">SUMPRODUCT((Work_Codes!$AR$425:$AX$425=$E247)*(Work_Codes!$AR$428:$AX$429)*(S$95:S$96))</f>
        <v>0</v>
      </c>
      <c r="T247" s="81">
        <f ca="1">SUMPRODUCT((Work_Codes!$AR$425:$AX$425=$E247)*(Work_Codes!$AR$428:$AX$429)*(T$95:T$96))</f>
        <v>0</v>
      </c>
    </row>
    <row r="248" spans="3:20" outlineLevel="2">
      <c r="E248" s="247" t="str">
        <f>GC!C81</f>
        <v>Buildings</v>
      </c>
      <c r="F248" s="247"/>
      <c r="G248" s="247"/>
      <c r="H248" s="247"/>
      <c r="I248" s="247"/>
      <c r="J248" s="81">
        <f ca="1">SUMPRODUCT((Work_Codes!$AR$425:$AX$425=$E248)*(Work_Codes!$AR$428:$AX$429)*(J$95:J$96))</f>
        <v>0</v>
      </c>
      <c r="K248" s="81">
        <f ca="1">SUMPRODUCT((Work_Codes!$AR$425:$AX$425=$E248)*(Work_Codes!$AR$428:$AX$429)*(K$95:K$96))</f>
        <v>0</v>
      </c>
      <c r="L248" s="81">
        <f ca="1">SUMPRODUCT((Work_Codes!$AR$425:$AX$425=$E248)*(Work_Codes!$AR$428:$AX$429)*(L$95:L$96))</f>
        <v>0</v>
      </c>
      <c r="M248" s="81">
        <f ca="1">SUMPRODUCT((Work_Codes!$AR$425:$AX$425=$E248)*(Work_Codes!$AR$428:$AX$429)*(M$95:M$96))</f>
        <v>0</v>
      </c>
      <c r="N248" s="81">
        <f ca="1">SUMPRODUCT((Work_Codes!$AR$425:$AX$425=$E248)*(Work_Codes!$AR$428:$AX$429)*(N$95:N$96))</f>
        <v>0</v>
      </c>
      <c r="O248" s="81">
        <f ca="1">SUMPRODUCT((Work_Codes!$AR$425:$AX$425=$E248)*(Work_Codes!$AR$428:$AX$429)*(O$95:O$96))</f>
        <v>0</v>
      </c>
      <c r="P248" s="81">
        <f ca="1">SUMPRODUCT((Work_Codes!$AR$425:$AX$425=$E248)*(Work_Codes!$AR$428:$AX$429)*(P$95:P$96))</f>
        <v>0</v>
      </c>
      <c r="Q248" s="81">
        <f ca="1">SUMPRODUCT((Work_Codes!$AR$425:$AX$425=$E248)*(Work_Codes!$AR$428:$AX$429)*(Q$95:Q$96))</f>
        <v>0</v>
      </c>
      <c r="R248" s="81">
        <f ca="1">SUMPRODUCT((Work_Codes!$AR$425:$AX$425=$E248)*(Work_Codes!$AR$428:$AX$429)*(R$95:R$96))</f>
        <v>0</v>
      </c>
      <c r="S248" s="81">
        <f ca="1">SUMPRODUCT((Work_Codes!$AR$425:$AX$425=$E248)*(Work_Codes!$AR$428:$AX$429)*(S$95:S$96))</f>
        <v>0</v>
      </c>
      <c r="T248" s="81">
        <f ca="1">SUMPRODUCT((Work_Codes!$AR$425:$AX$425=$E248)*(Work_Codes!$AR$428:$AX$429)*(T$95:T$96))</f>
        <v>0</v>
      </c>
    </row>
    <row r="249" spans="3:20" outlineLevel="2">
      <c r="E249" s="247" t="str">
        <f>GC!C82</f>
        <v>Other Assets</v>
      </c>
      <c r="F249" s="247"/>
      <c r="G249" s="247"/>
      <c r="H249" s="247"/>
      <c r="I249" s="247"/>
      <c r="J249" s="81">
        <f ca="1">SUMPRODUCT((Work_Codes!$AR$425:$AX$425=$E249)*(Work_Codes!$AR$428:$AX$429)*(J$95:J$96))</f>
        <v>0</v>
      </c>
      <c r="K249" s="81">
        <f ca="1">SUMPRODUCT((Work_Codes!$AR$425:$AX$425=$E249)*(Work_Codes!$AR$428:$AX$429)*(K$95:K$96))</f>
        <v>0</v>
      </c>
      <c r="L249" s="81">
        <f ca="1">SUMPRODUCT((Work_Codes!$AR$425:$AX$425=$E249)*(Work_Codes!$AR$428:$AX$429)*(L$95:L$96))</f>
        <v>0</v>
      </c>
      <c r="M249" s="81">
        <f ca="1">SUMPRODUCT((Work_Codes!$AR$425:$AX$425=$E249)*(Work_Codes!$AR$428:$AX$429)*(M$95:M$96))</f>
        <v>0</v>
      </c>
      <c r="N249" s="81">
        <f ca="1">SUMPRODUCT((Work_Codes!$AR$425:$AX$425=$E249)*(Work_Codes!$AR$428:$AX$429)*(N$95:N$96))</f>
        <v>0</v>
      </c>
      <c r="O249" s="81">
        <f ca="1">SUMPRODUCT((Work_Codes!$AR$425:$AX$425=$E249)*(Work_Codes!$AR$428:$AX$429)*(O$95:O$96))</f>
        <v>0</v>
      </c>
      <c r="P249" s="81">
        <f ca="1">SUMPRODUCT((Work_Codes!$AR$425:$AX$425=$E249)*(Work_Codes!$AR$428:$AX$429)*(P$95:P$96))</f>
        <v>0</v>
      </c>
      <c r="Q249" s="81">
        <f ca="1">SUMPRODUCT((Work_Codes!$AR$425:$AX$425=$E249)*(Work_Codes!$AR$428:$AX$429)*(Q$95:Q$96))</f>
        <v>0</v>
      </c>
      <c r="R249" s="81">
        <f ca="1">SUMPRODUCT((Work_Codes!$AR$425:$AX$425=$E249)*(Work_Codes!$AR$428:$AX$429)*(R$95:R$96))</f>
        <v>0</v>
      </c>
      <c r="S249" s="81">
        <f ca="1">SUMPRODUCT((Work_Codes!$AR$425:$AX$425=$E249)*(Work_Codes!$AR$428:$AX$429)*(S$95:S$96))</f>
        <v>0</v>
      </c>
      <c r="T249" s="81">
        <f ca="1">SUMPRODUCT((Work_Codes!$AR$425:$AX$425=$E249)*(Work_Codes!$AR$428:$AX$429)*(T$95:T$96))</f>
        <v>0</v>
      </c>
    </row>
    <row r="250" spans="3:20" outlineLevel="2">
      <c r="E250" s="247" t="str">
        <f>GC!C83</f>
        <v>Repairs</v>
      </c>
      <c r="F250" s="247"/>
      <c r="G250" s="247"/>
      <c r="H250" s="247"/>
      <c r="I250" s="247"/>
      <c r="J250" s="81">
        <f ca="1">SUMPRODUCT((Work_Codes!$AR$425:$AX$425=$E250)*(Work_Codes!$AR$428:$AX$429)*(J$95:J$96))</f>
        <v>0</v>
      </c>
      <c r="K250" s="81">
        <f ca="1">SUMPRODUCT((Work_Codes!$AR$425:$AX$425=$E250)*(Work_Codes!$AR$428:$AX$429)*(K$95:K$96))</f>
        <v>0</v>
      </c>
      <c r="L250" s="81">
        <f ca="1">SUMPRODUCT((Work_Codes!$AR$425:$AX$425=$E250)*(Work_Codes!$AR$428:$AX$429)*(L$95:L$96))</f>
        <v>0</v>
      </c>
      <c r="M250" s="81">
        <f ca="1">SUMPRODUCT((Work_Codes!$AR$425:$AX$425=$E250)*(Work_Codes!$AR$428:$AX$429)*(M$95:M$96))</f>
        <v>0</v>
      </c>
      <c r="N250" s="81">
        <f ca="1">SUMPRODUCT((Work_Codes!$AR$425:$AX$425=$E250)*(Work_Codes!$AR$428:$AX$429)*(N$95:N$96))</f>
        <v>0</v>
      </c>
      <c r="O250" s="81">
        <f ca="1">SUMPRODUCT((Work_Codes!$AR$425:$AX$425=$E250)*(Work_Codes!$AR$428:$AX$429)*(O$95:O$96))</f>
        <v>0</v>
      </c>
      <c r="P250" s="81">
        <f ca="1">SUMPRODUCT((Work_Codes!$AR$425:$AX$425=$E250)*(Work_Codes!$AR$428:$AX$429)*(P$95:P$96))</f>
        <v>0</v>
      </c>
      <c r="Q250" s="81">
        <f ca="1">SUMPRODUCT((Work_Codes!$AR$425:$AX$425=$E250)*(Work_Codes!$AR$428:$AX$429)*(Q$95:Q$96))</f>
        <v>0</v>
      </c>
      <c r="R250" s="81">
        <f ca="1">SUMPRODUCT((Work_Codes!$AR$425:$AX$425=$E250)*(Work_Codes!$AR$428:$AX$429)*(R$95:R$96))</f>
        <v>0</v>
      </c>
      <c r="S250" s="81">
        <f ca="1">SUMPRODUCT((Work_Codes!$AR$425:$AX$425=$E250)*(Work_Codes!$AR$428:$AX$429)*(S$95:S$96))</f>
        <v>0</v>
      </c>
      <c r="T250" s="81">
        <f ca="1">SUMPRODUCT((Work_Codes!$AR$425:$AX$425=$E250)*(Work_Codes!$AR$428:$AX$429)*(T$95:T$96))</f>
        <v>0</v>
      </c>
    </row>
    <row r="251" spans="3:20" outlineLevel="2">
      <c r="E251" s="247" t="str">
        <f>GC!C84</f>
        <v>Land</v>
      </c>
      <c r="F251" s="247"/>
      <c r="G251" s="247"/>
      <c r="H251" s="247"/>
      <c r="I251" s="247"/>
      <c r="J251" s="81">
        <f ca="1">SUMPRODUCT((Work_Codes!$AR$425:$AX$425=$E251)*(Work_Codes!$AR$428:$AX$429)*(J$95:J$96))</f>
        <v>0</v>
      </c>
      <c r="K251" s="81">
        <f ca="1">SUMPRODUCT((Work_Codes!$AR$425:$AX$425=$E251)*(Work_Codes!$AR$428:$AX$429)*(K$95:K$96))</f>
        <v>0</v>
      </c>
      <c r="L251" s="81">
        <f ca="1">SUMPRODUCT((Work_Codes!$AR$425:$AX$425=$E251)*(Work_Codes!$AR$428:$AX$429)*(L$95:L$96))</f>
        <v>0</v>
      </c>
      <c r="M251" s="81">
        <f ca="1">SUMPRODUCT((Work_Codes!$AR$425:$AX$425=$E251)*(Work_Codes!$AR$428:$AX$429)*(M$95:M$96))</f>
        <v>0</v>
      </c>
      <c r="N251" s="81">
        <f ca="1">SUMPRODUCT((Work_Codes!$AR$425:$AX$425=$E251)*(Work_Codes!$AR$428:$AX$429)*(N$95:N$96))</f>
        <v>0</v>
      </c>
      <c r="O251" s="81">
        <f ca="1">SUMPRODUCT((Work_Codes!$AR$425:$AX$425=$E251)*(Work_Codes!$AR$428:$AX$429)*(O$95:O$96))</f>
        <v>0</v>
      </c>
      <c r="P251" s="81">
        <f ca="1">SUMPRODUCT((Work_Codes!$AR$425:$AX$425=$E251)*(Work_Codes!$AR$428:$AX$429)*(P$95:P$96))</f>
        <v>0</v>
      </c>
      <c r="Q251" s="81">
        <f ca="1">SUMPRODUCT((Work_Codes!$AR$425:$AX$425=$E251)*(Work_Codes!$AR$428:$AX$429)*(Q$95:Q$96))</f>
        <v>0</v>
      </c>
      <c r="R251" s="81">
        <f ca="1">SUMPRODUCT((Work_Codes!$AR$425:$AX$425=$E251)*(Work_Codes!$AR$428:$AX$429)*(R$95:R$96))</f>
        <v>0</v>
      </c>
      <c r="S251" s="81">
        <f ca="1">SUMPRODUCT((Work_Codes!$AR$425:$AX$425=$E251)*(Work_Codes!$AR$428:$AX$429)*(S$95:S$96))</f>
        <v>0</v>
      </c>
      <c r="T251" s="81">
        <f ca="1">SUMPRODUCT((Work_Codes!$AR$425:$AX$425=$E251)*(Work_Codes!$AR$428:$AX$429)*(T$95:T$96))</f>
        <v>0</v>
      </c>
    </row>
    <row r="252" spans="3:20" outlineLevel="2">
      <c r="E252" s="249" t="str">
        <f>"Total "&amp;D243</f>
        <v>Total Direct Costs</v>
      </c>
      <c r="F252" s="249"/>
      <c r="G252" s="249"/>
      <c r="H252" s="249"/>
      <c r="I252" s="249"/>
      <c r="J252" s="82">
        <f t="shared" ref="J252:T252" ca="1" si="28">SUM(J245:J251)</f>
        <v>0</v>
      </c>
      <c r="K252" s="82">
        <f t="shared" ca="1" si="28"/>
        <v>0</v>
      </c>
      <c r="L252" s="82">
        <f t="shared" ca="1" si="28"/>
        <v>0</v>
      </c>
      <c r="M252" s="82">
        <f t="shared" ca="1" si="28"/>
        <v>0</v>
      </c>
      <c r="N252" s="82">
        <f t="shared" ca="1" si="28"/>
        <v>0</v>
      </c>
      <c r="O252" s="82">
        <f t="shared" ca="1" si="28"/>
        <v>0</v>
      </c>
      <c r="P252" s="82">
        <f t="shared" ca="1" si="28"/>
        <v>0</v>
      </c>
      <c r="Q252" s="82">
        <f t="shared" ca="1" si="28"/>
        <v>0</v>
      </c>
      <c r="R252" s="82">
        <f t="shared" ca="1" si="28"/>
        <v>0</v>
      </c>
      <c r="S252" s="82">
        <f t="shared" ca="1" si="28"/>
        <v>0</v>
      </c>
      <c r="T252" s="82">
        <f t="shared" ca="1" si="28"/>
        <v>0</v>
      </c>
    </row>
    <row r="253" spans="3:20" outlineLevel="2"/>
    <row r="254" spans="3:20" outlineLevel="2">
      <c r="D254" s="37" t="s">
        <v>313</v>
      </c>
    </row>
    <row r="255" spans="3:20" ht="5.9" customHeight="1" outlineLevel="2"/>
    <row r="256" spans="3:20" outlineLevel="2">
      <c r="E256" s="247" t="str">
        <f>GC!C78</f>
        <v>Mains &amp; Services</v>
      </c>
      <c r="F256" s="247"/>
      <c r="G256" s="247"/>
      <c r="H256" s="247"/>
      <c r="I256" s="247"/>
      <c r="J256" s="81">
        <f ca="1">J245*(1+INDEX(J$35:J$37,MATCH(Work_Codes!$I$422,$D$35:$D$37,0)))</f>
        <v>0</v>
      </c>
      <c r="K256" s="81">
        <f ca="1">K245*(1+INDEX(K$35:K$37,MATCH(Work_Codes!$I$422,$D$35:$D$37,0)))</f>
        <v>0</v>
      </c>
      <c r="L256" s="81">
        <f ca="1">L245*(1+INDEX(L$35:L$37,MATCH(Work_Codes!$I$422,$D$35:$D$37,0)))</f>
        <v>0</v>
      </c>
      <c r="M256" s="81">
        <f ca="1">M245*(1+INDEX(M$35:M$37,MATCH(Work_Codes!$I$422,$D$35:$D$37,0)))</f>
        <v>0</v>
      </c>
      <c r="N256" s="81">
        <f ca="1">N245*(1+INDEX(N$35:N$37,MATCH(Work_Codes!$I$422,$D$35:$D$37,0)))</f>
        <v>0</v>
      </c>
      <c r="O256" s="81">
        <f ca="1">O245*(1+INDEX(O$35:O$37,MATCH(Work_Codes!$I$422,$D$35:$D$37,0)))</f>
        <v>0</v>
      </c>
      <c r="P256" s="81">
        <f ca="1">P245*(1+INDEX(P$35:P$37,MATCH(Work_Codes!$I$422,$D$35:$D$37,0)))</f>
        <v>0</v>
      </c>
      <c r="Q256" s="81">
        <f ca="1">Q245*(1+INDEX(Q$35:Q$37,MATCH(Work_Codes!$I$422,$D$35:$D$37,0)))</f>
        <v>0</v>
      </c>
      <c r="R256" s="81">
        <f ca="1">R245*(1+INDEX(R$35:R$37,MATCH(Work_Codes!$I$422,$D$35:$D$37,0)))</f>
        <v>0</v>
      </c>
      <c r="S256" s="81">
        <f ca="1">S245*(1+INDEX(S$35:S$37,MATCH(Work_Codes!$I$422,$D$35:$D$37,0)))</f>
        <v>0</v>
      </c>
      <c r="T256" s="81">
        <f ca="1">T245*(1+INDEX(T$35:T$37,MATCH(Work_Codes!$I$422,$D$35:$D$37,0)))</f>
        <v>0</v>
      </c>
    </row>
    <row r="257" spans="2:20" outlineLevel="2">
      <c r="E257" s="247" t="str">
        <f>GC!C79</f>
        <v>Meters Domestic</v>
      </c>
      <c r="F257" s="247"/>
      <c r="G257" s="247"/>
      <c r="H257" s="247"/>
      <c r="I257" s="247"/>
      <c r="J257" s="81">
        <f ca="1">J246*(1+INDEX(J$35:J$37,MATCH(Work_Codes!$I$422,$D$35:$D$37,0)))</f>
        <v>0</v>
      </c>
      <c r="K257" s="81">
        <f ca="1">K246*(1+INDEX(K$35:K$37,MATCH(Work_Codes!$I$422,$D$35:$D$37,0)))</f>
        <v>0</v>
      </c>
      <c r="L257" s="81">
        <f ca="1">L246*(1+INDEX(L$35:L$37,MATCH(Work_Codes!$I$422,$D$35:$D$37,0)))</f>
        <v>0</v>
      </c>
      <c r="M257" s="81">
        <f ca="1">M246*(1+INDEX(M$35:M$37,MATCH(Work_Codes!$I$422,$D$35:$D$37,0)))</f>
        <v>0</v>
      </c>
      <c r="N257" s="81">
        <f ca="1">N246*(1+INDEX(N$35:N$37,MATCH(Work_Codes!$I$422,$D$35:$D$37,0)))</f>
        <v>0</v>
      </c>
      <c r="O257" s="81">
        <f ca="1">O246*(1+INDEX(O$35:O$37,MATCH(Work_Codes!$I$422,$D$35:$D$37,0)))</f>
        <v>0</v>
      </c>
      <c r="P257" s="81">
        <f ca="1">P246*(1+INDEX(P$35:P$37,MATCH(Work_Codes!$I$422,$D$35:$D$37,0)))</f>
        <v>0</v>
      </c>
      <c r="Q257" s="81">
        <f ca="1">Q246*(1+INDEX(Q$35:Q$37,MATCH(Work_Codes!$I$422,$D$35:$D$37,0)))</f>
        <v>0</v>
      </c>
      <c r="R257" s="81">
        <f ca="1">R246*(1+INDEX(R$35:R$37,MATCH(Work_Codes!$I$422,$D$35:$D$37,0)))</f>
        <v>0</v>
      </c>
      <c r="S257" s="81">
        <f ca="1">S246*(1+INDEX(S$35:S$37,MATCH(Work_Codes!$I$422,$D$35:$D$37,0)))</f>
        <v>0</v>
      </c>
      <c r="T257" s="81">
        <f ca="1">T246*(1+INDEX(T$35:T$37,MATCH(Work_Codes!$I$422,$D$35:$D$37,0)))</f>
        <v>0</v>
      </c>
    </row>
    <row r="258" spans="2:20" outlineLevel="2">
      <c r="E258" s="247" t="str">
        <f>GC!C80</f>
        <v>Meters Industrial &amp; Commercial</v>
      </c>
      <c r="F258" s="247"/>
      <c r="G258" s="247"/>
      <c r="H258" s="247"/>
      <c r="I258" s="247"/>
      <c r="J258" s="81">
        <f ca="1">J247*(1+INDEX(J$35:J$37,MATCH(Work_Codes!$I$422,$D$35:$D$37,0)))</f>
        <v>0</v>
      </c>
      <c r="K258" s="81">
        <f ca="1">K247*(1+INDEX(K$35:K$37,MATCH(Work_Codes!$I$422,$D$35:$D$37,0)))</f>
        <v>0</v>
      </c>
      <c r="L258" s="81">
        <f ca="1">L247*(1+INDEX(L$35:L$37,MATCH(Work_Codes!$I$422,$D$35:$D$37,0)))</f>
        <v>0</v>
      </c>
      <c r="M258" s="81">
        <f ca="1">M247*(1+INDEX(M$35:M$37,MATCH(Work_Codes!$I$422,$D$35:$D$37,0)))</f>
        <v>0</v>
      </c>
      <c r="N258" s="81">
        <f ca="1">N247*(1+INDEX(N$35:N$37,MATCH(Work_Codes!$I$422,$D$35:$D$37,0)))</f>
        <v>0</v>
      </c>
      <c r="O258" s="81">
        <f ca="1">O247*(1+INDEX(O$35:O$37,MATCH(Work_Codes!$I$422,$D$35:$D$37,0)))</f>
        <v>0</v>
      </c>
      <c r="P258" s="81">
        <f ca="1">P247*(1+INDEX(P$35:P$37,MATCH(Work_Codes!$I$422,$D$35:$D$37,0)))</f>
        <v>0</v>
      </c>
      <c r="Q258" s="81">
        <f ca="1">Q247*(1+INDEX(Q$35:Q$37,MATCH(Work_Codes!$I$422,$D$35:$D$37,0)))</f>
        <v>0</v>
      </c>
      <c r="R258" s="81">
        <f ca="1">R247*(1+INDEX(R$35:R$37,MATCH(Work_Codes!$I$422,$D$35:$D$37,0)))</f>
        <v>0</v>
      </c>
      <c r="S258" s="81">
        <f ca="1">S247*(1+INDEX(S$35:S$37,MATCH(Work_Codes!$I$422,$D$35:$D$37,0)))</f>
        <v>0</v>
      </c>
      <c r="T258" s="81">
        <f ca="1">T247*(1+INDEX(T$35:T$37,MATCH(Work_Codes!$I$422,$D$35:$D$37,0)))</f>
        <v>0</v>
      </c>
    </row>
    <row r="259" spans="2:20" outlineLevel="2">
      <c r="E259" s="247" t="str">
        <f>GC!C81</f>
        <v>Buildings</v>
      </c>
      <c r="F259" s="247"/>
      <c r="G259" s="247"/>
      <c r="H259" s="247"/>
      <c r="I259" s="247"/>
      <c r="J259" s="81">
        <f ca="1">J248*(1+INDEX(J$35:J$37,MATCH(Work_Codes!$I$422,$D$35:$D$37,0)))</f>
        <v>0</v>
      </c>
      <c r="K259" s="81">
        <f ca="1">K248*(1+INDEX(K$35:K$37,MATCH(Work_Codes!$I$422,$D$35:$D$37,0)))</f>
        <v>0</v>
      </c>
      <c r="L259" s="81">
        <f ca="1">L248*(1+INDEX(L$35:L$37,MATCH(Work_Codes!$I$422,$D$35:$D$37,0)))</f>
        <v>0</v>
      </c>
      <c r="M259" s="81">
        <f ca="1">M248*(1+INDEX(M$35:M$37,MATCH(Work_Codes!$I$422,$D$35:$D$37,0)))</f>
        <v>0</v>
      </c>
      <c r="N259" s="81">
        <f ca="1">N248*(1+INDEX(N$35:N$37,MATCH(Work_Codes!$I$422,$D$35:$D$37,0)))</f>
        <v>0</v>
      </c>
      <c r="O259" s="81">
        <f ca="1">O248*(1+INDEX(O$35:O$37,MATCH(Work_Codes!$I$422,$D$35:$D$37,0)))</f>
        <v>0</v>
      </c>
      <c r="P259" s="81">
        <f ca="1">P248*(1+INDEX(P$35:P$37,MATCH(Work_Codes!$I$422,$D$35:$D$37,0)))</f>
        <v>0</v>
      </c>
      <c r="Q259" s="81">
        <f ca="1">Q248*(1+INDEX(Q$35:Q$37,MATCH(Work_Codes!$I$422,$D$35:$D$37,0)))</f>
        <v>0</v>
      </c>
      <c r="R259" s="81">
        <f ca="1">R248*(1+INDEX(R$35:R$37,MATCH(Work_Codes!$I$422,$D$35:$D$37,0)))</f>
        <v>0</v>
      </c>
      <c r="S259" s="81">
        <f ca="1">S248*(1+INDEX(S$35:S$37,MATCH(Work_Codes!$I$422,$D$35:$D$37,0)))</f>
        <v>0</v>
      </c>
      <c r="T259" s="81">
        <f ca="1">T248*(1+INDEX(T$35:T$37,MATCH(Work_Codes!$I$422,$D$35:$D$37,0)))</f>
        <v>0</v>
      </c>
    </row>
    <row r="260" spans="2:20" outlineLevel="2">
      <c r="E260" s="247" t="str">
        <f>GC!C82</f>
        <v>Other Assets</v>
      </c>
      <c r="F260" s="247"/>
      <c r="G260" s="247"/>
      <c r="H260" s="247"/>
      <c r="I260" s="247"/>
      <c r="J260" s="81">
        <f ca="1">J249*(1+INDEX(J$35:J$37,MATCH(Work_Codes!$I$422,$D$35:$D$37,0)))</f>
        <v>0</v>
      </c>
      <c r="K260" s="81">
        <f ca="1">K249*(1+INDEX(K$35:K$37,MATCH(Work_Codes!$I$422,$D$35:$D$37,0)))</f>
        <v>0</v>
      </c>
      <c r="L260" s="81">
        <f ca="1">L249*(1+INDEX(L$35:L$37,MATCH(Work_Codes!$I$422,$D$35:$D$37,0)))</f>
        <v>0</v>
      </c>
      <c r="M260" s="81">
        <f ca="1">M249*(1+INDEX(M$35:M$37,MATCH(Work_Codes!$I$422,$D$35:$D$37,0)))</f>
        <v>0</v>
      </c>
      <c r="N260" s="81">
        <f ca="1">N249*(1+INDEX(N$35:N$37,MATCH(Work_Codes!$I$422,$D$35:$D$37,0)))</f>
        <v>0</v>
      </c>
      <c r="O260" s="81">
        <f ca="1">O249*(1+INDEX(O$35:O$37,MATCH(Work_Codes!$I$422,$D$35:$D$37,0)))</f>
        <v>0</v>
      </c>
      <c r="P260" s="81">
        <f ca="1">P249*(1+INDEX(P$35:P$37,MATCH(Work_Codes!$I$422,$D$35:$D$37,0)))</f>
        <v>0</v>
      </c>
      <c r="Q260" s="81">
        <f ca="1">Q249*(1+INDEX(Q$35:Q$37,MATCH(Work_Codes!$I$422,$D$35:$D$37,0)))</f>
        <v>0</v>
      </c>
      <c r="R260" s="81">
        <f ca="1">R249*(1+INDEX(R$35:R$37,MATCH(Work_Codes!$I$422,$D$35:$D$37,0)))</f>
        <v>0</v>
      </c>
      <c r="S260" s="81">
        <f ca="1">S249*(1+INDEX(S$35:S$37,MATCH(Work_Codes!$I$422,$D$35:$D$37,0)))</f>
        <v>0</v>
      </c>
      <c r="T260" s="81">
        <f ca="1">T249*(1+INDEX(T$35:T$37,MATCH(Work_Codes!$I$422,$D$35:$D$37,0)))</f>
        <v>0</v>
      </c>
    </row>
    <row r="261" spans="2:20" outlineLevel="2">
      <c r="E261" s="247" t="str">
        <f>GC!C83</f>
        <v>Repairs</v>
      </c>
      <c r="F261" s="247"/>
      <c r="G261" s="247"/>
      <c r="H261" s="247"/>
      <c r="I261" s="247"/>
      <c r="J261" s="81">
        <f ca="1">J250*(1+INDEX(J$35:J$37,MATCH(Work_Codes!$I$422,$D$35:$D$37,0)))</f>
        <v>0</v>
      </c>
      <c r="K261" s="81">
        <f ca="1">K250*(1+INDEX(K$35:K$37,MATCH(Work_Codes!$I$422,$D$35:$D$37,0)))</f>
        <v>0</v>
      </c>
      <c r="L261" s="81">
        <f ca="1">L250*(1+INDEX(L$35:L$37,MATCH(Work_Codes!$I$422,$D$35:$D$37,0)))</f>
        <v>0</v>
      </c>
      <c r="M261" s="81">
        <f ca="1">M250*(1+INDEX(M$35:M$37,MATCH(Work_Codes!$I$422,$D$35:$D$37,0)))</f>
        <v>0</v>
      </c>
      <c r="N261" s="81">
        <f ca="1">N250*(1+INDEX(N$35:N$37,MATCH(Work_Codes!$I$422,$D$35:$D$37,0)))</f>
        <v>0</v>
      </c>
      <c r="O261" s="81">
        <f ca="1">O250*(1+INDEX(O$35:O$37,MATCH(Work_Codes!$I$422,$D$35:$D$37,0)))</f>
        <v>0</v>
      </c>
      <c r="P261" s="81">
        <f ca="1">P250*(1+INDEX(P$35:P$37,MATCH(Work_Codes!$I$422,$D$35:$D$37,0)))</f>
        <v>0</v>
      </c>
      <c r="Q261" s="81">
        <f ca="1">Q250*(1+INDEX(Q$35:Q$37,MATCH(Work_Codes!$I$422,$D$35:$D$37,0)))</f>
        <v>0</v>
      </c>
      <c r="R261" s="81">
        <f ca="1">R250*(1+INDEX(R$35:R$37,MATCH(Work_Codes!$I$422,$D$35:$D$37,0)))</f>
        <v>0</v>
      </c>
      <c r="S261" s="81">
        <f ca="1">S250*(1+INDEX(S$35:S$37,MATCH(Work_Codes!$I$422,$D$35:$D$37,0)))</f>
        <v>0</v>
      </c>
      <c r="T261" s="81">
        <f ca="1">T250*(1+INDEX(T$35:T$37,MATCH(Work_Codes!$I$422,$D$35:$D$37,0)))</f>
        <v>0</v>
      </c>
    </row>
    <row r="262" spans="2:20" outlineLevel="2">
      <c r="E262" s="247" t="str">
        <f>GC!C84</f>
        <v>Land</v>
      </c>
      <c r="F262" s="247"/>
      <c r="G262" s="247"/>
      <c r="H262" s="247"/>
      <c r="I262" s="247"/>
      <c r="J262" s="81">
        <f ca="1">J251*(1+INDEX(J$35:J$37,MATCH(Work_Codes!$I$422,$D$35:$D$37,0)))</f>
        <v>0</v>
      </c>
      <c r="K262" s="81">
        <f ca="1">K251*(1+INDEX(K$35:K$37,MATCH(Work_Codes!$I$422,$D$35:$D$37,0)))</f>
        <v>0</v>
      </c>
      <c r="L262" s="81">
        <f ca="1">L251*(1+INDEX(L$35:L$37,MATCH(Work_Codes!$I$422,$D$35:$D$37,0)))</f>
        <v>0</v>
      </c>
      <c r="M262" s="81">
        <f ca="1">M251*(1+INDEX(M$35:M$37,MATCH(Work_Codes!$I$422,$D$35:$D$37,0)))</f>
        <v>0</v>
      </c>
      <c r="N262" s="81">
        <f ca="1">N251*(1+INDEX(N$35:N$37,MATCH(Work_Codes!$I$422,$D$35:$D$37,0)))</f>
        <v>0</v>
      </c>
      <c r="O262" s="81">
        <f ca="1">O251*(1+INDEX(O$35:O$37,MATCH(Work_Codes!$I$422,$D$35:$D$37,0)))</f>
        <v>0</v>
      </c>
      <c r="P262" s="81">
        <f ca="1">P251*(1+INDEX(P$35:P$37,MATCH(Work_Codes!$I$422,$D$35:$D$37,0)))</f>
        <v>0</v>
      </c>
      <c r="Q262" s="81">
        <f ca="1">Q251*(1+INDEX(Q$35:Q$37,MATCH(Work_Codes!$I$422,$D$35:$D$37,0)))</f>
        <v>0</v>
      </c>
      <c r="R262" s="81">
        <f ca="1">R251*(1+INDEX(R$35:R$37,MATCH(Work_Codes!$I$422,$D$35:$D$37,0)))</f>
        <v>0</v>
      </c>
      <c r="S262" s="81">
        <f ca="1">S251*(1+INDEX(S$35:S$37,MATCH(Work_Codes!$I$422,$D$35:$D$37,0)))</f>
        <v>0</v>
      </c>
      <c r="T262" s="81">
        <f ca="1">T251*(1+INDEX(T$35:T$37,MATCH(Work_Codes!$I$422,$D$35:$D$37,0)))</f>
        <v>0</v>
      </c>
    </row>
    <row r="263" spans="2:20" outlineLevel="2">
      <c r="E263" s="249" t="str">
        <f>"Total "&amp;D254</f>
        <v>Total Direct Costs +  Overheads</v>
      </c>
      <c r="F263" s="249"/>
      <c r="G263" s="249"/>
      <c r="H263" s="249"/>
      <c r="I263" s="249"/>
      <c r="J263" s="82">
        <f t="shared" ref="J263:T263" ca="1" si="29">SUM(J256:J262)</f>
        <v>0</v>
      </c>
      <c r="K263" s="82">
        <f t="shared" ca="1" si="29"/>
        <v>0</v>
      </c>
      <c r="L263" s="82">
        <f t="shared" ca="1" si="29"/>
        <v>0</v>
      </c>
      <c r="M263" s="82">
        <f t="shared" ca="1" si="29"/>
        <v>0</v>
      </c>
      <c r="N263" s="82">
        <f t="shared" ca="1" si="29"/>
        <v>0</v>
      </c>
      <c r="O263" s="82">
        <f t="shared" ca="1" si="29"/>
        <v>0</v>
      </c>
      <c r="P263" s="82">
        <f t="shared" ca="1" si="29"/>
        <v>0</v>
      </c>
      <c r="Q263" s="82">
        <f t="shared" ca="1" si="29"/>
        <v>0</v>
      </c>
      <c r="R263" s="82">
        <f t="shared" ca="1" si="29"/>
        <v>0</v>
      </c>
      <c r="S263" s="82">
        <f t="shared" ca="1" si="29"/>
        <v>0</v>
      </c>
      <c r="T263" s="82">
        <f t="shared" ca="1" si="29"/>
        <v>0</v>
      </c>
    </row>
    <row r="264" spans="2:20" outlineLevel="1">
      <c r="B264" s="12"/>
      <c r="C264" s="12"/>
      <c r="D264" s="12"/>
      <c r="E264" s="12"/>
      <c r="F264" s="12"/>
      <c r="G264" s="12"/>
      <c r="H264" s="12"/>
      <c r="I264" s="12"/>
      <c r="J264" s="12"/>
      <c r="K264" s="12"/>
      <c r="L264" s="12"/>
      <c r="M264" s="12"/>
      <c r="N264" s="12"/>
      <c r="O264" s="12"/>
      <c r="P264" s="12"/>
      <c r="Q264" s="12"/>
      <c r="R264" s="12"/>
      <c r="S264" s="12"/>
      <c r="T264" s="12"/>
    </row>
    <row r="265" spans="2:20" outlineLevel="1"/>
    <row r="266" spans="2:20" outlineLevel="1">
      <c r="C266" s="37" t="s">
        <v>19</v>
      </c>
    </row>
    <row r="267" spans="2:20" ht="5.9" customHeight="1" outlineLevel="1"/>
    <row r="268" spans="2:20" outlineLevel="1">
      <c r="F268" s="51" t="str">
        <f>$B$23&amp;" Work Code v RAB Category Direct Check"</f>
        <v>3023 - Inputs Work Code v RAB Category Direct Check</v>
      </c>
      <c r="I268" s="130">
        <f ca="1">IF(ISERROR(SUM(J268:T268)),1,MIN(SUM(J268:T268),1))</f>
        <v>0</v>
      </c>
      <c r="J268" s="81">
        <f t="shared" ref="J268:T268" ca="1" si="30">J98-J121</f>
        <v>0</v>
      </c>
      <c r="K268" s="81">
        <f t="shared" ca="1" si="30"/>
        <v>0</v>
      </c>
      <c r="L268" s="81">
        <f t="shared" ca="1" si="30"/>
        <v>0</v>
      </c>
      <c r="M268" s="81">
        <f t="shared" ca="1" si="30"/>
        <v>0</v>
      </c>
      <c r="N268" s="81">
        <f t="shared" ca="1" si="30"/>
        <v>0</v>
      </c>
      <c r="O268" s="81">
        <f t="shared" ca="1" si="30"/>
        <v>0</v>
      </c>
      <c r="P268" s="81">
        <f t="shared" ca="1" si="30"/>
        <v>0</v>
      </c>
      <c r="Q268" s="81">
        <f t="shared" ca="1" si="30"/>
        <v>0</v>
      </c>
      <c r="R268" s="81">
        <f t="shared" ca="1" si="30"/>
        <v>0</v>
      </c>
      <c r="S268" s="81">
        <f t="shared" ca="1" si="30"/>
        <v>0</v>
      </c>
      <c r="T268" s="81">
        <f t="shared" ca="1" si="30"/>
        <v>0</v>
      </c>
    </row>
    <row r="269" spans="2:20" outlineLevel="1">
      <c r="F269" s="51" t="str">
        <f>$B$23&amp;" Work Code v RIN Category Direct Check"</f>
        <v>3023 - Inputs Work Code v RIN Category Direct Check</v>
      </c>
      <c r="I269" s="130">
        <f ca="1">IF(ISERROR(SUM(J269:T269)),1,MIN(SUM(J269:T269),1))</f>
        <v>0</v>
      </c>
      <c r="J269" s="81">
        <f t="shared" ref="J269:T269" ca="1" si="31">J98-J202</f>
        <v>0</v>
      </c>
      <c r="K269" s="81">
        <f t="shared" ca="1" si="31"/>
        <v>0</v>
      </c>
      <c r="L269" s="81">
        <f t="shared" ca="1" si="31"/>
        <v>0</v>
      </c>
      <c r="M269" s="81">
        <f t="shared" ca="1" si="31"/>
        <v>0</v>
      </c>
      <c r="N269" s="81">
        <f t="shared" ca="1" si="31"/>
        <v>0</v>
      </c>
      <c r="O269" s="81">
        <f t="shared" ca="1" si="31"/>
        <v>0</v>
      </c>
      <c r="P269" s="81">
        <f t="shared" ca="1" si="31"/>
        <v>0</v>
      </c>
      <c r="Q269" s="81">
        <f t="shared" ca="1" si="31"/>
        <v>0</v>
      </c>
      <c r="R269" s="81">
        <f t="shared" ca="1" si="31"/>
        <v>0</v>
      </c>
      <c r="S269" s="81">
        <f t="shared" ca="1" si="31"/>
        <v>0</v>
      </c>
      <c r="T269" s="81">
        <f t="shared" ca="1" si="31"/>
        <v>0</v>
      </c>
    </row>
    <row r="270" spans="2:20" outlineLevel="1">
      <c r="F270" s="51" t="str">
        <f>$B$23&amp;" Work Code v Tax Category Direct Check"</f>
        <v>3023 - Inputs Work Code v Tax Category Direct Check</v>
      </c>
      <c r="I270" s="130">
        <f ca="1">IF(ISERROR(SUM(J270:T270)),1,MIN(SUM(J270:T270),1))</f>
        <v>0</v>
      </c>
      <c r="J270" s="81">
        <f t="shared" ref="J270:T270" ca="1" si="32">J98-J252</f>
        <v>0</v>
      </c>
      <c r="K270" s="81">
        <f t="shared" ca="1" si="32"/>
        <v>0</v>
      </c>
      <c r="L270" s="81">
        <f t="shared" ca="1" si="32"/>
        <v>0</v>
      </c>
      <c r="M270" s="81">
        <f t="shared" ca="1" si="32"/>
        <v>0</v>
      </c>
      <c r="N270" s="81">
        <f t="shared" ca="1" si="32"/>
        <v>0</v>
      </c>
      <c r="O270" s="81">
        <f t="shared" ca="1" si="32"/>
        <v>0</v>
      </c>
      <c r="P270" s="81">
        <f t="shared" ca="1" si="32"/>
        <v>0</v>
      </c>
      <c r="Q270" s="81">
        <f t="shared" ca="1" si="32"/>
        <v>0</v>
      </c>
      <c r="R270" s="81">
        <f t="shared" ca="1" si="32"/>
        <v>0</v>
      </c>
      <c r="S270" s="81">
        <f t="shared" ca="1" si="32"/>
        <v>0</v>
      </c>
      <c r="T270" s="81">
        <f t="shared" ca="1" si="32"/>
        <v>0</v>
      </c>
    </row>
    <row r="271" spans="2:20" outlineLevel="1">
      <c r="F271" s="51" t="str">
        <f>$B$23&amp;" Customer Contributions v RAB Category Direct Check"</f>
        <v>3023 - Inputs Customer Contributions v RAB Category Direct Check</v>
      </c>
      <c r="I271" s="130">
        <f ca="1">IF(ISERROR(SUM(J271:T271)),1,MIN(SUM(J271:T271),1))</f>
        <v>0</v>
      </c>
      <c r="J271" s="81">
        <f t="shared" ref="J271:T271" ca="1" si="33">J67-J181</f>
        <v>0</v>
      </c>
      <c r="K271" s="81">
        <f t="shared" ca="1" si="33"/>
        <v>0</v>
      </c>
      <c r="L271" s="81">
        <f t="shared" ca="1" si="33"/>
        <v>0</v>
      </c>
      <c r="M271" s="81">
        <f t="shared" ca="1" si="33"/>
        <v>0</v>
      </c>
      <c r="N271" s="81">
        <f t="shared" ca="1" si="33"/>
        <v>0</v>
      </c>
      <c r="O271" s="81">
        <f t="shared" ca="1" si="33"/>
        <v>0</v>
      </c>
      <c r="P271" s="81">
        <f t="shared" ca="1" si="33"/>
        <v>0</v>
      </c>
      <c r="Q271" s="81">
        <f t="shared" ca="1" si="33"/>
        <v>0</v>
      </c>
      <c r="R271" s="81">
        <f t="shared" ca="1" si="33"/>
        <v>0</v>
      </c>
      <c r="S271" s="81">
        <f t="shared" ca="1" si="33"/>
        <v>0</v>
      </c>
      <c r="T271" s="81">
        <f t="shared" ca="1" si="33"/>
        <v>0</v>
      </c>
    </row>
    <row r="272" spans="2:20" ht="5.9" customHeight="1" outlineLevel="1"/>
    <row r="273" spans="2:20" outlineLevel="1">
      <c r="F273" s="51" t="str">
        <f>$B$23&amp;" RAB v RIN Direct + Overhead Check"</f>
        <v>3023 - Inputs RAB v RIN Direct + Overhead Check</v>
      </c>
      <c r="I273" s="130">
        <f ca="1">IF(ISERROR(SUM(J273:T273)),1,MIN(SUM(J273:T273),1))</f>
        <v>0</v>
      </c>
      <c r="J273" s="81">
        <f t="shared" ref="J273:T273" ca="1" si="34">J161-J220</f>
        <v>0</v>
      </c>
      <c r="K273" s="81">
        <f t="shared" ca="1" si="34"/>
        <v>0</v>
      </c>
      <c r="L273" s="81">
        <f t="shared" ca="1" si="34"/>
        <v>0</v>
      </c>
      <c r="M273" s="81">
        <f t="shared" ca="1" si="34"/>
        <v>0</v>
      </c>
      <c r="N273" s="81">
        <f t="shared" ca="1" si="34"/>
        <v>0</v>
      </c>
      <c r="O273" s="81">
        <f t="shared" ca="1" si="34"/>
        <v>0</v>
      </c>
      <c r="P273" s="81">
        <f t="shared" ca="1" si="34"/>
        <v>0</v>
      </c>
      <c r="Q273" s="81">
        <f t="shared" ca="1" si="34"/>
        <v>0</v>
      </c>
      <c r="R273" s="81">
        <f t="shared" ca="1" si="34"/>
        <v>0</v>
      </c>
      <c r="S273" s="81">
        <f t="shared" ca="1" si="34"/>
        <v>0</v>
      </c>
      <c r="T273" s="81">
        <f t="shared" ca="1" si="34"/>
        <v>0</v>
      </c>
    </row>
    <row r="274" spans="2:20" outlineLevel="1">
      <c r="F274" s="51" t="str">
        <f>$B$23&amp;" RAB v Tax Direct + Overhead Check"</f>
        <v>3023 - Inputs RAB v Tax Direct + Overhead Check</v>
      </c>
      <c r="I274" s="130">
        <f ca="1">IF(ISERROR(SUM(J274:T274)),1,MIN(SUM(J274:T274),1))</f>
        <v>0</v>
      </c>
      <c r="J274" s="81">
        <f t="shared" ref="J274:T274" ca="1" si="35">J161-J263</f>
        <v>0</v>
      </c>
      <c r="K274" s="81">
        <f t="shared" ca="1" si="35"/>
        <v>0</v>
      </c>
      <c r="L274" s="81">
        <f t="shared" ca="1" si="35"/>
        <v>0</v>
      </c>
      <c r="M274" s="81">
        <f t="shared" ca="1" si="35"/>
        <v>0</v>
      </c>
      <c r="N274" s="81">
        <f t="shared" ca="1" si="35"/>
        <v>0</v>
      </c>
      <c r="O274" s="81">
        <f t="shared" ca="1" si="35"/>
        <v>0</v>
      </c>
      <c r="P274" s="81">
        <f t="shared" ca="1" si="35"/>
        <v>0</v>
      </c>
      <c r="Q274" s="81">
        <f t="shared" ca="1" si="35"/>
        <v>0</v>
      </c>
      <c r="R274" s="81">
        <f t="shared" ca="1" si="35"/>
        <v>0</v>
      </c>
      <c r="S274" s="81">
        <f t="shared" ca="1" si="35"/>
        <v>0</v>
      </c>
      <c r="T274" s="81">
        <f t="shared" ca="1" si="35"/>
        <v>0</v>
      </c>
    </row>
    <row r="275" spans="2:20" ht="12" outlineLevel="1" thickBot="1">
      <c r="B275" s="94"/>
      <c r="C275" s="94"/>
      <c r="D275" s="94"/>
      <c r="E275" s="94"/>
      <c r="F275" s="94"/>
      <c r="G275" s="94"/>
      <c r="H275" s="94"/>
      <c r="I275" s="94"/>
      <c r="J275" s="94"/>
      <c r="K275" s="94"/>
      <c r="L275" s="94"/>
      <c r="M275" s="94"/>
      <c r="N275" s="94"/>
      <c r="O275" s="94"/>
      <c r="P275" s="94"/>
      <c r="Q275" s="94"/>
      <c r="R275" s="94"/>
      <c r="S275" s="94"/>
      <c r="T275" s="94"/>
    </row>
    <row r="277" spans="2:20" ht="14">
      <c r="B277" s="110" t="s">
        <v>272</v>
      </c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</row>
    <row r="278" spans="2:20" ht="5.9" customHeight="1"/>
    <row r="279" spans="2:20" ht="14">
      <c r="B279" s="56" t="str">
        <f>GC!F31</f>
        <v>Extensions - Other</v>
      </c>
    </row>
    <row r="280" spans="2:20" ht="5.9" customHeight="1" outlineLevel="1"/>
    <row r="281" spans="2:20" hidden="1" outlineLevel="2">
      <c r="C281" s="37" t="s">
        <v>204</v>
      </c>
    </row>
    <row r="282" spans="2:20" ht="5.9" hidden="1" customHeight="1" outlineLevel="2"/>
    <row r="283" spans="2:20" hidden="1" outlineLevel="2">
      <c r="D283" s="51" t="s">
        <v>103</v>
      </c>
      <c r="J283" s="92">
        <f>Rates!J42</f>
        <v>1</v>
      </c>
      <c r="K283" s="92">
        <f>Rates!K42</f>
        <v>1</v>
      </c>
      <c r="L283" s="92">
        <f>Rates!L42</f>
        <v>1</v>
      </c>
      <c r="M283" s="92">
        <f>Rates!M42</f>
        <v>1</v>
      </c>
      <c r="N283" s="92">
        <f>Rates!N42</f>
        <v>1</v>
      </c>
      <c r="O283" s="92">
        <f>Rates!O42</f>
        <v>1.0051959235721353</v>
      </c>
      <c r="P283" s="92">
        <f>Rates!P42</f>
        <v>1.0102301741405761</v>
      </c>
      <c r="Q283" s="92">
        <f>Rates!Q42</f>
        <v>1.0181072873442809</v>
      </c>
      <c r="R283" s="92">
        <f>Rates!R42</f>
        <v>1.0293150686557422</v>
      </c>
      <c r="S283" s="92">
        <f>Rates!S42</f>
        <v>1.040646230246951</v>
      </c>
      <c r="T283" s="92">
        <f>Rates!T42</f>
        <v>1.0521021303433229</v>
      </c>
    </row>
    <row r="284" spans="2:20" hidden="1" outlineLevel="2">
      <c r="D284" s="51" t="s">
        <v>104</v>
      </c>
      <c r="J284" s="92">
        <f>Rates!J43</f>
        <v>1</v>
      </c>
      <c r="K284" s="92">
        <f>Rates!K43</f>
        <v>1</v>
      </c>
      <c r="L284" s="92">
        <f>Rates!L43</f>
        <v>1</v>
      </c>
      <c r="M284" s="92">
        <f>Rates!M43</f>
        <v>1</v>
      </c>
      <c r="N284" s="92">
        <f>Rates!N43</f>
        <v>1</v>
      </c>
      <c r="O284" s="92">
        <f>Rates!O43</f>
        <v>1</v>
      </c>
      <c r="P284" s="92">
        <f>Rates!P43</f>
        <v>1</v>
      </c>
      <c r="Q284" s="92">
        <f>Rates!Q43</f>
        <v>1</v>
      </c>
      <c r="R284" s="92">
        <f>Rates!R43</f>
        <v>1</v>
      </c>
      <c r="S284" s="92">
        <f>Rates!S43</f>
        <v>1</v>
      </c>
      <c r="T284" s="92">
        <f>Rates!T43</f>
        <v>1</v>
      </c>
    </row>
    <row r="285" spans="2:20" hidden="1" outlineLevel="2">
      <c r="D285" s="51" t="s">
        <v>130</v>
      </c>
      <c r="J285" s="92">
        <f>Rates!J45</f>
        <v>1</v>
      </c>
      <c r="K285" s="92">
        <f>Rates!K45</f>
        <v>1</v>
      </c>
      <c r="L285" s="92">
        <f>Rates!L45</f>
        <v>1</v>
      </c>
      <c r="M285" s="92">
        <f>Rates!M45</f>
        <v>1</v>
      </c>
      <c r="N285" s="92">
        <f>Rates!N45</f>
        <v>1</v>
      </c>
      <c r="O285" s="92">
        <f>Rates!O45</f>
        <v>1</v>
      </c>
      <c r="P285" s="92">
        <f>Rates!P45</f>
        <v>1</v>
      </c>
      <c r="Q285" s="92">
        <f>Rates!Q45</f>
        <v>1</v>
      </c>
      <c r="R285" s="92">
        <f>Rates!R45</f>
        <v>1</v>
      </c>
      <c r="S285" s="92">
        <f>Rates!S45</f>
        <v>1</v>
      </c>
      <c r="T285" s="92">
        <f>Rates!T45</f>
        <v>1</v>
      </c>
    </row>
    <row r="286" spans="2:20" ht="5.9" hidden="1" customHeight="1" outlineLevel="2"/>
    <row r="287" spans="2:20" hidden="1" outlineLevel="2">
      <c r="C287" s="37" t="s">
        <v>105</v>
      </c>
    </row>
    <row r="288" spans="2:20" ht="5.9" hidden="1" customHeight="1" outlineLevel="2"/>
    <row r="289" spans="3:20" hidden="1" outlineLevel="2">
      <c r="D289" s="51" t="s">
        <v>106</v>
      </c>
      <c r="J289" s="100">
        <f>Rates!J50</f>
        <v>6.9591273870889495E-2</v>
      </c>
      <c r="K289" s="100">
        <f>Rates!K50</f>
        <v>7.3934468928182201E-2</v>
      </c>
      <c r="L289" s="100">
        <f>Rates!L50</f>
        <v>7.5085976469407303E-2</v>
      </c>
      <c r="M289" s="100">
        <f>Rates!M50</f>
        <v>8.0103391005934096E-2</v>
      </c>
      <c r="N289" s="100">
        <f>Rates!N50</f>
        <v>3.7711007382937055E-2</v>
      </c>
      <c r="O289" s="100">
        <f>Rates!O50</f>
        <v>3.3283969054706777E-2</v>
      </c>
      <c r="P289" s="100">
        <f>Rates!P50</f>
        <v>2.6752660513445464E-2</v>
      </c>
      <c r="Q289" s="100">
        <f>Rates!Q50</f>
        <v>2.6060587348993774E-2</v>
      </c>
      <c r="R289" s="100">
        <f>Rates!R50</f>
        <v>2.6873005987587139E-2</v>
      </c>
      <c r="S289" s="100">
        <f>Rates!S50</f>
        <v>2.8546178928104012E-2</v>
      </c>
      <c r="T289" s="100">
        <f>Rates!T50</f>
        <v>2.9920378203686534E-2</v>
      </c>
    </row>
    <row r="290" spans="3:20" hidden="1" outlineLevel="2">
      <c r="D290" s="51" t="s">
        <v>107</v>
      </c>
      <c r="J290" s="100">
        <f>Rates!J51</f>
        <v>5.5842732834613398E-2</v>
      </c>
      <c r="K290" s="100">
        <f>Rates!K51</f>
        <v>5.16564294790849E-2</v>
      </c>
      <c r="L290" s="100">
        <f>Rates!L51</f>
        <v>6.0535031919173997E-2</v>
      </c>
      <c r="M290" s="100">
        <f>Rates!M51</f>
        <v>7.1630695797579302E-2</v>
      </c>
      <c r="N290" s="100">
        <f>Rates!N51</f>
        <v>7.4343858126268231E-2</v>
      </c>
      <c r="O290" s="100">
        <f>Rates!O51</f>
        <v>7.4059082290758096E-2</v>
      </c>
      <c r="P290" s="100">
        <f>Rates!P51</f>
        <v>2.4388539961794877E-2</v>
      </c>
      <c r="Q290" s="100">
        <f>Rates!Q51</f>
        <v>2.1171310758207256E-2</v>
      </c>
      <c r="R290" s="100">
        <f>Rates!R51</f>
        <v>2.0024144075344485E-2</v>
      </c>
      <c r="S290" s="100">
        <f>Rates!S51</f>
        <v>3.9620009613577346E-2</v>
      </c>
      <c r="T290" s="100">
        <f>Rates!T51</f>
        <v>5.404914337922874E-2</v>
      </c>
    </row>
    <row r="291" spans="3:20" hidden="1" outlineLevel="2">
      <c r="D291" s="51" t="s">
        <v>108</v>
      </c>
      <c r="J291" s="100">
        <f>Rates!J52</f>
        <v>0</v>
      </c>
      <c r="K291" s="100">
        <f>Rates!K52</f>
        <v>0</v>
      </c>
      <c r="L291" s="100">
        <f>Rates!L52</f>
        <v>0</v>
      </c>
      <c r="M291" s="100">
        <f>Rates!M52</f>
        <v>0</v>
      </c>
      <c r="N291" s="100">
        <f>Rates!N52</f>
        <v>0</v>
      </c>
      <c r="O291" s="100">
        <f>Rates!O52</f>
        <v>0</v>
      </c>
      <c r="P291" s="100">
        <f>Rates!P52</f>
        <v>0</v>
      </c>
      <c r="Q291" s="100">
        <f>Rates!Q52</f>
        <v>0</v>
      </c>
      <c r="R291" s="100">
        <f>Rates!R52</f>
        <v>0</v>
      </c>
      <c r="S291" s="100">
        <f>Rates!S52</f>
        <v>0</v>
      </c>
      <c r="T291" s="100">
        <f>Rates!T52</f>
        <v>0</v>
      </c>
    </row>
    <row r="292" spans="3:20" outlineLevel="1" collapsed="1"/>
    <row r="293" spans="3:20" ht="5.9" customHeight="1" outlineLevel="1"/>
    <row r="294" spans="3:20" outlineLevel="1">
      <c r="C294" s="37" t="s">
        <v>118</v>
      </c>
    </row>
    <row r="295" spans="3:20" ht="5.9" customHeight="1" outlineLevel="1"/>
    <row r="296" spans="3:20" outlineLevel="1">
      <c r="D296" s="37" t="s">
        <v>160</v>
      </c>
      <c r="H296" s="107" t="s">
        <v>192</v>
      </c>
    </row>
    <row r="297" spans="3:20" ht="5.9" customHeight="1" outlineLevel="1"/>
    <row r="298" spans="3:20" outlineLevel="1">
      <c r="D298" s="102" t="str">
        <f>Work_Codes!D443</f>
        <v>Parwan &amp; Lara City Gate</v>
      </c>
      <c r="H298" s="63"/>
      <c r="J298" s="125"/>
      <c r="K298" s="125"/>
      <c r="L298" s="125"/>
      <c r="M298" s="125"/>
      <c r="N298" s="212"/>
      <c r="O298" s="212"/>
      <c r="P298" s="125"/>
      <c r="Q298" s="125"/>
      <c r="R298" s="125"/>
      <c r="S298" s="125"/>
      <c r="T298" s="125"/>
    </row>
    <row r="299" spans="3:20" outlineLevel="1">
      <c r="D299" s="102" t="str">
        <f>Work_Codes!D444</f>
        <v>Other Extensions Category 2</v>
      </c>
      <c r="H299" s="63"/>
      <c r="J299" s="125"/>
      <c r="K299" s="125"/>
      <c r="L299" s="125"/>
      <c r="M299" s="125"/>
      <c r="N299" s="212"/>
      <c r="O299" s="212"/>
      <c r="P299" s="125"/>
      <c r="Q299" s="125"/>
      <c r="R299" s="125"/>
      <c r="S299" s="125"/>
      <c r="T299" s="125"/>
    </row>
    <row r="300" spans="3:20" outlineLevel="1">
      <c r="D300" s="105"/>
      <c r="H300" s="58"/>
      <c r="J300" s="66"/>
      <c r="K300" s="66"/>
      <c r="L300" s="66"/>
      <c r="M300" s="66"/>
      <c r="N300" s="66"/>
      <c r="O300" s="66"/>
      <c r="P300" s="66"/>
      <c r="Q300" s="66"/>
      <c r="R300" s="66"/>
      <c r="S300" s="66"/>
      <c r="T300" s="66"/>
    </row>
    <row r="301" spans="3:20" outlineLevel="1">
      <c r="C301" s="37" t="s">
        <v>119</v>
      </c>
    </row>
    <row r="302" spans="3:20" ht="5.9" customHeight="1" outlineLevel="1"/>
    <row r="303" spans="3:20" outlineLevel="1">
      <c r="D303" s="37" t="str">
        <f>D296</f>
        <v>Capex Category</v>
      </c>
    </row>
    <row r="304" spans="3:20" ht="5.9" customHeight="1" outlineLevel="1"/>
    <row r="305" spans="3:20" outlineLevel="1">
      <c r="D305" s="102" t="str">
        <f>Work_Codes!D443</f>
        <v>Parwan &amp; Lara City Gate</v>
      </c>
      <c r="J305" s="163"/>
      <c r="K305" s="163"/>
      <c r="L305" s="163"/>
      <c r="M305" s="163"/>
      <c r="N305" s="213"/>
      <c r="O305" s="213"/>
      <c r="P305" s="163"/>
      <c r="Q305" s="163"/>
      <c r="R305" s="163"/>
      <c r="S305" s="163"/>
      <c r="T305" s="163"/>
    </row>
    <row r="306" spans="3:20" outlineLevel="1">
      <c r="D306" s="102" t="str">
        <f>Work_Codes!D444</f>
        <v>Other Extensions Category 2</v>
      </c>
      <c r="J306" s="163"/>
      <c r="K306" s="163"/>
      <c r="L306" s="163"/>
      <c r="M306" s="163"/>
      <c r="N306" s="213"/>
      <c r="O306" s="213"/>
      <c r="P306" s="163"/>
      <c r="Q306" s="163"/>
      <c r="R306" s="163"/>
      <c r="S306" s="163"/>
      <c r="T306" s="163"/>
    </row>
    <row r="307" spans="3:20" outlineLevel="1"/>
    <row r="308" spans="3:20" outlineLevel="1">
      <c r="C308" s="37" t="s">
        <v>193</v>
      </c>
    </row>
    <row r="309" spans="3:20" ht="5.9" customHeight="1" outlineLevel="1"/>
    <row r="310" spans="3:20" outlineLevel="1">
      <c r="D310" s="37" t="str">
        <f>D296</f>
        <v>Capex Category</v>
      </c>
    </row>
    <row r="311" spans="3:20" ht="5.9" customHeight="1" outlineLevel="1"/>
    <row r="312" spans="3:20" outlineLevel="1">
      <c r="D312" s="102" t="str">
        <f>Work_Codes!D443</f>
        <v>Parwan &amp; Lara City Gate</v>
      </c>
      <c r="J312" s="81">
        <v>0</v>
      </c>
      <c r="K312" s="81">
        <v>0</v>
      </c>
      <c r="L312" s="81">
        <v>0</v>
      </c>
      <c r="M312" s="81">
        <v>0</v>
      </c>
      <c r="N312" s="81">
        <v>8226516.2891243435</v>
      </c>
      <c r="O312" s="81">
        <v>423000</v>
      </c>
      <c r="P312" s="81">
        <v>0</v>
      </c>
      <c r="Q312" s="81">
        <v>0</v>
      </c>
      <c r="R312" s="81">
        <v>0</v>
      </c>
      <c r="S312" s="81">
        <v>0</v>
      </c>
      <c r="T312" s="81">
        <v>0</v>
      </c>
    </row>
    <row r="313" spans="3:20" outlineLevel="1">
      <c r="D313" s="102" t="str">
        <f>Work_Codes!D444</f>
        <v>Other Extensions Category 2</v>
      </c>
      <c r="J313" s="81">
        <v>0</v>
      </c>
      <c r="K313" s="81">
        <v>0</v>
      </c>
      <c r="L313" s="81">
        <v>0</v>
      </c>
      <c r="M313" s="81">
        <v>0</v>
      </c>
      <c r="N313" s="81">
        <v>0</v>
      </c>
      <c r="O313" s="81">
        <v>0</v>
      </c>
      <c r="P313" s="81">
        <v>0</v>
      </c>
      <c r="Q313" s="81">
        <v>0</v>
      </c>
      <c r="R313" s="81">
        <v>0</v>
      </c>
      <c r="S313" s="81">
        <v>0</v>
      </c>
      <c r="T313" s="81">
        <v>0</v>
      </c>
    </row>
    <row r="314" spans="3:20" ht="5.9" customHeight="1" outlineLevel="1">
      <c r="D314" s="37"/>
      <c r="J314" s="78"/>
      <c r="K314" s="78"/>
      <c r="L314" s="78"/>
      <c r="M314" s="78"/>
      <c r="N314" s="78"/>
      <c r="O314" s="78"/>
      <c r="P314" s="78"/>
      <c r="Q314" s="78"/>
      <c r="R314" s="78"/>
      <c r="S314" s="78"/>
      <c r="T314" s="78"/>
    </row>
    <row r="315" spans="3:20" outlineLevel="1">
      <c r="D315" s="249" t="str">
        <f>"Total "&amp;B279</f>
        <v>Total Extensions - Other</v>
      </c>
      <c r="E315" s="249"/>
      <c r="F315" s="249"/>
      <c r="G315" s="249"/>
      <c r="H315" s="249"/>
      <c r="I315" s="249"/>
      <c r="J315" s="82">
        <f t="shared" ref="J315:T315" si="36">SUM(J312:J314)</f>
        <v>0</v>
      </c>
      <c r="K315" s="82">
        <f t="shared" si="36"/>
        <v>0</v>
      </c>
      <c r="L315" s="82">
        <f t="shared" si="36"/>
        <v>0</v>
      </c>
      <c r="M315" s="82">
        <f t="shared" si="36"/>
        <v>0</v>
      </c>
      <c r="N315" s="82">
        <f t="shared" si="36"/>
        <v>8226516.2891243435</v>
      </c>
      <c r="O315" s="82">
        <f t="shared" si="36"/>
        <v>423000</v>
      </c>
      <c r="P315" s="82">
        <f t="shared" si="36"/>
        <v>0</v>
      </c>
      <c r="Q315" s="82">
        <f t="shared" si="36"/>
        <v>0</v>
      </c>
      <c r="R315" s="82">
        <f t="shared" si="36"/>
        <v>0</v>
      </c>
      <c r="S315" s="82">
        <f t="shared" si="36"/>
        <v>0</v>
      </c>
      <c r="T315" s="82">
        <f t="shared" si="36"/>
        <v>0</v>
      </c>
    </row>
    <row r="316" spans="3:20" outlineLevel="1"/>
    <row r="317" spans="3:20" outlineLevel="1">
      <c r="C317" s="37" t="s">
        <v>286</v>
      </c>
    </row>
    <row r="318" spans="3:20" ht="5.9" customHeight="1" outlineLevel="1"/>
    <row r="319" spans="3:20" outlineLevel="1">
      <c r="D319" s="143" t="str">
        <f>Work_Codes!D448</f>
        <v>Lovely Banks City Gate</v>
      </c>
      <c r="J319" s="148">
        <v>0</v>
      </c>
      <c r="K319" s="148">
        <v>0</v>
      </c>
      <c r="L319" s="148">
        <v>0</v>
      </c>
      <c r="M319" s="148">
        <v>0</v>
      </c>
      <c r="N319" s="148">
        <v>-8600000</v>
      </c>
      <c r="O319" s="148"/>
      <c r="P319" s="148">
        <v>0</v>
      </c>
      <c r="Q319" s="148">
        <v>0</v>
      </c>
      <c r="R319" s="148">
        <v>0</v>
      </c>
      <c r="S319" s="148">
        <v>0</v>
      </c>
      <c r="T319" s="148">
        <v>0</v>
      </c>
    </row>
    <row r="320" spans="3:20" outlineLevel="1">
      <c r="D320" s="143" t="str">
        <f>Work_Codes!D449</f>
        <v xml:space="preserve">Parwan City Gate             </v>
      </c>
      <c r="J320" s="148">
        <v>0</v>
      </c>
      <c r="K320" s="148">
        <v>0</v>
      </c>
      <c r="L320" s="148">
        <v>0</v>
      </c>
      <c r="M320" s="148">
        <v>0</v>
      </c>
      <c r="N320" s="148">
        <v>-2820000</v>
      </c>
      <c r="O320" s="148">
        <v>-1223668</v>
      </c>
      <c r="P320" s="148">
        <v>0</v>
      </c>
      <c r="Q320" s="148">
        <v>0</v>
      </c>
      <c r="R320" s="148">
        <v>0</v>
      </c>
      <c r="S320" s="148">
        <v>0</v>
      </c>
      <c r="T320" s="148">
        <v>0</v>
      </c>
    </row>
    <row r="321" spans="3:20" ht="5.9" customHeight="1" outlineLevel="1"/>
    <row r="322" spans="3:20" outlineLevel="1">
      <c r="D322" s="249" t="str">
        <f>"Total "&amp;C317</f>
        <v>Total Customer Connections</v>
      </c>
      <c r="E322" s="249"/>
      <c r="F322" s="249"/>
      <c r="G322" s="249"/>
      <c r="H322" s="249"/>
      <c r="I322" s="249"/>
      <c r="J322" s="82">
        <f t="shared" ref="J322:T322" si="37">SUM(J319:J321)</f>
        <v>0</v>
      </c>
      <c r="K322" s="82">
        <f t="shared" si="37"/>
        <v>0</v>
      </c>
      <c r="L322" s="82">
        <f t="shared" si="37"/>
        <v>0</v>
      </c>
      <c r="M322" s="82">
        <f t="shared" si="37"/>
        <v>0</v>
      </c>
      <c r="N322" s="82">
        <f t="shared" si="37"/>
        <v>-11420000</v>
      </c>
      <c r="O322" s="82">
        <f t="shared" si="37"/>
        <v>-1223668</v>
      </c>
      <c r="P322" s="82">
        <f t="shared" si="37"/>
        <v>0</v>
      </c>
      <c r="Q322" s="82">
        <f t="shared" si="37"/>
        <v>0</v>
      </c>
      <c r="R322" s="82">
        <f t="shared" si="37"/>
        <v>0</v>
      </c>
      <c r="S322" s="82">
        <f t="shared" si="37"/>
        <v>0</v>
      </c>
      <c r="T322" s="82">
        <f t="shared" si="37"/>
        <v>0</v>
      </c>
    </row>
    <row r="323" spans="3:20" outlineLevel="1">
      <c r="C323" s="12"/>
      <c r="D323" s="12"/>
      <c r="E323" s="12"/>
      <c r="F323" s="12"/>
      <c r="G323" s="12"/>
      <c r="H323" s="12"/>
      <c r="I323" s="12"/>
      <c r="J323" s="12"/>
      <c r="K323" s="12"/>
      <c r="L323" s="12"/>
      <c r="M323" s="12"/>
      <c r="N323" s="12"/>
      <c r="O323" s="12"/>
      <c r="P323" s="12"/>
      <c r="Q323" s="12"/>
      <c r="R323" s="12"/>
      <c r="S323" s="12"/>
      <c r="T323" s="12"/>
    </row>
    <row r="324" spans="3:20" outlineLevel="1"/>
    <row r="325" spans="3:20" outlineLevel="1">
      <c r="C325" s="37" t="s">
        <v>213</v>
      </c>
    </row>
    <row r="326" spans="3:20" ht="5.9" hidden="1" customHeight="1" outlineLevel="2"/>
    <row r="327" spans="3:20" hidden="1" outlineLevel="2">
      <c r="C327" s="37" t="s">
        <v>128</v>
      </c>
    </row>
    <row r="328" spans="3:20" ht="5.9" hidden="1" customHeight="1" outlineLevel="2"/>
    <row r="329" spans="3:20" hidden="1" outlineLevel="2">
      <c r="D329" s="102" t="str">
        <f>Work_Codes!D443</f>
        <v>Parwan &amp; Lara City Gate</v>
      </c>
      <c r="J329" s="81">
        <f>Work_Codes!$I443*J312*J$283</f>
        <v>0</v>
      </c>
      <c r="K329" s="81">
        <f>Work_Codes!$I443*K312*K$283</f>
        <v>0</v>
      </c>
      <c r="L329" s="81">
        <f>Work_Codes!$I443*L312*L$283</f>
        <v>0</v>
      </c>
      <c r="M329" s="81">
        <f>Work_Codes!$I443*M312*M$283</f>
        <v>0</v>
      </c>
      <c r="N329" s="81">
        <f>Work_Codes!$I443*N312*N$283</f>
        <v>246795.48867373029</v>
      </c>
      <c r="O329" s="81">
        <f>Work_Codes!$I443*O312*O$283</f>
        <v>12755.936270130396</v>
      </c>
      <c r="P329" s="81">
        <f>Work_Codes!$I443*P312*P$283</f>
        <v>0</v>
      </c>
      <c r="Q329" s="81">
        <f>Work_Codes!$I443*Q312*Q$283</f>
        <v>0</v>
      </c>
      <c r="R329" s="81">
        <f>Work_Codes!$I443*R312*R$283</f>
        <v>0</v>
      </c>
      <c r="S329" s="81">
        <f>Work_Codes!$I443*S312*S$283</f>
        <v>0</v>
      </c>
      <c r="T329" s="81">
        <f>Work_Codes!$I443*T312*T$283</f>
        <v>0</v>
      </c>
    </row>
    <row r="330" spans="3:20" hidden="1" outlineLevel="2">
      <c r="D330" s="102" t="str">
        <f>Work_Codes!D444</f>
        <v>Other Extensions Category 2</v>
      </c>
      <c r="J330" s="81">
        <f>Work_Codes!$I444*J313*J$283</f>
        <v>0</v>
      </c>
      <c r="K330" s="81">
        <f>Work_Codes!$I444*K313*K$283</f>
        <v>0</v>
      </c>
      <c r="L330" s="81">
        <f>Work_Codes!$I444*L313*L$283</f>
        <v>0</v>
      </c>
      <c r="M330" s="81">
        <f>Work_Codes!$I444*M313*M$283</f>
        <v>0</v>
      </c>
      <c r="N330" s="81">
        <f>Work_Codes!$I444*N313*N$283</f>
        <v>0</v>
      </c>
      <c r="O330" s="81">
        <f>Work_Codes!$I444*O313*O$283</f>
        <v>0</v>
      </c>
      <c r="P330" s="81">
        <f>Work_Codes!$I444*P313*P$283</f>
        <v>0</v>
      </c>
      <c r="Q330" s="81">
        <f>Work_Codes!$I444*Q313*Q$283</f>
        <v>0</v>
      </c>
      <c r="R330" s="81">
        <f>Work_Codes!$I444*R313*R$283</f>
        <v>0</v>
      </c>
      <c r="S330" s="81">
        <f>Work_Codes!$I444*S313*S$283</f>
        <v>0</v>
      </c>
      <c r="T330" s="81">
        <f>Work_Codes!$I444*T313*T$283</f>
        <v>0</v>
      </c>
    </row>
    <row r="331" spans="3:20" ht="5.9" hidden="1" customHeight="1" outlineLevel="2"/>
    <row r="332" spans="3:20" hidden="1" outlineLevel="2">
      <c r="D332" s="249" t="str">
        <f>"Total "&amp;C327</f>
        <v>Total Internal Labour</v>
      </c>
      <c r="E332" s="249"/>
      <c r="F332" s="249"/>
      <c r="G332" s="249"/>
      <c r="H332" s="249"/>
      <c r="I332" s="249"/>
      <c r="J332" s="82">
        <f t="shared" ref="J332:T332" si="38">SUM(J329:J331)</f>
        <v>0</v>
      </c>
      <c r="K332" s="82">
        <f t="shared" si="38"/>
        <v>0</v>
      </c>
      <c r="L332" s="82">
        <f t="shared" si="38"/>
        <v>0</v>
      </c>
      <c r="M332" s="82">
        <f t="shared" si="38"/>
        <v>0</v>
      </c>
      <c r="N332" s="82">
        <f t="shared" si="38"/>
        <v>246795.48867373029</v>
      </c>
      <c r="O332" s="82">
        <f t="shared" si="38"/>
        <v>12755.936270130396</v>
      </c>
      <c r="P332" s="82">
        <f t="shared" si="38"/>
        <v>0</v>
      </c>
      <c r="Q332" s="82">
        <f t="shared" si="38"/>
        <v>0</v>
      </c>
      <c r="R332" s="82">
        <f t="shared" si="38"/>
        <v>0</v>
      </c>
      <c r="S332" s="82">
        <f t="shared" si="38"/>
        <v>0</v>
      </c>
      <c r="T332" s="82">
        <f t="shared" si="38"/>
        <v>0</v>
      </c>
    </row>
    <row r="333" spans="3:20" hidden="1" outlineLevel="2"/>
    <row r="334" spans="3:20" hidden="1" outlineLevel="2">
      <c r="C334" s="37" t="s">
        <v>129</v>
      </c>
    </row>
    <row r="335" spans="3:20" ht="5.9" hidden="1" customHeight="1" outlineLevel="2"/>
    <row r="336" spans="3:20" hidden="1" outlineLevel="2">
      <c r="D336" s="102" t="str">
        <f>Work_Codes!D443</f>
        <v>Parwan &amp; Lara City Gate</v>
      </c>
      <c r="J336" s="81">
        <f>Work_Codes!$J443*J312*J$284</f>
        <v>0</v>
      </c>
      <c r="K336" s="81">
        <f>Work_Codes!$J443*K312*K$284</f>
        <v>0</v>
      </c>
      <c r="L336" s="81">
        <f>Work_Codes!$J443*L312*L$284</f>
        <v>0</v>
      </c>
      <c r="M336" s="81">
        <f>Work_Codes!$J443*M312*M$284</f>
        <v>0</v>
      </c>
      <c r="N336" s="81">
        <f>Work_Codes!$J443*N312*N$284</f>
        <v>4689114.284800875</v>
      </c>
      <c r="O336" s="81">
        <f>Work_Codes!$J443*O312*O$284</f>
        <v>241109.99999999997</v>
      </c>
      <c r="P336" s="81">
        <f>Work_Codes!$J443*P312*P$284</f>
        <v>0</v>
      </c>
      <c r="Q336" s="81">
        <f>Work_Codes!$J443*Q312*Q$284</f>
        <v>0</v>
      </c>
      <c r="R336" s="81">
        <f>Work_Codes!$J443*R312*R$284</f>
        <v>0</v>
      </c>
      <c r="S336" s="81">
        <f>Work_Codes!$J443*S312*S$284</f>
        <v>0</v>
      </c>
      <c r="T336" s="81">
        <f>Work_Codes!$J443*T312*T$284</f>
        <v>0</v>
      </c>
    </row>
    <row r="337" spans="3:20" hidden="1" outlineLevel="2">
      <c r="D337" s="102" t="str">
        <f>Work_Codes!D444</f>
        <v>Other Extensions Category 2</v>
      </c>
      <c r="J337" s="81">
        <f>Work_Codes!$J444*J313*J$284</f>
        <v>0</v>
      </c>
      <c r="K337" s="81">
        <f>Work_Codes!$J444*K313*K$284</f>
        <v>0</v>
      </c>
      <c r="L337" s="81">
        <f>Work_Codes!$J444*L313*L$284</f>
        <v>0</v>
      </c>
      <c r="M337" s="81">
        <f>Work_Codes!$J444*M313*M$284</f>
        <v>0</v>
      </c>
      <c r="N337" s="81">
        <f>Work_Codes!$J444*N313*N$284</f>
        <v>0</v>
      </c>
      <c r="O337" s="81">
        <f>Work_Codes!$J444*O313*O$284</f>
        <v>0</v>
      </c>
      <c r="P337" s="81">
        <f>Work_Codes!$J444*P313*P$284</f>
        <v>0</v>
      </c>
      <c r="Q337" s="81">
        <f>Work_Codes!$J444*Q313*Q$284</f>
        <v>0</v>
      </c>
      <c r="R337" s="81">
        <f>Work_Codes!$J444*R313*R$284</f>
        <v>0</v>
      </c>
      <c r="S337" s="81">
        <f>Work_Codes!$J444*S313*S$284</f>
        <v>0</v>
      </c>
      <c r="T337" s="81">
        <f>Work_Codes!$J444*T313*T$284</f>
        <v>0</v>
      </c>
    </row>
    <row r="338" spans="3:20" ht="5.9" hidden="1" customHeight="1" outlineLevel="2"/>
    <row r="339" spans="3:20" hidden="1" outlineLevel="2">
      <c r="D339" s="249" t="str">
        <f>"Total "&amp;C334</f>
        <v>Total External Labour</v>
      </c>
      <c r="E339" s="249"/>
      <c r="F339" s="249"/>
      <c r="G339" s="249"/>
      <c r="H339" s="249"/>
      <c r="I339" s="249"/>
      <c r="J339" s="82">
        <f t="shared" ref="J339:T339" si="39">SUM(J336:J338)</f>
        <v>0</v>
      </c>
      <c r="K339" s="82">
        <f t="shared" si="39"/>
        <v>0</v>
      </c>
      <c r="L339" s="82">
        <f t="shared" si="39"/>
        <v>0</v>
      </c>
      <c r="M339" s="82">
        <f t="shared" si="39"/>
        <v>0</v>
      </c>
      <c r="N339" s="82">
        <f t="shared" si="39"/>
        <v>4689114.284800875</v>
      </c>
      <c r="O339" s="82">
        <f t="shared" si="39"/>
        <v>241109.99999999997</v>
      </c>
      <c r="P339" s="82">
        <f t="shared" si="39"/>
        <v>0</v>
      </c>
      <c r="Q339" s="82">
        <f t="shared" si="39"/>
        <v>0</v>
      </c>
      <c r="R339" s="82">
        <f t="shared" si="39"/>
        <v>0</v>
      </c>
      <c r="S339" s="82">
        <f t="shared" si="39"/>
        <v>0</v>
      </c>
      <c r="T339" s="82">
        <f t="shared" si="39"/>
        <v>0</v>
      </c>
    </row>
    <row r="340" spans="3:20" hidden="1" outlineLevel="2"/>
    <row r="341" spans="3:20" hidden="1" outlineLevel="2">
      <c r="C341" s="37" t="s">
        <v>130</v>
      </c>
    </row>
    <row r="342" spans="3:20" ht="5.9" hidden="1" customHeight="1" outlineLevel="2"/>
    <row r="343" spans="3:20" hidden="1" outlineLevel="2">
      <c r="D343" s="102" t="str">
        <f>Work_Codes!D443</f>
        <v>Parwan &amp; Lara City Gate</v>
      </c>
      <c r="J343" s="81">
        <f>Work_Codes!$K443*J312*J$285</f>
        <v>0</v>
      </c>
      <c r="K343" s="81">
        <f>Work_Codes!$K443*K312*K$285</f>
        <v>0</v>
      </c>
      <c r="L343" s="81">
        <f>Work_Codes!$K443*L312*L$285</f>
        <v>0</v>
      </c>
      <c r="M343" s="81">
        <f>Work_Codes!$K443*M312*M$285</f>
        <v>0</v>
      </c>
      <c r="N343" s="81">
        <f>Work_Codes!$K443*N312*N$285</f>
        <v>3290606.5156497378</v>
      </c>
      <c r="O343" s="81">
        <f>Work_Codes!$K443*O312*O$285</f>
        <v>169200</v>
      </c>
      <c r="P343" s="81">
        <f>Work_Codes!$K443*P312*P$285</f>
        <v>0</v>
      </c>
      <c r="Q343" s="81">
        <f>Work_Codes!$K443*Q312*Q$285</f>
        <v>0</v>
      </c>
      <c r="R343" s="81">
        <f>Work_Codes!$K443*R312*R$285</f>
        <v>0</v>
      </c>
      <c r="S343" s="81">
        <f>Work_Codes!$K443*S312*S$285</f>
        <v>0</v>
      </c>
      <c r="T343" s="81">
        <f>Work_Codes!$K443*T312*T$285</f>
        <v>0</v>
      </c>
    </row>
    <row r="344" spans="3:20" hidden="1" outlineLevel="2">
      <c r="D344" s="102" t="str">
        <f>Work_Codes!D444</f>
        <v>Other Extensions Category 2</v>
      </c>
      <c r="J344" s="81">
        <f>Work_Codes!$K444*J313*J$285</f>
        <v>0</v>
      </c>
      <c r="K344" s="81">
        <f>Work_Codes!$K444*K313*K$285</f>
        <v>0</v>
      </c>
      <c r="L344" s="81">
        <f>Work_Codes!$K444*L313*L$285</f>
        <v>0</v>
      </c>
      <c r="M344" s="81">
        <f>Work_Codes!$K444*M313*M$285</f>
        <v>0</v>
      </c>
      <c r="N344" s="81">
        <f>Work_Codes!$K444*N313*N$285</f>
        <v>0</v>
      </c>
      <c r="O344" s="81">
        <f>Work_Codes!$K444*O313*O$285</f>
        <v>0</v>
      </c>
      <c r="P344" s="81">
        <f>Work_Codes!$K444*P313*P$285</f>
        <v>0</v>
      </c>
      <c r="Q344" s="81">
        <f>Work_Codes!$K444*Q313*Q$285</f>
        <v>0</v>
      </c>
      <c r="R344" s="81">
        <f>Work_Codes!$K444*R313*R$285</f>
        <v>0</v>
      </c>
      <c r="S344" s="81">
        <f>Work_Codes!$K444*S313*S$285</f>
        <v>0</v>
      </c>
      <c r="T344" s="81">
        <f>Work_Codes!$K444*T313*T$285</f>
        <v>0</v>
      </c>
    </row>
    <row r="345" spans="3:20" ht="5.9" hidden="1" customHeight="1" outlineLevel="2"/>
    <row r="346" spans="3:20" hidden="1" outlineLevel="2">
      <c r="D346" s="249" t="str">
        <f>"Total "&amp;C341</f>
        <v>Total Materials</v>
      </c>
      <c r="E346" s="249"/>
      <c r="F346" s="249"/>
      <c r="G346" s="249"/>
      <c r="H346" s="249"/>
      <c r="I346" s="249"/>
      <c r="J346" s="82">
        <f t="shared" ref="J346:T346" si="40">SUM(J343:J345)</f>
        <v>0</v>
      </c>
      <c r="K346" s="82">
        <f t="shared" si="40"/>
        <v>0</v>
      </c>
      <c r="L346" s="82">
        <f t="shared" si="40"/>
        <v>0</v>
      </c>
      <c r="M346" s="82">
        <f t="shared" si="40"/>
        <v>0</v>
      </c>
      <c r="N346" s="82">
        <f t="shared" si="40"/>
        <v>3290606.5156497378</v>
      </c>
      <c r="O346" s="82">
        <f t="shared" si="40"/>
        <v>169200</v>
      </c>
      <c r="P346" s="82">
        <f t="shared" si="40"/>
        <v>0</v>
      </c>
      <c r="Q346" s="82">
        <f t="shared" si="40"/>
        <v>0</v>
      </c>
      <c r="R346" s="82">
        <f t="shared" si="40"/>
        <v>0</v>
      </c>
      <c r="S346" s="82">
        <f t="shared" si="40"/>
        <v>0</v>
      </c>
      <c r="T346" s="82">
        <f t="shared" si="40"/>
        <v>0</v>
      </c>
    </row>
    <row r="347" spans="3:20" outlineLevel="1" collapsed="1"/>
    <row r="348" spans="3:20" outlineLevel="1">
      <c r="C348" s="37" t="s">
        <v>217</v>
      </c>
    </row>
    <row r="349" spans="3:20" ht="5.9" customHeight="1" outlineLevel="1"/>
    <row r="350" spans="3:20" outlineLevel="1">
      <c r="D350" s="102" t="str">
        <f>Work_Codes!D443</f>
        <v>Parwan &amp; Lara City Gate</v>
      </c>
      <c r="J350" s="81">
        <f t="shared" ref="J350:T350" si="41">J329+J336+J343</f>
        <v>0</v>
      </c>
      <c r="K350" s="81">
        <f t="shared" si="41"/>
        <v>0</v>
      </c>
      <c r="L350" s="81">
        <f t="shared" si="41"/>
        <v>0</v>
      </c>
      <c r="M350" s="81">
        <f t="shared" si="41"/>
        <v>0</v>
      </c>
      <c r="N350" s="81">
        <f t="shared" si="41"/>
        <v>8226516.2891243435</v>
      </c>
      <c r="O350" s="81">
        <f t="shared" si="41"/>
        <v>423065.93627013033</v>
      </c>
      <c r="P350" s="81">
        <f t="shared" si="41"/>
        <v>0</v>
      </c>
      <c r="Q350" s="81">
        <f t="shared" si="41"/>
        <v>0</v>
      </c>
      <c r="R350" s="81">
        <f t="shared" si="41"/>
        <v>0</v>
      </c>
      <c r="S350" s="81">
        <f t="shared" si="41"/>
        <v>0</v>
      </c>
      <c r="T350" s="81">
        <f t="shared" si="41"/>
        <v>0</v>
      </c>
    </row>
    <row r="351" spans="3:20" outlineLevel="1">
      <c r="D351" s="102" t="str">
        <f>Work_Codes!D444</f>
        <v>Other Extensions Category 2</v>
      </c>
      <c r="J351" s="81">
        <f t="shared" ref="J351:T351" si="42">J330+J337+J344</f>
        <v>0</v>
      </c>
      <c r="K351" s="81">
        <f t="shared" si="42"/>
        <v>0</v>
      </c>
      <c r="L351" s="81">
        <f t="shared" si="42"/>
        <v>0</v>
      </c>
      <c r="M351" s="81">
        <f t="shared" si="42"/>
        <v>0</v>
      </c>
      <c r="N351" s="81">
        <f t="shared" si="42"/>
        <v>0</v>
      </c>
      <c r="O351" s="81">
        <f t="shared" si="42"/>
        <v>0</v>
      </c>
      <c r="P351" s="81">
        <f t="shared" si="42"/>
        <v>0</v>
      </c>
      <c r="Q351" s="81">
        <f t="shared" si="42"/>
        <v>0</v>
      </c>
      <c r="R351" s="81">
        <f t="shared" si="42"/>
        <v>0</v>
      </c>
      <c r="S351" s="81">
        <f t="shared" si="42"/>
        <v>0</v>
      </c>
      <c r="T351" s="81">
        <f t="shared" si="42"/>
        <v>0</v>
      </c>
    </row>
    <row r="352" spans="3:20" ht="5.9" customHeight="1" outlineLevel="1"/>
    <row r="353" spans="2:20" outlineLevel="1">
      <c r="D353" s="249" t="str">
        <f>C348</f>
        <v>Total Direct Capex including Escalation (Non CPI)</v>
      </c>
      <c r="E353" s="249"/>
      <c r="F353" s="249"/>
      <c r="G353" s="249"/>
      <c r="H353" s="249"/>
      <c r="I353" s="249"/>
      <c r="J353" s="82">
        <f t="shared" ref="J353:T353" si="43">SUM(J350:J352)</f>
        <v>0</v>
      </c>
      <c r="K353" s="82">
        <f t="shared" si="43"/>
        <v>0</v>
      </c>
      <c r="L353" s="82">
        <f t="shared" si="43"/>
        <v>0</v>
      </c>
      <c r="M353" s="82">
        <f t="shared" si="43"/>
        <v>0</v>
      </c>
      <c r="N353" s="82">
        <f t="shared" si="43"/>
        <v>8226516.2891243435</v>
      </c>
      <c r="O353" s="82">
        <f t="shared" si="43"/>
        <v>423065.93627013033</v>
      </c>
      <c r="P353" s="82">
        <f t="shared" si="43"/>
        <v>0</v>
      </c>
      <c r="Q353" s="82">
        <f t="shared" si="43"/>
        <v>0</v>
      </c>
      <c r="R353" s="82">
        <f t="shared" si="43"/>
        <v>0</v>
      </c>
      <c r="S353" s="82">
        <f t="shared" si="43"/>
        <v>0</v>
      </c>
      <c r="T353" s="82">
        <f t="shared" si="43"/>
        <v>0</v>
      </c>
    </row>
    <row r="354" spans="2:20" outlineLevel="1">
      <c r="B354" s="12"/>
      <c r="C354" s="12"/>
      <c r="D354" s="12"/>
      <c r="E354" s="12"/>
      <c r="F354" s="12"/>
      <c r="G354" s="12"/>
      <c r="H354" s="12"/>
      <c r="I354" s="12"/>
      <c r="J354" s="12"/>
      <c r="K354" s="12"/>
      <c r="L354" s="12"/>
      <c r="M354" s="12"/>
      <c r="N354" s="12"/>
      <c r="O354" s="12"/>
      <c r="P354" s="12"/>
      <c r="Q354" s="12"/>
      <c r="R354" s="12"/>
      <c r="S354" s="12"/>
      <c r="T354" s="12"/>
    </row>
    <row r="355" spans="2:20" outlineLevel="1"/>
    <row r="356" spans="2:20" outlineLevel="1">
      <c r="C356" s="37" t="s">
        <v>195</v>
      </c>
    </row>
    <row r="357" spans="2:20" ht="5.9" customHeight="1" outlineLevel="2"/>
    <row r="358" spans="2:20" outlineLevel="2">
      <c r="D358" s="37" t="s">
        <v>215</v>
      </c>
    </row>
    <row r="359" spans="2:20" ht="5.9" customHeight="1" outlineLevel="2"/>
    <row r="360" spans="2:20" ht="11.5" customHeight="1" outlineLevel="2">
      <c r="E360" s="247" t="str">
        <f>GC!C40</f>
        <v>Transmission pipelines</v>
      </c>
      <c r="F360" s="247"/>
      <c r="G360" s="247"/>
      <c r="H360" s="247"/>
      <c r="I360" s="247"/>
      <c r="J360" s="81">
        <f ca="1">SUMPRODUCT((Work_Codes!$N$440:$Y$440=$E360)*(Work_Codes!$N$443:$Y$444)*(J$350:J$351))</f>
        <v>0</v>
      </c>
      <c r="K360" s="81">
        <f ca="1">SUMPRODUCT((Work_Codes!$N$440:$Y$440=$E360)*(Work_Codes!$N$443:$Y$444)*(K$350:K$351))</f>
        <v>0</v>
      </c>
      <c r="L360" s="81">
        <f ca="1">SUMPRODUCT((Work_Codes!$N$440:$Y$440=$E360)*(Work_Codes!$N$443:$Y$444)*(L$350:L$351))</f>
        <v>0</v>
      </c>
      <c r="M360" s="81">
        <f ca="1">SUMPRODUCT((Work_Codes!$N$440:$Y$440=$E360)*(Work_Codes!$N$443:$Y$444)*(M$350:M$351))</f>
        <v>0</v>
      </c>
      <c r="N360" s="81">
        <f ca="1">SUMPRODUCT((Work_Codes!$N$440:$Y$440=$E360)*(Work_Codes!$N$443:$Y$444)*(N$350:N$351))</f>
        <v>0</v>
      </c>
      <c r="O360" s="81">
        <f ca="1">SUMPRODUCT((Work_Codes!$N$440:$Y$440=$E360)*(Work_Codes!$N$443:$Y$444)*(O$350:O$351))</f>
        <v>0</v>
      </c>
      <c r="P360" s="81">
        <f ca="1">SUMPRODUCT((Work_Codes!$N$440:$Y$440=$E360)*(Work_Codes!$N$443:$Y$444)*(P$350:P$351))</f>
        <v>0</v>
      </c>
      <c r="Q360" s="81">
        <f ca="1">SUMPRODUCT((Work_Codes!$N$440:$Y$440=$E360)*(Work_Codes!$N$443:$Y$444)*(Q$350:Q$351))</f>
        <v>0</v>
      </c>
      <c r="R360" s="81">
        <f ca="1">SUMPRODUCT((Work_Codes!$N$440:$Y$440=$E360)*(Work_Codes!$N$443:$Y$444)*(R$350:R$351))</f>
        <v>0</v>
      </c>
      <c r="S360" s="81">
        <f ca="1">SUMPRODUCT((Work_Codes!$N$440:$Y$440=$E360)*(Work_Codes!$N$443:$Y$444)*(S$350:S$351))</f>
        <v>0</v>
      </c>
      <c r="T360" s="81">
        <f ca="1">SUMPRODUCT((Work_Codes!$N$440:$Y$440=$E360)*(Work_Codes!$N$443:$Y$444)*(T$350:T$351))</f>
        <v>0</v>
      </c>
    </row>
    <row r="361" spans="2:20" ht="11.5" customHeight="1" outlineLevel="2">
      <c r="E361" s="247" t="str">
        <f>GC!C41</f>
        <v>Distribution pipelines</v>
      </c>
      <c r="F361" s="247"/>
      <c r="G361" s="247"/>
      <c r="H361" s="247"/>
      <c r="I361" s="247"/>
      <c r="J361" s="81">
        <f ca="1">SUMPRODUCT((Work_Codes!$N$440:$Y$440=$E361)*(Work_Codes!$N$443:$Y$444)*(J$350:J$351))</f>
        <v>0</v>
      </c>
      <c r="K361" s="81">
        <f ca="1">SUMPRODUCT((Work_Codes!$N$440:$Y$440=$E361)*(Work_Codes!$N$443:$Y$444)*(K$350:K$351))</f>
        <v>0</v>
      </c>
      <c r="L361" s="81">
        <f ca="1">SUMPRODUCT((Work_Codes!$N$440:$Y$440=$E361)*(Work_Codes!$N$443:$Y$444)*(L$350:L$351))</f>
        <v>0</v>
      </c>
      <c r="M361" s="81">
        <f ca="1">SUMPRODUCT((Work_Codes!$N$440:$Y$440=$E361)*(Work_Codes!$N$443:$Y$444)*(M$350:M$351))</f>
        <v>0</v>
      </c>
      <c r="N361" s="81">
        <f ca="1">SUMPRODUCT((Work_Codes!$N$440:$Y$440=$E361)*(Work_Codes!$N$443:$Y$444)*(N$350:N$351))</f>
        <v>0</v>
      </c>
      <c r="O361" s="81">
        <f ca="1">SUMPRODUCT((Work_Codes!$N$440:$Y$440=$E361)*(Work_Codes!$N$443:$Y$444)*(O$350:O$351))</f>
        <v>0</v>
      </c>
      <c r="P361" s="81">
        <f ca="1">SUMPRODUCT((Work_Codes!$N$440:$Y$440=$E361)*(Work_Codes!$N$443:$Y$444)*(P$350:P$351))</f>
        <v>0</v>
      </c>
      <c r="Q361" s="81">
        <f ca="1">SUMPRODUCT((Work_Codes!$N$440:$Y$440=$E361)*(Work_Codes!$N$443:$Y$444)*(Q$350:Q$351))</f>
        <v>0</v>
      </c>
      <c r="R361" s="81">
        <f ca="1">SUMPRODUCT((Work_Codes!$N$440:$Y$440=$E361)*(Work_Codes!$N$443:$Y$444)*(R$350:R$351))</f>
        <v>0</v>
      </c>
      <c r="S361" s="81">
        <f ca="1">SUMPRODUCT((Work_Codes!$N$440:$Y$440=$E361)*(Work_Codes!$N$443:$Y$444)*(S$350:S$351))</f>
        <v>0</v>
      </c>
      <c r="T361" s="81">
        <f ca="1">SUMPRODUCT((Work_Codes!$N$440:$Y$440=$E361)*(Work_Codes!$N$443:$Y$444)*(T$350:T$351))</f>
        <v>0</v>
      </c>
    </row>
    <row r="362" spans="2:20" ht="11.5" customHeight="1" outlineLevel="2">
      <c r="E362" s="247" t="str">
        <f>GC!C42</f>
        <v>Service pipes</v>
      </c>
      <c r="F362" s="247"/>
      <c r="G362" s="247"/>
      <c r="H362" s="247"/>
      <c r="I362" s="247"/>
      <c r="J362" s="81">
        <f ca="1">SUMPRODUCT((Work_Codes!$N$440:$Y$440=$E362)*(Work_Codes!$N$443:$Y$444)*(J$350:J$351))</f>
        <v>0</v>
      </c>
      <c r="K362" s="81">
        <f ca="1">SUMPRODUCT((Work_Codes!$N$440:$Y$440=$E362)*(Work_Codes!$N$443:$Y$444)*(K$350:K$351))</f>
        <v>0</v>
      </c>
      <c r="L362" s="81">
        <f ca="1">SUMPRODUCT((Work_Codes!$N$440:$Y$440=$E362)*(Work_Codes!$N$443:$Y$444)*(L$350:L$351))</f>
        <v>0</v>
      </c>
      <c r="M362" s="81">
        <f ca="1">SUMPRODUCT((Work_Codes!$N$440:$Y$440=$E362)*(Work_Codes!$N$443:$Y$444)*(M$350:M$351))</f>
        <v>0</v>
      </c>
      <c r="N362" s="81">
        <f ca="1">SUMPRODUCT((Work_Codes!$N$440:$Y$440=$E362)*(Work_Codes!$N$443:$Y$444)*(N$350:N$351))</f>
        <v>0</v>
      </c>
      <c r="O362" s="81">
        <f ca="1">SUMPRODUCT((Work_Codes!$N$440:$Y$440=$E362)*(Work_Codes!$N$443:$Y$444)*(O$350:O$351))</f>
        <v>0</v>
      </c>
      <c r="P362" s="81">
        <f ca="1">SUMPRODUCT((Work_Codes!$N$440:$Y$440=$E362)*(Work_Codes!$N$443:$Y$444)*(P$350:P$351))</f>
        <v>0</v>
      </c>
      <c r="Q362" s="81">
        <f ca="1">SUMPRODUCT((Work_Codes!$N$440:$Y$440=$E362)*(Work_Codes!$N$443:$Y$444)*(Q$350:Q$351))</f>
        <v>0</v>
      </c>
      <c r="R362" s="81">
        <f ca="1">SUMPRODUCT((Work_Codes!$N$440:$Y$440=$E362)*(Work_Codes!$N$443:$Y$444)*(R$350:R$351))</f>
        <v>0</v>
      </c>
      <c r="S362" s="81">
        <f ca="1">SUMPRODUCT((Work_Codes!$N$440:$Y$440=$E362)*(Work_Codes!$N$443:$Y$444)*(S$350:S$351))</f>
        <v>0</v>
      </c>
      <c r="T362" s="81">
        <f ca="1">SUMPRODUCT((Work_Codes!$N$440:$Y$440=$E362)*(Work_Codes!$N$443:$Y$444)*(T$350:T$351))</f>
        <v>0</v>
      </c>
    </row>
    <row r="363" spans="2:20" ht="11.5" customHeight="1" outlineLevel="2">
      <c r="E363" s="247" t="str">
        <f>GC!C43</f>
        <v>Cathodic protection</v>
      </c>
      <c r="F363" s="247"/>
      <c r="G363" s="247"/>
      <c r="H363" s="247"/>
      <c r="I363" s="247"/>
      <c r="J363" s="81">
        <f ca="1">SUMPRODUCT((Work_Codes!$N$440:$Y$440=$E363)*(Work_Codes!$N$443:$Y$444)*(J$350:J$351))</f>
        <v>0</v>
      </c>
      <c r="K363" s="81">
        <f ca="1">SUMPRODUCT((Work_Codes!$N$440:$Y$440=$E363)*(Work_Codes!$N$443:$Y$444)*(K$350:K$351))</f>
        <v>0</v>
      </c>
      <c r="L363" s="81">
        <f ca="1">SUMPRODUCT((Work_Codes!$N$440:$Y$440=$E363)*(Work_Codes!$N$443:$Y$444)*(L$350:L$351))</f>
        <v>0</v>
      </c>
      <c r="M363" s="81">
        <f ca="1">SUMPRODUCT((Work_Codes!$N$440:$Y$440=$E363)*(Work_Codes!$N$443:$Y$444)*(M$350:M$351))</f>
        <v>0</v>
      </c>
      <c r="N363" s="81">
        <f ca="1">SUMPRODUCT((Work_Codes!$N$440:$Y$440=$E363)*(Work_Codes!$N$443:$Y$444)*(N$350:N$351))</f>
        <v>0</v>
      </c>
      <c r="O363" s="81">
        <f ca="1">SUMPRODUCT((Work_Codes!$N$440:$Y$440=$E363)*(Work_Codes!$N$443:$Y$444)*(O$350:O$351))</f>
        <v>0</v>
      </c>
      <c r="P363" s="81">
        <f ca="1">SUMPRODUCT((Work_Codes!$N$440:$Y$440=$E363)*(Work_Codes!$N$443:$Y$444)*(P$350:P$351))</f>
        <v>0</v>
      </c>
      <c r="Q363" s="81">
        <f ca="1">SUMPRODUCT((Work_Codes!$N$440:$Y$440=$E363)*(Work_Codes!$N$443:$Y$444)*(Q$350:Q$351))</f>
        <v>0</v>
      </c>
      <c r="R363" s="81">
        <f ca="1">SUMPRODUCT((Work_Codes!$N$440:$Y$440=$E363)*(Work_Codes!$N$443:$Y$444)*(R$350:R$351))</f>
        <v>0</v>
      </c>
      <c r="S363" s="81">
        <f ca="1">SUMPRODUCT((Work_Codes!$N$440:$Y$440=$E363)*(Work_Codes!$N$443:$Y$444)*(S$350:S$351))</f>
        <v>0</v>
      </c>
      <c r="T363" s="81">
        <f ca="1">SUMPRODUCT((Work_Codes!$N$440:$Y$440=$E363)*(Work_Codes!$N$443:$Y$444)*(T$350:T$351))</f>
        <v>0</v>
      </c>
    </row>
    <row r="364" spans="2:20" ht="11.5" customHeight="1" outlineLevel="2">
      <c r="E364" s="247" t="str">
        <f>GC!C44</f>
        <v>Supply Regulators / Valve Stations</v>
      </c>
      <c r="F364" s="247"/>
      <c r="G364" s="247"/>
      <c r="H364" s="247"/>
      <c r="I364" s="247"/>
      <c r="J364" s="81">
        <f ca="1">SUMPRODUCT((Work_Codes!$N$440:$Y$440=$E364)*(Work_Codes!$N$443:$Y$444)*(J$350:J$351))</f>
        <v>0</v>
      </c>
      <c r="K364" s="81">
        <f ca="1">SUMPRODUCT((Work_Codes!$N$440:$Y$440=$E364)*(Work_Codes!$N$443:$Y$444)*(K$350:K$351))</f>
        <v>0</v>
      </c>
      <c r="L364" s="81">
        <f ca="1">SUMPRODUCT((Work_Codes!$N$440:$Y$440=$E364)*(Work_Codes!$N$443:$Y$444)*(L$350:L$351))</f>
        <v>0</v>
      </c>
      <c r="M364" s="81">
        <f ca="1">SUMPRODUCT((Work_Codes!$N$440:$Y$440=$E364)*(Work_Codes!$N$443:$Y$444)*(M$350:M$351))</f>
        <v>0</v>
      </c>
      <c r="N364" s="81">
        <f ca="1">SUMPRODUCT((Work_Codes!$N$440:$Y$440=$E364)*(Work_Codes!$N$443:$Y$444)*(N$350:N$351))</f>
        <v>6992538.8457556916</v>
      </c>
      <c r="O364" s="81">
        <f ca="1">SUMPRODUCT((Work_Codes!$N$440:$Y$440=$E364)*(Work_Codes!$N$443:$Y$444)*(O$350:O$351))</f>
        <v>359606.04582961078</v>
      </c>
      <c r="P364" s="81">
        <f ca="1">SUMPRODUCT((Work_Codes!$N$440:$Y$440=$E364)*(Work_Codes!$N$443:$Y$444)*(P$350:P$351))</f>
        <v>0</v>
      </c>
      <c r="Q364" s="81">
        <f ca="1">SUMPRODUCT((Work_Codes!$N$440:$Y$440=$E364)*(Work_Codes!$N$443:$Y$444)*(Q$350:Q$351))</f>
        <v>0</v>
      </c>
      <c r="R364" s="81">
        <f ca="1">SUMPRODUCT((Work_Codes!$N$440:$Y$440=$E364)*(Work_Codes!$N$443:$Y$444)*(R$350:R$351))</f>
        <v>0</v>
      </c>
      <c r="S364" s="81">
        <f ca="1">SUMPRODUCT((Work_Codes!$N$440:$Y$440=$E364)*(Work_Codes!$N$443:$Y$444)*(S$350:S$351))</f>
        <v>0</v>
      </c>
      <c r="T364" s="81">
        <f ca="1">SUMPRODUCT((Work_Codes!$N$440:$Y$440=$E364)*(Work_Codes!$N$443:$Y$444)*(T$350:T$351))</f>
        <v>0</v>
      </c>
    </row>
    <row r="365" spans="2:20" ht="11.5" customHeight="1" outlineLevel="2">
      <c r="E365" s="247" t="str">
        <f>GC!C45</f>
        <v>Meters</v>
      </c>
      <c r="F365" s="247"/>
      <c r="G365" s="247"/>
      <c r="H365" s="247"/>
      <c r="I365" s="247"/>
      <c r="J365" s="81">
        <f ca="1">SUMPRODUCT((Work_Codes!$N$440:$Y$440=$E365)*(Work_Codes!$N$443:$Y$444)*(J$350:J$351))</f>
        <v>0</v>
      </c>
      <c r="K365" s="81">
        <f ca="1">SUMPRODUCT((Work_Codes!$N$440:$Y$440=$E365)*(Work_Codes!$N$443:$Y$444)*(K$350:K$351))</f>
        <v>0</v>
      </c>
      <c r="L365" s="81">
        <f ca="1">SUMPRODUCT((Work_Codes!$N$440:$Y$440=$E365)*(Work_Codes!$N$443:$Y$444)*(L$350:L$351))</f>
        <v>0</v>
      </c>
      <c r="M365" s="81">
        <f ca="1">SUMPRODUCT((Work_Codes!$N$440:$Y$440=$E365)*(Work_Codes!$N$443:$Y$444)*(M$350:M$351))</f>
        <v>0</v>
      </c>
      <c r="N365" s="81">
        <f ca="1">SUMPRODUCT((Work_Codes!$N$440:$Y$440=$E365)*(Work_Codes!$N$443:$Y$444)*(N$350:N$351))</f>
        <v>0</v>
      </c>
      <c r="O365" s="81">
        <f ca="1">SUMPRODUCT((Work_Codes!$N$440:$Y$440=$E365)*(Work_Codes!$N$443:$Y$444)*(O$350:O$351))</f>
        <v>0</v>
      </c>
      <c r="P365" s="81">
        <f ca="1">SUMPRODUCT((Work_Codes!$N$440:$Y$440=$E365)*(Work_Codes!$N$443:$Y$444)*(P$350:P$351))</f>
        <v>0</v>
      </c>
      <c r="Q365" s="81">
        <f ca="1">SUMPRODUCT((Work_Codes!$N$440:$Y$440=$E365)*(Work_Codes!$N$443:$Y$444)*(Q$350:Q$351))</f>
        <v>0</v>
      </c>
      <c r="R365" s="81">
        <f ca="1">SUMPRODUCT((Work_Codes!$N$440:$Y$440=$E365)*(Work_Codes!$N$443:$Y$444)*(R$350:R$351))</f>
        <v>0</v>
      </c>
      <c r="S365" s="81">
        <f ca="1">SUMPRODUCT((Work_Codes!$N$440:$Y$440=$E365)*(Work_Codes!$N$443:$Y$444)*(S$350:S$351))</f>
        <v>0</v>
      </c>
      <c r="T365" s="81">
        <f ca="1">SUMPRODUCT((Work_Codes!$N$440:$Y$440=$E365)*(Work_Codes!$N$443:$Y$444)*(T$350:T$351))</f>
        <v>0</v>
      </c>
    </row>
    <row r="366" spans="2:20" ht="11.5" customHeight="1" outlineLevel="2">
      <c r="E366" s="247" t="str">
        <f>GC!C46</f>
        <v>SCADA and remote control</v>
      </c>
      <c r="F366" s="247"/>
      <c r="G366" s="247"/>
      <c r="H366" s="247"/>
      <c r="I366" s="247"/>
      <c r="J366" s="81">
        <f ca="1">SUMPRODUCT((Work_Codes!$N$440:$Y$440=$E366)*(Work_Codes!$N$443:$Y$444)*(J$350:J$351))</f>
        <v>0</v>
      </c>
      <c r="K366" s="81">
        <f ca="1">SUMPRODUCT((Work_Codes!$N$440:$Y$440=$E366)*(Work_Codes!$N$443:$Y$444)*(K$350:K$351))</f>
        <v>0</v>
      </c>
      <c r="L366" s="81">
        <f ca="1">SUMPRODUCT((Work_Codes!$N$440:$Y$440=$E366)*(Work_Codes!$N$443:$Y$444)*(L$350:L$351))</f>
        <v>0</v>
      </c>
      <c r="M366" s="81">
        <f ca="1">SUMPRODUCT((Work_Codes!$N$440:$Y$440=$E366)*(Work_Codes!$N$443:$Y$444)*(M$350:M$351))</f>
        <v>0</v>
      </c>
      <c r="N366" s="81">
        <f ca="1">SUMPRODUCT((Work_Codes!$N$440:$Y$440=$E366)*(Work_Codes!$N$443:$Y$444)*(N$350:N$351))</f>
        <v>0</v>
      </c>
      <c r="O366" s="81">
        <f ca="1">SUMPRODUCT((Work_Codes!$N$440:$Y$440=$E366)*(Work_Codes!$N$443:$Y$444)*(O$350:O$351))</f>
        <v>0</v>
      </c>
      <c r="P366" s="81">
        <f ca="1">SUMPRODUCT((Work_Codes!$N$440:$Y$440=$E366)*(Work_Codes!$N$443:$Y$444)*(P$350:P$351))</f>
        <v>0</v>
      </c>
      <c r="Q366" s="81">
        <f ca="1">SUMPRODUCT((Work_Codes!$N$440:$Y$440=$E366)*(Work_Codes!$N$443:$Y$444)*(Q$350:Q$351))</f>
        <v>0</v>
      </c>
      <c r="R366" s="81">
        <f ca="1">SUMPRODUCT((Work_Codes!$N$440:$Y$440=$E366)*(Work_Codes!$N$443:$Y$444)*(R$350:R$351))</f>
        <v>0</v>
      </c>
      <c r="S366" s="81">
        <f ca="1">SUMPRODUCT((Work_Codes!$N$440:$Y$440=$E366)*(Work_Codes!$N$443:$Y$444)*(S$350:S$351))</f>
        <v>0</v>
      </c>
      <c r="T366" s="81">
        <f ca="1">SUMPRODUCT((Work_Codes!$N$440:$Y$440=$E366)*(Work_Codes!$N$443:$Y$444)*(T$350:T$351))</f>
        <v>0</v>
      </c>
    </row>
    <row r="367" spans="2:20" ht="11.5" customHeight="1" outlineLevel="2">
      <c r="E367" s="247" t="str">
        <f>GC!C47</f>
        <v>Buildings</v>
      </c>
      <c r="F367" s="247"/>
      <c r="G367" s="247"/>
      <c r="H367" s="247"/>
      <c r="I367" s="247"/>
      <c r="J367" s="81">
        <f ca="1">SUMPRODUCT((Work_Codes!$N$440:$Y$440=$E367)*(Work_Codes!$N$443:$Y$444)*(J$350:J$351))</f>
        <v>0</v>
      </c>
      <c r="K367" s="81">
        <f ca="1">SUMPRODUCT((Work_Codes!$N$440:$Y$440=$E367)*(Work_Codes!$N$443:$Y$444)*(K$350:K$351))</f>
        <v>0</v>
      </c>
      <c r="L367" s="81">
        <f ca="1">SUMPRODUCT((Work_Codes!$N$440:$Y$440=$E367)*(Work_Codes!$N$443:$Y$444)*(L$350:L$351))</f>
        <v>0</v>
      </c>
      <c r="M367" s="81">
        <f ca="1">SUMPRODUCT((Work_Codes!$N$440:$Y$440=$E367)*(Work_Codes!$N$443:$Y$444)*(M$350:M$351))</f>
        <v>0</v>
      </c>
      <c r="N367" s="81">
        <f ca="1">SUMPRODUCT((Work_Codes!$N$440:$Y$440=$E367)*(Work_Codes!$N$443:$Y$444)*(N$350:N$351))</f>
        <v>0</v>
      </c>
      <c r="O367" s="81">
        <f ca="1">SUMPRODUCT((Work_Codes!$N$440:$Y$440=$E367)*(Work_Codes!$N$443:$Y$444)*(O$350:O$351))</f>
        <v>0</v>
      </c>
      <c r="P367" s="81">
        <f ca="1">SUMPRODUCT((Work_Codes!$N$440:$Y$440=$E367)*(Work_Codes!$N$443:$Y$444)*(P$350:P$351))</f>
        <v>0</v>
      </c>
      <c r="Q367" s="81">
        <f ca="1">SUMPRODUCT((Work_Codes!$N$440:$Y$440=$E367)*(Work_Codes!$N$443:$Y$444)*(Q$350:Q$351))</f>
        <v>0</v>
      </c>
      <c r="R367" s="81">
        <f ca="1">SUMPRODUCT((Work_Codes!$N$440:$Y$440=$E367)*(Work_Codes!$N$443:$Y$444)*(R$350:R$351))</f>
        <v>0</v>
      </c>
      <c r="S367" s="81">
        <f ca="1">SUMPRODUCT((Work_Codes!$N$440:$Y$440=$E367)*(Work_Codes!$N$443:$Y$444)*(S$350:S$351))</f>
        <v>0</v>
      </c>
      <c r="T367" s="81">
        <f ca="1">SUMPRODUCT((Work_Codes!$N$440:$Y$440=$E367)*(Work_Codes!$N$443:$Y$444)*(T$350:T$351))</f>
        <v>0</v>
      </c>
    </row>
    <row r="368" spans="2:20" ht="11.5" customHeight="1" outlineLevel="2">
      <c r="E368" s="247" t="str">
        <f>GC!C48</f>
        <v>Other - IT</v>
      </c>
      <c r="F368" s="247"/>
      <c r="G368" s="247"/>
      <c r="H368" s="247"/>
      <c r="I368" s="247"/>
      <c r="J368" s="81">
        <f ca="1">SUMPRODUCT((Work_Codes!$N$440:$Y$440=$E368)*(Work_Codes!$N$443:$Y$444)*(J$350:J$351))</f>
        <v>0</v>
      </c>
      <c r="K368" s="81">
        <f ca="1">SUMPRODUCT((Work_Codes!$N$440:$Y$440=$E368)*(Work_Codes!$N$443:$Y$444)*(K$350:K$351))</f>
        <v>0</v>
      </c>
      <c r="L368" s="81">
        <f ca="1">SUMPRODUCT((Work_Codes!$N$440:$Y$440=$E368)*(Work_Codes!$N$443:$Y$444)*(L$350:L$351))</f>
        <v>0</v>
      </c>
      <c r="M368" s="81">
        <f ca="1">SUMPRODUCT((Work_Codes!$N$440:$Y$440=$E368)*(Work_Codes!$N$443:$Y$444)*(M$350:M$351))</f>
        <v>0</v>
      </c>
      <c r="N368" s="81">
        <f ca="1">SUMPRODUCT((Work_Codes!$N$440:$Y$440=$E368)*(Work_Codes!$N$443:$Y$444)*(N$350:N$351))</f>
        <v>0</v>
      </c>
      <c r="O368" s="81">
        <f ca="1">SUMPRODUCT((Work_Codes!$N$440:$Y$440=$E368)*(Work_Codes!$N$443:$Y$444)*(O$350:O$351))</f>
        <v>0</v>
      </c>
      <c r="P368" s="81">
        <f ca="1">SUMPRODUCT((Work_Codes!$N$440:$Y$440=$E368)*(Work_Codes!$N$443:$Y$444)*(P$350:P$351))</f>
        <v>0</v>
      </c>
      <c r="Q368" s="81">
        <f ca="1">SUMPRODUCT((Work_Codes!$N$440:$Y$440=$E368)*(Work_Codes!$N$443:$Y$444)*(Q$350:Q$351))</f>
        <v>0</v>
      </c>
      <c r="R368" s="81">
        <f ca="1">SUMPRODUCT((Work_Codes!$N$440:$Y$440=$E368)*(Work_Codes!$N$443:$Y$444)*(R$350:R$351))</f>
        <v>0</v>
      </c>
      <c r="S368" s="81">
        <f ca="1">SUMPRODUCT((Work_Codes!$N$440:$Y$440=$E368)*(Work_Codes!$N$443:$Y$444)*(S$350:S$351))</f>
        <v>0</v>
      </c>
      <c r="T368" s="81">
        <f ca="1">SUMPRODUCT((Work_Codes!$N$440:$Y$440=$E368)*(Work_Codes!$N$443:$Y$444)*(T$350:T$351))</f>
        <v>0</v>
      </c>
    </row>
    <row r="369" spans="4:20" ht="11.5" customHeight="1" outlineLevel="2">
      <c r="E369" s="247" t="str">
        <f>GC!C49</f>
        <v>Other - non IT</v>
      </c>
      <c r="F369" s="247"/>
      <c r="G369" s="247"/>
      <c r="H369" s="247"/>
      <c r="I369" s="247"/>
      <c r="J369" s="81">
        <f ca="1">SUMPRODUCT((Work_Codes!$N$440:$Y$440=$E369)*(Work_Codes!$N$443:$Y$444)*(J$350:J$351))</f>
        <v>0</v>
      </c>
      <c r="K369" s="81">
        <f ca="1">SUMPRODUCT((Work_Codes!$N$440:$Y$440=$E369)*(Work_Codes!$N$443:$Y$444)*(K$350:K$351))</f>
        <v>0</v>
      </c>
      <c r="L369" s="81">
        <f ca="1">SUMPRODUCT((Work_Codes!$N$440:$Y$440=$E369)*(Work_Codes!$N$443:$Y$444)*(L$350:L$351))</f>
        <v>0</v>
      </c>
      <c r="M369" s="81">
        <f ca="1">SUMPRODUCT((Work_Codes!$N$440:$Y$440=$E369)*(Work_Codes!$N$443:$Y$444)*(M$350:M$351))</f>
        <v>0</v>
      </c>
      <c r="N369" s="81">
        <f ca="1">SUMPRODUCT((Work_Codes!$N$440:$Y$440=$E369)*(Work_Codes!$N$443:$Y$444)*(N$350:N$351))</f>
        <v>0</v>
      </c>
      <c r="O369" s="81">
        <f ca="1">SUMPRODUCT((Work_Codes!$N$440:$Y$440=$E369)*(Work_Codes!$N$443:$Y$444)*(O$350:O$351))</f>
        <v>0</v>
      </c>
      <c r="P369" s="81">
        <f ca="1">SUMPRODUCT((Work_Codes!$N$440:$Y$440=$E369)*(Work_Codes!$N$443:$Y$444)*(P$350:P$351))</f>
        <v>0</v>
      </c>
      <c r="Q369" s="81">
        <f ca="1">SUMPRODUCT((Work_Codes!$N$440:$Y$440=$E369)*(Work_Codes!$N$443:$Y$444)*(Q$350:Q$351))</f>
        <v>0</v>
      </c>
      <c r="R369" s="81">
        <f ca="1">SUMPRODUCT((Work_Codes!$N$440:$Y$440=$E369)*(Work_Codes!$N$443:$Y$444)*(R$350:R$351))</f>
        <v>0</v>
      </c>
      <c r="S369" s="81">
        <f ca="1">SUMPRODUCT((Work_Codes!$N$440:$Y$440=$E369)*(Work_Codes!$N$443:$Y$444)*(S$350:S$351))</f>
        <v>0</v>
      </c>
      <c r="T369" s="81">
        <f ca="1">SUMPRODUCT((Work_Codes!$N$440:$Y$440=$E369)*(Work_Codes!$N$443:$Y$444)*(T$350:T$351))</f>
        <v>0</v>
      </c>
    </row>
    <row r="370" spans="4:20" ht="11.5" customHeight="1" outlineLevel="2">
      <c r="E370" s="247" t="str">
        <f>GC!C50</f>
        <v>Land</v>
      </c>
      <c r="F370" s="247"/>
      <c r="G370" s="247"/>
      <c r="H370" s="247"/>
      <c r="I370" s="247"/>
      <c r="J370" s="81">
        <f ca="1">SUMPRODUCT((Work_Codes!$N$440:$Y$440=$E370)*(Work_Codes!$N$443:$Y$444)*(J$350:J$351))</f>
        <v>0</v>
      </c>
      <c r="K370" s="81">
        <f ca="1">SUMPRODUCT((Work_Codes!$N$440:$Y$440=$E370)*(Work_Codes!$N$443:$Y$444)*(K$350:K$351))</f>
        <v>0</v>
      </c>
      <c r="L370" s="81">
        <f ca="1">SUMPRODUCT((Work_Codes!$N$440:$Y$440=$E370)*(Work_Codes!$N$443:$Y$444)*(L$350:L$351))</f>
        <v>0</v>
      </c>
      <c r="M370" s="81">
        <f ca="1">SUMPRODUCT((Work_Codes!$N$440:$Y$440=$E370)*(Work_Codes!$N$443:$Y$444)*(M$350:M$351))</f>
        <v>0</v>
      </c>
      <c r="N370" s="81">
        <f ca="1">SUMPRODUCT((Work_Codes!$N$440:$Y$440=$E370)*(Work_Codes!$N$443:$Y$444)*(N$350:N$351))</f>
        <v>0</v>
      </c>
      <c r="O370" s="81">
        <f ca="1">SUMPRODUCT((Work_Codes!$N$440:$Y$440=$E370)*(Work_Codes!$N$443:$Y$444)*(O$350:O$351))</f>
        <v>0</v>
      </c>
      <c r="P370" s="81">
        <f ca="1">SUMPRODUCT((Work_Codes!$N$440:$Y$440=$E370)*(Work_Codes!$N$443:$Y$444)*(P$350:P$351))</f>
        <v>0</v>
      </c>
      <c r="Q370" s="81">
        <f ca="1">SUMPRODUCT((Work_Codes!$N$440:$Y$440=$E370)*(Work_Codes!$N$443:$Y$444)*(Q$350:Q$351))</f>
        <v>0</v>
      </c>
      <c r="R370" s="81">
        <f ca="1">SUMPRODUCT((Work_Codes!$N$440:$Y$440=$E370)*(Work_Codes!$N$443:$Y$444)*(R$350:R$351))</f>
        <v>0</v>
      </c>
      <c r="S370" s="81">
        <f ca="1">SUMPRODUCT((Work_Codes!$N$440:$Y$440=$E370)*(Work_Codes!$N$443:$Y$444)*(S$350:S$351))</f>
        <v>0</v>
      </c>
      <c r="T370" s="81">
        <f ca="1">SUMPRODUCT((Work_Codes!$N$440:$Y$440=$E370)*(Work_Codes!$N$443:$Y$444)*(T$350:T$351))</f>
        <v>0</v>
      </c>
    </row>
    <row r="371" spans="4:20" outlineLevel="2">
      <c r="E371" s="247" t="str">
        <f>GC!C51</f>
        <v>Capitalised Leases</v>
      </c>
      <c r="F371" s="247"/>
      <c r="G371" s="247"/>
      <c r="H371" s="247"/>
      <c r="I371" s="247"/>
      <c r="J371" s="81">
        <f ca="1">SUMPRODUCT((Work_Codes!$N$440:$Y$440=$E371)*(Work_Codes!$N$443:$Y$444)*(J$350:J$351))</f>
        <v>0</v>
      </c>
      <c r="K371" s="81">
        <f ca="1">SUMPRODUCT((Work_Codes!$N$440:$Y$440=$E371)*(Work_Codes!$N$443:$Y$444)*(K$350:K$351))</f>
        <v>0</v>
      </c>
      <c r="L371" s="81">
        <f ca="1">SUMPRODUCT((Work_Codes!$N$440:$Y$440=$E371)*(Work_Codes!$N$443:$Y$444)*(L$350:L$351))</f>
        <v>0</v>
      </c>
      <c r="M371" s="81">
        <f ca="1">SUMPRODUCT((Work_Codes!$N$440:$Y$440=$E371)*(Work_Codes!$N$443:$Y$444)*(M$350:M$351))</f>
        <v>0</v>
      </c>
      <c r="N371" s="81">
        <f ca="1">SUMPRODUCT((Work_Codes!$N$440:$Y$440=$E371)*(Work_Codes!$N$443:$Y$444)*(N$350:N$351))</f>
        <v>0</v>
      </c>
      <c r="O371" s="81">
        <f ca="1">SUMPRODUCT((Work_Codes!$N$440:$Y$440=$E371)*(Work_Codes!$N$443:$Y$444)*(O$350:O$351))</f>
        <v>0</v>
      </c>
      <c r="P371" s="81">
        <f ca="1">SUMPRODUCT((Work_Codes!$N$440:$Y$440=$E371)*(Work_Codes!$N$443:$Y$444)*(P$350:P$351))</f>
        <v>0</v>
      </c>
      <c r="Q371" s="81">
        <f ca="1">SUMPRODUCT((Work_Codes!$N$440:$Y$440=$E371)*(Work_Codes!$N$443:$Y$444)*(Q$350:Q$351))</f>
        <v>0</v>
      </c>
      <c r="R371" s="81">
        <f ca="1">SUMPRODUCT((Work_Codes!$N$440:$Y$440=$E371)*(Work_Codes!$N$443:$Y$444)*(R$350:R$351))</f>
        <v>0</v>
      </c>
      <c r="S371" s="81">
        <f ca="1">SUMPRODUCT((Work_Codes!$N$440:$Y$440=$E371)*(Work_Codes!$N$443:$Y$444)*(S$350:S$351))</f>
        <v>0</v>
      </c>
      <c r="T371" s="81">
        <f ca="1">SUMPRODUCT((Work_Codes!$N$440:$Y$440=$E371)*(Work_Codes!$N$443:$Y$444)*(T$350:T$351))</f>
        <v>0</v>
      </c>
    </row>
    <row r="372" spans="4:20" outlineLevel="2">
      <c r="E372" s="247" t="str">
        <f>GC!C52</f>
        <v>Transmission pipelines - post 1998</v>
      </c>
      <c r="F372" s="247"/>
      <c r="G372" s="247"/>
      <c r="H372" s="247"/>
      <c r="I372" s="247"/>
      <c r="J372" s="81">
        <f ca="1">SUMPRODUCT((Work_Codes!$N$440:$Y$440=$E372)*(Work_Codes!$N$443:$Y$444)*(J$350:J$351))</f>
        <v>0</v>
      </c>
      <c r="K372" s="81">
        <f ca="1">SUMPRODUCT((Work_Codes!$N$440:$Y$440=$E372)*(Work_Codes!$N$443:$Y$444)*(K$350:K$351))</f>
        <v>0</v>
      </c>
      <c r="L372" s="81">
        <f ca="1">SUMPRODUCT((Work_Codes!$N$440:$Y$440=$E372)*(Work_Codes!$N$443:$Y$444)*(L$350:L$351))</f>
        <v>0</v>
      </c>
      <c r="M372" s="81">
        <f ca="1">SUMPRODUCT((Work_Codes!$N$440:$Y$440=$E372)*(Work_Codes!$N$443:$Y$444)*(M$350:M$351))</f>
        <v>0</v>
      </c>
      <c r="N372" s="81">
        <f ca="1">SUMPRODUCT((Work_Codes!$N$440:$Y$440=$E372)*(Work_Codes!$N$443:$Y$444)*(N$350:N$351))</f>
        <v>0</v>
      </c>
      <c r="O372" s="81">
        <f ca="1">SUMPRODUCT((Work_Codes!$N$440:$Y$440=$E372)*(Work_Codes!$N$443:$Y$444)*(O$350:O$351))</f>
        <v>0</v>
      </c>
      <c r="P372" s="81">
        <f ca="1">SUMPRODUCT((Work_Codes!$N$440:$Y$440=$E372)*(Work_Codes!$N$443:$Y$444)*(P$350:P$351))</f>
        <v>0</v>
      </c>
      <c r="Q372" s="81">
        <f ca="1">SUMPRODUCT((Work_Codes!$N$440:$Y$440=$E372)*(Work_Codes!$N$443:$Y$444)*(Q$350:Q$351))</f>
        <v>0</v>
      </c>
      <c r="R372" s="81">
        <f ca="1">SUMPRODUCT((Work_Codes!$N$440:$Y$440=$E372)*(Work_Codes!$N$443:$Y$444)*(R$350:R$351))</f>
        <v>0</v>
      </c>
      <c r="S372" s="81">
        <f ca="1">SUMPRODUCT((Work_Codes!$N$440:$Y$440=$E372)*(Work_Codes!$N$443:$Y$444)*(S$350:S$351))</f>
        <v>0</v>
      </c>
      <c r="T372" s="81">
        <f ca="1">SUMPRODUCT((Work_Codes!$N$440:$Y$440=$E372)*(Work_Codes!$N$443:$Y$444)*(T$350:T$351))</f>
        <v>0</v>
      </c>
    </row>
    <row r="373" spans="4:20" outlineLevel="2">
      <c r="E373" s="247" t="str">
        <f>GC!C53</f>
        <v>Distribution pipelines - post 1998</v>
      </c>
      <c r="F373" s="247"/>
      <c r="G373" s="247"/>
      <c r="H373" s="247"/>
      <c r="I373" s="247"/>
      <c r="J373" s="81">
        <f ca="1">SUMPRODUCT((Work_Codes!$N$440:$Y$440=$E373)*(Work_Codes!$N$443:$Y$444)*(J$350:J$351))</f>
        <v>0</v>
      </c>
      <c r="K373" s="81">
        <f ca="1">SUMPRODUCT((Work_Codes!$N$440:$Y$440=$E373)*(Work_Codes!$N$443:$Y$444)*(K$350:K$351))</f>
        <v>0</v>
      </c>
      <c r="L373" s="81">
        <f ca="1">SUMPRODUCT((Work_Codes!$N$440:$Y$440=$E373)*(Work_Codes!$N$443:$Y$444)*(L$350:L$351))</f>
        <v>0</v>
      </c>
      <c r="M373" s="81">
        <f ca="1">SUMPRODUCT((Work_Codes!$N$440:$Y$440=$E373)*(Work_Codes!$N$443:$Y$444)*(M$350:M$351))</f>
        <v>0</v>
      </c>
      <c r="N373" s="81">
        <f ca="1">SUMPRODUCT((Work_Codes!$N$440:$Y$440=$E373)*(Work_Codes!$N$443:$Y$444)*(N$350:N$351))</f>
        <v>1233977.4433686514</v>
      </c>
      <c r="O373" s="81">
        <f ca="1">SUMPRODUCT((Work_Codes!$N$440:$Y$440=$E373)*(Work_Codes!$N$443:$Y$444)*(O$350:O$351))</f>
        <v>63459.89044051955</v>
      </c>
      <c r="P373" s="81">
        <f ca="1">SUMPRODUCT((Work_Codes!$N$440:$Y$440=$E373)*(Work_Codes!$N$443:$Y$444)*(P$350:P$351))</f>
        <v>0</v>
      </c>
      <c r="Q373" s="81">
        <f ca="1">SUMPRODUCT((Work_Codes!$N$440:$Y$440=$E373)*(Work_Codes!$N$443:$Y$444)*(Q$350:Q$351))</f>
        <v>0</v>
      </c>
      <c r="R373" s="81">
        <f ca="1">SUMPRODUCT((Work_Codes!$N$440:$Y$440=$E373)*(Work_Codes!$N$443:$Y$444)*(R$350:R$351))</f>
        <v>0</v>
      </c>
      <c r="S373" s="81">
        <f ca="1">SUMPRODUCT((Work_Codes!$N$440:$Y$440=$E373)*(Work_Codes!$N$443:$Y$444)*(S$350:S$351))</f>
        <v>0</v>
      </c>
      <c r="T373" s="81">
        <f ca="1">SUMPRODUCT((Work_Codes!$N$440:$Y$440=$E373)*(Work_Codes!$N$443:$Y$444)*(T$350:T$351))</f>
        <v>0</v>
      </c>
    </row>
    <row r="374" spans="4:20" outlineLevel="2">
      <c r="E374" s="247" t="str">
        <f>GC!C54</f>
        <v>Service pipes - post 1998</v>
      </c>
      <c r="F374" s="247"/>
      <c r="G374" s="247"/>
      <c r="H374" s="247"/>
      <c r="I374" s="247"/>
      <c r="J374" s="81">
        <f ca="1">SUMPRODUCT((Work_Codes!$N$440:$Y$440=$E374)*(Work_Codes!$N$443:$Y$444)*(J$350:J$351))</f>
        <v>0</v>
      </c>
      <c r="K374" s="81">
        <f ca="1">SUMPRODUCT((Work_Codes!$N$440:$Y$440=$E374)*(Work_Codes!$N$443:$Y$444)*(K$350:K$351))</f>
        <v>0</v>
      </c>
      <c r="L374" s="81">
        <f ca="1">SUMPRODUCT((Work_Codes!$N$440:$Y$440=$E374)*(Work_Codes!$N$443:$Y$444)*(L$350:L$351))</f>
        <v>0</v>
      </c>
      <c r="M374" s="81">
        <f ca="1">SUMPRODUCT((Work_Codes!$N$440:$Y$440=$E374)*(Work_Codes!$N$443:$Y$444)*(M$350:M$351))</f>
        <v>0</v>
      </c>
      <c r="N374" s="81">
        <f ca="1">SUMPRODUCT((Work_Codes!$N$440:$Y$440=$E374)*(Work_Codes!$N$443:$Y$444)*(N$350:N$351))</f>
        <v>0</v>
      </c>
      <c r="O374" s="81">
        <f ca="1">SUMPRODUCT((Work_Codes!$N$440:$Y$440=$E374)*(Work_Codes!$N$443:$Y$444)*(O$350:O$351))</f>
        <v>0</v>
      </c>
      <c r="P374" s="81">
        <f ca="1">SUMPRODUCT((Work_Codes!$N$440:$Y$440=$E374)*(Work_Codes!$N$443:$Y$444)*(P$350:P$351))</f>
        <v>0</v>
      </c>
      <c r="Q374" s="81">
        <f ca="1">SUMPRODUCT((Work_Codes!$N$440:$Y$440=$E374)*(Work_Codes!$N$443:$Y$444)*(Q$350:Q$351))</f>
        <v>0</v>
      </c>
      <c r="R374" s="81">
        <f ca="1">SUMPRODUCT((Work_Codes!$N$440:$Y$440=$E374)*(Work_Codes!$N$443:$Y$444)*(R$350:R$351))</f>
        <v>0</v>
      </c>
      <c r="S374" s="81">
        <f ca="1">SUMPRODUCT((Work_Codes!$N$440:$Y$440=$E374)*(Work_Codes!$N$443:$Y$444)*(S$350:S$351))</f>
        <v>0</v>
      </c>
      <c r="T374" s="81">
        <f ca="1">SUMPRODUCT((Work_Codes!$N$440:$Y$440=$E374)*(Work_Codes!$N$443:$Y$444)*(T$350:T$351))</f>
        <v>0</v>
      </c>
    </row>
    <row r="375" spans="4:20" outlineLevel="2">
      <c r="E375" s="247" t="str">
        <f>GC!C55</f>
        <v>Cathodic protection - post 1998</v>
      </c>
      <c r="F375" s="247"/>
      <c r="G375" s="247"/>
      <c r="H375" s="247"/>
      <c r="I375" s="247"/>
      <c r="J375" s="81">
        <f ca="1">SUMPRODUCT((Work_Codes!$N$440:$Y$440=$E375)*(Work_Codes!$N$443:$Y$444)*(J$350:J$351))</f>
        <v>0</v>
      </c>
      <c r="K375" s="81">
        <f ca="1">SUMPRODUCT((Work_Codes!$N$440:$Y$440=$E375)*(Work_Codes!$N$443:$Y$444)*(K$350:K$351))</f>
        <v>0</v>
      </c>
      <c r="L375" s="81">
        <f ca="1">SUMPRODUCT((Work_Codes!$N$440:$Y$440=$E375)*(Work_Codes!$N$443:$Y$444)*(L$350:L$351))</f>
        <v>0</v>
      </c>
      <c r="M375" s="81">
        <f ca="1">SUMPRODUCT((Work_Codes!$N$440:$Y$440=$E375)*(Work_Codes!$N$443:$Y$444)*(M$350:M$351))</f>
        <v>0</v>
      </c>
      <c r="N375" s="81">
        <f ca="1">SUMPRODUCT((Work_Codes!$N$440:$Y$440=$E375)*(Work_Codes!$N$443:$Y$444)*(N$350:N$351))</f>
        <v>0</v>
      </c>
      <c r="O375" s="81">
        <f ca="1">SUMPRODUCT((Work_Codes!$N$440:$Y$440=$E375)*(Work_Codes!$N$443:$Y$444)*(O$350:O$351))</f>
        <v>0</v>
      </c>
      <c r="P375" s="81">
        <f ca="1">SUMPRODUCT((Work_Codes!$N$440:$Y$440=$E375)*(Work_Codes!$N$443:$Y$444)*(P$350:P$351))</f>
        <v>0</v>
      </c>
      <c r="Q375" s="81">
        <f ca="1">SUMPRODUCT((Work_Codes!$N$440:$Y$440=$E375)*(Work_Codes!$N$443:$Y$444)*(Q$350:Q$351))</f>
        <v>0</v>
      </c>
      <c r="R375" s="81">
        <f ca="1">SUMPRODUCT((Work_Codes!$N$440:$Y$440=$E375)*(Work_Codes!$N$443:$Y$444)*(R$350:R$351))</f>
        <v>0</v>
      </c>
      <c r="S375" s="81">
        <f ca="1">SUMPRODUCT((Work_Codes!$N$440:$Y$440=$E375)*(Work_Codes!$N$443:$Y$444)*(S$350:S$351))</f>
        <v>0</v>
      </c>
      <c r="T375" s="81">
        <f ca="1">SUMPRODUCT((Work_Codes!$N$440:$Y$440=$E375)*(Work_Codes!$N$443:$Y$444)*(T$350:T$351))</f>
        <v>0</v>
      </c>
    </row>
    <row r="376" spans="4:20" ht="12" customHeight="1" outlineLevel="2">
      <c r="E376" s="249" t="str">
        <f>"Total "&amp;D358</f>
        <v>Total Direct Costs</v>
      </c>
      <c r="F376" s="249"/>
      <c r="G376" s="249"/>
      <c r="H376" s="249"/>
      <c r="I376" s="249"/>
      <c r="J376" s="82">
        <f t="shared" ref="J376:T376" ca="1" si="44">SUM(J360:J375)</f>
        <v>0</v>
      </c>
      <c r="K376" s="82">
        <f t="shared" ca="1" si="44"/>
        <v>0</v>
      </c>
      <c r="L376" s="82">
        <f t="shared" ca="1" si="44"/>
        <v>0</v>
      </c>
      <c r="M376" s="82">
        <f t="shared" ca="1" si="44"/>
        <v>0</v>
      </c>
      <c r="N376" s="82">
        <f t="shared" ca="1" si="44"/>
        <v>8226516.2891243435</v>
      </c>
      <c r="O376" s="82">
        <f t="shared" ca="1" si="44"/>
        <v>423065.93627013033</v>
      </c>
      <c r="P376" s="82">
        <f t="shared" ca="1" si="44"/>
        <v>0</v>
      </c>
      <c r="Q376" s="82">
        <f t="shared" ca="1" si="44"/>
        <v>0</v>
      </c>
      <c r="R376" s="82">
        <f t="shared" ca="1" si="44"/>
        <v>0</v>
      </c>
      <c r="S376" s="82">
        <f t="shared" ca="1" si="44"/>
        <v>0</v>
      </c>
      <c r="T376" s="82">
        <f t="shared" ca="1" si="44"/>
        <v>0</v>
      </c>
    </row>
    <row r="377" spans="4:20" outlineLevel="2"/>
    <row r="378" spans="4:20" outlineLevel="2">
      <c r="D378" s="37" t="s">
        <v>364</v>
      </c>
    </row>
    <row r="379" spans="4:20" ht="5.9" customHeight="1" outlineLevel="2"/>
    <row r="380" spans="4:20" outlineLevel="2">
      <c r="E380" s="247" t="str">
        <f>GC!C40</f>
        <v>Transmission pipelines</v>
      </c>
      <c r="F380" s="247"/>
      <c r="G380" s="247"/>
      <c r="H380" s="247"/>
      <c r="I380" s="247"/>
      <c r="J380" s="81">
        <f ca="1">J360*(INDEX(J$289:J$291,MATCH(Work_Codes!$I$437,$D$289:$D$291,0)))</f>
        <v>0</v>
      </c>
      <c r="K380" s="81">
        <f ca="1">K360*(INDEX(K$289:K$291,MATCH(Work_Codes!$I$437,$D$289:$D$291,0)))</f>
        <v>0</v>
      </c>
      <c r="L380" s="81">
        <f ca="1">L360*(INDEX(L$289:L$291,MATCH(Work_Codes!$I$437,$D$289:$D$291,0)))</f>
        <v>0</v>
      </c>
      <c r="M380" s="81">
        <f ca="1">M360*(INDEX(M$289:M$291,MATCH(Work_Codes!$I$437,$D$289:$D$291,0)))</f>
        <v>0</v>
      </c>
      <c r="N380" s="81">
        <f ca="1">N360*(INDEX(N$289:N$291,MATCH(Work_Codes!$I$437,$D$289:$D$291,0)))</f>
        <v>0</v>
      </c>
      <c r="O380" s="81">
        <f ca="1">O360*(INDEX(O$289:O$291,MATCH(Work_Codes!$I$437,$D$289:$D$291,0)))</f>
        <v>0</v>
      </c>
      <c r="P380" s="81">
        <f ca="1">P360*(INDEX(P$289:P$291,MATCH(Work_Codes!$I$437,$D$289:$D$291,0)))</f>
        <v>0</v>
      </c>
      <c r="Q380" s="81">
        <f ca="1">Q360*(INDEX(Q$289:Q$291,MATCH(Work_Codes!$I$437,$D$289:$D$291,0)))</f>
        <v>0</v>
      </c>
      <c r="R380" s="81">
        <f ca="1">R360*(INDEX(R$289:R$291,MATCH(Work_Codes!$I$437,$D$289:$D$291,0)))</f>
        <v>0</v>
      </c>
      <c r="S380" s="81">
        <f ca="1">S360*(INDEX(S$289:S$291,MATCH(Work_Codes!$I$437,$D$289:$D$291,0)))</f>
        <v>0</v>
      </c>
      <c r="T380" s="81">
        <f ca="1">T360*(INDEX(T$289:T$291,MATCH(Work_Codes!$I$437,$D$289:$D$291,0)))</f>
        <v>0</v>
      </c>
    </row>
    <row r="381" spans="4:20" outlineLevel="2">
      <c r="E381" s="247" t="str">
        <f>GC!C41</f>
        <v>Distribution pipelines</v>
      </c>
      <c r="F381" s="247"/>
      <c r="G381" s="247"/>
      <c r="H381" s="247"/>
      <c r="I381" s="247"/>
      <c r="J381" s="81">
        <f ca="1">J361*(INDEX(J$289:J$291,MATCH(Work_Codes!$I$437,$D$289:$D$291,0)))</f>
        <v>0</v>
      </c>
      <c r="K381" s="81">
        <f ca="1">K361*(INDEX(K$289:K$291,MATCH(Work_Codes!$I$437,$D$289:$D$291,0)))</f>
        <v>0</v>
      </c>
      <c r="L381" s="81">
        <f ca="1">L361*(INDEX(L$289:L$291,MATCH(Work_Codes!$I$437,$D$289:$D$291,0)))</f>
        <v>0</v>
      </c>
      <c r="M381" s="81">
        <f ca="1">M361*(INDEX(M$289:M$291,MATCH(Work_Codes!$I$437,$D$289:$D$291,0)))</f>
        <v>0</v>
      </c>
      <c r="N381" s="81">
        <f ca="1">N361*(INDEX(N$289:N$291,MATCH(Work_Codes!$I$437,$D$289:$D$291,0)))</f>
        <v>0</v>
      </c>
      <c r="O381" s="81">
        <f ca="1">O361*(INDEX(O$289:O$291,MATCH(Work_Codes!$I$437,$D$289:$D$291,0)))</f>
        <v>0</v>
      </c>
      <c r="P381" s="81">
        <f ca="1">P361*(INDEX(P$289:P$291,MATCH(Work_Codes!$I$437,$D$289:$D$291,0)))</f>
        <v>0</v>
      </c>
      <c r="Q381" s="81">
        <f ca="1">Q361*(INDEX(Q$289:Q$291,MATCH(Work_Codes!$I$437,$D$289:$D$291,0)))</f>
        <v>0</v>
      </c>
      <c r="R381" s="81">
        <f ca="1">R361*(INDEX(R$289:R$291,MATCH(Work_Codes!$I$437,$D$289:$D$291,0)))</f>
        <v>0</v>
      </c>
      <c r="S381" s="81">
        <f ca="1">S361*(INDEX(S$289:S$291,MATCH(Work_Codes!$I$437,$D$289:$D$291,0)))</f>
        <v>0</v>
      </c>
      <c r="T381" s="81">
        <f ca="1">T361*(INDEX(T$289:T$291,MATCH(Work_Codes!$I$437,$D$289:$D$291,0)))</f>
        <v>0</v>
      </c>
    </row>
    <row r="382" spans="4:20" outlineLevel="2">
      <c r="E382" s="247" t="str">
        <f>GC!C42</f>
        <v>Service pipes</v>
      </c>
      <c r="F382" s="247"/>
      <c r="G382" s="247"/>
      <c r="H382" s="247"/>
      <c r="I382" s="247"/>
      <c r="J382" s="81">
        <f ca="1">J362*(INDEX(J$289:J$291,MATCH(Work_Codes!$I$437,$D$289:$D$291,0)))</f>
        <v>0</v>
      </c>
      <c r="K382" s="81">
        <f ca="1">K362*(INDEX(K$289:K$291,MATCH(Work_Codes!$I$437,$D$289:$D$291,0)))</f>
        <v>0</v>
      </c>
      <c r="L382" s="81">
        <f ca="1">L362*(INDEX(L$289:L$291,MATCH(Work_Codes!$I$437,$D$289:$D$291,0)))</f>
        <v>0</v>
      </c>
      <c r="M382" s="81">
        <f ca="1">M362*(INDEX(M$289:M$291,MATCH(Work_Codes!$I$437,$D$289:$D$291,0)))</f>
        <v>0</v>
      </c>
      <c r="N382" s="81">
        <f ca="1">N362*(INDEX(N$289:N$291,MATCH(Work_Codes!$I$437,$D$289:$D$291,0)))</f>
        <v>0</v>
      </c>
      <c r="O382" s="81">
        <f ca="1">O362*(INDEX(O$289:O$291,MATCH(Work_Codes!$I$437,$D$289:$D$291,0)))</f>
        <v>0</v>
      </c>
      <c r="P382" s="81">
        <f ca="1">P362*(INDEX(P$289:P$291,MATCH(Work_Codes!$I$437,$D$289:$D$291,0)))</f>
        <v>0</v>
      </c>
      <c r="Q382" s="81">
        <f ca="1">Q362*(INDEX(Q$289:Q$291,MATCH(Work_Codes!$I$437,$D$289:$D$291,0)))</f>
        <v>0</v>
      </c>
      <c r="R382" s="81">
        <f ca="1">R362*(INDEX(R$289:R$291,MATCH(Work_Codes!$I$437,$D$289:$D$291,0)))</f>
        <v>0</v>
      </c>
      <c r="S382" s="81">
        <f ca="1">S362*(INDEX(S$289:S$291,MATCH(Work_Codes!$I$437,$D$289:$D$291,0)))</f>
        <v>0</v>
      </c>
      <c r="T382" s="81">
        <f ca="1">T362*(INDEX(T$289:T$291,MATCH(Work_Codes!$I$437,$D$289:$D$291,0)))</f>
        <v>0</v>
      </c>
    </row>
    <row r="383" spans="4:20" outlineLevel="2">
      <c r="E383" s="247" t="str">
        <f>GC!C43</f>
        <v>Cathodic protection</v>
      </c>
      <c r="F383" s="247"/>
      <c r="G383" s="247"/>
      <c r="H383" s="247"/>
      <c r="I383" s="247"/>
      <c r="J383" s="81">
        <f ca="1">J363*(INDEX(J$289:J$291,MATCH(Work_Codes!$I$437,$D$289:$D$291,0)))</f>
        <v>0</v>
      </c>
      <c r="K383" s="81">
        <f ca="1">K363*(INDEX(K$289:K$291,MATCH(Work_Codes!$I$437,$D$289:$D$291,0)))</f>
        <v>0</v>
      </c>
      <c r="L383" s="81">
        <f ca="1">L363*(INDEX(L$289:L$291,MATCH(Work_Codes!$I$437,$D$289:$D$291,0)))</f>
        <v>0</v>
      </c>
      <c r="M383" s="81">
        <f ca="1">M363*(INDEX(M$289:M$291,MATCH(Work_Codes!$I$437,$D$289:$D$291,0)))</f>
        <v>0</v>
      </c>
      <c r="N383" s="81">
        <f ca="1">N363*(INDEX(N$289:N$291,MATCH(Work_Codes!$I$437,$D$289:$D$291,0)))</f>
        <v>0</v>
      </c>
      <c r="O383" s="81">
        <f ca="1">O363*(INDEX(O$289:O$291,MATCH(Work_Codes!$I$437,$D$289:$D$291,0)))</f>
        <v>0</v>
      </c>
      <c r="P383" s="81">
        <f ca="1">P363*(INDEX(P$289:P$291,MATCH(Work_Codes!$I$437,$D$289:$D$291,0)))</f>
        <v>0</v>
      </c>
      <c r="Q383" s="81">
        <f ca="1">Q363*(INDEX(Q$289:Q$291,MATCH(Work_Codes!$I$437,$D$289:$D$291,0)))</f>
        <v>0</v>
      </c>
      <c r="R383" s="81">
        <f ca="1">R363*(INDEX(R$289:R$291,MATCH(Work_Codes!$I$437,$D$289:$D$291,0)))</f>
        <v>0</v>
      </c>
      <c r="S383" s="81">
        <f ca="1">S363*(INDEX(S$289:S$291,MATCH(Work_Codes!$I$437,$D$289:$D$291,0)))</f>
        <v>0</v>
      </c>
      <c r="T383" s="81">
        <f ca="1">T363*(INDEX(T$289:T$291,MATCH(Work_Codes!$I$437,$D$289:$D$291,0)))</f>
        <v>0</v>
      </c>
    </row>
    <row r="384" spans="4:20" outlineLevel="2">
      <c r="E384" s="247" t="str">
        <f>GC!C44</f>
        <v>Supply Regulators / Valve Stations</v>
      </c>
      <c r="F384" s="247"/>
      <c r="G384" s="247"/>
      <c r="H384" s="247"/>
      <c r="I384" s="247"/>
      <c r="J384" s="81">
        <f ca="1">J364*(INDEX(J$289:J$291,MATCH(Work_Codes!$I$437,$D$289:$D$291,0)))</f>
        <v>0</v>
      </c>
      <c r="K384" s="81">
        <f ca="1">K364*(INDEX(K$289:K$291,MATCH(Work_Codes!$I$437,$D$289:$D$291,0)))</f>
        <v>0</v>
      </c>
      <c r="L384" s="81">
        <f ca="1">L364*(INDEX(L$289:L$291,MATCH(Work_Codes!$I$437,$D$289:$D$291,0)))</f>
        <v>0</v>
      </c>
      <c r="M384" s="81">
        <f ca="1">M364*(INDEX(M$289:M$291,MATCH(Work_Codes!$I$437,$D$289:$D$291,0)))</f>
        <v>0</v>
      </c>
      <c r="N384" s="81">
        <f ca="1">N364*(INDEX(N$289:N$291,MATCH(Work_Codes!$I$437,$D$289:$D$291,0)))</f>
        <v>263695.68403776706</v>
      </c>
      <c r="O384" s="81">
        <f ca="1">O364*(INDEX(O$289:O$291,MATCH(Work_Codes!$I$437,$D$289:$D$291,0)))</f>
        <v>11969.116501278233</v>
      </c>
      <c r="P384" s="81">
        <f ca="1">P364*(INDEX(P$289:P$291,MATCH(Work_Codes!$I$437,$D$289:$D$291,0)))</f>
        <v>0</v>
      </c>
      <c r="Q384" s="81">
        <f ca="1">Q364*(INDEX(Q$289:Q$291,MATCH(Work_Codes!$I$437,$D$289:$D$291,0)))</f>
        <v>0</v>
      </c>
      <c r="R384" s="81">
        <f ca="1">R364*(INDEX(R$289:R$291,MATCH(Work_Codes!$I$437,$D$289:$D$291,0)))</f>
        <v>0</v>
      </c>
      <c r="S384" s="81">
        <f ca="1">S364*(INDEX(S$289:S$291,MATCH(Work_Codes!$I$437,$D$289:$D$291,0)))</f>
        <v>0</v>
      </c>
      <c r="T384" s="81">
        <f ca="1">T364*(INDEX(T$289:T$291,MATCH(Work_Codes!$I$437,$D$289:$D$291,0)))</f>
        <v>0</v>
      </c>
    </row>
    <row r="385" spans="4:20" outlineLevel="2">
      <c r="E385" s="247" t="str">
        <f>GC!C45</f>
        <v>Meters</v>
      </c>
      <c r="F385" s="247"/>
      <c r="G385" s="247"/>
      <c r="H385" s="247"/>
      <c r="I385" s="247"/>
      <c r="J385" s="81">
        <f ca="1">J365*(INDEX(J$289:J$291,MATCH(Work_Codes!$I$437,$D$289:$D$291,0)))</f>
        <v>0</v>
      </c>
      <c r="K385" s="81">
        <f ca="1">K365*(INDEX(K$289:K$291,MATCH(Work_Codes!$I$437,$D$289:$D$291,0)))</f>
        <v>0</v>
      </c>
      <c r="L385" s="81">
        <f ca="1">L365*(INDEX(L$289:L$291,MATCH(Work_Codes!$I$437,$D$289:$D$291,0)))</f>
        <v>0</v>
      </c>
      <c r="M385" s="81">
        <f ca="1">M365*(INDEX(M$289:M$291,MATCH(Work_Codes!$I$437,$D$289:$D$291,0)))</f>
        <v>0</v>
      </c>
      <c r="N385" s="81">
        <f ca="1">N365*(INDEX(N$289:N$291,MATCH(Work_Codes!$I$437,$D$289:$D$291,0)))</f>
        <v>0</v>
      </c>
      <c r="O385" s="81">
        <f ca="1">O365*(INDEX(O$289:O$291,MATCH(Work_Codes!$I$437,$D$289:$D$291,0)))</f>
        <v>0</v>
      </c>
      <c r="P385" s="81">
        <f ca="1">P365*(INDEX(P$289:P$291,MATCH(Work_Codes!$I$437,$D$289:$D$291,0)))</f>
        <v>0</v>
      </c>
      <c r="Q385" s="81">
        <f ca="1">Q365*(INDEX(Q$289:Q$291,MATCH(Work_Codes!$I$437,$D$289:$D$291,0)))</f>
        <v>0</v>
      </c>
      <c r="R385" s="81">
        <f ca="1">R365*(INDEX(R$289:R$291,MATCH(Work_Codes!$I$437,$D$289:$D$291,0)))</f>
        <v>0</v>
      </c>
      <c r="S385" s="81">
        <f ca="1">S365*(INDEX(S$289:S$291,MATCH(Work_Codes!$I$437,$D$289:$D$291,0)))</f>
        <v>0</v>
      </c>
      <c r="T385" s="81">
        <f ca="1">T365*(INDEX(T$289:T$291,MATCH(Work_Codes!$I$437,$D$289:$D$291,0)))</f>
        <v>0</v>
      </c>
    </row>
    <row r="386" spans="4:20" outlineLevel="2">
      <c r="E386" s="247" t="str">
        <f>GC!C46</f>
        <v>SCADA and remote control</v>
      </c>
      <c r="F386" s="247"/>
      <c r="G386" s="247"/>
      <c r="H386" s="247"/>
      <c r="I386" s="247"/>
      <c r="J386" s="81">
        <f ca="1">J366*(INDEX(J$289:J$291,MATCH(Work_Codes!$I$437,$D$289:$D$291,0)))</f>
        <v>0</v>
      </c>
      <c r="K386" s="81">
        <f ca="1">K366*(INDEX(K$289:K$291,MATCH(Work_Codes!$I$437,$D$289:$D$291,0)))</f>
        <v>0</v>
      </c>
      <c r="L386" s="81">
        <f ca="1">L366*(INDEX(L$289:L$291,MATCH(Work_Codes!$I$437,$D$289:$D$291,0)))</f>
        <v>0</v>
      </c>
      <c r="M386" s="81">
        <f ca="1">M366*(INDEX(M$289:M$291,MATCH(Work_Codes!$I$437,$D$289:$D$291,0)))</f>
        <v>0</v>
      </c>
      <c r="N386" s="81">
        <f ca="1">N366*(INDEX(N$289:N$291,MATCH(Work_Codes!$I$437,$D$289:$D$291,0)))</f>
        <v>0</v>
      </c>
      <c r="O386" s="81">
        <f ca="1">O366*(INDEX(O$289:O$291,MATCH(Work_Codes!$I$437,$D$289:$D$291,0)))</f>
        <v>0</v>
      </c>
      <c r="P386" s="81">
        <f ca="1">P366*(INDEX(P$289:P$291,MATCH(Work_Codes!$I$437,$D$289:$D$291,0)))</f>
        <v>0</v>
      </c>
      <c r="Q386" s="81">
        <f ca="1">Q366*(INDEX(Q$289:Q$291,MATCH(Work_Codes!$I$437,$D$289:$D$291,0)))</f>
        <v>0</v>
      </c>
      <c r="R386" s="81">
        <f ca="1">R366*(INDEX(R$289:R$291,MATCH(Work_Codes!$I$437,$D$289:$D$291,0)))</f>
        <v>0</v>
      </c>
      <c r="S386" s="81">
        <f ca="1">S366*(INDEX(S$289:S$291,MATCH(Work_Codes!$I$437,$D$289:$D$291,0)))</f>
        <v>0</v>
      </c>
      <c r="T386" s="81">
        <f ca="1">T366*(INDEX(T$289:T$291,MATCH(Work_Codes!$I$437,$D$289:$D$291,0)))</f>
        <v>0</v>
      </c>
    </row>
    <row r="387" spans="4:20" outlineLevel="2">
      <c r="E387" s="247" t="str">
        <f>GC!C47</f>
        <v>Buildings</v>
      </c>
      <c r="F387" s="247"/>
      <c r="G387" s="247"/>
      <c r="H387" s="247"/>
      <c r="I387" s="247"/>
      <c r="J387" s="81">
        <f ca="1">J367*(INDEX(J$289:J$291,MATCH(Work_Codes!$I$437,$D$289:$D$291,0)))</f>
        <v>0</v>
      </c>
      <c r="K387" s="81">
        <f ca="1">K367*(INDEX(K$289:K$291,MATCH(Work_Codes!$I$437,$D$289:$D$291,0)))</f>
        <v>0</v>
      </c>
      <c r="L387" s="81">
        <f ca="1">L367*(INDEX(L$289:L$291,MATCH(Work_Codes!$I$437,$D$289:$D$291,0)))</f>
        <v>0</v>
      </c>
      <c r="M387" s="81">
        <f ca="1">M367*(INDEX(M$289:M$291,MATCH(Work_Codes!$I$437,$D$289:$D$291,0)))</f>
        <v>0</v>
      </c>
      <c r="N387" s="81">
        <f ca="1">N367*(INDEX(N$289:N$291,MATCH(Work_Codes!$I$437,$D$289:$D$291,0)))</f>
        <v>0</v>
      </c>
      <c r="O387" s="81">
        <f ca="1">O367*(INDEX(O$289:O$291,MATCH(Work_Codes!$I$437,$D$289:$D$291,0)))</f>
        <v>0</v>
      </c>
      <c r="P387" s="81">
        <f ca="1">P367*(INDEX(P$289:P$291,MATCH(Work_Codes!$I$437,$D$289:$D$291,0)))</f>
        <v>0</v>
      </c>
      <c r="Q387" s="81">
        <f ca="1">Q367*(INDEX(Q$289:Q$291,MATCH(Work_Codes!$I$437,$D$289:$D$291,0)))</f>
        <v>0</v>
      </c>
      <c r="R387" s="81">
        <f ca="1">R367*(INDEX(R$289:R$291,MATCH(Work_Codes!$I$437,$D$289:$D$291,0)))</f>
        <v>0</v>
      </c>
      <c r="S387" s="81">
        <f ca="1">S367*(INDEX(S$289:S$291,MATCH(Work_Codes!$I$437,$D$289:$D$291,0)))</f>
        <v>0</v>
      </c>
      <c r="T387" s="81">
        <f ca="1">T367*(INDEX(T$289:T$291,MATCH(Work_Codes!$I$437,$D$289:$D$291,0)))</f>
        <v>0</v>
      </c>
    </row>
    <row r="388" spans="4:20" outlineLevel="2">
      <c r="E388" s="247" t="str">
        <f>GC!C48</f>
        <v>Other - IT</v>
      </c>
      <c r="F388" s="247"/>
      <c r="G388" s="247"/>
      <c r="H388" s="247"/>
      <c r="I388" s="247"/>
      <c r="J388" s="81">
        <f ca="1">J368*(INDEX(J$289:J$291,MATCH(Work_Codes!$I$437,$D$289:$D$291,0)))</f>
        <v>0</v>
      </c>
      <c r="K388" s="81">
        <f ca="1">K368*(INDEX(K$289:K$291,MATCH(Work_Codes!$I$437,$D$289:$D$291,0)))</f>
        <v>0</v>
      </c>
      <c r="L388" s="81">
        <f ca="1">L368*(INDEX(L$289:L$291,MATCH(Work_Codes!$I$437,$D$289:$D$291,0)))</f>
        <v>0</v>
      </c>
      <c r="M388" s="81">
        <f ca="1">M368*(INDEX(M$289:M$291,MATCH(Work_Codes!$I$437,$D$289:$D$291,0)))</f>
        <v>0</v>
      </c>
      <c r="N388" s="81">
        <f ca="1">N368*(INDEX(N$289:N$291,MATCH(Work_Codes!$I$437,$D$289:$D$291,0)))</f>
        <v>0</v>
      </c>
      <c r="O388" s="81">
        <f ca="1">O368*(INDEX(O$289:O$291,MATCH(Work_Codes!$I$437,$D$289:$D$291,0)))</f>
        <v>0</v>
      </c>
      <c r="P388" s="81">
        <f ca="1">P368*(INDEX(P$289:P$291,MATCH(Work_Codes!$I$437,$D$289:$D$291,0)))</f>
        <v>0</v>
      </c>
      <c r="Q388" s="81">
        <f ca="1">Q368*(INDEX(Q$289:Q$291,MATCH(Work_Codes!$I$437,$D$289:$D$291,0)))</f>
        <v>0</v>
      </c>
      <c r="R388" s="81">
        <f ca="1">R368*(INDEX(R$289:R$291,MATCH(Work_Codes!$I$437,$D$289:$D$291,0)))</f>
        <v>0</v>
      </c>
      <c r="S388" s="81">
        <f ca="1">S368*(INDEX(S$289:S$291,MATCH(Work_Codes!$I$437,$D$289:$D$291,0)))</f>
        <v>0</v>
      </c>
      <c r="T388" s="81">
        <f ca="1">T368*(INDEX(T$289:T$291,MATCH(Work_Codes!$I$437,$D$289:$D$291,0)))</f>
        <v>0</v>
      </c>
    </row>
    <row r="389" spans="4:20" outlineLevel="2">
      <c r="E389" s="247" t="str">
        <f>GC!C49</f>
        <v>Other - non IT</v>
      </c>
      <c r="F389" s="247"/>
      <c r="G389" s="247"/>
      <c r="H389" s="247"/>
      <c r="I389" s="247"/>
      <c r="J389" s="81">
        <f ca="1">J369*(INDEX(J$289:J$291,MATCH(Work_Codes!$I$437,$D$289:$D$291,0)))</f>
        <v>0</v>
      </c>
      <c r="K389" s="81">
        <f ca="1">K369*(INDEX(K$289:K$291,MATCH(Work_Codes!$I$437,$D$289:$D$291,0)))</f>
        <v>0</v>
      </c>
      <c r="L389" s="81">
        <f ca="1">L369*(INDEX(L$289:L$291,MATCH(Work_Codes!$I$437,$D$289:$D$291,0)))</f>
        <v>0</v>
      </c>
      <c r="M389" s="81">
        <f ca="1">M369*(INDEX(M$289:M$291,MATCH(Work_Codes!$I$437,$D$289:$D$291,0)))</f>
        <v>0</v>
      </c>
      <c r="N389" s="81">
        <f ca="1">N369*(INDEX(N$289:N$291,MATCH(Work_Codes!$I$437,$D$289:$D$291,0)))</f>
        <v>0</v>
      </c>
      <c r="O389" s="81">
        <f ca="1">O369*(INDEX(O$289:O$291,MATCH(Work_Codes!$I$437,$D$289:$D$291,0)))</f>
        <v>0</v>
      </c>
      <c r="P389" s="81">
        <f ca="1">P369*(INDEX(P$289:P$291,MATCH(Work_Codes!$I$437,$D$289:$D$291,0)))</f>
        <v>0</v>
      </c>
      <c r="Q389" s="81">
        <f ca="1">Q369*(INDEX(Q$289:Q$291,MATCH(Work_Codes!$I$437,$D$289:$D$291,0)))</f>
        <v>0</v>
      </c>
      <c r="R389" s="81">
        <f ca="1">R369*(INDEX(R$289:R$291,MATCH(Work_Codes!$I$437,$D$289:$D$291,0)))</f>
        <v>0</v>
      </c>
      <c r="S389" s="81">
        <f ca="1">S369*(INDEX(S$289:S$291,MATCH(Work_Codes!$I$437,$D$289:$D$291,0)))</f>
        <v>0</v>
      </c>
      <c r="T389" s="81">
        <f ca="1">T369*(INDEX(T$289:T$291,MATCH(Work_Codes!$I$437,$D$289:$D$291,0)))</f>
        <v>0</v>
      </c>
    </row>
    <row r="390" spans="4:20" outlineLevel="2">
      <c r="E390" s="247" t="str">
        <f>GC!C50</f>
        <v>Land</v>
      </c>
      <c r="F390" s="247"/>
      <c r="G390" s="247"/>
      <c r="H390" s="247"/>
      <c r="I390" s="247"/>
      <c r="J390" s="81">
        <f ca="1">J370*(INDEX(J$289:J$291,MATCH(Work_Codes!$I$437,$D$289:$D$291,0)))</f>
        <v>0</v>
      </c>
      <c r="K390" s="81">
        <f ca="1">K370*(INDEX(K$289:K$291,MATCH(Work_Codes!$I$437,$D$289:$D$291,0)))</f>
        <v>0</v>
      </c>
      <c r="L390" s="81">
        <f ca="1">L370*(INDEX(L$289:L$291,MATCH(Work_Codes!$I$437,$D$289:$D$291,0)))</f>
        <v>0</v>
      </c>
      <c r="M390" s="81">
        <f ca="1">M370*(INDEX(M$289:M$291,MATCH(Work_Codes!$I$437,$D$289:$D$291,0)))</f>
        <v>0</v>
      </c>
      <c r="N390" s="81">
        <f ca="1">N370*(INDEX(N$289:N$291,MATCH(Work_Codes!$I$437,$D$289:$D$291,0)))</f>
        <v>0</v>
      </c>
      <c r="O390" s="81">
        <f ca="1">O370*(INDEX(O$289:O$291,MATCH(Work_Codes!$I$437,$D$289:$D$291,0)))</f>
        <v>0</v>
      </c>
      <c r="P390" s="81">
        <f ca="1">P370*(INDEX(P$289:P$291,MATCH(Work_Codes!$I$437,$D$289:$D$291,0)))</f>
        <v>0</v>
      </c>
      <c r="Q390" s="81">
        <f ca="1">Q370*(INDEX(Q$289:Q$291,MATCH(Work_Codes!$I$437,$D$289:$D$291,0)))</f>
        <v>0</v>
      </c>
      <c r="R390" s="81">
        <f ca="1">R370*(INDEX(R$289:R$291,MATCH(Work_Codes!$I$437,$D$289:$D$291,0)))</f>
        <v>0</v>
      </c>
      <c r="S390" s="81">
        <f ca="1">S370*(INDEX(S$289:S$291,MATCH(Work_Codes!$I$437,$D$289:$D$291,0)))</f>
        <v>0</v>
      </c>
      <c r="T390" s="81">
        <f ca="1">T370*(INDEX(T$289:T$291,MATCH(Work_Codes!$I$437,$D$289:$D$291,0)))</f>
        <v>0</v>
      </c>
    </row>
    <row r="391" spans="4:20" outlineLevel="2">
      <c r="E391" s="247" t="str">
        <f>GC!C51</f>
        <v>Capitalised Leases</v>
      </c>
      <c r="F391" s="247"/>
      <c r="G391" s="247"/>
      <c r="H391" s="247"/>
      <c r="I391" s="247"/>
      <c r="J391" s="81">
        <f ca="1">J371*(INDEX(J$289:J$291,MATCH(Work_Codes!$I$437,$D$289:$D$291,0)))</f>
        <v>0</v>
      </c>
      <c r="K391" s="81">
        <f ca="1">K371*(INDEX(K$289:K$291,MATCH(Work_Codes!$I$437,$D$289:$D$291,0)))</f>
        <v>0</v>
      </c>
      <c r="L391" s="81">
        <f ca="1">L371*(INDEX(L$289:L$291,MATCH(Work_Codes!$I$437,$D$289:$D$291,0)))</f>
        <v>0</v>
      </c>
      <c r="M391" s="81">
        <f ca="1">M371*(INDEX(M$289:M$291,MATCH(Work_Codes!$I$437,$D$289:$D$291,0)))</f>
        <v>0</v>
      </c>
      <c r="N391" s="81">
        <f ca="1">N371*(INDEX(N$289:N$291,MATCH(Work_Codes!$I$437,$D$289:$D$291,0)))</f>
        <v>0</v>
      </c>
      <c r="O391" s="81">
        <f ca="1">O371*(INDEX(O$289:O$291,MATCH(Work_Codes!$I$437,$D$289:$D$291,0)))</f>
        <v>0</v>
      </c>
      <c r="P391" s="81">
        <f ca="1">P371*(INDEX(P$289:P$291,MATCH(Work_Codes!$I$437,$D$289:$D$291,0)))</f>
        <v>0</v>
      </c>
      <c r="Q391" s="81">
        <f ca="1">Q371*(INDEX(Q$289:Q$291,MATCH(Work_Codes!$I$437,$D$289:$D$291,0)))</f>
        <v>0</v>
      </c>
      <c r="R391" s="81">
        <f ca="1">R371*(INDEX(R$289:R$291,MATCH(Work_Codes!$I$437,$D$289:$D$291,0)))</f>
        <v>0</v>
      </c>
      <c r="S391" s="81">
        <f ca="1">S371*(INDEX(S$289:S$291,MATCH(Work_Codes!$I$437,$D$289:$D$291,0)))</f>
        <v>0</v>
      </c>
      <c r="T391" s="81">
        <f ca="1">T371*(INDEX(T$289:T$291,MATCH(Work_Codes!$I$437,$D$289:$D$291,0)))</f>
        <v>0</v>
      </c>
    </row>
    <row r="392" spans="4:20" outlineLevel="2">
      <c r="E392" s="247" t="str">
        <f>GC!C52</f>
        <v>Transmission pipelines - post 1998</v>
      </c>
      <c r="F392" s="247"/>
      <c r="G392" s="247"/>
      <c r="H392" s="247"/>
      <c r="I392" s="247"/>
      <c r="J392" s="81">
        <f ca="1">J372*(INDEX(J$289:J$291,MATCH(Work_Codes!$I$437,$D$289:$D$291,0)))</f>
        <v>0</v>
      </c>
      <c r="K392" s="81">
        <f ca="1">K372*(INDEX(K$289:K$291,MATCH(Work_Codes!$I$437,$D$289:$D$291,0)))</f>
        <v>0</v>
      </c>
      <c r="L392" s="81">
        <f ca="1">L372*(INDEX(L$289:L$291,MATCH(Work_Codes!$I$437,$D$289:$D$291,0)))</f>
        <v>0</v>
      </c>
      <c r="M392" s="81">
        <f ca="1">M372*(INDEX(M$289:M$291,MATCH(Work_Codes!$I$437,$D$289:$D$291,0)))</f>
        <v>0</v>
      </c>
      <c r="N392" s="81">
        <f ca="1">N372*(INDEX(N$289:N$291,MATCH(Work_Codes!$I$437,$D$289:$D$291,0)))</f>
        <v>0</v>
      </c>
      <c r="O392" s="81">
        <f ca="1">O372*(INDEX(O$289:O$291,MATCH(Work_Codes!$I$437,$D$289:$D$291,0)))</f>
        <v>0</v>
      </c>
      <c r="P392" s="81">
        <f ca="1">P372*(INDEX(P$289:P$291,MATCH(Work_Codes!$I$437,$D$289:$D$291,0)))</f>
        <v>0</v>
      </c>
      <c r="Q392" s="81">
        <f ca="1">Q372*(INDEX(Q$289:Q$291,MATCH(Work_Codes!$I$437,$D$289:$D$291,0)))</f>
        <v>0</v>
      </c>
      <c r="R392" s="81">
        <f ca="1">R372*(INDEX(R$289:R$291,MATCH(Work_Codes!$I$437,$D$289:$D$291,0)))</f>
        <v>0</v>
      </c>
      <c r="S392" s="81">
        <f ca="1">S372*(INDEX(S$289:S$291,MATCH(Work_Codes!$I$437,$D$289:$D$291,0)))</f>
        <v>0</v>
      </c>
      <c r="T392" s="81">
        <f ca="1">T372*(INDEX(T$289:T$291,MATCH(Work_Codes!$I$437,$D$289:$D$291,0)))</f>
        <v>0</v>
      </c>
    </row>
    <row r="393" spans="4:20" outlineLevel="2">
      <c r="E393" s="247" t="str">
        <f>GC!C53</f>
        <v>Distribution pipelines - post 1998</v>
      </c>
      <c r="F393" s="247"/>
      <c r="G393" s="247"/>
      <c r="H393" s="247"/>
      <c r="I393" s="247"/>
      <c r="J393" s="81">
        <f ca="1">J373*(INDEX(J$289:J$291,MATCH(Work_Codes!$I$437,$D$289:$D$291,0)))</f>
        <v>0</v>
      </c>
      <c r="K393" s="81">
        <f ca="1">K373*(INDEX(K$289:K$291,MATCH(Work_Codes!$I$437,$D$289:$D$291,0)))</f>
        <v>0</v>
      </c>
      <c r="L393" s="81">
        <f ca="1">L373*(INDEX(L$289:L$291,MATCH(Work_Codes!$I$437,$D$289:$D$291,0)))</f>
        <v>0</v>
      </c>
      <c r="M393" s="81">
        <f ca="1">M373*(INDEX(M$289:M$291,MATCH(Work_Codes!$I$437,$D$289:$D$291,0)))</f>
        <v>0</v>
      </c>
      <c r="N393" s="81">
        <f ca="1">N373*(INDEX(N$289:N$291,MATCH(Work_Codes!$I$437,$D$289:$D$291,0)))</f>
        <v>46534.532477253008</v>
      </c>
      <c r="O393" s="81">
        <f ca="1">O373*(INDEX(O$289:O$291,MATCH(Work_Codes!$I$437,$D$289:$D$291,0)))</f>
        <v>2112.1970296373352</v>
      </c>
      <c r="P393" s="81">
        <f ca="1">P373*(INDEX(P$289:P$291,MATCH(Work_Codes!$I$437,$D$289:$D$291,0)))</f>
        <v>0</v>
      </c>
      <c r="Q393" s="81">
        <f ca="1">Q373*(INDEX(Q$289:Q$291,MATCH(Work_Codes!$I$437,$D$289:$D$291,0)))</f>
        <v>0</v>
      </c>
      <c r="R393" s="81">
        <f ca="1">R373*(INDEX(R$289:R$291,MATCH(Work_Codes!$I$437,$D$289:$D$291,0)))</f>
        <v>0</v>
      </c>
      <c r="S393" s="81">
        <f ca="1">S373*(INDEX(S$289:S$291,MATCH(Work_Codes!$I$437,$D$289:$D$291,0)))</f>
        <v>0</v>
      </c>
      <c r="T393" s="81">
        <f ca="1">T373*(INDEX(T$289:T$291,MATCH(Work_Codes!$I$437,$D$289:$D$291,0)))</f>
        <v>0</v>
      </c>
    </row>
    <row r="394" spans="4:20" outlineLevel="2">
      <c r="E394" s="247" t="str">
        <f>GC!C54</f>
        <v>Service pipes - post 1998</v>
      </c>
      <c r="F394" s="247"/>
      <c r="G394" s="247"/>
      <c r="H394" s="247"/>
      <c r="I394" s="247"/>
      <c r="J394" s="81">
        <f ca="1">J374*(INDEX(J$289:J$291,MATCH(Work_Codes!$I$437,$D$289:$D$291,0)))</f>
        <v>0</v>
      </c>
      <c r="K394" s="81">
        <f ca="1">K374*(INDEX(K$289:K$291,MATCH(Work_Codes!$I$437,$D$289:$D$291,0)))</f>
        <v>0</v>
      </c>
      <c r="L394" s="81">
        <f ca="1">L374*(INDEX(L$289:L$291,MATCH(Work_Codes!$I$437,$D$289:$D$291,0)))</f>
        <v>0</v>
      </c>
      <c r="M394" s="81">
        <f ca="1">M374*(INDEX(M$289:M$291,MATCH(Work_Codes!$I$437,$D$289:$D$291,0)))</f>
        <v>0</v>
      </c>
      <c r="N394" s="81">
        <f ca="1">N374*(INDEX(N$289:N$291,MATCH(Work_Codes!$I$437,$D$289:$D$291,0)))</f>
        <v>0</v>
      </c>
      <c r="O394" s="81">
        <f ca="1">O374*(INDEX(O$289:O$291,MATCH(Work_Codes!$I$437,$D$289:$D$291,0)))</f>
        <v>0</v>
      </c>
      <c r="P394" s="81">
        <f ca="1">P374*(INDEX(P$289:P$291,MATCH(Work_Codes!$I$437,$D$289:$D$291,0)))</f>
        <v>0</v>
      </c>
      <c r="Q394" s="81">
        <f ca="1">Q374*(INDEX(Q$289:Q$291,MATCH(Work_Codes!$I$437,$D$289:$D$291,0)))</f>
        <v>0</v>
      </c>
      <c r="R394" s="81">
        <f ca="1">R374*(INDEX(R$289:R$291,MATCH(Work_Codes!$I$437,$D$289:$D$291,0)))</f>
        <v>0</v>
      </c>
      <c r="S394" s="81">
        <f ca="1">S374*(INDEX(S$289:S$291,MATCH(Work_Codes!$I$437,$D$289:$D$291,0)))</f>
        <v>0</v>
      </c>
      <c r="T394" s="81">
        <f ca="1">T374*(INDEX(T$289:T$291,MATCH(Work_Codes!$I$437,$D$289:$D$291,0)))</f>
        <v>0</v>
      </c>
    </row>
    <row r="395" spans="4:20" outlineLevel="2">
      <c r="E395" s="247" t="str">
        <f>GC!C55</f>
        <v>Cathodic protection - post 1998</v>
      </c>
      <c r="F395" s="247"/>
      <c r="G395" s="247"/>
      <c r="H395" s="247"/>
      <c r="I395" s="247"/>
      <c r="J395" s="81">
        <f ca="1">J375*(INDEX(J$289:J$291,MATCH(Work_Codes!$I$437,$D$289:$D$291,0)))</f>
        <v>0</v>
      </c>
      <c r="K395" s="81">
        <f ca="1">K375*(INDEX(K$289:K$291,MATCH(Work_Codes!$I$437,$D$289:$D$291,0)))</f>
        <v>0</v>
      </c>
      <c r="L395" s="81">
        <f ca="1">L375*(INDEX(L$289:L$291,MATCH(Work_Codes!$I$437,$D$289:$D$291,0)))</f>
        <v>0</v>
      </c>
      <c r="M395" s="81">
        <f ca="1">M375*(INDEX(M$289:M$291,MATCH(Work_Codes!$I$437,$D$289:$D$291,0)))</f>
        <v>0</v>
      </c>
      <c r="N395" s="81">
        <f ca="1">N375*(INDEX(N$289:N$291,MATCH(Work_Codes!$I$437,$D$289:$D$291,0)))</f>
        <v>0</v>
      </c>
      <c r="O395" s="81">
        <f ca="1">O375*(INDEX(O$289:O$291,MATCH(Work_Codes!$I$437,$D$289:$D$291,0)))</f>
        <v>0</v>
      </c>
      <c r="P395" s="81">
        <f ca="1">P375*(INDEX(P$289:P$291,MATCH(Work_Codes!$I$437,$D$289:$D$291,0)))</f>
        <v>0</v>
      </c>
      <c r="Q395" s="81">
        <f ca="1">Q375*(INDEX(Q$289:Q$291,MATCH(Work_Codes!$I$437,$D$289:$D$291,0)))</f>
        <v>0</v>
      </c>
      <c r="R395" s="81">
        <f ca="1">R375*(INDEX(R$289:R$291,MATCH(Work_Codes!$I$437,$D$289:$D$291,0)))</f>
        <v>0</v>
      </c>
      <c r="S395" s="81">
        <f ca="1">S375*(INDEX(S$289:S$291,MATCH(Work_Codes!$I$437,$D$289:$D$291,0)))</f>
        <v>0</v>
      </c>
      <c r="T395" s="81">
        <f ca="1">T375*(INDEX(T$289:T$291,MATCH(Work_Codes!$I$437,$D$289:$D$291,0)))</f>
        <v>0</v>
      </c>
    </row>
    <row r="396" spans="4:20" outlineLevel="2">
      <c r="E396" s="249" t="str">
        <f>"Total "&amp;D378</f>
        <v>Total Overheads</v>
      </c>
      <c r="F396" s="249"/>
      <c r="G396" s="249"/>
      <c r="H396" s="249"/>
      <c r="I396" s="249"/>
      <c r="J396" s="82">
        <f t="shared" ref="J396:T396" ca="1" si="45">SUM(J380:J395)</f>
        <v>0</v>
      </c>
      <c r="K396" s="82">
        <f t="shared" ca="1" si="45"/>
        <v>0</v>
      </c>
      <c r="L396" s="82">
        <f t="shared" ca="1" si="45"/>
        <v>0</v>
      </c>
      <c r="M396" s="82">
        <f t="shared" ca="1" si="45"/>
        <v>0</v>
      </c>
      <c r="N396" s="82">
        <f t="shared" ca="1" si="45"/>
        <v>310230.21651502006</v>
      </c>
      <c r="O396" s="82">
        <f t="shared" ca="1" si="45"/>
        <v>14081.313530915568</v>
      </c>
      <c r="P396" s="82">
        <f t="shared" ca="1" si="45"/>
        <v>0</v>
      </c>
      <c r="Q396" s="82">
        <f t="shared" ca="1" si="45"/>
        <v>0</v>
      </c>
      <c r="R396" s="82">
        <f t="shared" ca="1" si="45"/>
        <v>0</v>
      </c>
      <c r="S396" s="82">
        <f t="shared" ca="1" si="45"/>
        <v>0</v>
      </c>
      <c r="T396" s="82">
        <f t="shared" ca="1" si="45"/>
        <v>0</v>
      </c>
    </row>
    <row r="397" spans="4:20" outlineLevel="2"/>
    <row r="398" spans="4:20" outlineLevel="2">
      <c r="D398" s="37" t="s">
        <v>216</v>
      </c>
    </row>
    <row r="399" spans="4:20" ht="5.9" customHeight="1" outlineLevel="2"/>
    <row r="400" spans="4:20" ht="11.5" customHeight="1" outlineLevel="2">
      <c r="E400" s="247" t="str">
        <f>GC!C40</f>
        <v>Transmission pipelines</v>
      </c>
      <c r="F400" s="247"/>
      <c r="G400" s="247"/>
      <c r="H400" s="247"/>
      <c r="I400" s="247"/>
      <c r="J400" s="81">
        <f ca="1">J360*(1+INDEX(J$289:J$291,MATCH(Work_Codes!$I$437,$D$289:$D$291,0)))</f>
        <v>0</v>
      </c>
      <c r="K400" s="81">
        <f ca="1">K360*(1+INDEX(K$289:K$291,MATCH(Work_Codes!$I$437,$D$289:$D$291,0)))</f>
        <v>0</v>
      </c>
      <c r="L400" s="81">
        <f ca="1">L360*(1+INDEX(L$289:L$291,MATCH(Work_Codes!$I$437,$D$289:$D$291,0)))</f>
        <v>0</v>
      </c>
      <c r="M400" s="81">
        <f ca="1">M360*(1+INDEX(M$289:M$291,MATCH(Work_Codes!$I$437,$D$289:$D$291,0)))</f>
        <v>0</v>
      </c>
      <c r="N400" s="81">
        <f ca="1">N360*(1+INDEX(N$289:N$291,MATCH(Work_Codes!$I$437,$D$289:$D$291,0)))</f>
        <v>0</v>
      </c>
      <c r="O400" s="81">
        <f ca="1">O360*(1+INDEX(O$289:O$291,MATCH(Work_Codes!$I$437,$D$289:$D$291,0)))</f>
        <v>0</v>
      </c>
      <c r="P400" s="81">
        <f ca="1">P360*(1+INDEX(P$289:P$291,MATCH(Work_Codes!$I$437,$D$289:$D$291,0)))</f>
        <v>0</v>
      </c>
      <c r="Q400" s="81">
        <f ca="1">Q360*(1+INDEX(Q$289:Q$291,MATCH(Work_Codes!$I$437,$D$289:$D$291,0)))</f>
        <v>0</v>
      </c>
      <c r="R400" s="81">
        <f ca="1">R360*(1+INDEX(R$289:R$291,MATCH(Work_Codes!$I$437,$D$289:$D$291,0)))</f>
        <v>0</v>
      </c>
      <c r="S400" s="81">
        <f ca="1">S360*(1+INDEX(S$289:S$291,MATCH(Work_Codes!$I$437,$D$289:$D$291,0)))</f>
        <v>0</v>
      </c>
      <c r="T400" s="81">
        <f ca="1">T360*(1+INDEX(T$289:T$291,MATCH(Work_Codes!$I$437,$D$289:$D$291,0)))</f>
        <v>0</v>
      </c>
    </row>
    <row r="401" spans="5:20" ht="11.5" customHeight="1" outlineLevel="2">
      <c r="E401" s="247" t="str">
        <f>GC!C41</f>
        <v>Distribution pipelines</v>
      </c>
      <c r="F401" s="247"/>
      <c r="G401" s="247"/>
      <c r="H401" s="247"/>
      <c r="I401" s="247"/>
      <c r="J401" s="81">
        <f ca="1">J361*(1+INDEX(J$289:J$291,MATCH(Work_Codes!$I$437,$D$289:$D$291,0)))</f>
        <v>0</v>
      </c>
      <c r="K401" s="81">
        <f ca="1">K361*(1+INDEX(K$289:K$291,MATCH(Work_Codes!$I$437,$D$289:$D$291,0)))</f>
        <v>0</v>
      </c>
      <c r="L401" s="81">
        <f ca="1">L361*(1+INDEX(L$289:L$291,MATCH(Work_Codes!$I$437,$D$289:$D$291,0)))</f>
        <v>0</v>
      </c>
      <c r="M401" s="81">
        <f ca="1">M361*(1+INDEX(M$289:M$291,MATCH(Work_Codes!$I$437,$D$289:$D$291,0)))</f>
        <v>0</v>
      </c>
      <c r="N401" s="81">
        <f ca="1">N361*(1+INDEX(N$289:N$291,MATCH(Work_Codes!$I$437,$D$289:$D$291,0)))</f>
        <v>0</v>
      </c>
      <c r="O401" s="81">
        <f ca="1">O361*(1+INDEX(O$289:O$291,MATCH(Work_Codes!$I$437,$D$289:$D$291,0)))</f>
        <v>0</v>
      </c>
      <c r="P401" s="81">
        <f ca="1">P361*(1+INDEX(P$289:P$291,MATCH(Work_Codes!$I$437,$D$289:$D$291,0)))</f>
        <v>0</v>
      </c>
      <c r="Q401" s="81">
        <f ca="1">Q361*(1+INDEX(Q$289:Q$291,MATCH(Work_Codes!$I$437,$D$289:$D$291,0)))</f>
        <v>0</v>
      </c>
      <c r="R401" s="81">
        <f ca="1">R361*(1+INDEX(R$289:R$291,MATCH(Work_Codes!$I$437,$D$289:$D$291,0)))</f>
        <v>0</v>
      </c>
      <c r="S401" s="81">
        <f ca="1">S361*(1+INDEX(S$289:S$291,MATCH(Work_Codes!$I$437,$D$289:$D$291,0)))</f>
        <v>0</v>
      </c>
      <c r="T401" s="81">
        <f ca="1">T361*(1+INDEX(T$289:T$291,MATCH(Work_Codes!$I$437,$D$289:$D$291,0)))</f>
        <v>0</v>
      </c>
    </row>
    <row r="402" spans="5:20" ht="11.5" customHeight="1" outlineLevel="2">
      <c r="E402" s="247" t="str">
        <f>GC!C42</f>
        <v>Service pipes</v>
      </c>
      <c r="F402" s="247"/>
      <c r="G402" s="247"/>
      <c r="H402" s="247"/>
      <c r="I402" s="247"/>
      <c r="J402" s="81">
        <f ca="1">J362*(1+INDEX(J$289:J$291,MATCH(Work_Codes!$I$437,$D$289:$D$291,0)))</f>
        <v>0</v>
      </c>
      <c r="K402" s="81">
        <f ca="1">K362*(1+INDEX(K$289:K$291,MATCH(Work_Codes!$I$437,$D$289:$D$291,0)))</f>
        <v>0</v>
      </c>
      <c r="L402" s="81">
        <f ca="1">L362*(1+INDEX(L$289:L$291,MATCH(Work_Codes!$I$437,$D$289:$D$291,0)))</f>
        <v>0</v>
      </c>
      <c r="M402" s="81">
        <f ca="1">M362*(1+INDEX(M$289:M$291,MATCH(Work_Codes!$I$437,$D$289:$D$291,0)))</f>
        <v>0</v>
      </c>
      <c r="N402" s="81">
        <f ca="1">N362*(1+INDEX(N$289:N$291,MATCH(Work_Codes!$I$437,$D$289:$D$291,0)))</f>
        <v>0</v>
      </c>
      <c r="O402" s="81">
        <f ca="1">O362*(1+INDEX(O$289:O$291,MATCH(Work_Codes!$I$437,$D$289:$D$291,0)))</f>
        <v>0</v>
      </c>
      <c r="P402" s="81">
        <f ca="1">P362*(1+INDEX(P$289:P$291,MATCH(Work_Codes!$I$437,$D$289:$D$291,0)))</f>
        <v>0</v>
      </c>
      <c r="Q402" s="81">
        <f ca="1">Q362*(1+INDEX(Q$289:Q$291,MATCH(Work_Codes!$I$437,$D$289:$D$291,0)))</f>
        <v>0</v>
      </c>
      <c r="R402" s="81">
        <f ca="1">R362*(1+INDEX(R$289:R$291,MATCH(Work_Codes!$I$437,$D$289:$D$291,0)))</f>
        <v>0</v>
      </c>
      <c r="S402" s="81">
        <f ca="1">S362*(1+INDEX(S$289:S$291,MATCH(Work_Codes!$I$437,$D$289:$D$291,0)))</f>
        <v>0</v>
      </c>
      <c r="T402" s="81">
        <f ca="1">T362*(1+INDEX(T$289:T$291,MATCH(Work_Codes!$I$437,$D$289:$D$291,0)))</f>
        <v>0</v>
      </c>
    </row>
    <row r="403" spans="5:20" ht="11.5" customHeight="1" outlineLevel="2">
      <c r="E403" s="247" t="str">
        <f>GC!C43</f>
        <v>Cathodic protection</v>
      </c>
      <c r="F403" s="247"/>
      <c r="G403" s="247"/>
      <c r="H403" s="247"/>
      <c r="I403" s="247"/>
      <c r="J403" s="81">
        <f ca="1">J363*(1+INDEX(J$289:J$291,MATCH(Work_Codes!$I$437,$D$289:$D$291,0)))</f>
        <v>0</v>
      </c>
      <c r="K403" s="81">
        <f ca="1">K363*(1+INDEX(K$289:K$291,MATCH(Work_Codes!$I$437,$D$289:$D$291,0)))</f>
        <v>0</v>
      </c>
      <c r="L403" s="81">
        <f ca="1">L363*(1+INDEX(L$289:L$291,MATCH(Work_Codes!$I$437,$D$289:$D$291,0)))</f>
        <v>0</v>
      </c>
      <c r="M403" s="81">
        <f ca="1">M363*(1+INDEX(M$289:M$291,MATCH(Work_Codes!$I$437,$D$289:$D$291,0)))</f>
        <v>0</v>
      </c>
      <c r="N403" s="81">
        <f ca="1">N363*(1+INDEX(N$289:N$291,MATCH(Work_Codes!$I$437,$D$289:$D$291,0)))</f>
        <v>0</v>
      </c>
      <c r="O403" s="81">
        <f ca="1">O363*(1+INDEX(O$289:O$291,MATCH(Work_Codes!$I$437,$D$289:$D$291,0)))</f>
        <v>0</v>
      </c>
      <c r="P403" s="81">
        <f ca="1">P363*(1+INDEX(P$289:P$291,MATCH(Work_Codes!$I$437,$D$289:$D$291,0)))</f>
        <v>0</v>
      </c>
      <c r="Q403" s="81">
        <f ca="1">Q363*(1+INDEX(Q$289:Q$291,MATCH(Work_Codes!$I$437,$D$289:$D$291,0)))</f>
        <v>0</v>
      </c>
      <c r="R403" s="81">
        <f ca="1">R363*(1+INDEX(R$289:R$291,MATCH(Work_Codes!$I$437,$D$289:$D$291,0)))</f>
        <v>0</v>
      </c>
      <c r="S403" s="81">
        <f ca="1">S363*(1+INDEX(S$289:S$291,MATCH(Work_Codes!$I$437,$D$289:$D$291,0)))</f>
        <v>0</v>
      </c>
      <c r="T403" s="81">
        <f ca="1">T363*(1+INDEX(T$289:T$291,MATCH(Work_Codes!$I$437,$D$289:$D$291,0)))</f>
        <v>0</v>
      </c>
    </row>
    <row r="404" spans="5:20" ht="11.5" customHeight="1" outlineLevel="2">
      <c r="E404" s="247" t="str">
        <f>GC!C44</f>
        <v>Supply Regulators / Valve Stations</v>
      </c>
      <c r="F404" s="247"/>
      <c r="G404" s="247"/>
      <c r="H404" s="247"/>
      <c r="I404" s="247"/>
      <c r="J404" s="81">
        <f ca="1">J364*(1+INDEX(J$289:J$291,MATCH(Work_Codes!$I$437,$D$289:$D$291,0)))</f>
        <v>0</v>
      </c>
      <c r="K404" s="81">
        <f ca="1">K364*(1+INDEX(K$289:K$291,MATCH(Work_Codes!$I$437,$D$289:$D$291,0)))</f>
        <v>0</v>
      </c>
      <c r="L404" s="81">
        <f ca="1">L364*(1+INDEX(L$289:L$291,MATCH(Work_Codes!$I$437,$D$289:$D$291,0)))</f>
        <v>0</v>
      </c>
      <c r="M404" s="81">
        <f ca="1">M364*(1+INDEX(M$289:M$291,MATCH(Work_Codes!$I$437,$D$289:$D$291,0)))</f>
        <v>0</v>
      </c>
      <c r="N404" s="81">
        <f ca="1">N364*(1+INDEX(N$289:N$291,MATCH(Work_Codes!$I$437,$D$289:$D$291,0)))</f>
        <v>7256234.5297934581</v>
      </c>
      <c r="O404" s="81">
        <f ca="1">O364*(1+INDEX(O$289:O$291,MATCH(Work_Codes!$I$437,$D$289:$D$291,0)))</f>
        <v>371575.16233088903</v>
      </c>
      <c r="P404" s="81">
        <f ca="1">P364*(1+INDEX(P$289:P$291,MATCH(Work_Codes!$I$437,$D$289:$D$291,0)))</f>
        <v>0</v>
      </c>
      <c r="Q404" s="81">
        <f ca="1">Q364*(1+INDEX(Q$289:Q$291,MATCH(Work_Codes!$I$437,$D$289:$D$291,0)))</f>
        <v>0</v>
      </c>
      <c r="R404" s="81">
        <f ca="1">R364*(1+INDEX(R$289:R$291,MATCH(Work_Codes!$I$437,$D$289:$D$291,0)))</f>
        <v>0</v>
      </c>
      <c r="S404" s="81">
        <f ca="1">S364*(1+INDEX(S$289:S$291,MATCH(Work_Codes!$I$437,$D$289:$D$291,0)))</f>
        <v>0</v>
      </c>
      <c r="T404" s="81">
        <f ca="1">T364*(1+INDEX(T$289:T$291,MATCH(Work_Codes!$I$437,$D$289:$D$291,0)))</f>
        <v>0</v>
      </c>
    </row>
    <row r="405" spans="5:20" ht="11.5" customHeight="1" outlineLevel="2">
      <c r="E405" s="247" t="str">
        <f>GC!C45</f>
        <v>Meters</v>
      </c>
      <c r="F405" s="247"/>
      <c r="G405" s="247"/>
      <c r="H405" s="247"/>
      <c r="I405" s="247"/>
      <c r="J405" s="81">
        <f ca="1">J365*(1+INDEX(J$289:J$291,MATCH(Work_Codes!$I$437,$D$289:$D$291,0)))</f>
        <v>0</v>
      </c>
      <c r="K405" s="81">
        <f ca="1">K365*(1+INDEX(K$289:K$291,MATCH(Work_Codes!$I$437,$D$289:$D$291,0)))</f>
        <v>0</v>
      </c>
      <c r="L405" s="81">
        <f ca="1">L365*(1+INDEX(L$289:L$291,MATCH(Work_Codes!$I$437,$D$289:$D$291,0)))</f>
        <v>0</v>
      </c>
      <c r="M405" s="81">
        <f ca="1">M365*(1+INDEX(M$289:M$291,MATCH(Work_Codes!$I$437,$D$289:$D$291,0)))</f>
        <v>0</v>
      </c>
      <c r="N405" s="81">
        <f ca="1">N365*(1+INDEX(N$289:N$291,MATCH(Work_Codes!$I$437,$D$289:$D$291,0)))</f>
        <v>0</v>
      </c>
      <c r="O405" s="81">
        <f ca="1">O365*(1+INDEX(O$289:O$291,MATCH(Work_Codes!$I$437,$D$289:$D$291,0)))</f>
        <v>0</v>
      </c>
      <c r="P405" s="81">
        <f ca="1">P365*(1+INDEX(P$289:P$291,MATCH(Work_Codes!$I$437,$D$289:$D$291,0)))</f>
        <v>0</v>
      </c>
      <c r="Q405" s="81">
        <f ca="1">Q365*(1+INDEX(Q$289:Q$291,MATCH(Work_Codes!$I$437,$D$289:$D$291,0)))</f>
        <v>0</v>
      </c>
      <c r="R405" s="81">
        <f ca="1">R365*(1+INDEX(R$289:R$291,MATCH(Work_Codes!$I$437,$D$289:$D$291,0)))</f>
        <v>0</v>
      </c>
      <c r="S405" s="81">
        <f ca="1">S365*(1+INDEX(S$289:S$291,MATCH(Work_Codes!$I$437,$D$289:$D$291,0)))</f>
        <v>0</v>
      </c>
      <c r="T405" s="81">
        <f ca="1">T365*(1+INDEX(T$289:T$291,MATCH(Work_Codes!$I$437,$D$289:$D$291,0)))</f>
        <v>0</v>
      </c>
    </row>
    <row r="406" spans="5:20" ht="11.5" customHeight="1" outlineLevel="2">
      <c r="E406" s="247" t="str">
        <f>GC!C46</f>
        <v>SCADA and remote control</v>
      </c>
      <c r="F406" s="247"/>
      <c r="G406" s="247"/>
      <c r="H406" s="247"/>
      <c r="I406" s="247"/>
      <c r="J406" s="81">
        <f ca="1">J366*(1+INDEX(J$289:J$291,MATCH(Work_Codes!$I$437,$D$289:$D$291,0)))</f>
        <v>0</v>
      </c>
      <c r="K406" s="81">
        <f ca="1">K366*(1+INDEX(K$289:K$291,MATCH(Work_Codes!$I$437,$D$289:$D$291,0)))</f>
        <v>0</v>
      </c>
      <c r="L406" s="81">
        <f ca="1">L366*(1+INDEX(L$289:L$291,MATCH(Work_Codes!$I$437,$D$289:$D$291,0)))</f>
        <v>0</v>
      </c>
      <c r="M406" s="81">
        <f ca="1">M366*(1+INDEX(M$289:M$291,MATCH(Work_Codes!$I$437,$D$289:$D$291,0)))</f>
        <v>0</v>
      </c>
      <c r="N406" s="81">
        <f ca="1">N366*(1+INDEX(N$289:N$291,MATCH(Work_Codes!$I$437,$D$289:$D$291,0)))</f>
        <v>0</v>
      </c>
      <c r="O406" s="81">
        <f ca="1">O366*(1+INDEX(O$289:O$291,MATCH(Work_Codes!$I$437,$D$289:$D$291,0)))</f>
        <v>0</v>
      </c>
      <c r="P406" s="81">
        <f ca="1">P366*(1+INDEX(P$289:P$291,MATCH(Work_Codes!$I$437,$D$289:$D$291,0)))</f>
        <v>0</v>
      </c>
      <c r="Q406" s="81">
        <f ca="1">Q366*(1+INDEX(Q$289:Q$291,MATCH(Work_Codes!$I$437,$D$289:$D$291,0)))</f>
        <v>0</v>
      </c>
      <c r="R406" s="81">
        <f ca="1">R366*(1+INDEX(R$289:R$291,MATCH(Work_Codes!$I$437,$D$289:$D$291,0)))</f>
        <v>0</v>
      </c>
      <c r="S406" s="81">
        <f ca="1">S366*(1+INDEX(S$289:S$291,MATCH(Work_Codes!$I$437,$D$289:$D$291,0)))</f>
        <v>0</v>
      </c>
      <c r="T406" s="81">
        <f ca="1">T366*(1+INDEX(T$289:T$291,MATCH(Work_Codes!$I$437,$D$289:$D$291,0)))</f>
        <v>0</v>
      </c>
    </row>
    <row r="407" spans="5:20" ht="11.5" customHeight="1" outlineLevel="2">
      <c r="E407" s="247" t="str">
        <f>GC!C47</f>
        <v>Buildings</v>
      </c>
      <c r="F407" s="247"/>
      <c r="G407" s="247"/>
      <c r="H407" s="247"/>
      <c r="I407" s="247"/>
      <c r="J407" s="81">
        <f ca="1">J367*(1+INDEX(J$289:J$291,MATCH(Work_Codes!$I$437,$D$289:$D$291,0)))</f>
        <v>0</v>
      </c>
      <c r="K407" s="81">
        <f ca="1">K367*(1+INDEX(K$289:K$291,MATCH(Work_Codes!$I$437,$D$289:$D$291,0)))</f>
        <v>0</v>
      </c>
      <c r="L407" s="81">
        <f ca="1">L367*(1+INDEX(L$289:L$291,MATCH(Work_Codes!$I$437,$D$289:$D$291,0)))</f>
        <v>0</v>
      </c>
      <c r="M407" s="81">
        <f ca="1">M367*(1+INDEX(M$289:M$291,MATCH(Work_Codes!$I$437,$D$289:$D$291,0)))</f>
        <v>0</v>
      </c>
      <c r="N407" s="81">
        <f ca="1">N367*(1+INDEX(N$289:N$291,MATCH(Work_Codes!$I$437,$D$289:$D$291,0)))</f>
        <v>0</v>
      </c>
      <c r="O407" s="81">
        <f ca="1">O367*(1+INDEX(O$289:O$291,MATCH(Work_Codes!$I$437,$D$289:$D$291,0)))</f>
        <v>0</v>
      </c>
      <c r="P407" s="81">
        <f ca="1">P367*(1+INDEX(P$289:P$291,MATCH(Work_Codes!$I$437,$D$289:$D$291,0)))</f>
        <v>0</v>
      </c>
      <c r="Q407" s="81">
        <f ca="1">Q367*(1+INDEX(Q$289:Q$291,MATCH(Work_Codes!$I$437,$D$289:$D$291,0)))</f>
        <v>0</v>
      </c>
      <c r="R407" s="81">
        <f ca="1">R367*(1+INDEX(R$289:R$291,MATCH(Work_Codes!$I$437,$D$289:$D$291,0)))</f>
        <v>0</v>
      </c>
      <c r="S407" s="81">
        <f ca="1">S367*(1+INDEX(S$289:S$291,MATCH(Work_Codes!$I$437,$D$289:$D$291,0)))</f>
        <v>0</v>
      </c>
      <c r="T407" s="81">
        <f ca="1">T367*(1+INDEX(T$289:T$291,MATCH(Work_Codes!$I$437,$D$289:$D$291,0)))</f>
        <v>0</v>
      </c>
    </row>
    <row r="408" spans="5:20" ht="11.5" customHeight="1" outlineLevel="2">
      <c r="E408" s="247" t="str">
        <f>GC!C48</f>
        <v>Other - IT</v>
      </c>
      <c r="F408" s="247"/>
      <c r="G408" s="247"/>
      <c r="H408" s="247"/>
      <c r="I408" s="247"/>
      <c r="J408" s="81">
        <f ca="1">J368*(1+INDEX(J$289:J$291,MATCH(Work_Codes!$I$437,$D$289:$D$291,0)))</f>
        <v>0</v>
      </c>
      <c r="K408" s="81">
        <f ca="1">K368*(1+INDEX(K$289:K$291,MATCH(Work_Codes!$I$437,$D$289:$D$291,0)))</f>
        <v>0</v>
      </c>
      <c r="L408" s="81">
        <f ca="1">L368*(1+INDEX(L$289:L$291,MATCH(Work_Codes!$I$437,$D$289:$D$291,0)))</f>
        <v>0</v>
      </c>
      <c r="M408" s="81">
        <f ca="1">M368*(1+INDEX(M$289:M$291,MATCH(Work_Codes!$I$437,$D$289:$D$291,0)))</f>
        <v>0</v>
      </c>
      <c r="N408" s="81">
        <f ca="1">N368*(1+INDEX(N$289:N$291,MATCH(Work_Codes!$I$437,$D$289:$D$291,0)))</f>
        <v>0</v>
      </c>
      <c r="O408" s="81">
        <f ca="1">O368*(1+INDEX(O$289:O$291,MATCH(Work_Codes!$I$437,$D$289:$D$291,0)))</f>
        <v>0</v>
      </c>
      <c r="P408" s="81">
        <f ca="1">P368*(1+INDEX(P$289:P$291,MATCH(Work_Codes!$I$437,$D$289:$D$291,0)))</f>
        <v>0</v>
      </c>
      <c r="Q408" s="81">
        <f ca="1">Q368*(1+INDEX(Q$289:Q$291,MATCH(Work_Codes!$I$437,$D$289:$D$291,0)))</f>
        <v>0</v>
      </c>
      <c r="R408" s="81">
        <f ca="1">R368*(1+INDEX(R$289:R$291,MATCH(Work_Codes!$I$437,$D$289:$D$291,0)))</f>
        <v>0</v>
      </c>
      <c r="S408" s="81">
        <f ca="1">S368*(1+INDEX(S$289:S$291,MATCH(Work_Codes!$I$437,$D$289:$D$291,0)))</f>
        <v>0</v>
      </c>
      <c r="T408" s="81">
        <f ca="1">T368*(1+INDEX(T$289:T$291,MATCH(Work_Codes!$I$437,$D$289:$D$291,0)))</f>
        <v>0</v>
      </c>
    </row>
    <row r="409" spans="5:20" ht="11.5" customHeight="1" outlineLevel="2">
      <c r="E409" s="247" t="str">
        <f>GC!C49</f>
        <v>Other - non IT</v>
      </c>
      <c r="F409" s="247"/>
      <c r="G409" s="247"/>
      <c r="H409" s="247"/>
      <c r="I409" s="247"/>
      <c r="J409" s="81">
        <f ca="1">J369*(1+INDEX(J$289:J$291,MATCH(Work_Codes!$I$437,$D$289:$D$291,0)))</f>
        <v>0</v>
      </c>
      <c r="K409" s="81">
        <f ca="1">K369*(1+INDEX(K$289:K$291,MATCH(Work_Codes!$I$437,$D$289:$D$291,0)))</f>
        <v>0</v>
      </c>
      <c r="L409" s="81">
        <f ca="1">L369*(1+INDEX(L$289:L$291,MATCH(Work_Codes!$I$437,$D$289:$D$291,0)))</f>
        <v>0</v>
      </c>
      <c r="M409" s="81">
        <f ca="1">M369*(1+INDEX(M$289:M$291,MATCH(Work_Codes!$I$437,$D$289:$D$291,0)))</f>
        <v>0</v>
      </c>
      <c r="N409" s="81">
        <f ca="1">N369*(1+INDEX(N$289:N$291,MATCH(Work_Codes!$I$437,$D$289:$D$291,0)))</f>
        <v>0</v>
      </c>
      <c r="O409" s="81">
        <f ca="1">O369*(1+INDEX(O$289:O$291,MATCH(Work_Codes!$I$437,$D$289:$D$291,0)))</f>
        <v>0</v>
      </c>
      <c r="P409" s="81">
        <f ca="1">P369*(1+INDEX(P$289:P$291,MATCH(Work_Codes!$I$437,$D$289:$D$291,0)))</f>
        <v>0</v>
      </c>
      <c r="Q409" s="81">
        <f ca="1">Q369*(1+INDEX(Q$289:Q$291,MATCH(Work_Codes!$I$437,$D$289:$D$291,0)))</f>
        <v>0</v>
      </c>
      <c r="R409" s="81">
        <f ca="1">R369*(1+INDEX(R$289:R$291,MATCH(Work_Codes!$I$437,$D$289:$D$291,0)))</f>
        <v>0</v>
      </c>
      <c r="S409" s="81">
        <f ca="1">S369*(1+INDEX(S$289:S$291,MATCH(Work_Codes!$I$437,$D$289:$D$291,0)))</f>
        <v>0</v>
      </c>
      <c r="T409" s="81">
        <f ca="1">T369*(1+INDEX(T$289:T$291,MATCH(Work_Codes!$I$437,$D$289:$D$291,0)))</f>
        <v>0</v>
      </c>
    </row>
    <row r="410" spans="5:20" ht="11.5" customHeight="1" outlineLevel="2">
      <c r="E410" s="247" t="str">
        <f>GC!C50</f>
        <v>Land</v>
      </c>
      <c r="F410" s="247"/>
      <c r="G410" s="247"/>
      <c r="H410" s="247"/>
      <c r="I410" s="247"/>
      <c r="J410" s="81">
        <f ca="1">J370*(1+INDEX(J$289:J$291,MATCH(Work_Codes!$I$437,$D$289:$D$291,0)))</f>
        <v>0</v>
      </c>
      <c r="K410" s="81">
        <f ca="1">K370*(1+INDEX(K$289:K$291,MATCH(Work_Codes!$I$437,$D$289:$D$291,0)))</f>
        <v>0</v>
      </c>
      <c r="L410" s="81">
        <f ca="1">L370*(1+INDEX(L$289:L$291,MATCH(Work_Codes!$I$437,$D$289:$D$291,0)))</f>
        <v>0</v>
      </c>
      <c r="M410" s="81">
        <f ca="1">M370*(1+INDEX(M$289:M$291,MATCH(Work_Codes!$I$437,$D$289:$D$291,0)))</f>
        <v>0</v>
      </c>
      <c r="N410" s="81">
        <f ca="1">N370*(1+INDEX(N$289:N$291,MATCH(Work_Codes!$I$437,$D$289:$D$291,0)))</f>
        <v>0</v>
      </c>
      <c r="O410" s="81">
        <f ca="1">O370*(1+INDEX(O$289:O$291,MATCH(Work_Codes!$I$437,$D$289:$D$291,0)))</f>
        <v>0</v>
      </c>
      <c r="P410" s="81">
        <f ca="1">P370*(1+INDEX(P$289:P$291,MATCH(Work_Codes!$I$437,$D$289:$D$291,0)))</f>
        <v>0</v>
      </c>
      <c r="Q410" s="81">
        <f ca="1">Q370*(1+INDEX(Q$289:Q$291,MATCH(Work_Codes!$I$437,$D$289:$D$291,0)))</f>
        <v>0</v>
      </c>
      <c r="R410" s="81">
        <f ca="1">R370*(1+INDEX(R$289:R$291,MATCH(Work_Codes!$I$437,$D$289:$D$291,0)))</f>
        <v>0</v>
      </c>
      <c r="S410" s="81">
        <f ca="1">S370*(1+INDEX(S$289:S$291,MATCH(Work_Codes!$I$437,$D$289:$D$291,0)))</f>
        <v>0</v>
      </c>
      <c r="T410" s="81">
        <f ca="1">T370*(1+INDEX(T$289:T$291,MATCH(Work_Codes!$I$437,$D$289:$D$291,0)))</f>
        <v>0</v>
      </c>
    </row>
    <row r="411" spans="5:20" outlineLevel="2">
      <c r="E411" s="247" t="str">
        <f>GC!C51</f>
        <v>Capitalised Leases</v>
      </c>
      <c r="F411" s="247"/>
      <c r="G411" s="247"/>
      <c r="H411" s="247"/>
      <c r="I411" s="247"/>
      <c r="J411" s="81">
        <f ca="1">J371*(1+INDEX(J$289:J$291,MATCH(Work_Codes!$I$437,$D$289:$D$291,0)))</f>
        <v>0</v>
      </c>
      <c r="K411" s="81">
        <f ca="1">K371*(1+INDEX(K$289:K$291,MATCH(Work_Codes!$I$437,$D$289:$D$291,0)))</f>
        <v>0</v>
      </c>
      <c r="L411" s="81">
        <f ca="1">L371*(1+INDEX(L$289:L$291,MATCH(Work_Codes!$I$437,$D$289:$D$291,0)))</f>
        <v>0</v>
      </c>
      <c r="M411" s="81">
        <f ca="1">M371*(1+INDEX(M$289:M$291,MATCH(Work_Codes!$I$437,$D$289:$D$291,0)))</f>
        <v>0</v>
      </c>
      <c r="N411" s="81">
        <f ca="1">N371*(1+INDEX(N$289:N$291,MATCH(Work_Codes!$I$437,$D$289:$D$291,0)))</f>
        <v>0</v>
      </c>
      <c r="O411" s="81">
        <f ca="1">O371*(1+INDEX(O$289:O$291,MATCH(Work_Codes!$I$437,$D$289:$D$291,0)))</f>
        <v>0</v>
      </c>
      <c r="P411" s="81">
        <f ca="1">P371*(1+INDEX(P$289:P$291,MATCH(Work_Codes!$I$437,$D$289:$D$291,0)))</f>
        <v>0</v>
      </c>
      <c r="Q411" s="81">
        <f ca="1">Q371*(1+INDEX(Q$289:Q$291,MATCH(Work_Codes!$I$437,$D$289:$D$291,0)))</f>
        <v>0</v>
      </c>
      <c r="R411" s="81">
        <f ca="1">R371*(1+INDEX(R$289:R$291,MATCH(Work_Codes!$I$437,$D$289:$D$291,0)))</f>
        <v>0</v>
      </c>
      <c r="S411" s="81">
        <f ca="1">S371*(1+INDEX(S$289:S$291,MATCH(Work_Codes!$I$437,$D$289:$D$291,0)))</f>
        <v>0</v>
      </c>
      <c r="T411" s="81">
        <f ca="1">T371*(1+INDEX(T$289:T$291,MATCH(Work_Codes!$I$437,$D$289:$D$291,0)))</f>
        <v>0</v>
      </c>
    </row>
    <row r="412" spans="5:20" outlineLevel="2">
      <c r="E412" s="247" t="str">
        <f>GC!C52</f>
        <v>Transmission pipelines - post 1998</v>
      </c>
      <c r="F412" s="247"/>
      <c r="G412" s="247"/>
      <c r="H412" s="247"/>
      <c r="I412" s="247"/>
      <c r="J412" s="81">
        <f ca="1">J372*(1+INDEX(J$289:J$291,MATCH(Work_Codes!$I$437,$D$289:$D$291,0)))</f>
        <v>0</v>
      </c>
      <c r="K412" s="81">
        <f ca="1">K372*(1+INDEX(K$289:K$291,MATCH(Work_Codes!$I$437,$D$289:$D$291,0)))</f>
        <v>0</v>
      </c>
      <c r="L412" s="81">
        <f ca="1">L372*(1+INDEX(L$289:L$291,MATCH(Work_Codes!$I$437,$D$289:$D$291,0)))</f>
        <v>0</v>
      </c>
      <c r="M412" s="81">
        <f ca="1">M372*(1+INDEX(M$289:M$291,MATCH(Work_Codes!$I$437,$D$289:$D$291,0)))</f>
        <v>0</v>
      </c>
      <c r="N412" s="81">
        <f ca="1">N372*(1+INDEX(N$289:N$291,MATCH(Work_Codes!$I$437,$D$289:$D$291,0)))</f>
        <v>0</v>
      </c>
      <c r="O412" s="81">
        <f ca="1">O372*(1+INDEX(O$289:O$291,MATCH(Work_Codes!$I$437,$D$289:$D$291,0)))</f>
        <v>0</v>
      </c>
      <c r="P412" s="81">
        <f ca="1">P372*(1+INDEX(P$289:P$291,MATCH(Work_Codes!$I$437,$D$289:$D$291,0)))</f>
        <v>0</v>
      </c>
      <c r="Q412" s="81">
        <f ca="1">Q372*(1+INDEX(Q$289:Q$291,MATCH(Work_Codes!$I$437,$D$289:$D$291,0)))</f>
        <v>0</v>
      </c>
      <c r="R412" s="81">
        <f ca="1">R372*(1+INDEX(R$289:R$291,MATCH(Work_Codes!$I$437,$D$289:$D$291,0)))</f>
        <v>0</v>
      </c>
      <c r="S412" s="81">
        <f ca="1">S372*(1+INDEX(S$289:S$291,MATCH(Work_Codes!$I$437,$D$289:$D$291,0)))</f>
        <v>0</v>
      </c>
      <c r="T412" s="81">
        <f ca="1">T372*(1+INDEX(T$289:T$291,MATCH(Work_Codes!$I$437,$D$289:$D$291,0)))</f>
        <v>0</v>
      </c>
    </row>
    <row r="413" spans="5:20" outlineLevel="2">
      <c r="E413" s="247" t="str">
        <f>GC!C53</f>
        <v>Distribution pipelines - post 1998</v>
      </c>
      <c r="F413" s="247"/>
      <c r="G413" s="247"/>
      <c r="H413" s="247"/>
      <c r="I413" s="247"/>
      <c r="J413" s="81">
        <f ca="1">J373*(1+INDEX(J$289:J$291,MATCH(Work_Codes!$I$437,$D$289:$D$291,0)))</f>
        <v>0</v>
      </c>
      <c r="K413" s="81">
        <f ca="1">K373*(1+INDEX(K$289:K$291,MATCH(Work_Codes!$I$437,$D$289:$D$291,0)))</f>
        <v>0</v>
      </c>
      <c r="L413" s="81">
        <f ca="1">L373*(1+INDEX(L$289:L$291,MATCH(Work_Codes!$I$437,$D$289:$D$291,0)))</f>
        <v>0</v>
      </c>
      <c r="M413" s="81">
        <f ca="1">M373*(1+INDEX(M$289:M$291,MATCH(Work_Codes!$I$437,$D$289:$D$291,0)))</f>
        <v>0</v>
      </c>
      <c r="N413" s="81">
        <f ca="1">N373*(1+INDEX(N$289:N$291,MATCH(Work_Codes!$I$437,$D$289:$D$291,0)))</f>
        <v>1280511.9758459043</v>
      </c>
      <c r="O413" s="81">
        <f ca="1">O373*(1+INDEX(O$289:O$291,MATCH(Work_Codes!$I$437,$D$289:$D$291,0)))</f>
        <v>65572.087470156897</v>
      </c>
      <c r="P413" s="81">
        <f ca="1">P373*(1+INDEX(P$289:P$291,MATCH(Work_Codes!$I$437,$D$289:$D$291,0)))</f>
        <v>0</v>
      </c>
      <c r="Q413" s="81">
        <f ca="1">Q373*(1+INDEX(Q$289:Q$291,MATCH(Work_Codes!$I$437,$D$289:$D$291,0)))</f>
        <v>0</v>
      </c>
      <c r="R413" s="81">
        <f ca="1">R373*(1+INDEX(R$289:R$291,MATCH(Work_Codes!$I$437,$D$289:$D$291,0)))</f>
        <v>0</v>
      </c>
      <c r="S413" s="81">
        <f ca="1">S373*(1+INDEX(S$289:S$291,MATCH(Work_Codes!$I$437,$D$289:$D$291,0)))</f>
        <v>0</v>
      </c>
      <c r="T413" s="81">
        <f ca="1">T373*(1+INDEX(T$289:T$291,MATCH(Work_Codes!$I$437,$D$289:$D$291,0)))</f>
        <v>0</v>
      </c>
    </row>
    <row r="414" spans="5:20" outlineLevel="2">
      <c r="E414" s="247" t="str">
        <f>GC!C54</f>
        <v>Service pipes - post 1998</v>
      </c>
      <c r="F414" s="247"/>
      <c r="G414" s="247"/>
      <c r="H414" s="247"/>
      <c r="I414" s="247"/>
      <c r="J414" s="81">
        <f ca="1">J374*(1+INDEX(J$289:J$291,MATCH(Work_Codes!$I$437,$D$289:$D$291,0)))</f>
        <v>0</v>
      </c>
      <c r="K414" s="81">
        <f ca="1">K374*(1+INDEX(K$289:K$291,MATCH(Work_Codes!$I$437,$D$289:$D$291,0)))</f>
        <v>0</v>
      </c>
      <c r="L414" s="81">
        <f ca="1">L374*(1+INDEX(L$289:L$291,MATCH(Work_Codes!$I$437,$D$289:$D$291,0)))</f>
        <v>0</v>
      </c>
      <c r="M414" s="81">
        <f ca="1">M374*(1+INDEX(M$289:M$291,MATCH(Work_Codes!$I$437,$D$289:$D$291,0)))</f>
        <v>0</v>
      </c>
      <c r="N414" s="81">
        <f ca="1">N374*(1+INDEX(N$289:N$291,MATCH(Work_Codes!$I$437,$D$289:$D$291,0)))</f>
        <v>0</v>
      </c>
      <c r="O414" s="81">
        <f ca="1">O374*(1+INDEX(O$289:O$291,MATCH(Work_Codes!$I$437,$D$289:$D$291,0)))</f>
        <v>0</v>
      </c>
      <c r="P414" s="81">
        <f ca="1">P374*(1+INDEX(P$289:P$291,MATCH(Work_Codes!$I$437,$D$289:$D$291,0)))</f>
        <v>0</v>
      </c>
      <c r="Q414" s="81">
        <f ca="1">Q374*(1+INDEX(Q$289:Q$291,MATCH(Work_Codes!$I$437,$D$289:$D$291,0)))</f>
        <v>0</v>
      </c>
      <c r="R414" s="81">
        <f ca="1">R374*(1+INDEX(R$289:R$291,MATCH(Work_Codes!$I$437,$D$289:$D$291,0)))</f>
        <v>0</v>
      </c>
      <c r="S414" s="81">
        <f ca="1">S374*(1+INDEX(S$289:S$291,MATCH(Work_Codes!$I$437,$D$289:$D$291,0)))</f>
        <v>0</v>
      </c>
      <c r="T414" s="81">
        <f ca="1">T374*(1+INDEX(T$289:T$291,MATCH(Work_Codes!$I$437,$D$289:$D$291,0)))</f>
        <v>0</v>
      </c>
    </row>
    <row r="415" spans="5:20" outlineLevel="2">
      <c r="E415" s="247" t="str">
        <f>GC!C55</f>
        <v>Cathodic protection - post 1998</v>
      </c>
      <c r="F415" s="247"/>
      <c r="G415" s="247"/>
      <c r="H415" s="247"/>
      <c r="I415" s="247"/>
      <c r="J415" s="81">
        <f ca="1">J375*(1+INDEX(J$289:J$291,MATCH(Work_Codes!$I$437,$D$289:$D$291,0)))</f>
        <v>0</v>
      </c>
      <c r="K415" s="81">
        <f ca="1">K375*(1+INDEX(K$289:K$291,MATCH(Work_Codes!$I$437,$D$289:$D$291,0)))</f>
        <v>0</v>
      </c>
      <c r="L415" s="81">
        <f ca="1">L375*(1+INDEX(L$289:L$291,MATCH(Work_Codes!$I$437,$D$289:$D$291,0)))</f>
        <v>0</v>
      </c>
      <c r="M415" s="81">
        <f ca="1">M375*(1+INDEX(M$289:M$291,MATCH(Work_Codes!$I$437,$D$289:$D$291,0)))</f>
        <v>0</v>
      </c>
      <c r="N415" s="81">
        <f ca="1">N375*(1+INDEX(N$289:N$291,MATCH(Work_Codes!$I$437,$D$289:$D$291,0)))</f>
        <v>0</v>
      </c>
      <c r="O415" s="81">
        <f ca="1">O375*(1+INDEX(O$289:O$291,MATCH(Work_Codes!$I$437,$D$289:$D$291,0)))</f>
        <v>0</v>
      </c>
      <c r="P415" s="81">
        <f ca="1">P375*(1+INDEX(P$289:P$291,MATCH(Work_Codes!$I$437,$D$289:$D$291,0)))</f>
        <v>0</v>
      </c>
      <c r="Q415" s="81">
        <f ca="1">Q375*(1+INDEX(Q$289:Q$291,MATCH(Work_Codes!$I$437,$D$289:$D$291,0)))</f>
        <v>0</v>
      </c>
      <c r="R415" s="81">
        <f ca="1">R375*(1+INDEX(R$289:R$291,MATCH(Work_Codes!$I$437,$D$289:$D$291,0)))</f>
        <v>0</v>
      </c>
      <c r="S415" s="81">
        <f ca="1">S375*(1+INDEX(S$289:S$291,MATCH(Work_Codes!$I$437,$D$289:$D$291,0)))</f>
        <v>0</v>
      </c>
      <c r="T415" s="81">
        <f ca="1">T375*(1+INDEX(T$289:T$291,MATCH(Work_Codes!$I$437,$D$289:$D$291,0)))</f>
        <v>0</v>
      </c>
    </row>
    <row r="416" spans="5:20" ht="12" customHeight="1" outlineLevel="2">
      <c r="E416" s="249" t="str">
        <f>"Total "&amp;D398</f>
        <v>Total Direct Costs + Overheads</v>
      </c>
      <c r="F416" s="249"/>
      <c r="G416" s="249"/>
      <c r="H416" s="249"/>
      <c r="I416" s="249"/>
      <c r="J416" s="82">
        <f t="shared" ref="J416:T416" ca="1" si="46">SUM(J400:J415)</f>
        <v>0</v>
      </c>
      <c r="K416" s="82">
        <f t="shared" ca="1" si="46"/>
        <v>0</v>
      </c>
      <c r="L416" s="82">
        <f t="shared" ca="1" si="46"/>
        <v>0</v>
      </c>
      <c r="M416" s="82">
        <f t="shared" ca="1" si="46"/>
        <v>0</v>
      </c>
      <c r="N416" s="82">
        <f t="shared" ca="1" si="46"/>
        <v>8536746.5056393631</v>
      </c>
      <c r="O416" s="82">
        <f t="shared" ca="1" si="46"/>
        <v>437147.24980104592</v>
      </c>
      <c r="P416" s="82">
        <f t="shared" ca="1" si="46"/>
        <v>0</v>
      </c>
      <c r="Q416" s="82">
        <f t="shared" ca="1" si="46"/>
        <v>0</v>
      </c>
      <c r="R416" s="82">
        <f t="shared" ca="1" si="46"/>
        <v>0</v>
      </c>
      <c r="S416" s="82">
        <f t="shared" ca="1" si="46"/>
        <v>0</v>
      </c>
      <c r="T416" s="82">
        <f t="shared" ca="1" si="46"/>
        <v>0</v>
      </c>
    </row>
    <row r="417" spans="4:20" outlineLevel="2"/>
    <row r="418" spans="4:20" outlineLevel="2">
      <c r="D418" s="37" t="s">
        <v>367</v>
      </c>
    </row>
    <row r="419" spans="4:20" ht="5.9" customHeight="1" outlineLevel="2"/>
    <row r="420" spans="4:20" outlineLevel="2">
      <c r="E420" s="247" t="str">
        <f>GC!C40</f>
        <v>Transmission pipelines</v>
      </c>
      <c r="F420" s="247"/>
      <c r="G420" s="247"/>
      <c r="H420" s="247"/>
      <c r="I420" s="247"/>
      <c r="J420" s="81">
        <f ca="1">SUMPRODUCT((Work_Codes!$N$440:$Y$440=$E420)*(Work_Codes!$N$448:$Y$449)*(J$319:J$320))</f>
        <v>0</v>
      </c>
      <c r="K420" s="81">
        <f ca="1">SUMPRODUCT((Work_Codes!$N$440:$Y$440=$E420)*(Work_Codes!$N$448:$Y$449)*(K$319:K$320))</f>
        <v>0</v>
      </c>
      <c r="L420" s="81">
        <f ca="1">SUMPRODUCT((Work_Codes!$N$440:$Y$440=$E420)*(Work_Codes!$N$448:$Y$449)*(L$319:L$320))</f>
        <v>0</v>
      </c>
      <c r="M420" s="81">
        <f ca="1">SUMPRODUCT((Work_Codes!$N$440:$Y$440=$E420)*(Work_Codes!$N$448:$Y$449)*(M$319:M$320))</f>
        <v>0</v>
      </c>
      <c r="N420" s="81">
        <f ca="1">SUMPRODUCT((Work_Codes!$N$440:$Y$440=$E420)*(Work_Codes!$N$448:$Y$449)*(N$319:N$320))</f>
        <v>0</v>
      </c>
      <c r="O420" s="81">
        <f ca="1">SUMPRODUCT((Work_Codes!$N$440:$Y$440=$E420)*(Work_Codes!$N$448:$Y$449)*(O$319:O$320))</f>
        <v>0</v>
      </c>
      <c r="P420" s="81">
        <f ca="1">SUMPRODUCT((Work_Codes!$N$440:$Y$440=$E420)*(Work_Codes!$N$448:$Y$449)*(P$319:P$320))</f>
        <v>0</v>
      </c>
      <c r="Q420" s="81">
        <f ca="1">SUMPRODUCT((Work_Codes!$N$440:$Y$440=$E420)*(Work_Codes!$N$448:$Y$449)*(Q$319:Q$320))</f>
        <v>0</v>
      </c>
      <c r="R420" s="81">
        <f ca="1">SUMPRODUCT((Work_Codes!$N$440:$Y$440=$E420)*(Work_Codes!$N$448:$Y$449)*(R$319:R$320))</f>
        <v>0</v>
      </c>
      <c r="S420" s="81">
        <f ca="1">SUMPRODUCT((Work_Codes!$N$440:$Y$440=$E420)*(Work_Codes!$N$448:$Y$449)*(S$319:S$320))</f>
        <v>0</v>
      </c>
      <c r="T420" s="81">
        <f ca="1">SUMPRODUCT((Work_Codes!$N$440:$Y$440=$E420)*(Work_Codes!$N$448:$Y$449)*(T$319:T$320))</f>
        <v>0</v>
      </c>
    </row>
    <row r="421" spans="4:20" outlineLevel="2">
      <c r="E421" s="247" t="str">
        <f>GC!C41</f>
        <v>Distribution pipelines</v>
      </c>
      <c r="F421" s="247"/>
      <c r="G421" s="247"/>
      <c r="H421" s="247"/>
      <c r="I421" s="247"/>
      <c r="J421" s="81">
        <f ca="1">SUMPRODUCT((Work_Codes!$N$440:$Y$440=$E421)*(Work_Codes!$N$448:$Y$449)*(J$319:J$320))</f>
        <v>0</v>
      </c>
      <c r="K421" s="81">
        <f ca="1">SUMPRODUCT((Work_Codes!$N$440:$Y$440=$E421)*(Work_Codes!$N$448:$Y$449)*(K$319:K$320))</f>
        <v>0</v>
      </c>
      <c r="L421" s="81">
        <f ca="1">SUMPRODUCT((Work_Codes!$N$440:$Y$440=$E421)*(Work_Codes!$N$448:$Y$449)*(L$319:L$320))</f>
        <v>0</v>
      </c>
      <c r="M421" s="81">
        <f ca="1">SUMPRODUCT((Work_Codes!$N$440:$Y$440=$E421)*(Work_Codes!$N$448:$Y$449)*(M$319:M$320))</f>
        <v>0</v>
      </c>
      <c r="N421" s="81">
        <f ca="1">SUMPRODUCT((Work_Codes!$N$440:$Y$440=$E421)*(Work_Codes!$N$448:$Y$449)*(N$319:N$320))</f>
        <v>0</v>
      </c>
      <c r="O421" s="81">
        <f ca="1">SUMPRODUCT((Work_Codes!$N$440:$Y$440=$E421)*(Work_Codes!$N$448:$Y$449)*(O$319:O$320))</f>
        <v>0</v>
      </c>
      <c r="P421" s="81">
        <f ca="1">SUMPRODUCT((Work_Codes!$N$440:$Y$440=$E421)*(Work_Codes!$N$448:$Y$449)*(P$319:P$320))</f>
        <v>0</v>
      </c>
      <c r="Q421" s="81">
        <f ca="1">SUMPRODUCT((Work_Codes!$N$440:$Y$440=$E421)*(Work_Codes!$N$448:$Y$449)*(Q$319:Q$320))</f>
        <v>0</v>
      </c>
      <c r="R421" s="81">
        <f ca="1">SUMPRODUCT((Work_Codes!$N$440:$Y$440=$E421)*(Work_Codes!$N$448:$Y$449)*(R$319:R$320))</f>
        <v>0</v>
      </c>
      <c r="S421" s="81">
        <f ca="1">SUMPRODUCT((Work_Codes!$N$440:$Y$440=$E421)*(Work_Codes!$N$448:$Y$449)*(S$319:S$320))</f>
        <v>0</v>
      </c>
      <c r="T421" s="81">
        <f ca="1">SUMPRODUCT((Work_Codes!$N$440:$Y$440=$E421)*(Work_Codes!$N$448:$Y$449)*(T$319:T$320))</f>
        <v>0</v>
      </c>
    </row>
    <row r="422" spans="4:20" outlineLevel="2">
      <c r="E422" s="247" t="str">
        <f>GC!C42</f>
        <v>Service pipes</v>
      </c>
      <c r="F422" s="247"/>
      <c r="G422" s="247"/>
      <c r="H422" s="247"/>
      <c r="I422" s="247"/>
      <c r="J422" s="81">
        <f ca="1">SUMPRODUCT((Work_Codes!$N$440:$Y$440=$E422)*(Work_Codes!$N$448:$Y$449)*(J$319:J$320))</f>
        <v>0</v>
      </c>
      <c r="K422" s="81">
        <f ca="1">SUMPRODUCT((Work_Codes!$N$440:$Y$440=$E422)*(Work_Codes!$N$448:$Y$449)*(K$319:K$320))</f>
        <v>0</v>
      </c>
      <c r="L422" s="81">
        <f ca="1">SUMPRODUCT((Work_Codes!$N$440:$Y$440=$E422)*(Work_Codes!$N$448:$Y$449)*(L$319:L$320))</f>
        <v>0</v>
      </c>
      <c r="M422" s="81">
        <f ca="1">SUMPRODUCT((Work_Codes!$N$440:$Y$440=$E422)*(Work_Codes!$N$448:$Y$449)*(M$319:M$320))</f>
        <v>0</v>
      </c>
      <c r="N422" s="81">
        <f ca="1">SUMPRODUCT((Work_Codes!$N$440:$Y$440=$E422)*(Work_Codes!$N$448:$Y$449)*(N$319:N$320))</f>
        <v>0</v>
      </c>
      <c r="O422" s="81">
        <f ca="1">SUMPRODUCT((Work_Codes!$N$440:$Y$440=$E422)*(Work_Codes!$N$448:$Y$449)*(O$319:O$320))</f>
        <v>0</v>
      </c>
      <c r="P422" s="81">
        <f ca="1">SUMPRODUCT((Work_Codes!$N$440:$Y$440=$E422)*(Work_Codes!$N$448:$Y$449)*(P$319:P$320))</f>
        <v>0</v>
      </c>
      <c r="Q422" s="81">
        <f ca="1">SUMPRODUCT((Work_Codes!$N$440:$Y$440=$E422)*(Work_Codes!$N$448:$Y$449)*(Q$319:Q$320))</f>
        <v>0</v>
      </c>
      <c r="R422" s="81">
        <f ca="1">SUMPRODUCT((Work_Codes!$N$440:$Y$440=$E422)*(Work_Codes!$N$448:$Y$449)*(R$319:R$320))</f>
        <v>0</v>
      </c>
      <c r="S422" s="81">
        <f ca="1">SUMPRODUCT((Work_Codes!$N$440:$Y$440=$E422)*(Work_Codes!$N$448:$Y$449)*(S$319:S$320))</f>
        <v>0</v>
      </c>
      <c r="T422" s="81">
        <f ca="1">SUMPRODUCT((Work_Codes!$N$440:$Y$440=$E422)*(Work_Codes!$N$448:$Y$449)*(T$319:T$320))</f>
        <v>0</v>
      </c>
    </row>
    <row r="423" spans="4:20" outlineLevel="2">
      <c r="E423" s="247" t="str">
        <f>GC!C43</f>
        <v>Cathodic protection</v>
      </c>
      <c r="F423" s="247"/>
      <c r="G423" s="247"/>
      <c r="H423" s="247"/>
      <c r="I423" s="247"/>
      <c r="J423" s="81">
        <f ca="1">SUMPRODUCT((Work_Codes!$N$440:$Y$440=$E423)*(Work_Codes!$N$448:$Y$449)*(J$319:J$320))</f>
        <v>0</v>
      </c>
      <c r="K423" s="81">
        <f ca="1">SUMPRODUCT((Work_Codes!$N$440:$Y$440=$E423)*(Work_Codes!$N$448:$Y$449)*(K$319:K$320))</f>
        <v>0</v>
      </c>
      <c r="L423" s="81">
        <f ca="1">SUMPRODUCT((Work_Codes!$N$440:$Y$440=$E423)*(Work_Codes!$N$448:$Y$449)*(L$319:L$320))</f>
        <v>0</v>
      </c>
      <c r="M423" s="81">
        <f ca="1">SUMPRODUCT((Work_Codes!$N$440:$Y$440=$E423)*(Work_Codes!$N$448:$Y$449)*(M$319:M$320))</f>
        <v>0</v>
      </c>
      <c r="N423" s="81">
        <f ca="1">SUMPRODUCT((Work_Codes!$N$440:$Y$440=$E423)*(Work_Codes!$N$448:$Y$449)*(N$319:N$320))</f>
        <v>0</v>
      </c>
      <c r="O423" s="81">
        <f ca="1">SUMPRODUCT((Work_Codes!$N$440:$Y$440=$E423)*(Work_Codes!$N$448:$Y$449)*(O$319:O$320))</f>
        <v>0</v>
      </c>
      <c r="P423" s="81">
        <f ca="1">SUMPRODUCT((Work_Codes!$N$440:$Y$440=$E423)*(Work_Codes!$N$448:$Y$449)*(P$319:P$320))</f>
        <v>0</v>
      </c>
      <c r="Q423" s="81">
        <f ca="1">SUMPRODUCT((Work_Codes!$N$440:$Y$440=$E423)*(Work_Codes!$N$448:$Y$449)*(Q$319:Q$320))</f>
        <v>0</v>
      </c>
      <c r="R423" s="81">
        <f ca="1">SUMPRODUCT((Work_Codes!$N$440:$Y$440=$E423)*(Work_Codes!$N$448:$Y$449)*(R$319:R$320))</f>
        <v>0</v>
      </c>
      <c r="S423" s="81">
        <f ca="1">SUMPRODUCT((Work_Codes!$N$440:$Y$440=$E423)*(Work_Codes!$N$448:$Y$449)*(S$319:S$320))</f>
        <v>0</v>
      </c>
      <c r="T423" s="81">
        <f ca="1">SUMPRODUCT((Work_Codes!$N$440:$Y$440=$E423)*(Work_Codes!$N$448:$Y$449)*(T$319:T$320))</f>
        <v>0</v>
      </c>
    </row>
    <row r="424" spans="4:20" outlineLevel="2">
      <c r="E424" s="247" t="str">
        <f>GC!C44</f>
        <v>Supply Regulators / Valve Stations</v>
      </c>
      <c r="F424" s="247"/>
      <c r="G424" s="247"/>
      <c r="H424" s="247"/>
      <c r="I424" s="247"/>
      <c r="J424" s="81">
        <f ca="1">SUMPRODUCT((Work_Codes!$N$440:$Y$440=$E424)*(Work_Codes!$N$448:$Y$449)*(J$319:J$320))</f>
        <v>0</v>
      </c>
      <c r="K424" s="81">
        <f ca="1">SUMPRODUCT((Work_Codes!$N$440:$Y$440=$E424)*(Work_Codes!$N$448:$Y$449)*(K$319:K$320))</f>
        <v>0</v>
      </c>
      <c r="L424" s="81">
        <f ca="1">SUMPRODUCT((Work_Codes!$N$440:$Y$440=$E424)*(Work_Codes!$N$448:$Y$449)*(L$319:L$320))</f>
        <v>0</v>
      </c>
      <c r="M424" s="81">
        <f ca="1">SUMPRODUCT((Work_Codes!$N$440:$Y$440=$E424)*(Work_Codes!$N$448:$Y$449)*(M$319:M$320))</f>
        <v>0</v>
      </c>
      <c r="N424" s="81">
        <f ca="1">SUMPRODUCT((Work_Codes!$N$440:$Y$440=$E424)*(Work_Codes!$N$448:$Y$449)*(N$319:N$320))</f>
        <v>-9707000</v>
      </c>
      <c r="O424" s="81">
        <f ca="1">SUMPRODUCT((Work_Codes!$N$440:$Y$440=$E424)*(Work_Codes!$N$448:$Y$449)*(O$319:O$320))</f>
        <v>-1040117.7999999999</v>
      </c>
      <c r="P424" s="81">
        <f ca="1">SUMPRODUCT((Work_Codes!$N$440:$Y$440=$E424)*(Work_Codes!$N$448:$Y$449)*(P$319:P$320))</f>
        <v>0</v>
      </c>
      <c r="Q424" s="81">
        <f ca="1">SUMPRODUCT((Work_Codes!$N$440:$Y$440=$E424)*(Work_Codes!$N$448:$Y$449)*(Q$319:Q$320))</f>
        <v>0</v>
      </c>
      <c r="R424" s="81">
        <f ca="1">SUMPRODUCT((Work_Codes!$N$440:$Y$440=$E424)*(Work_Codes!$N$448:$Y$449)*(R$319:R$320))</f>
        <v>0</v>
      </c>
      <c r="S424" s="81">
        <f ca="1">SUMPRODUCT((Work_Codes!$N$440:$Y$440=$E424)*(Work_Codes!$N$448:$Y$449)*(S$319:S$320))</f>
        <v>0</v>
      </c>
      <c r="T424" s="81">
        <f ca="1">SUMPRODUCT((Work_Codes!$N$440:$Y$440=$E424)*(Work_Codes!$N$448:$Y$449)*(T$319:T$320))</f>
        <v>0</v>
      </c>
    </row>
    <row r="425" spans="4:20" outlineLevel="2">
      <c r="E425" s="247" t="str">
        <f>GC!C45</f>
        <v>Meters</v>
      </c>
      <c r="F425" s="247"/>
      <c r="G425" s="247"/>
      <c r="H425" s="247"/>
      <c r="I425" s="247"/>
      <c r="J425" s="81">
        <f ca="1">SUMPRODUCT((Work_Codes!$N$440:$Y$440=$E425)*(Work_Codes!$N$448:$Y$449)*(J$319:J$320))</f>
        <v>0</v>
      </c>
      <c r="K425" s="81">
        <f ca="1">SUMPRODUCT((Work_Codes!$N$440:$Y$440=$E425)*(Work_Codes!$N$448:$Y$449)*(K$319:K$320))</f>
        <v>0</v>
      </c>
      <c r="L425" s="81">
        <f ca="1">SUMPRODUCT((Work_Codes!$N$440:$Y$440=$E425)*(Work_Codes!$N$448:$Y$449)*(L$319:L$320))</f>
        <v>0</v>
      </c>
      <c r="M425" s="81">
        <f ca="1">SUMPRODUCT((Work_Codes!$N$440:$Y$440=$E425)*(Work_Codes!$N$448:$Y$449)*(M$319:M$320))</f>
        <v>0</v>
      </c>
      <c r="N425" s="81">
        <f ca="1">SUMPRODUCT((Work_Codes!$N$440:$Y$440=$E425)*(Work_Codes!$N$448:$Y$449)*(N$319:N$320))</f>
        <v>0</v>
      </c>
      <c r="O425" s="81">
        <f ca="1">SUMPRODUCT((Work_Codes!$N$440:$Y$440=$E425)*(Work_Codes!$N$448:$Y$449)*(O$319:O$320))</f>
        <v>0</v>
      </c>
      <c r="P425" s="81">
        <f ca="1">SUMPRODUCT((Work_Codes!$N$440:$Y$440=$E425)*(Work_Codes!$N$448:$Y$449)*(P$319:P$320))</f>
        <v>0</v>
      </c>
      <c r="Q425" s="81">
        <f ca="1">SUMPRODUCT((Work_Codes!$N$440:$Y$440=$E425)*(Work_Codes!$N$448:$Y$449)*(Q$319:Q$320))</f>
        <v>0</v>
      </c>
      <c r="R425" s="81">
        <f ca="1">SUMPRODUCT((Work_Codes!$N$440:$Y$440=$E425)*(Work_Codes!$N$448:$Y$449)*(R$319:R$320))</f>
        <v>0</v>
      </c>
      <c r="S425" s="81">
        <f ca="1">SUMPRODUCT((Work_Codes!$N$440:$Y$440=$E425)*(Work_Codes!$N$448:$Y$449)*(S$319:S$320))</f>
        <v>0</v>
      </c>
      <c r="T425" s="81">
        <f ca="1">SUMPRODUCT((Work_Codes!$N$440:$Y$440=$E425)*(Work_Codes!$N$448:$Y$449)*(T$319:T$320))</f>
        <v>0</v>
      </c>
    </row>
    <row r="426" spans="4:20" outlineLevel="2">
      <c r="E426" s="247" t="str">
        <f>GC!C46</f>
        <v>SCADA and remote control</v>
      </c>
      <c r="F426" s="247"/>
      <c r="G426" s="247"/>
      <c r="H426" s="247"/>
      <c r="I426" s="247"/>
      <c r="J426" s="81">
        <f ca="1">SUMPRODUCT((Work_Codes!$N$440:$Y$440=$E426)*(Work_Codes!$N$448:$Y$449)*(J$319:J$320))</f>
        <v>0</v>
      </c>
      <c r="K426" s="81">
        <f ca="1">SUMPRODUCT((Work_Codes!$N$440:$Y$440=$E426)*(Work_Codes!$N$448:$Y$449)*(K$319:K$320))</f>
        <v>0</v>
      </c>
      <c r="L426" s="81">
        <f ca="1">SUMPRODUCT((Work_Codes!$N$440:$Y$440=$E426)*(Work_Codes!$N$448:$Y$449)*(L$319:L$320))</f>
        <v>0</v>
      </c>
      <c r="M426" s="81">
        <f ca="1">SUMPRODUCT((Work_Codes!$N$440:$Y$440=$E426)*(Work_Codes!$N$448:$Y$449)*(M$319:M$320))</f>
        <v>0</v>
      </c>
      <c r="N426" s="81">
        <f ca="1">SUMPRODUCT((Work_Codes!$N$440:$Y$440=$E426)*(Work_Codes!$N$448:$Y$449)*(N$319:N$320))</f>
        <v>0</v>
      </c>
      <c r="O426" s="81">
        <f ca="1">SUMPRODUCT((Work_Codes!$N$440:$Y$440=$E426)*(Work_Codes!$N$448:$Y$449)*(O$319:O$320))</f>
        <v>0</v>
      </c>
      <c r="P426" s="81">
        <f ca="1">SUMPRODUCT((Work_Codes!$N$440:$Y$440=$E426)*(Work_Codes!$N$448:$Y$449)*(P$319:P$320))</f>
        <v>0</v>
      </c>
      <c r="Q426" s="81">
        <f ca="1">SUMPRODUCT((Work_Codes!$N$440:$Y$440=$E426)*(Work_Codes!$N$448:$Y$449)*(Q$319:Q$320))</f>
        <v>0</v>
      </c>
      <c r="R426" s="81">
        <f ca="1">SUMPRODUCT((Work_Codes!$N$440:$Y$440=$E426)*(Work_Codes!$N$448:$Y$449)*(R$319:R$320))</f>
        <v>0</v>
      </c>
      <c r="S426" s="81">
        <f ca="1">SUMPRODUCT((Work_Codes!$N$440:$Y$440=$E426)*(Work_Codes!$N$448:$Y$449)*(S$319:S$320))</f>
        <v>0</v>
      </c>
      <c r="T426" s="81">
        <f ca="1">SUMPRODUCT((Work_Codes!$N$440:$Y$440=$E426)*(Work_Codes!$N$448:$Y$449)*(T$319:T$320))</f>
        <v>0</v>
      </c>
    </row>
    <row r="427" spans="4:20" outlineLevel="2">
      <c r="E427" s="247" t="str">
        <f>GC!C47</f>
        <v>Buildings</v>
      </c>
      <c r="F427" s="247"/>
      <c r="G427" s="247"/>
      <c r="H427" s="247"/>
      <c r="I427" s="247"/>
      <c r="J427" s="81">
        <f ca="1">SUMPRODUCT((Work_Codes!$N$440:$Y$440=$E427)*(Work_Codes!$N$448:$Y$449)*(J$319:J$320))</f>
        <v>0</v>
      </c>
      <c r="K427" s="81">
        <f ca="1">SUMPRODUCT((Work_Codes!$N$440:$Y$440=$E427)*(Work_Codes!$N$448:$Y$449)*(K$319:K$320))</f>
        <v>0</v>
      </c>
      <c r="L427" s="81">
        <f ca="1">SUMPRODUCT((Work_Codes!$N$440:$Y$440=$E427)*(Work_Codes!$N$448:$Y$449)*(L$319:L$320))</f>
        <v>0</v>
      </c>
      <c r="M427" s="81">
        <f ca="1">SUMPRODUCT((Work_Codes!$N$440:$Y$440=$E427)*(Work_Codes!$N$448:$Y$449)*(M$319:M$320))</f>
        <v>0</v>
      </c>
      <c r="N427" s="81">
        <f ca="1">SUMPRODUCT((Work_Codes!$N$440:$Y$440=$E427)*(Work_Codes!$N$448:$Y$449)*(N$319:N$320))</f>
        <v>0</v>
      </c>
      <c r="O427" s="81">
        <f ca="1">SUMPRODUCT((Work_Codes!$N$440:$Y$440=$E427)*(Work_Codes!$N$448:$Y$449)*(O$319:O$320))</f>
        <v>0</v>
      </c>
      <c r="P427" s="81">
        <f ca="1">SUMPRODUCT((Work_Codes!$N$440:$Y$440=$E427)*(Work_Codes!$N$448:$Y$449)*(P$319:P$320))</f>
        <v>0</v>
      </c>
      <c r="Q427" s="81">
        <f ca="1">SUMPRODUCT((Work_Codes!$N$440:$Y$440=$E427)*(Work_Codes!$N$448:$Y$449)*(Q$319:Q$320))</f>
        <v>0</v>
      </c>
      <c r="R427" s="81">
        <f ca="1">SUMPRODUCT((Work_Codes!$N$440:$Y$440=$E427)*(Work_Codes!$N$448:$Y$449)*(R$319:R$320))</f>
        <v>0</v>
      </c>
      <c r="S427" s="81">
        <f ca="1">SUMPRODUCT((Work_Codes!$N$440:$Y$440=$E427)*(Work_Codes!$N$448:$Y$449)*(S$319:S$320))</f>
        <v>0</v>
      </c>
      <c r="T427" s="81">
        <f ca="1">SUMPRODUCT((Work_Codes!$N$440:$Y$440=$E427)*(Work_Codes!$N$448:$Y$449)*(T$319:T$320))</f>
        <v>0</v>
      </c>
    </row>
    <row r="428" spans="4:20" outlineLevel="2">
      <c r="E428" s="247" t="str">
        <f>GC!C48</f>
        <v>Other - IT</v>
      </c>
      <c r="F428" s="247"/>
      <c r="G428" s="247"/>
      <c r="H428" s="247"/>
      <c r="I428" s="247"/>
      <c r="J428" s="81">
        <f ca="1">SUMPRODUCT((Work_Codes!$N$440:$Y$440=$E428)*(Work_Codes!$N$448:$Y$449)*(J$319:J$320))</f>
        <v>0</v>
      </c>
      <c r="K428" s="81">
        <f ca="1">SUMPRODUCT((Work_Codes!$N$440:$Y$440=$E428)*(Work_Codes!$N$448:$Y$449)*(K$319:K$320))</f>
        <v>0</v>
      </c>
      <c r="L428" s="81">
        <f ca="1">SUMPRODUCT((Work_Codes!$N$440:$Y$440=$E428)*(Work_Codes!$N$448:$Y$449)*(L$319:L$320))</f>
        <v>0</v>
      </c>
      <c r="M428" s="81">
        <f ca="1">SUMPRODUCT((Work_Codes!$N$440:$Y$440=$E428)*(Work_Codes!$N$448:$Y$449)*(M$319:M$320))</f>
        <v>0</v>
      </c>
      <c r="N428" s="81">
        <f ca="1">SUMPRODUCT((Work_Codes!$N$440:$Y$440=$E428)*(Work_Codes!$N$448:$Y$449)*(N$319:N$320))</f>
        <v>0</v>
      </c>
      <c r="O428" s="81">
        <f ca="1">SUMPRODUCT((Work_Codes!$N$440:$Y$440=$E428)*(Work_Codes!$N$448:$Y$449)*(O$319:O$320))</f>
        <v>0</v>
      </c>
      <c r="P428" s="81">
        <f ca="1">SUMPRODUCT((Work_Codes!$N$440:$Y$440=$E428)*(Work_Codes!$N$448:$Y$449)*(P$319:P$320))</f>
        <v>0</v>
      </c>
      <c r="Q428" s="81">
        <f ca="1">SUMPRODUCT((Work_Codes!$N$440:$Y$440=$E428)*(Work_Codes!$N$448:$Y$449)*(Q$319:Q$320))</f>
        <v>0</v>
      </c>
      <c r="R428" s="81">
        <f ca="1">SUMPRODUCT((Work_Codes!$N$440:$Y$440=$E428)*(Work_Codes!$N$448:$Y$449)*(R$319:R$320))</f>
        <v>0</v>
      </c>
      <c r="S428" s="81">
        <f ca="1">SUMPRODUCT((Work_Codes!$N$440:$Y$440=$E428)*(Work_Codes!$N$448:$Y$449)*(S$319:S$320))</f>
        <v>0</v>
      </c>
      <c r="T428" s="81">
        <f ca="1">SUMPRODUCT((Work_Codes!$N$440:$Y$440=$E428)*(Work_Codes!$N$448:$Y$449)*(T$319:T$320))</f>
        <v>0</v>
      </c>
    </row>
    <row r="429" spans="4:20" outlineLevel="2">
      <c r="E429" s="247" t="str">
        <f>GC!C49</f>
        <v>Other - non IT</v>
      </c>
      <c r="F429" s="247"/>
      <c r="G429" s="247"/>
      <c r="H429" s="247"/>
      <c r="I429" s="247"/>
      <c r="J429" s="81">
        <f ca="1">SUMPRODUCT((Work_Codes!$N$440:$Y$440=$E429)*(Work_Codes!$N$448:$Y$449)*(J$319:J$320))</f>
        <v>0</v>
      </c>
      <c r="K429" s="81">
        <f ca="1">SUMPRODUCT((Work_Codes!$N$440:$Y$440=$E429)*(Work_Codes!$N$448:$Y$449)*(K$319:K$320))</f>
        <v>0</v>
      </c>
      <c r="L429" s="81">
        <f ca="1">SUMPRODUCT((Work_Codes!$N$440:$Y$440=$E429)*(Work_Codes!$N$448:$Y$449)*(L$319:L$320))</f>
        <v>0</v>
      </c>
      <c r="M429" s="81">
        <f ca="1">SUMPRODUCT((Work_Codes!$N$440:$Y$440=$E429)*(Work_Codes!$N$448:$Y$449)*(M$319:M$320))</f>
        <v>0</v>
      </c>
      <c r="N429" s="81">
        <f ca="1">SUMPRODUCT((Work_Codes!$N$440:$Y$440=$E429)*(Work_Codes!$N$448:$Y$449)*(N$319:N$320))</f>
        <v>0</v>
      </c>
      <c r="O429" s="81">
        <f ca="1">SUMPRODUCT((Work_Codes!$N$440:$Y$440=$E429)*(Work_Codes!$N$448:$Y$449)*(O$319:O$320))</f>
        <v>0</v>
      </c>
      <c r="P429" s="81">
        <f ca="1">SUMPRODUCT((Work_Codes!$N$440:$Y$440=$E429)*(Work_Codes!$N$448:$Y$449)*(P$319:P$320))</f>
        <v>0</v>
      </c>
      <c r="Q429" s="81">
        <f ca="1">SUMPRODUCT((Work_Codes!$N$440:$Y$440=$E429)*(Work_Codes!$N$448:$Y$449)*(Q$319:Q$320))</f>
        <v>0</v>
      </c>
      <c r="R429" s="81">
        <f ca="1">SUMPRODUCT((Work_Codes!$N$440:$Y$440=$E429)*(Work_Codes!$N$448:$Y$449)*(R$319:R$320))</f>
        <v>0</v>
      </c>
      <c r="S429" s="81">
        <f ca="1">SUMPRODUCT((Work_Codes!$N$440:$Y$440=$E429)*(Work_Codes!$N$448:$Y$449)*(S$319:S$320))</f>
        <v>0</v>
      </c>
      <c r="T429" s="81">
        <f ca="1">SUMPRODUCT((Work_Codes!$N$440:$Y$440=$E429)*(Work_Codes!$N$448:$Y$449)*(T$319:T$320))</f>
        <v>0</v>
      </c>
    </row>
    <row r="430" spans="4:20" outlineLevel="2">
      <c r="E430" s="247" t="str">
        <f>GC!C50</f>
        <v>Land</v>
      </c>
      <c r="F430" s="247"/>
      <c r="G430" s="247"/>
      <c r="H430" s="247"/>
      <c r="I430" s="247"/>
      <c r="J430" s="81">
        <f ca="1">SUMPRODUCT((Work_Codes!$N$440:$Y$440=$E430)*(Work_Codes!$N$448:$Y$449)*(J$319:J$320))</f>
        <v>0</v>
      </c>
      <c r="K430" s="81">
        <f ca="1">SUMPRODUCT((Work_Codes!$N$440:$Y$440=$E430)*(Work_Codes!$N$448:$Y$449)*(K$319:K$320))</f>
        <v>0</v>
      </c>
      <c r="L430" s="81">
        <f ca="1">SUMPRODUCT((Work_Codes!$N$440:$Y$440=$E430)*(Work_Codes!$N$448:$Y$449)*(L$319:L$320))</f>
        <v>0</v>
      </c>
      <c r="M430" s="81">
        <f ca="1">SUMPRODUCT((Work_Codes!$N$440:$Y$440=$E430)*(Work_Codes!$N$448:$Y$449)*(M$319:M$320))</f>
        <v>0</v>
      </c>
      <c r="N430" s="81">
        <f ca="1">SUMPRODUCT((Work_Codes!$N$440:$Y$440=$E430)*(Work_Codes!$N$448:$Y$449)*(N$319:N$320))</f>
        <v>0</v>
      </c>
      <c r="O430" s="81">
        <f ca="1">SUMPRODUCT((Work_Codes!$N$440:$Y$440=$E430)*(Work_Codes!$N$448:$Y$449)*(O$319:O$320))</f>
        <v>0</v>
      </c>
      <c r="P430" s="81">
        <f ca="1">SUMPRODUCT((Work_Codes!$N$440:$Y$440=$E430)*(Work_Codes!$N$448:$Y$449)*(P$319:P$320))</f>
        <v>0</v>
      </c>
      <c r="Q430" s="81">
        <f ca="1">SUMPRODUCT((Work_Codes!$N$440:$Y$440=$E430)*(Work_Codes!$N$448:$Y$449)*(Q$319:Q$320))</f>
        <v>0</v>
      </c>
      <c r="R430" s="81">
        <f ca="1">SUMPRODUCT((Work_Codes!$N$440:$Y$440=$E430)*(Work_Codes!$N$448:$Y$449)*(R$319:R$320))</f>
        <v>0</v>
      </c>
      <c r="S430" s="81">
        <f ca="1">SUMPRODUCT((Work_Codes!$N$440:$Y$440=$E430)*(Work_Codes!$N$448:$Y$449)*(S$319:S$320))</f>
        <v>0</v>
      </c>
      <c r="T430" s="81">
        <f ca="1">SUMPRODUCT((Work_Codes!$N$440:$Y$440=$E430)*(Work_Codes!$N$448:$Y$449)*(T$319:T$320))</f>
        <v>0</v>
      </c>
    </row>
    <row r="431" spans="4:20" outlineLevel="2">
      <c r="E431" s="247" t="str">
        <f>GC!C51</f>
        <v>Capitalised Leases</v>
      </c>
      <c r="F431" s="247"/>
      <c r="G431" s="247"/>
      <c r="H431" s="247"/>
      <c r="I431" s="247"/>
      <c r="J431" s="81">
        <f ca="1">SUMPRODUCT((Work_Codes!$N$440:$Y$440=$E431)*(Work_Codes!$N$448:$Y$449)*(J$319:J$320))</f>
        <v>0</v>
      </c>
      <c r="K431" s="81">
        <f ca="1">SUMPRODUCT((Work_Codes!$N$440:$Y$440=$E431)*(Work_Codes!$N$448:$Y$449)*(K$319:K$320))</f>
        <v>0</v>
      </c>
      <c r="L431" s="81">
        <f ca="1">SUMPRODUCT((Work_Codes!$N$440:$Y$440=$E431)*(Work_Codes!$N$448:$Y$449)*(L$319:L$320))</f>
        <v>0</v>
      </c>
      <c r="M431" s="81">
        <f ca="1">SUMPRODUCT((Work_Codes!$N$440:$Y$440=$E431)*(Work_Codes!$N$448:$Y$449)*(M$319:M$320))</f>
        <v>0</v>
      </c>
      <c r="N431" s="81">
        <f ca="1">SUMPRODUCT((Work_Codes!$N$440:$Y$440=$E431)*(Work_Codes!$N$448:$Y$449)*(N$319:N$320))</f>
        <v>0</v>
      </c>
      <c r="O431" s="81">
        <f ca="1">SUMPRODUCT((Work_Codes!$N$440:$Y$440=$E431)*(Work_Codes!$N$448:$Y$449)*(O$319:O$320))</f>
        <v>0</v>
      </c>
      <c r="P431" s="81">
        <f ca="1">SUMPRODUCT((Work_Codes!$N$440:$Y$440=$E431)*(Work_Codes!$N$448:$Y$449)*(P$319:P$320))</f>
        <v>0</v>
      </c>
      <c r="Q431" s="81">
        <f ca="1">SUMPRODUCT((Work_Codes!$N$440:$Y$440=$E431)*(Work_Codes!$N$448:$Y$449)*(Q$319:Q$320))</f>
        <v>0</v>
      </c>
      <c r="R431" s="81">
        <f ca="1">SUMPRODUCT((Work_Codes!$N$440:$Y$440=$E431)*(Work_Codes!$N$448:$Y$449)*(R$319:R$320))</f>
        <v>0</v>
      </c>
      <c r="S431" s="81">
        <f ca="1">SUMPRODUCT((Work_Codes!$N$440:$Y$440=$E431)*(Work_Codes!$N$448:$Y$449)*(S$319:S$320))</f>
        <v>0</v>
      </c>
      <c r="T431" s="81">
        <f ca="1">SUMPRODUCT((Work_Codes!$N$440:$Y$440=$E431)*(Work_Codes!$N$448:$Y$449)*(T$319:T$320))</f>
        <v>0</v>
      </c>
    </row>
    <row r="432" spans="4:20" outlineLevel="2">
      <c r="E432" s="247" t="str">
        <f>GC!C52</f>
        <v>Transmission pipelines - post 1998</v>
      </c>
      <c r="F432" s="247"/>
      <c r="G432" s="247"/>
      <c r="H432" s="247"/>
      <c r="I432" s="247"/>
      <c r="J432" s="81">
        <f ca="1">SUMPRODUCT((Work_Codes!$N$440:$Y$440=$E432)*(Work_Codes!$N$448:$Y$449)*(J$319:J$320))</f>
        <v>0</v>
      </c>
      <c r="K432" s="81">
        <f ca="1">SUMPRODUCT((Work_Codes!$N$440:$Y$440=$E432)*(Work_Codes!$N$448:$Y$449)*(K$319:K$320))</f>
        <v>0</v>
      </c>
      <c r="L432" s="81">
        <f ca="1">SUMPRODUCT((Work_Codes!$N$440:$Y$440=$E432)*(Work_Codes!$N$448:$Y$449)*(L$319:L$320))</f>
        <v>0</v>
      </c>
      <c r="M432" s="81">
        <f ca="1">SUMPRODUCT((Work_Codes!$N$440:$Y$440=$E432)*(Work_Codes!$N$448:$Y$449)*(M$319:M$320))</f>
        <v>0</v>
      </c>
      <c r="N432" s="81">
        <f ca="1">SUMPRODUCT((Work_Codes!$N$440:$Y$440=$E432)*(Work_Codes!$N$448:$Y$449)*(N$319:N$320))</f>
        <v>0</v>
      </c>
      <c r="O432" s="81">
        <f ca="1">SUMPRODUCT((Work_Codes!$N$440:$Y$440=$E432)*(Work_Codes!$N$448:$Y$449)*(O$319:O$320))</f>
        <v>0</v>
      </c>
      <c r="P432" s="81">
        <f ca="1">SUMPRODUCT((Work_Codes!$N$440:$Y$440=$E432)*(Work_Codes!$N$448:$Y$449)*(P$319:P$320))</f>
        <v>0</v>
      </c>
      <c r="Q432" s="81">
        <f ca="1">SUMPRODUCT((Work_Codes!$N$440:$Y$440=$E432)*(Work_Codes!$N$448:$Y$449)*(Q$319:Q$320))</f>
        <v>0</v>
      </c>
      <c r="R432" s="81">
        <f ca="1">SUMPRODUCT((Work_Codes!$N$440:$Y$440=$E432)*(Work_Codes!$N$448:$Y$449)*(R$319:R$320))</f>
        <v>0</v>
      </c>
      <c r="S432" s="81">
        <f ca="1">SUMPRODUCT((Work_Codes!$N$440:$Y$440=$E432)*(Work_Codes!$N$448:$Y$449)*(S$319:S$320))</f>
        <v>0</v>
      </c>
      <c r="T432" s="81">
        <f ca="1">SUMPRODUCT((Work_Codes!$N$440:$Y$440=$E432)*(Work_Codes!$N$448:$Y$449)*(T$319:T$320))</f>
        <v>0</v>
      </c>
    </row>
    <row r="433" spans="2:20" outlineLevel="2">
      <c r="E433" s="247" t="str">
        <f>GC!C53</f>
        <v>Distribution pipelines - post 1998</v>
      </c>
      <c r="F433" s="247"/>
      <c r="G433" s="247"/>
      <c r="H433" s="247"/>
      <c r="I433" s="247"/>
      <c r="J433" s="81">
        <f ca="1">SUMPRODUCT((Work_Codes!$N$440:$Y$440=$E433)*(Work_Codes!$N$448:$Y$449)*(J$319:J$320))</f>
        <v>0</v>
      </c>
      <c r="K433" s="81">
        <f ca="1">SUMPRODUCT((Work_Codes!$N$440:$Y$440=$E433)*(Work_Codes!$N$448:$Y$449)*(K$319:K$320))</f>
        <v>0</v>
      </c>
      <c r="L433" s="81">
        <f ca="1">SUMPRODUCT((Work_Codes!$N$440:$Y$440=$E433)*(Work_Codes!$N$448:$Y$449)*(L$319:L$320))</f>
        <v>0</v>
      </c>
      <c r="M433" s="81">
        <f ca="1">SUMPRODUCT((Work_Codes!$N$440:$Y$440=$E433)*(Work_Codes!$N$448:$Y$449)*(M$319:M$320))</f>
        <v>0</v>
      </c>
      <c r="N433" s="81">
        <f ca="1">SUMPRODUCT((Work_Codes!$N$440:$Y$440=$E433)*(Work_Codes!$N$448:$Y$449)*(N$319:N$320))</f>
        <v>-1713000</v>
      </c>
      <c r="O433" s="81">
        <f ca="1">SUMPRODUCT((Work_Codes!$N$440:$Y$440=$E433)*(Work_Codes!$N$448:$Y$449)*(O$319:O$320))</f>
        <v>-183550.19999999998</v>
      </c>
      <c r="P433" s="81">
        <f ca="1">SUMPRODUCT((Work_Codes!$N$440:$Y$440=$E433)*(Work_Codes!$N$448:$Y$449)*(P$319:P$320))</f>
        <v>0</v>
      </c>
      <c r="Q433" s="81">
        <f ca="1">SUMPRODUCT((Work_Codes!$N$440:$Y$440=$E433)*(Work_Codes!$N$448:$Y$449)*(Q$319:Q$320))</f>
        <v>0</v>
      </c>
      <c r="R433" s="81">
        <f ca="1">SUMPRODUCT((Work_Codes!$N$440:$Y$440=$E433)*(Work_Codes!$N$448:$Y$449)*(R$319:R$320))</f>
        <v>0</v>
      </c>
      <c r="S433" s="81">
        <f ca="1">SUMPRODUCT((Work_Codes!$N$440:$Y$440=$E433)*(Work_Codes!$N$448:$Y$449)*(S$319:S$320))</f>
        <v>0</v>
      </c>
      <c r="T433" s="81">
        <f ca="1">SUMPRODUCT((Work_Codes!$N$440:$Y$440=$E433)*(Work_Codes!$N$448:$Y$449)*(T$319:T$320))</f>
        <v>0</v>
      </c>
    </row>
    <row r="434" spans="2:20" outlineLevel="2">
      <c r="E434" s="247" t="str">
        <f>GC!C54</f>
        <v>Service pipes - post 1998</v>
      </c>
      <c r="F434" s="247"/>
      <c r="G434" s="247"/>
      <c r="H434" s="247"/>
      <c r="I434" s="247"/>
      <c r="J434" s="81">
        <f ca="1">SUMPRODUCT((Work_Codes!$N$440:$Y$440=$E434)*(Work_Codes!$N$448:$Y$449)*(J$319:J$320))</f>
        <v>0</v>
      </c>
      <c r="K434" s="81">
        <f ca="1">SUMPRODUCT((Work_Codes!$N$440:$Y$440=$E434)*(Work_Codes!$N$448:$Y$449)*(K$319:K$320))</f>
        <v>0</v>
      </c>
      <c r="L434" s="81">
        <f ca="1">SUMPRODUCT((Work_Codes!$N$440:$Y$440=$E434)*(Work_Codes!$N$448:$Y$449)*(L$319:L$320))</f>
        <v>0</v>
      </c>
      <c r="M434" s="81">
        <f ca="1">SUMPRODUCT((Work_Codes!$N$440:$Y$440=$E434)*(Work_Codes!$N$448:$Y$449)*(M$319:M$320))</f>
        <v>0</v>
      </c>
      <c r="N434" s="81">
        <f ca="1">SUMPRODUCT((Work_Codes!$N$440:$Y$440=$E434)*(Work_Codes!$N$448:$Y$449)*(N$319:N$320))</f>
        <v>0</v>
      </c>
      <c r="O434" s="81">
        <f ca="1">SUMPRODUCT((Work_Codes!$N$440:$Y$440=$E434)*(Work_Codes!$N$448:$Y$449)*(O$319:O$320))</f>
        <v>0</v>
      </c>
      <c r="P434" s="81">
        <f ca="1">SUMPRODUCT((Work_Codes!$N$440:$Y$440=$E434)*(Work_Codes!$N$448:$Y$449)*(P$319:P$320))</f>
        <v>0</v>
      </c>
      <c r="Q434" s="81">
        <f ca="1">SUMPRODUCT((Work_Codes!$N$440:$Y$440=$E434)*(Work_Codes!$N$448:$Y$449)*(Q$319:Q$320))</f>
        <v>0</v>
      </c>
      <c r="R434" s="81">
        <f ca="1">SUMPRODUCT((Work_Codes!$N$440:$Y$440=$E434)*(Work_Codes!$N$448:$Y$449)*(R$319:R$320))</f>
        <v>0</v>
      </c>
      <c r="S434" s="81">
        <f ca="1">SUMPRODUCT((Work_Codes!$N$440:$Y$440=$E434)*(Work_Codes!$N$448:$Y$449)*(S$319:S$320))</f>
        <v>0</v>
      </c>
      <c r="T434" s="81">
        <f ca="1">SUMPRODUCT((Work_Codes!$N$440:$Y$440=$E434)*(Work_Codes!$N$448:$Y$449)*(T$319:T$320))</f>
        <v>0</v>
      </c>
    </row>
    <row r="435" spans="2:20" outlineLevel="2">
      <c r="E435" s="247" t="str">
        <f>GC!C55</f>
        <v>Cathodic protection - post 1998</v>
      </c>
      <c r="F435" s="247"/>
      <c r="G435" s="247"/>
      <c r="H435" s="247"/>
      <c r="I435" s="247"/>
      <c r="J435" s="81">
        <f ca="1">SUMPRODUCT((Work_Codes!$N$440:$Y$440=$E435)*(Work_Codes!$N$448:$Y$449)*(J$319:J$320))</f>
        <v>0</v>
      </c>
      <c r="K435" s="81">
        <f ca="1">SUMPRODUCT((Work_Codes!$N$440:$Y$440=$E435)*(Work_Codes!$N$448:$Y$449)*(K$319:K$320))</f>
        <v>0</v>
      </c>
      <c r="L435" s="81">
        <f ca="1">SUMPRODUCT((Work_Codes!$N$440:$Y$440=$E435)*(Work_Codes!$N$448:$Y$449)*(L$319:L$320))</f>
        <v>0</v>
      </c>
      <c r="M435" s="81">
        <f ca="1">SUMPRODUCT((Work_Codes!$N$440:$Y$440=$E435)*(Work_Codes!$N$448:$Y$449)*(M$319:M$320))</f>
        <v>0</v>
      </c>
      <c r="N435" s="81">
        <f ca="1">SUMPRODUCT((Work_Codes!$N$440:$Y$440=$E435)*(Work_Codes!$N$448:$Y$449)*(N$319:N$320))</f>
        <v>0</v>
      </c>
      <c r="O435" s="81">
        <f ca="1">SUMPRODUCT((Work_Codes!$N$440:$Y$440=$E435)*(Work_Codes!$N$448:$Y$449)*(O$319:O$320))</f>
        <v>0</v>
      </c>
      <c r="P435" s="81">
        <f ca="1">SUMPRODUCT((Work_Codes!$N$440:$Y$440=$E435)*(Work_Codes!$N$448:$Y$449)*(P$319:P$320))</f>
        <v>0</v>
      </c>
      <c r="Q435" s="81">
        <f ca="1">SUMPRODUCT((Work_Codes!$N$440:$Y$440=$E435)*(Work_Codes!$N$448:$Y$449)*(Q$319:Q$320))</f>
        <v>0</v>
      </c>
      <c r="R435" s="81">
        <f ca="1">SUMPRODUCT((Work_Codes!$N$440:$Y$440=$E435)*(Work_Codes!$N$448:$Y$449)*(R$319:R$320))</f>
        <v>0</v>
      </c>
      <c r="S435" s="81">
        <f ca="1">SUMPRODUCT((Work_Codes!$N$440:$Y$440=$E435)*(Work_Codes!$N$448:$Y$449)*(S$319:S$320))</f>
        <v>0</v>
      </c>
      <c r="T435" s="81">
        <f ca="1">SUMPRODUCT((Work_Codes!$N$440:$Y$440=$E435)*(Work_Codes!$N$448:$Y$449)*(T$319:T$320))</f>
        <v>0</v>
      </c>
    </row>
    <row r="436" spans="2:20" outlineLevel="2">
      <c r="E436" s="249" t="str">
        <f>"Total "&amp;D418</f>
        <v>Total Customer Contributions</v>
      </c>
      <c r="F436" s="249"/>
      <c r="G436" s="249"/>
      <c r="H436" s="249"/>
      <c r="I436" s="249"/>
      <c r="J436" s="82">
        <f t="shared" ref="J436:T436" ca="1" si="47">SUM(J420:J435)</f>
        <v>0</v>
      </c>
      <c r="K436" s="82">
        <f t="shared" ca="1" si="47"/>
        <v>0</v>
      </c>
      <c r="L436" s="82">
        <f t="shared" ca="1" si="47"/>
        <v>0</v>
      </c>
      <c r="M436" s="82">
        <f t="shared" ca="1" si="47"/>
        <v>0</v>
      </c>
      <c r="N436" s="82">
        <f t="shared" ca="1" si="47"/>
        <v>-11420000</v>
      </c>
      <c r="O436" s="82">
        <f t="shared" ca="1" si="47"/>
        <v>-1223668</v>
      </c>
      <c r="P436" s="82">
        <f t="shared" ca="1" si="47"/>
        <v>0</v>
      </c>
      <c r="Q436" s="82">
        <f t="shared" ca="1" si="47"/>
        <v>0</v>
      </c>
      <c r="R436" s="82">
        <f t="shared" ca="1" si="47"/>
        <v>0</v>
      </c>
      <c r="S436" s="82">
        <f t="shared" ca="1" si="47"/>
        <v>0</v>
      </c>
      <c r="T436" s="82">
        <f t="shared" ca="1" si="47"/>
        <v>0</v>
      </c>
    </row>
    <row r="437" spans="2:20" outlineLevel="1">
      <c r="B437" s="12"/>
      <c r="C437" s="12"/>
      <c r="D437" s="12"/>
      <c r="E437" s="12"/>
      <c r="F437" s="12"/>
      <c r="G437" s="12"/>
      <c r="H437" s="12"/>
      <c r="I437" s="12"/>
      <c r="J437" s="12"/>
      <c r="K437" s="12"/>
      <c r="L437" s="12"/>
      <c r="M437" s="12"/>
      <c r="N437" s="12"/>
      <c r="O437" s="12"/>
      <c r="P437" s="12"/>
      <c r="Q437" s="12"/>
      <c r="R437" s="12"/>
      <c r="S437" s="12"/>
      <c r="T437" s="12"/>
    </row>
    <row r="438" spans="2:20" outlineLevel="1"/>
    <row r="439" spans="2:20" outlineLevel="1">
      <c r="C439" s="37" t="s">
        <v>196</v>
      </c>
    </row>
    <row r="440" spans="2:20" ht="5.9" customHeight="1" outlineLevel="2"/>
    <row r="441" spans="2:20" outlineLevel="2">
      <c r="D441" s="37" t="s">
        <v>215</v>
      </c>
    </row>
    <row r="442" spans="2:20" ht="5.9" customHeight="1" outlineLevel="2"/>
    <row r="443" spans="2:20" ht="12" customHeight="1" outlineLevel="2">
      <c r="E443" s="247" t="str">
        <f>GC!C60</f>
        <v>Mains replacement</v>
      </c>
      <c r="F443" s="247"/>
      <c r="G443" s="247"/>
      <c r="H443" s="247"/>
      <c r="I443" s="247"/>
      <c r="J443" s="81">
        <f ca="1">SUMPRODUCT((Work_Codes!$AC$440:$AO$440=$E443)*(Work_Codes!$AC$443:$AO$444)*(J$350:J$351))</f>
        <v>0</v>
      </c>
      <c r="K443" s="81">
        <f ca="1">SUMPRODUCT((Work_Codes!$AC$440:$AO$440=$E443)*(Work_Codes!$AC$443:$AO$444)*(K$350:K$351))</f>
        <v>0</v>
      </c>
      <c r="L443" s="81">
        <f ca="1">SUMPRODUCT((Work_Codes!$AC$440:$AO$440=$E443)*(Work_Codes!$AC$443:$AO$444)*(L$350:L$351))</f>
        <v>0</v>
      </c>
      <c r="M443" s="81">
        <f ca="1">SUMPRODUCT((Work_Codes!$AC$440:$AO$440=$E443)*(Work_Codes!$AC$443:$AO$444)*(M$350:M$351))</f>
        <v>0</v>
      </c>
      <c r="N443" s="81">
        <f ca="1">SUMPRODUCT((Work_Codes!$AC$440:$AO$440=$E443)*(Work_Codes!$AC$443:$AO$444)*(N$350:N$351))</f>
        <v>0</v>
      </c>
      <c r="O443" s="81">
        <f ca="1">SUMPRODUCT((Work_Codes!$AC$440:$AO$440=$E443)*(Work_Codes!$AC$443:$AO$444)*(O$350:O$351))</f>
        <v>0</v>
      </c>
      <c r="P443" s="81">
        <f ca="1">SUMPRODUCT((Work_Codes!$AC$440:$AO$440=$E443)*(Work_Codes!$AC$443:$AO$444)*(P$350:P$351))</f>
        <v>0</v>
      </c>
      <c r="Q443" s="81">
        <f ca="1">SUMPRODUCT((Work_Codes!$AC$440:$AO$440=$E443)*(Work_Codes!$AC$443:$AO$444)*(Q$350:Q$351))</f>
        <v>0</v>
      </c>
      <c r="R443" s="81">
        <f ca="1">SUMPRODUCT((Work_Codes!$AC$440:$AO$440=$E443)*(Work_Codes!$AC$443:$AO$444)*(R$350:R$351))</f>
        <v>0</v>
      </c>
      <c r="S443" s="81">
        <f ca="1">SUMPRODUCT((Work_Codes!$AC$440:$AO$440=$E443)*(Work_Codes!$AC$443:$AO$444)*(S$350:S$351))</f>
        <v>0</v>
      </c>
      <c r="T443" s="81">
        <f ca="1">SUMPRODUCT((Work_Codes!$AC$440:$AO$440=$E443)*(Work_Codes!$AC$443:$AO$444)*(T$350:T$351))</f>
        <v>0</v>
      </c>
    </row>
    <row r="444" spans="2:20" ht="12" customHeight="1" outlineLevel="2">
      <c r="E444" s="247" t="str">
        <f>GC!C61</f>
        <v>Residential new customer connections</v>
      </c>
      <c r="F444" s="247"/>
      <c r="G444" s="247"/>
      <c r="H444" s="247"/>
      <c r="I444" s="247"/>
      <c r="J444" s="81">
        <f ca="1">SUMPRODUCT((Work_Codes!$AC$440:$AO$440=$E444)*(Work_Codes!$AC$443:$AO$444)*(J$350:J$351))</f>
        <v>0</v>
      </c>
      <c r="K444" s="81">
        <f ca="1">SUMPRODUCT((Work_Codes!$AC$440:$AO$440=$E444)*(Work_Codes!$AC$443:$AO$444)*(K$350:K$351))</f>
        <v>0</v>
      </c>
      <c r="L444" s="81">
        <f ca="1">SUMPRODUCT((Work_Codes!$AC$440:$AO$440=$E444)*(Work_Codes!$AC$443:$AO$444)*(L$350:L$351))</f>
        <v>0</v>
      </c>
      <c r="M444" s="81">
        <f ca="1">SUMPRODUCT((Work_Codes!$AC$440:$AO$440=$E444)*(Work_Codes!$AC$443:$AO$444)*(M$350:M$351))</f>
        <v>0</v>
      </c>
      <c r="N444" s="81">
        <f ca="1">SUMPRODUCT((Work_Codes!$AC$440:$AO$440=$E444)*(Work_Codes!$AC$443:$AO$444)*(N$350:N$351))</f>
        <v>0</v>
      </c>
      <c r="O444" s="81">
        <f ca="1">SUMPRODUCT((Work_Codes!$AC$440:$AO$440=$E444)*(Work_Codes!$AC$443:$AO$444)*(O$350:O$351))</f>
        <v>0</v>
      </c>
      <c r="P444" s="81">
        <f ca="1">SUMPRODUCT((Work_Codes!$AC$440:$AO$440=$E444)*(Work_Codes!$AC$443:$AO$444)*(P$350:P$351))</f>
        <v>0</v>
      </c>
      <c r="Q444" s="81">
        <f ca="1">SUMPRODUCT((Work_Codes!$AC$440:$AO$440=$E444)*(Work_Codes!$AC$443:$AO$444)*(Q$350:Q$351))</f>
        <v>0</v>
      </c>
      <c r="R444" s="81">
        <f ca="1">SUMPRODUCT((Work_Codes!$AC$440:$AO$440=$E444)*(Work_Codes!$AC$443:$AO$444)*(R$350:R$351))</f>
        <v>0</v>
      </c>
      <c r="S444" s="81">
        <f ca="1">SUMPRODUCT((Work_Codes!$AC$440:$AO$440=$E444)*(Work_Codes!$AC$443:$AO$444)*(S$350:S$351))</f>
        <v>0</v>
      </c>
      <c r="T444" s="81">
        <f ca="1">SUMPRODUCT((Work_Codes!$AC$440:$AO$440=$E444)*(Work_Codes!$AC$443:$AO$444)*(T$350:T$351))</f>
        <v>0</v>
      </c>
    </row>
    <row r="445" spans="2:20" ht="12" customHeight="1" outlineLevel="2">
      <c r="E445" s="247" t="str">
        <f>GC!C62</f>
        <v>Commercial and industrial new customer connections</v>
      </c>
      <c r="F445" s="247"/>
      <c r="G445" s="247"/>
      <c r="H445" s="247"/>
      <c r="I445" s="247"/>
      <c r="J445" s="81">
        <f ca="1">SUMPRODUCT((Work_Codes!$AC$440:$AO$440=$E445)*(Work_Codes!$AC$443:$AO$444)*(J$350:J$351))</f>
        <v>0</v>
      </c>
      <c r="K445" s="81">
        <f ca="1">SUMPRODUCT((Work_Codes!$AC$440:$AO$440=$E445)*(Work_Codes!$AC$443:$AO$444)*(K$350:K$351))</f>
        <v>0</v>
      </c>
      <c r="L445" s="81">
        <f ca="1">SUMPRODUCT((Work_Codes!$AC$440:$AO$440=$E445)*(Work_Codes!$AC$443:$AO$444)*(L$350:L$351))</f>
        <v>0</v>
      </c>
      <c r="M445" s="81">
        <f ca="1">SUMPRODUCT((Work_Codes!$AC$440:$AO$440=$E445)*(Work_Codes!$AC$443:$AO$444)*(M$350:M$351))</f>
        <v>0</v>
      </c>
      <c r="N445" s="81">
        <f ca="1">SUMPRODUCT((Work_Codes!$AC$440:$AO$440=$E445)*(Work_Codes!$AC$443:$AO$444)*(N$350:N$351))</f>
        <v>0</v>
      </c>
      <c r="O445" s="81">
        <f ca="1">SUMPRODUCT((Work_Codes!$AC$440:$AO$440=$E445)*(Work_Codes!$AC$443:$AO$444)*(O$350:O$351))</f>
        <v>0</v>
      </c>
      <c r="P445" s="81">
        <f ca="1">SUMPRODUCT((Work_Codes!$AC$440:$AO$440=$E445)*(Work_Codes!$AC$443:$AO$444)*(P$350:P$351))</f>
        <v>0</v>
      </c>
      <c r="Q445" s="81">
        <f ca="1">SUMPRODUCT((Work_Codes!$AC$440:$AO$440=$E445)*(Work_Codes!$AC$443:$AO$444)*(Q$350:Q$351))</f>
        <v>0</v>
      </c>
      <c r="R445" s="81">
        <f ca="1">SUMPRODUCT((Work_Codes!$AC$440:$AO$440=$E445)*(Work_Codes!$AC$443:$AO$444)*(R$350:R$351))</f>
        <v>0</v>
      </c>
      <c r="S445" s="81">
        <f ca="1">SUMPRODUCT((Work_Codes!$AC$440:$AO$440=$E445)*(Work_Codes!$AC$443:$AO$444)*(S$350:S$351))</f>
        <v>0</v>
      </c>
      <c r="T445" s="81">
        <f ca="1">SUMPRODUCT((Work_Codes!$AC$440:$AO$440=$E445)*(Work_Codes!$AC$443:$AO$444)*(T$350:T$351))</f>
        <v>0</v>
      </c>
    </row>
    <row r="446" spans="2:20" ht="12" customHeight="1" outlineLevel="2">
      <c r="E446" s="247" t="str">
        <f>GC!C63</f>
        <v>Residential meter replacement</v>
      </c>
      <c r="F446" s="247"/>
      <c r="G446" s="247"/>
      <c r="H446" s="247"/>
      <c r="I446" s="247"/>
      <c r="J446" s="81">
        <f ca="1">SUMPRODUCT((Work_Codes!$AC$440:$AO$440=$E446)*(Work_Codes!$AC$443:$AO$444)*(J$350:J$351))</f>
        <v>0</v>
      </c>
      <c r="K446" s="81">
        <f ca="1">SUMPRODUCT((Work_Codes!$AC$440:$AO$440=$E446)*(Work_Codes!$AC$443:$AO$444)*(K$350:K$351))</f>
        <v>0</v>
      </c>
      <c r="L446" s="81">
        <f ca="1">SUMPRODUCT((Work_Codes!$AC$440:$AO$440=$E446)*(Work_Codes!$AC$443:$AO$444)*(L$350:L$351))</f>
        <v>0</v>
      </c>
      <c r="M446" s="81">
        <f ca="1">SUMPRODUCT((Work_Codes!$AC$440:$AO$440=$E446)*(Work_Codes!$AC$443:$AO$444)*(M$350:M$351))</f>
        <v>0</v>
      </c>
      <c r="N446" s="81">
        <f ca="1">SUMPRODUCT((Work_Codes!$AC$440:$AO$440=$E446)*(Work_Codes!$AC$443:$AO$444)*(N$350:N$351))</f>
        <v>0</v>
      </c>
      <c r="O446" s="81">
        <f ca="1">SUMPRODUCT((Work_Codes!$AC$440:$AO$440=$E446)*(Work_Codes!$AC$443:$AO$444)*(O$350:O$351))</f>
        <v>0</v>
      </c>
      <c r="P446" s="81">
        <f ca="1">SUMPRODUCT((Work_Codes!$AC$440:$AO$440=$E446)*(Work_Codes!$AC$443:$AO$444)*(P$350:P$351))</f>
        <v>0</v>
      </c>
      <c r="Q446" s="81">
        <f ca="1">SUMPRODUCT((Work_Codes!$AC$440:$AO$440=$E446)*(Work_Codes!$AC$443:$AO$444)*(Q$350:Q$351))</f>
        <v>0</v>
      </c>
      <c r="R446" s="81">
        <f ca="1">SUMPRODUCT((Work_Codes!$AC$440:$AO$440=$E446)*(Work_Codes!$AC$443:$AO$444)*(R$350:R$351))</f>
        <v>0</v>
      </c>
      <c r="S446" s="81">
        <f ca="1">SUMPRODUCT((Work_Codes!$AC$440:$AO$440=$E446)*(Work_Codes!$AC$443:$AO$444)*(S$350:S$351))</f>
        <v>0</v>
      </c>
      <c r="T446" s="81">
        <f ca="1">SUMPRODUCT((Work_Codes!$AC$440:$AO$440=$E446)*(Work_Codes!$AC$443:$AO$444)*(T$350:T$351))</f>
        <v>0</v>
      </c>
    </row>
    <row r="447" spans="2:20" ht="12" customHeight="1" outlineLevel="2">
      <c r="E447" s="247" t="str">
        <f>GC!C64</f>
        <v>Commercial and industrial meter replacement</v>
      </c>
      <c r="F447" s="247"/>
      <c r="G447" s="247"/>
      <c r="H447" s="247"/>
      <c r="I447" s="247"/>
      <c r="J447" s="81">
        <f ca="1">SUMPRODUCT((Work_Codes!$AC$440:$AO$440=$E447)*(Work_Codes!$AC$443:$AO$444)*(J$350:J$351))</f>
        <v>0</v>
      </c>
      <c r="K447" s="81">
        <f ca="1">SUMPRODUCT((Work_Codes!$AC$440:$AO$440=$E447)*(Work_Codes!$AC$443:$AO$444)*(K$350:K$351))</f>
        <v>0</v>
      </c>
      <c r="L447" s="81">
        <f ca="1">SUMPRODUCT((Work_Codes!$AC$440:$AO$440=$E447)*(Work_Codes!$AC$443:$AO$444)*(L$350:L$351))</f>
        <v>0</v>
      </c>
      <c r="M447" s="81">
        <f ca="1">SUMPRODUCT((Work_Codes!$AC$440:$AO$440=$E447)*(Work_Codes!$AC$443:$AO$444)*(M$350:M$351))</f>
        <v>0</v>
      </c>
      <c r="N447" s="81">
        <f ca="1">SUMPRODUCT((Work_Codes!$AC$440:$AO$440=$E447)*(Work_Codes!$AC$443:$AO$444)*(N$350:N$351))</f>
        <v>0</v>
      </c>
      <c r="O447" s="81">
        <f ca="1">SUMPRODUCT((Work_Codes!$AC$440:$AO$440=$E447)*(Work_Codes!$AC$443:$AO$444)*(O$350:O$351))</f>
        <v>0</v>
      </c>
      <c r="P447" s="81">
        <f ca="1">SUMPRODUCT((Work_Codes!$AC$440:$AO$440=$E447)*(Work_Codes!$AC$443:$AO$444)*(P$350:P$351))</f>
        <v>0</v>
      </c>
      <c r="Q447" s="81">
        <f ca="1">SUMPRODUCT((Work_Codes!$AC$440:$AO$440=$E447)*(Work_Codes!$AC$443:$AO$444)*(Q$350:Q$351))</f>
        <v>0</v>
      </c>
      <c r="R447" s="81">
        <f ca="1">SUMPRODUCT((Work_Codes!$AC$440:$AO$440=$E447)*(Work_Codes!$AC$443:$AO$444)*(R$350:R$351))</f>
        <v>0</v>
      </c>
      <c r="S447" s="81">
        <f ca="1">SUMPRODUCT((Work_Codes!$AC$440:$AO$440=$E447)*(Work_Codes!$AC$443:$AO$444)*(S$350:S$351))</f>
        <v>0</v>
      </c>
      <c r="T447" s="81">
        <f ca="1">SUMPRODUCT((Work_Codes!$AC$440:$AO$440=$E447)*(Work_Codes!$AC$443:$AO$444)*(T$350:T$351))</f>
        <v>0</v>
      </c>
    </row>
    <row r="448" spans="2:20" ht="12" customHeight="1" outlineLevel="2">
      <c r="E448" s="247" t="str">
        <f>GC!C65</f>
        <v>Augmentation</v>
      </c>
      <c r="F448" s="247"/>
      <c r="G448" s="247"/>
      <c r="H448" s="247"/>
      <c r="I448" s="247"/>
      <c r="J448" s="81">
        <f ca="1">SUMPRODUCT((Work_Codes!$AC$440:$AO$440=$E448)*(Work_Codes!$AC$443:$AO$444)*(J$350:J$351))</f>
        <v>0</v>
      </c>
      <c r="K448" s="81">
        <f ca="1">SUMPRODUCT((Work_Codes!$AC$440:$AO$440=$E448)*(Work_Codes!$AC$443:$AO$444)*(K$350:K$351))</f>
        <v>0</v>
      </c>
      <c r="L448" s="81">
        <f ca="1">SUMPRODUCT((Work_Codes!$AC$440:$AO$440=$E448)*(Work_Codes!$AC$443:$AO$444)*(L$350:L$351))</f>
        <v>0</v>
      </c>
      <c r="M448" s="81">
        <f ca="1">SUMPRODUCT((Work_Codes!$AC$440:$AO$440=$E448)*(Work_Codes!$AC$443:$AO$444)*(M$350:M$351))</f>
        <v>0</v>
      </c>
      <c r="N448" s="81">
        <f ca="1">SUMPRODUCT((Work_Codes!$AC$440:$AO$440=$E448)*(Work_Codes!$AC$443:$AO$444)*(N$350:N$351))</f>
        <v>0</v>
      </c>
      <c r="O448" s="81">
        <f ca="1">SUMPRODUCT((Work_Codes!$AC$440:$AO$440=$E448)*(Work_Codes!$AC$443:$AO$444)*(O$350:O$351))</f>
        <v>0</v>
      </c>
      <c r="P448" s="81">
        <f ca="1">SUMPRODUCT((Work_Codes!$AC$440:$AO$440=$E448)*(Work_Codes!$AC$443:$AO$444)*(P$350:P$351))</f>
        <v>0</v>
      </c>
      <c r="Q448" s="81">
        <f ca="1">SUMPRODUCT((Work_Codes!$AC$440:$AO$440=$E448)*(Work_Codes!$AC$443:$AO$444)*(Q$350:Q$351))</f>
        <v>0</v>
      </c>
      <c r="R448" s="81">
        <f ca="1">SUMPRODUCT((Work_Codes!$AC$440:$AO$440=$E448)*(Work_Codes!$AC$443:$AO$444)*(R$350:R$351))</f>
        <v>0</v>
      </c>
      <c r="S448" s="81">
        <f ca="1">SUMPRODUCT((Work_Codes!$AC$440:$AO$440=$E448)*(Work_Codes!$AC$443:$AO$444)*(S$350:S$351))</f>
        <v>0</v>
      </c>
      <c r="T448" s="81">
        <f ca="1">SUMPRODUCT((Work_Codes!$AC$440:$AO$440=$E448)*(Work_Codes!$AC$443:$AO$444)*(T$350:T$351))</f>
        <v>0</v>
      </c>
    </row>
    <row r="449" spans="4:20" ht="12" customHeight="1" outlineLevel="2">
      <c r="E449" s="247" t="str">
        <f>GC!C66</f>
        <v>IT capex</v>
      </c>
      <c r="F449" s="247"/>
      <c r="G449" s="247"/>
      <c r="H449" s="247"/>
      <c r="I449" s="247"/>
      <c r="J449" s="81">
        <f ca="1">SUMPRODUCT((Work_Codes!$AC$440:$AO$440=$E449)*(Work_Codes!$AC$443:$AO$444)*(J$350:J$351))</f>
        <v>0</v>
      </c>
      <c r="K449" s="81">
        <f ca="1">SUMPRODUCT((Work_Codes!$AC$440:$AO$440=$E449)*(Work_Codes!$AC$443:$AO$444)*(K$350:K$351))</f>
        <v>0</v>
      </c>
      <c r="L449" s="81">
        <f ca="1">SUMPRODUCT((Work_Codes!$AC$440:$AO$440=$E449)*(Work_Codes!$AC$443:$AO$444)*(L$350:L$351))</f>
        <v>0</v>
      </c>
      <c r="M449" s="81">
        <f ca="1">SUMPRODUCT((Work_Codes!$AC$440:$AO$440=$E449)*(Work_Codes!$AC$443:$AO$444)*(M$350:M$351))</f>
        <v>0</v>
      </c>
      <c r="N449" s="81">
        <f ca="1">SUMPRODUCT((Work_Codes!$AC$440:$AO$440=$E449)*(Work_Codes!$AC$443:$AO$444)*(N$350:N$351))</f>
        <v>0</v>
      </c>
      <c r="O449" s="81">
        <f ca="1">SUMPRODUCT((Work_Codes!$AC$440:$AO$440=$E449)*(Work_Codes!$AC$443:$AO$444)*(O$350:O$351))</f>
        <v>0</v>
      </c>
      <c r="P449" s="81">
        <f ca="1">SUMPRODUCT((Work_Codes!$AC$440:$AO$440=$E449)*(Work_Codes!$AC$443:$AO$444)*(P$350:P$351))</f>
        <v>0</v>
      </c>
      <c r="Q449" s="81">
        <f ca="1">SUMPRODUCT((Work_Codes!$AC$440:$AO$440=$E449)*(Work_Codes!$AC$443:$AO$444)*(Q$350:Q$351))</f>
        <v>0</v>
      </c>
      <c r="R449" s="81">
        <f ca="1">SUMPRODUCT((Work_Codes!$AC$440:$AO$440=$E449)*(Work_Codes!$AC$443:$AO$444)*(R$350:R$351))</f>
        <v>0</v>
      </c>
      <c r="S449" s="81">
        <f ca="1">SUMPRODUCT((Work_Codes!$AC$440:$AO$440=$E449)*(Work_Codes!$AC$443:$AO$444)*(S$350:S$351))</f>
        <v>0</v>
      </c>
      <c r="T449" s="81">
        <f ca="1">SUMPRODUCT((Work_Codes!$AC$440:$AO$440=$E449)*(Work_Codes!$AC$443:$AO$444)*(T$350:T$351))</f>
        <v>0</v>
      </c>
    </row>
    <row r="450" spans="4:20" ht="12" customHeight="1" outlineLevel="2">
      <c r="E450" s="247" t="str">
        <f>GC!C67</f>
        <v>SCADA</v>
      </c>
      <c r="F450" s="247"/>
      <c r="G450" s="247"/>
      <c r="H450" s="247"/>
      <c r="I450" s="247"/>
      <c r="J450" s="81">
        <f ca="1">SUMPRODUCT((Work_Codes!$AC$440:$AO$440=$E450)*(Work_Codes!$AC$443:$AO$444)*(J$350:J$351))</f>
        <v>0</v>
      </c>
      <c r="K450" s="81">
        <f ca="1">SUMPRODUCT((Work_Codes!$AC$440:$AO$440=$E450)*(Work_Codes!$AC$443:$AO$444)*(K$350:K$351))</f>
        <v>0</v>
      </c>
      <c r="L450" s="81">
        <f ca="1">SUMPRODUCT((Work_Codes!$AC$440:$AO$440=$E450)*(Work_Codes!$AC$443:$AO$444)*(L$350:L$351))</f>
        <v>0</v>
      </c>
      <c r="M450" s="81">
        <f ca="1">SUMPRODUCT((Work_Codes!$AC$440:$AO$440=$E450)*(Work_Codes!$AC$443:$AO$444)*(M$350:M$351))</f>
        <v>0</v>
      </c>
      <c r="N450" s="81">
        <f ca="1">SUMPRODUCT((Work_Codes!$AC$440:$AO$440=$E450)*(Work_Codes!$AC$443:$AO$444)*(N$350:N$351))</f>
        <v>0</v>
      </c>
      <c r="O450" s="81">
        <f ca="1">SUMPRODUCT((Work_Codes!$AC$440:$AO$440=$E450)*(Work_Codes!$AC$443:$AO$444)*(O$350:O$351))</f>
        <v>0</v>
      </c>
      <c r="P450" s="81">
        <f ca="1">SUMPRODUCT((Work_Codes!$AC$440:$AO$440=$E450)*(Work_Codes!$AC$443:$AO$444)*(P$350:P$351))</f>
        <v>0</v>
      </c>
      <c r="Q450" s="81">
        <f ca="1">SUMPRODUCT((Work_Codes!$AC$440:$AO$440=$E450)*(Work_Codes!$AC$443:$AO$444)*(Q$350:Q$351))</f>
        <v>0</v>
      </c>
      <c r="R450" s="81">
        <f ca="1">SUMPRODUCT((Work_Codes!$AC$440:$AO$440=$E450)*(Work_Codes!$AC$443:$AO$444)*(R$350:R$351))</f>
        <v>0</v>
      </c>
      <c r="S450" s="81">
        <f ca="1">SUMPRODUCT((Work_Codes!$AC$440:$AO$440=$E450)*(Work_Codes!$AC$443:$AO$444)*(S$350:S$351))</f>
        <v>0</v>
      </c>
      <c r="T450" s="81">
        <f ca="1">SUMPRODUCT((Work_Codes!$AC$440:$AO$440=$E450)*(Work_Codes!$AC$443:$AO$444)*(T$350:T$351))</f>
        <v>0</v>
      </c>
    </row>
    <row r="451" spans="4:20" ht="12" customHeight="1" outlineLevel="2">
      <c r="E451" s="247" t="str">
        <f>GC!C68</f>
        <v>Other</v>
      </c>
      <c r="F451" s="247"/>
      <c r="G451" s="247"/>
      <c r="H451" s="247"/>
      <c r="I451" s="247"/>
      <c r="J451" s="81">
        <f ca="1">SUMPRODUCT((Work_Codes!$AC$440:$AO$440=$E451)*(Work_Codes!$AC$443:$AO$444)*(J$350:J$351))</f>
        <v>0</v>
      </c>
      <c r="K451" s="81">
        <f ca="1">SUMPRODUCT((Work_Codes!$AC$440:$AO$440=$E451)*(Work_Codes!$AC$443:$AO$444)*(K$350:K$351))</f>
        <v>0</v>
      </c>
      <c r="L451" s="81">
        <f ca="1">SUMPRODUCT((Work_Codes!$AC$440:$AO$440=$E451)*(Work_Codes!$AC$443:$AO$444)*(L$350:L$351))</f>
        <v>0</v>
      </c>
      <c r="M451" s="81">
        <f ca="1">SUMPRODUCT((Work_Codes!$AC$440:$AO$440=$E451)*(Work_Codes!$AC$443:$AO$444)*(M$350:M$351))</f>
        <v>0</v>
      </c>
      <c r="N451" s="81">
        <f ca="1">SUMPRODUCT((Work_Codes!$AC$440:$AO$440=$E451)*(Work_Codes!$AC$443:$AO$444)*(N$350:N$351))</f>
        <v>8226516.2891243435</v>
      </c>
      <c r="O451" s="81">
        <f ca="1">SUMPRODUCT((Work_Codes!$AC$440:$AO$440=$E451)*(Work_Codes!$AC$443:$AO$444)*(O$350:O$351))</f>
        <v>423065.93627013033</v>
      </c>
      <c r="P451" s="81">
        <f ca="1">SUMPRODUCT((Work_Codes!$AC$440:$AO$440=$E451)*(Work_Codes!$AC$443:$AO$444)*(P$350:P$351))</f>
        <v>0</v>
      </c>
      <c r="Q451" s="81">
        <f ca="1">SUMPRODUCT((Work_Codes!$AC$440:$AO$440=$E451)*(Work_Codes!$AC$443:$AO$444)*(Q$350:Q$351))</f>
        <v>0</v>
      </c>
      <c r="R451" s="81">
        <f ca="1">SUMPRODUCT((Work_Codes!$AC$440:$AO$440=$E451)*(Work_Codes!$AC$443:$AO$444)*(R$350:R$351))</f>
        <v>0</v>
      </c>
      <c r="S451" s="81">
        <f ca="1">SUMPRODUCT((Work_Codes!$AC$440:$AO$440=$E451)*(Work_Codes!$AC$443:$AO$444)*(S$350:S$351))</f>
        <v>0</v>
      </c>
      <c r="T451" s="81">
        <f ca="1">SUMPRODUCT((Work_Codes!$AC$440:$AO$440=$E451)*(Work_Codes!$AC$443:$AO$444)*(T$350:T$351))</f>
        <v>0</v>
      </c>
    </row>
    <row r="452" spans="4:20" outlineLevel="2">
      <c r="E452" s="247" t="str">
        <f>GC!C69</f>
        <v>Capitalised Leases</v>
      </c>
      <c r="F452" s="247"/>
      <c r="G452" s="247"/>
      <c r="H452" s="247"/>
      <c r="I452" s="247"/>
      <c r="J452" s="81">
        <f ca="1">SUMPRODUCT((Work_Codes!$AC$440:$AO$440=$E452)*(Work_Codes!$AC$443:$AO$444)*(J$350:J$351))</f>
        <v>0</v>
      </c>
      <c r="K452" s="81">
        <f ca="1">SUMPRODUCT((Work_Codes!$AC$440:$AO$440=$E452)*(Work_Codes!$AC$443:$AO$444)*(K$350:K$351))</f>
        <v>0</v>
      </c>
      <c r="L452" s="81">
        <f ca="1">SUMPRODUCT((Work_Codes!$AC$440:$AO$440=$E452)*(Work_Codes!$AC$443:$AO$444)*(L$350:L$351))</f>
        <v>0</v>
      </c>
      <c r="M452" s="81">
        <f ca="1">SUMPRODUCT((Work_Codes!$AC$440:$AO$440=$E452)*(Work_Codes!$AC$443:$AO$444)*(M$350:M$351))</f>
        <v>0</v>
      </c>
      <c r="N452" s="81">
        <f ca="1">SUMPRODUCT((Work_Codes!$AC$440:$AO$440=$E452)*(Work_Codes!$AC$443:$AO$444)*(N$350:N$351))</f>
        <v>0</v>
      </c>
      <c r="O452" s="81">
        <f ca="1">SUMPRODUCT((Work_Codes!$AC$440:$AO$440=$E452)*(Work_Codes!$AC$443:$AO$444)*(O$350:O$351))</f>
        <v>0</v>
      </c>
      <c r="P452" s="81">
        <f ca="1">SUMPRODUCT((Work_Codes!$AC$440:$AO$440=$E452)*(Work_Codes!$AC$443:$AO$444)*(P$350:P$351))</f>
        <v>0</v>
      </c>
      <c r="Q452" s="81">
        <f ca="1">SUMPRODUCT((Work_Codes!$AC$440:$AO$440=$E452)*(Work_Codes!$AC$443:$AO$444)*(Q$350:Q$351))</f>
        <v>0</v>
      </c>
      <c r="R452" s="81">
        <f ca="1">SUMPRODUCT((Work_Codes!$AC$440:$AO$440=$E452)*(Work_Codes!$AC$443:$AO$444)*(R$350:R$351))</f>
        <v>0</v>
      </c>
      <c r="S452" s="81">
        <f ca="1">SUMPRODUCT((Work_Codes!$AC$440:$AO$440=$E452)*(Work_Codes!$AC$443:$AO$444)*(S$350:S$351))</f>
        <v>0</v>
      </c>
      <c r="T452" s="81">
        <f ca="1">SUMPRODUCT((Work_Codes!$AC$440:$AO$440=$E452)*(Work_Codes!$AC$443:$AO$444)*(T$350:T$351))</f>
        <v>0</v>
      </c>
    </row>
    <row r="453" spans="4:20" ht="12" customHeight="1" outlineLevel="2">
      <c r="E453" s="247" t="str">
        <f>GC!C70</f>
        <v>Gas Extensions - Energy for the Regions</v>
      </c>
      <c r="F453" s="247"/>
      <c r="G453" s="247"/>
      <c r="H453" s="247"/>
      <c r="I453" s="247"/>
      <c r="J453" s="81">
        <f ca="1">SUMPRODUCT((Work_Codes!$AC$440:$AO$440=$E453)*(Work_Codes!$AC$443:$AO$444)*(J$350:J$351))</f>
        <v>0</v>
      </c>
      <c r="K453" s="81">
        <f ca="1">SUMPRODUCT((Work_Codes!$AC$440:$AO$440=$E453)*(Work_Codes!$AC$443:$AO$444)*(K$350:K$351))</f>
        <v>0</v>
      </c>
      <c r="L453" s="81">
        <f ca="1">SUMPRODUCT((Work_Codes!$AC$440:$AO$440=$E453)*(Work_Codes!$AC$443:$AO$444)*(L$350:L$351))</f>
        <v>0</v>
      </c>
      <c r="M453" s="81">
        <f ca="1">SUMPRODUCT((Work_Codes!$AC$440:$AO$440=$E453)*(Work_Codes!$AC$443:$AO$444)*(M$350:M$351))</f>
        <v>0</v>
      </c>
      <c r="N453" s="81">
        <f ca="1">SUMPRODUCT((Work_Codes!$AC$440:$AO$440=$E453)*(Work_Codes!$AC$443:$AO$444)*(N$350:N$351))</f>
        <v>0</v>
      </c>
      <c r="O453" s="81">
        <f ca="1">SUMPRODUCT((Work_Codes!$AC$440:$AO$440=$E453)*(Work_Codes!$AC$443:$AO$444)*(O$350:O$351))</f>
        <v>0</v>
      </c>
      <c r="P453" s="81">
        <f ca="1">SUMPRODUCT((Work_Codes!$AC$440:$AO$440=$E453)*(Work_Codes!$AC$443:$AO$444)*(P$350:P$351))</f>
        <v>0</v>
      </c>
      <c r="Q453" s="81">
        <f ca="1">SUMPRODUCT((Work_Codes!$AC$440:$AO$440=$E453)*(Work_Codes!$AC$443:$AO$444)*(Q$350:Q$351))</f>
        <v>0</v>
      </c>
      <c r="R453" s="81">
        <f ca="1">SUMPRODUCT((Work_Codes!$AC$440:$AO$440=$E453)*(Work_Codes!$AC$443:$AO$444)*(R$350:R$351))</f>
        <v>0</v>
      </c>
      <c r="S453" s="81">
        <f ca="1">SUMPRODUCT((Work_Codes!$AC$440:$AO$440=$E453)*(Work_Codes!$AC$443:$AO$444)*(S$350:S$351))</f>
        <v>0</v>
      </c>
      <c r="T453" s="81">
        <f ca="1">SUMPRODUCT((Work_Codes!$AC$440:$AO$440=$E453)*(Work_Codes!$AC$443:$AO$444)*(T$350:T$351))</f>
        <v>0</v>
      </c>
    </row>
    <row r="454" spans="4:20" ht="12" customHeight="1" outlineLevel="2">
      <c r="E454" s="247" t="str">
        <f>GC!C71</f>
        <v>Gas Extensions - Other</v>
      </c>
      <c r="F454" s="247"/>
      <c r="G454" s="247"/>
      <c r="H454" s="247"/>
      <c r="I454" s="247"/>
      <c r="J454" s="81">
        <f ca="1">SUMPRODUCT((Work_Codes!$AC$440:$AO$440=$E454)*(Work_Codes!$AC$443:$AO$444)*(J$350:J$351))</f>
        <v>0</v>
      </c>
      <c r="K454" s="81">
        <f ca="1">SUMPRODUCT((Work_Codes!$AC$440:$AO$440=$E454)*(Work_Codes!$AC$443:$AO$444)*(K$350:K$351))</f>
        <v>0</v>
      </c>
      <c r="L454" s="81">
        <f ca="1">SUMPRODUCT((Work_Codes!$AC$440:$AO$440=$E454)*(Work_Codes!$AC$443:$AO$444)*(L$350:L$351))</f>
        <v>0</v>
      </c>
      <c r="M454" s="81">
        <f ca="1">SUMPRODUCT((Work_Codes!$AC$440:$AO$440=$E454)*(Work_Codes!$AC$443:$AO$444)*(M$350:M$351))</f>
        <v>0</v>
      </c>
      <c r="N454" s="81">
        <f ca="1">SUMPRODUCT((Work_Codes!$AC$440:$AO$440=$E454)*(Work_Codes!$AC$443:$AO$444)*(N$350:N$351))</f>
        <v>0</v>
      </c>
      <c r="O454" s="81">
        <f ca="1">SUMPRODUCT((Work_Codes!$AC$440:$AO$440=$E454)*(Work_Codes!$AC$443:$AO$444)*(O$350:O$351))</f>
        <v>0</v>
      </c>
      <c r="P454" s="81">
        <f ca="1">SUMPRODUCT((Work_Codes!$AC$440:$AO$440=$E454)*(Work_Codes!$AC$443:$AO$444)*(P$350:P$351))</f>
        <v>0</v>
      </c>
      <c r="Q454" s="81">
        <f ca="1">SUMPRODUCT((Work_Codes!$AC$440:$AO$440=$E454)*(Work_Codes!$AC$443:$AO$444)*(Q$350:Q$351))</f>
        <v>0</v>
      </c>
      <c r="R454" s="81">
        <f ca="1">SUMPRODUCT((Work_Codes!$AC$440:$AO$440=$E454)*(Work_Codes!$AC$443:$AO$444)*(R$350:R$351))</f>
        <v>0</v>
      </c>
      <c r="S454" s="81">
        <f ca="1">SUMPRODUCT((Work_Codes!$AC$440:$AO$440=$E454)*(Work_Codes!$AC$443:$AO$444)*(S$350:S$351))</f>
        <v>0</v>
      </c>
      <c r="T454" s="81">
        <f ca="1">SUMPRODUCT((Work_Codes!$AC$440:$AO$440=$E454)*(Work_Codes!$AC$443:$AO$444)*(T$350:T$351))</f>
        <v>0</v>
      </c>
    </row>
    <row r="455" spans="4:20" ht="12" customHeight="1" outlineLevel="2">
      <c r="E455" s="247" t="str">
        <f>GC!C72</f>
        <v>Customer contributions</v>
      </c>
      <c r="F455" s="247"/>
      <c r="G455" s="247"/>
      <c r="H455" s="247"/>
      <c r="I455" s="247"/>
      <c r="J455" s="81">
        <f ca="1">SUMPRODUCT((Work_Codes!$AC$440:$AO$440=$E455)*(Work_Codes!$AC$443:$AO$444)*(J$350:J$351))</f>
        <v>0</v>
      </c>
      <c r="K455" s="81">
        <f ca="1">SUMPRODUCT((Work_Codes!$AC$440:$AO$440=$E455)*(Work_Codes!$AC$443:$AO$444)*(K$350:K$351))</f>
        <v>0</v>
      </c>
      <c r="L455" s="81">
        <f ca="1">SUMPRODUCT((Work_Codes!$AC$440:$AO$440=$E455)*(Work_Codes!$AC$443:$AO$444)*(L$350:L$351))</f>
        <v>0</v>
      </c>
      <c r="M455" s="81">
        <f ca="1">SUMPRODUCT((Work_Codes!$AC$440:$AO$440=$E455)*(Work_Codes!$AC$443:$AO$444)*(M$350:M$351))</f>
        <v>0</v>
      </c>
      <c r="N455" s="81">
        <f ca="1">SUMPRODUCT((Work_Codes!$AC$440:$AO$440=$E455)*(Work_Codes!$AC$443:$AO$444)*(N$350:N$351))</f>
        <v>0</v>
      </c>
      <c r="O455" s="81">
        <f ca="1">SUMPRODUCT((Work_Codes!$AC$440:$AO$440=$E455)*(Work_Codes!$AC$443:$AO$444)*(O$350:O$351))</f>
        <v>0</v>
      </c>
      <c r="P455" s="81">
        <f ca="1">SUMPRODUCT((Work_Codes!$AC$440:$AO$440=$E455)*(Work_Codes!$AC$443:$AO$444)*(P$350:P$351))</f>
        <v>0</v>
      </c>
      <c r="Q455" s="81">
        <f ca="1">SUMPRODUCT((Work_Codes!$AC$440:$AO$440=$E455)*(Work_Codes!$AC$443:$AO$444)*(Q$350:Q$351))</f>
        <v>0</v>
      </c>
      <c r="R455" s="81">
        <f ca="1">SUMPRODUCT((Work_Codes!$AC$440:$AO$440=$E455)*(Work_Codes!$AC$443:$AO$444)*(R$350:R$351))</f>
        <v>0</v>
      </c>
      <c r="S455" s="81">
        <f ca="1">SUMPRODUCT((Work_Codes!$AC$440:$AO$440=$E455)*(Work_Codes!$AC$443:$AO$444)*(S$350:S$351))</f>
        <v>0</v>
      </c>
      <c r="T455" s="81">
        <f ca="1">SUMPRODUCT((Work_Codes!$AC$440:$AO$440=$E455)*(Work_Codes!$AC$443:$AO$444)*(T$350:T$351))</f>
        <v>0</v>
      </c>
    </row>
    <row r="456" spans="4:20" ht="12" customHeight="1" outlineLevel="2">
      <c r="E456" s="247" t="str">
        <f>GC!C73</f>
        <v>Government contributions</v>
      </c>
      <c r="F456" s="247"/>
      <c r="G456" s="247"/>
      <c r="H456" s="247"/>
      <c r="I456" s="247"/>
      <c r="J456" s="81">
        <f ca="1">SUMPRODUCT((Work_Codes!$AC$440:$AO$440=$E456)*(Work_Codes!$AC$443:$AO$444)*(J$350:J$351))</f>
        <v>0</v>
      </c>
      <c r="K456" s="81">
        <f ca="1">SUMPRODUCT((Work_Codes!$AC$440:$AO$440=$E456)*(Work_Codes!$AC$443:$AO$444)*(K$350:K$351))</f>
        <v>0</v>
      </c>
      <c r="L456" s="81">
        <f ca="1">SUMPRODUCT((Work_Codes!$AC$440:$AO$440=$E456)*(Work_Codes!$AC$443:$AO$444)*(L$350:L$351))</f>
        <v>0</v>
      </c>
      <c r="M456" s="81">
        <f ca="1">SUMPRODUCT((Work_Codes!$AC$440:$AO$440=$E456)*(Work_Codes!$AC$443:$AO$444)*(M$350:M$351))</f>
        <v>0</v>
      </c>
      <c r="N456" s="81">
        <f ca="1">SUMPRODUCT((Work_Codes!$AC$440:$AO$440=$E456)*(Work_Codes!$AC$443:$AO$444)*(N$350:N$351))</f>
        <v>0</v>
      </c>
      <c r="O456" s="81">
        <f ca="1">SUMPRODUCT((Work_Codes!$AC$440:$AO$440=$E456)*(Work_Codes!$AC$443:$AO$444)*(O$350:O$351))</f>
        <v>0</v>
      </c>
      <c r="P456" s="81">
        <f ca="1">SUMPRODUCT((Work_Codes!$AC$440:$AO$440=$E456)*(Work_Codes!$AC$443:$AO$444)*(P$350:P$351))</f>
        <v>0</v>
      </c>
      <c r="Q456" s="81">
        <f ca="1">SUMPRODUCT((Work_Codes!$AC$440:$AO$440=$E456)*(Work_Codes!$AC$443:$AO$444)*(Q$350:Q$351))</f>
        <v>0</v>
      </c>
      <c r="R456" s="81">
        <f ca="1">SUMPRODUCT((Work_Codes!$AC$440:$AO$440=$E456)*(Work_Codes!$AC$443:$AO$444)*(R$350:R$351))</f>
        <v>0</v>
      </c>
      <c r="S456" s="81">
        <f ca="1">SUMPRODUCT((Work_Codes!$AC$440:$AO$440=$E456)*(Work_Codes!$AC$443:$AO$444)*(S$350:S$351))</f>
        <v>0</v>
      </c>
      <c r="T456" s="81">
        <f ca="1">SUMPRODUCT((Work_Codes!$AC$440:$AO$440=$E456)*(Work_Codes!$AC$443:$AO$444)*(T$350:T$351))</f>
        <v>0</v>
      </c>
    </row>
    <row r="457" spans="4:20" ht="12" customHeight="1" outlineLevel="2">
      <c r="E457" s="249" t="str">
        <f>"Total "&amp;D441</f>
        <v>Total Direct Costs</v>
      </c>
      <c r="F457" s="249"/>
      <c r="G457" s="249"/>
      <c r="H457" s="249"/>
      <c r="I457" s="249"/>
      <c r="J457" s="82">
        <f t="shared" ref="J457:T457" ca="1" si="48">SUM(J443:J456)</f>
        <v>0</v>
      </c>
      <c r="K457" s="82">
        <f t="shared" ca="1" si="48"/>
        <v>0</v>
      </c>
      <c r="L457" s="82">
        <f t="shared" ca="1" si="48"/>
        <v>0</v>
      </c>
      <c r="M457" s="82">
        <f t="shared" ca="1" si="48"/>
        <v>0</v>
      </c>
      <c r="N457" s="82">
        <f t="shared" ca="1" si="48"/>
        <v>8226516.2891243435</v>
      </c>
      <c r="O457" s="82">
        <f t="shared" ca="1" si="48"/>
        <v>423065.93627013033</v>
      </c>
      <c r="P457" s="82">
        <f t="shared" ca="1" si="48"/>
        <v>0</v>
      </c>
      <c r="Q457" s="82">
        <f t="shared" ca="1" si="48"/>
        <v>0</v>
      </c>
      <c r="R457" s="82">
        <f t="shared" ca="1" si="48"/>
        <v>0</v>
      </c>
      <c r="S457" s="82">
        <f t="shared" ca="1" si="48"/>
        <v>0</v>
      </c>
      <c r="T457" s="82">
        <f t="shared" ca="1" si="48"/>
        <v>0</v>
      </c>
    </row>
    <row r="458" spans="4:20" outlineLevel="2"/>
    <row r="459" spans="4:20" outlineLevel="2">
      <c r="D459" s="37" t="s">
        <v>216</v>
      </c>
    </row>
    <row r="460" spans="4:20" ht="5.9" customHeight="1" outlineLevel="2"/>
    <row r="461" spans="4:20" ht="12" customHeight="1" outlineLevel="2">
      <c r="E461" s="247" t="str">
        <f>GC!C60</f>
        <v>Mains replacement</v>
      </c>
      <c r="F461" s="247"/>
      <c r="G461" s="247"/>
      <c r="H461" s="247"/>
      <c r="I461" s="247"/>
      <c r="J461" s="81">
        <f ca="1">J443*(1+INDEX(J$289:J$291,MATCH(Work_Codes!$I$437,$D$289:$D$291,0)))</f>
        <v>0</v>
      </c>
      <c r="K461" s="81">
        <f ca="1">K443*(1+INDEX(K$289:K$291,MATCH(Work_Codes!$I$437,$D$289:$D$291,0)))</f>
        <v>0</v>
      </c>
      <c r="L461" s="81">
        <f ca="1">L443*(1+INDEX(L$289:L$291,MATCH(Work_Codes!$I$437,$D$289:$D$291,0)))</f>
        <v>0</v>
      </c>
      <c r="M461" s="81">
        <f ca="1">M443*(1+INDEX(M$289:M$291,MATCH(Work_Codes!$I$437,$D$289:$D$291,0)))</f>
        <v>0</v>
      </c>
      <c r="N461" s="81">
        <f ca="1">N443*(1+INDEX(N$289:N$291,MATCH(Work_Codes!$I$437,$D$289:$D$291,0)))</f>
        <v>0</v>
      </c>
      <c r="O461" s="81">
        <f ca="1">O443*(1+INDEX(O$289:O$291,MATCH(Work_Codes!$I$437,$D$289:$D$291,0)))</f>
        <v>0</v>
      </c>
      <c r="P461" s="81">
        <f ca="1">P443*(1+INDEX(P$289:P$291,MATCH(Work_Codes!$I$437,$D$289:$D$291,0)))</f>
        <v>0</v>
      </c>
      <c r="Q461" s="81">
        <f ca="1">Q443*(1+INDEX(Q$289:Q$291,MATCH(Work_Codes!$I$437,$D$289:$D$291,0)))</f>
        <v>0</v>
      </c>
      <c r="R461" s="81">
        <f ca="1">R443*(1+INDEX(R$289:R$291,MATCH(Work_Codes!$I$437,$D$289:$D$291,0)))</f>
        <v>0</v>
      </c>
      <c r="S461" s="81">
        <f ca="1">S443*(1+INDEX(S$289:S$291,MATCH(Work_Codes!$I$437,$D$289:$D$291,0)))</f>
        <v>0</v>
      </c>
      <c r="T461" s="81">
        <f ca="1">T443*(1+INDEX(T$289:T$291,MATCH(Work_Codes!$I$437,$D$289:$D$291,0)))</f>
        <v>0</v>
      </c>
    </row>
    <row r="462" spans="4:20" ht="12" customHeight="1" outlineLevel="2">
      <c r="E462" s="247" t="str">
        <f>GC!C61</f>
        <v>Residential new customer connections</v>
      </c>
      <c r="F462" s="247"/>
      <c r="G462" s="247"/>
      <c r="H462" s="247"/>
      <c r="I462" s="247"/>
      <c r="J462" s="81">
        <f ca="1">J444*(1+INDEX(J$289:J$291,MATCH(Work_Codes!$I$437,$D$289:$D$291,0)))</f>
        <v>0</v>
      </c>
      <c r="K462" s="81">
        <f ca="1">K444*(1+INDEX(K$289:K$291,MATCH(Work_Codes!$I$437,$D$289:$D$291,0)))</f>
        <v>0</v>
      </c>
      <c r="L462" s="81">
        <f ca="1">L444*(1+INDEX(L$289:L$291,MATCH(Work_Codes!$I$437,$D$289:$D$291,0)))</f>
        <v>0</v>
      </c>
      <c r="M462" s="81">
        <f ca="1">M444*(1+INDEX(M$289:M$291,MATCH(Work_Codes!$I$437,$D$289:$D$291,0)))</f>
        <v>0</v>
      </c>
      <c r="N462" s="81">
        <f ca="1">N444*(1+INDEX(N$289:N$291,MATCH(Work_Codes!$I$437,$D$289:$D$291,0)))</f>
        <v>0</v>
      </c>
      <c r="O462" s="81">
        <f ca="1">O444*(1+INDEX(O$289:O$291,MATCH(Work_Codes!$I$437,$D$289:$D$291,0)))</f>
        <v>0</v>
      </c>
      <c r="P462" s="81">
        <f ca="1">P444*(1+INDEX(P$289:P$291,MATCH(Work_Codes!$I$437,$D$289:$D$291,0)))</f>
        <v>0</v>
      </c>
      <c r="Q462" s="81">
        <f ca="1">Q444*(1+INDEX(Q$289:Q$291,MATCH(Work_Codes!$I$437,$D$289:$D$291,0)))</f>
        <v>0</v>
      </c>
      <c r="R462" s="81">
        <f ca="1">R444*(1+INDEX(R$289:R$291,MATCH(Work_Codes!$I$437,$D$289:$D$291,0)))</f>
        <v>0</v>
      </c>
      <c r="S462" s="81">
        <f ca="1">S444*(1+INDEX(S$289:S$291,MATCH(Work_Codes!$I$437,$D$289:$D$291,0)))</f>
        <v>0</v>
      </c>
      <c r="T462" s="81">
        <f ca="1">T444*(1+INDEX(T$289:T$291,MATCH(Work_Codes!$I$437,$D$289:$D$291,0)))</f>
        <v>0</v>
      </c>
    </row>
    <row r="463" spans="4:20" ht="12" customHeight="1" outlineLevel="2">
      <c r="E463" s="247" t="str">
        <f>GC!C62</f>
        <v>Commercial and industrial new customer connections</v>
      </c>
      <c r="F463" s="247"/>
      <c r="G463" s="247"/>
      <c r="H463" s="247"/>
      <c r="I463" s="247"/>
      <c r="J463" s="81">
        <f ca="1">J445*(1+INDEX(J$289:J$291,MATCH(Work_Codes!$I$437,$D$289:$D$291,0)))</f>
        <v>0</v>
      </c>
      <c r="K463" s="81">
        <f ca="1">K445*(1+INDEX(K$289:K$291,MATCH(Work_Codes!$I$437,$D$289:$D$291,0)))</f>
        <v>0</v>
      </c>
      <c r="L463" s="81">
        <f ca="1">L445*(1+INDEX(L$289:L$291,MATCH(Work_Codes!$I$437,$D$289:$D$291,0)))</f>
        <v>0</v>
      </c>
      <c r="M463" s="81">
        <f ca="1">M445*(1+INDEX(M$289:M$291,MATCH(Work_Codes!$I$437,$D$289:$D$291,0)))</f>
        <v>0</v>
      </c>
      <c r="N463" s="81">
        <f ca="1">N445*(1+INDEX(N$289:N$291,MATCH(Work_Codes!$I$437,$D$289:$D$291,0)))</f>
        <v>0</v>
      </c>
      <c r="O463" s="81">
        <f ca="1">O445*(1+INDEX(O$289:O$291,MATCH(Work_Codes!$I$437,$D$289:$D$291,0)))</f>
        <v>0</v>
      </c>
      <c r="P463" s="81">
        <f ca="1">P445*(1+INDEX(P$289:P$291,MATCH(Work_Codes!$I$437,$D$289:$D$291,0)))</f>
        <v>0</v>
      </c>
      <c r="Q463" s="81">
        <f ca="1">Q445*(1+INDEX(Q$289:Q$291,MATCH(Work_Codes!$I$437,$D$289:$D$291,0)))</f>
        <v>0</v>
      </c>
      <c r="R463" s="81">
        <f ca="1">R445*(1+INDEX(R$289:R$291,MATCH(Work_Codes!$I$437,$D$289:$D$291,0)))</f>
        <v>0</v>
      </c>
      <c r="S463" s="81">
        <f ca="1">S445*(1+INDEX(S$289:S$291,MATCH(Work_Codes!$I$437,$D$289:$D$291,0)))</f>
        <v>0</v>
      </c>
      <c r="T463" s="81">
        <f ca="1">T445*(1+INDEX(T$289:T$291,MATCH(Work_Codes!$I$437,$D$289:$D$291,0)))</f>
        <v>0</v>
      </c>
    </row>
    <row r="464" spans="4:20" ht="12" customHeight="1" outlineLevel="2">
      <c r="E464" s="247" t="str">
        <f>GC!C63</f>
        <v>Residential meter replacement</v>
      </c>
      <c r="F464" s="247"/>
      <c r="G464" s="247"/>
      <c r="H464" s="247"/>
      <c r="I464" s="247"/>
      <c r="J464" s="81">
        <f ca="1">J446*(1+INDEX(J$289:J$291,MATCH(Work_Codes!$I$437,$D$289:$D$291,0)))</f>
        <v>0</v>
      </c>
      <c r="K464" s="81">
        <f ca="1">K446*(1+INDEX(K$289:K$291,MATCH(Work_Codes!$I$437,$D$289:$D$291,0)))</f>
        <v>0</v>
      </c>
      <c r="L464" s="81">
        <f ca="1">L446*(1+INDEX(L$289:L$291,MATCH(Work_Codes!$I$437,$D$289:$D$291,0)))</f>
        <v>0</v>
      </c>
      <c r="M464" s="81">
        <f ca="1">M446*(1+INDEX(M$289:M$291,MATCH(Work_Codes!$I$437,$D$289:$D$291,0)))</f>
        <v>0</v>
      </c>
      <c r="N464" s="81">
        <f ca="1">N446*(1+INDEX(N$289:N$291,MATCH(Work_Codes!$I$437,$D$289:$D$291,0)))</f>
        <v>0</v>
      </c>
      <c r="O464" s="81">
        <f ca="1">O446*(1+INDEX(O$289:O$291,MATCH(Work_Codes!$I$437,$D$289:$D$291,0)))</f>
        <v>0</v>
      </c>
      <c r="P464" s="81">
        <f ca="1">P446*(1+INDEX(P$289:P$291,MATCH(Work_Codes!$I$437,$D$289:$D$291,0)))</f>
        <v>0</v>
      </c>
      <c r="Q464" s="81">
        <f ca="1">Q446*(1+INDEX(Q$289:Q$291,MATCH(Work_Codes!$I$437,$D$289:$D$291,0)))</f>
        <v>0</v>
      </c>
      <c r="R464" s="81">
        <f ca="1">R446*(1+INDEX(R$289:R$291,MATCH(Work_Codes!$I$437,$D$289:$D$291,0)))</f>
        <v>0</v>
      </c>
      <c r="S464" s="81">
        <f ca="1">S446*(1+INDEX(S$289:S$291,MATCH(Work_Codes!$I$437,$D$289:$D$291,0)))</f>
        <v>0</v>
      </c>
      <c r="T464" s="81">
        <f ca="1">T446*(1+INDEX(T$289:T$291,MATCH(Work_Codes!$I$437,$D$289:$D$291,0)))</f>
        <v>0</v>
      </c>
    </row>
    <row r="465" spans="4:20" ht="12" customHeight="1" outlineLevel="2">
      <c r="E465" s="247" t="str">
        <f>GC!C64</f>
        <v>Commercial and industrial meter replacement</v>
      </c>
      <c r="F465" s="247"/>
      <c r="G465" s="247"/>
      <c r="H465" s="247"/>
      <c r="I465" s="247"/>
      <c r="J465" s="81">
        <f ca="1">J447*(1+INDEX(J$289:J$291,MATCH(Work_Codes!$I$437,$D$289:$D$291,0)))</f>
        <v>0</v>
      </c>
      <c r="K465" s="81">
        <f ca="1">K447*(1+INDEX(K$289:K$291,MATCH(Work_Codes!$I$437,$D$289:$D$291,0)))</f>
        <v>0</v>
      </c>
      <c r="L465" s="81">
        <f ca="1">L447*(1+INDEX(L$289:L$291,MATCH(Work_Codes!$I$437,$D$289:$D$291,0)))</f>
        <v>0</v>
      </c>
      <c r="M465" s="81">
        <f ca="1">M447*(1+INDEX(M$289:M$291,MATCH(Work_Codes!$I$437,$D$289:$D$291,0)))</f>
        <v>0</v>
      </c>
      <c r="N465" s="81">
        <f ca="1">N447*(1+INDEX(N$289:N$291,MATCH(Work_Codes!$I$437,$D$289:$D$291,0)))</f>
        <v>0</v>
      </c>
      <c r="O465" s="81">
        <f ca="1">O447*(1+INDEX(O$289:O$291,MATCH(Work_Codes!$I$437,$D$289:$D$291,0)))</f>
        <v>0</v>
      </c>
      <c r="P465" s="81">
        <f ca="1">P447*(1+INDEX(P$289:P$291,MATCH(Work_Codes!$I$437,$D$289:$D$291,0)))</f>
        <v>0</v>
      </c>
      <c r="Q465" s="81">
        <f ca="1">Q447*(1+INDEX(Q$289:Q$291,MATCH(Work_Codes!$I$437,$D$289:$D$291,0)))</f>
        <v>0</v>
      </c>
      <c r="R465" s="81">
        <f ca="1">R447*(1+INDEX(R$289:R$291,MATCH(Work_Codes!$I$437,$D$289:$D$291,0)))</f>
        <v>0</v>
      </c>
      <c r="S465" s="81">
        <f ca="1">S447*(1+INDEX(S$289:S$291,MATCH(Work_Codes!$I$437,$D$289:$D$291,0)))</f>
        <v>0</v>
      </c>
      <c r="T465" s="81">
        <f ca="1">T447*(1+INDEX(T$289:T$291,MATCH(Work_Codes!$I$437,$D$289:$D$291,0)))</f>
        <v>0</v>
      </c>
    </row>
    <row r="466" spans="4:20" ht="12" customHeight="1" outlineLevel="2">
      <c r="E466" s="247" t="str">
        <f>GC!C65</f>
        <v>Augmentation</v>
      </c>
      <c r="F466" s="247"/>
      <c r="G466" s="247"/>
      <c r="H466" s="247"/>
      <c r="I466" s="247"/>
      <c r="J466" s="81">
        <f ca="1">J448*(1+INDEX(J$289:J$291,MATCH(Work_Codes!$I$437,$D$289:$D$291,0)))</f>
        <v>0</v>
      </c>
      <c r="K466" s="81">
        <f ca="1">K448*(1+INDEX(K$289:K$291,MATCH(Work_Codes!$I$437,$D$289:$D$291,0)))</f>
        <v>0</v>
      </c>
      <c r="L466" s="81">
        <f ca="1">L448*(1+INDEX(L$289:L$291,MATCH(Work_Codes!$I$437,$D$289:$D$291,0)))</f>
        <v>0</v>
      </c>
      <c r="M466" s="81">
        <f ca="1">M448*(1+INDEX(M$289:M$291,MATCH(Work_Codes!$I$437,$D$289:$D$291,0)))</f>
        <v>0</v>
      </c>
      <c r="N466" s="81">
        <f ca="1">N448*(1+INDEX(N$289:N$291,MATCH(Work_Codes!$I$437,$D$289:$D$291,0)))</f>
        <v>0</v>
      </c>
      <c r="O466" s="81">
        <f ca="1">O448*(1+INDEX(O$289:O$291,MATCH(Work_Codes!$I$437,$D$289:$D$291,0)))</f>
        <v>0</v>
      </c>
      <c r="P466" s="81">
        <f ca="1">P448*(1+INDEX(P$289:P$291,MATCH(Work_Codes!$I$437,$D$289:$D$291,0)))</f>
        <v>0</v>
      </c>
      <c r="Q466" s="81">
        <f ca="1">Q448*(1+INDEX(Q$289:Q$291,MATCH(Work_Codes!$I$437,$D$289:$D$291,0)))</f>
        <v>0</v>
      </c>
      <c r="R466" s="81">
        <f ca="1">R448*(1+INDEX(R$289:R$291,MATCH(Work_Codes!$I$437,$D$289:$D$291,0)))</f>
        <v>0</v>
      </c>
      <c r="S466" s="81">
        <f ca="1">S448*(1+INDEX(S$289:S$291,MATCH(Work_Codes!$I$437,$D$289:$D$291,0)))</f>
        <v>0</v>
      </c>
      <c r="T466" s="81">
        <f ca="1">T448*(1+INDEX(T$289:T$291,MATCH(Work_Codes!$I$437,$D$289:$D$291,0)))</f>
        <v>0</v>
      </c>
    </row>
    <row r="467" spans="4:20" ht="12" customHeight="1" outlineLevel="2">
      <c r="E467" s="247" t="str">
        <f>GC!C66</f>
        <v>IT capex</v>
      </c>
      <c r="F467" s="247"/>
      <c r="G467" s="247"/>
      <c r="H467" s="247"/>
      <c r="I467" s="247"/>
      <c r="J467" s="81">
        <f ca="1">J449*(1+INDEX(J$289:J$291,MATCH(Work_Codes!$I$437,$D$289:$D$291,0)))</f>
        <v>0</v>
      </c>
      <c r="K467" s="81">
        <f ca="1">K449*(1+INDEX(K$289:K$291,MATCH(Work_Codes!$I$437,$D$289:$D$291,0)))</f>
        <v>0</v>
      </c>
      <c r="L467" s="81">
        <f ca="1">L449*(1+INDEX(L$289:L$291,MATCH(Work_Codes!$I$437,$D$289:$D$291,0)))</f>
        <v>0</v>
      </c>
      <c r="M467" s="81">
        <f ca="1">M449*(1+INDEX(M$289:M$291,MATCH(Work_Codes!$I$437,$D$289:$D$291,0)))</f>
        <v>0</v>
      </c>
      <c r="N467" s="81">
        <f ca="1">N449*(1+INDEX(N$289:N$291,MATCH(Work_Codes!$I$437,$D$289:$D$291,0)))</f>
        <v>0</v>
      </c>
      <c r="O467" s="81">
        <f ca="1">O449*(1+INDEX(O$289:O$291,MATCH(Work_Codes!$I$437,$D$289:$D$291,0)))</f>
        <v>0</v>
      </c>
      <c r="P467" s="81">
        <f ca="1">P449*(1+INDEX(P$289:P$291,MATCH(Work_Codes!$I$437,$D$289:$D$291,0)))</f>
        <v>0</v>
      </c>
      <c r="Q467" s="81">
        <f ca="1">Q449*(1+INDEX(Q$289:Q$291,MATCH(Work_Codes!$I$437,$D$289:$D$291,0)))</f>
        <v>0</v>
      </c>
      <c r="R467" s="81">
        <f ca="1">R449*(1+INDEX(R$289:R$291,MATCH(Work_Codes!$I$437,$D$289:$D$291,0)))</f>
        <v>0</v>
      </c>
      <c r="S467" s="81">
        <f ca="1">S449*(1+INDEX(S$289:S$291,MATCH(Work_Codes!$I$437,$D$289:$D$291,0)))</f>
        <v>0</v>
      </c>
      <c r="T467" s="81">
        <f ca="1">T449*(1+INDEX(T$289:T$291,MATCH(Work_Codes!$I$437,$D$289:$D$291,0)))</f>
        <v>0</v>
      </c>
    </row>
    <row r="468" spans="4:20" ht="12" customHeight="1" outlineLevel="2">
      <c r="E468" s="247" t="str">
        <f>GC!C67</f>
        <v>SCADA</v>
      </c>
      <c r="F468" s="247"/>
      <c r="G468" s="247"/>
      <c r="H468" s="247"/>
      <c r="I468" s="247"/>
      <c r="J468" s="81">
        <f ca="1">J450*(1+INDEX(J$289:J$291,MATCH(Work_Codes!$I$437,$D$289:$D$291,0)))</f>
        <v>0</v>
      </c>
      <c r="K468" s="81">
        <f ca="1">K450*(1+INDEX(K$289:K$291,MATCH(Work_Codes!$I$437,$D$289:$D$291,0)))</f>
        <v>0</v>
      </c>
      <c r="L468" s="81">
        <f ca="1">L450*(1+INDEX(L$289:L$291,MATCH(Work_Codes!$I$437,$D$289:$D$291,0)))</f>
        <v>0</v>
      </c>
      <c r="M468" s="81">
        <f ca="1">M450*(1+INDEX(M$289:M$291,MATCH(Work_Codes!$I$437,$D$289:$D$291,0)))</f>
        <v>0</v>
      </c>
      <c r="N468" s="81">
        <f ca="1">N450*(1+INDEX(N$289:N$291,MATCH(Work_Codes!$I$437,$D$289:$D$291,0)))</f>
        <v>0</v>
      </c>
      <c r="O468" s="81">
        <f ca="1">O450*(1+INDEX(O$289:O$291,MATCH(Work_Codes!$I$437,$D$289:$D$291,0)))</f>
        <v>0</v>
      </c>
      <c r="P468" s="81">
        <f ca="1">P450*(1+INDEX(P$289:P$291,MATCH(Work_Codes!$I$437,$D$289:$D$291,0)))</f>
        <v>0</v>
      </c>
      <c r="Q468" s="81">
        <f ca="1">Q450*(1+INDEX(Q$289:Q$291,MATCH(Work_Codes!$I$437,$D$289:$D$291,0)))</f>
        <v>0</v>
      </c>
      <c r="R468" s="81">
        <f ca="1">R450*(1+INDEX(R$289:R$291,MATCH(Work_Codes!$I$437,$D$289:$D$291,0)))</f>
        <v>0</v>
      </c>
      <c r="S468" s="81">
        <f ca="1">S450*(1+INDEX(S$289:S$291,MATCH(Work_Codes!$I$437,$D$289:$D$291,0)))</f>
        <v>0</v>
      </c>
      <c r="T468" s="81">
        <f ca="1">T450*(1+INDEX(T$289:T$291,MATCH(Work_Codes!$I$437,$D$289:$D$291,0)))</f>
        <v>0</v>
      </c>
    </row>
    <row r="469" spans="4:20" ht="12" customHeight="1" outlineLevel="2">
      <c r="E469" s="247" t="str">
        <f>GC!C68</f>
        <v>Other</v>
      </c>
      <c r="F469" s="247"/>
      <c r="G469" s="247"/>
      <c r="H469" s="247"/>
      <c r="I469" s="247"/>
      <c r="J469" s="81">
        <f ca="1">J451*(1+INDEX(J$289:J$291,MATCH(Work_Codes!$I$437,$D$289:$D$291,0)))</f>
        <v>0</v>
      </c>
      <c r="K469" s="81">
        <f ca="1">K451*(1+INDEX(K$289:K$291,MATCH(Work_Codes!$I$437,$D$289:$D$291,0)))</f>
        <v>0</v>
      </c>
      <c r="L469" s="81">
        <f ca="1">L451*(1+INDEX(L$289:L$291,MATCH(Work_Codes!$I$437,$D$289:$D$291,0)))</f>
        <v>0</v>
      </c>
      <c r="M469" s="81">
        <f ca="1">M451*(1+INDEX(M$289:M$291,MATCH(Work_Codes!$I$437,$D$289:$D$291,0)))</f>
        <v>0</v>
      </c>
      <c r="N469" s="81">
        <f ca="1">N451*(1+INDEX(N$289:N$291,MATCH(Work_Codes!$I$437,$D$289:$D$291,0)))</f>
        <v>8536746.5056393631</v>
      </c>
      <c r="O469" s="81">
        <f ca="1">O451*(1+INDEX(O$289:O$291,MATCH(Work_Codes!$I$437,$D$289:$D$291,0)))</f>
        <v>437147.24980104592</v>
      </c>
      <c r="P469" s="81">
        <f ca="1">P451*(1+INDEX(P$289:P$291,MATCH(Work_Codes!$I$437,$D$289:$D$291,0)))</f>
        <v>0</v>
      </c>
      <c r="Q469" s="81">
        <f ca="1">Q451*(1+INDEX(Q$289:Q$291,MATCH(Work_Codes!$I$437,$D$289:$D$291,0)))</f>
        <v>0</v>
      </c>
      <c r="R469" s="81">
        <f ca="1">R451*(1+INDEX(R$289:R$291,MATCH(Work_Codes!$I$437,$D$289:$D$291,0)))</f>
        <v>0</v>
      </c>
      <c r="S469" s="81">
        <f ca="1">S451*(1+INDEX(S$289:S$291,MATCH(Work_Codes!$I$437,$D$289:$D$291,0)))</f>
        <v>0</v>
      </c>
      <c r="T469" s="81">
        <f ca="1">T451*(1+INDEX(T$289:T$291,MATCH(Work_Codes!$I$437,$D$289:$D$291,0)))</f>
        <v>0</v>
      </c>
    </row>
    <row r="470" spans="4:20" outlineLevel="2">
      <c r="E470" s="247" t="str">
        <f>GC!C69</f>
        <v>Capitalised Leases</v>
      </c>
      <c r="F470" s="247"/>
      <c r="G470" s="247"/>
      <c r="H470" s="247"/>
      <c r="I470" s="247"/>
      <c r="J470" s="81">
        <f ca="1">J452*(1+INDEX(J$289:J$291,MATCH(Work_Codes!$I$437,$D$289:$D$291,0)))</f>
        <v>0</v>
      </c>
      <c r="K470" s="81">
        <f ca="1">K452*(1+INDEX(K$289:K$291,MATCH(Work_Codes!$I$437,$D$289:$D$291,0)))</f>
        <v>0</v>
      </c>
      <c r="L470" s="81">
        <f ca="1">L452*(1+INDEX(L$289:L$291,MATCH(Work_Codes!$I$437,$D$289:$D$291,0)))</f>
        <v>0</v>
      </c>
      <c r="M470" s="81">
        <f ca="1">M452*(1+INDEX(M$289:M$291,MATCH(Work_Codes!$I$437,$D$289:$D$291,0)))</f>
        <v>0</v>
      </c>
      <c r="N470" s="81">
        <f ca="1">N452*(1+INDEX(N$289:N$291,MATCH(Work_Codes!$I$437,$D$289:$D$291,0)))</f>
        <v>0</v>
      </c>
      <c r="O470" s="81">
        <f ca="1">O452*(1+INDEX(O$289:O$291,MATCH(Work_Codes!$I$437,$D$289:$D$291,0)))</f>
        <v>0</v>
      </c>
      <c r="P470" s="81">
        <f ca="1">P452*(1+INDEX(P$289:P$291,MATCH(Work_Codes!$I$437,$D$289:$D$291,0)))</f>
        <v>0</v>
      </c>
      <c r="Q470" s="81">
        <f ca="1">Q452*(1+INDEX(Q$289:Q$291,MATCH(Work_Codes!$I$437,$D$289:$D$291,0)))</f>
        <v>0</v>
      </c>
      <c r="R470" s="81">
        <f ca="1">R452*(1+INDEX(R$289:R$291,MATCH(Work_Codes!$I$437,$D$289:$D$291,0)))</f>
        <v>0</v>
      </c>
      <c r="S470" s="81">
        <f ca="1">S452*(1+INDEX(S$289:S$291,MATCH(Work_Codes!$I$437,$D$289:$D$291,0)))</f>
        <v>0</v>
      </c>
      <c r="T470" s="81">
        <f ca="1">T452*(1+INDEX(T$289:T$291,MATCH(Work_Codes!$I$437,$D$289:$D$291,0)))</f>
        <v>0</v>
      </c>
    </row>
    <row r="471" spans="4:20" ht="12" customHeight="1" outlineLevel="2">
      <c r="E471" s="247" t="str">
        <f>GC!C70</f>
        <v>Gas Extensions - Energy for the Regions</v>
      </c>
      <c r="F471" s="247"/>
      <c r="G471" s="247"/>
      <c r="H471" s="247"/>
      <c r="I471" s="247"/>
      <c r="J471" s="81">
        <f ca="1">J453*(1+INDEX(J$289:J$291,MATCH(Work_Codes!$I$437,$D$289:$D$291,0)))</f>
        <v>0</v>
      </c>
      <c r="K471" s="81">
        <f ca="1">K453*(1+INDEX(K$289:K$291,MATCH(Work_Codes!$I$437,$D$289:$D$291,0)))</f>
        <v>0</v>
      </c>
      <c r="L471" s="81">
        <f ca="1">L453*(1+INDEX(L$289:L$291,MATCH(Work_Codes!$I$437,$D$289:$D$291,0)))</f>
        <v>0</v>
      </c>
      <c r="M471" s="81">
        <f ca="1">M453*(1+INDEX(M$289:M$291,MATCH(Work_Codes!$I$437,$D$289:$D$291,0)))</f>
        <v>0</v>
      </c>
      <c r="N471" s="81">
        <f ca="1">N453*(1+INDEX(N$289:N$291,MATCH(Work_Codes!$I$437,$D$289:$D$291,0)))</f>
        <v>0</v>
      </c>
      <c r="O471" s="81">
        <f ca="1">O453*(1+INDEX(O$289:O$291,MATCH(Work_Codes!$I$437,$D$289:$D$291,0)))</f>
        <v>0</v>
      </c>
      <c r="P471" s="81">
        <f ca="1">P453*(1+INDEX(P$289:P$291,MATCH(Work_Codes!$I$437,$D$289:$D$291,0)))</f>
        <v>0</v>
      </c>
      <c r="Q471" s="81">
        <f ca="1">Q453*(1+INDEX(Q$289:Q$291,MATCH(Work_Codes!$I$437,$D$289:$D$291,0)))</f>
        <v>0</v>
      </c>
      <c r="R471" s="81">
        <f ca="1">R453*(1+INDEX(R$289:R$291,MATCH(Work_Codes!$I$437,$D$289:$D$291,0)))</f>
        <v>0</v>
      </c>
      <c r="S471" s="81">
        <f ca="1">S453*(1+INDEX(S$289:S$291,MATCH(Work_Codes!$I$437,$D$289:$D$291,0)))</f>
        <v>0</v>
      </c>
      <c r="T471" s="81">
        <f ca="1">T453*(1+INDEX(T$289:T$291,MATCH(Work_Codes!$I$437,$D$289:$D$291,0)))</f>
        <v>0</v>
      </c>
    </row>
    <row r="472" spans="4:20" ht="12" customHeight="1" outlineLevel="2">
      <c r="E472" s="247" t="str">
        <f>GC!C71</f>
        <v>Gas Extensions - Other</v>
      </c>
      <c r="F472" s="247"/>
      <c r="G472" s="247"/>
      <c r="H472" s="247"/>
      <c r="I472" s="247"/>
      <c r="J472" s="81">
        <f ca="1">J454*(1+INDEX(J$289:J$291,MATCH(Work_Codes!$I$437,$D$289:$D$291,0)))</f>
        <v>0</v>
      </c>
      <c r="K472" s="81">
        <f ca="1">K454*(1+INDEX(K$289:K$291,MATCH(Work_Codes!$I$437,$D$289:$D$291,0)))</f>
        <v>0</v>
      </c>
      <c r="L472" s="81">
        <f ca="1">L454*(1+INDEX(L$289:L$291,MATCH(Work_Codes!$I$437,$D$289:$D$291,0)))</f>
        <v>0</v>
      </c>
      <c r="M472" s="81">
        <f ca="1">M454*(1+INDEX(M$289:M$291,MATCH(Work_Codes!$I$437,$D$289:$D$291,0)))</f>
        <v>0</v>
      </c>
      <c r="N472" s="81">
        <f ca="1">N454*(1+INDEX(N$289:N$291,MATCH(Work_Codes!$I$437,$D$289:$D$291,0)))</f>
        <v>0</v>
      </c>
      <c r="O472" s="81">
        <f ca="1">O454*(1+INDEX(O$289:O$291,MATCH(Work_Codes!$I$437,$D$289:$D$291,0)))</f>
        <v>0</v>
      </c>
      <c r="P472" s="81">
        <f ca="1">P454*(1+INDEX(P$289:P$291,MATCH(Work_Codes!$I$437,$D$289:$D$291,0)))</f>
        <v>0</v>
      </c>
      <c r="Q472" s="81">
        <f ca="1">Q454*(1+INDEX(Q$289:Q$291,MATCH(Work_Codes!$I$437,$D$289:$D$291,0)))</f>
        <v>0</v>
      </c>
      <c r="R472" s="81">
        <f ca="1">R454*(1+INDEX(R$289:R$291,MATCH(Work_Codes!$I$437,$D$289:$D$291,0)))</f>
        <v>0</v>
      </c>
      <c r="S472" s="81">
        <f ca="1">S454*(1+INDEX(S$289:S$291,MATCH(Work_Codes!$I$437,$D$289:$D$291,0)))</f>
        <v>0</v>
      </c>
      <c r="T472" s="81">
        <f ca="1">T454*(1+INDEX(T$289:T$291,MATCH(Work_Codes!$I$437,$D$289:$D$291,0)))</f>
        <v>0</v>
      </c>
    </row>
    <row r="473" spans="4:20" ht="12" customHeight="1" outlineLevel="2">
      <c r="E473" s="247" t="str">
        <f>GC!C72</f>
        <v>Customer contributions</v>
      </c>
      <c r="F473" s="247"/>
      <c r="G473" s="247"/>
      <c r="H473" s="247"/>
      <c r="I473" s="247"/>
      <c r="J473" s="81">
        <f ca="1">J455*(1+INDEX(J$289:J$291,MATCH(Work_Codes!$I$437,$D$289:$D$291,0)))</f>
        <v>0</v>
      </c>
      <c r="K473" s="81">
        <f ca="1">K455*(1+INDEX(K$289:K$291,MATCH(Work_Codes!$I$437,$D$289:$D$291,0)))</f>
        <v>0</v>
      </c>
      <c r="L473" s="81">
        <f ca="1">L455*(1+INDEX(L$289:L$291,MATCH(Work_Codes!$I$437,$D$289:$D$291,0)))</f>
        <v>0</v>
      </c>
      <c r="M473" s="81">
        <f ca="1">M455*(1+INDEX(M$289:M$291,MATCH(Work_Codes!$I$437,$D$289:$D$291,0)))</f>
        <v>0</v>
      </c>
      <c r="N473" s="81">
        <f ca="1">N455*(1+INDEX(N$289:N$291,MATCH(Work_Codes!$I$437,$D$289:$D$291,0)))</f>
        <v>0</v>
      </c>
      <c r="O473" s="81">
        <f ca="1">O455*(1+INDEX(O$289:O$291,MATCH(Work_Codes!$I$437,$D$289:$D$291,0)))</f>
        <v>0</v>
      </c>
      <c r="P473" s="81">
        <f ca="1">P455*(1+INDEX(P$289:P$291,MATCH(Work_Codes!$I$437,$D$289:$D$291,0)))</f>
        <v>0</v>
      </c>
      <c r="Q473" s="81">
        <f ca="1">Q455*(1+INDEX(Q$289:Q$291,MATCH(Work_Codes!$I$437,$D$289:$D$291,0)))</f>
        <v>0</v>
      </c>
      <c r="R473" s="81">
        <f ca="1">R455*(1+INDEX(R$289:R$291,MATCH(Work_Codes!$I$437,$D$289:$D$291,0)))</f>
        <v>0</v>
      </c>
      <c r="S473" s="81">
        <f ca="1">S455*(1+INDEX(S$289:S$291,MATCH(Work_Codes!$I$437,$D$289:$D$291,0)))</f>
        <v>0</v>
      </c>
      <c r="T473" s="81">
        <f ca="1">T455*(1+INDEX(T$289:T$291,MATCH(Work_Codes!$I$437,$D$289:$D$291,0)))</f>
        <v>0</v>
      </c>
    </row>
    <row r="474" spans="4:20" ht="12" customHeight="1" outlineLevel="2">
      <c r="E474" s="247" t="str">
        <f>GC!C73</f>
        <v>Government contributions</v>
      </c>
      <c r="F474" s="247"/>
      <c r="G474" s="247"/>
      <c r="H474" s="247"/>
      <c r="I474" s="247"/>
      <c r="J474" s="81">
        <f ca="1">J456*(1+INDEX(J$289:J$291,MATCH(Work_Codes!$I$437,$D$289:$D$291,0)))</f>
        <v>0</v>
      </c>
      <c r="K474" s="81">
        <f ca="1">K456*(1+INDEX(K$289:K$291,MATCH(Work_Codes!$I$437,$D$289:$D$291,0)))</f>
        <v>0</v>
      </c>
      <c r="L474" s="81">
        <f ca="1">L456*(1+INDEX(L$289:L$291,MATCH(Work_Codes!$I$437,$D$289:$D$291,0)))</f>
        <v>0</v>
      </c>
      <c r="M474" s="81">
        <f ca="1">M456*(1+INDEX(M$289:M$291,MATCH(Work_Codes!$I$437,$D$289:$D$291,0)))</f>
        <v>0</v>
      </c>
      <c r="N474" s="81">
        <f ca="1">N456*(1+INDEX(N$289:N$291,MATCH(Work_Codes!$I$437,$D$289:$D$291,0)))</f>
        <v>0</v>
      </c>
      <c r="O474" s="81">
        <f ca="1">O456*(1+INDEX(O$289:O$291,MATCH(Work_Codes!$I$437,$D$289:$D$291,0)))</f>
        <v>0</v>
      </c>
      <c r="P474" s="81">
        <f ca="1">P456*(1+INDEX(P$289:P$291,MATCH(Work_Codes!$I$437,$D$289:$D$291,0)))</f>
        <v>0</v>
      </c>
      <c r="Q474" s="81">
        <f ca="1">Q456*(1+INDEX(Q$289:Q$291,MATCH(Work_Codes!$I$437,$D$289:$D$291,0)))</f>
        <v>0</v>
      </c>
      <c r="R474" s="81">
        <f ca="1">R456*(1+INDEX(R$289:R$291,MATCH(Work_Codes!$I$437,$D$289:$D$291,0)))</f>
        <v>0</v>
      </c>
      <c r="S474" s="81">
        <f ca="1">S456*(1+INDEX(S$289:S$291,MATCH(Work_Codes!$I$437,$D$289:$D$291,0)))</f>
        <v>0</v>
      </c>
      <c r="T474" s="81">
        <f ca="1">T456*(1+INDEX(T$289:T$291,MATCH(Work_Codes!$I$437,$D$289:$D$291,0)))</f>
        <v>0</v>
      </c>
    </row>
    <row r="475" spans="4:20" ht="12" customHeight="1" outlineLevel="2">
      <c r="E475" s="249" t="str">
        <f>"Total "&amp;D459</f>
        <v>Total Direct Costs + Overheads</v>
      </c>
      <c r="F475" s="249"/>
      <c r="G475" s="249"/>
      <c r="H475" s="249"/>
      <c r="I475" s="249"/>
      <c r="J475" s="82">
        <f t="shared" ref="J475:T475" ca="1" si="49">SUM(J461:J474)</f>
        <v>0</v>
      </c>
      <c r="K475" s="82">
        <f t="shared" ca="1" si="49"/>
        <v>0</v>
      </c>
      <c r="L475" s="82">
        <f t="shared" ca="1" si="49"/>
        <v>0</v>
      </c>
      <c r="M475" s="82">
        <f t="shared" ca="1" si="49"/>
        <v>0</v>
      </c>
      <c r="N475" s="82">
        <f t="shared" ca="1" si="49"/>
        <v>8536746.5056393631</v>
      </c>
      <c r="O475" s="82">
        <f t="shared" ca="1" si="49"/>
        <v>437147.24980104592</v>
      </c>
      <c r="P475" s="82">
        <f t="shared" ca="1" si="49"/>
        <v>0</v>
      </c>
      <c r="Q475" s="82">
        <f t="shared" ca="1" si="49"/>
        <v>0</v>
      </c>
      <c r="R475" s="82">
        <f t="shared" ca="1" si="49"/>
        <v>0</v>
      </c>
      <c r="S475" s="82">
        <f t="shared" ca="1" si="49"/>
        <v>0</v>
      </c>
      <c r="T475" s="82">
        <f t="shared" ca="1" si="49"/>
        <v>0</v>
      </c>
    </row>
    <row r="476" spans="4:20" outlineLevel="2"/>
    <row r="477" spans="4:20" outlineLevel="2">
      <c r="D477" s="37" t="s">
        <v>367</v>
      </c>
    </row>
    <row r="478" spans="4:20" ht="5.75" customHeight="1" outlineLevel="2"/>
    <row r="479" spans="4:20" outlineLevel="2">
      <c r="E479" s="247" t="str">
        <f>GC!C60</f>
        <v>Mains replacement</v>
      </c>
      <c r="F479" s="247"/>
      <c r="G479" s="247"/>
      <c r="H479" s="247"/>
      <c r="I479" s="247"/>
      <c r="J479" s="81">
        <f ca="1">SUMPRODUCT((Work_Codes!$AC$440:$AO$440=$E479)*(Work_Codes!$AC$448:$AO$449)*(J$319:J$320))</f>
        <v>0</v>
      </c>
      <c r="K479" s="81">
        <f ca="1">SUMPRODUCT((Work_Codes!$AC$440:$AO$440=$E479)*(Work_Codes!$AC$448:$AO$449)*(K$319:K$320))</f>
        <v>0</v>
      </c>
      <c r="L479" s="81">
        <f ca="1">SUMPRODUCT((Work_Codes!$AC$440:$AO$440=$E479)*(Work_Codes!$AC$448:$AO$449)*(L$319:L$320))</f>
        <v>0</v>
      </c>
      <c r="M479" s="81">
        <f ca="1">SUMPRODUCT((Work_Codes!$AC$440:$AO$440=$E479)*(Work_Codes!$AC$448:$AO$449)*(M$319:M$320))</f>
        <v>0</v>
      </c>
      <c r="N479" s="81">
        <f ca="1">SUMPRODUCT((Work_Codes!$AC$440:$AO$440=$E479)*(Work_Codes!$AC$448:$AO$449)*(N$319:N$320))</f>
        <v>0</v>
      </c>
      <c r="O479" s="81">
        <f ca="1">SUMPRODUCT((Work_Codes!$AC$440:$AO$440=$E479)*(Work_Codes!$AC$448:$AO$449)*(O$319:O$320))</f>
        <v>0</v>
      </c>
      <c r="P479" s="81">
        <f ca="1">SUMPRODUCT((Work_Codes!$AC$440:$AO$440=$E479)*(Work_Codes!$AC$448:$AO$449)*(P$319:P$320))</f>
        <v>0</v>
      </c>
      <c r="Q479" s="81">
        <f ca="1">SUMPRODUCT((Work_Codes!$AC$440:$AO$440=$E479)*(Work_Codes!$AC$448:$AO$449)*(Q$319:Q$320))</f>
        <v>0</v>
      </c>
      <c r="R479" s="81">
        <f ca="1">SUMPRODUCT((Work_Codes!$AC$440:$AO$440=$E479)*(Work_Codes!$AC$448:$AO$449)*(R$319:R$320))</f>
        <v>0</v>
      </c>
      <c r="S479" s="81">
        <f ca="1">SUMPRODUCT((Work_Codes!$AC$440:$AO$440=$E479)*(Work_Codes!$AC$448:$AO$449)*(S$319:S$320))</f>
        <v>0</v>
      </c>
      <c r="T479" s="81">
        <f ca="1">SUMPRODUCT((Work_Codes!$AC$440:$AO$440=$E479)*(Work_Codes!$AC$448:$AO$449)*(T$319:T$320))</f>
        <v>0</v>
      </c>
    </row>
    <row r="480" spans="4:20" outlineLevel="2">
      <c r="E480" s="247" t="str">
        <f>GC!C61</f>
        <v>Residential new customer connections</v>
      </c>
      <c r="F480" s="247"/>
      <c r="G480" s="247"/>
      <c r="H480" s="247"/>
      <c r="I480" s="247"/>
      <c r="J480" s="81">
        <f ca="1">SUMPRODUCT((Work_Codes!$AC$440:$AO$440=$E480)*(Work_Codes!$AC$448:$AO$449)*(J$319:J$320))</f>
        <v>0</v>
      </c>
      <c r="K480" s="81">
        <f ca="1">SUMPRODUCT((Work_Codes!$AC$440:$AO$440=$E480)*(Work_Codes!$AC$448:$AO$449)*(K$319:K$320))</f>
        <v>0</v>
      </c>
      <c r="L480" s="81">
        <f ca="1">SUMPRODUCT((Work_Codes!$AC$440:$AO$440=$E480)*(Work_Codes!$AC$448:$AO$449)*(L$319:L$320))</f>
        <v>0</v>
      </c>
      <c r="M480" s="81">
        <f ca="1">SUMPRODUCT((Work_Codes!$AC$440:$AO$440=$E480)*(Work_Codes!$AC$448:$AO$449)*(M$319:M$320))</f>
        <v>0</v>
      </c>
      <c r="N480" s="81">
        <f ca="1">SUMPRODUCT((Work_Codes!$AC$440:$AO$440=$E480)*(Work_Codes!$AC$448:$AO$449)*(N$319:N$320))</f>
        <v>0</v>
      </c>
      <c r="O480" s="81">
        <f ca="1">SUMPRODUCT((Work_Codes!$AC$440:$AO$440=$E480)*(Work_Codes!$AC$448:$AO$449)*(O$319:O$320))</f>
        <v>0</v>
      </c>
      <c r="P480" s="81">
        <f ca="1">SUMPRODUCT((Work_Codes!$AC$440:$AO$440=$E480)*(Work_Codes!$AC$448:$AO$449)*(P$319:P$320))</f>
        <v>0</v>
      </c>
      <c r="Q480" s="81">
        <f ca="1">SUMPRODUCT((Work_Codes!$AC$440:$AO$440=$E480)*(Work_Codes!$AC$448:$AO$449)*(Q$319:Q$320))</f>
        <v>0</v>
      </c>
      <c r="R480" s="81">
        <f ca="1">SUMPRODUCT((Work_Codes!$AC$440:$AO$440=$E480)*(Work_Codes!$AC$448:$AO$449)*(R$319:R$320))</f>
        <v>0</v>
      </c>
      <c r="S480" s="81">
        <f ca="1">SUMPRODUCT((Work_Codes!$AC$440:$AO$440=$E480)*(Work_Codes!$AC$448:$AO$449)*(S$319:S$320))</f>
        <v>0</v>
      </c>
      <c r="T480" s="81">
        <f ca="1">SUMPRODUCT((Work_Codes!$AC$440:$AO$440=$E480)*(Work_Codes!$AC$448:$AO$449)*(T$319:T$320))</f>
        <v>0</v>
      </c>
    </row>
    <row r="481" spans="2:20" outlineLevel="2">
      <c r="E481" s="247" t="str">
        <f>GC!C62</f>
        <v>Commercial and industrial new customer connections</v>
      </c>
      <c r="F481" s="247"/>
      <c r="G481" s="247"/>
      <c r="H481" s="247"/>
      <c r="I481" s="247"/>
      <c r="J481" s="81">
        <f ca="1">SUMPRODUCT((Work_Codes!$AC$440:$AO$440=$E481)*(Work_Codes!$AC$448:$AO$449)*(J$319:J$320))</f>
        <v>0</v>
      </c>
      <c r="K481" s="81">
        <f ca="1">SUMPRODUCT((Work_Codes!$AC$440:$AO$440=$E481)*(Work_Codes!$AC$448:$AO$449)*(K$319:K$320))</f>
        <v>0</v>
      </c>
      <c r="L481" s="81">
        <f ca="1">SUMPRODUCT((Work_Codes!$AC$440:$AO$440=$E481)*(Work_Codes!$AC$448:$AO$449)*(L$319:L$320))</f>
        <v>0</v>
      </c>
      <c r="M481" s="81">
        <f ca="1">SUMPRODUCT((Work_Codes!$AC$440:$AO$440=$E481)*(Work_Codes!$AC$448:$AO$449)*(M$319:M$320))</f>
        <v>0</v>
      </c>
      <c r="N481" s="81">
        <f ca="1">SUMPRODUCT((Work_Codes!$AC$440:$AO$440=$E481)*(Work_Codes!$AC$448:$AO$449)*(N$319:N$320))</f>
        <v>0</v>
      </c>
      <c r="O481" s="81">
        <f ca="1">SUMPRODUCT((Work_Codes!$AC$440:$AO$440=$E481)*(Work_Codes!$AC$448:$AO$449)*(O$319:O$320))</f>
        <v>0</v>
      </c>
      <c r="P481" s="81">
        <f ca="1">SUMPRODUCT((Work_Codes!$AC$440:$AO$440=$E481)*(Work_Codes!$AC$448:$AO$449)*(P$319:P$320))</f>
        <v>0</v>
      </c>
      <c r="Q481" s="81">
        <f ca="1">SUMPRODUCT((Work_Codes!$AC$440:$AO$440=$E481)*(Work_Codes!$AC$448:$AO$449)*(Q$319:Q$320))</f>
        <v>0</v>
      </c>
      <c r="R481" s="81">
        <f ca="1">SUMPRODUCT((Work_Codes!$AC$440:$AO$440=$E481)*(Work_Codes!$AC$448:$AO$449)*(R$319:R$320))</f>
        <v>0</v>
      </c>
      <c r="S481" s="81">
        <f ca="1">SUMPRODUCT((Work_Codes!$AC$440:$AO$440=$E481)*(Work_Codes!$AC$448:$AO$449)*(S$319:S$320))</f>
        <v>0</v>
      </c>
      <c r="T481" s="81">
        <f ca="1">SUMPRODUCT((Work_Codes!$AC$440:$AO$440=$E481)*(Work_Codes!$AC$448:$AO$449)*(T$319:T$320))</f>
        <v>0</v>
      </c>
    </row>
    <row r="482" spans="2:20" outlineLevel="2">
      <c r="E482" s="247" t="str">
        <f>GC!C63</f>
        <v>Residential meter replacement</v>
      </c>
      <c r="F482" s="247"/>
      <c r="G482" s="247"/>
      <c r="H482" s="247"/>
      <c r="I482" s="247"/>
      <c r="J482" s="81">
        <f ca="1">SUMPRODUCT((Work_Codes!$AC$440:$AO$440=$E482)*(Work_Codes!$AC$448:$AO$449)*(J$319:J$320))</f>
        <v>0</v>
      </c>
      <c r="K482" s="81">
        <f ca="1">SUMPRODUCT((Work_Codes!$AC$440:$AO$440=$E482)*(Work_Codes!$AC$448:$AO$449)*(K$319:K$320))</f>
        <v>0</v>
      </c>
      <c r="L482" s="81">
        <f ca="1">SUMPRODUCT((Work_Codes!$AC$440:$AO$440=$E482)*(Work_Codes!$AC$448:$AO$449)*(L$319:L$320))</f>
        <v>0</v>
      </c>
      <c r="M482" s="81">
        <f ca="1">SUMPRODUCT((Work_Codes!$AC$440:$AO$440=$E482)*(Work_Codes!$AC$448:$AO$449)*(M$319:M$320))</f>
        <v>0</v>
      </c>
      <c r="N482" s="81">
        <f ca="1">SUMPRODUCT((Work_Codes!$AC$440:$AO$440=$E482)*(Work_Codes!$AC$448:$AO$449)*(N$319:N$320))</f>
        <v>0</v>
      </c>
      <c r="O482" s="81">
        <f ca="1">SUMPRODUCT((Work_Codes!$AC$440:$AO$440=$E482)*(Work_Codes!$AC$448:$AO$449)*(O$319:O$320))</f>
        <v>0</v>
      </c>
      <c r="P482" s="81">
        <f ca="1">SUMPRODUCT((Work_Codes!$AC$440:$AO$440=$E482)*(Work_Codes!$AC$448:$AO$449)*(P$319:P$320))</f>
        <v>0</v>
      </c>
      <c r="Q482" s="81">
        <f ca="1">SUMPRODUCT((Work_Codes!$AC$440:$AO$440=$E482)*(Work_Codes!$AC$448:$AO$449)*(Q$319:Q$320))</f>
        <v>0</v>
      </c>
      <c r="R482" s="81">
        <f ca="1">SUMPRODUCT((Work_Codes!$AC$440:$AO$440=$E482)*(Work_Codes!$AC$448:$AO$449)*(R$319:R$320))</f>
        <v>0</v>
      </c>
      <c r="S482" s="81">
        <f ca="1">SUMPRODUCT((Work_Codes!$AC$440:$AO$440=$E482)*(Work_Codes!$AC$448:$AO$449)*(S$319:S$320))</f>
        <v>0</v>
      </c>
      <c r="T482" s="81">
        <f ca="1">SUMPRODUCT((Work_Codes!$AC$440:$AO$440=$E482)*(Work_Codes!$AC$448:$AO$449)*(T$319:T$320))</f>
        <v>0</v>
      </c>
    </row>
    <row r="483" spans="2:20" outlineLevel="2">
      <c r="E483" s="247" t="str">
        <f>GC!C64</f>
        <v>Commercial and industrial meter replacement</v>
      </c>
      <c r="F483" s="247"/>
      <c r="G483" s="247"/>
      <c r="H483" s="247"/>
      <c r="I483" s="247"/>
      <c r="J483" s="81">
        <f ca="1">SUMPRODUCT((Work_Codes!$AC$440:$AO$440=$E483)*(Work_Codes!$AC$448:$AO$449)*(J$319:J$320))</f>
        <v>0</v>
      </c>
      <c r="K483" s="81">
        <f ca="1">SUMPRODUCT((Work_Codes!$AC$440:$AO$440=$E483)*(Work_Codes!$AC$448:$AO$449)*(K$319:K$320))</f>
        <v>0</v>
      </c>
      <c r="L483" s="81">
        <f ca="1">SUMPRODUCT((Work_Codes!$AC$440:$AO$440=$E483)*(Work_Codes!$AC$448:$AO$449)*(L$319:L$320))</f>
        <v>0</v>
      </c>
      <c r="M483" s="81">
        <f ca="1">SUMPRODUCT((Work_Codes!$AC$440:$AO$440=$E483)*(Work_Codes!$AC$448:$AO$449)*(M$319:M$320))</f>
        <v>0</v>
      </c>
      <c r="N483" s="81">
        <f ca="1">SUMPRODUCT((Work_Codes!$AC$440:$AO$440=$E483)*(Work_Codes!$AC$448:$AO$449)*(N$319:N$320))</f>
        <v>0</v>
      </c>
      <c r="O483" s="81">
        <f ca="1">SUMPRODUCT((Work_Codes!$AC$440:$AO$440=$E483)*(Work_Codes!$AC$448:$AO$449)*(O$319:O$320))</f>
        <v>0</v>
      </c>
      <c r="P483" s="81">
        <f ca="1">SUMPRODUCT((Work_Codes!$AC$440:$AO$440=$E483)*(Work_Codes!$AC$448:$AO$449)*(P$319:P$320))</f>
        <v>0</v>
      </c>
      <c r="Q483" s="81">
        <f ca="1">SUMPRODUCT((Work_Codes!$AC$440:$AO$440=$E483)*(Work_Codes!$AC$448:$AO$449)*(Q$319:Q$320))</f>
        <v>0</v>
      </c>
      <c r="R483" s="81">
        <f ca="1">SUMPRODUCT((Work_Codes!$AC$440:$AO$440=$E483)*(Work_Codes!$AC$448:$AO$449)*(R$319:R$320))</f>
        <v>0</v>
      </c>
      <c r="S483" s="81">
        <f ca="1">SUMPRODUCT((Work_Codes!$AC$440:$AO$440=$E483)*(Work_Codes!$AC$448:$AO$449)*(S$319:S$320))</f>
        <v>0</v>
      </c>
      <c r="T483" s="81">
        <f ca="1">SUMPRODUCT((Work_Codes!$AC$440:$AO$440=$E483)*(Work_Codes!$AC$448:$AO$449)*(T$319:T$320))</f>
        <v>0</v>
      </c>
    </row>
    <row r="484" spans="2:20" outlineLevel="2">
      <c r="E484" s="247" t="str">
        <f>GC!C65</f>
        <v>Augmentation</v>
      </c>
      <c r="F484" s="247"/>
      <c r="G484" s="247"/>
      <c r="H484" s="247"/>
      <c r="I484" s="247"/>
      <c r="J484" s="81">
        <f ca="1">SUMPRODUCT((Work_Codes!$AC$440:$AO$440=$E484)*(Work_Codes!$AC$448:$AO$449)*(J$319:J$320))</f>
        <v>0</v>
      </c>
      <c r="K484" s="81">
        <f ca="1">SUMPRODUCT((Work_Codes!$AC$440:$AO$440=$E484)*(Work_Codes!$AC$448:$AO$449)*(K$319:K$320))</f>
        <v>0</v>
      </c>
      <c r="L484" s="81">
        <f ca="1">SUMPRODUCT((Work_Codes!$AC$440:$AO$440=$E484)*(Work_Codes!$AC$448:$AO$449)*(L$319:L$320))</f>
        <v>0</v>
      </c>
      <c r="M484" s="81">
        <f ca="1">SUMPRODUCT((Work_Codes!$AC$440:$AO$440=$E484)*(Work_Codes!$AC$448:$AO$449)*(M$319:M$320))</f>
        <v>0</v>
      </c>
      <c r="N484" s="81">
        <f ca="1">SUMPRODUCT((Work_Codes!$AC$440:$AO$440=$E484)*(Work_Codes!$AC$448:$AO$449)*(N$319:N$320))</f>
        <v>0</v>
      </c>
      <c r="O484" s="81">
        <f ca="1">SUMPRODUCT((Work_Codes!$AC$440:$AO$440=$E484)*(Work_Codes!$AC$448:$AO$449)*(O$319:O$320))</f>
        <v>0</v>
      </c>
      <c r="P484" s="81">
        <f ca="1">SUMPRODUCT((Work_Codes!$AC$440:$AO$440=$E484)*(Work_Codes!$AC$448:$AO$449)*(P$319:P$320))</f>
        <v>0</v>
      </c>
      <c r="Q484" s="81">
        <f ca="1">SUMPRODUCT((Work_Codes!$AC$440:$AO$440=$E484)*(Work_Codes!$AC$448:$AO$449)*(Q$319:Q$320))</f>
        <v>0</v>
      </c>
      <c r="R484" s="81">
        <f ca="1">SUMPRODUCT((Work_Codes!$AC$440:$AO$440=$E484)*(Work_Codes!$AC$448:$AO$449)*(R$319:R$320))</f>
        <v>0</v>
      </c>
      <c r="S484" s="81">
        <f ca="1">SUMPRODUCT((Work_Codes!$AC$440:$AO$440=$E484)*(Work_Codes!$AC$448:$AO$449)*(S$319:S$320))</f>
        <v>0</v>
      </c>
      <c r="T484" s="81">
        <f ca="1">SUMPRODUCT((Work_Codes!$AC$440:$AO$440=$E484)*(Work_Codes!$AC$448:$AO$449)*(T$319:T$320))</f>
        <v>0</v>
      </c>
    </row>
    <row r="485" spans="2:20" outlineLevel="2">
      <c r="E485" s="247" t="str">
        <f>GC!C66</f>
        <v>IT capex</v>
      </c>
      <c r="F485" s="247"/>
      <c r="G485" s="247"/>
      <c r="H485" s="247"/>
      <c r="I485" s="247"/>
      <c r="J485" s="81">
        <f ca="1">SUMPRODUCT((Work_Codes!$AC$440:$AO$440=$E485)*(Work_Codes!$AC$448:$AO$449)*(J$319:J$320))</f>
        <v>0</v>
      </c>
      <c r="K485" s="81">
        <f ca="1">SUMPRODUCT((Work_Codes!$AC$440:$AO$440=$E485)*(Work_Codes!$AC$448:$AO$449)*(K$319:K$320))</f>
        <v>0</v>
      </c>
      <c r="L485" s="81">
        <f ca="1">SUMPRODUCT((Work_Codes!$AC$440:$AO$440=$E485)*(Work_Codes!$AC$448:$AO$449)*(L$319:L$320))</f>
        <v>0</v>
      </c>
      <c r="M485" s="81">
        <f ca="1">SUMPRODUCT((Work_Codes!$AC$440:$AO$440=$E485)*(Work_Codes!$AC$448:$AO$449)*(M$319:M$320))</f>
        <v>0</v>
      </c>
      <c r="N485" s="81">
        <f ca="1">SUMPRODUCT((Work_Codes!$AC$440:$AO$440=$E485)*(Work_Codes!$AC$448:$AO$449)*(N$319:N$320))</f>
        <v>0</v>
      </c>
      <c r="O485" s="81">
        <f ca="1">SUMPRODUCT((Work_Codes!$AC$440:$AO$440=$E485)*(Work_Codes!$AC$448:$AO$449)*(O$319:O$320))</f>
        <v>0</v>
      </c>
      <c r="P485" s="81">
        <f ca="1">SUMPRODUCT((Work_Codes!$AC$440:$AO$440=$E485)*(Work_Codes!$AC$448:$AO$449)*(P$319:P$320))</f>
        <v>0</v>
      </c>
      <c r="Q485" s="81">
        <f ca="1">SUMPRODUCT((Work_Codes!$AC$440:$AO$440=$E485)*(Work_Codes!$AC$448:$AO$449)*(Q$319:Q$320))</f>
        <v>0</v>
      </c>
      <c r="R485" s="81">
        <f ca="1">SUMPRODUCT((Work_Codes!$AC$440:$AO$440=$E485)*(Work_Codes!$AC$448:$AO$449)*(R$319:R$320))</f>
        <v>0</v>
      </c>
      <c r="S485" s="81">
        <f ca="1">SUMPRODUCT((Work_Codes!$AC$440:$AO$440=$E485)*(Work_Codes!$AC$448:$AO$449)*(S$319:S$320))</f>
        <v>0</v>
      </c>
      <c r="T485" s="81">
        <f ca="1">SUMPRODUCT((Work_Codes!$AC$440:$AO$440=$E485)*(Work_Codes!$AC$448:$AO$449)*(T$319:T$320))</f>
        <v>0</v>
      </c>
    </row>
    <row r="486" spans="2:20" outlineLevel="2">
      <c r="E486" s="247" t="str">
        <f>GC!C67</f>
        <v>SCADA</v>
      </c>
      <c r="F486" s="247"/>
      <c r="G486" s="247"/>
      <c r="H486" s="247"/>
      <c r="I486" s="247"/>
      <c r="J486" s="81">
        <f ca="1">SUMPRODUCT((Work_Codes!$AC$440:$AO$440=$E486)*(Work_Codes!$AC$448:$AO$449)*(J$319:J$320))</f>
        <v>0</v>
      </c>
      <c r="K486" s="81">
        <f ca="1">SUMPRODUCT((Work_Codes!$AC$440:$AO$440=$E486)*(Work_Codes!$AC$448:$AO$449)*(K$319:K$320))</f>
        <v>0</v>
      </c>
      <c r="L486" s="81">
        <f ca="1">SUMPRODUCT((Work_Codes!$AC$440:$AO$440=$E486)*(Work_Codes!$AC$448:$AO$449)*(L$319:L$320))</f>
        <v>0</v>
      </c>
      <c r="M486" s="81">
        <f ca="1">SUMPRODUCT((Work_Codes!$AC$440:$AO$440=$E486)*(Work_Codes!$AC$448:$AO$449)*(M$319:M$320))</f>
        <v>0</v>
      </c>
      <c r="N486" s="81">
        <f ca="1">SUMPRODUCT((Work_Codes!$AC$440:$AO$440=$E486)*(Work_Codes!$AC$448:$AO$449)*(N$319:N$320))</f>
        <v>0</v>
      </c>
      <c r="O486" s="81">
        <f ca="1">SUMPRODUCT((Work_Codes!$AC$440:$AO$440=$E486)*(Work_Codes!$AC$448:$AO$449)*(O$319:O$320))</f>
        <v>0</v>
      </c>
      <c r="P486" s="81">
        <f ca="1">SUMPRODUCT((Work_Codes!$AC$440:$AO$440=$E486)*(Work_Codes!$AC$448:$AO$449)*(P$319:P$320))</f>
        <v>0</v>
      </c>
      <c r="Q486" s="81">
        <f ca="1">SUMPRODUCT((Work_Codes!$AC$440:$AO$440=$E486)*(Work_Codes!$AC$448:$AO$449)*(Q$319:Q$320))</f>
        <v>0</v>
      </c>
      <c r="R486" s="81">
        <f ca="1">SUMPRODUCT((Work_Codes!$AC$440:$AO$440=$E486)*(Work_Codes!$AC$448:$AO$449)*(R$319:R$320))</f>
        <v>0</v>
      </c>
      <c r="S486" s="81">
        <f ca="1">SUMPRODUCT((Work_Codes!$AC$440:$AO$440=$E486)*(Work_Codes!$AC$448:$AO$449)*(S$319:S$320))</f>
        <v>0</v>
      </c>
      <c r="T486" s="81">
        <f ca="1">SUMPRODUCT((Work_Codes!$AC$440:$AO$440=$E486)*(Work_Codes!$AC$448:$AO$449)*(T$319:T$320))</f>
        <v>0</v>
      </c>
    </row>
    <row r="487" spans="2:20" outlineLevel="2">
      <c r="E487" s="247" t="str">
        <f>GC!C68</f>
        <v>Other</v>
      </c>
      <c r="F487" s="247"/>
      <c r="G487" s="247"/>
      <c r="H487" s="247"/>
      <c r="I487" s="247"/>
      <c r="J487" s="81">
        <f ca="1">SUMPRODUCT((Work_Codes!$AC$440:$AO$440=$E487)*(Work_Codes!$AC$448:$AO$449)*(J$319:J$320))</f>
        <v>0</v>
      </c>
      <c r="K487" s="81">
        <f ca="1">SUMPRODUCT((Work_Codes!$AC$440:$AO$440=$E487)*(Work_Codes!$AC$448:$AO$449)*(K$319:K$320))</f>
        <v>0</v>
      </c>
      <c r="L487" s="81">
        <f ca="1">SUMPRODUCT((Work_Codes!$AC$440:$AO$440=$E487)*(Work_Codes!$AC$448:$AO$449)*(L$319:L$320))</f>
        <v>0</v>
      </c>
      <c r="M487" s="81">
        <f ca="1">SUMPRODUCT((Work_Codes!$AC$440:$AO$440=$E487)*(Work_Codes!$AC$448:$AO$449)*(M$319:M$320))</f>
        <v>0</v>
      </c>
      <c r="N487" s="81">
        <f ca="1">SUMPRODUCT((Work_Codes!$AC$440:$AO$440=$E487)*(Work_Codes!$AC$448:$AO$449)*(N$319:N$320))</f>
        <v>-11420000</v>
      </c>
      <c r="O487" s="81">
        <f ca="1">SUMPRODUCT((Work_Codes!$AC$440:$AO$440=$E487)*(Work_Codes!$AC$448:$AO$449)*(O$319:O$320))</f>
        <v>-1223668</v>
      </c>
      <c r="P487" s="81">
        <f ca="1">SUMPRODUCT((Work_Codes!$AC$440:$AO$440=$E487)*(Work_Codes!$AC$448:$AO$449)*(P$319:P$320))</f>
        <v>0</v>
      </c>
      <c r="Q487" s="81">
        <f ca="1">SUMPRODUCT((Work_Codes!$AC$440:$AO$440=$E487)*(Work_Codes!$AC$448:$AO$449)*(Q$319:Q$320))</f>
        <v>0</v>
      </c>
      <c r="R487" s="81">
        <f ca="1">SUMPRODUCT((Work_Codes!$AC$440:$AO$440=$E487)*(Work_Codes!$AC$448:$AO$449)*(R$319:R$320))</f>
        <v>0</v>
      </c>
      <c r="S487" s="81">
        <f ca="1">SUMPRODUCT((Work_Codes!$AC$440:$AO$440=$E487)*(Work_Codes!$AC$448:$AO$449)*(S$319:S$320))</f>
        <v>0</v>
      </c>
      <c r="T487" s="81">
        <f ca="1">SUMPRODUCT((Work_Codes!$AC$440:$AO$440=$E487)*(Work_Codes!$AC$448:$AO$449)*(T$319:T$320))</f>
        <v>0</v>
      </c>
    </row>
    <row r="488" spans="2:20" outlineLevel="2">
      <c r="E488" s="247" t="str">
        <f>GC!C69</f>
        <v>Capitalised Leases</v>
      </c>
      <c r="F488" s="247"/>
      <c r="G488" s="247"/>
      <c r="H488" s="247"/>
      <c r="I488" s="247"/>
      <c r="J488" s="81">
        <f ca="1">SUMPRODUCT((Work_Codes!$AC$440:$AO$440=$E488)*(Work_Codes!$AC$448:$AO$449)*(J$319:J$320))</f>
        <v>0</v>
      </c>
      <c r="K488" s="81">
        <f ca="1">SUMPRODUCT((Work_Codes!$AC$440:$AO$440=$E488)*(Work_Codes!$AC$448:$AO$449)*(K$319:K$320))</f>
        <v>0</v>
      </c>
      <c r="L488" s="81">
        <f ca="1">SUMPRODUCT((Work_Codes!$AC$440:$AO$440=$E488)*(Work_Codes!$AC$448:$AO$449)*(L$319:L$320))</f>
        <v>0</v>
      </c>
      <c r="M488" s="81">
        <f ca="1">SUMPRODUCT((Work_Codes!$AC$440:$AO$440=$E488)*(Work_Codes!$AC$448:$AO$449)*(M$319:M$320))</f>
        <v>0</v>
      </c>
      <c r="N488" s="81">
        <f ca="1">SUMPRODUCT((Work_Codes!$AC$440:$AO$440=$E488)*(Work_Codes!$AC$448:$AO$449)*(N$319:N$320))</f>
        <v>0</v>
      </c>
      <c r="O488" s="81">
        <f ca="1">SUMPRODUCT((Work_Codes!$AC$440:$AO$440=$E488)*(Work_Codes!$AC$448:$AO$449)*(O$319:O$320))</f>
        <v>0</v>
      </c>
      <c r="P488" s="81">
        <f ca="1">SUMPRODUCT((Work_Codes!$AC$440:$AO$440=$E488)*(Work_Codes!$AC$448:$AO$449)*(P$319:P$320))</f>
        <v>0</v>
      </c>
      <c r="Q488" s="81">
        <f ca="1">SUMPRODUCT((Work_Codes!$AC$440:$AO$440=$E488)*(Work_Codes!$AC$448:$AO$449)*(Q$319:Q$320))</f>
        <v>0</v>
      </c>
      <c r="R488" s="81">
        <f ca="1">SUMPRODUCT((Work_Codes!$AC$440:$AO$440=$E488)*(Work_Codes!$AC$448:$AO$449)*(R$319:R$320))</f>
        <v>0</v>
      </c>
      <c r="S488" s="81">
        <f ca="1">SUMPRODUCT((Work_Codes!$AC$440:$AO$440=$E488)*(Work_Codes!$AC$448:$AO$449)*(S$319:S$320))</f>
        <v>0</v>
      </c>
      <c r="T488" s="81">
        <f ca="1">SUMPRODUCT((Work_Codes!$AC$440:$AO$440=$E488)*(Work_Codes!$AC$448:$AO$449)*(T$319:T$320))</f>
        <v>0</v>
      </c>
    </row>
    <row r="489" spans="2:20" outlineLevel="2">
      <c r="E489" s="247" t="str">
        <f>GC!C70</f>
        <v>Gas Extensions - Energy for the Regions</v>
      </c>
      <c r="F489" s="247"/>
      <c r="G489" s="247"/>
      <c r="H489" s="247"/>
      <c r="I489" s="247"/>
      <c r="J489" s="81">
        <f ca="1">SUMPRODUCT((Work_Codes!$AC$440:$AO$440=$E489)*(Work_Codes!$AC$448:$AO$449)*(J$319:J$320))</f>
        <v>0</v>
      </c>
      <c r="K489" s="81">
        <f ca="1">SUMPRODUCT((Work_Codes!$AC$440:$AO$440=$E489)*(Work_Codes!$AC$448:$AO$449)*(K$319:K$320))</f>
        <v>0</v>
      </c>
      <c r="L489" s="81">
        <f ca="1">SUMPRODUCT((Work_Codes!$AC$440:$AO$440=$E489)*(Work_Codes!$AC$448:$AO$449)*(L$319:L$320))</f>
        <v>0</v>
      </c>
      <c r="M489" s="81">
        <f ca="1">SUMPRODUCT((Work_Codes!$AC$440:$AO$440=$E489)*(Work_Codes!$AC$448:$AO$449)*(M$319:M$320))</f>
        <v>0</v>
      </c>
      <c r="N489" s="81">
        <f ca="1">SUMPRODUCT((Work_Codes!$AC$440:$AO$440=$E489)*(Work_Codes!$AC$448:$AO$449)*(N$319:N$320))</f>
        <v>0</v>
      </c>
      <c r="O489" s="81">
        <f ca="1">SUMPRODUCT((Work_Codes!$AC$440:$AO$440=$E489)*(Work_Codes!$AC$448:$AO$449)*(O$319:O$320))</f>
        <v>0</v>
      </c>
      <c r="P489" s="81">
        <f ca="1">SUMPRODUCT((Work_Codes!$AC$440:$AO$440=$E489)*(Work_Codes!$AC$448:$AO$449)*(P$319:P$320))</f>
        <v>0</v>
      </c>
      <c r="Q489" s="81">
        <f ca="1">SUMPRODUCT((Work_Codes!$AC$440:$AO$440=$E489)*(Work_Codes!$AC$448:$AO$449)*(Q$319:Q$320))</f>
        <v>0</v>
      </c>
      <c r="R489" s="81">
        <f ca="1">SUMPRODUCT((Work_Codes!$AC$440:$AO$440=$E489)*(Work_Codes!$AC$448:$AO$449)*(R$319:R$320))</f>
        <v>0</v>
      </c>
      <c r="S489" s="81">
        <f ca="1">SUMPRODUCT((Work_Codes!$AC$440:$AO$440=$E489)*(Work_Codes!$AC$448:$AO$449)*(S$319:S$320))</f>
        <v>0</v>
      </c>
      <c r="T489" s="81">
        <f ca="1">SUMPRODUCT((Work_Codes!$AC$440:$AO$440=$E489)*(Work_Codes!$AC$448:$AO$449)*(T$319:T$320))</f>
        <v>0</v>
      </c>
    </row>
    <row r="490" spans="2:20" outlineLevel="2">
      <c r="E490" s="247" t="str">
        <f>GC!C71</f>
        <v>Gas Extensions - Other</v>
      </c>
      <c r="F490" s="247"/>
      <c r="G490" s="247"/>
      <c r="H490" s="247"/>
      <c r="I490" s="247"/>
      <c r="J490" s="81">
        <f ca="1">SUMPRODUCT((Work_Codes!$AC$440:$AO$440=$E490)*(Work_Codes!$AC$448:$AO$449)*(J$319:J$320))</f>
        <v>0</v>
      </c>
      <c r="K490" s="81">
        <f ca="1">SUMPRODUCT((Work_Codes!$AC$440:$AO$440=$E490)*(Work_Codes!$AC$448:$AO$449)*(K$319:K$320))</f>
        <v>0</v>
      </c>
      <c r="L490" s="81">
        <f ca="1">SUMPRODUCT((Work_Codes!$AC$440:$AO$440=$E490)*(Work_Codes!$AC$448:$AO$449)*(L$319:L$320))</f>
        <v>0</v>
      </c>
      <c r="M490" s="81">
        <f ca="1">SUMPRODUCT((Work_Codes!$AC$440:$AO$440=$E490)*(Work_Codes!$AC$448:$AO$449)*(M$319:M$320))</f>
        <v>0</v>
      </c>
      <c r="N490" s="81">
        <f ca="1">SUMPRODUCT((Work_Codes!$AC$440:$AO$440=$E490)*(Work_Codes!$AC$448:$AO$449)*(N$319:N$320))</f>
        <v>0</v>
      </c>
      <c r="O490" s="81">
        <f ca="1">SUMPRODUCT((Work_Codes!$AC$440:$AO$440=$E490)*(Work_Codes!$AC$448:$AO$449)*(O$319:O$320))</f>
        <v>0</v>
      </c>
      <c r="P490" s="81">
        <f ca="1">SUMPRODUCT((Work_Codes!$AC$440:$AO$440=$E490)*(Work_Codes!$AC$448:$AO$449)*(P$319:P$320))</f>
        <v>0</v>
      </c>
      <c r="Q490" s="81">
        <f ca="1">SUMPRODUCT((Work_Codes!$AC$440:$AO$440=$E490)*(Work_Codes!$AC$448:$AO$449)*(Q$319:Q$320))</f>
        <v>0</v>
      </c>
      <c r="R490" s="81">
        <f ca="1">SUMPRODUCT((Work_Codes!$AC$440:$AO$440=$E490)*(Work_Codes!$AC$448:$AO$449)*(R$319:R$320))</f>
        <v>0</v>
      </c>
      <c r="S490" s="81">
        <f ca="1">SUMPRODUCT((Work_Codes!$AC$440:$AO$440=$E490)*(Work_Codes!$AC$448:$AO$449)*(S$319:S$320))</f>
        <v>0</v>
      </c>
      <c r="T490" s="81">
        <f ca="1">SUMPRODUCT((Work_Codes!$AC$440:$AO$440=$E490)*(Work_Codes!$AC$448:$AO$449)*(T$319:T$320))</f>
        <v>0</v>
      </c>
    </row>
    <row r="491" spans="2:20" outlineLevel="2">
      <c r="E491" s="247" t="str">
        <f>GC!C72</f>
        <v>Customer contributions</v>
      </c>
      <c r="F491" s="247"/>
      <c r="G491" s="247"/>
      <c r="H491" s="247"/>
      <c r="I491" s="247"/>
      <c r="J491" s="81">
        <f ca="1">SUMPRODUCT((Work_Codes!$AC$440:$AO$440=$E491)*(Work_Codes!$AC$448:$AO$449)*(J$319:J$320))</f>
        <v>0</v>
      </c>
      <c r="K491" s="81">
        <f ca="1">SUMPRODUCT((Work_Codes!$AC$440:$AO$440=$E491)*(Work_Codes!$AC$448:$AO$449)*(K$319:K$320))</f>
        <v>0</v>
      </c>
      <c r="L491" s="81">
        <f ca="1">SUMPRODUCT((Work_Codes!$AC$440:$AO$440=$E491)*(Work_Codes!$AC$448:$AO$449)*(L$319:L$320))</f>
        <v>0</v>
      </c>
      <c r="M491" s="81">
        <f ca="1">SUMPRODUCT((Work_Codes!$AC$440:$AO$440=$E491)*(Work_Codes!$AC$448:$AO$449)*(M$319:M$320))</f>
        <v>0</v>
      </c>
      <c r="N491" s="81">
        <f ca="1">SUMPRODUCT((Work_Codes!$AC$440:$AO$440=$E491)*(Work_Codes!$AC$448:$AO$449)*(N$319:N$320))</f>
        <v>0</v>
      </c>
      <c r="O491" s="81">
        <f ca="1">SUMPRODUCT((Work_Codes!$AC$440:$AO$440=$E491)*(Work_Codes!$AC$448:$AO$449)*(O$319:O$320))</f>
        <v>0</v>
      </c>
      <c r="P491" s="81">
        <f ca="1">SUMPRODUCT((Work_Codes!$AC$440:$AO$440=$E491)*(Work_Codes!$AC$448:$AO$449)*(P$319:P$320))</f>
        <v>0</v>
      </c>
      <c r="Q491" s="81">
        <f ca="1">SUMPRODUCT((Work_Codes!$AC$440:$AO$440=$E491)*(Work_Codes!$AC$448:$AO$449)*(Q$319:Q$320))</f>
        <v>0</v>
      </c>
      <c r="R491" s="81">
        <f ca="1">SUMPRODUCT((Work_Codes!$AC$440:$AO$440=$E491)*(Work_Codes!$AC$448:$AO$449)*(R$319:R$320))</f>
        <v>0</v>
      </c>
      <c r="S491" s="81">
        <f ca="1">SUMPRODUCT((Work_Codes!$AC$440:$AO$440=$E491)*(Work_Codes!$AC$448:$AO$449)*(S$319:S$320))</f>
        <v>0</v>
      </c>
      <c r="T491" s="81">
        <f ca="1">SUMPRODUCT((Work_Codes!$AC$440:$AO$440=$E491)*(Work_Codes!$AC$448:$AO$449)*(T$319:T$320))</f>
        <v>0</v>
      </c>
    </row>
    <row r="492" spans="2:20" outlineLevel="2">
      <c r="E492" s="247" t="str">
        <f>GC!C73</f>
        <v>Government contributions</v>
      </c>
      <c r="F492" s="247"/>
      <c r="G492" s="247"/>
      <c r="H492" s="247"/>
      <c r="I492" s="247"/>
      <c r="J492" s="81">
        <f ca="1">SUMPRODUCT((Work_Codes!$AC$440:$AO$440=$E492)*(Work_Codes!$AC$448:$AO$449)*(J$319:J$320))</f>
        <v>0</v>
      </c>
      <c r="K492" s="81">
        <f ca="1">SUMPRODUCT((Work_Codes!$AC$440:$AO$440=$E492)*(Work_Codes!$AC$448:$AO$449)*(K$319:K$320))</f>
        <v>0</v>
      </c>
      <c r="L492" s="81">
        <f ca="1">SUMPRODUCT((Work_Codes!$AC$440:$AO$440=$E492)*(Work_Codes!$AC$448:$AO$449)*(L$319:L$320))</f>
        <v>0</v>
      </c>
      <c r="M492" s="81">
        <f ca="1">SUMPRODUCT((Work_Codes!$AC$440:$AO$440=$E492)*(Work_Codes!$AC$448:$AO$449)*(M$319:M$320))</f>
        <v>0</v>
      </c>
      <c r="N492" s="81">
        <f ca="1">SUMPRODUCT((Work_Codes!$AC$440:$AO$440=$E492)*(Work_Codes!$AC$448:$AO$449)*(N$319:N$320))</f>
        <v>0</v>
      </c>
      <c r="O492" s="81">
        <f ca="1">SUMPRODUCT((Work_Codes!$AC$440:$AO$440=$E492)*(Work_Codes!$AC$448:$AO$449)*(O$319:O$320))</f>
        <v>0</v>
      </c>
      <c r="P492" s="81">
        <f ca="1">SUMPRODUCT((Work_Codes!$AC$440:$AO$440=$E492)*(Work_Codes!$AC$448:$AO$449)*(P$319:P$320))</f>
        <v>0</v>
      </c>
      <c r="Q492" s="81">
        <f ca="1">SUMPRODUCT((Work_Codes!$AC$440:$AO$440=$E492)*(Work_Codes!$AC$448:$AO$449)*(Q$319:Q$320))</f>
        <v>0</v>
      </c>
      <c r="R492" s="81">
        <f ca="1">SUMPRODUCT((Work_Codes!$AC$440:$AO$440=$E492)*(Work_Codes!$AC$448:$AO$449)*(R$319:R$320))</f>
        <v>0</v>
      </c>
      <c r="S492" s="81">
        <f ca="1">SUMPRODUCT((Work_Codes!$AC$440:$AO$440=$E492)*(Work_Codes!$AC$448:$AO$449)*(S$319:S$320))</f>
        <v>0</v>
      </c>
      <c r="T492" s="81">
        <f ca="1">SUMPRODUCT((Work_Codes!$AC$440:$AO$440=$E492)*(Work_Codes!$AC$448:$AO$449)*(T$319:T$320))</f>
        <v>0</v>
      </c>
    </row>
    <row r="493" spans="2:20" outlineLevel="2">
      <c r="E493" s="249" t="str">
        <f t="shared" ref="E493" si="50">"Total "&amp;D477</f>
        <v>Total Customer Contributions</v>
      </c>
      <c r="F493" s="249"/>
      <c r="G493" s="249"/>
      <c r="H493" s="249"/>
      <c r="I493" s="249"/>
      <c r="J493" s="82">
        <f t="shared" ref="J493:T493" ca="1" si="51">SUM(J479:J492)</f>
        <v>0</v>
      </c>
      <c r="K493" s="82">
        <f t="shared" ca="1" si="51"/>
        <v>0</v>
      </c>
      <c r="L493" s="82">
        <f t="shared" ca="1" si="51"/>
        <v>0</v>
      </c>
      <c r="M493" s="82">
        <f t="shared" ca="1" si="51"/>
        <v>0</v>
      </c>
      <c r="N493" s="82">
        <f t="shared" ca="1" si="51"/>
        <v>-11420000</v>
      </c>
      <c r="O493" s="82">
        <f t="shared" ca="1" si="51"/>
        <v>-1223668</v>
      </c>
      <c r="P493" s="82">
        <f t="shared" ca="1" si="51"/>
        <v>0</v>
      </c>
      <c r="Q493" s="82">
        <f t="shared" ca="1" si="51"/>
        <v>0</v>
      </c>
      <c r="R493" s="82">
        <f t="shared" ca="1" si="51"/>
        <v>0</v>
      </c>
      <c r="S493" s="82">
        <f t="shared" ca="1" si="51"/>
        <v>0</v>
      </c>
      <c r="T493" s="82">
        <f t="shared" ca="1" si="51"/>
        <v>0</v>
      </c>
    </row>
    <row r="494" spans="2:20" outlineLevel="2">
      <c r="B494" s="12"/>
      <c r="C494" s="12"/>
      <c r="D494" s="12"/>
      <c r="E494" s="12"/>
      <c r="F494" s="12"/>
      <c r="G494" s="12"/>
      <c r="H494" s="12"/>
      <c r="I494" s="12"/>
      <c r="J494" s="12"/>
      <c r="K494" s="12"/>
      <c r="L494" s="12"/>
      <c r="M494" s="12"/>
      <c r="N494" s="12"/>
      <c r="O494" s="12"/>
      <c r="P494" s="12"/>
      <c r="Q494" s="12"/>
      <c r="R494" s="12"/>
      <c r="S494" s="12"/>
      <c r="T494" s="12"/>
    </row>
    <row r="495" spans="2:20" outlineLevel="2"/>
    <row r="496" spans="2:20" outlineLevel="2">
      <c r="C496" s="37" t="s">
        <v>311</v>
      </c>
    </row>
    <row r="497" spans="4:20" ht="5.9" customHeight="1" outlineLevel="2"/>
    <row r="498" spans="4:20" outlineLevel="2">
      <c r="D498" s="37" t="s">
        <v>215</v>
      </c>
    </row>
    <row r="499" spans="4:20" ht="5.9" customHeight="1" outlineLevel="2"/>
    <row r="500" spans="4:20" outlineLevel="2">
      <c r="E500" s="247" t="str">
        <f>GC!C78</f>
        <v>Mains &amp; Services</v>
      </c>
      <c r="F500" s="247"/>
      <c r="G500" s="247"/>
      <c r="H500" s="247"/>
      <c r="I500" s="247"/>
      <c r="J500" s="81">
        <f ca="1">SUMPRODUCT((Work_Codes!$AR$440:$AX$440=$E500)*(Work_Codes!$AR$443:$AX$444)*(J$350:J$351))</f>
        <v>0</v>
      </c>
      <c r="K500" s="81">
        <f ca="1">SUMPRODUCT((Work_Codes!$AR$440:$AX$440=$E500)*(Work_Codes!$AR$443:$AX$444)*(K$350:K$351))</f>
        <v>0</v>
      </c>
      <c r="L500" s="81">
        <f ca="1">SUMPRODUCT((Work_Codes!$AR$440:$AX$440=$E500)*(Work_Codes!$AR$443:$AX$444)*(L$350:L$351))</f>
        <v>0</v>
      </c>
      <c r="M500" s="81">
        <f ca="1">SUMPRODUCT((Work_Codes!$AR$440:$AX$440=$E500)*(Work_Codes!$AR$443:$AX$444)*(M$350:M$351))</f>
        <v>0</v>
      </c>
      <c r="N500" s="81">
        <f ca="1">SUMPRODUCT((Work_Codes!$AR$440:$AX$440=$E500)*(Work_Codes!$AR$443:$AX$444)*(N$350:N$351))</f>
        <v>0</v>
      </c>
      <c r="O500" s="81">
        <f ca="1">SUMPRODUCT((Work_Codes!$AR$440:$AX$440=$E500)*(Work_Codes!$AR$443:$AX$444)*(O$350:O$351))</f>
        <v>0</v>
      </c>
      <c r="P500" s="81">
        <f ca="1">SUMPRODUCT((Work_Codes!$AR$440:$AX$440=$E500)*(Work_Codes!$AR$443:$AX$444)*(P$350:P$351))</f>
        <v>0</v>
      </c>
      <c r="Q500" s="81">
        <f ca="1">SUMPRODUCT((Work_Codes!$AR$440:$AX$440=$E500)*(Work_Codes!$AR$443:$AX$444)*(Q$350:Q$351))</f>
        <v>0</v>
      </c>
      <c r="R500" s="81">
        <f ca="1">SUMPRODUCT((Work_Codes!$AR$440:$AX$440=$E500)*(Work_Codes!$AR$443:$AX$444)*(R$350:R$351))</f>
        <v>0</v>
      </c>
      <c r="S500" s="81">
        <f ca="1">SUMPRODUCT((Work_Codes!$AR$440:$AX$440=$E500)*(Work_Codes!$AR$443:$AX$444)*(S$350:S$351))</f>
        <v>0</v>
      </c>
      <c r="T500" s="81">
        <f ca="1">SUMPRODUCT((Work_Codes!$AR$440:$AX$440=$E500)*(Work_Codes!$AR$443:$AX$444)*(T$350:T$351))</f>
        <v>0</v>
      </c>
    </row>
    <row r="501" spans="4:20" outlineLevel="2">
      <c r="E501" s="247" t="str">
        <f>GC!C79</f>
        <v>Meters Domestic</v>
      </c>
      <c r="F501" s="247"/>
      <c r="G501" s="247"/>
      <c r="H501" s="247"/>
      <c r="I501" s="247"/>
      <c r="J501" s="81">
        <f ca="1">SUMPRODUCT((Work_Codes!$AR$440:$AX$440=$E501)*(Work_Codes!$AR$443:$AX$444)*(J$350:J$351))</f>
        <v>0</v>
      </c>
      <c r="K501" s="81">
        <f ca="1">SUMPRODUCT((Work_Codes!$AR$440:$AX$440=$E501)*(Work_Codes!$AR$443:$AX$444)*(K$350:K$351))</f>
        <v>0</v>
      </c>
      <c r="L501" s="81">
        <f ca="1">SUMPRODUCT((Work_Codes!$AR$440:$AX$440=$E501)*(Work_Codes!$AR$443:$AX$444)*(L$350:L$351))</f>
        <v>0</v>
      </c>
      <c r="M501" s="81">
        <f ca="1">SUMPRODUCT((Work_Codes!$AR$440:$AX$440=$E501)*(Work_Codes!$AR$443:$AX$444)*(M$350:M$351))</f>
        <v>0</v>
      </c>
      <c r="N501" s="81">
        <f ca="1">SUMPRODUCT((Work_Codes!$AR$440:$AX$440=$E501)*(Work_Codes!$AR$443:$AX$444)*(N$350:N$351))</f>
        <v>0</v>
      </c>
      <c r="O501" s="81">
        <f ca="1">SUMPRODUCT((Work_Codes!$AR$440:$AX$440=$E501)*(Work_Codes!$AR$443:$AX$444)*(O$350:O$351))</f>
        <v>0</v>
      </c>
      <c r="P501" s="81">
        <f ca="1">SUMPRODUCT((Work_Codes!$AR$440:$AX$440=$E501)*(Work_Codes!$AR$443:$AX$444)*(P$350:P$351))</f>
        <v>0</v>
      </c>
      <c r="Q501" s="81">
        <f ca="1">SUMPRODUCT((Work_Codes!$AR$440:$AX$440=$E501)*(Work_Codes!$AR$443:$AX$444)*(Q$350:Q$351))</f>
        <v>0</v>
      </c>
      <c r="R501" s="81">
        <f ca="1">SUMPRODUCT((Work_Codes!$AR$440:$AX$440=$E501)*(Work_Codes!$AR$443:$AX$444)*(R$350:R$351))</f>
        <v>0</v>
      </c>
      <c r="S501" s="81">
        <f ca="1">SUMPRODUCT((Work_Codes!$AR$440:$AX$440=$E501)*(Work_Codes!$AR$443:$AX$444)*(S$350:S$351))</f>
        <v>0</v>
      </c>
      <c r="T501" s="81">
        <f ca="1">SUMPRODUCT((Work_Codes!$AR$440:$AX$440=$E501)*(Work_Codes!$AR$443:$AX$444)*(T$350:T$351))</f>
        <v>0</v>
      </c>
    </row>
    <row r="502" spans="4:20" outlineLevel="2">
      <c r="E502" s="247" t="str">
        <f>GC!C80</f>
        <v>Meters Industrial &amp; Commercial</v>
      </c>
      <c r="F502" s="247"/>
      <c r="G502" s="247"/>
      <c r="H502" s="247"/>
      <c r="I502" s="247"/>
      <c r="J502" s="81">
        <f ca="1">SUMPRODUCT((Work_Codes!$AR$440:$AX$440=$E502)*(Work_Codes!$AR$443:$AX$444)*(J$350:J$351))</f>
        <v>0</v>
      </c>
      <c r="K502" s="81">
        <f ca="1">SUMPRODUCT((Work_Codes!$AR$440:$AX$440=$E502)*(Work_Codes!$AR$443:$AX$444)*(K$350:K$351))</f>
        <v>0</v>
      </c>
      <c r="L502" s="81">
        <f ca="1">SUMPRODUCT((Work_Codes!$AR$440:$AX$440=$E502)*(Work_Codes!$AR$443:$AX$444)*(L$350:L$351))</f>
        <v>0</v>
      </c>
      <c r="M502" s="81">
        <f ca="1">SUMPRODUCT((Work_Codes!$AR$440:$AX$440=$E502)*(Work_Codes!$AR$443:$AX$444)*(M$350:M$351))</f>
        <v>0</v>
      </c>
      <c r="N502" s="81">
        <f ca="1">SUMPRODUCT((Work_Codes!$AR$440:$AX$440=$E502)*(Work_Codes!$AR$443:$AX$444)*(N$350:N$351))</f>
        <v>0</v>
      </c>
      <c r="O502" s="81">
        <f ca="1">SUMPRODUCT((Work_Codes!$AR$440:$AX$440=$E502)*(Work_Codes!$AR$443:$AX$444)*(O$350:O$351))</f>
        <v>0</v>
      </c>
      <c r="P502" s="81">
        <f ca="1">SUMPRODUCT((Work_Codes!$AR$440:$AX$440=$E502)*(Work_Codes!$AR$443:$AX$444)*(P$350:P$351))</f>
        <v>0</v>
      </c>
      <c r="Q502" s="81">
        <f ca="1">SUMPRODUCT((Work_Codes!$AR$440:$AX$440=$E502)*(Work_Codes!$AR$443:$AX$444)*(Q$350:Q$351))</f>
        <v>0</v>
      </c>
      <c r="R502" s="81">
        <f ca="1">SUMPRODUCT((Work_Codes!$AR$440:$AX$440=$E502)*(Work_Codes!$AR$443:$AX$444)*(R$350:R$351))</f>
        <v>0</v>
      </c>
      <c r="S502" s="81">
        <f ca="1">SUMPRODUCT((Work_Codes!$AR$440:$AX$440=$E502)*(Work_Codes!$AR$443:$AX$444)*(S$350:S$351))</f>
        <v>0</v>
      </c>
      <c r="T502" s="81">
        <f ca="1">SUMPRODUCT((Work_Codes!$AR$440:$AX$440=$E502)*(Work_Codes!$AR$443:$AX$444)*(T$350:T$351))</f>
        <v>0</v>
      </c>
    </row>
    <row r="503" spans="4:20" outlineLevel="2">
      <c r="E503" s="247" t="str">
        <f>GC!C81</f>
        <v>Buildings</v>
      </c>
      <c r="F503" s="247"/>
      <c r="G503" s="247"/>
      <c r="H503" s="247"/>
      <c r="I503" s="247"/>
      <c r="J503" s="81">
        <f ca="1">SUMPRODUCT((Work_Codes!$AR$440:$AX$440=$E503)*(Work_Codes!$AR$443:$AX$444)*(J$350:J$351))</f>
        <v>0</v>
      </c>
      <c r="K503" s="81">
        <f ca="1">SUMPRODUCT((Work_Codes!$AR$440:$AX$440=$E503)*(Work_Codes!$AR$443:$AX$444)*(K$350:K$351))</f>
        <v>0</v>
      </c>
      <c r="L503" s="81">
        <f ca="1">SUMPRODUCT((Work_Codes!$AR$440:$AX$440=$E503)*(Work_Codes!$AR$443:$AX$444)*(L$350:L$351))</f>
        <v>0</v>
      </c>
      <c r="M503" s="81">
        <f ca="1">SUMPRODUCT((Work_Codes!$AR$440:$AX$440=$E503)*(Work_Codes!$AR$443:$AX$444)*(M$350:M$351))</f>
        <v>0</v>
      </c>
      <c r="N503" s="81">
        <f ca="1">SUMPRODUCT((Work_Codes!$AR$440:$AX$440=$E503)*(Work_Codes!$AR$443:$AX$444)*(N$350:N$351))</f>
        <v>0</v>
      </c>
      <c r="O503" s="81">
        <f ca="1">SUMPRODUCT((Work_Codes!$AR$440:$AX$440=$E503)*(Work_Codes!$AR$443:$AX$444)*(O$350:O$351))</f>
        <v>0</v>
      </c>
      <c r="P503" s="81">
        <f ca="1">SUMPRODUCT((Work_Codes!$AR$440:$AX$440=$E503)*(Work_Codes!$AR$443:$AX$444)*(P$350:P$351))</f>
        <v>0</v>
      </c>
      <c r="Q503" s="81">
        <f ca="1">SUMPRODUCT((Work_Codes!$AR$440:$AX$440=$E503)*(Work_Codes!$AR$443:$AX$444)*(Q$350:Q$351))</f>
        <v>0</v>
      </c>
      <c r="R503" s="81">
        <f ca="1">SUMPRODUCT((Work_Codes!$AR$440:$AX$440=$E503)*(Work_Codes!$AR$443:$AX$444)*(R$350:R$351))</f>
        <v>0</v>
      </c>
      <c r="S503" s="81">
        <f ca="1">SUMPRODUCT((Work_Codes!$AR$440:$AX$440=$E503)*(Work_Codes!$AR$443:$AX$444)*(S$350:S$351))</f>
        <v>0</v>
      </c>
      <c r="T503" s="81">
        <f ca="1">SUMPRODUCT((Work_Codes!$AR$440:$AX$440=$E503)*(Work_Codes!$AR$443:$AX$444)*(T$350:T$351))</f>
        <v>0</v>
      </c>
    </row>
    <row r="504" spans="4:20" outlineLevel="2">
      <c r="E504" s="247" t="str">
        <f>GC!C82</f>
        <v>Other Assets</v>
      </c>
      <c r="F504" s="247"/>
      <c r="G504" s="247"/>
      <c r="H504" s="247"/>
      <c r="I504" s="247"/>
      <c r="J504" s="81">
        <f ca="1">SUMPRODUCT((Work_Codes!$AR$440:$AX$440=$E504)*(Work_Codes!$AR$443:$AX$444)*(J$350:J$351))</f>
        <v>0</v>
      </c>
      <c r="K504" s="81">
        <f ca="1">SUMPRODUCT((Work_Codes!$AR$440:$AX$440=$E504)*(Work_Codes!$AR$443:$AX$444)*(K$350:K$351))</f>
        <v>0</v>
      </c>
      <c r="L504" s="81">
        <f ca="1">SUMPRODUCT((Work_Codes!$AR$440:$AX$440=$E504)*(Work_Codes!$AR$443:$AX$444)*(L$350:L$351))</f>
        <v>0</v>
      </c>
      <c r="M504" s="81">
        <f ca="1">SUMPRODUCT((Work_Codes!$AR$440:$AX$440=$E504)*(Work_Codes!$AR$443:$AX$444)*(M$350:M$351))</f>
        <v>0</v>
      </c>
      <c r="N504" s="81">
        <f ca="1">SUMPRODUCT((Work_Codes!$AR$440:$AX$440=$E504)*(Work_Codes!$AR$443:$AX$444)*(N$350:N$351))</f>
        <v>8226516.2891243435</v>
      </c>
      <c r="O504" s="81">
        <f ca="1">SUMPRODUCT((Work_Codes!$AR$440:$AX$440=$E504)*(Work_Codes!$AR$443:$AX$444)*(O$350:O$351))</f>
        <v>423065.93627013033</v>
      </c>
      <c r="P504" s="81">
        <f ca="1">SUMPRODUCT((Work_Codes!$AR$440:$AX$440=$E504)*(Work_Codes!$AR$443:$AX$444)*(P$350:P$351))</f>
        <v>0</v>
      </c>
      <c r="Q504" s="81">
        <f ca="1">SUMPRODUCT((Work_Codes!$AR$440:$AX$440=$E504)*(Work_Codes!$AR$443:$AX$444)*(Q$350:Q$351))</f>
        <v>0</v>
      </c>
      <c r="R504" s="81">
        <f ca="1">SUMPRODUCT((Work_Codes!$AR$440:$AX$440=$E504)*(Work_Codes!$AR$443:$AX$444)*(R$350:R$351))</f>
        <v>0</v>
      </c>
      <c r="S504" s="81">
        <f ca="1">SUMPRODUCT((Work_Codes!$AR$440:$AX$440=$E504)*(Work_Codes!$AR$443:$AX$444)*(S$350:S$351))</f>
        <v>0</v>
      </c>
      <c r="T504" s="81">
        <f ca="1">SUMPRODUCT((Work_Codes!$AR$440:$AX$440=$E504)*(Work_Codes!$AR$443:$AX$444)*(T$350:T$351))</f>
        <v>0</v>
      </c>
    </row>
    <row r="505" spans="4:20" outlineLevel="2">
      <c r="E505" s="247" t="str">
        <f>GC!C83</f>
        <v>Repairs</v>
      </c>
      <c r="F505" s="247"/>
      <c r="G505" s="247"/>
      <c r="H505" s="247"/>
      <c r="I505" s="247"/>
      <c r="J505" s="81">
        <f ca="1">SUMPRODUCT((Work_Codes!$AR$440:$AX$440=$E505)*(Work_Codes!$AR$443:$AX$444)*(J$350:J$351))</f>
        <v>0</v>
      </c>
      <c r="K505" s="81">
        <f ca="1">SUMPRODUCT((Work_Codes!$AR$440:$AX$440=$E505)*(Work_Codes!$AR$443:$AX$444)*(K$350:K$351))</f>
        <v>0</v>
      </c>
      <c r="L505" s="81">
        <f ca="1">SUMPRODUCT((Work_Codes!$AR$440:$AX$440=$E505)*(Work_Codes!$AR$443:$AX$444)*(L$350:L$351))</f>
        <v>0</v>
      </c>
      <c r="M505" s="81">
        <f ca="1">SUMPRODUCT((Work_Codes!$AR$440:$AX$440=$E505)*(Work_Codes!$AR$443:$AX$444)*(M$350:M$351))</f>
        <v>0</v>
      </c>
      <c r="N505" s="81">
        <f ca="1">SUMPRODUCT((Work_Codes!$AR$440:$AX$440=$E505)*(Work_Codes!$AR$443:$AX$444)*(N$350:N$351))</f>
        <v>0</v>
      </c>
      <c r="O505" s="81">
        <f ca="1">SUMPRODUCT((Work_Codes!$AR$440:$AX$440=$E505)*(Work_Codes!$AR$443:$AX$444)*(O$350:O$351))</f>
        <v>0</v>
      </c>
      <c r="P505" s="81">
        <f ca="1">SUMPRODUCT((Work_Codes!$AR$440:$AX$440=$E505)*(Work_Codes!$AR$443:$AX$444)*(P$350:P$351))</f>
        <v>0</v>
      </c>
      <c r="Q505" s="81">
        <f ca="1">SUMPRODUCT((Work_Codes!$AR$440:$AX$440=$E505)*(Work_Codes!$AR$443:$AX$444)*(Q$350:Q$351))</f>
        <v>0</v>
      </c>
      <c r="R505" s="81">
        <f ca="1">SUMPRODUCT((Work_Codes!$AR$440:$AX$440=$E505)*(Work_Codes!$AR$443:$AX$444)*(R$350:R$351))</f>
        <v>0</v>
      </c>
      <c r="S505" s="81">
        <f ca="1">SUMPRODUCT((Work_Codes!$AR$440:$AX$440=$E505)*(Work_Codes!$AR$443:$AX$444)*(S$350:S$351))</f>
        <v>0</v>
      </c>
      <c r="T505" s="81">
        <f ca="1">SUMPRODUCT((Work_Codes!$AR$440:$AX$440=$E505)*(Work_Codes!$AR$443:$AX$444)*(T$350:T$351))</f>
        <v>0</v>
      </c>
    </row>
    <row r="506" spans="4:20" outlineLevel="2">
      <c r="E506" s="247" t="str">
        <f>GC!C84</f>
        <v>Land</v>
      </c>
      <c r="F506" s="247"/>
      <c r="G506" s="247"/>
      <c r="H506" s="247"/>
      <c r="I506" s="247"/>
      <c r="J506" s="81">
        <f ca="1">SUMPRODUCT((Work_Codes!$AR$440:$AX$440=$E506)*(Work_Codes!$AR$443:$AX$444)*(J$350:J$351))</f>
        <v>0</v>
      </c>
      <c r="K506" s="81">
        <f ca="1">SUMPRODUCT((Work_Codes!$AR$440:$AX$440=$E506)*(Work_Codes!$AR$443:$AX$444)*(K$350:K$351))</f>
        <v>0</v>
      </c>
      <c r="L506" s="81">
        <f ca="1">SUMPRODUCT((Work_Codes!$AR$440:$AX$440=$E506)*(Work_Codes!$AR$443:$AX$444)*(L$350:L$351))</f>
        <v>0</v>
      </c>
      <c r="M506" s="81">
        <f ca="1">SUMPRODUCT((Work_Codes!$AR$440:$AX$440=$E506)*(Work_Codes!$AR$443:$AX$444)*(M$350:M$351))</f>
        <v>0</v>
      </c>
      <c r="N506" s="81">
        <f ca="1">SUMPRODUCT((Work_Codes!$AR$440:$AX$440=$E506)*(Work_Codes!$AR$443:$AX$444)*(N$350:N$351))</f>
        <v>0</v>
      </c>
      <c r="O506" s="81">
        <f ca="1">SUMPRODUCT((Work_Codes!$AR$440:$AX$440=$E506)*(Work_Codes!$AR$443:$AX$444)*(O$350:O$351))</f>
        <v>0</v>
      </c>
      <c r="P506" s="81">
        <f ca="1">SUMPRODUCT((Work_Codes!$AR$440:$AX$440=$E506)*(Work_Codes!$AR$443:$AX$444)*(P$350:P$351))</f>
        <v>0</v>
      </c>
      <c r="Q506" s="81">
        <f ca="1">SUMPRODUCT((Work_Codes!$AR$440:$AX$440=$E506)*(Work_Codes!$AR$443:$AX$444)*(Q$350:Q$351))</f>
        <v>0</v>
      </c>
      <c r="R506" s="81">
        <f ca="1">SUMPRODUCT((Work_Codes!$AR$440:$AX$440=$E506)*(Work_Codes!$AR$443:$AX$444)*(R$350:R$351))</f>
        <v>0</v>
      </c>
      <c r="S506" s="81">
        <f ca="1">SUMPRODUCT((Work_Codes!$AR$440:$AX$440=$E506)*(Work_Codes!$AR$443:$AX$444)*(S$350:S$351))</f>
        <v>0</v>
      </c>
      <c r="T506" s="81">
        <f ca="1">SUMPRODUCT((Work_Codes!$AR$440:$AX$440=$E506)*(Work_Codes!$AR$443:$AX$444)*(T$350:T$351))</f>
        <v>0</v>
      </c>
    </row>
    <row r="507" spans="4:20" outlineLevel="2">
      <c r="E507" s="249" t="str">
        <f>"Total "&amp;D498</f>
        <v>Total Direct Costs</v>
      </c>
      <c r="F507" s="249"/>
      <c r="G507" s="249"/>
      <c r="H507" s="249"/>
      <c r="I507" s="249"/>
      <c r="J507" s="82">
        <f t="shared" ref="J507:T507" ca="1" si="52">SUM(J500:J506)</f>
        <v>0</v>
      </c>
      <c r="K507" s="82">
        <f t="shared" ca="1" si="52"/>
        <v>0</v>
      </c>
      <c r="L507" s="82">
        <f t="shared" ca="1" si="52"/>
        <v>0</v>
      </c>
      <c r="M507" s="82">
        <f t="shared" ca="1" si="52"/>
        <v>0</v>
      </c>
      <c r="N507" s="82">
        <f t="shared" ca="1" si="52"/>
        <v>8226516.2891243435</v>
      </c>
      <c r="O507" s="82">
        <f t="shared" ca="1" si="52"/>
        <v>423065.93627013033</v>
      </c>
      <c r="P507" s="82">
        <f t="shared" ca="1" si="52"/>
        <v>0</v>
      </c>
      <c r="Q507" s="82">
        <f t="shared" ca="1" si="52"/>
        <v>0</v>
      </c>
      <c r="R507" s="82">
        <f t="shared" ca="1" si="52"/>
        <v>0</v>
      </c>
      <c r="S507" s="82">
        <f t="shared" ca="1" si="52"/>
        <v>0</v>
      </c>
      <c r="T507" s="82">
        <f t="shared" ca="1" si="52"/>
        <v>0</v>
      </c>
    </row>
    <row r="508" spans="4:20" outlineLevel="2"/>
    <row r="509" spans="4:20" outlineLevel="2">
      <c r="D509" s="37" t="s">
        <v>313</v>
      </c>
    </row>
    <row r="510" spans="4:20" ht="5.9" customHeight="1" outlineLevel="2"/>
    <row r="511" spans="4:20" outlineLevel="2">
      <c r="E511" s="247" t="str">
        <f>GC!C78</f>
        <v>Mains &amp; Services</v>
      </c>
      <c r="F511" s="247"/>
      <c r="G511" s="247"/>
      <c r="H511" s="247"/>
      <c r="I511" s="247"/>
      <c r="J511" s="81">
        <f ca="1">J500*(1+INDEX(J$289:J$291,MATCH(Work_Codes!$I$437,$D$289:$D$291,0)))</f>
        <v>0</v>
      </c>
      <c r="K511" s="81">
        <f ca="1">K500*(1+INDEX(K$289:K$291,MATCH(Work_Codes!$I$437,$D$289:$D$291,0)))</f>
        <v>0</v>
      </c>
      <c r="L511" s="81">
        <f ca="1">L500*(1+INDEX(L$289:L$291,MATCH(Work_Codes!$I$437,$D$289:$D$291,0)))</f>
        <v>0</v>
      </c>
      <c r="M511" s="81">
        <f ca="1">M500*(1+INDEX(M$289:M$291,MATCH(Work_Codes!$I$437,$D$289:$D$291,0)))</f>
        <v>0</v>
      </c>
      <c r="N511" s="81">
        <f ca="1">N500*(1+INDEX(N$289:N$291,MATCH(Work_Codes!$I$437,$D$289:$D$291,0)))</f>
        <v>0</v>
      </c>
      <c r="O511" s="81">
        <f ca="1">O500*(1+INDEX(O$289:O$291,MATCH(Work_Codes!$I$437,$D$289:$D$291,0)))</f>
        <v>0</v>
      </c>
      <c r="P511" s="81">
        <f ca="1">P500*(1+INDEX(P$289:P$291,MATCH(Work_Codes!$I$437,$D$289:$D$291,0)))</f>
        <v>0</v>
      </c>
      <c r="Q511" s="81">
        <f ca="1">Q500*(1+INDEX(Q$289:Q$291,MATCH(Work_Codes!$I$437,$D$289:$D$291,0)))</f>
        <v>0</v>
      </c>
      <c r="R511" s="81">
        <f ca="1">R500*(1+INDEX(R$289:R$291,MATCH(Work_Codes!$I$437,$D$289:$D$291,0)))</f>
        <v>0</v>
      </c>
      <c r="S511" s="81">
        <f ca="1">S500*(1+INDEX(S$289:S$291,MATCH(Work_Codes!$I$437,$D$289:$D$291,0)))</f>
        <v>0</v>
      </c>
      <c r="T511" s="81">
        <f ca="1">T500*(1+INDEX(T$289:T$291,MATCH(Work_Codes!$I$437,$D$289:$D$291,0)))</f>
        <v>0</v>
      </c>
    </row>
    <row r="512" spans="4:20" outlineLevel="2">
      <c r="E512" s="247" t="str">
        <f>GC!C79</f>
        <v>Meters Domestic</v>
      </c>
      <c r="F512" s="247"/>
      <c r="G512" s="247"/>
      <c r="H512" s="247"/>
      <c r="I512" s="247"/>
      <c r="J512" s="81">
        <f ca="1">J501*(1+INDEX(J$289:J$291,MATCH(Work_Codes!$I$437,$D$289:$D$291,0)))</f>
        <v>0</v>
      </c>
      <c r="K512" s="81">
        <f ca="1">K501*(1+INDEX(K$289:K$291,MATCH(Work_Codes!$I$437,$D$289:$D$291,0)))</f>
        <v>0</v>
      </c>
      <c r="L512" s="81">
        <f ca="1">L501*(1+INDEX(L$289:L$291,MATCH(Work_Codes!$I$437,$D$289:$D$291,0)))</f>
        <v>0</v>
      </c>
      <c r="M512" s="81">
        <f ca="1">M501*(1+INDEX(M$289:M$291,MATCH(Work_Codes!$I$437,$D$289:$D$291,0)))</f>
        <v>0</v>
      </c>
      <c r="N512" s="81">
        <f ca="1">N501*(1+INDEX(N$289:N$291,MATCH(Work_Codes!$I$437,$D$289:$D$291,0)))</f>
        <v>0</v>
      </c>
      <c r="O512" s="81">
        <f ca="1">O501*(1+INDEX(O$289:O$291,MATCH(Work_Codes!$I$437,$D$289:$D$291,0)))</f>
        <v>0</v>
      </c>
      <c r="P512" s="81">
        <f ca="1">P501*(1+INDEX(P$289:P$291,MATCH(Work_Codes!$I$437,$D$289:$D$291,0)))</f>
        <v>0</v>
      </c>
      <c r="Q512" s="81">
        <f ca="1">Q501*(1+INDEX(Q$289:Q$291,MATCH(Work_Codes!$I$437,$D$289:$D$291,0)))</f>
        <v>0</v>
      </c>
      <c r="R512" s="81">
        <f ca="1">R501*(1+INDEX(R$289:R$291,MATCH(Work_Codes!$I$437,$D$289:$D$291,0)))</f>
        <v>0</v>
      </c>
      <c r="S512" s="81">
        <f ca="1">S501*(1+INDEX(S$289:S$291,MATCH(Work_Codes!$I$437,$D$289:$D$291,0)))</f>
        <v>0</v>
      </c>
      <c r="T512" s="81">
        <f ca="1">T501*(1+INDEX(T$289:T$291,MATCH(Work_Codes!$I$437,$D$289:$D$291,0)))</f>
        <v>0</v>
      </c>
    </row>
    <row r="513" spans="2:20" outlineLevel="2">
      <c r="E513" s="247" t="str">
        <f>GC!C80</f>
        <v>Meters Industrial &amp; Commercial</v>
      </c>
      <c r="F513" s="247"/>
      <c r="G513" s="247"/>
      <c r="H513" s="247"/>
      <c r="I513" s="247"/>
      <c r="J513" s="81">
        <f ca="1">J502*(1+INDEX(J$289:J$291,MATCH(Work_Codes!$I$437,$D$289:$D$291,0)))</f>
        <v>0</v>
      </c>
      <c r="K513" s="81">
        <f ca="1">K502*(1+INDEX(K$289:K$291,MATCH(Work_Codes!$I$437,$D$289:$D$291,0)))</f>
        <v>0</v>
      </c>
      <c r="L513" s="81">
        <f ca="1">L502*(1+INDEX(L$289:L$291,MATCH(Work_Codes!$I$437,$D$289:$D$291,0)))</f>
        <v>0</v>
      </c>
      <c r="M513" s="81">
        <f ca="1">M502*(1+INDEX(M$289:M$291,MATCH(Work_Codes!$I$437,$D$289:$D$291,0)))</f>
        <v>0</v>
      </c>
      <c r="N513" s="81">
        <f ca="1">N502*(1+INDEX(N$289:N$291,MATCH(Work_Codes!$I$437,$D$289:$D$291,0)))</f>
        <v>0</v>
      </c>
      <c r="O513" s="81">
        <f ca="1">O502*(1+INDEX(O$289:O$291,MATCH(Work_Codes!$I$437,$D$289:$D$291,0)))</f>
        <v>0</v>
      </c>
      <c r="P513" s="81">
        <f ca="1">P502*(1+INDEX(P$289:P$291,MATCH(Work_Codes!$I$437,$D$289:$D$291,0)))</f>
        <v>0</v>
      </c>
      <c r="Q513" s="81">
        <f ca="1">Q502*(1+INDEX(Q$289:Q$291,MATCH(Work_Codes!$I$437,$D$289:$D$291,0)))</f>
        <v>0</v>
      </c>
      <c r="R513" s="81">
        <f ca="1">R502*(1+INDEX(R$289:R$291,MATCH(Work_Codes!$I$437,$D$289:$D$291,0)))</f>
        <v>0</v>
      </c>
      <c r="S513" s="81">
        <f ca="1">S502*(1+INDEX(S$289:S$291,MATCH(Work_Codes!$I$437,$D$289:$D$291,0)))</f>
        <v>0</v>
      </c>
      <c r="T513" s="81">
        <f ca="1">T502*(1+INDEX(T$289:T$291,MATCH(Work_Codes!$I$437,$D$289:$D$291,0)))</f>
        <v>0</v>
      </c>
    </row>
    <row r="514" spans="2:20" outlineLevel="2">
      <c r="E514" s="247" t="str">
        <f>GC!C81</f>
        <v>Buildings</v>
      </c>
      <c r="F514" s="247"/>
      <c r="G514" s="247"/>
      <c r="H514" s="247"/>
      <c r="I514" s="247"/>
      <c r="J514" s="81">
        <f ca="1">J503*(1+INDEX(J$289:J$291,MATCH(Work_Codes!$I$437,$D$289:$D$291,0)))</f>
        <v>0</v>
      </c>
      <c r="K514" s="81">
        <f ca="1">K503*(1+INDEX(K$289:K$291,MATCH(Work_Codes!$I$437,$D$289:$D$291,0)))</f>
        <v>0</v>
      </c>
      <c r="L514" s="81">
        <f ca="1">L503*(1+INDEX(L$289:L$291,MATCH(Work_Codes!$I$437,$D$289:$D$291,0)))</f>
        <v>0</v>
      </c>
      <c r="M514" s="81">
        <f ca="1">M503*(1+INDEX(M$289:M$291,MATCH(Work_Codes!$I$437,$D$289:$D$291,0)))</f>
        <v>0</v>
      </c>
      <c r="N514" s="81">
        <f ca="1">N503*(1+INDEX(N$289:N$291,MATCH(Work_Codes!$I$437,$D$289:$D$291,0)))</f>
        <v>0</v>
      </c>
      <c r="O514" s="81">
        <f ca="1">O503*(1+INDEX(O$289:O$291,MATCH(Work_Codes!$I$437,$D$289:$D$291,0)))</f>
        <v>0</v>
      </c>
      <c r="P514" s="81">
        <f ca="1">P503*(1+INDEX(P$289:P$291,MATCH(Work_Codes!$I$437,$D$289:$D$291,0)))</f>
        <v>0</v>
      </c>
      <c r="Q514" s="81">
        <f ca="1">Q503*(1+INDEX(Q$289:Q$291,MATCH(Work_Codes!$I$437,$D$289:$D$291,0)))</f>
        <v>0</v>
      </c>
      <c r="R514" s="81">
        <f ca="1">R503*(1+INDEX(R$289:R$291,MATCH(Work_Codes!$I$437,$D$289:$D$291,0)))</f>
        <v>0</v>
      </c>
      <c r="S514" s="81">
        <f ca="1">S503*(1+INDEX(S$289:S$291,MATCH(Work_Codes!$I$437,$D$289:$D$291,0)))</f>
        <v>0</v>
      </c>
      <c r="T514" s="81">
        <f ca="1">T503*(1+INDEX(T$289:T$291,MATCH(Work_Codes!$I$437,$D$289:$D$291,0)))</f>
        <v>0</v>
      </c>
    </row>
    <row r="515" spans="2:20" outlineLevel="2">
      <c r="E515" s="247" t="str">
        <f>GC!C82</f>
        <v>Other Assets</v>
      </c>
      <c r="F515" s="247"/>
      <c r="G515" s="247"/>
      <c r="H515" s="247"/>
      <c r="I515" s="247"/>
      <c r="J515" s="81">
        <f ca="1">J504*(1+INDEX(J$289:J$291,MATCH(Work_Codes!$I$437,$D$289:$D$291,0)))</f>
        <v>0</v>
      </c>
      <c r="K515" s="81">
        <f ca="1">K504*(1+INDEX(K$289:K$291,MATCH(Work_Codes!$I$437,$D$289:$D$291,0)))</f>
        <v>0</v>
      </c>
      <c r="L515" s="81">
        <f ca="1">L504*(1+INDEX(L$289:L$291,MATCH(Work_Codes!$I$437,$D$289:$D$291,0)))</f>
        <v>0</v>
      </c>
      <c r="M515" s="81">
        <f ca="1">M504*(1+INDEX(M$289:M$291,MATCH(Work_Codes!$I$437,$D$289:$D$291,0)))</f>
        <v>0</v>
      </c>
      <c r="N515" s="81">
        <f ca="1">N504*(1+INDEX(N$289:N$291,MATCH(Work_Codes!$I$437,$D$289:$D$291,0)))</f>
        <v>8536746.5056393631</v>
      </c>
      <c r="O515" s="81">
        <f ca="1">O504*(1+INDEX(O$289:O$291,MATCH(Work_Codes!$I$437,$D$289:$D$291,0)))</f>
        <v>437147.24980104592</v>
      </c>
      <c r="P515" s="81">
        <f ca="1">P504*(1+INDEX(P$289:P$291,MATCH(Work_Codes!$I$437,$D$289:$D$291,0)))</f>
        <v>0</v>
      </c>
      <c r="Q515" s="81">
        <f ca="1">Q504*(1+INDEX(Q$289:Q$291,MATCH(Work_Codes!$I$437,$D$289:$D$291,0)))</f>
        <v>0</v>
      </c>
      <c r="R515" s="81">
        <f ca="1">R504*(1+INDEX(R$289:R$291,MATCH(Work_Codes!$I$437,$D$289:$D$291,0)))</f>
        <v>0</v>
      </c>
      <c r="S515" s="81">
        <f ca="1">S504*(1+INDEX(S$289:S$291,MATCH(Work_Codes!$I$437,$D$289:$D$291,0)))</f>
        <v>0</v>
      </c>
      <c r="T515" s="81">
        <f ca="1">T504*(1+INDEX(T$289:T$291,MATCH(Work_Codes!$I$437,$D$289:$D$291,0)))</f>
        <v>0</v>
      </c>
    </row>
    <row r="516" spans="2:20" outlineLevel="2">
      <c r="E516" s="247" t="str">
        <f>GC!C83</f>
        <v>Repairs</v>
      </c>
      <c r="F516" s="247"/>
      <c r="G516" s="247"/>
      <c r="H516" s="247"/>
      <c r="I516" s="247"/>
      <c r="J516" s="81">
        <f ca="1">J505*(1+INDEX(J$289:J$291,MATCH(Work_Codes!$I$437,$D$289:$D$291,0)))</f>
        <v>0</v>
      </c>
      <c r="K516" s="81">
        <f ca="1">K505*(1+INDEX(K$289:K$291,MATCH(Work_Codes!$I$437,$D$289:$D$291,0)))</f>
        <v>0</v>
      </c>
      <c r="L516" s="81">
        <f ca="1">L505*(1+INDEX(L$289:L$291,MATCH(Work_Codes!$I$437,$D$289:$D$291,0)))</f>
        <v>0</v>
      </c>
      <c r="M516" s="81">
        <f ca="1">M505*(1+INDEX(M$289:M$291,MATCH(Work_Codes!$I$437,$D$289:$D$291,0)))</f>
        <v>0</v>
      </c>
      <c r="N516" s="81">
        <f ca="1">N505*(1+INDEX(N$289:N$291,MATCH(Work_Codes!$I$437,$D$289:$D$291,0)))</f>
        <v>0</v>
      </c>
      <c r="O516" s="81">
        <f ca="1">O505*(1+INDEX(O$289:O$291,MATCH(Work_Codes!$I$437,$D$289:$D$291,0)))</f>
        <v>0</v>
      </c>
      <c r="P516" s="81">
        <f ca="1">P505*(1+INDEX(P$289:P$291,MATCH(Work_Codes!$I$437,$D$289:$D$291,0)))</f>
        <v>0</v>
      </c>
      <c r="Q516" s="81">
        <f ca="1">Q505*(1+INDEX(Q$289:Q$291,MATCH(Work_Codes!$I$437,$D$289:$D$291,0)))</f>
        <v>0</v>
      </c>
      <c r="R516" s="81">
        <f ca="1">R505*(1+INDEX(R$289:R$291,MATCH(Work_Codes!$I$437,$D$289:$D$291,0)))</f>
        <v>0</v>
      </c>
      <c r="S516" s="81">
        <f ca="1">S505*(1+INDEX(S$289:S$291,MATCH(Work_Codes!$I$437,$D$289:$D$291,0)))</f>
        <v>0</v>
      </c>
      <c r="T516" s="81">
        <f ca="1">T505*(1+INDEX(T$289:T$291,MATCH(Work_Codes!$I$437,$D$289:$D$291,0)))</f>
        <v>0</v>
      </c>
    </row>
    <row r="517" spans="2:20" outlineLevel="2">
      <c r="E517" s="247" t="str">
        <f>GC!C84</f>
        <v>Land</v>
      </c>
      <c r="F517" s="247"/>
      <c r="G517" s="247"/>
      <c r="H517" s="247"/>
      <c r="I517" s="247"/>
      <c r="J517" s="81">
        <f ca="1">J506*(1+INDEX(J$289:J$291,MATCH(Work_Codes!$I$437,$D$289:$D$291,0)))</f>
        <v>0</v>
      </c>
      <c r="K517" s="81">
        <f ca="1">K506*(1+INDEX(K$289:K$291,MATCH(Work_Codes!$I$437,$D$289:$D$291,0)))</f>
        <v>0</v>
      </c>
      <c r="L517" s="81">
        <f ca="1">L506*(1+INDEX(L$289:L$291,MATCH(Work_Codes!$I$437,$D$289:$D$291,0)))</f>
        <v>0</v>
      </c>
      <c r="M517" s="81">
        <f ca="1">M506*(1+INDEX(M$289:M$291,MATCH(Work_Codes!$I$437,$D$289:$D$291,0)))</f>
        <v>0</v>
      </c>
      <c r="N517" s="81">
        <f ca="1">N506*(1+INDEX(N$289:N$291,MATCH(Work_Codes!$I$437,$D$289:$D$291,0)))</f>
        <v>0</v>
      </c>
      <c r="O517" s="81">
        <f ca="1">O506*(1+INDEX(O$289:O$291,MATCH(Work_Codes!$I$437,$D$289:$D$291,0)))</f>
        <v>0</v>
      </c>
      <c r="P517" s="81">
        <f ca="1">P506*(1+INDEX(P$289:P$291,MATCH(Work_Codes!$I$437,$D$289:$D$291,0)))</f>
        <v>0</v>
      </c>
      <c r="Q517" s="81">
        <f ca="1">Q506*(1+INDEX(Q$289:Q$291,MATCH(Work_Codes!$I$437,$D$289:$D$291,0)))</f>
        <v>0</v>
      </c>
      <c r="R517" s="81">
        <f ca="1">R506*(1+INDEX(R$289:R$291,MATCH(Work_Codes!$I$437,$D$289:$D$291,0)))</f>
        <v>0</v>
      </c>
      <c r="S517" s="81">
        <f ca="1">S506*(1+INDEX(S$289:S$291,MATCH(Work_Codes!$I$437,$D$289:$D$291,0)))</f>
        <v>0</v>
      </c>
      <c r="T517" s="81">
        <f ca="1">T506*(1+INDEX(T$289:T$291,MATCH(Work_Codes!$I$437,$D$289:$D$291,0)))</f>
        <v>0</v>
      </c>
    </row>
    <row r="518" spans="2:20" outlineLevel="2">
      <c r="E518" s="249" t="str">
        <f>"Total "&amp;D509</f>
        <v>Total Direct Costs +  Overheads</v>
      </c>
      <c r="F518" s="249"/>
      <c r="G518" s="249"/>
      <c r="H518" s="249"/>
      <c r="I518" s="249"/>
      <c r="J518" s="82">
        <f t="shared" ref="J518:T518" ca="1" si="53">SUM(J511:J517)</f>
        <v>0</v>
      </c>
      <c r="K518" s="82">
        <f t="shared" ca="1" si="53"/>
        <v>0</v>
      </c>
      <c r="L518" s="82">
        <f t="shared" ca="1" si="53"/>
        <v>0</v>
      </c>
      <c r="M518" s="82">
        <f t="shared" ca="1" si="53"/>
        <v>0</v>
      </c>
      <c r="N518" s="82">
        <f t="shared" ca="1" si="53"/>
        <v>8536746.5056393631</v>
      </c>
      <c r="O518" s="82">
        <f t="shared" ca="1" si="53"/>
        <v>437147.24980104592</v>
      </c>
      <c r="P518" s="82">
        <f t="shared" ca="1" si="53"/>
        <v>0</v>
      </c>
      <c r="Q518" s="82">
        <f t="shared" ca="1" si="53"/>
        <v>0</v>
      </c>
      <c r="R518" s="82">
        <f t="shared" ca="1" si="53"/>
        <v>0</v>
      </c>
      <c r="S518" s="82">
        <f t="shared" ca="1" si="53"/>
        <v>0</v>
      </c>
      <c r="T518" s="82">
        <f t="shared" ca="1" si="53"/>
        <v>0</v>
      </c>
    </row>
    <row r="519" spans="2:20" outlineLevel="1">
      <c r="B519" s="12"/>
      <c r="C519" s="12"/>
      <c r="D519" s="12"/>
      <c r="E519" s="12"/>
      <c r="F519" s="12"/>
      <c r="G519" s="12"/>
      <c r="H519" s="12"/>
      <c r="I519" s="12"/>
      <c r="J519" s="12"/>
      <c r="K519" s="12"/>
      <c r="L519" s="12"/>
      <c r="M519" s="12"/>
      <c r="N519" s="12"/>
      <c r="O519" s="12"/>
      <c r="P519" s="12"/>
      <c r="Q519" s="12"/>
      <c r="R519" s="12"/>
      <c r="S519" s="12"/>
      <c r="T519" s="12"/>
    </row>
    <row r="520" spans="2:20" outlineLevel="1"/>
    <row r="521" spans="2:20" outlineLevel="1">
      <c r="C521" s="37" t="s">
        <v>19</v>
      </c>
    </row>
    <row r="522" spans="2:20" ht="5.9" customHeight="1" outlineLevel="1"/>
    <row r="523" spans="2:20" outlineLevel="1">
      <c r="F523" s="51" t="str">
        <f>$B$277&amp;" Work Code v RAB Category Direct Check"</f>
        <v>3024 - Inputs Work Code v RAB Category Direct Check</v>
      </c>
      <c r="I523" s="130">
        <f ca="1">IF(ISERROR(SUM(J523:T523)),1,MIN(SUM(J523:T523),1))</f>
        <v>0</v>
      </c>
      <c r="J523" s="81">
        <f t="shared" ref="J523:T523" ca="1" si="54">J353-J376</f>
        <v>0</v>
      </c>
      <c r="K523" s="81">
        <f t="shared" ca="1" si="54"/>
        <v>0</v>
      </c>
      <c r="L523" s="81">
        <f t="shared" ca="1" si="54"/>
        <v>0</v>
      </c>
      <c r="M523" s="81">
        <f t="shared" ca="1" si="54"/>
        <v>0</v>
      </c>
      <c r="N523" s="81">
        <f t="shared" ca="1" si="54"/>
        <v>0</v>
      </c>
      <c r="O523" s="81">
        <f t="shared" ca="1" si="54"/>
        <v>0</v>
      </c>
      <c r="P523" s="81">
        <f t="shared" ca="1" si="54"/>
        <v>0</v>
      </c>
      <c r="Q523" s="81">
        <f t="shared" ca="1" si="54"/>
        <v>0</v>
      </c>
      <c r="R523" s="81">
        <f t="shared" ca="1" si="54"/>
        <v>0</v>
      </c>
      <c r="S523" s="81">
        <f t="shared" ca="1" si="54"/>
        <v>0</v>
      </c>
      <c r="T523" s="81">
        <f t="shared" ca="1" si="54"/>
        <v>0</v>
      </c>
    </row>
    <row r="524" spans="2:20" outlineLevel="1">
      <c r="F524" s="51" t="str">
        <f>$B$277&amp;" Work Code v RIN Category Direct Check"</f>
        <v>3024 - Inputs Work Code v RIN Category Direct Check</v>
      </c>
      <c r="I524" s="130">
        <f ca="1">IF(ISERROR(SUM(J524:T524)),1,MIN(SUM(J524:T524),1))</f>
        <v>0</v>
      </c>
      <c r="J524" s="81">
        <f t="shared" ref="J524:T524" ca="1" si="55">J353-J457</f>
        <v>0</v>
      </c>
      <c r="K524" s="81">
        <f t="shared" ca="1" si="55"/>
        <v>0</v>
      </c>
      <c r="L524" s="81">
        <f t="shared" ca="1" si="55"/>
        <v>0</v>
      </c>
      <c r="M524" s="81">
        <f t="shared" ca="1" si="55"/>
        <v>0</v>
      </c>
      <c r="N524" s="81">
        <f t="shared" ca="1" si="55"/>
        <v>0</v>
      </c>
      <c r="O524" s="81">
        <f t="shared" ca="1" si="55"/>
        <v>0</v>
      </c>
      <c r="P524" s="81">
        <f t="shared" ca="1" si="55"/>
        <v>0</v>
      </c>
      <c r="Q524" s="81">
        <f t="shared" ca="1" si="55"/>
        <v>0</v>
      </c>
      <c r="R524" s="81">
        <f t="shared" ca="1" si="55"/>
        <v>0</v>
      </c>
      <c r="S524" s="81">
        <f t="shared" ca="1" si="55"/>
        <v>0</v>
      </c>
      <c r="T524" s="81">
        <f t="shared" ca="1" si="55"/>
        <v>0</v>
      </c>
    </row>
    <row r="525" spans="2:20" outlineLevel="1">
      <c r="F525" s="51" t="str">
        <f>$B$277&amp;" Work Code v Tax Category Direct Check"</f>
        <v>3024 - Inputs Work Code v Tax Category Direct Check</v>
      </c>
      <c r="I525" s="130">
        <f ca="1">IF(ISERROR(SUM(J525:T525)),1,MIN(SUM(J525:T525),1))</f>
        <v>0</v>
      </c>
      <c r="J525" s="81">
        <f t="shared" ref="J525:T525" ca="1" si="56">J353-J507</f>
        <v>0</v>
      </c>
      <c r="K525" s="81">
        <f t="shared" ca="1" si="56"/>
        <v>0</v>
      </c>
      <c r="L525" s="81">
        <f t="shared" ca="1" si="56"/>
        <v>0</v>
      </c>
      <c r="M525" s="81">
        <f t="shared" ca="1" si="56"/>
        <v>0</v>
      </c>
      <c r="N525" s="81">
        <f t="shared" ca="1" si="56"/>
        <v>0</v>
      </c>
      <c r="O525" s="81">
        <f t="shared" ca="1" si="56"/>
        <v>0</v>
      </c>
      <c r="P525" s="81">
        <f t="shared" ca="1" si="56"/>
        <v>0</v>
      </c>
      <c r="Q525" s="81">
        <f t="shared" ca="1" si="56"/>
        <v>0</v>
      </c>
      <c r="R525" s="81">
        <f t="shared" ca="1" si="56"/>
        <v>0</v>
      </c>
      <c r="S525" s="81">
        <f t="shared" ca="1" si="56"/>
        <v>0</v>
      </c>
      <c r="T525" s="81">
        <f t="shared" ca="1" si="56"/>
        <v>0</v>
      </c>
    </row>
    <row r="526" spans="2:20" outlineLevel="1">
      <c r="F526" s="51" t="str">
        <f>$B$277&amp;" Customer Contributions v RAB Category Direct Check"</f>
        <v>3024 - Inputs Customer Contributions v RAB Category Direct Check</v>
      </c>
      <c r="I526" s="130">
        <f ca="1">IF(ISERROR(SUM(J526:T526)),1,MIN(SUM(J526:T526),1))</f>
        <v>0</v>
      </c>
      <c r="J526" s="81">
        <f t="shared" ref="J526:T526" ca="1" si="57">J322-J436</f>
        <v>0</v>
      </c>
      <c r="K526" s="81">
        <f t="shared" ca="1" si="57"/>
        <v>0</v>
      </c>
      <c r="L526" s="81">
        <f t="shared" ca="1" si="57"/>
        <v>0</v>
      </c>
      <c r="M526" s="81">
        <f t="shared" ca="1" si="57"/>
        <v>0</v>
      </c>
      <c r="N526" s="81">
        <f t="shared" ca="1" si="57"/>
        <v>0</v>
      </c>
      <c r="O526" s="81">
        <f t="shared" ca="1" si="57"/>
        <v>0</v>
      </c>
      <c r="P526" s="81">
        <f t="shared" ca="1" si="57"/>
        <v>0</v>
      </c>
      <c r="Q526" s="81">
        <f t="shared" ca="1" si="57"/>
        <v>0</v>
      </c>
      <c r="R526" s="81">
        <f t="shared" ca="1" si="57"/>
        <v>0</v>
      </c>
      <c r="S526" s="81">
        <f t="shared" ca="1" si="57"/>
        <v>0</v>
      </c>
      <c r="T526" s="81">
        <f t="shared" ca="1" si="57"/>
        <v>0</v>
      </c>
    </row>
    <row r="527" spans="2:20" ht="5.9" customHeight="1" outlineLevel="1"/>
    <row r="528" spans="2:20" outlineLevel="1">
      <c r="F528" s="51" t="str">
        <f>$B$277&amp;" RAB v RIN Direct + Overhead Check"</f>
        <v>3024 - Inputs RAB v RIN Direct + Overhead Check</v>
      </c>
      <c r="I528" s="130">
        <f ca="1">IF(ISERROR(SUM(J528:T528)),1,MIN(SUM(J528:T528),1))</f>
        <v>0</v>
      </c>
      <c r="J528" s="81">
        <f t="shared" ref="J528:T528" ca="1" si="58">J416-J475</f>
        <v>0</v>
      </c>
      <c r="K528" s="81">
        <f t="shared" ca="1" si="58"/>
        <v>0</v>
      </c>
      <c r="L528" s="81">
        <f t="shared" ca="1" si="58"/>
        <v>0</v>
      </c>
      <c r="M528" s="81">
        <f t="shared" ca="1" si="58"/>
        <v>0</v>
      </c>
      <c r="N528" s="81">
        <f t="shared" ca="1" si="58"/>
        <v>0</v>
      </c>
      <c r="O528" s="81">
        <f t="shared" ca="1" si="58"/>
        <v>0</v>
      </c>
      <c r="P528" s="81">
        <f t="shared" ca="1" si="58"/>
        <v>0</v>
      </c>
      <c r="Q528" s="81">
        <f t="shared" ca="1" si="58"/>
        <v>0</v>
      </c>
      <c r="R528" s="81">
        <f t="shared" ca="1" si="58"/>
        <v>0</v>
      </c>
      <c r="S528" s="81">
        <f t="shared" ca="1" si="58"/>
        <v>0</v>
      </c>
      <c r="T528" s="81">
        <f t="shared" ca="1" si="58"/>
        <v>0</v>
      </c>
    </row>
    <row r="529" spans="2:20" outlineLevel="1">
      <c r="F529" s="51" t="str">
        <f>$B$277&amp;" RAB v Tax Direct + Overhead Check"</f>
        <v>3024 - Inputs RAB v Tax Direct + Overhead Check</v>
      </c>
      <c r="I529" s="130">
        <f ca="1">IF(ISERROR(SUM(J529:T529)),1,MIN(SUM(J529:T529),1))</f>
        <v>0</v>
      </c>
      <c r="J529" s="81">
        <f t="shared" ref="J529:T529" ca="1" si="59">J416-J518</f>
        <v>0</v>
      </c>
      <c r="K529" s="81">
        <f t="shared" ca="1" si="59"/>
        <v>0</v>
      </c>
      <c r="L529" s="81">
        <f t="shared" ca="1" si="59"/>
        <v>0</v>
      </c>
      <c r="M529" s="81">
        <f t="shared" ca="1" si="59"/>
        <v>0</v>
      </c>
      <c r="N529" s="81">
        <f t="shared" ca="1" si="59"/>
        <v>0</v>
      </c>
      <c r="O529" s="81">
        <f t="shared" ca="1" si="59"/>
        <v>0</v>
      </c>
      <c r="P529" s="81">
        <f t="shared" ca="1" si="59"/>
        <v>0</v>
      </c>
      <c r="Q529" s="81">
        <f t="shared" ca="1" si="59"/>
        <v>0</v>
      </c>
      <c r="R529" s="81">
        <f t="shared" ca="1" si="59"/>
        <v>0</v>
      </c>
      <c r="S529" s="81">
        <f t="shared" ca="1" si="59"/>
        <v>0</v>
      </c>
      <c r="T529" s="81">
        <f t="shared" ca="1" si="59"/>
        <v>0</v>
      </c>
    </row>
    <row r="530" spans="2:20" ht="12" outlineLevel="1" thickBot="1">
      <c r="B530" s="94"/>
      <c r="C530" s="94"/>
      <c r="D530" s="94"/>
      <c r="E530" s="94"/>
      <c r="F530" s="94"/>
      <c r="G530" s="94"/>
      <c r="H530" s="94"/>
      <c r="I530" s="94"/>
      <c r="J530" s="94"/>
      <c r="K530" s="94"/>
      <c r="L530" s="94"/>
      <c r="M530" s="94"/>
      <c r="N530" s="94"/>
      <c r="O530" s="94"/>
      <c r="P530" s="94"/>
      <c r="Q530" s="94"/>
      <c r="R530" s="94"/>
      <c r="S530" s="94"/>
      <c r="T530" s="94"/>
    </row>
    <row r="531" spans="2:20" s="41" customFormat="1"/>
    <row r="532" spans="2:20" s="41" customFormat="1" ht="14">
      <c r="B532" s="111" t="s">
        <v>274</v>
      </c>
      <c r="C532" s="47"/>
      <c r="D532" s="47"/>
      <c r="E532" s="47"/>
      <c r="F532" s="47"/>
      <c r="G532" s="47"/>
      <c r="H532" s="47"/>
      <c r="I532" s="47"/>
      <c r="J532" s="47"/>
      <c r="K532" s="47"/>
      <c r="L532" s="47"/>
      <c r="M532" s="47"/>
      <c r="N532" s="47"/>
      <c r="O532" s="47"/>
      <c r="P532" s="47"/>
      <c r="Q532" s="47"/>
      <c r="R532" s="47"/>
      <c r="S532" s="47"/>
      <c r="T532" s="47"/>
    </row>
    <row r="533" spans="2:20" s="41" customFormat="1" ht="5.9" customHeight="1"/>
    <row r="534" spans="2:20" s="41" customFormat="1" ht="14">
      <c r="B534" s="60" t="str">
        <f>GC!F32</f>
        <v xml:space="preserve">City Gate Security Fence Upgrades </v>
      </c>
    </row>
    <row r="535" spans="2:20" s="41" customFormat="1" ht="5.9" customHeight="1" outlineLevel="1"/>
    <row r="536" spans="2:20" s="41" customFormat="1" hidden="1" outlineLevel="2">
      <c r="C536" s="50" t="s">
        <v>204</v>
      </c>
    </row>
    <row r="537" spans="2:20" s="41" customFormat="1" ht="5.9" hidden="1" customHeight="1" outlineLevel="2"/>
    <row r="538" spans="2:20" s="41" customFormat="1" hidden="1" outlineLevel="2">
      <c r="D538" s="52" t="s">
        <v>103</v>
      </c>
      <c r="J538" s="91">
        <f>Rates!J42</f>
        <v>1</v>
      </c>
      <c r="K538" s="91">
        <f>Rates!K42</f>
        <v>1</v>
      </c>
      <c r="L538" s="91">
        <f>Rates!L42</f>
        <v>1</v>
      </c>
      <c r="M538" s="91">
        <f>Rates!M42</f>
        <v>1</v>
      </c>
      <c r="N538" s="91">
        <f>Rates!N42</f>
        <v>1</v>
      </c>
      <c r="O538" s="91">
        <f>Rates!O42</f>
        <v>1.0051959235721353</v>
      </c>
      <c r="P538" s="91">
        <f>Rates!P42</f>
        <v>1.0102301741405761</v>
      </c>
      <c r="Q538" s="91">
        <f>Rates!Q42</f>
        <v>1.0181072873442809</v>
      </c>
      <c r="R538" s="91">
        <f>Rates!R42</f>
        <v>1.0293150686557422</v>
      </c>
      <c r="S538" s="91">
        <f>Rates!S42</f>
        <v>1.040646230246951</v>
      </c>
      <c r="T538" s="91">
        <f>Rates!T42</f>
        <v>1.0521021303433229</v>
      </c>
    </row>
    <row r="539" spans="2:20" s="41" customFormat="1" hidden="1" outlineLevel="2">
      <c r="D539" s="52" t="s">
        <v>104</v>
      </c>
      <c r="J539" s="91">
        <f>Rates!J43</f>
        <v>1</v>
      </c>
      <c r="K539" s="91">
        <f>Rates!K43</f>
        <v>1</v>
      </c>
      <c r="L539" s="91">
        <f>Rates!L43</f>
        <v>1</v>
      </c>
      <c r="M539" s="91">
        <f>Rates!M43</f>
        <v>1</v>
      </c>
      <c r="N539" s="91">
        <f>Rates!N43</f>
        <v>1</v>
      </c>
      <c r="O539" s="91">
        <f>Rates!O43</f>
        <v>1</v>
      </c>
      <c r="P539" s="91">
        <f>Rates!P43</f>
        <v>1</v>
      </c>
      <c r="Q539" s="91">
        <f>Rates!Q43</f>
        <v>1</v>
      </c>
      <c r="R539" s="91">
        <f>Rates!R43</f>
        <v>1</v>
      </c>
      <c r="S539" s="91">
        <f>Rates!S43</f>
        <v>1</v>
      </c>
      <c r="T539" s="91">
        <f>Rates!T43</f>
        <v>1</v>
      </c>
    </row>
    <row r="540" spans="2:20" s="41" customFormat="1" hidden="1" outlineLevel="2">
      <c r="D540" s="52" t="s">
        <v>130</v>
      </c>
      <c r="J540" s="91">
        <f>Rates!J45</f>
        <v>1</v>
      </c>
      <c r="K540" s="91">
        <f>Rates!K45</f>
        <v>1</v>
      </c>
      <c r="L540" s="91">
        <f>Rates!L45</f>
        <v>1</v>
      </c>
      <c r="M540" s="91">
        <f>Rates!M45</f>
        <v>1</v>
      </c>
      <c r="N540" s="91">
        <f>Rates!N45</f>
        <v>1</v>
      </c>
      <c r="O540" s="91">
        <f>Rates!O45</f>
        <v>1</v>
      </c>
      <c r="P540" s="91">
        <f>Rates!P45</f>
        <v>1</v>
      </c>
      <c r="Q540" s="91">
        <f>Rates!Q45</f>
        <v>1</v>
      </c>
      <c r="R540" s="91">
        <f>Rates!R45</f>
        <v>1</v>
      </c>
      <c r="S540" s="91">
        <f>Rates!S45</f>
        <v>1</v>
      </c>
      <c r="T540" s="91">
        <f>Rates!T45</f>
        <v>1</v>
      </c>
    </row>
    <row r="541" spans="2:20" s="41" customFormat="1" ht="5.9" hidden="1" customHeight="1" outlineLevel="2"/>
    <row r="542" spans="2:20" s="41" customFormat="1" hidden="1" outlineLevel="2">
      <c r="C542" s="50" t="s">
        <v>105</v>
      </c>
    </row>
    <row r="543" spans="2:20" s="41" customFormat="1" ht="5.9" hidden="1" customHeight="1" outlineLevel="2"/>
    <row r="544" spans="2:20" s="41" customFormat="1" hidden="1" outlineLevel="2">
      <c r="D544" s="52" t="s">
        <v>106</v>
      </c>
      <c r="J544" s="122">
        <f>Rates!J50</f>
        <v>6.9591273870889495E-2</v>
      </c>
      <c r="K544" s="122">
        <f>Rates!K50</f>
        <v>7.3934468928182201E-2</v>
      </c>
      <c r="L544" s="122">
        <f>Rates!L50</f>
        <v>7.5085976469407303E-2</v>
      </c>
      <c r="M544" s="122">
        <f>Rates!M50</f>
        <v>8.0103391005934096E-2</v>
      </c>
      <c r="N544" s="122">
        <f>Rates!N50</f>
        <v>3.7711007382937055E-2</v>
      </c>
      <c r="O544" s="122">
        <f>Rates!O50</f>
        <v>3.3283969054706777E-2</v>
      </c>
      <c r="P544" s="122">
        <f>Rates!P50</f>
        <v>2.6752660513445464E-2</v>
      </c>
      <c r="Q544" s="122">
        <f>Rates!Q50</f>
        <v>2.6060587348993774E-2</v>
      </c>
      <c r="R544" s="122">
        <f>Rates!R50</f>
        <v>2.6873005987587139E-2</v>
      </c>
      <c r="S544" s="122">
        <f>Rates!S50</f>
        <v>2.8546178928104012E-2</v>
      </c>
      <c r="T544" s="122">
        <f>Rates!T50</f>
        <v>2.9920378203686534E-2</v>
      </c>
    </row>
    <row r="545" spans="3:20" s="41" customFormat="1" hidden="1" outlineLevel="2">
      <c r="D545" s="52" t="s">
        <v>107</v>
      </c>
      <c r="J545" s="122">
        <f>Rates!J51</f>
        <v>5.5842732834613398E-2</v>
      </c>
      <c r="K545" s="122">
        <f>Rates!K51</f>
        <v>5.16564294790849E-2</v>
      </c>
      <c r="L545" s="122">
        <f>Rates!L51</f>
        <v>6.0535031919173997E-2</v>
      </c>
      <c r="M545" s="122">
        <f>Rates!M51</f>
        <v>7.1630695797579302E-2</v>
      </c>
      <c r="N545" s="122">
        <f>Rates!N51</f>
        <v>7.4343858126268231E-2</v>
      </c>
      <c r="O545" s="122">
        <f>Rates!O51</f>
        <v>7.4059082290758096E-2</v>
      </c>
      <c r="P545" s="122">
        <f>Rates!P51</f>
        <v>2.4388539961794877E-2</v>
      </c>
      <c r="Q545" s="122">
        <f>Rates!Q51</f>
        <v>2.1171310758207256E-2</v>
      </c>
      <c r="R545" s="122">
        <f>Rates!R51</f>
        <v>2.0024144075344485E-2</v>
      </c>
      <c r="S545" s="122">
        <f>Rates!S51</f>
        <v>3.9620009613577346E-2</v>
      </c>
      <c r="T545" s="122">
        <f>Rates!T51</f>
        <v>5.404914337922874E-2</v>
      </c>
    </row>
    <row r="546" spans="3:20" s="41" customFormat="1" hidden="1" outlineLevel="2">
      <c r="D546" s="52" t="s">
        <v>108</v>
      </c>
      <c r="J546" s="122">
        <f>Rates!J52</f>
        <v>0</v>
      </c>
      <c r="K546" s="122">
        <f>Rates!K52</f>
        <v>0</v>
      </c>
      <c r="L546" s="122">
        <f>Rates!L52</f>
        <v>0</v>
      </c>
      <c r="M546" s="122">
        <f>Rates!M52</f>
        <v>0</v>
      </c>
      <c r="N546" s="122">
        <f>Rates!N52</f>
        <v>0</v>
      </c>
      <c r="O546" s="122">
        <f>Rates!O52</f>
        <v>0</v>
      </c>
      <c r="P546" s="122">
        <f>Rates!P52</f>
        <v>0</v>
      </c>
      <c r="Q546" s="122">
        <f>Rates!Q52</f>
        <v>0</v>
      </c>
      <c r="R546" s="122">
        <f>Rates!R52</f>
        <v>0</v>
      </c>
      <c r="S546" s="122">
        <f>Rates!S52</f>
        <v>0</v>
      </c>
      <c r="T546" s="122">
        <f>Rates!T52</f>
        <v>0</v>
      </c>
    </row>
    <row r="547" spans="3:20" s="41" customFormat="1" outlineLevel="1" collapsed="1"/>
    <row r="548" spans="3:20" s="41" customFormat="1" ht="5.9" customHeight="1" outlineLevel="1"/>
    <row r="549" spans="3:20" s="41" customFormat="1" outlineLevel="1">
      <c r="C549" s="50" t="s">
        <v>118</v>
      </c>
    </row>
    <row r="550" spans="3:20" s="41" customFormat="1" ht="5.9" customHeight="1" outlineLevel="1"/>
    <row r="551" spans="3:20" s="41" customFormat="1" outlineLevel="1">
      <c r="D551" s="50" t="s">
        <v>160</v>
      </c>
      <c r="H551" s="123" t="s">
        <v>192</v>
      </c>
    </row>
    <row r="552" spans="3:20" s="41" customFormat="1" ht="5.9" customHeight="1" outlineLevel="1"/>
    <row r="553" spans="3:20" s="41" customFormat="1" outlineLevel="1">
      <c r="D553" s="192" t="str">
        <f>Work_Codes!D459</f>
        <v>City Gate Fence Upgrades Category 1</v>
      </c>
      <c r="H553" s="190"/>
      <c r="J553" s="126"/>
      <c r="K553" s="126"/>
      <c r="L553" s="126"/>
      <c r="M553" s="126"/>
      <c r="N553" s="126"/>
      <c r="O553" s="126"/>
      <c r="P553" s="212"/>
      <c r="Q553" s="212"/>
      <c r="R553" s="212"/>
      <c r="S553" s="212"/>
      <c r="T553" s="212"/>
    </row>
    <row r="554" spans="3:20" s="41" customFormat="1" outlineLevel="1">
      <c r="D554" s="192" t="str">
        <f>Work_Codes!D460</f>
        <v>City Gate Fence Upgrades Category 2</v>
      </c>
      <c r="H554" s="190"/>
      <c r="J554" s="126"/>
      <c r="K554" s="126"/>
      <c r="L554" s="126"/>
      <c r="M554" s="126"/>
      <c r="N554" s="126"/>
      <c r="O554" s="126"/>
      <c r="P554" s="212"/>
      <c r="Q554" s="211"/>
      <c r="R554" s="211"/>
      <c r="S554" s="211"/>
      <c r="T554" s="211"/>
    </row>
    <row r="555" spans="3:20" s="41" customFormat="1" outlineLevel="1">
      <c r="D555" s="192" t="str">
        <f>Work_Codes!D461</f>
        <v>City Gate Fence Upgrades Category 3</v>
      </c>
      <c r="H555" s="190"/>
      <c r="J555" s="126"/>
      <c r="K555" s="126"/>
      <c r="L555" s="126"/>
      <c r="M555" s="126"/>
      <c r="N555" s="126"/>
      <c r="O555" s="126"/>
      <c r="P555" s="212"/>
      <c r="Q555" s="212"/>
      <c r="R555" s="212"/>
      <c r="S555" s="212"/>
      <c r="T555" s="212"/>
    </row>
    <row r="556" spans="3:20" s="41" customFormat="1" outlineLevel="1">
      <c r="D556" s="192" t="str">
        <f>Work_Codes!D462</f>
        <v>City Gate Fence Upgrades Category 4</v>
      </c>
      <c r="H556" s="190"/>
      <c r="J556" s="126"/>
      <c r="K556" s="126"/>
      <c r="L556" s="126"/>
      <c r="M556" s="126"/>
      <c r="N556" s="126"/>
      <c r="O556" s="126"/>
      <c r="P556" s="212"/>
      <c r="Q556" s="212"/>
      <c r="R556" s="212"/>
      <c r="S556" s="212"/>
      <c r="T556" s="212"/>
    </row>
    <row r="557" spans="3:20" s="41" customFormat="1" outlineLevel="1">
      <c r="D557" s="43"/>
      <c r="H557" s="191"/>
      <c r="J557" s="124"/>
      <c r="K557" s="124"/>
      <c r="L557" s="124"/>
      <c r="M557" s="124"/>
      <c r="N557" s="124"/>
      <c r="O557" s="124"/>
      <c r="P557" s="124"/>
      <c r="Q557" s="124"/>
      <c r="R557" s="124"/>
      <c r="S557" s="124"/>
      <c r="T557" s="124"/>
    </row>
    <row r="558" spans="3:20" s="41" customFormat="1" outlineLevel="1">
      <c r="C558" s="50" t="s">
        <v>119</v>
      </c>
    </row>
    <row r="559" spans="3:20" s="41" customFormat="1" ht="5.9" customHeight="1" outlineLevel="1"/>
    <row r="560" spans="3:20" s="41" customFormat="1" outlineLevel="1">
      <c r="D560" s="50" t="str">
        <f>D551</f>
        <v>Capex Category</v>
      </c>
    </row>
    <row r="561" spans="3:20" s="41" customFormat="1" ht="5.9" customHeight="1" outlineLevel="1"/>
    <row r="562" spans="3:20" s="41" customFormat="1" outlineLevel="1">
      <c r="D562" s="192" t="str">
        <f>Work_Codes!D459</f>
        <v>City Gate Fence Upgrades Category 1</v>
      </c>
      <c r="J562" s="163"/>
      <c r="K562" s="163"/>
      <c r="L562" s="163"/>
      <c r="M562" s="163"/>
      <c r="N562" s="163"/>
      <c r="O562" s="163"/>
      <c r="P562" s="213"/>
      <c r="Q562" s="213"/>
      <c r="R562" s="213"/>
      <c r="S562" s="213"/>
      <c r="T562" s="213"/>
    </row>
    <row r="563" spans="3:20" s="41" customFormat="1" outlineLevel="1">
      <c r="D563" s="192" t="str">
        <f>Work_Codes!D460</f>
        <v>City Gate Fence Upgrades Category 2</v>
      </c>
      <c r="J563" s="163"/>
      <c r="K563" s="163"/>
      <c r="L563" s="163"/>
      <c r="M563" s="163"/>
      <c r="N563" s="163"/>
      <c r="O563" s="163"/>
      <c r="P563" s="213"/>
      <c r="Q563" s="213"/>
      <c r="R563" s="213"/>
      <c r="S563" s="213"/>
      <c r="T563" s="213"/>
    </row>
    <row r="564" spans="3:20" s="41" customFormat="1" outlineLevel="1">
      <c r="D564" s="192" t="str">
        <f>Work_Codes!D461</f>
        <v>City Gate Fence Upgrades Category 3</v>
      </c>
      <c r="J564" s="163"/>
      <c r="K564" s="163"/>
      <c r="L564" s="163"/>
      <c r="M564" s="163"/>
      <c r="N564" s="163"/>
      <c r="O564" s="163"/>
      <c r="P564" s="213"/>
      <c r="Q564" s="213"/>
      <c r="R564" s="213"/>
      <c r="S564" s="213"/>
      <c r="T564" s="213"/>
    </row>
    <row r="565" spans="3:20" s="41" customFormat="1" outlineLevel="1">
      <c r="D565" s="192" t="str">
        <f>Work_Codes!D462</f>
        <v>City Gate Fence Upgrades Category 4</v>
      </c>
      <c r="J565" s="163"/>
      <c r="K565" s="163"/>
      <c r="L565" s="163"/>
      <c r="M565" s="163"/>
      <c r="N565" s="163"/>
      <c r="O565" s="163"/>
      <c r="P565" s="213"/>
      <c r="Q565" s="213"/>
      <c r="R565" s="213"/>
      <c r="S565" s="213"/>
      <c r="T565" s="213"/>
    </row>
    <row r="566" spans="3:20" s="41" customFormat="1" outlineLevel="1"/>
    <row r="567" spans="3:20" s="41" customFormat="1" outlineLevel="1">
      <c r="C567" s="50" t="s">
        <v>193</v>
      </c>
    </row>
    <row r="568" spans="3:20" s="41" customFormat="1" ht="5.9" customHeight="1" outlineLevel="1"/>
    <row r="569" spans="3:20" s="41" customFormat="1" outlineLevel="1">
      <c r="D569" s="50" t="str">
        <f>D551</f>
        <v>Capex Category</v>
      </c>
    </row>
    <row r="570" spans="3:20" s="41" customFormat="1" ht="5.9" customHeight="1" outlineLevel="1"/>
    <row r="571" spans="3:20" s="41" customFormat="1" outlineLevel="1">
      <c r="D571" s="192" t="str">
        <f>Work_Codes!D459</f>
        <v>City Gate Fence Upgrades Category 1</v>
      </c>
      <c r="J571" s="80">
        <v>0</v>
      </c>
      <c r="K571" s="80">
        <v>0</v>
      </c>
      <c r="L571" s="80">
        <v>0</v>
      </c>
      <c r="M571" s="80">
        <v>0</v>
      </c>
      <c r="N571" s="80">
        <v>0</v>
      </c>
      <c r="O571" s="80">
        <v>0</v>
      </c>
      <c r="P571" s="80">
        <v>495000</v>
      </c>
      <c r="Q571" s="80">
        <v>495000</v>
      </c>
      <c r="R571" s="80">
        <v>495000</v>
      </c>
      <c r="S571" s="80">
        <v>495000</v>
      </c>
      <c r="T571" s="80">
        <v>495000</v>
      </c>
    </row>
    <row r="572" spans="3:20" s="41" customFormat="1" outlineLevel="1">
      <c r="D572" s="192" t="str">
        <f>Work_Codes!D460</f>
        <v>City Gate Fence Upgrades Category 2</v>
      </c>
      <c r="J572" s="80">
        <v>0</v>
      </c>
      <c r="K572" s="80">
        <v>0</v>
      </c>
      <c r="L572" s="80">
        <v>0</v>
      </c>
      <c r="M572" s="80">
        <v>0</v>
      </c>
      <c r="N572" s="80">
        <v>0</v>
      </c>
      <c r="O572" s="80">
        <v>0</v>
      </c>
      <c r="P572" s="80">
        <v>60000</v>
      </c>
      <c r="Q572" s="80">
        <v>60000</v>
      </c>
      <c r="R572" s="80">
        <v>60000</v>
      </c>
      <c r="S572" s="80">
        <v>60000</v>
      </c>
      <c r="T572" s="80">
        <v>0</v>
      </c>
    </row>
    <row r="573" spans="3:20" s="41" customFormat="1" outlineLevel="1">
      <c r="D573" s="192" t="str">
        <f>Work_Codes!D461</f>
        <v>City Gate Fence Upgrades Category 3</v>
      </c>
      <c r="J573" s="80">
        <v>0</v>
      </c>
      <c r="K573" s="80">
        <v>0</v>
      </c>
      <c r="L573" s="80">
        <v>0</v>
      </c>
      <c r="M573" s="80">
        <v>0</v>
      </c>
      <c r="N573" s="80">
        <v>0</v>
      </c>
      <c r="O573" s="80">
        <v>0</v>
      </c>
      <c r="P573" s="80">
        <v>0</v>
      </c>
      <c r="Q573" s="80">
        <v>0</v>
      </c>
      <c r="R573" s="80">
        <v>0</v>
      </c>
      <c r="S573" s="80">
        <v>0</v>
      </c>
      <c r="T573" s="80">
        <v>0</v>
      </c>
    </row>
    <row r="574" spans="3:20" s="41" customFormat="1" outlineLevel="1">
      <c r="D574" s="192" t="str">
        <f>Work_Codes!D462</f>
        <v>City Gate Fence Upgrades Category 4</v>
      </c>
      <c r="J574" s="80">
        <v>0</v>
      </c>
      <c r="K574" s="80">
        <v>0</v>
      </c>
      <c r="L574" s="80">
        <v>0</v>
      </c>
      <c r="M574" s="80">
        <v>0</v>
      </c>
      <c r="N574" s="80">
        <v>0</v>
      </c>
      <c r="O574" s="80">
        <v>0</v>
      </c>
      <c r="P574" s="80">
        <v>0</v>
      </c>
      <c r="Q574" s="80">
        <v>0</v>
      </c>
      <c r="R574" s="80">
        <v>0</v>
      </c>
      <c r="S574" s="80">
        <v>0</v>
      </c>
      <c r="T574" s="80">
        <v>0</v>
      </c>
    </row>
    <row r="575" spans="3:20" s="41" customFormat="1" ht="5.9" customHeight="1" outlineLevel="1">
      <c r="D575" s="50"/>
      <c r="J575" s="79"/>
      <c r="K575" s="79"/>
      <c r="L575" s="79"/>
      <c r="M575" s="79"/>
      <c r="N575" s="79"/>
      <c r="O575" s="79"/>
      <c r="P575" s="79"/>
      <c r="Q575" s="79"/>
      <c r="R575" s="79"/>
      <c r="S575" s="79"/>
      <c r="T575" s="79"/>
    </row>
    <row r="576" spans="3:20" s="41" customFormat="1" outlineLevel="1">
      <c r="D576" s="250" t="str">
        <f>"Total "&amp;B534</f>
        <v xml:space="preserve">Total City Gate Security Fence Upgrades </v>
      </c>
      <c r="E576" s="250"/>
      <c r="F576" s="250"/>
      <c r="G576" s="250"/>
      <c r="H576" s="250"/>
      <c r="I576" s="250"/>
      <c r="J576" s="101">
        <f t="shared" ref="J576:T576" si="60">SUM(J571:J575)</f>
        <v>0</v>
      </c>
      <c r="K576" s="101">
        <f t="shared" si="60"/>
        <v>0</v>
      </c>
      <c r="L576" s="101">
        <f t="shared" si="60"/>
        <v>0</v>
      </c>
      <c r="M576" s="101">
        <f t="shared" si="60"/>
        <v>0</v>
      </c>
      <c r="N576" s="101">
        <f t="shared" si="60"/>
        <v>0</v>
      </c>
      <c r="O576" s="101">
        <f t="shared" si="60"/>
        <v>0</v>
      </c>
      <c r="P576" s="101">
        <f t="shared" si="60"/>
        <v>555000</v>
      </c>
      <c r="Q576" s="101">
        <f t="shared" si="60"/>
        <v>555000</v>
      </c>
      <c r="R576" s="101">
        <f t="shared" si="60"/>
        <v>555000</v>
      </c>
      <c r="S576" s="101">
        <f t="shared" si="60"/>
        <v>555000</v>
      </c>
      <c r="T576" s="101">
        <f t="shared" si="60"/>
        <v>495000</v>
      </c>
    </row>
    <row r="577" spans="3:20" s="41" customFormat="1" outlineLevel="1"/>
    <row r="578" spans="3:20" s="41" customFormat="1" outlineLevel="1">
      <c r="C578" s="50" t="s">
        <v>286</v>
      </c>
    </row>
    <row r="579" spans="3:20" s="41" customFormat="1" ht="5.9" customHeight="1" outlineLevel="1"/>
    <row r="580" spans="3:20" s="41" customFormat="1" outlineLevel="1">
      <c r="D580" s="192" t="str">
        <f>Work_Codes!D466</f>
        <v>Customer Contributions Category 1</v>
      </c>
      <c r="J580" s="154">
        <v>0</v>
      </c>
      <c r="K580" s="154">
        <v>0</v>
      </c>
      <c r="L580" s="154">
        <v>0</v>
      </c>
      <c r="M580" s="154">
        <v>0</v>
      </c>
      <c r="N580" s="154">
        <v>0</v>
      </c>
      <c r="O580" s="154">
        <v>0</v>
      </c>
      <c r="P580" s="154">
        <v>0</v>
      </c>
      <c r="Q580" s="154">
        <v>0</v>
      </c>
      <c r="R580" s="154">
        <v>0</v>
      </c>
      <c r="S580" s="154">
        <v>0</v>
      </c>
      <c r="T580" s="154">
        <v>0</v>
      </c>
    </row>
    <row r="581" spans="3:20" s="41" customFormat="1" ht="5.9" customHeight="1" outlineLevel="1">
      <c r="M581"/>
    </row>
    <row r="582" spans="3:20" s="41" customFormat="1" outlineLevel="1">
      <c r="D582" s="250" t="str">
        <f>"Total "&amp;C578</f>
        <v>Total Customer Connections</v>
      </c>
      <c r="E582" s="250"/>
      <c r="F582" s="250"/>
      <c r="G582" s="250"/>
      <c r="H582" s="250"/>
      <c r="I582" s="250"/>
      <c r="J582" s="101">
        <f t="shared" ref="J582:T582" si="61">SUM(J580:J581)</f>
        <v>0</v>
      </c>
      <c r="K582" s="101">
        <f t="shared" si="61"/>
        <v>0</v>
      </c>
      <c r="L582" s="101">
        <f t="shared" si="61"/>
        <v>0</v>
      </c>
      <c r="M582" s="101">
        <f t="shared" si="61"/>
        <v>0</v>
      </c>
      <c r="N582" s="101">
        <f t="shared" si="61"/>
        <v>0</v>
      </c>
      <c r="O582" s="101">
        <f t="shared" si="61"/>
        <v>0</v>
      </c>
      <c r="P582" s="101">
        <f t="shared" si="61"/>
        <v>0</v>
      </c>
      <c r="Q582" s="101">
        <f t="shared" si="61"/>
        <v>0</v>
      </c>
      <c r="R582" s="101">
        <f t="shared" si="61"/>
        <v>0</v>
      </c>
      <c r="S582" s="101">
        <f t="shared" si="61"/>
        <v>0</v>
      </c>
      <c r="T582" s="101">
        <f t="shared" si="61"/>
        <v>0</v>
      </c>
    </row>
    <row r="583" spans="3:20" s="41" customFormat="1" outlineLevel="1">
      <c r="C583" s="109"/>
      <c r="D583" s="109"/>
      <c r="E583" s="109"/>
      <c r="F583" s="109"/>
      <c r="G583" s="109"/>
      <c r="H583" s="109"/>
      <c r="I583" s="109"/>
      <c r="J583" s="109"/>
      <c r="K583" s="109"/>
      <c r="L583" s="109"/>
      <c r="M583" s="109"/>
      <c r="N583" s="109"/>
      <c r="O583" s="109"/>
      <c r="P583" s="109"/>
      <c r="Q583" s="109"/>
      <c r="R583" s="109"/>
      <c r="S583" s="109"/>
      <c r="T583" s="109"/>
    </row>
    <row r="584" spans="3:20" outlineLevel="1"/>
    <row r="585" spans="3:20" outlineLevel="1">
      <c r="C585" s="37" t="s">
        <v>213</v>
      </c>
    </row>
    <row r="586" spans="3:20" ht="5.9" hidden="1" customHeight="1" outlineLevel="2"/>
    <row r="587" spans="3:20" hidden="1" outlineLevel="2">
      <c r="C587" s="37" t="s">
        <v>128</v>
      </c>
    </row>
    <row r="588" spans="3:20" ht="5.9" hidden="1" customHeight="1" outlineLevel="2"/>
    <row r="589" spans="3:20" hidden="1" outlineLevel="2">
      <c r="D589" s="102" t="str">
        <f>Work_Codes!D459</f>
        <v>City Gate Fence Upgrades Category 1</v>
      </c>
      <c r="J589" s="81">
        <f>Work_Codes!$I459*J571*J$538</f>
        <v>0</v>
      </c>
      <c r="K589" s="81">
        <f>Work_Codes!$I459*K571*K$538</f>
        <v>0</v>
      </c>
      <c r="L589" s="81">
        <f>Work_Codes!$I459*L571*L$538</f>
        <v>0</v>
      </c>
      <c r="M589" s="81">
        <f>Work_Codes!$I459*M571*M$538</f>
        <v>0</v>
      </c>
      <c r="N589" s="81">
        <f>Work_Codes!$I459*N571*N$538</f>
        <v>0</v>
      </c>
      <c r="O589" s="81">
        <f>Work_Codes!$I459*O571*O$538</f>
        <v>0</v>
      </c>
      <c r="P589" s="81">
        <f>Work_Codes!$I459*P571*P$538</f>
        <v>15001.918085987556</v>
      </c>
      <c r="Q589" s="81">
        <f>Work_Codes!$I459*Q571*Q$538</f>
        <v>15118.893217062572</v>
      </c>
      <c r="R589" s="81">
        <f>Work_Codes!$I459*R571*R$538</f>
        <v>15285.328769537771</v>
      </c>
      <c r="S589" s="81">
        <f>Work_Codes!$I459*S571*S$538</f>
        <v>15453.596519167222</v>
      </c>
      <c r="T589" s="81">
        <f>Work_Codes!$I459*T571*T$538</f>
        <v>15623.716635598345</v>
      </c>
    </row>
    <row r="590" spans="3:20" hidden="1" outlineLevel="2">
      <c r="D590" s="102" t="str">
        <f>Work_Codes!D460</f>
        <v>City Gate Fence Upgrades Category 2</v>
      </c>
      <c r="J590" s="81">
        <f>Work_Codes!$I460*J572*J$538</f>
        <v>0</v>
      </c>
      <c r="K590" s="81">
        <f>Work_Codes!$I460*K572*K$538</f>
        <v>0</v>
      </c>
      <c r="L590" s="81">
        <f>Work_Codes!$I460*L572*L$538</f>
        <v>0</v>
      </c>
      <c r="M590" s="81">
        <f>Work_Codes!$I460*M572*M$538</f>
        <v>0</v>
      </c>
      <c r="N590" s="81">
        <f>Work_Codes!$I460*N572*N$538</f>
        <v>0</v>
      </c>
      <c r="O590" s="81">
        <f>Work_Codes!$I460*O572*O$538</f>
        <v>0</v>
      </c>
      <c r="P590" s="81">
        <f>Work_Codes!$I460*P572*P$538</f>
        <v>1818.414313453037</v>
      </c>
      <c r="Q590" s="81">
        <f>Work_Codes!$I460*Q572*Q$538</f>
        <v>1832.5931172197056</v>
      </c>
      <c r="R590" s="81">
        <f>Work_Codes!$I460*R572*R$538</f>
        <v>1852.7671235803359</v>
      </c>
      <c r="S590" s="81">
        <f>Work_Codes!$I460*S572*S$538</f>
        <v>1873.1632144445118</v>
      </c>
      <c r="T590" s="81">
        <f>Work_Codes!$I460*T572*T$538</f>
        <v>0</v>
      </c>
    </row>
    <row r="591" spans="3:20" hidden="1" outlineLevel="2">
      <c r="D591" s="102" t="str">
        <f>Work_Codes!D461</f>
        <v>City Gate Fence Upgrades Category 3</v>
      </c>
      <c r="J591" s="81">
        <f>Work_Codes!$I461*J573*J$538</f>
        <v>0</v>
      </c>
      <c r="K591" s="81">
        <f>Work_Codes!$I461*K573*K$538</f>
        <v>0</v>
      </c>
      <c r="L591" s="81">
        <f>Work_Codes!$I461*L573*L$538</f>
        <v>0</v>
      </c>
      <c r="M591" s="81">
        <f>Work_Codes!$I461*M573*M$538</f>
        <v>0</v>
      </c>
      <c r="N591" s="81">
        <f>Work_Codes!$I461*N573*N$538</f>
        <v>0</v>
      </c>
      <c r="O591" s="81">
        <f>Work_Codes!$I461*O573*O$538</f>
        <v>0</v>
      </c>
      <c r="P591" s="81">
        <f>Work_Codes!$I461*P573*P$538</f>
        <v>0</v>
      </c>
      <c r="Q591" s="81">
        <f>Work_Codes!$I461*Q573*Q$538</f>
        <v>0</v>
      </c>
      <c r="R591" s="81">
        <f>Work_Codes!$I461*R573*R$538</f>
        <v>0</v>
      </c>
      <c r="S591" s="81">
        <f>Work_Codes!$I461*S573*S$538</f>
        <v>0</v>
      </c>
      <c r="T591" s="81">
        <f>Work_Codes!$I461*T573*T$538</f>
        <v>0</v>
      </c>
    </row>
    <row r="592" spans="3:20" hidden="1" outlineLevel="2">
      <c r="D592" s="102" t="str">
        <f>Work_Codes!D462</f>
        <v>City Gate Fence Upgrades Category 4</v>
      </c>
      <c r="J592" s="81">
        <f>Work_Codes!$I462*J574*J$538</f>
        <v>0</v>
      </c>
      <c r="K592" s="81">
        <f>Work_Codes!$I462*K574*K$538</f>
        <v>0</v>
      </c>
      <c r="L592" s="81">
        <f>Work_Codes!$I462*L574*L$538</f>
        <v>0</v>
      </c>
      <c r="M592" s="81">
        <f>Work_Codes!$I462*M574*M$538</f>
        <v>0</v>
      </c>
      <c r="N592" s="81">
        <f>Work_Codes!$I462*N574*N$538</f>
        <v>0</v>
      </c>
      <c r="O592" s="81">
        <f>Work_Codes!$I462*O574*O$538</f>
        <v>0</v>
      </c>
      <c r="P592" s="81">
        <f>Work_Codes!$I462*P574*P$538</f>
        <v>0</v>
      </c>
      <c r="Q592" s="81">
        <f>Work_Codes!$I462*Q574*Q$538</f>
        <v>0</v>
      </c>
      <c r="R592" s="81">
        <f>Work_Codes!$I462*R574*R$538</f>
        <v>0</v>
      </c>
      <c r="S592" s="81">
        <f>Work_Codes!$I462*S574*S$538</f>
        <v>0</v>
      </c>
      <c r="T592" s="81">
        <f>Work_Codes!$I462*T574*T$538</f>
        <v>0</v>
      </c>
    </row>
    <row r="593" spans="3:20" ht="5.9" hidden="1" customHeight="1" outlineLevel="2"/>
    <row r="594" spans="3:20" hidden="1" outlineLevel="2">
      <c r="D594" s="249" t="str">
        <f>"Total "&amp;C587</f>
        <v>Total Internal Labour</v>
      </c>
      <c r="E594" s="249"/>
      <c r="F594" s="249"/>
      <c r="G594" s="249"/>
      <c r="H594" s="249"/>
      <c r="I594" s="249"/>
      <c r="J594" s="82">
        <f t="shared" ref="J594:T594" si="62">SUM(J589:J593)</f>
        <v>0</v>
      </c>
      <c r="K594" s="82">
        <f t="shared" si="62"/>
        <v>0</v>
      </c>
      <c r="L594" s="82">
        <f t="shared" si="62"/>
        <v>0</v>
      </c>
      <c r="M594" s="82">
        <f t="shared" si="62"/>
        <v>0</v>
      </c>
      <c r="N594" s="82">
        <f t="shared" si="62"/>
        <v>0</v>
      </c>
      <c r="O594" s="82">
        <f t="shared" si="62"/>
        <v>0</v>
      </c>
      <c r="P594" s="82">
        <f t="shared" si="62"/>
        <v>16820.332399440595</v>
      </c>
      <c r="Q594" s="82">
        <f t="shared" si="62"/>
        <v>16951.486334282279</v>
      </c>
      <c r="R594" s="82">
        <f t="shared" si="62"/>
        <v>17138.095893118109</v>
      </c>
      <c r="S594" s="82">
        <f t="shared" si="62"/>
        <v>17326.759733611732</v>
      </c>
      <c r="T594" s="82">
        <f t="shared" si="62"/>
        <v>15623.716635598345</v>
      </c>
    </row>
    <row r="595" spans="3:20" hidden="1" outlineLevel="2"/>
    <row r="596" spans="3:20" hidden="1" outlineLevel="2">
      <c r="C596" s="37" t="s">
        <v>129</v>
      </c>
    </row>
    <row r="597" spans="3:20" ht="5.9" hidden="1" customHeight="1" outlineLevel="2"/>
    <row r="598" spans="3:20" hidden="1" outlineLevel="2">
      <c r="D598" s="102" t="str">
        <f>Work_Codes!D459</f>
        <v>City Gate Fence Upgrades Category 1</v>
      </c>
      <c r="J598" s="81">
        <f>Work_Codes!$J459*J571*J$539</f>
        <v>0</v>
      </c>
      <c r="K598" s="81">
        <f>Work_Codes!$J459*K571*K$539</f>
        <v>0</v>
      </c>
      <c r="L598" s="81">
        <f>Work_Codes!$J459*L571*L$539</f>
        <v>0</v>
      </c>
      <c r="M598" s="81">
        <f>Work_Codes!$J459*M571*M$539</f>
        <v>0</v>
      </c>
      <c r="N598" s="81">
        <f>Work_Codes!$J459*N571*N$539</f>
        <v>0</v>
      </c>
      <c r="O598" s="81">
        <f>Work_Codes!$J459*O571*O$539</f>
        <v>0</v>
      </c>
      <c r="P598" s="81">
        <f>Work_Codes!$J459*P571*P$539</f>
        <v>282150</v>
      </c>
      <c r="Q598" s="81">
        <f>Work_Codes!$J459*Q571*Q$539</f>
        <v>282150</v>
      </c>
      <c r="R598" s="81">
        <f>Work_Codes!$J459*R571*R$539</f>
        <v>282150</v>
      </c>
      <c r="S598" s="81">
        <f>Work_Codes!$J459*S571*S$539</f>
        <v>282150</v>
      </c>
      <c r="T598" s="81">
        <f>Work_Codes!$J459*T571*T$539</f>
        <v>282150</v>
      </c>
    </row>
    <row r="599" spans="3:20" hidden="1" outlineLevel="2">
      <c r="D599" s="102" t="str">
        <f>Work_Codes!D460</f>
        <v>City Gate Fence Upgrades Category 2</v>
      </c>
      <c r="J599" s="81">
        <f>Work_Codes!$J460*J572*J$539</f>
        <v>0</v>
      </c>
      <c r="K599" s="81">
        <f>Work_Codes!$J460*K572*K$539</f>
        <v>0</v>
      </c>
      <c r="L599" s="81">
        <f>Work_Codes!$J460*L572*L$539</f>
        <v>0</v>
      </c>
      <c r="M599" s="81">
        <f>Work_Codes!$J460*M572*M$539</f>
        <v>0</v>
      </c>
      <c r="N599" s="81">
        <f>Work_Codes!$J460*N572*N$539</f>
        <v>0</v>
      </c>
      <c r="O599" s="81">
        <f>Work_Codes!$J460*O572*O$539</f>
        <v>0</v>
      </c>
      <c r="P599" s="81">
        <f>Work_Codes!$J460*P572*P$539</f>
        <v>34200</v>
      </c>
      <c r="Q599" s="81">
        <f>Work_Codes!$J460*Q572*Q$539</f>
        <v>34200</v>
      </c>
      <c r="R599" s="81">
        <f>Work_Codes!$J460*R572*R$539</f>
        <v>34200</v>
      </c>
      <c r="S599" s="81">
        <f>Work_Codes!$J460*S572*S$539</f>
        <v>34200</v>
      </c>
      <c r="T599" s="81">
        <f>Work_Codes!$J460*T572*T$539</f>
        <v>0</v>
      </c>
    </row>
    <row r="600" spans="3:20" hidden="1" outlineLevel="2">
      <c r="D600" s="102" t="str">
        <f>Work_Codes!D461</f>
        <v>City Gate Fence Upgrades Category 3</v>
      </c>
      <c r="J600" s="81">
        <f>Work_Codes!$J461*J573*J$539</f>
        <v>0</v>
      </c>
      <c r="K600" s="81">
        <f>Work_Codes!$J461*K573*K$539</f>
        <v>0</v>
      </c>
      <c r="L600" s="81">
        <f>Work_Codes!$J461*L573*L$539</f>
        <v>0</v>
      </c>
      <c r="M600" s="81">
        <f>Work_Codes!$J461*M573*M$539</f>
        <v>0</v>
      </c>
      <c r="N600" s="81">
        <f>Work_Codes!$J461*N573*N$539</f>
        <v>0</v>
      </c>
      <c r="O600" s="81">
        <f>Work_Codes!$J461*O573*O$539</f>
        <v>0</v>
      </c>
      <c r="P600" s="81">
        <f>Work_Codes!$J461*P573*P$539</f>
        <v>0</v>
      </c>
      <c r="Q600" s="81">
        <f>Work_Codes!$J461*Q573*Q$539</f>
        <v>0</v>
      </c>
      <c r="R600" s="81">
        <f>Work_Codes!$J461*R573*R$539</f>
        <v>0</v>
      </c>
      <c r="S600" s="81">
        <f>Work_Codes!$J461*S573*S$539</f>
        <v>0</v>
      </c>
      <c r="T600" s="81">
        <f>Work_Codes!$J461*T573*T$539</f>
        <v>0</v>
      </c>
    </row>
    <row r="601" spans="3:20" hidden="1" outlineLevel="2">
      <c r="D601" s="102" t="str">
        <f>Work_Codes!D462</f>
        <v>City Gate Fence Upgrades Category 4</v>
      </c>
      <c r="J601" s="81">
        <f>Work_Codes!$J462*J574*J$539</f>
        <v>0</v>
      </c>
      <c r="K601" s="81">
        <f>Work_Codes!$J462*K574*K$539</f>
        <v>0</v>
      </c>
      <c r="L601" s="81">
        <f>Work_Codes!$J462*L574*L$539</f>
        <v>0</v>
      </c>
      <c r="M601" s="81">
        <f>Work_Codes!$J462*M574*M$539</f>
        <v>0</v>
      </c>
      <c r="N601" s="81">
        <f>Work_Codes!$J462*N574*N$539</f>
        <v>0</v>
      </c>
      <c r="O601" s="81">
        <f>Work_Codes!$J462*O574*O$539</f>
        <v>0</v>
      </c>
      <c r="P601" s="81">
        <f>Work_Codes!$J462*P574*P$539</f>
        <v>0</v>
      </c>
      <c r="Q601" s="81">
        <f>Work_Codes!$J462*Q574*Q$539</f>
        <v>0</v>
      </c>
      <c r="R601" s="81">
        <f>Work_Codes!$J462*R574*R$539</f>
        <v>0</v>
      </c>
      <c r="S601" s="81">
        <f>Work_Codes!$J462*S574*S$539</f>
        <v>0</v>
      </c>
      <c r="T601" s="81">
        <f>Work_Codes!$J462*T574*T$539</f>
        <v>0</v>
      </c>
    </row>
    <row r="602" spans="3:20" ht="5.9" hidden="1" customHeight="1" outlineLevel="2"/>
    <row r="603" spans="3:20" hidden="1" outlineLevel="2">
      <c r="D603" s="249" t="str">
        <f>"Total "&amp;C596</f>
        <v>Total External Labour</v>
      </c>
      <c r="E603" s="249"/>
      <c r="F603" s="249"/>
      <c r="G603" s="249"/>
      <c r="H603" s="249"/>
      <c r="I603" s="249"/>
      <c r="J603" s="82">
        <f t="shared" ref="J603:T603" si="63">SUM(J598:J602)</f>
        <v>0</v>
      </c>
      <c r="K603" s="82">
        <f t="shared" si="63"/>
        <v>0</v>
      </c>
      <c r="L603" s="82">
        <f t="shared" si="63"/>
        <v>0</v>
      </c>
      <c r="M603" s="82">
        <f t="shared" si="63"/>
        <v>0</v>
      </c>
      <c r="N603" s="82">
        <f t="shared" si="63"/>
        <v>0</v>
      </c>
      <c r="O603" s="82">
        <f t="shared" si="63"/>
        <v>0</v>
      </c>
      <c r="P603" s="82">
        <f t="shared" si="63"/>
        <v>316350</v>
      </c>
      <c r="Q603" s="82">
        <f t="shared" si="63"/>
        <v>316350</v>
      </c>
      <c r="R603" s="82">
        <f t="shared" si="63"/>
        <v>316350</v>
      </c>
      <c r="S603" s="82">
        <f t="shared" si="63"/>
        <v>316350</v>
      </c>
      <c r="T603" s="82">
        <f t="shared" si="63"/>
        <v>282150</v>
      </c>
    </row>
    <row r="604" spans="3:20" hidden="1" outlineLevel="2"/>
    <row r="605" spans="3:20" hidden="1" outlineLevel="2">
      <c r="C605" s="37" t="s">
        <v>130</v>
      </c>
    </row>
    <row r="606" spans="3:20" ht="5.9" hidden="1" customHeight="1" outlineLevel="2"/>
    <row r="607" spans="3:20" hidden="1" outlineLevel="2">
      <c r="D607" s="102" t="str">
        <f>Work_Codes!D459</f>
        <v>City Gate Fence Upgrades Category 1</v>
      </c>
      <c r="J607" s="81">
        <f>Work_Codes!$K459*J571*J$540</f>
        <v>0</v>
      </c>
      <c r="K607" s="81">
        <f>Work_Codes!$K459*K571*K$540</f>
        <v>0</v>
      </c>
      <c r="L607" s="81">
        <f>Work_Codes!$K459*L571*L$540</f>
        <v>0</v>
      </c>
      <c r="M607" s="81">
        <f>Work_Codes!$K459*M571*M$540</f>
        <v>0</v>
      </c>
      <c r="N607" s="81">
        <f>Work_Codes!$K459*N571*N$540</f>
        <v>0</v>
      </c>
      <c r="O607" s="81">
        <f>Work_Codes!$K459*O571*O$540</f>
        <v>0</v>
      </c>
      <c r="P607" s="81">
        <f>Work_Codes!$K459*P571*P$540</f>
        <v>198000</v>
      </c>
      <c r="Q607" s="81">
        <f>Work_Codes!$K459*Q571*Q$540</f>
        <v>198000</v>
      </c>
      <c r="R607" s="81">
        <f>Work_Codes!$K459*R571*R$540</f>
        <v>198000</v>
      </c>
      <c r="S607" s="81">
        <f>Work_Codes!$K459*S571*S$540</f>
        <v>198000</v>
      </c>
      <c r="T607" s="81">
        <f>Work_Codes!$K459*T571*T$540</f>
        <v>198000</v>
      </c>
    </row>
    <row r="608" spans="3:20" hidden="1" outlineLevel="2">
      <c r="D608" s="102" t="str">
        <f>Work_Codes!D460</f>
        <v>City Gate Fence Upgrades Category 2</v>
      </c>
      <c r="J608" s="81">
        <f>Work_Codes!$K460*J572*J$540</f>
        <v>0</v>
      </c>
      <c r="K608" s="81">
        <f>Work_Codes!$K460*K572*K$540</f>
        <v>0</v>
      </c>
      <c r="L608" s="81">
        <f>Work_Codes!$K460*L572*L$540</f>
        <v>0</v>
      </c>
      <c r="M608" s="81">
        <f>Work_Codes!$K460*M572*M$540</f>
        <v>0</v>
      </c>
      <c r="N608" s="81">
        <f>Work_Codes!$K460*N572*N$540</f>
        <v>0</v>
      </c>
      <c r="O608" s="81">
        <f>Work_Codes!$K460*O572*O$540</f>
        <v>0</v>
      </c>
      <c r="P608" s="81">
        <f>Work_Codes!$K460*P572*P$540</f>
        <v>24000</v>
      </c>
      <c r="Q608" s="81">
        <f>Work_Codes!$K460*Q572*Q$540</f>
        <v>24000</v>
      </c>
      <c r="R608" s="81">
        <f>Work_Codes!$K460*R572*R$540</f>
        <v>24000</v>
      </c>
      <c r="S608" s="81">
        <f>Work_Codes!$K460*S572*S$540</f>
        <v>24000</v>
      </c>
      <c r="T608" s="81">
        <f>Work_Codes!$K460*T572*T$540</f>
        <v>0</v>
      </c>
    </row>
    <row r="609" spans="2:20" hidden="1" outlineLevel="2">
      <c r="D609" s="102" t="str">
        <f>Work_Codes!D461</f>
        <v>City Gate Fence Upgrades Category 3</v>
      </c>
      <c r="J609" s="81">
        <f>Work_Codes!$K461*J573*J$540</f>
        <v>0</v>
      </c>
      <c r="K609" s="81">
        <f>Work_Codes!$K461*K573*K$540</f>
        <v>0</v>
      </c>
      <c r="L609" s="81">
        <f>Work_Codes!$K461*L573*L$540</f>
        <v>0</v>
      </c>
      <c r="M609" s="81">
        <f>Work_Codes!$K461*M573*M$540</f>
        <v>0</v>
      </c>
      <c r="N609" s="81">
        <f>Work_Codes!$K461*N573*N$540</f>
        <v>0</v>
      </c>
      <c r="O609" s="81">
        <f>Work_Codes!$K461*O573*O$540</f>
        <v>0</v>
      </c>
      <c r="P609" s="81">
        <f>Work_Codes!$K461*P573*P$540</f>
        <v>0</v>
      </c>
      <c r="Q609" s="81">
        <f>Work_Codes!$K461*Q573*Q$540</f>
        <v>0</v>
      </c>
      <c r="R609" s="81">
        <f>Work_Codes!$K461*R573*R$540</f>
        <v>0</v>
      </c>
      <c r="S609" s="81">
        <f>Work_Codes!$K461*S573*S$540</f>
        <v>0</v>
      </c>
      <c r="T609" s="81">
        <f>Work_Codes!$K461*T573*T$540</f>
        <v>0</v>
      </c>
    </row>
    <row r="610" spans="2:20" hidden="1" outlineLevel="2">
      <c r="D610" s="102" t="str">
        <f>Work_Codes!D462</f>
        <v>City Gate Fence Upgrades Category 4</v>
      </c>
      <c r="J610" s="81">
        <f>Work_Codes!$K462*J574*J$540</f>
        <v>0</v>
      </c>
      <c r="K610" s="81">
        <f>Work_Codes!$K462*K574*K$540</f>
        <v>0</v>
      </c>
      <c r="L610" s="81">
        <f>Work_Codes!$K462*L574*L$540</f>
        <v>0</v>
      </c>
      <c r="M610" s="81">
        <f>Work_Codes!$K462*M574*M$540</f>
        <v>0</v>
      </c>
      <c r="N610" s="81">
        <f>Work_Codes!$K462*N574*N$540</f>
        <v>0</v>
      </c>
      <c r="O610" s="81">
        <f>Work_Codes!$K462*O574*O$540</f>
        <v>0</v>
      </c>
      <c r="P610" s="81">
        <f>Work_Codes!$K462*P574*P$540</f>
        <v>0</v>
      </c>
      <c r="Q610" s="81">
        <f>Work_Codes!$K462*Q574*Q$540</f>
        <v>0</v>
      </c>
      <c r="R610" s="81">
        <f>Work_Codes!$K462*R574*R$540</f>
        <v>0</v>
      </c>
      <c r="S610" s="81">
        <f>Work_Codes!$K462*S574*S$540</f>
        <v>0</v>
      </c>
      <c r="T610" s="81">
        <f>Work_Codes!$K462*T574*T$540</f>
        <v>0</v>
      </c>
    </row>
    <row r="611" spans="2:20" ht="5.9" hidden="1" customHeight="1" outlineLevel="2"/>
    <row r="612" spans="2:20" hidden="1" outlineLevel="2">
      <c r="D612" s="249" t="str">
        <f>"Total "&amp;C605</f>
        <v>Total Materials</v>
      </c>
      <c r="E612" s="249"/>
      <c r="F612" s="249"/>
      <c r="G612" s="249"/>
      <c r="H612" s="249"/>
      <c r="I612" s="249"/>
      <c r="J612" s="82">
        <f t="shared" ref="J612:T612" si="64">SUM(J607:J611)</f>
        <v>0</v>
      </c>
      <c r="K612" s="82">
        <f t="shared" si="64"/>
        <v>0</v>
      </c>
      <c r="L612" s="82">
        <f t="shared" si="64"/>
        <v>0</v>
      </c>
      <c r="M612" s="82">
        <f t="shared" si="64"/>
        <v>0</v>
      </c>
      <c r="N612" s="82">
        <f t="shared" si="64"/>
        <v>0</v>
      </c>
      <c r="O612" s="82">
        <f t="shared" si="64"/>
        <v>0</v>
      </c>
      <c r="P612" s="82">
        <f t="shared" si="64"/>
        <v>222000</v>
      </c>
      <c r="Q612" s="82">
        <f t="shared" si="64"/>
        <v>222000</v>
      </c>
      <c r="R612" s="82">
        <f t="shared" si="64"/>
        <v>222000</v>
      </c>
      <c r="S612" s="82">
        <f t="shared" si="64"/>
        <v>222000</v>
      </c>
      <c r="T612" s="82">
        <f t="shared" si="64"/>
        <v>198000</v>
      </c>
    </row>
    <row r="613" spans="2:20" outlineLevel="1" collapsed="1"/>
    <row r="614" spans="2:20" outlineLevel="1">
      <c r="C614" s="37" t="s">
        <v>217</v>
      </c>
    </row>
    <row r="615" spans="2:20" ht="5.9" customHeight="1" outlineLevel="1"/>
    <row r="616" spans="2:20" outlineLevel="1">
      <c r="D616" s="102" t="str">
        <f>Work_Codes!D459</f>
        <v>City Gate Fence Upgrades Category 1</v>
      </c>
      <c r="J616" s="81">
        <f t="shared" ref="J616:T616" si="65">J589+J598+J607</f>
        <v>0</v>
      </c>
      <c r="K616" s="81">
        <f t="shared" si="65"/>
        <v>0</v>
      </c>
      <c r="L616" s="81">
        <f t="shared" si="65"/>
        <v>0</v>
      </c>
      <c r="M616" s="81">
        <f t="shared" si="65"/>
        <v>0</v>
      </c>
      <c r="N616" s="81">
        <f t="shared" si="65"/>
        <v>0</v>
      </c>
      <c r="O616" s="81">
        <f t="shared" si="65"/>
        <v>0</v>
      </c>
      <c r="P616" s="81">
        <f t="shared" si="65"/>
        <v>495151.91808598756</v>
      </c>
      <c r="Q616" s="81">
        <f t="shared" si="65"/>
        <v>495268.89321706258</v>
      </c>
      <c r="R616" s="81">
        <f t="shared" si="65"/>
        <v>495435.32876953779</v>
      </c>
      <c r="S616" s="81">
        <f t="shared" si="65"/>
        <v>495603.59651916724</v>
      </c>
      <c r="T616" s="81">
        <f t="shared" si="65"/>
        <v>495773.71663559834</v>
      </c>
    </row>
    <row r="617" spans="2:20" outlineLevel="1">
      <c r="D617" s="102" t="str">
        <f>Work_Codes!D460</f>
        <v>City Gate Fence Upgrades Category 2</v>
      </c>
      <c r="J617" s="81">
        <f t="shared" ref="J617:T617" si="66">J590+J599+J608</f>
        <v>0</v>
      </c>
      <c r="K617" s="81">
        <f t="shared" si="66"/>
        <v>0</v>
      </c>
      <c r="L617" s="81">
        <f t="shared" si="66"/>
        <v>0</v>
      </c>
      <c r="M617" s="81">
        <f t="shared" si="66"/>
        <v>0</v>
      </c>
      <c r="N617" s="81">
        <f t="shared" si="66"/>
        <v>0</v>
      </c>
      <c r="O617" s="81">
        <f t="shared" si="66"/>
        <v>0</v>
      </c>
      <c r="P617" s="81">
        <f t="shared" si="66"/>
        <v>60018.414313453039</v>
      </c>
      <c r="Q617" s="81">
        <f t="shared" si="66"/>
        <v>60032.593117219709</v>
      </c>
      <c r="R617" s="81">
        <f t="shared" si="66"/>
        <v>60052.767123580335</v>
      </c>
      <c r="S617" s="81">
        <f t="shared" si="66"/>
        <v>60073.16321444451</v>
      </c>
      <c r="T617" s="81">
        <f t="shared" si="66"/>
        <v>0</v>
      </c>
    </row>
    <row r="618" spans="2:20" outlineLevel="1">
      <c r="D618" s="102" t="str">
        <f>Work_Codes!D461</f>
        <v>City Gate Fence Upgrades Category 3</v>
      </c>
      <c r="J618" s="81">
        <f t="shared" ref="J618:T618" si="67">J591+J600+J609</f>
        <v>0</v>
      </c>
      <c r="K618" s="81">
        <f t="shared" si="67"/>
        <v>0</v>
      </c>
      <c r="L618" s="81">
        <f t="shared" si="67"/>
        <v>0</v>
      </c>
      <c r="M618" s="81">
        <f t="shared" si="67"/>
        <v>0</v>
      </c>
      <c r="N618" s="81">
        <f t="shared" si="67"/>
        <v>0</v>
      </c>
      <c r="O618" s="81">
        <f t="shared" si="67"/>
        <v>0</v>
      </c>
      <c r="P618" s="81">
        <f t="shared" si="67"/>
        <v>0</v>
      </c>
      <c r="Q618" s="81">
        <f t="shared" si="67"/>
        <v>0</v>
      </c>
      <c r="R618" s="81">
        <f t="shared" si="67"/>
        <v>0</v>
      </c>
      <c r="S618" s="81">
        <f t="shared" si="67"/>
        <v>0</v>
      </c>
      <c r="T618" s="81">
        <f t="shared" si="67"/>
        <v>0</v>
      </c>
    </row>
    <row r="619" spans="2:20" outlineLevel="1">
      <c r="D619" s="102" t="str">
        <f>Work_Codes!D462</f>
        <v>City Gate Fence Upgrades Category 4</v>
      </c>
      <c r="J619" s="81">
        <f t="shared" ref="J619:T619" si="68">J592+J601+J610</f>
        <v>0</v>
      </c>
      <c r="K619" s="81">
        <f t="shared" si="68"/>
        <v>0</v>
      </c>
      <c r="L619" s="81">
        <f t="shared" si="68"/>
        <v>0</v>
      </c>
      <c r="M619" s="81">
        <f t="shared" si="68"/>
        <v>0</v>
      </c>
      <c r="N619" s="81">
        <f t="shared" si="68"/>
        <v>0</v>
      </c>
      <c r="O619" s="81">
        <f t="shared" si="68"/>
        <v>0</v>
      </c>
      <c r="P619" s="81">
        <f t="shared" si="68"/>
        <v>0</v>
      </c>
      <c r="Q619" s="81">
        <f t="shared" si="68"/>
        <v>0</v>
      </c>
      <c r="R619" s="81">
        <f t="shared" si="68"/>
        <v>0</v>
      </c>
      <c r="S619" s="81">
        <f t="shared" si="68"/>
        <v>0</v>
      </c>
      <c r="T619" s="81">
        <f t="shared" si="68"/>
        <v>0</v>
      </c>
    </row>
    <row r="620" spans="2:20" ht="5.9" customHeight="1" outlineLevel="1"/>
    <row r="621" spans="2:20" outlineLevel="1">
      <c r="D621" s="249" t="str">
        <f>C614</f>
        <v>Total Direct Capex including Escalation (Non CPI)</v>
      </c>
      <c r="E621" s="249"/>
      <c r="F621" s="249"/>
      <c r="G621" s="249"/>
      <c r="H621" s="249"/>
      <c r="I621" s="249"/>
      <c r="J621" s="82">
        <f t="shared" ref="J621:T621" si="69">SUM(J616:J620)</f>
        <v>0</v>
      </c>
      <c r="K621" s="82">
        <f t="shared" si="69"/>
        <v>0</v>
      </c>
      <c r="L621" s="82">
        <f t="shared" si="69"/>
        <v>0</v>
      </c>
      <c r="M621" s="82">
        <f t="shared" si="69"/>
        <v>0</v>
      </c>
      <c r="N621" s="82">
        <f t="shared" si="69"/>
        <v>0</v>
      </c>
      <c r="O621" s="82">
        <f t="shared" si="69"/>
        <v>0</v>
      </c>
      <c r="P621" s="82">
        <f t="shared" si="69"/>
        <v>555170.33239944058</v>
      </c>
      <c r="Q621" s="82">
        <f t="shared" si="69"/>
        <v>555301.48633428232</v>
      </c>
      <c r="R621" s="82">
        <f t="shared" si="69"/>
        <v>555488.09589311818</v>
      </c>
      <c r="S621" s="82">
        <f t="shared" si="69"/>
        <v>555676.75973361172</v>
      </c>
      <c r="T621" s="82">
        <f t="shared" si="69"/>
        <v>495773.71663559834</v>
      </c>
    </row>
    <row r="622" spans="2:20" outlineLevel="1">
      <c r="B622" s="12"/>
      <c r="C622" s="12"/>
      <c r="D622" s="12"/>
      <c r="E622" s="12"/>
      <c r="F622" s="12"/>
      <c r="G622" s="12"/>
      <c r="H622" s="12"/>
      <c r="I622" s="12"/>
      <c r="J622" s="12"/>
      <c r="K622" s="12"/>
      <c r="L622" s="12"/>
      <c r="M622" s="12"/>
      <c r="N622" s="12"/>
      <c r="O622" s="12"/>
      <c r="P622" s="12"/>
      <c r="Q622" s="12"/>
      <c r="R622" s="12"/>
      <c r="S622" s="12"/>
      <c r="T622" s="12"/>
    </row>
    <row r="623" spans="2:20" outlineLevel="1"/>
    <row r="624" spans="2:20" outlineLevel="1">
      <c r="C624" s="37" t="s">
        <v>195</v>
      </c>
    </row>
    <row r="625" spans="4:20" ht="5.9" customHeight="1" outlineLevel="2"/>
    <row r="626" spans="4:20" outlineLevel="2">
      <c r="D626" s="37" t="s">
        <v>215</v>
      </c>
    </row>
    <row r="627" spans="4:20" ht="5.9" customHeight="1" outlineLevel="2"/>
    <row r="628" spans="4:20" ht="11.5" customHeight="1" outlineLevel="2">
      <c r="E628" s="247" t="str">
        <f>GC!C40</f>
        <v>Transmission pipelines</v>
      </c>
      <c r="F628" s="247"/>
      <c r="G628" s="247"/>
      <c r="H628" s="247"/>
      <c r="I628" s="247"/>
      <c r="J628" s="81">
        <f ca="1">SUMPRODUCT((Work_Codes!$N$456:$Y$456=$E628)*(Work_Codes!$N$459:$Y$462)*(J$616:J$619))</f>
        <v>0</v>
      </c>
      <c r="K628" s="81">
        <f ca="1">SUMPRODUCT((Work_Codes!$N$456:$Y$456=$E628)*(Work_Codes!$N$459:$Y$462)*(K$616:K$619))</f>
        <v>0</v>
      </c>
      <c r="L628" s="81">
        <f ca="1">SUMPRODUCT((Work_Codes!$N$456:$Y$456=$E628)*(Work_Codes!$N$459:$Y$462)*(L$616:L$619))</f>
        <v>0</v>
      </c>
      <c r="M628" s="81">
        <f ca="1">SUMPRODUCT((Work_Codes!$N$456:$Y$456=$E628)*(Work_Codes!$N$459:$Y$462)*(M$616:M$619))</f>
        <v>0</v>
      </c>
      <c r="N628" s="81">
        <f ca="1">SUMPRODUCT((Work_Codes!$N$456:$Y$456=$E628)*(Work_Codes!$N$459:$Y$462)*(N$616:N$619))</f>
        <v>0</v>
      </c>
      <c r="O628" s="81">
        <f ca="1">SUMPRODUCT((Work_Codes!$N$456:$Y$456=$E628)*(Work_Codes!$N$459:$Y$462)*(O$616:O$619))</f>
        <v>0</v>
      </c>
      <c r="P628" s="81">
        <f ca="1">SUMPRODUCT((Work_Codes!$N$456:$Y$456=$E628)*(Work_Codes!$N$459:$Y$462)*(P$616:P$619))</f>
        <v>0</v>
      </c>
      <c r="Q628" s="81">
        <f ca="1">SUMPRODUCT((Work_Codes!$N$456:$Y$456=$E628)*(Work_Codes!$N$459:$Y$462)*(Q$616:Q$619))</f>
        <v>0</v>
      </c>
      <c r="R628" s="81">
        <f ca="1">SUMPRODUCT((Work_Codes!$N$456:$Y$456=$E628)*(Work_Codes!$N$459:$Y$462)*(R$616:R$619))</f>
        <v>0</v>
      </c>
      <c r="S628" s="81">
        <f ca="1">SUMPRODUCT((Work_Codes!$N$456:$Y$456=$E628)*(Work_Codes!$N$459:$Y$462)*(S$616:S$619))</f>
        <v>0</v>
      </c>
      <c r="T628" s="81">
        <f ca="1">SUMPRODUCT((Work_Codes!$N$456:$Y$456=$E628)*(Work_Codes!$N$459:$Y$462)*(T$616:T$619))</f>
        <v>0</v>
      </c>
    </row>
    <row r="629" spans="4:20" ht="11.5" customHeight="1" outlineLevel="2">
      <c r="E629" s="247" t="str">
        <f>GC!C41</f>
        <v>Distribution pipelines</v>
      </c>
      <c r="F629" s="247"/>
      <c r="G629" s="247"/>
      <c r="H629" s="247"/>
      <c r="I629" s="247"/>
      <c r="J629" s="81">
        <f ca="1">SUMPRODUCT((Work_Codes!$N$456:$Y$456=$E629)*(Work_Codes!$N$459:$Y$462)*(J$616:J$619))</f>
        <v>0</v>
      </c>
      <c r="K629" s="81">
        <f ca="1">SUMPRODUCT((Work_Codes!$N$456:$Y$456=$E629)*(Work_Codes!$N$459:$Y$462)*(K$616:K$619))</f>
        <v>0</v>
      </c>
      <c r="L629" s="81">
        <f ca="1">SUMPRODUCT((Work_Codes!$N$456:$Y$456=$E629)*(Work_Codes!$N$459:$Y$462)*(L$616:L$619))</f>
        <v>0</v>
      </c>
      <c r="M629" s="81">
        <f ca="1">SUMPRODUCT((Work_Codes!$N$456:$Y$456=$E629)*(Work_Codes!$N$459:$Y$462)*(M$616:M$619))</f>
        <v>0</v>
      </c>
      <c r="N629" s="81">
        <f ca="1">SUMPRODUCT((Work_Codes!$N$456:$Y$456=$E629)*(Work_Codes!$N$459:$Y$462)*(N$616:N$619))</f>
        <v>0</v>
      </c>
      <c r="O629" s="81">
        <f ca="1">SUMPRODUCT((Work_Codes!$N$456:$Y$456=$E629)*(Work_Codes!$N$459:$Y$462)*(O$616:O$619))</f>
        <v>0</v>
      </c>
      <c r="P629" s="81">
        <f ca="1">SUMPRODUCT((Work_Codes!$N$456:$Y$456=$E629)*(Work_Codes!$N$459:$Y$462)*(P$616:P$619))</f>
        <v>0</v>
      </c>
      <c r="Q629" s="81">
        <f ca="1">SUMPRODUCT((Work_Codes!$N$456:$Y$456=$E629)*(Work_Codes!$N$459:$Y$462)*(Q$616:Q$619))</f>
        <v>0</v>
      </c>
      <c r="R629" s="81">
        <f ca="1">SUMPRODUCT((Work_Codes!$N$456:$Y$456=$E629)*(Work_Codes!$N$459:$Y$462)*(R$616:R$619))</f>
        <v>0</v>
      </c>
      <c r="S629" s="81">
        <f ca="1">SUMPRODUCT((Work_Codes!$N$456:$Y$456=$E629)*(Work_Codes!$N$459:$Y$462)*(S$616:S$619))</f>
        <v>0</v>
      </c>
      <c r="T629" s="81">
        <f ca="1">SUMPRODUCT((Work_Codes!$N$456:$Y$456=$E629)*(Work_Codes!$N$459:$Y$462)*(T$616:T$619))</f>
        <v>0</v>
      </c>
    </row>
    <row r="630" spans="4:20" ht="11.5" customHeight="1" outlineLevel="2">
      <c r="E630" s="247" t="str">
        <f>GC!C42</f>
        <v>Service pipes</v>
      </c>
      <c r="F630" s="247"/>
      <c r="G630" s="247"/>
      <c r="H630" s="247"/>
      <c r="I630" s="247"/>
      <c r="J630" s="81">
        <f ca="1">SUMPRODUCT((Work_Codes!$N$456:$Y$456=$E630)*(Work_Codes!$N$459:$Y$462)*(J$616:J$619))</f>
        <v>0</v>
      </c>
      <c r="K630" s="81">
        <f ca="1">SUMPRODUCT((Work_Codes!$N$456:$Y$456=$E630)*(Work_Codes!$N$459:$Y$462)*(K$616:K$619))</f>
        <v>0</v>
      </c>
      <c r="L630" s="81">
        <f ca="1">SUMPRODUCT((Work_Codes!$N$456:$Y$456=$E630)*(Work_Codes!$N$459:$Y$462)*(L$616:L$619))</f>
        <v>0</v>
      </c>
      <c r="M630" s="81">
        <f ca="1">SUMPRODUCT((Work_Codes!$N$456:$Y$456=$E630)*(Work_Codes!$N$459:$Y$462)*(M$616:M$619))</f>
        <v>0</v>
      </c>
      <c r="N630" s="81">
        <f ca="1">SUMPRODUCT((Work_Codes!$N$456:$Y$456=$E630)*(Work_Codes!$N$459:$Y$462)*(N$616:N$619))</f>
        <v>0</v>
      </c>
      <c r="O630" s="81">
        <f ca="1">SUMPRODUCT((Work_Codes!$N$456:$Y$456=$E630)*(Work_Codes!$N$459:$Y$462)*(O$616:O$619))</f>
        <v>0</v>
      </c>
      <c r="P630" s="81">
        <f ca="1">SUMPRODUCT((Work_Codes!$N$456:$Y$456=$E630)*(Work_Codes!$N$459:$Y$462)*(P$616:P$619))</f>
        <v>0</v>
      </c>
      <c r="Q630" s="81">
        <f ca="1">SUMPRODUCT((Work_Codes!$N$456:$Y$456=$E630)*(Work_Codes!$N$459:$Y$462)*(Q$616:Q$619))</f>
        <v>0</v>
      </c>
      <c r="R630" s="81">
        <f ca="1">SUMPRODUCT((Work_Codes!$N$456:$Y$456=$E630)*(Work_Codes!$N$459:$Y$462)*(R$616:R$619))</f>
        <v>0</v>
      </c>
      <c r="S630" s="81">
        <f ca="1">SUMPRODUCT((Work_Codes!$N$456:$Y$456=$E630)*(Work_Codes!$N$459:$Y$462)*(S$616:S$619))</f>
        <v>0</v>
      </c>
      <c r="T630" s="81">
        <f ca="1">SUMPRODUCT((Work_Codes!$N$456:$Y$456=$E630)*(Work_Codes!$N$459:$Y$462)*(T$616:T$619))</f>
        <v>0</v>
      </c>
    </row>
    <row r="631" spans="4:20" ht="11.5" customHeight="1" outlineLevel="2">
      <c r="E631" s="247" t="str">
        <f>GC!C43</f>
        <v>Cathodic protection</v>
      </c>
      <c r="F631" s="247"/>
      <c r="G631" s="247"/>
      <c r="H631" s="247"/>
      <c r="I631" s="247"/>
      <c r="J631" s="81">
        <f ca="1">SUMPRODUCT((Work_Codes!$N$456:$Y$456=$E631)*(Work_Codes!$N$459:$Y$462)*(J$616:J$619))</f>
        <v>0</v>
      </c>
      <c r="K631" s="81">
        <f ca="1">SUMPRODUCT((Work_Codes!$N$456:$Y$456=$E631)*(Work_Codes!$N$459:$Y$462)*(K$616:K$619))</f>
        <v>0</v>
      </c>
      <c r="L631" s="81">
        <f ca="1">SUMPRODUCT((Work_Codes!$N$456:$Y$456=$E631)*(Work_Codes!$N$459:$Y$462)*(L$616:L$619))</f>
        <v>0</v>
      </c>
      <c r="M631" s="81">
        <f ca="1">SUMPRODUCT((Work_Codes!$N$456:$Y$456=$E631)*(Work_Codes!$N$459:$Y$462)*(M$616:M$619))</f>
        <v>0</v>
      </c>
      <c r="N631" s="81">
        <f ca="1">SUMPRODUCT((Work_Codes!$N$456:$Y$456=$E631)*(Work_Codes!$N$459:$Y$462)*(N$616:N$619))</f>
        <v>0</v>
      </c>
      <c r="O631" s="81">
        <f ca="1">SUMPRODUCT((Work_Codes!$N$456:$Y$456=$E631)*(Work_Codes!$N$459:$Y$462)*(O$616:O$619))</f>
        <v>0</v>
      </c>
      <c r="P631" s="81">
        <f ca="1">SUMPRODUCT((Work_Codes!$N$456:$Y$456=$E631)*(Work_Codes!$N$459:$Y$462)*(P$616:P$619))</f>
        <v>0</v>
      </c>
      <c r="Q631" s="81">
        <f ca="1">SUMPRODUCT((Work_Codes!$N$456:$Y$456=$E631)*(Work_Codes!$N$459:$Y$462)*(Q$616:Q$619))</f>
        <v>0</v>
      </c>
      <c r="R631" s="81">
        <f ca="1">SUMPRODUCT((Work_Codes!$N$456:$Y$456=$E631)*(Work_Codes!$N$459:$Y$462)*(R$616:R$619))</f>
        <v>0</v>
      </c>
      <c r="S631" s="81">
        <f ca="1">SUMPRODUCT((Work_Codes!$N$456:$Y$456=$E631)*(Work_Codes!$N$459:$Y$462)*(S$616:S$619))</f>
        <v>0</v>
      </c>
      <c r="T631" s="81">
        <f ca="1">SUMPRODUCT((Work_Codes!$N$456:$Y$456=$E631)*(Work_Codes!$N$459:$Y$462)*(T$616:T$619))</f>
        <v>0</v>
      </c>
    </row>
    <row r="632" spans="4:20" ht="11.5" customHeight="1" outlineLevel="2">
      <c r="E632" s="247" t="str">
        <f>GC!C44</f>
        <v>Supply Regulators / Valve Stations</v>
      </c>
      <c r="F632" s="247"/>
      <c r="G632" s="247"/>
      <c r="H632" s="247"/>
      <c r="I632" s="247"/>
      <c r="J632" s="81">
        <f ca="1">SUMPRODUCT((Work_Codes!$N$456:$Y$456=$E632)*(Work_Codes!$N$459:$Y$462)*(J$616:J$619))</f>
        <v>0</v>
      </c>
      <c r="K632" s="81">
        <f ca="1">SUMPRODUCT((Work_Codes!$N$456:$Y$456=$E632)*(Work_Codes!$N$459:$Y$462)*(K$616:K$619))</f>
        <v>0</v>
      </c>
      <c r="L632" s="81">
        <f ca="1">SUMPRODUCT((Work_Codes!$N$456:$Y$456=$E632)*(Work_Codes!$N$459:$Y$462)*(L$616:L$619))</f>
        <v>0</v>
      </c>
      <c r="M632" s="81">
        <f ca="1">SUMPRODUCT((Work_Codes!$N$456:$Y$456=$E632)*(Work_Codes!$N$459:$Y$462)*(M$616:M$619))</f>
        <v>0</v>
      </c>
      <c r="N632" s="81">
        <f ca="1">SUMPRODUCT((Work_Codes!$N$456:$Y$456=$E632)*(Work_Codes!$N$459:$Y$462)*(N$616:N$619))</f>
        <v>0</v>
      </c>
      <c r="O632" s="81">
        <f ca="1">SUMPRODUCT((Work_Codes!$N$456:$Y$456=$E632)*(Work_Codes!$N$459:$Y$462)*(O$616:O$619))</f>
        <v>0</v>
      </c>
      <c r="P632" s="81">
        <f ca="1">SUMPRODUCT((Work_Codes!$N$456:$Y$456=$E632)*(Work_Codes!$N$459:$Y$462)*(P$616:P$619))</f>
        <v>0</v>
      </c>
      <c r="Q632" s="81">
        <f ca="1">SUMPRODUCT((Work_Codes!$N$456:$Y$456=$E632)*(Work_Codes!$N$459:$Y$462)*(Q$616:Q$619))</f>
        <v>0</v>
      </c>
      <c r="R632" s="81">
        <f ca="1">SUMPRODUCT((Work_Codes!$N$456:$Y$456=$E632)*(Work_Codes!$N$459:$Y$462)*(R$616:R$619))</f>
        <v>0</v>
      </c>
      <c r="S632" s="81">
        <f ca="1">SUMPRODUCT((Work_Codes!$N$456:$Y$456=$E632)*(Work_Codes!$N$459:$Y$462)*(S$616:S$619))</f>
        <v>0</v>
      </c>
      <c r="T632" s="81">
        <f ca="1">SUMPRODUCT((Work_Codes!$N$456:$Y$456=$E632)*(Work_Codes!$N$459:$Y$462)*(T$616:T$619))</f>
        <v>0</v>
      </c>
    </row>
    <row r="633" spans="4:20" ht="11.5" customHeight="1" outlineLevel="2">
      <c r="E633" s="247" t="str">
        <f>GC!C45</f>
        <v>Meters</v>
      </c>
      <c r="F633" s="247"/>
      <c r="G633" s="247"/>
      <c r="H633" s="247"/>
      <c r="I633" s="247"/>
      <c r="J633" s="81">
        <f ca="1">SUMPRODUCT((Work_Codes!$N$456:$Y$456=$E633)*(Work_Codes!$N$459:$Y$462)*(J$616:J$619))</f>
        <v>0</v>
      </c>
      <c r="K633" s="81">
        <f ca="1">SUMPRODUCT((Work_Codes!$N$456:$Y$456=$E633)*(Work_Codes!$N$459:$Y$462)*(K$616:K$619))</f>
        <v>0</v>
      </c>
      <c r="L633" s="81">
        <f ca="1">SUMPRODUCT((Work_Codes!$N$456:$Y$456=$E633)*(Work_Codes!$N$459:$Y$462)*(L$616:L$619))</f>
        <v>0</v>
      </c>
      <c r="M633" s="81">
        <f ca="1">SUMPRODUCT((Work_Codes!$N$456:$Y$456=$E633)*(Work_Codes!$N$459:$Y$462)*(M$616:M$619))</f>
        <v>0</v>
      </c>
      <c r="N633" s="81">
        <f ca="1">SUMPRODUCT((Work_Codes!$N$456:$Y$456=$E633)*(Work_Codes!$N$459:$Y$462)*(N$616:N$619))</f>
        <v>0</v>
      </c>
      <c r="O633" s="81">
        <f ca="1">SUMPRODUCT((Work_Codes!$N$456:$Y$456=$E633)*(Work_Codes!$N$459:$Y$462)*(O$616:O$619))</f>
        <v>0</v>
      </c>
      <c r="P633" s="81">
        <f ca="1">SUMPRODUCT((Work_Codes!$N$456:$Y$456=$E633)*(Work_Codes!$N$459:$Y$462)*(P$616:P$619))</f>
        <v>0</v>
      </c>
      <c r="Q633" s="81">
        <f ca="1">SUMPRODUCT((Work_Codes!$N$456:$Y$456=$E633)*(Work_Codes!$N$459:$Y$462)*(Q$616:Q$619))</f>
        <v>0</v>
      </c>
      <c r="R633" s="81">
        <f ca="1">SUMPRODUCT((Work_Codes!$N$456:$Y$456=$E633)*(Work_Codes!$N$459:$Y$462)*(R$616:R$619))</f>
        <v>0</v>
      </c>
      <c r="S633" s="81">
        <f ca="1">SUMPRODUCT((Work_Codes!$N$456:$Y$456=$E633)*(Work_Codes!$N$459:$Y$462)*(S$616:S$619))</f>
        <v>0</v>
      </c>
      <c r="T633" s="81">
        <f ca="1">SUMPRODUCT((Work_Codes!$N$456:$Y$456=$E633)*(Work_Codes!$N$459:$Y$462)*(T$616:T$619))</f>
        <v>0</v>
      </c>
    </row>
    <row r="634" spans="4:20" ht="11.5" customHeight="1" outlineLevel="2">
      <c r="E634" s="247" t="str">
        <f>GC!C46</f>
        <v>SCADA and remote control</v>
      </c>
      <c r="F634" s="247"/>
      <c r="G634" s="247"/>
      <c r="H634" s="247"/>
      <c r="I634" s="247"/>
      <c r="J634" s="81">
        <f ca="1">SUMPRODUCT((Work_Codes!$N$456:$Y$456=$E634)*(Work_Codes!$N$459:$Y$462)*(J$616:J$619))</f>
        <v>0</v>
      </c>
      <c r="K634" s="81">
        <f ca="1">SUMPRODUCT((Work_Codes!$N$456:$Y$456=$E634)*(Work_Codes!$N$459:$Y$462)*(K$616:K$619))</f>
        <v>0</v>
      </c>
      <c r="L634" s="81">
        <f ca="1">SUMPRODUCT((Work_Codes!$N$456:$Y$456=$E634)*(Work_Codes!$N$459:$Y$462)*(L$616:L$619))</f>
        <v>0</v>
      </c>
      <c r="M634" s="81">
        <f ca="1">SUMPRODUCT((Work_Codes!$N$456:$Y$456=$E634)*(Work_Codes!$N$459:$Y$462)*(M$616:M$619))</f>
        <v>0</v>
      </c>
      <c r="N634" s="81">
        <f ca="1">SUMPRODUCT((Work_Codes!$N$456:$Y$456=$E634)*(Work_Codes!$N$459:$Y$462)*(N$616:N$619))</f>
        <v>0</v>
      </c>
      <c r="O634" s="81">
        <f ca="1">SUMPRODUCT((Work_Codes!$N$456:$Y$456=$E634)*(Work_Codes!$N$459:$Y$462)*(O$616:O$619))</f>
        <v>0</v>
      </c>
      <c r="P634" s="81">
        <f ca="1">SUMPRODUCT((Work_Codes!$N$456:$Y$456=$E634)*(Work_Codes!$N$459:$Y$462)*(P$616:P$619))</f>
        <v>0</v>
      </c>
      <c r="Q634" s="81">
        <f ca="1">SUMPRODUCT((Work_Codes!$N$456:$Y$456=$E634)*(Work_Codes!$N$459:$Y$462)*(Q$616:Q$619))</f>
        <v>0</v>
      </c>
      <c r="R634" s="81">
        <f ca="1">SUMPRODUCT((Work_Codes!$N$456:$Y$456=$E634)*(Work_Codes!$N$459:$Y$462)*(R$616:R$619))</f>
        <v>0</v>
      </c>
      <c r="S634" s="81">
        <f ca="1">SUMPRODUCT((Work_Codes!$N$456:$Y$456=$E634)*(Work_Codes!$N$459:$Y$462)*(S$616:S$619))</f>
        <v>0</v>
      </c>
      <c r="T634" s="81">
        <f ca="1">SUMPRODUCT((Work_Codes!$N$456:$Y$456=$E634)*(Work_Codes!$N$459:$Y$462)*(T$616:T$619))</f>
        <v>0</v>
      </c>
    </row>
    <row r="635" spans="4:20" ht="11.5" customHeight="1" outlineLevel="2">
      <c r="E635" s="247" t="str">
        <f>GC!C47</f>
        <v>Buildings</v>
      </c>
      <c r="F635" s="247"/>
      <c r="G635" s="247"/>
      <c r="H635" s="247"/>
      <c r="I635" s="247"/>
      <c r="J635" s="81">
        <f ca="1">SUMPRODUCT((Work_Codes!$N$456:$Y$456=$E635)*(Work_Codes!$N$459:$Y$462)*(J$616:J$619))</f>
        <v>0</v>
      </c>
      <c r="K635" s="81">
        <f ca="1">SUMPRODUCT((Work_Codes!$N$456:$Y$456=$E635)*(Work_Codes!$N$459:$Y$462)*(K$616:K$619))</f>
        <v>0</v>
      </c>
      <c r="L635" s="81">
        <f ca="1">SUMPRODUCT((Work_Codes!$N$456:$Y$456=$E635)*(Work_Codes!$N$459:$Y$462)*(L$616:L$619))</f>
        <v>0</v>
      </c>
      <c r="M635" s="81">
        <f ca="1">SUMPRODUCT((Work_Codes!$N$456:$Y$456=$E635)*(Work_Codes!$N$459:$Y$462)*(M$616:M$619))</f>
        <v>0</v>
      </c>
      <c r="N635" s="81">
        <f ca="1">SUMPRODUCT((Work_Codes!$N$456:$Y$456=$E635)*(Work_Codes!$N$459:$Y$462)*(N$616:N$619))</f>
        <v>0</v>
      </c>
      <c r="O635" s="81">
        <f ca="1">SUMPRODUCT((Work_Codes!$N$456:$Y$456=$E635)*(Work_Codes!$N$459:$Y$462)*(O$616:O$619))</f>
        <v>0</v>
      </c>
      <c r="P635" s="81">
        <f ca="1">SUMPRODUCT((Work_Codes!$N$456:$Y$456=$E635)*(Work_Codes!$N$459:$Y$462)*(P$616:P$619))</f>
        <v>0</v>
      </c>
      <c r="Q635" s="81">
        <f ca="1">SUMPRODUCT((Work_Codes!$N$456:$Y$456=$E635)*(Work_Codes!$N$459:$Y$462)*(Q$616:Q$619))</f>
        <v>0</v>
      </c>
      <c r="R635" s="81">
        <f ca="1">SUMPRODUCT((Work_Codes!$N$456:$Y$456=$E635)*(Work_Codes!$N$459:$Y$462)*(R$616:R$619))</f>
        <v>0</v>
      </c>
      <c r="S635" s="81">
        <f ca="1">SUMPRODUCT((Work_Codes!$N$456:$Y$456=$E635)*(Work_Codes!$N$459:$Y$462)*(S$616:S$619))</f>
        <v>0</v>
      </c>
      <c r="T635" s="81">
        <f ca="1">SUMPRODUCT((Work_Codes!$N$456:$Y$456=$E635)*(Work_Codes!$N$459:$Y$462)*(T$616:T$619))</f>
        <v>0</v>
      </c>
    </row>
    <row r="636" spans="4:20" ht="11.5" customHeight="1" outlineLevel="2">
      <c r="E636" s="247" t="str">
        <f>GC!C48</f>
        <v>Other - IT</v>
      </c>
      <c r="F636" s="247"/>
      <c r="G636" s="247"/>
      <c r="H636" s="247"/>
      <c r="I636" s="247"/>
      <c r="J636" s="81">
        <f ca="1">SUMPRODUCT((Work_Codes!$N$456:$Y$456=$E636)*(Work_Codes!$N$459:$Y$462)*(J$616:J$619))</f>
        <v>0</v>
      </c>
      <c r="K636" s="81">
        <f ca="1">SUMPRODUCT((Work_Codes!$N$456:$Y$456=$E636)*(Work_Codes!$N$459:$Y$462)*(K$616:K$619))</f>
        <v>0</v>
      </c>
      <c r="L636" s="81">
        <f ca="1">SUMPRODUCT((Work_Codes!$N$456:$Y$456=$E636)*(Work_Codes!$N$459:$Y$462)*(L$616:L$619))</f>
        <v>0</v>
      </c>
      <c r="M636" s="81">
        <f ca="1">SUMPRODUCT((Work_Codes!$N$456:$Y$456=$E636)*(Work_Codes!$N$459:$Y$462)*(M$616:M$619))</f>
        <v>0</v>
      </c>
      <c r="N636" s="81">
        <f ca="1">SUMPRODUCT((Work_Codes!$N$456:$Y$456=$E636)*(Work_Codes!$N$459:$Y$462)*(N$616:N$619))</f>
        <v>0</v>
      </c>
      <c r="O636" s="81">
        <f ca="1">SUMPRODUCT((Work_Codes!$N$456:$Y$456=$E636)*(Work_Codes!$N$459:$Y$462)*(O$616:O$619))</f>
        <v>0</v>
      </c>
      <c r="P636" s="81">
        <f ca="1">SUMPRODUCT((Work_Codes!$N$456:$Y$456=$E636)*(Work_Codes!$N$459:$Y$462)*(P$616:P$619))</f>
        <v>0</v>
      </c>
      <c r="Q636" s="81">
        <f ca="1">SUMPRODUCT((Work_Codes!$N$456:$Y$456=$E636)*(Work_Codes!$N$459:$Y$462)*(Q$616:Q$619))</f>
        <v>0</v>
      </c>
      <c r="R636" s="81">
        <f ca="1">SUMPRODUCT((Work_Codes!$N$456:$Y$456=$E636)*(Work_Codes!$N$459:$Y$462)*(R$616:R$619))</f>
        <v>0</v>
      </c>
      <c r="S636" s="81">
        <f ca="1">SUMPRODUCT((Work_Codes!$N$456:$Y$456=$E636)*(Work_Codes!$N$459:$Y$462)*(S$616:S$619))</f>
        <v>0</v>
      </c>
      <c r="T636" s="81">
        <f ca="1">SUMPRODUCT((Work_Codes!$N$456:$Y$456=$E636)*(Work_Codes!$N$459:$Y$462)*(T$616:T$619))</f>
        <v>0</v>
      </c>
    </row>
    <row r="637" spans="4:20" ht="11.5" customHeight="1" outlineLevel="2">
      <c r="E637" s="247" t="str">
        <f>GC!C49</f>
        <v>Other - non IT</v>
      </c>
      <c r="F637" s="247"/>
      <c r="G637" s="247"/>
      <c r="H637" s="247"/>
      <c r="I637" s="247"/>
      <c r="J637" s="81">
        <f ca="1">SUMPRODUCT((Work_Codes!$N$456:$Y$456=$E637)*(Work_Codes!$N$459:$Y$462)*(J$616:J$619))</f>
        <v>0</v>
      </c>
      <c r="K637" s="81">
        <f ca="1">SUMPRODUCT((Work_Codes!$N$456:$Y$456=$E637)*(Work_Codes!$N$459:$Y$462)*(K$616:K$619))</f>
        <v>0</v>
      </c>
      <c r="L637" s="81">
        <f ca="1">SUMPRODUCT((Work_Codes!$N$456:$Y$456=$E637)*(Work_Codes!$N$459:$Y$462)*(L$616:L$619))</f>
        <v>0</v>
      </c>
      <c r="M637" s="81">
        <f ca="1">SUMPRODUCT((Work_Codes!$N$456:$Y$456=$E637)*(Work_Codes!$N$459:$Y$462)*(M$616:M$619))</f>
        <v>0</v>
      </c>
      <c r="N637" s="81">
        <f ca="1">SUMPRODUCT((Work_Codes!$N$456:$Y$456=$E637)*(Work_Codes!$N$459:$Y$462)*(N$616:N$619))</f>
        <v>0</v>
      </c>
      <c r="O637" s="81">
        <f ca="1">SUMPRODUCT((Work_Codes!$N$456:$Y$456=$E637)*(Work_Codes!$N$459:$Y$462)*(O$616:O$619))</f>
        <v>0</v>
      </c>
      <c r="P637" s="81">
        <f ca="1">SUMPRODUCT((Work_Codes!$N$456:$Y$456=$E637)*(Work_Codes!$N$459:$Y$462)*(P$616:P$619))</f>
        <v>555170.33239944058</v>
      </c>
      <c r="Q637" s="81">
        <f ca="1">SUMPRODUCT((Work_Codes!$N$456:$Y$456=$E637)*(Work_Codes!$N$459:$Y$462)*(Q$616:Q$619))</f>
        <v>555301.48633428232</v>
      </c>
      <c r="R637" s="81">
        <f ca="1">SUMPRODUCT((Work_Codes!$N$456:$Y$456=$E637)*(Work_Codes!$N$459:$Y$462)*(R$616:R$619))</f>
        <v>555488.09589311818</v>
      </c>
      <c r="S637" s="81">
        <f ca="1">SUMPRODUCT((Work_Codes!$N$456:$Y$456=$E637)*(Work_Codes!$N$459:$Y$462)*(S$616:S$619))</f>
        <v>555676.75973361172</v>
      </c>
      <c r="T637" s="81">
        <f ca="1">SUMPRODUCT((Work_Codes!$N$456:$Y$456=$E637)*(Work_Codes!$N$459:$Y$462)*(T$616:T$619))</f>
        <v>495773.71663559834</v>
      </c>
    </row>
    <row r="638" spans="4:20" ht="11.5" customHeight="1" outlineLevel="2">
      <c r="E638" s="247" t="str">
        <f>GC!C50</f>
        <v>Land</v>
      </c>
      <c r="F638" s="247"/>
      <c r="G638" s="247"/>
      <c r="H638" s="247"/>
      <c r="I638" s="247"/>
      <c r="J638" s="81">
        <f ca="1">SUMPRODUCT((Work_Codes!$N$456:$Y$456=$E638)*(Work_Codes!$N$459:$Y$462)*(J$616:J$619))</f>
        <v>0</v>
      </c>
      <c r="K638" s="81">
        <f ca="1">SUMPRODUCT((Work_Codes!$N$456:$Y$456=$E638)*(Work_Codes!$N$459:$Y$462)*(K$616:K$619))</f>
        <v>0</v>
      </c>
      <c r="L638" s="81">
        <f ca="1">SUMPRODUCT((Work_Codes!$N$456:$Y$456=$E638)*(Work_Codes!$N$459:$Y$462)*(L$616:L$619))</f>
        <v>0</v>
      </c>
      <c r="M638" s="81">
        <f ca="1">SUMPRODUCT((Work_Codes!$N$456:$Y$456=$E638)*(Work_Codes!$N$459:$Y$462)*(M$616:M$619))</f>
        <v>0</v>
      </c>
      <c r="N638" s="81">
        <f ca="1">SUMPRODUCT((Work_Codes!$N$456:$Y$456=$E638)*(Work_Codes!$N$459:$Y$462)*(N$616:N$619))</f>
        <v>0</v>
      </c>
      <c r="O638" s="81">
        <f ca="1">SUMPRODUCT((Work_Codes!$N$456:$Y$456=$E638)*(Work_Codes!$N$459:$Y$462)*(O$616:O$619))</f>
        <v>0</v>
      </c>
      <c r="P638" s="81">
        <f ca="1">SUMPRODUCT((Work_Codes!$N$456:$Y$456=$E638)*(Work_Codes!$N$459:$Y$462)*(P$616:P$619))</f>
        <v>0</v>
      </c>
      <c r="Q638" s="81">
        <f ca="1">SUMPRODUCT((Work_Codes!$N$456:$Y$456=$E638)*(Work_Codes!$N$459:$Y$462)*(Q$616:Q$619))</f>
        <v>0</v>
      </c>
      <c r="R638" s="81">
        <f ca="1">SUMPRODUCT((Work_Codes!$N$456:$Y$456=$E638)*(Work_Codes!$N$459:$Y$462)*(R$616:R$619))</f>
        <v>0</v>
      </c>
      <c r="S638" s="81">
        <f ca="1">SUMPRODUCT((Work_Codes!$N$456:$Y$456=$E638)*(Work_Codes!$N$459:$Y$462)*(S$616:S$619))</f>
        <v>0</v>
      </c>
      <c r="T638" s="81">
        <f ca="1">SUMPRODUCT((Work_Codes!$N$456:$Y$456=$E638)*(Work_Codes!$N$459:$Y$462)*(T$616:T$619))</f>
        <v>0</v>
      </c>
    </row>
    <row r="639" spans="4:20" outlineLevel="2">
      <c r="E639" s="247" t="str">
        <f>GC!C51</f>
        <v>Capitalised Leases</v>
      </c>
      <c r="F639" s="247"/>
      <c r="G639" s="247"/>
      <c r="H639" s="247"/>
      <c r="I639" s="247"/>
      <c r="J639" s="81">
        <f ca="1">SUMPRODUCT((Work_Codes!$N$456:$Y$456=$E639)*(Work_Codes!$N$459:$Y$462)*(J$616:J$619))</f>
        <v>0</v>
      </c>
      <c r="K639" s="81">
        <f ca="1">SUMPRODUCT((Work_Codes!$N$456:$Y$456=$E639)*(Work_Codes!$N$459:$Y$462)*(K$616:K$619))</f>
        <v>0</v>
      </c>
      <c r="L639" s="81">
        <f ca="1">SUMPRODUCT((Work_Codes!$N$456:$Y$456=$E639)*(Work_Codes!$N$459:$Y$462)*(L$616:L$619))</f>
        <v>0</v>
      </c>
      <c r="M639" s="81">
        <f ca="1">SUMPRODUCT((Work_Codes!$N$456:$Y$456=$E639)*(Work_Codes!$N$459:$Y$462)*(M$616:M$619))</f>
        <v>0</v>
      </c>
      <c r="N639" s="81">
        <f ca="1">SUMPRODUCT((Work_Codes!$N$456:$Y$456=$E639)*(Work_Codes!$N$459:$Y$462)*(N$616:N$619))</f>
        <v>0</v>
      </c>
      <c r="O639" s="81">
        <f ca="1">SUMPRODUCT((Work_Codes!$N$456:$Y$456=$E639)*(Work_Codes!$N$459:$Y$462)*(O$616:O$619))</f>
        <v>0</v>
      </c>
      <c r="P639" s="81">
        <f ca="1">SUMPRODUCT((Work_Codes!$N$456:$Y$456=$E639)*(Work_Codes!$N$459:$Y$462)*(P$616:P$619))</f>
        <v>0</v>
      </c>
      <c r="Q639" s="81">
        <f ca="1">SUMPRODUCT((Work_Codes!$N$456:$Y$456=$E639)*(Work_Codes!$N$459:$Y$462)*(Q$616:Q$619))</f>
        <v>0</v>
      </c>
      <c r="R639" s="81">
        <f ca="1">SUMPRODUCT((Work_Codes!$N$456:$Y$456=$E639)*(Work_Codes!$N$459:$Y$462)*(R$616:R$619))</f>
        <v>0</v>
      </c>
      <c r="S639" s="81">
        <f ca="1">SUMPRODUCT((Work_Codes!$N$456:$Y$456=$E639)*(Work_Codes!$N$459:$Y$462)*(S$616:S$619))</f>
        <v>0</v>
      </c>
      <c r="T639" s="81">
        <f ca="1">SUMPRODUCT((Work_Codes!$N$456:$Y$456=$E639)*(Work_Codes!$N$459:$Y$462)*(T$616:T$619))</f>
        <v>0</v>
      </c>
    </row>
    <row r="640" spans="4:20" outlineLevel="2">
      <c r="E640" s="247" t="str">
        <f>GC!C52</f>
        <v>Transmission pipelines - post 1998</v>
      </c>
      <c r="F640" s="247"/>
      <c r="G640" s="247"/>
      <c r="H640" s="247"/>
      <c r="I640" s="247"/>
      <c r="J640" s="81">
        <f ca="1">SUMPRODUCT((Work_Codes!$N$456:$Y$456=$E640)*(Work_Codes!$N$459:$Y$462)*(J$616:J$619))</f>
        <v>0</v>
      </c>
      <c r="K640" s="81">
        <f ca="1">SUMPRODUCT((Work_Codes!$N$456:$Y$456=$E640)*(Work_Codes!$N$459:$Y$462)*(K$616:K$619))</f>
        <v>0</v>
      </c>
      <c r="L640" s="81">
        <f ca="1">SUMPRODUCT((Work_Codes!$N$456:$Y$456=$E640)*(Work_Codes!$N$459:$Y$462)*(L$616:L$619))</f>
        <v>0</v>
      </c>
      <c r="M640" s="81">
        <f ca="1">SUMPRODUCT((Work_Codes!$N$456:$Y$456=$E640)*(Work_Codes!$N$459:$Y$462)*(M$616:M$619))</f>
        <v>0</v>
      </c>
      <c r="N640" s="81">
        <f ca="1">SUMPRODUCT((Work_Codes!$N$456:$Y$456=$E640)*(Work_Codes!$N$459:$Y$462)*(N$616:N$619))</f>
        <v>0</v>
      </c>
      <c r="O640" s="81">
        <f ca="1">SUMPRODUCT((Work_Codes!$N$456:$Y$456=$E640)*(Work_Codes!$N$459:$Y$462)*(O$616:O$619))</f>
        <v>0</v>
      </c>
      <c r="P640" s="81">
        <f ca="1">SUMPRODUCT((Work_Codes!$N$456:$Y$456=$E640)*(Work_Codes!$N$459:$Y$462)*(P$616:P$619))</f>
        <v>0</v>
      </c>
      <c r="Q640" s="81">
        <f ca="1">SUMPRODUCT((Work_Codes!$N$456:$Y$456=$E640)*(Work_Codes!$N$459:$Y$462)*(Q$616:Q$619))</f>
        <v>0</v>
      </c>
      <c r="R640" s="81">
        <f ca="1">SUMPRODUCT((Work_Codes!$N$456:$Y$456=$E640)*(Work_Codes!$N$459:$Y$462)*(R$616:R$619))</f>
        <v>0</v>
      </c>
      <c r="S640" s="81">
        <f ca="1">SUMPRODUCT((Work_Codes!$N$456:$Y$456=$E640)*(Work_Codes!$N$459:$Y$462)*(S$616:S$619))</f>
        <v>0</v>
      </c>
      <c r="T640" s="81">
        <f ca="1">SUMPRODUCT((Work_Codes!$N$456:$Y$456=$E640)*(Work_Codes!$N$459:$Y$462)*(T$616:T$619))</f>
        <v>0</v>
      </c>
    </row>
    <row r="641" spans="4:20" outlineLevel="2">
      <c r="E641" s="247" t="str">
        <f>GC!C53</f>
        <v>Distribution pipelines - post 1998</v>
      </c>
      <c r="F641" s="247"/>
      <c r="G641" s="247"/>
      <c r="H641" s="247"/>
      <c r="I641" s="247"/>
      <c r="J641" s="81">
        <f ca="1">SUMPRODUCT((Work_Codes!$N$456:$Y$456=$E641)*(Work_Codes!$N$459:$Y$462)*(J$616:J$619))</f>
        <v>0</v>
      </c>
      <c r="K641" s="81">
        <f ca="1">SUMPRODUCT((Work_Codes!$N$456:$Y$456=$E641)*(Work_Codes!$N$459:$Y$462)*(K$616:K$619))</f>
        <v>0</v>
      </c>
      <c r="L641" s="81">
        <f ca="1">SUMPRODUCT((Work_Codes!$N$456:$Y$456=$E641)*(Work_Codes!$N$459:$Y$462)*(L$616:L$619))</f>
        <v>0</v>
      </c>
      <c r="M641" s="81">
        <f ca="1">SUMPRODUCT((Work_Codes!$N$456:$Y$456=$E641)*(Work_Codes!$N$459:$Y$462)*(M$616:M$619))</f>
        <v>0</v>
      </c>
      <c r="N641" s="81">
        <f ca="1">SUMPRODUCT((Work_Codes!$N$456:$Y$456=$E641)*(Work_Codes!$N$459:$Y$462)*(N$616:N$619))</f>
        <v>0</v>
      </c>
      <c r="O641" s="81">
        <f ca="1">SUMPRODUCT((Work_Codes!$N$456:$Y$456=$E641)*(Work_Codes!$N$459:$Y$462)*(O$616:O$619))</f>
        <v>0</v>
      </c>
      <c r="P641" s="81">
        <f ca="1">SUMPRODUCT((Work_Codes!$N$456:$Y$456=$E641)*(Work_Codes!$N$459:$Y$462)*(P$616:P$619))</f>
        <v>0</v>
      </c>
      <c r="Q641" s="81">
        <f ca="1">SUMPRODUCT((Work_Codes!$N$456:$Y$456=$E641)*(Work_Codes!$N$459:$Y$462)*(Q$616:Q$619))</f>
        <v>0</v>
      </c>
      <c r="R641" s="81">
        <f ca="1">SUMPRODUCT((Work_Codes!$N$456:$Y$456=$E641)*(Work_Codes!$N$459:$Y$462)*(R$616:R$619))</f>
        <v>0</v>
      </c>
      <c r="S641" s="81">
        <f ca="1">SUMPRODUCT((Work_Codes!$N$456:$Y$456=$E641)*(Work_Codes!$N$459:$Y$462)*(S$616:S$619))</f>
        <v>0</v>
      </c>
      <c r="T641" s="81">
        <f ca="1">SUMPRODUCT((Work_Codes!$N$456:$Y$456=$E641)*(Work_Codes!$N$459:$Y$462)*(T$616:T$619))</f>
        <v>0</v>
      </c>
    </row>
    <row r="642" spans="4:20" outlineLevel="2">
      <c r="E642" s="247" t="str">
        <f>GC!C54</f>
        <v>Service pipes - post 1998</v>
      </c>
      <c r="F642" s="247"/>
      <c r="G642" s="247"/>
      <c r="H642" s="247"/>
      <c r="I642" s="247"/>
      <c r="J642" s="81">
        <f ca="1">SUMPRODUCT((Work_Codes!$N$456:$Y$456=$E642)*(Work_Codes!$N$459:$Y$462)*(J$616:J$619))</f>
        <v>0</v>
      </c>
      <c r="K642" s="81">
        <f ca="1">SUMPRODUCT((Work_Codes!$N$456:$Y$456=$E642)*(Work_Codes!$N$459:$Y$462)*(K$616:K$619))</f>
        <v>0</v>
      </c>
      <c r="L642" s="81">
        <f ca="1">SUMPRODUCT((Work_Codes!$N$456:$Y$456=$E642)*(Work_Codes!$N$459:$Y$462)*(L$616:L$619))</f>
        <v>0</v>
      </c>
      <c r="M642" s="81">
        <f ca="1">SUMPRODUCT((Work_Codes!$N$456:$Y$456=$E642)*(Work_Codes!$N$459:$Y$462)*(M$616:M$619))</f>
        <v>0</v>
      </c>
      <c r="N642" s="81">
        <f ca="1">SUMPRODUCT((Work_Codes!$N$456:$Y$456=$E642)*(Work_Codes!$N$459:$Y$462)*(N$616:N$619))</f>
        <v>0</v>
      </c>
      <c r="O642" s="81">
        <f ca="1">SUMPRODUCT((Work_Codes!$N$456:$Y$456=$E642)*(Work_Codes!$N$459:$Y$462)*(O$616:O$619))</f>
        <v>0</v>
      </c>
      <c r="P642" s="81">
        <f ca="1">SUMPRODUCT((Work_Codes!$N$456:$Y$456=$E642)*(Work_Codes!$N$459:$Y$462)*(P$616:P$619))</f>
        <v>0</v>
      </c>
      <c r="Q642" s="81">
        <f ca="1">SUMPRODUCT((Work_Codes!$N$456:$Y$456=$E642)*(Work_Codes!$N$459:$Y$462)*(Q$616:Q$619))</f>
        <v>0</v>
      </c>
      <c r="R642" s="81">
        <f ca="1">SUMPRODUCT((Work_Codes!$N$456:$Y$456=$E642)*(Work_Codes!$N$459:$Y$462)*(R$616:R$619))</f>
        <v>0</v>
      </c>
      <c r="S642" s="81">
        <f ca="1">SUMPRODUCT((Work_Codes!$N$456:$Y$456=$E642)*(Work_Codes!$N$459:$Y$462)*(S$616:S$619))</f>
        <v>0</v>
      </c>
      <c r="T642" s="81">
        <f ca="1">SUMPRODUCT((Work_Codes!$N$456:$Y$456=$E642)*(Work_Codes!$N$459:$Y$462)*(T$616:T$619))</f>
        <v>0</v>
      </c>
    </row>
    <row r="643" spans="4:20" outlineLevel="2">
      <c r="E643" s="247" t="str">
        <f>GC!C55</f>
        <v>Cathodic protection - post 1998</v>
      </c>
      <c r="F643" s="247"/>
      <c r="G643" s="247"/>
      <c r="H643" s="247"/>
      <c r="I643" s="247"/>
      <c r="J643" s="81">
        <f ca="1">SUMPRODUCT((Work_Codes!$N$456:$Y$456=$E643)*(Work_Codes!$N$459:$Y$462)*(J$616:J$619))</f>
        <v>0</v>
      </c>
      <c r="K643" s="81">
        <f ca="1">SUMPRODUCT((Work_Codes!$N$456:$Y$456=$E643)*(Work_Codes!$N$459:$Y$462)*(K$616:K$619))</f>
        <v>0</v>
      </c>
      <c r="L643" s="81">
        <f ca="1">SUMPRODUCT((Work_Codes!$N$456:$Y$456=$E643)*(Work_Codes!$N$459:$Y$462)*(L$616:L$619))</f>
        <v>0</v>
      </c>
      <c r="M643" s="81">
        <f ca="1">SUMPRODUCT((Work_Codes!$N$456:$Y$456=$E643)*(Work_Codes!$N$459:$Y$462)*(M$616:M$619))</f>
        <v>0</v>
      </c>
      <c r="N643" s="81">
        <f ca="1">SUMPRODUCT((Work_Codes!$N$456:$Y$456=$E643)*(Work_Codes!$N$459:$Y$462)*(N$616:N$619))</f>
        <v>0</v>
      </c>
      <c r="O643" s="81">
        <f ca="1">SUMPRODUCT((Work_Codes!$N$456:$Y$456=$E643)*(Work_Codes!$N$459:$Y$462)*(O$616:O$619))</f>
        <v>0</v>
      </c>
      <c r="P643" s="81">
        <f ca="1">SUMPRODUCT((Work_Codes!$N$456:$Y$456=$E643)*(Work_Codes!$N$459:$Y$462)*(P$616:P$619))</f>
        <v>0</v>
      </c>
      <c r="Q643" s="81">
        <f ca="1">SUMPRODUCT((Work_Codes!$N$456:$Y$456=$E643)*(Work_Codes!$N$459:$Y$462)*(Q$616:Q$619))</f>
        <v>0</v>
      </c>
      <c r="R643" s="81">
        <f ca="1">SUMPRODUCT((Work_Codes!$N$456:$Y$456=$E643)*(Work_Codes!$N$459:$Y$462)*(R$616:R$619))</f>
        <v>0</v>
      </c>
      <c r="S643" s="81">
        <f ca="1">SUMPRODUCT((Work_Codes!$N$456:$Y$456=$E643)*(Work_Codes!$N$459:$Y$462)*(S$616:S$619))</f>
        <v>0</v>
      </c>
      <c r="T643" s="81">
        <f ca="1">SUMPRODUCT((Work_Codes!$N$456:$Y$456=$E643)*(Work_Codes!$N$459:$Y$462)*(T$616:T$619))</f>
        <v>0</v>
      </c>
    </row>
    <row r="644" spans="4:20" ht="12" customHeight="1" outlineLevel="2">
      <c r="E644" s="249" t="str">
        <f>"Total "&amp;D626</f>
        <v>Total Direct Costs</v>
      </c>
      <c r="F644" s="249"/>
      <c r="G644" s="249"/>
      <c r="H644" s="249"/>
      <c r="I644" s="249"/>
      <c r="J644" s="82">
        <f t="shared" ref="J644:T644" ca="1" si="70">SUM(J628:J643)</f>
        <v>0</v>
      </c>
      <c r="K644" s="82">
        <f t="shared" ca="1" si="70"/>
        <v>0</v>
      </c>
      <c r="L644" s="82">
        <f t="shared" ca="1" si="70"/>
        <v>0</v>
      </c>
      <c r="M644" s="82">
        <f t="shared" ca="1" si="70"/>
        <v>0</v>
      </c>
      <c r="N644" s="82">
        <f t="shared" ca="1" si="70"/>
        <v>0</v>
      </c>
      <c r="O644" s="82">
        <f t="shared" ca="1" si="70"/>
        <v>0</v>
      </c>
      <c r="P644" s="82">
        <f t="shared" ca="1" si="70"/>
        <v>555170.33239944058</v>
      </c>
      <c r="Q644" s="82">
        <f t="shared" ca="1" si="70"/>
        <v>555301.48633428232</v>
      </c>
      <c r="R644" s="82">
        <f t="shared" ca="1" si="70"/>
        <v>555488.09589311818</v>
      </c>
      <c r="S644" s="82">
        <f t="shared" ca="1" si="70"/>
        <v>555676.75973361172</v>
      </c>
      <c r="T644" s="82">
        <f t="shared" ca="1" si="70"/>
        <v>495773.71663559834</v>
      </c>
    </row>
    <row r="645" spans="4:20" outlineLevel="2"/>
    <row r="646" spans="4:20" outlineLevel="2">
      <c r="D646" s="37" t="s">
        <v>364</v>
      </c>
    </row>
    <row r="647" spans="4:20" ht="5.9" customHeight="1" outlineLevel="2"/>
    <row r="648" spans="4:20" outlineLevel="2">
      <c r="E648" s="247" t="str">
        <f>GC!C40</f>
        <v>Transmission pipelines</v>
      </c>
      <c r="F648" s="247"/>
      <c r="G648" s="247"/>
      <c r="H648" s="247"/>
      <c r="I648" s="247"/>
      <c r="J648" s="81">
        <f ca="1">J628*(INDEX(J$544:J$546,MATCH(Work_Codes!$I$453,$D$544:$D$546,0)))</f>
        <v>0</v>
      </c>
      <c r="K648" s="81">
        <f ca="1">K628*(INDEX(K$544:K$546,MATCH(Work_Codes!$I$453,$D$544:$D$546,0)))</f>
        <v>0</v>
      </c>
      <c r="L648" s="81">
        <f ca="1">L628*(INDEX(L$544:L$546,MATCH(Work_Codes!$I$453,$D$544:$D$546,0)))</f>
        <v>0</v>
      </c>
      <c r="M648" s="81">
        <f ca="1">M628*(INDEX(M$544:M$546,MATCH(Work_Codes!$I$453,$D$544:$D$546,0)))</f>
        <v>0</v>
      </c>
      <c r="N648" s="81">
        <f ca="1">N628*(INDEX(N$544:N$546,MATCH(Work_Codes!$I$453,$D$544:$D$546,0)))</f>
        <v>0</v>
      </c>
      <c r="O648" s="81">
        <f ca="1">O628*(INDEX(O$544:O$546,MATCH(Work_Codes!$I$453,$D$544:$D$546,0)))</f>
        <v>0</v>
      </c>
      <c r="P648" s="81">
        <f ca="1">P628*(INDEX(P$544:P$546,MATCH(Work_Codes!$I$453,$D$544:$D$546,0)))</f>
        <v>0</v>
      </c>
      <c r="Q648" s="81">
        <f ca="1">Q628*(INDEX(Q$544:Q$546,MATCH(Work_Codes!$I$453,$D$544:$D$546,0)))</f>
        <v>0</v>
      </c>
      <c r="R648" s="81">
        <f ca="1">R628*(INDEX(R$544:R$546,MATCH(Work_Codes!$I$453,$D$544:$D$546,0)))</f>
        <v>0</v>
      </c>
      <c r="S648" s="81">
        <f ca="1">S628*(INDEX(S$544:S$546,MATCH(Work_Codes!$I$453,$D$544:$D$546,0)))</f>
        <v>0</v>
      </c>
      <c r="T648" s="81">
        <f ca="1">T628*(INDEX(T$544:T$546,MATCH(Work_Codes!$I$453,$D$544:$D$546,0)))</f>
        <v>0</v>
      </c>
    </row>
    <row r="649" spans="4:20" outlineLevel="2">
      <c r="E649" s="247" t="str">
        <f>GC!C41</f>
        <v>Distribution pipelines</v>
      </c>
      <c r="F649" s="247"/>
      <c r="G649" s="247"/>
      <c r="H649" s="247"/>
      <c r="I649" s="247"/>
      <c r="J649" s="81">
        <f ca="1">J629*(INDEX(J$544:J$546,MATCH(Work_Codes!$I$453,$D$544:$D$546,0)))</f>
        <v>0</v>
      </c>
      <c r="K649" s="81">
        <f ca="1">K629*(INDEX(K$544:K$546,MATCH(Work_Codes!$I$453,$D$544:$D$546,0)))</f>
        <v>0</v>
      </c>
      <c r="L649" s="81">
        <f ca="1">L629*(INDEX(L$544:L$546,MATCH(Work_Codes!$I$453,$D$544:$D$546,0)))</f>
        <v>0</v>
      </c>
      <c r="M649" s="81">
        <f ca="1">M629*(INDEX(M$544:M$546,MATCH(Work_Codes!$I$453,$D$544:$D$546,0)))</f>
        <v>0</v>
      </c>
      <c r="N649" s="81">
        <f ca="1">N629*(INDEX(N$544:N$546,MATCH(Work_Codes!$I$453,$D$544:$D$546,0)))</f>
        <v>0</v>
      </c>
      <c r="O649" s="81">
        <f ca="1">O629*(INDEX(O$544:O$546,MATCH(Work_Codes!$I$453,$D$544:$D$546,0)))</f>
        <v>0</v>
      </c>
      <c r="P649" s="81">
        <f ca="1">P629*(INDEX(P$544:P$546,MATCH(Work_Codes!$I$453,$D$544:$D$546,0)))</f>
        <v>0</v>
      </c>
      <c r="Q649" s="81">
        <f ca="1">Q629*(INDEX(Q$544:Q$546,MATCH(Work_Codes!$I$453,$D$544:$D$546,0)))</f>
        <v>0</v>
      </c>
      <c r="R649" s="81">
        <f ca="1">R629*(INDEX(R$544:R$546,MATCH(Work_Codes!$I$453,$D$544:$D$546,0)))</f>
        <v>0</v>
      </c>
      <c r="S649" s="81">
        <f ca="1">S629*(INDEX(S$544:S$546,MATCH(Work_Codes!$I$453,$D$544:$D$546,0)))</f>
        <v>0</v>
      </c>
      <c r="T649" s="81">
        <f ca="1">T629*(INDEX(T$544:T$546,MATCH(Work_Codes!$I$453,$D$544:$D$546,0)))</f>
        <v>0</v>
      </c>
    </row>
    <row r="650" spans="4:20" outlineLevel="2">
      <c r="E650" s="247" t="str">
        <f>GC!C42</f>
        <v>Service pipes</v>
      </c>
      <c r="F650" s="247"/>
      <c r="G650" s="247"/>
      <c r="H650" s="247"/>
      <c r="I650" s="247"/>
      <c r="J650" s="81">
        <f ca="1">J630*(INDEX(J$544:J$546,MATCH(Work_Codes!$I$453,$D$544:$D$546,0)))</f>
        <v>0</v>
      </c>
      <c r="K650" s="81">
        <f ca="1">K630*(INDEX(K$544:K$546,MATCH(Work_Codes!$I$453,$D$544:$D$546,0)))</f>
        <v>0</v>
      </c>
      <c r="L650" s="81">
        <f ca="1">L630*(INDEX(L$544:L$546,MATCH(Work_Codes!$I$453,$D$544:$D$546,0)))</f>
        <v>0</v>
      </c>
      <c r="M650" s="81">
        <f ca="1">M630*(INDEX(M$544:M$546,MATCH(Work_Codes!$I$453,$D$544:$D$546,0)))</f>
        <v>0</v>
      </c>
      <c r="N650" s="81">
        <f ca="1">N630*(INDEX(N$544:N$546,MATCH(Work_Codes!$I$453,$D$544:$D$546,0)))</f>
        <v>0</v>
      </c>
      <c r="O650" s="81">
        <f ca="1">O630*(INDEX(O$544:O$546,MATCH(Work_Codes!$I$453,$D$544:$D$546,0)))</f>
        <v>0</v>
      </c>
      <c r="P650" s="81">
        <f ca="1">P630*(INDEX(P$544:P$546,MATCH(Work_Codes!$I$453,$D$544:$D$546,0)))</f>
        <v>0</v>
      </c>
      <c r="Q650" s="81">
        <f ca="1">Q630*(INDEX(Q$544:Q$546,MATCH(Work_Codes!$I$453,$D$544:$D$546,0)))</f>
        <v>0</v>
      </c>
      <c r="R650" s="81">
        <f ca="1">R630*(INDEX(R$544:R$546,MATCH(Work_Codes!$I$453,$D$544:$D$546,0)))</f>
        <v>0</v>
      </c>
      <c r="S650" s="81">
        <f ca="1">S630*(INDEX(S$544:S$546,MATCH(Work_Codes!$I$453,$D$544:$D$546,0)))</f>
        <v>0</v>
      </c>
      <c r="T650" s="81">
        <f ca="1">T630*(INDEX(T$544:T$546,MATCH(Work_Codes!$I$453,$D$544:$D$546,0)))</f>
        <v>0</v>
      </c>
    </row>
    <row r="651" spans="4:20" outlineLevel="2">
      <c r="E651" s="247" t="str">
        <f>GC!C43</f>
        <v>Cathodic protection</v>
      </c>
      <c r="F651" s="247"/>
      <c r="G651" s="247"/>
      <c r="H651" s="247"/>
      <c r="I651" s="247"/>
      <c r="J651" s="81">
        <f ca="1">J631*(INDEX(J$544:J$546,MATCH(Work_Codes!$I$453,$D$544:$D$546,0)))</f>
        <v>0</v>
      </c>
      <c r="K651" s="81">
        <f ca="1">K631*(INDEX(K$544:K$546,MATCH(Work_Codes!$I$453,$D$544:$D$546,0)))</f>
        <v>0</v>
      </c>
      <c r="L651" s="81">
        <f ca="1">L631*(INDEX(L$544:L$546,MATCH(Work_Codes!$I$453,$D$544:$D$546,0)))</f>
        <v>0</v>
      </c>
      <c r="M651" s="81">
        <f ca="1">M631*(INDEX(M$544:M$546,MATCH(Work_Codes!$I$453,$D$544:$D$546,0)))</f>
        <v>0</v>
      </c>
      <c r="N651" s="81">
        <f ca="1">N631*(INDEX(N$544:N$546,MATCH(Work_Codes!$I$453,$D$544:$D$546,0)))</f>
        <v>0</v>
      </c>
      <c r="O651" s="81">
        <f ca="1">O631*(INDEX(O$544:O$546,MATCH(Work_Codes!$I$453,$D$544:$D$546,0)))</f>
        <v>0</v>
      </c>
      <c r="P651" s="81">
        <f ca="1">P631*(INDEX(P$544:P$546,MATCH(Work_Codes!$I$453,$D$544:$D$546,0)))</f>
        <v>0</v>
      </c>
      <c r="Q651" s="81">
        <f ca="1">Q631*(INDEX(Q$544:Q$546,MATCH(Work_Codes!$I$453,$D$544:$D$546,0)))</f>
        <v>0</v>
      </c>
      <c r="R651" s="81">
        <f ca="1">R631*(INDEX(R$544:R$546,MATCH(Work_Codes!$I$453,$D$544:$D$546,0)))</f>
        <v>0</v>
      </c>
      <c r="S651" s="81">
        <f ca="1">S631*(INDEX(S$544:S$546,MATCH(Work_Codes!$I$453,$D$544:$D$546,0)))</f>
        <v>0</v>
      </c>
      <c r="T651" s="81">
        <f ca="1">T631*(INDEX(T$544:T$546,MATCH(Work_Codes!$I$453,$D$544:$D$546,0)))</f>
        <v>0</v>
      </c>
    </row>
    <row r="652" spans="4:20" outlineLevel="2">
      <c r="E652" s="247" t="str">
        <f>GC!C44</f>
        <v>Supply Regulators / Valve Stations</v>
      </c>
      <c r="F652" s="247"/>
      <c r="G652" s="247"/>
      <c r="H652" s="247"/>
      <c r="I652" s="247"/>
      <c r="J652" s="81">
        <f ca="1">J632*(INDEX(J$544:J$546,MATCH(Work_Codes!$I$453,$D$544:$D$546,0)))</f>
        <v>0</v>
      </c>
      <c r="K652" s="81">
        <f ca="1">K632*(INDEX(K$544:K$546,MATCH(Work_Codes!$I$453,$D$544:$D$546,0)))</f>
        <v>0</v>
      </c>
      <c r="L652" s="81">
        <f ca="1">L632*(INDEX(L$544:L$546,MATCH(Work_Codes!$I$453,$D$544:$D$546,0)))</f>
        <v>0</v>
      </c>
      <c r="M652" s="81">
        <f ca="1">M632*(INDEX(M$544:M$546,MATCH(Work_Codes!$I$453,$D$544:$D$546,0)))</f>
        <v>0</v>
      </c>
      <c r="N652" s="81">
        <f ca="1">N632*(INDEX(N$544:N$546,MATCH(Work_Codes!$I$453,$D$544:$D$546,0)))</f>
        <v>0</v>
      </c>
      <c r="O652" s="81">
        <f ca="1">O632*(INDEX(O$544:O$546,MATCH(Work_Codes!$I$453,$D$544:$D$546,0)))</f>
        <v>0</v>
      </c>
      <c r="P652" s="81">
        <f ca="1">P632*(INDEX(P$544:P$546,MATCH(Work_Codes!$I$453,$D$544:$D$546,0)))</f>
        <v>0</v>
      </c>
      <c r="Q652" s="81">
        <f ca="1">Q632*(INDEX(Q$544:Q$546,MATCH(Work_Codes!$I$453,$D$544:$D$546,0)))</f>
        <v>0</v>
      </c>
      <c r="R652" s="81">
        <f ca="1">R632*(INDEX(R$544:R$546,MATCH(Work_Codes!$I$453,$D$544:$D$546,0)))</f>
        <v>0</v>
      </c>
      <c r="S652" s="81">
        <f ca="1">S632*(INDEX(S$544:S$546,MATCH(Work_Codes!$I$453,$D$544:$D$546,0)))</f>
        <v>0</v>
      </c>
      <c r="T652" s="81">
        <f ca="1">T632*(INDEX(T$544:T$546,MATCH(Work_Codes!$I$453,$D$544:$D$546,0)))</f>
        <v>0</v>
      </c>
    </row>
    <row r="653" spans="4:20" outlineLevel="2">
      <c r="E653" s="247" t="str">
        <f>GC!C45</f>
        <v>Meters</v>
      </c>
      <c r="F653" s="247"/>
      <c r="G653" s="247"/>
      <c r="H653" s="247"/>
      <c r="I653" s="247"/>
      <c r="J653" s="81">
        <f ca="1">J633*(INDEX(J$544:J$546,MATCH(Work_Codes!$I$453,$D$544:$D$546,0)))</f>
        <v>0</v>
      </c>
      <c r="K653" s="81">
        <f ca="1">K633*(INDEX(K$544:K$546,MATCH(Work_Codes!$I$453,$D$544:$D$546,0)))</f>
        <v>0</v>
      </c>
      <c r="L653" s="81">
        <f ca="1">L633*(INDEX(L$544:L$546,MATCH(Work_Codes!$I$453,$D$544:$D$546,0)))</f>
        <v>0</v>
      </c>
      <c r="M653" s="81">
        <f ca="1">M633*(INDEX(M$544:M$546,MATCH(Work_Codes!$I$453,$D$544:$D$546,0)))</f>
        <v>0</v>
      </c>
      <c r="N653" s="81">
        <f ca="1">N633*(INDEX(N$544:N$546,MATCH(Work_Codes!$I$453,$D$544:$D$546,0)))</f>
        <v>0</v>
      </c>
      <c r="O653" s="81">
        <f ca="1">O633*(INDEX(O$544:O$546,MATCH(Work_Codes!$I$453,$D$544:$D$546,0)))</f>
        <v>0</v>
      </c>
      <c r="P653" s="81">
        <f ca="1">P633*(INDEX(P$544:P$546,MATCH(Work_Codes!$I$453,$D$544:$D$546,0)))</f>
        <v>0</v>
      </c>
      <c r="Q653" s="81">
        <f ca="1">Q633*(INDEX(Q$544:Q$546,MATCH(Work_Codes!$I$453,$D$544:$D$546,0)))</f>
        <v>0</v>
      </c>
      <c r="R653" s="81">
        <f ca="1">R633*(INDEX(R$544:R$546,MATCH(Work_Codes!$I$453,$D$544:$D$546,0)))</f>
        <v>0</v>
      </c>
      <c r="S653" s="81">
        <f ca="1">S633*(INDEX(S$544:S$546,MATCH(Work_Codes!$I$453,$D$544:$D$546,0)))</f>
        <v>0</v>
      </c>
      <c r="T653" s="81">
        <f ca="1">T633*(INDEX(T$544:T$546,MATCH(Work_Codes!$I$453,$D$544:$D$546,0)))</f>
        <v>0</v>
      </c>
    </row>
    <row r="654" spans="4:20" outlineLevel="2">
      <c r="E654" s="247" t="str">
        <f>GC!C46</f>
        <v>SCADA and remote control</v>
      </c>
      <c r="F654" s="247"/>
      <c r="G654" s="247"/>
      <c r="H654" s="247"/>
      <c r="I654" s="247"/>
      <c r="J654" s="81">
        <f ca="1">J634*(INDEX(J$544:J$546,MATCH(Work_Codes!$I$453,$D$544:$D$546,0)))</f>
        <v>0</v>
      </c>
      <c r="K654" s="81">
        <f ca="1">K634*(INDEX(K$544:K$546,MATCH(Work_Codes!$I$453,$D$544:$D$546,0)))</f>
        <v>0</v>
      </c>
      <c r="L654" s="81">
        <f ca="1">L634*(INDEX(L$544:L$546,MATCH(Work_Codes!$I$453,$D$544:$D$546,0)))</f>
        <v>0</v>
      </c>
      <c r="M654" s="81">
        <f ca="1">M634*(INDEX(M$544:M$546,MATCH(Work_Codes!$I$453,$D$544:$D$546,0)))</f>
        <v>0</v>
      </c>
      <c r="N654" s="81">
        <f ca="1">N634*(INDEX(N$544:N$546,MATCH(Work_Codes!$I$453,$D$544:$D$546,0)))</f>
        <v>0</v>
      </c>
      <c r="O654" s="81">
        <f ca="1">O634*(INDEX(O$544:O$546,MATCH(Work_Codes!$I$453,$D$544:$D$546,0)))</f>
        <v>0</v>
      </c>
      <c r="P654" s="81">
        <f ca="1">P634*(INDEX(P$544:P$546,MATCH(Work_Codes!$I$453,$D$544:$D$546,0)))</f>
        <v>0</v>
      </c>
      <c r="Q654" s="81">
        <f ca="1">Q634*(INDEX(Q$544:Q$546,MATCH(Work_Codes!$I$453,$D$544:$D$546,0)))</f>
        <v>0</v>
      </c>
      <c r="R654" s="81">
        <f ca="1">R634*(INDEX(R$544:R$546,MATCH(Work_Codes!$I$453,$D$544:$D$546,0)))</f>
        <v>0</v>
      </c>
      <c r="S654" s="81">
        <f ca="1">S634*(INDEX(S$544:S$546,MATCH(Work_Codes!$I$453,$D$544:$D$546,0)))</f>
        <v>0</v>
      </c>
      <c r="T654" s="81">
        <f ca="1">T634*(INDEX(T$544:T$546,MATCH(Work_Codes!$I$453,$D$544:$D$546,0)))</f>
        <v>0</v>
      </c>
    </row>
    <row r="655" spans="4:20" outlineLevel="2">
      <c r="E655" s="247" t="str">
        <f>GC!C47</f>
        <v>Buildings</v>
      </c>
      <c r="F655" s="247"/>
      <c r="G655" s="247"/>
      <c r="H655" s="247"/>
      <c r="I655" s="247"/>
      <c r="J655" s="81">
        <f ca="1">J635*(INDEX(J$544:J$546,MATCH(Work_Codes!$I$453,$D$544:$D$546,0)))</f>
        <v>0</v>
      </c>
      <c r="K655" s="81">
        <f ca="1">K635*(INDEX(K$544:K$546,MATCH(Work_Codes!$I$453,$D$544:$D$546,0)))</f>
        <v>0</v>
      </c>
      <c r="L655" s="81">
        <f ca="1">L635*(INDEX(L$544:L$546,MATCH(Work_Codes!$I$453,$D$544:$D$546,0)))</f>
        <v>0</v>
      </c>
      <c r="M655" s="81">
        <f ca="1">M635*(INDEX(M$544:M$546,MATCH(Work_Codes!$I$453,$D$544:$D$546,0)))</f>
        <v>0</v>
      </c>
      <c r="N655" s="81">
        <f ca="1">N635*(INDEX(N$544:N$546,MATCH(Work_Codes!$I$453,$D$544:$D$546,0)))</f>
        <v>0</v>
      </c>
      <c r="O655" s="81">
        <f ca="1">O635*(INDEX(O$544:O$546,MATCH(Work_Codes!$I$453,$D$544:$D$546,0)))</f>
        <v>0</v>
      </c>
      <c r="P655" s="81">
        <f ca="1">P635*(INDEX(P$544:P$546,MATCH(Work_Codes!$I$453,$D$544:$D$546,0)))</f>
        <v>0</v>
      </c>
      <c r="Q655" s="81">
        <f ca="1">Q635*(INDEX(Q$544:Q$546,MATCH(Work_Codes!$I$453,$D$544:$D$546,0)))</f>
        <v>0</v>
      </c>
      <c r="R655" s="81">
        <f ca="1">R635*(INDEX(R$544:R$546,MATCH(Work_Codes!$I$453,$D$544:$D$546,0)))</f>
        <v>0</v>
      </c>
      <c r="S655" s="81">
        <f ca="1">S635*(INDEX(S$544:S$546,MATCH(Work_Codes!$I$453,$D$544:$D$546,0)))</f>
        <v>0</v>
      </c>
      <c r="T655" s="81">
        <f ca="1">T635*(INDEX(T$544:T$546,MATCH(Work_Codes!$I$453,$D$544:$D$546,0)))</f>
        <v>0</v>
      </c>
    </row>
    <row r="656" spans="4:20" outlineLevel="2">
      <c r="E656" s="247" t="str">
        <f>GC!C48</f>
        <v>Other - IT</v>
      </c>
      <c r="F656" s="247"/>
      <c r="G656" s="247"/>
      <c r="H656" s="247"/>
      <c r="I656" s="247"/>
      <c r="J656" s="81">
        <f ca="1">J636*(INDEX(J$544:J$546,MATCH(Work_Codes!$I$453,$D$544:$D$546,0)))</f>
        <v>0</v>
      </c>
      <c r="K656" s="81">
        <f ca="1">K636*(INDEX(K$544:K$546,MATCH(Work_Codes!$I$453,$D$544:$D$546,0)))</f>
        <v>0</v>
      </c>
      <c r="L656" s="81">
        <f ca="1">L636*(INDEX(L$544:L$546,MATCH(Work_Codes!$I$453,$D$544:$D$546,0)))</f>
        <v>0</v>
      </c>
      <c r="M656" s="81">
        <f ca="1">M636*(INDEX(M$544:M$546,MATCH(Work_Codes!$I$453,$D$544:$D$546,0)))</f>
        <v>0</v>
      </c>
      <c r="N656" s="81">
        <f ca="1">N636*(INDEX(N$544:N$546,MATCH(Work_Codes!$I$453,$D$544:$D$546,0)))</f>
        <v>0</v>
      </c>
      <c r="O656" s="81">
        <f ca="1">O636*(INDEX(O$544:O$546,MATCH(Work_Codes!$I$453,$D$544:$D$546,0)))</f>
        <v>0</v>
      </c>
      <c r="P656" s="81">
        <f ca="1">P636*(INDEX(P$544:P$546,MATCH(Work_Codes!$I$453,$D$544:$D$546,0)))</f>
        <v>0</v>
      </c>
      <c r="Q656" s="81">
        <f ca="1">Q636*(INDEX(Q$544:Q$546,MATCH(Work_Codes!$I$453,$D$544:$D$546,0)))</f>
        <v>0</v>
      </c>
      <c r="R656" s="81">
        <f ca="1">R636*(INDEX(R$544:R$546,MATCH(Work_Codes!$I$453,$D$544:$D$546,0)))</f>
        <v>0</v>
      </c>
      <c r="S656" s="81">
        <f ca="1">S636*(INDEX(S$544:S$546,MATCH(Work_Codes!$I$453,$D$544:$D$546,0)))</f>
        <v>0</v>
      </c>
      <c r="T656" s="81">
        <f ca="1">T636*(INDEX(T$544:T$546,MATCH(Work_Codes!$I$453,$D$544:$D$546,0)))</f>
        <v>0</v>
      </c>
    </row>
    <row r="657" spans="4:20" outlineLevel="2">
      <c r="E657" s="247" t="str">
        <f>GC!C49</f>
        <v>Other - non IT</v>
      </c>
      <c r="F657" s="247"/>
      <c r="G657" s="247"/>
      <c r="H657" s="247"/>
      <c r="I657" s="247"/>
      <c r="J657" s="81">
        <f ca="1">J637*(INDEX(J$544:J$546,MATCH(Work_Codes!$I$453,$D$544:$D$546,0)))</f>
        <v>0</v>
      </c>
      <c r="K657" s="81">
        <f ca="1">K637*(INDEX(K$544:K$546,MATCH(Work_Codes!$I$453,$D$544:$D$546,0)))</f>
        <v>0</v>
      </c>
      <c r="L657" s="81">
        <f ca="1">L637*(INDEX(L$544:L$546,MATCH(Work_Codes!$I$453,$D$544:$D$546,0)))</f>
        <v>0</v>
      </c>
      <c r="M657" s="81">
        <f ca="1">M637*(INDEX(M$544:M$546,MATCH(Work_Codes!$I$453,$D$544:$D$546,0)))</f>
        <v>0</v>
      </c>
      <c r="N657" s="81">
        <f ca="1">N637*(INDEX(N$544:N$546,MATCH(Work_Codes!$I$453,$D$544:$D$546,0)))</f>
        <v>0</v>
      </c>
      <c r="O657" s="81">
        <f ca="1">O637*(INDEX(O$544:O$546,MATCH(Work_Codes!$I$453,$D$544:$D$546,0)))</f>
        <v>0</v>
      </c>
      <c r="P657" s="81">
        <f ca="1">P637*(INDEX(P$544:P$546,MATCH(Work_Codes!$I$453,$D$544:$D$546,0)))</f>
        <v>14852.283429818906</v>
      </c>
      <c r="Q657" s="81">
        <f ca="1">Q637*(INDEX(Q$544:Q$546,MATCH(Work_Codes!$I$453,$D$544:$D$546,0)))</f>
        <v>14471.482889640638</v>
      </c>
      <c r="R657" s="81">
        <f ca="1">R637*(INDEX(R$544:R$546,MATCH(Work_Codes!$I$453,$D$544:$D$546,0)))</f>
        <v>14927.634926969144</v>
      </c>
      <c r="S657" s="81">
        <f ca="1">S637*(INDEX(S$544:S$546,MATCH(Work_Codes!$I$453,$D$544:$D$546,0)))</f>
        <v>15862.448209544742</v>
      </c>
      <c r="T657" s="81">
        <f ca="1">T637*(INDEX(T$544:T$546,MATCH(Work_Codes!$I$453,$D$544:$D$546,0)))</f>
        <v>14833.73710518442</v>
      </c>
    </row>
    <row r="658" spans="4:20" outlineLevel="2">
      <c r="E658" s="247" t="str">
        <f>GC!C50</f>
        <v>Land</v>
      </c>
      <c r="F658" s="247"/>
      <c r="G658" s="247"/>
      <c r="H658" s="247"/>
      <c r="I658" s="247"/>
      <c r="J658" s="81">
        <f ca="1">J638*(INDEX(J$544:J$546,MATCH(Work_Codes!$I$453,$D$544:$D$546,0)))</f>
        <v>0</v>
      </c>
      <c r="K658" s="81">
        <f ca="1">K638*(INDEX(K$544:K$546,MATCH(Work_Codes!$I$453,$D$544:$D$546,0)))</f>
        <v>0</v>
      </c>
      <c r="L658" s="81">
        <f ca="1">L638*(INDEX(L$544:L$546,MATCH(Work_Codes!$I$453,$D$544:$D$546,0)))</f>
        <v>0</v>
      </c>
      <c r="M658" s="81">
        <f ca="1">M638*(INDEX(M$544:M$546,MATCH(Work_Codes!$I$453,$D$544:$D$546,0)))</f>
        <v>0</v>
      </c>
      <c r="N658" s="81">
        <f ca="1">N638*(INDEX(N$544:N$546,MATCH(Work_Codes!$I$453,$D$544:$D$546,0)))</f>
        <v>0</v>
      </c>
      <c r="O658" s="81">
        <f ca="1">O638*(INDEX(O$544:O$546,MATCH(Work_Codes!$I$453,$D$544:$D$546,0)))</f>
        <v>0</v>
      </c>
      <c r="P658" s="81">
        <f ca="1">P638*(INDEX(P$544:P$546,MATCH(Work_Codes!$I$453,$D$544:$D$546,0)))</f>
        <v>0</v>
      </c>
      <c r="Q658" s="81">
        <f ca="1">Q638*(INDEX(Q$544:Q$546,MATCH(Work_Codes!$I$453,$D$544:$D$546,0)))</f>
        <v>0</v>
      </c>
      <c r="R658" s="81">
        <f ca="1">R638*(INDEX(R$544:R$546,MATCH(Work_Codes!$I$453,$D$544:$D$546,0)))</f>
        <v>0</v>
      </c>
      <c r="S658" s="81">
        <f ca="1">S638*(INDEX(S$544:S$546,MATCH(Work_Codes!$I$453,$D$544:$D$546,0)))</f>
        <v>0</v>
      </c>
      <c r="T658" s="81">
        <f ca="1">T638*(INDEX(T$544:T$546,MATCH(Work_Codes!$I$453,$D$544:$D$546,0)))</f>
        <v>0</v>
      </c>
    </row>
    <row r="659" spans="4:20" outlineLevel="2">
      <c r="E659" s="247" t="str">
        <f>GC!C51</f>
        <v>Capitalised Leases</v>
      </c>
      <c r="F659" s="247"/>
      <c r="G659" s="247"/>
      <c r="H659" s="247"/>
      <c r="I659" s="247"/>
      <c r="J659" s="81">
        <f ca="1">J639*(INDEX(J$544:J$546,MATCH(Work_Codes!$I$453,$D$544:$D$546,0)))</f>
        <v>0</v>
      </c>
      <c r="K659" s="81">
        <f ca="1">K639*(INDEX(K$544:K$546,MATCH(Work_Codes!$I$453,$D$544:$D$546,0)))</f>
        <v>0</v>
      </c>
      <c r="L659" s="81">
        <f ca="1">L639*(INDEX(L$544:L$546,MATCH(Work_Codes!$I$453,$D$544:$D$546,0)))</f>
        <v>0</v>
      </c>
      <c r="M659" s="81">
        <f ca="1">M639*(INDEX(M$544:M$546,MATCH(Work_Codes!$I$453,$D$544:$D$546,0)))</f>
        <v>0</v>
      </c>
      <c r="N659" s="81">
        <f ca="1">N639*(INDEX(N$544:N$546,MATCH(Work_Codes!$I$453,$D$544:$D$546,0)))</f>
        <v>0</v>
      </c>
      <c r="O659" s="81">
        <f ca="1">O639*(INDEX(O$544:O$546,MATCH(Work_Codes!$I$453,$D$544:$D$546,0)))</f>
        <v>0</v>
      </c>
      <c r="P659" s="81">
        <f ca="1">P639*(INDEX(P$544:P$546,MATCH(Work_Codes!$I$453,$D$544:$D$546,0)))</f>
        <v>0</v>
      </c>
      <c r="Q659" s="81">
        <f ca="1">Q639*(INDEX(Q$544:Q$546,MATCH(Work_Codes!$I$453,$D$544:$D$546,0)))</f>
        <v>0</v>
      </c>
      <c r="R659" s="81">
        <f ca="1">R639*(INDEX(R$544:R$546,MATCH(Work_Codes!$I$453,$D$544:$D$546,0)))</f>
        <v>0</v>
      </c>
      <c r="S659" s="81">
        <f ca="1">S639*(INDEX(S$544:S$546,MATCH(Work_Codes!$I$453,$D$544:$D$546,0)))</f>
        <v>0</v>
      </c>
      <c r="T659" s="81">
        <f ca="1">T639*(INDEX(T$544:T$546,MATCH(Work_Codes!$I$453,$D$544:$D$546,0)))</f>
        <v>0</v>
      </c>
    </row>
    <row r="660" spans="4:20" outlineLevel="2">
      <c r="E660" s="247" t="str">
        <f>GC!C52</f>
        <v>Transmission pipelines - post 1998</v>
      </c>
      <c r="F660" s="247"/>
      <c r="G660" s="247"/>
      <c r="H660" s="247"/>
      <c r="I660" s="247"/>
      <c r="J660" s="81">
        <f ca="1">J640*(INDEX(J$544:J$546,MATCH(Work_Codes!$I$453,$D$544:$D$546,0)))</f>
        <v>0</v>
      </c>
      <c r="K660" s="81">
        <f ca="1">K640*(INDEX(K$544:K$546,MATCH(Work_Codes!$I$453,$D$544:$D$546,0)))</f>
        <v>0</v>
      </c>
      <c r="L660" s="81">
        <f ca="1">L640*(INDEX(L$544:L$546,MATCH(Work_Codes!$I$453,$D$544:$D$546,0)))</f>
        <v>0</v>
      </c>
      <c r="M660" s="81">
        <f ca="1">M640*(INDEX(M$544:M$546,MATCH(Work_Codes!$I$453,$D$544:$D$546,0)))</f>
        <v>0</v>
      </c>
      <c r="N660" s="81">
        <f ca="1">N640*(INDEX(N$544:N$546,MATCH(Work_Codes!$I$453,$D$544:$D$546,0)))</f>
        <v>0</v>
      </c>
      <c r="O660" s="81">
        <f ca="1">O640*(INDEX(O$544:O$546,MATCH(Work_Codes!$I$453,$D$544:$D$546,0)))</f>
        <v>0</v>
      </c>
      <c r="P660" s="81">
        <f ca="1">P640*(INDEX(P$544:P$546,MATCH(Work_Codes!$I$453,$D$544:$D$546,0)))</f>
        <v>0</v>
      </c>
      <c r="Q660" s="81">
        <f ca="1">Q640*(INDEX(Q$544:Q$546,MATCH(Work_Codes!$I$453,$D$544:$D$546,0)))</f>
        <v>0</v>
      </c>
      <c r="R660" s="81">
        <f ca="1">R640*(INDEX(R$544:R$546,MATCH(Work_Codes!$I$453,$D$544:$D$546,0)))</f>
        <v>0</v>
      </c>
      <c r="S660" s="81">
        <f ca="1">S640*(INDEX(S$544:S$546,MATCH(Work_Codes!$I$453,$D$544:$D$546,0)))</f>
        <v>0</v>
      </c>
      <c r="T660" s="81">
        <f ca="1">T640*(INDEX(T$544:T$546,MATCH(Work_Codes!$I$453,$D$544:$D$546,0)))</f>
        <v>0</v>
      </c>
    </row>
    <row r="661" spans="4:20" outlineLevel="2">
      <c r="E661" s="247" t="str">
        <f>GC!C53</f>
        <v>Distribution pipelines - post 1998</v>
      </c>
      <c r="F661" s="247"/>
      <c r="G661" s="247"/>
      <c r="H661" s="247"/>
      <c r="I661" s="247"/>
      <c r="J661" s="81">
        <f ca="1">J641*(INDEX(J$544:J$546,MATCH(Work_Codes!$I$453,$D$544:$D$546,0)))</f>
        <v>0</v>
      </c>
      <c r="K661" s="81">
        <f ca="1">K641*(INDEX(K$544:K$546,MATCH(Work_Codes!$I$453,$D$544:$D$546,0)))</f>
        <v>0</v>
      </c>
      <c r="L661" s="81">
        <f ca="1">L641*(INDEX(L$544:L$546,MATCH(Work_Codes!$I$453,$D$544:$D$546,0)))</f>
        <v>0</v>
      </c>
      <c r="M661" s="81">
        <f ca="1">M641*(INDEX(M$544:M$546,MATCH(Work_Codes!$I$453,$D$544:$D$546,0)))</f>
        <v>0</v>
      </c>
      <c r="N661" s="81">
        <f ca="1">N641*(INDEX(N$544:N$546,MATCH(Work_Codes!$I$453,$D$544:$D$546,0)))</f>
        <v>0</v>
      </c>
      <c r="O661" s="81">
        <f ca="1">O641*(INDEX(O$544:O$546,MATCH(Work_Codes!$I$453,$D$544:$D$546,0)))</f>
        <v>0</v>
      </c>
      <c r="P661" s="81">
        <f ca="1">P641*(INDEX(P$544:P$546,MATCH(Work_Codes!$I$453,$D$544:$D$546,0)))</f>
        <v>0</v>
      </c>
      <c r="Q661" s="81">
        <f ca="1">Q641*(INDEX(Q$544:Q$546,MATCH(Work_Codes!$I$453,$D$544:$D$546,0)))</f>
        <v>0</v>
      </c>
      <c r="R661" s="81">
        <f ca="1">R641*(INDEX(R$544:R$546,MATCH(Work_Codes!$I$453,$D$544:$D$546,0)))</f>
        <v>0</v>
      </c>
      <c r="S661" s="81">
        <f ca="1">S641*(INDEX(S$544:S$546,MATCH(Work_Codes!$I$453,$D$544:$D$546,0)))</f>
        <v>0</v>
      </c>
      <c r="T661" s="81">
        <f ca="1">T641*(INDEX(T$544:T$546,MATCH(Work_Codes!$I$453,$D$544:$D$546,0)))</f>
        <v>0</v>
      </c>
    </row>
    <row r="662" spans="4:20" outlineLevel="2">
      <c r="E662" s="247" t="str">
        <f>GC!C54</f>
        <v>Service pipes - post 1998</v>
      </c>
      <c r="F662" s="247"/>
      <c r="G662" s="247"/>
      <c r="H662" s="247"/>
      <c r="I662" s="247"/>
      <c r="J662" s="81">
        <f ca="1">J642*(INDEX(J$544:J$546,MATCH(Work_Codes!$I$453,$D$544:$D$546,0)))</f>
        <v>0</v>
      </c>
      <c r="K662" s="81">
        <f ca="1">K642*(INDEX(K$544:K$546,MATCH(Work_Codes!$I$453,$D$544:$D$546,0)))</f>
        <v>0</v>
      </c>
      <c r="L662" s="81">
        <f ca="1">L642*(INDEX(L$544:L$546,MATCH(Work_Codes!$I$453,$D$544:$D$546,0)))</f>
        <v>0</v>
      </c>
      <c r="M662" s="81">
        <f ca="1">M642*(INDEX(M$544:M$546,MATCH(Work_Codes!$I$453,$D$544:$D$546,0)))</f>
        <v>0</v>
      </c>
      <c r="N662" s="81">
        <f ca="1">N642*(INDEX(N$544:N$546,MATCH(Work_Codes!$I$453,$D$544:$D$546,0)))</f>
        <v>0</v>
      </c>
      <c r="O662" s="81">
        <f ca="1">O642*(INDEX(O$544:O$546,MATCH(Work_Codes!$I$453,$D$544:$D$546,0)))</f>
        <v>0</v>
      </c>
      <c r="P662" s="81">
        <f ca="1">P642*(INDEX(P$544:P$546,MATCH(Work_Codes!$I$453,$D$544:$D$546,0)))</f>
        <v>0</v>
      </c>
      <c r="Q662" s="81">
        <f ca="1">Q642*(INDEX(Q$544:Q$546,MATCH(Work_Codes!$I$453,$D$544:$D$546,0)))</f>
        <v>0</v>
      </c>
      <c r="R662" s="81">
        <f ca="1">R642*(INDEX(R$544:R$546,MATCH(Work_Codes!$I$453,$D$544:$D$546,0)))</f>
        <v>0</v>
      </c>
      <c r="S662" s="81">
        <f ca="1">S642*(INDEX(S$544:S$546,MATCH(Work_Codes!$I$453,$D$544:$D$546,0)))</f>
        <v>0</v>
      </c>
      <c r="T662" s="81">
        <f ca="1">T642*(INDEX(T$544:T$546,MATCH(Work_Codes!$I$453,$D$544:$D$546,0)))</f>
        <v>0</v>
      </c>
    </row>
    <row r="663" spans="4:20" outlineLevel="2">
      <c r="E663" s="247" t="str">
        <f>GC!C55</f>
        <v>Cathodic protection - post 1998</v>
      </c>
      <c r="F663" s="247"/>
      <c r="G663" s="247"/>
      <c r="H663" s="247"/>
      <c r="I663" s="247"/>
      <c r="J663" s="81">
        <f ca="1">J643*(INDEX(J$544:J$546,MATCH(Work_Codes!$I$453,$D$544:$D$546,0)))</f>
        <v>0</v>
      </c>
      <c r="K663" s="81">
        <f ca="1">K643*(INDEX(K$544:K$546,MATCH(Work_Codes!$I$453,$D$544:$D$546,0)))</f>
        <v>0</v>
      </c>
      <c r="L663" s="81">
        <f ca="1">L643*(INDEX(L$544:L$546,MATCH(Work_Codes!$I$453,$D$544:$D$546,0)))</f>
        <v>0</v>
      </c>
      <c r="M663" s="81">
        <f ca="1">M643*(INDEX(M$544:M$546,MATCH(Work_Codes!$I$453,$D$544:$D$546,0)))</f>
        <v>0</v>
      </c>
      <c r="N663" s="81">
        <f ca="1">N643*(INDEX(N$544:N$546,MATCH(Work_Codes!$I$453,$D$544:$D$546,0)))</f>
        <v>0</v>
      </c>
      <c r="O663" s="81">
        <f ca="1">O643*(INDEX(O$544:O$546,MATCH(Work_Codes!$I$453,$D$544:$D$546,0)))</f>
        <v>0</v>
      </c>
      <c r="P663" s="81">
        <f ca="1">P643*(INDEX(P$544:P$546,MATCH(Work_Codes!$I$453,$D$544:$D$546,0)))</f>
        <v>0</v>
      </c>
      <c r="Q663" s="81">
        <f ca="1">Q643*(INDEX(Q$544:Q$546,MATCH(Work_Codes!$I$453,$D$544:$D$546,0)))</f>
        <v>0</v>
      </c>
      <c r="R663" s="81">
        <f ca="1">R643*(INDEX(R$544:R$546,MATCH(Work_Codes!$I$453,$D$544:$D$546,0)))</f>
        <v>0</v>
      </c>
      <c r="S663" s="81">
        <f ca="1">S643*(INDEX(S$544:S$546,MATCH(Work_Codes!$I$453,$D$544:$D$546,0)))</f>
        <v>0</v>
      </c>
      <c r="T663" s="81">
        <f ca="1">T643*(INDEX(T$544:T$546,MATCH(Work_Codes!$I$453,$D$544:$D$546,0)))</f>
        <v>0</v>
      </c>
    </row>
    <row r="664" spans="4:20" outlineLevel="2">
      <c r="E664" s="249" t="str">
        <f>"Total "&amp;D646</f>
        <v>Total Overheads</v>
      </c>
      <c r="F664" s="249"/>
      <c r="G664" s="249"/>
      <c r="H664" s="249"/>
      <c r="I664" s="249"/>
      <c r="J664" s="82">
        <f t="shared" ref="J664:T664" ca="1" si="71">SUM(J648:J663)</f>
        <v>0</v>
      </c>
      <c r="K664" s="82">
        <f t="shared" ca="1" si="71"/>
        <v>0</v>
      </c>
      <c r="L664" s="82">
        <f t="shared" ca="1" si="71"/>
        <v>0</v>
      </c>
      <c r="M664" s="82">
        <f t="shared" ca="1" si="71"/>
        <v>0</v>
      </c>
      <c r="N664" s="82">
        <f t="shared" ca="1" si="71"/>
        <v>0</v>
      </c>
      <c r="O664" s="82">
        <f t="shared" ca="1" si="71"/>
        <v>0</v>
      </c>
      <c r="P664" s="82">
        <f t="shared" ca="1" si="71"/>
        <v>14852.283429818906</v>
      </c>
      <c r="Q664" s="82">
        <f t="shared" ca="1" si="71"/>
        <v>14471.482889640638</v>
      </c>
      <c r="R664" s="82">
        <f t="shared" ca="1" si="71"/>
        <v>14927.634926969144</v>
      </c>
      <c r="S664" s="82">
        <f t="shared" ca="1" si="71"/>
        <v>15862.448209544742</v>
      </c>
      <c r="T664" s="82">
        <f t="shared" ca="1" si="71"/>
        <v>14833.73710518442</v>
      </c>
    </row>
    <row r="665" spans="4:20" outlineLevel="2"/>
    <row r="666" spans="4:20" outlineLevel="2">
      <c r="D666" s="37" t="s">
        <v>216</v>
      </c>
    </row>
    <row r="667" spans="4:20" ht="5.9" customHeight="1" outlineLevel="2"/>
    <row r="668" spans="4:20" ht="11.5" customHeight="1" outlineLevel="2">
      <c r="E668" s="247" t="str">
        <f>GC!C40</f>
        <v>Transmission pipelines</v>
      </c>
      <c r="F668" s="247"/>
      <c r="G668" s="247"/>
      <c r="H668" s="247"/>
      <c r="I668" s="247"/>
      <c r="J668" s="81">
        <f ca="1">J628*(1+INDEX(J$544:J$546,MATCH(Work_Codes!$I$453,$D$544:$D$546,0)))</f>
        <v>0</v>
      </c>
      <c r="K668" s="81">
        <f ca="1">K628*(1+INDEX(K$544:K$546,MATCH(Work_Codes!$I$453,$D$544:$D$546,0)))</f>
        <v>0</v>
      </c>
      <c r="L668" s="81">
        <f ca="1">L628*(1+INDEX(L$544:L$546,MATCH(Work_Codes!$I$453,$D$544:$D$546,0)))</f>
        <v>0</v>
      </c>
      <c r="M668" s="81">
        <f ca="1">M628*(1+INDEX(M$544:M$546,MATCH(Work_Codes!$I$453,$D$544:$D$546,0)))</f>
        <v>0</v>
      </c>
      <c r="N668" s="81">
        <f ca="1">N628*(1+INDEX(N$544:N$546,MATCH(Work_Codes!$I$453,$D$544:$D$546,0)))</f>
        <v>0</v>
      </c>
      <c r="O668" s="81">
        <f ca="1">O628*(1+INDEX(O$544:O$546,MATCH(Work_Codes!$I$453,$D$544:$D$546,0)))</f>
        <v>0</v>
      </c>
      <c r="P668" s="81">
        <f ca="1">P628*(1+INDEX(P$544:P$546,MATCH(Work_Codes!$I$453,$D$544:$D$546,0)))</f>
        <v>0</v>
      </c>
      <c r="Q668" s="81">
        <f ca="1">Q628*(1+INDEX(Q$544:Q$546,MATCH(Work_Codes!$I$453,$D$544:$D$546,0)))</f>
        <v>0</v>
      </c>
      <c r="R668" s="81">
        <f ca="1">R628*(1+INDEX(R$544:R$546,MATCH(Work_Codes!$I$453,$D$544:$D$546,0)))</f>
        <v>0</v>
      </c>
      <c r="S668" s="81">
        <f ca="1">S628*(1+INDEX(S$544:S$546,MATCH(Work_Codes!$I$453,$D$544:$D$546,0)))</f>
        <v>0</v>
      </c>
      <c r="T668" s="81">
        <f ca="1">T628*(1+INDEX(T$544:T$546,MATCH(Work_Codes!$I$453,$D$544:$D$546,0)))</f>
        <v>0</v>
      </c>
    </row>
    <row r="669" spans="4:20" ht="11.5" customHeight="1" outlineLevel="2">
      <c r="E669" s="247" t="str">
        <f>GC!C41</f>
        <v>Distribution pipelines</v>
      </c>
      <c r="F669" s="247"/>
      <c r="G669" s="247"/>
      <c r="H669" s="247"/>
      <c r="I669" s="247"/>
      <c r="J669" s="81">
        <f ca="1">J629*(1+INDEX(J$544:J$546,MATCH(Work_Codes!$I$453,$D$544:$D$546,0)))</f>
        <v>0</v>
      </c>
      <c r="K669" s="81">
        <f ca="1">K629*(1+INDEX(K$544:K$546,MATCH(Work_Codes!$I$453,$D$544:$D$546,0)))</f>
        <v>0</v>
      </c>
      <c r="L669" s="81">
        <f ca="1">L629*(1+INDEX(L$544:L$546,MATCH(Work_Codes!$I$453,$D$544:$D$546,0)))</f>
        <v>0</v>
      </c>
      <c r="M669" s="81">
        <f ca="1">M629*(1+INDEX(M$544:M$546,MATCH(Work_Codes!$I$453,$D$544:$D$546,0)))</f>
        <v>0</v>
      </c>
      <c r="N669" s="81">
        <f ca="1">N629*(1+INDEX(N$544:N$546,MATCH(Work_Codes!$I$453,$D$544:$D$546,0)))</f>
        <v>0</v>
      </c>
      <c r="O669" s="81">
        <f ca="1">O629*(1+INDEX(O$544:O$546,MATCH(Work_Codes!$I$453,$D$544:$D$546,0)))</f>
        <v>0</v>
      </c>
      <c r="P669" s="81">
        <f ca="1">P629*(1+INDEX(P$544:P$546,MATCH(Work_Codes!$I$453,$D$544:$D$546,0)))</f>
        <v>0</v>
      </c>
      <c r="Q669" s="81">
        <f ca="1">Q629*(1+INDEX(Q$544:Q$546,MATCH(Work_Codes!$I$453,$D$544:$D$546,0)))</f>
        <v>0</v>
      </c>
      <c r="R669" s="81">
        <f ca="1">R629*(1+INDEX(R$544:R$546,MATCH(Work_Codes!$I$453,$D$544:$D$546,0)))</f>
        <v>0</v>
      </c>
      <c r="S669" s="81">
        <f ca="1">S629*(1+INDEX(S$544:S$546,MATCH(Work_Codes!$I$453,$D$544:$D$546,0)))</f>
        <v>0</v>
      </c>
      <c r="T669" s="81">
        <f ca="1">T629*(1+INDEX(T$544:T$546,MATCH(Work_Codes!$I$453,$D$544:$D$546,0)))</f>
        <v>0</v>
      </c>
    </row>
    <row r="670" spans="4:20" ht="11.5" customHeight="1" outlineLevel="2">
      <c r="E670" s="247" t="str">
        <f>GC!C42</f>
        <v>Service pipes</v>
      </c>
      <c r="F670" s="247"/>
      <c r="G670" s="247"/>
      <c r="H670" s="247"/>
      <c r="I670" s="247"/>
      <c r="J670" s="81">
        <f ca="1">J630*(1+INDEX(J$544:J$546,MATCH(Work_Codes!$I$453,$D$544:$D$546,0)))</f>
        <v>0</v>
      </c>
      <c r="K670" s="81">
        <f ca="1">K630*(1+INDEX(K$544:K$546,MATCH(Work_Codes!$I$453,$D$544:$D$546,0)))</f>
        <v>0</v>
      </c>
      <c r="L670" s="81">
        <f ca="1">L630*(1+INDEX(L$544:L$546,MATCH(Work_Codes!$I$453,$D$544:$D$546,0)))</f>
        <v>0</v>
      </c>
      <c r="M670" s="81">
        <f ca="1">M630*(1+INDEX(M$544:M$546,MATCH(Work_Codes!$I$453,$D$544:$D$546,0)))</f>
        <v>0</v>
      </c>
      <c r="N670" s="81">
        <f ca="1">N630*(1+INDEX(N$544:N$546,MATCH(Work_Codes!$I$453,$D$544:$D$546,0)))</f>
        <v>0</v>
      </c>
      <c r="O670" s="81">
        <f ca="1">O630*(1+INDEX(O$544:O$546,MATCH(Work_Codes!$I$453,$D$544:$D$546,0)))</f>
        <v>0</v>
      </c>
      <c r="P670" s="81">
        <f ca="1">P630*(1+INDEX(P$544:P$546,MATCH(Work_Codes!$I$453,$D$544:$D$546,0)))</f>
        <v>0</v>
      </c>
      <c r="Q670" s="81">
        <f ca="1">Q630*(1+INDEX(Q$544:Q$546,MATCH(Work_Codes!$I$453,$D$544:$D$546,0)))</f>
        <v>0</v>
      </c>
      <c r="R670" s="81">
        <f ca="1">R630*(1+INDEX(R$544:R$546,MATCH(Work_Codes!$I$453,$D$544:$D$546,0)))</f>
        <v>0</v>
      </c>
      <c r="S670" s="81">
        <f ca="1">S630*(1+INDEX(S$544:S$546,MATCH(Work_Codes!$I$453,$D$544:$D$546,0)))</f>
        <v>0</v>
      </c>
      <c r="T670" s="81">
        <f ca="1">T630*(1+INDEX(T$544:T$546,MATCH(Work_Codes!$I$453,$D$544:$D$546,0)))</f>
        <v>0</v>
      </c>
    </row>
    <row r="671" spans="4:20" ht="11.5" customHeight="1" outlineLevel="2">
      <c r="E671" s="247" t="str">
        <f>GC!C43</f>
        <v>Cathodic protection</v>
      </c>
      <c r="F671" s="247"/>
      <c r="G671" s="247"/>
      <c r="H671" s="247"/>
      <c r="I671" s="247"/>
      <c r="J671" s="81">
        <f ca="1">J631*(1+INDEX(J$544:J$546,MATCH(Work_Codes!$I$453,$D$544:$D$546,0)))</f>
        <v>0</v>
      </c>
      <c r="K671" s="81">
        <f ca="1">K631*(1+INDEX(K$544:K$546,MATCH(Work_Codes!$I$453,$D$544:$D$546,0)))</f>
        <v>0</v>
      </c>
      <c r="L671" s="81">
        <f ca="1">L631*(1+INDEX(L$544:L$546,MATCH(Work_Codes!$I$453,$D$544:$D$546,0)))</f>
        <v>0</v>
      </c>
      <c r="M671" s="81">
        <f ca="1">M631*(1+INDEX(M$544:M$546,MATCH(Work_Codes!$I$453,$D$544:$D$546,0)))</f>
        <v>0</v>
      </c>
      <c r="N671" s="81">
        <f ca="1">N631*(1+INDEX(N$544:N$546,MATCH(Work_Codes!$I$453,$D$544:$D$546,0)))</f>
        <v>0</v>
      </c>
      <c r="O671" s="81">
        <f ca="1">O631*(1+INDEX(O$544:O$546,MATCH(Work_Codes!$I$453,$D$544:$D$546,0)))</f>
        <v>0</v>
      </c>
      <c r="P671" s="81">
        <f ca="1">P631*(1+INDEX(P$544:P$546,MATCH(Work_Codes!$I$453,$D$544:$D$546,0)))</f>
        <v>0</v>
      </c>
      <c r="Q671" s="81">
        <f ca="1">Q631*(1+INDEX(Q$544:Q$546,MATCH(Work_Codes!$I$453,$D$544:$D$546,0)))</f>
        <v>0</v>
      </c>
      <c r="R671" s="81">
        <f ca="1">R631*(1+INDEX(R$544:R$546,MATCH(Work_Codes!$I$453,$D$544:$D$546,0)))</f>
        <v>0</v>
      </c>
      <c r="S671" s="81">
        <f ca="1">S631*(1+INDEX(S$544:S$546,MATCH(Work_Codes!$I$453,$D$544:$D$546,0)))</f>
        <v>0</v>
      </c>
      <c r="T671" s="81">
        <f ca="1">T631*(1+INDEX(T$544:T$546,MATCH(Work_Codes!$I$453,$D$544:$D$546,0)))</f>
        <v>0</v>
      </c>
    </row>
    <row r="672" spans="4:20" ht="11.5" customHeight="1" outlineLevel="2">
      <c r="E672" s="247" t="str">
        <f>GC!C44</f>
        <v>Supply Regulators / Valve Stations</v>
      </c>
      <c r="F672" s="247"/>
      <c r="G672" s="247"/>
      <c r="H672" s="247"/>
      <c r="I672" s="247"/>
      <c r="J672" s="81">
        <f ca="1">J632*(1+INDEX(J$544:J$546,MATCH(Work_Codes!$I$453,$D$544:$D$546,0)))</f>
        <v>0</v>
      </c>
      <c r="K672" s="81">
        <f ca="1">K632*(1+INDEX(K$544:K$546,MATCH(Work_Codes!$I$453,$D$544:$D$546,0)))</f>
        <v>0</v>
      </c>
      <c r="L672" s="81">
        <f ca="1">L632*(1+INDEX(L$544:L$546,MATCH(Work_Codes!$I$453,$D$544:$D$546,0)))</f>
        <v>0</v>
      </c>
      <c r="M672" s="81">
        <f ca="1">M632*(1+INDEX(M$544:M$546,MATCH(Work_Codes!$I$453,$D$544:$D$546,0)))</f>
        <v>0</v>
      </c>
      <c r="N672" s="81">
        <f ca="1">N632*(1+INDEX(N$544:N$546,MATCH(Work_Codes!$I$453,$D$544:$D$546,0)))</f>
        <v>0</v>
      </c>
      <c r="O672" s="81">
        <f ca="1">O632*(1+INDEX(O$544:O$546,MATCH(Work_Codes!$I$453,$D$544:$D$546,0)))</f>
        <v>0</v>
      </c>
      <c r="P672" s="81">
        <f ca="1">P632*(1+INDEX(P$544:P$546,MATCH(Work_Codes!$I$453,$D$544:$D$546,0)))</f>
        <v>0</v>
      </c>
      <c r="Q672" s="81">
        <f ca="1">Q632*(1+INDEX(Q$544:Q$546,MATCH(Work_Codes!$I$453,$D$544:$D$546,0)))</f>
        <v>0</v>
      </c>
      <c r="R672" s="81">
        <f ca="1">R632*(1+INDEX(R$544:R$546,MATCH(Work_Codes!$I$453,$D$544:$D$546,0)))</f>
        <v>0</v>
      </c>
      <c r="S672" s="81">
        <f ca="1">S632*(1+INDEX(S$544:S$546,MATCH(Work_Codes!$I$453,$D$544:$D$546,0)))</f>
        <v>0</v>
      </c>
      <c r="T672" s="81">
        <f ca="1">T632*(1+INDEX(T$544:T$546,MATCH(Work_Codes!$I$453,$D$544:$D$546,0)))</f>
        <v>0</v>
      </c>
    </row>
    <row r="673" spans="4:20" ht="11.5" customHeight="1" outlineLevel="2">
      <c r="E673" s="247" t="str">
        <f>GC!C45</f>
        <v>Meters</v>
      </c>
      <c r="F673" s="247"/>
      <c r="G673" s="247"/>
      <c r="H673" s="247"/>
      <c r="I673" s="247"/>
      <c r="J673" s="81">
        <f ca="1">J633*(1+INDEX(J$544:J$546,MATCH(Work_Codes!$I$453,$D$544:$D$546,0)))</f>
        <v>0</v>
      </c>
      <c r="K673" s="81">
        <f ca="1">K633*(1+INDEX(K$544:K$546,MATCH(Work_Codes!$I$453,$D$544:$D$546,0)))</f>
        <v>0</v>
      </c>
      <c r="L673" s="81">
        <f ca="1">L633*(1+INDEX(L$544:L$546,MATCH(Work_Codes!$I$453,$D$544:$D$546,0)))</f>
        <v>0</v>
      </c>
      <c r="M673" s="81">
        <f ca="1">M633*(1+INDEX(M$544:M$546,MATCH(Work_Codes!$I$453,$D$544:$D$546,0)))</f>
        <v>0</v>
      </c>
      <c r="N673" s="81">
        <f ca="1">N633*(1+INDEX(N$544:N$546,MATCH(Work_Codes!$I$453,$D$544:$D$546,0)))</f>
        <v>0</v>
      </c>
      <c r="O673" s="81">
        <f ca="1">O633*(1+INDEX(O$544:O$546,MATCH(Work_Codes!$I$453,$D$544:$D$546,0)))</f>
        <v>0</v>
      </c>
      <c r="P673" s="81">
        <f ca="1">P633*(1+INDEX(P$544:P$546,MATCH(Work_Codes!$I$453,$D$544:$D$546,0)))</f>
        <v>0</v>
      </c>
      <c r="Q673" s="81">
        <f ca="1">Q633*(1+INDEX(Q$544:Q$546,MATCH(Work_Codes!$I$453,$D$544:$D$546,0)))</f>
        <v>0</v>
      </c>
      <c r="R673" s="81">
        <f ca="1">R633*(1+INDEX(R$544:R$546,MATCH(Work_Codes!$I$453,$D$544:$D$546,0)))</f>
        <v>0</v>
      </c>
      <c r="S673" s="81">
        <f ca="1">S633*(1+INDEX(S$544:S$546,MATCH(Work_Codes!$I$453,$D$544:$D$546,0)))</f>
        <v>0</v>
      </c>
      <c r="T673" s="81">
        <f ca="1">T633*(1+INDEX(T$544:T$546,MATCH(Work_Codes!$I$453,$D$544:$D$546,0)))</f>
        <v>0</v>
      </c>
    </row>
    <row r="674" spans="4:20" ht="11.5" customHeight="1" outlineLevel="2">
      <c r="E674" s="247" t="str">
        <f>GC!C46</f>
        <v>SCADA and remote control</v>
      </c>
      <c r="F674" s="247"/>
      <c r="G674" s="247"/>
      <c r="H674" s="247"/>
      <c r="I674" s="247"/>
      <c r="J674" s="81">
        <f ca="1">J634*(1+INDEX(J$544:J$546,MATCH(Work_Codes!$I$453,$D$544:$D$546,0)))</f>
        <v>0</v>
      </c>
      <c r="K674" s="81">
        <f ca="1">K634*(1+INDEX(K$544:K$546,MATCH(Work_Codes!$I$453,$D$544:$D$546,0)))</f>
        <v>0</v>
      </c>
      <c r="L674" s="81">
        <f ca="1">L634*(1+INDEX(L$544:L$546,MATCH(Work_Codes!$I$453,$D$544:$D$546,0)))</f>
        <v>0</v>
      </c>
      <c r="M674" s="81">
        <f ca="1">M634*(1+INDEX(M$544:M$546,MATCH(Work_Codes!$I$453,$D$544:$D$546,0)))</f>
        <v>0</v>
      </c>
      <c r="N674" s="81">
        <f ca="1">N634*(1+INDEX(N$544:N$546,MATCH(Work_Codes!$I$453,$D$544:$D$546,0)))</f>
        <v>0</v>
      </c>
      <c r="O674" s="81">
        <f ca="1">O634*(1+INDEX(O$544:O$546,MATCH(Work_Codes!$I$453,$D$544:$D$546,0)))</f>
        <v>0</v>
      </c>
      <c r="P674" s="81">
        <f ca="1">P634*(1+INDEX(P$544:P$546,MATCH(Work_Codes!$I$453,$D$544:$D$546,0)))</f>
        <v>0</v>
      </c>
      <c r="Q674" s="81">
        <f ca="1">Q634*(1+INDEX(Q$544:Q$546,MATCH(Work_Codes!$I$453,$D$544:$D$546,0)))</f>
        <v>0</v>
      </c>
      <c r="R674" s="81">
        <f ca="1">R634*(1+INDEX(R$544:R$546,MATCH(Work_Codes!$I$453,$D$544:$D$546,0)))</f>
        <v>0</v>
      </c>
      <c r="S674" s="81">
        <f ca="1">S634*(1+INDEX(S$544:S$546,MATCH(Work_Codes!$I$453,$D$544:$D$546,0)))</f>
        <v>0</v>
      </c>
      <c r="T674" s="81">
        <f ca="1">T634*(1+INDEX(T$544:T$546,MATCH(Work_Codes!$I$453,$D$544:$D$546,0)))</f>
        <v>0</v>
      </c>
    </row>
    <row r="675" spans="4:20" ht="11.5" customHeight="1" outlineLevel="2">
      <c r="E675" s="247" t="str">
        <f>GC!C47</f>
        <v>Buildings</v>
      </c>
      <c r="F675" s="247"/>
      <c r="G675" s="247"/>
      <c r="H675" s="247"/>
      <c r="I675" s="247"/>
      <c r="J675" s="81">
        <f ca="1">J635*(1+INDEX(J$544:J$546,MATCH(Work_Codes!$I$453,$D$544:$D$546,0)))</f>
        <v>0</v>
      </c>
      <c r="K675" s="81">
        <f ca="1">K635*(1+INDEX(K$544:K$546,MATCH(Work_Codes!$I$453,$D$544:$D$546,0)))</f>
        <v>0</v>
      </c>
      <c r="L675" s="81">
        <f ca="1">L635*(1+INDEX(L$544:L$546,MATCH(Work_Codes!$I$453,$D$544:$D$546,0)))</f>
        <v>0</v>
      </c>
      <c r="M675" s="81">
        <f ca="1">M635*(1+INDEX(M$544:M$546,MATCH(Work_Codes!$I$453,$D$544:$D$546,0)))</f>
        <v>0</v>
      </c>
      <c r="N675" s="81">
        <f ca="1">N635*(1+INDEX(N$544:N$546,MATCH(Work_Codes!$I$453,$D$544:$D$546,0)))</f>
        <v>0</v>
      </c>
      <c r="O675" s="81">
        <f ca="1">O635*(1+INDEX(O$544:O$546,MATCH(Work_Codes!$I$453,$D$544:$D$546,0)))</f>
        <v>0</v>
      </c>
      <c r="P675" s="81">
        <f ca="1">P635*(1+INDEX(P$544:P$546,MATCH(Work_Codes!$I$453,$D$544:$D$546,0)))</f>
        <v>0</v>
      </c>
      <c r="Q675" s="81">
        <f ca="1">Q635*(1+INDEX(Q$544:Q$546,MATCH(Work_Codes!$I$453,$D$544:$D$546,0)))</f>
        <v>0</v>
      </c>
      <c r="R675" s="81">
        <f ca="1">R635*(1+INDEX(R$544:R$546,MATCH(Work_Codes!$I$453,$D$544:$D$546,0)))</f>
        <v>0</v>
      </c>
      <c r="S675" s="81">
        <f ca="1">S635*(1+INDEX(S$544:S$546,MATCH(Work_Codes!$I$453,$D$544:$D$546,0)))</f>
        <v>0</v>
      </c>
      <c r="T675" s="81">
        <f ca="1">T635*(1+INDEX(T$544:T$546,MATCH(Work_Codes!$I$453,$D$544:$D$546,0)))</f>
        <v>0</v>
      </c>
    </row>
    <row r="676" spans="4:20" ht="11.5" customHeight="1" outlineLevel="2">
      <c r="E676" s="247" t="str">
        <f>GC!C48</f>
        <v>Other - IT</v>
      </c>
      <c r="F676" s="247"/>
      <c r="G676" s="247"/>
      <c r="H676" s="247"/>
      <c r="I676" s="247"/>
      <c r="J676" s="81">
        <f ca="1">J636*(1+INDEX(J$544:J$546,MATCH(Work_Codes!$I$453,$D$544:$D$546,0)))</f>
        <v>0</v>
      </c>
      <c r="K676" s="81">
        <f ca="1">K636*(1+INDEX(K$544:K$546,MATCH(Work_Codes!$I$453,$D$544:$D$546,0)))</f>
        <v>0</v>
      </c>
      <c r="L676" s="81">
        <f ca="1">L636*(1+INDEX(L$544:L$546,MATCH(Work_Codes!$I$453,$D$544:$D$546,0)))</f>
        <v>0</v>
      </c>
      <c r="M676" s="81">
        <f ca="1">M636*(1+INDEX(M$544:M$546,MATCH(Work_Codes!$I$453,$D$544:$D$546,0)))</f>
        <v>0</v>
      </c>
      <c r="N676" s="81">
        <f ca="1">N636*(1+INDEX(N$544:N$546,MATCH(Work_Codes!$I$453,$D$544:$D$546,0)))</f>
        <v>0</v>
      </c>
      <c r="O676" s="81">
        <f ca="1">O636*(1+INDEX(O$544:O$546,MATCH(Work_Codes!$I$453,$D$544:$D$546,0)))</f>
        <v>0</v>
      </c>
      <c r="P676" s="81">
        <f ca="1">P636*(1+INDEX(P$544:P$546,MATCH(Work_Codes!$I$453,$D$544:$D$546,0)))</f>
        <v>0</v>
      </c>
      <c r="Q676" s="81">
        <f ca="1">Q636*(1+INDEX(Q$544:Q$546,MATCH(Work_Codes!$I$453,$D$544:$D$546,0)))</f>
        <v>0</v>
      </c>
      <c r="R676" s="81">
        <f ca="1">R636*(1+INDEX(R$544:R$546,MATCH(Work_Codes!$I$453,$D$544:$D$546,0)))</f>
        <v>0</v>
      </c>
      <c r="S676" s="81">
        <f ca="1">S636*(1+INDEX(S$544:S$546,MATCH(Work_Codes!$I$453,$D$544:$D$546,0)))</f>
        <v>0</v>
      </c>
      <c r="T676" s="81">
        <f ca="1">T636*(1+INDEX(T$544:T$546,MATCH(Work_Codes!$I$453,$D$544:$D$546,0)))</f>
        <v>0</v>
      </c>
    </row>
    <row r="677" spans="4:20" ht="11.5" customHeight="1" outlineLevel="2">
      <c r="E677" s="247" t="str">
        <f>GC!C49</f>
        <v>Other - non IT</v>
      </c>
      <c r="F677" s="247"/>
      <c r="G677" s="247"/>
      <c r="H677" s="247"/>
      <c r="I677" s="247"/>
      <c r="J677" s="81">
        <f ca="1">J637*(1+INDEX(J$544:J$546,MATCH(Work_Codes!$I$453,$D$544:$D$546,0)))</f>
        <v>0</v>
      </c>
      <c r="K677" s="81">
        <f ca="1">K637*(1+INDEX(K$544:K$546,MATCH(Work_Codes!$I$453,$D$544:$D$546,0)))</f>
        <v>0</v>
      </c>
      <c r="L677" s="81">
        <f ca="1">L637*(1+INDEX(L$544:L$546,MATCH(Work_Codes!$I$453,$D$544:$D$546,0)))</f>
        <v>0</v>
      </c>
      <c r="M677" s="81">
        <f ca="1">M637*(1+INDEX(M$544:M$546,MATCH(Work_Codes!$I$453,$D$544:$D$546,0)))</f>
        <v>0</v>
      </c>
      <c r="N677" s="81">
        <f ca="1">N637*(1+INDEX(N$544:N$546,MATCH(Work_Codes!$I$453,$D$544:$D$546,0)))</f>
        <v>0</v>
      </c>
      <c r="O677" s="81">
        <f ca="1">O637*(1+INDEX(O$544:O$546,MATCH(Work_Codes!$I$453,$D$544:$D$546,0)))</f>
        <v>0</v>
      </c>
      <c r="P677" s="81">
        <f ca="1">P637*(1+INDEX(P$544:P$546,MATCH(Work_Codes!$I$453,$D$544:$D$546,0)))</f>
        <v>570022.61582925939</v>
      </c>
      <c r="Q677" s="81">
        <f ca="1">Q637*(1+INDEX(Q$544:Q$546,MATCH(Work_Codes!$I$453,$D$544:$D$546,0)))</f>
        <v>569772.96922392305</v>
      </c>
      <c r="R677" s="81">
        <f ca="1">R637*(1+INDEX(R$544:R$546,MATCH(Work_Codes!$I$453,$D$544:$D$546,0)))</f>
        <v>570415.73082008737</v>
      </c>
      <c r="S677" s="81">
        <f ca="1">S637*(1+INDEX(S$544:S$546,MATCH(Work_Codes!$I$453,$D$544:$D$546,0)))</f>
        <v>571539.20794315648</v>
      </c>
      <c r="T677" s="81">
        <f ca="1">T637*(1+INDEX(T$544:T$546,MATCH(Work_Codes!$I$453,$D$544:$D$546,0)))</f>
        <v>510607.45374078274</v>
      </c>
    </row>
    <row r="678" spans="4:20" ht="11.5" customHeight="1" outlineLevel="2">
      <c r="E678" s="247" t="str">
        <f>GC!C50</f>
        <v>Land</v>
      </c>
      <c r="F678" s="247"/>
      <c r="G678" s="247"/>
      <c r="H678" s="247"/>
      <c r="I678" s="247"/>
      <c r="J678" s="81">
        <f ca="1">J638*(1+INDEX(J$544:J$546,MATCH(Work_Codes!$I$453,$D$544:$D$546,0)))</f>
        <v>0</v>
      </c>
      <c r="K678" s="81">
        <f ca="1">K638*(1+INDEX(K$544:K$546,MATCH(Work_Codes!$I$453,$D$544:$D$546,0)))</f>
        <v>0</v>
      </c>
      <c r="L678" s="81">
        <f ca="1">L638*(1+INDEX(L$544:L$546,MATCH(Work_Codes!$I$453,$D$544:$D$546,0)))</f>
        <v>0</v>
      </c>
      <c r="M678" s="81">
        <f ca="1">M638*(1+INDEX(M$544:M$546,MATCH(Work_Codes!$I$453,$D$544:$D$546,0)))</f>
        <v>0</v>
      </c>
      <c r="N678" s="81">
        <f ca="1">N638*(1+INDEX(N$544:N$546,MATCH(Work_Codes!$I$453,$D$544:$D$546,0)))</f>
        <v>0</v>
      </c>
      <c r="O678" s="81">
        <f ca="1">O638*(1+INDEX(O$544:O$546,MATCH(Work_Codes!$I$453,$D$544:$D$546,0)))</f>
        <v>0</v>
      </c>
      <c r="P678" s="81">
        <f ca="1">P638*(1+INDEX(P$544:P$546,MATCH(Work_Codes!$I$453,$D$544:$D$546,0)))</f>
        <v>0</v>
      </c>
      <c r="Q678" s="81">
        <f ca="1">Q638*(1+INDEX(Q$544:Q$546,MATCH(Work_Codes!$I$453,$D$544:$D$546,0)))</f>
        <v>0</v>
      </c>
      <c r="R678" s="81">
        <f ca="1">R638*(1+INDEX(R$544:R$546,MATCH(Work_Codes!$I$453,$D$544:$D$546,0)))</f>
        <v>0</v>
      </c>
      <c r="S678" s="81">
        <f ca="1">S638*(1+INDEX(S$544:S$546,MATCH(Work_Codes!$I$453,$D$544:$D$546,0)))</f>
        <v>0</v>
      </c>
      <c r="T678" s="81">
        <f ca="1">T638*(1+INDEX(T$544:T$546,MATCH(Work_Codes!$I$453,$D$544:$D$546,0)))</f>
        <v>0</v>
      </c>
    </row>
    <row r="679" spans="4:20" outlineLevel="2">
      <c r="E679" s="247" t="str">
        <f>GC!C51</f>
        <v>Capitalised Leases</v>
      </c>
      <c r="F679" s="247"/>
      <c r="G679" s="247"/>
      <c r="H679" s="247"/>
      <c r="I679" s="247"/>
      <c r="J679" s="81">
        <f ca="1">J639*(1+INDEX(J$544:J$546,MATCH(Work_Codes!$I$453,$D$544:$D$546,0)))</f>
        <v>0</v>
      </c>
      <c r="K679" s="81">
        <f ca="1">K639*(1+INDEX(K$544:K$546,MATCH(Work_Codes!$I$453,$D$544:$D$546,0)))</f>
        <v>0</v>
      </c>
      <c r="L679" s="81">
        <f ca="1">L639*(1+INDEX(L$544:L$546,MATCH(Work_Codes!$I$453,$D$544:$D$546,0)))</f>
        <v>0</v>
      </c>
      <c r="M679" s="81">
        <f ca="1">M639*(1+INDEX(M$544:M$546,MATCH(Work_Codes!$I$453,$D$544:$D$546,0)))</f>
        <v>0</v>
      </c>
      <c r="N679" s="81">
        <f ca="1">N639*(1+INDEX(N$544:N$546,MATCH(Work_Codes!$I$453,$D$544:$D$546,0)))</f>
        <v>0</v>
      </c>
      <c r="O679" s="81">
        <f ca="1">O639*(1+INDEX(O$544:O$546,MATCH(Work_Codes!$I$453,$D$544:$D$546,0)))</f>
        <v>0</v>
      </c>
      <c r="P679" s="81">
        <f ca="1">P639*(1+INDEX(P$544:P$546,MATCH(Work_Codes!$I$453,$D$544:$D$546,0)))</f>
        <v>0</v>
      </c>
      <c r="Q679" s="81">
        <f ca="1">Q639*(1+INDEX(Q$544:Q$546,MATCH(Work_Codes!$I$453,$D$544:$D$546,0)))</f>
        <v>0</v>
      </c>
      <c r="R679" s="81">
        <f ca="1">R639*(1+INDEX(R$544:R$546,MATCH(Work_Codes!$I$453,$D$544:$D$546,0)))</f>
        <v>0</v>
      </c>
      <c r="S679" s="81">
        <f ca="1">S639*(1+INDEX(S$544:S$546,MATCH(Work_Codes!$I$453,$D$544:$D$546,0)))</f>
        <v>0</v>
      </c>
      <c r="T679" s="81">
        <f ca="1">T639*(1+INDEX(T$544:T$546,MATCH(Work_Codes!$I$453,$D$544:$D$546,0)))</f>
        <v>0</v>
      </c>
    </row>
    <row r="680" spans="4:20" outlineLevel="2">
      <c r="E680" s="247" t="str">
        <f>GC!C52</f>
        <v>Transmission pipelines - post 1998</v>
      </c>
      <c r="F680" s="247"/>
      <c r="G680" s="247"/>
      <c r="H680" s="247"/>
      <c r="I680" s="247"/>
      <c r="J680" s="81">
        <f ca="1">J640*(1+INDEX(J$544:J$546,MATCH(Work_Codes!$I$453,$D$544:$D$546,0)))</f>
        <v>0</v>
      </c>
      <c r="K680" s="81">
        <f ca="1">K640*(1+INDEX(K$544:K$546,MATCH(Work_Codes!$I$453,$D$544:$D$546,0)))</f>
        <v>0</v>
      </c>
      <c r="L680" s="81">
        <f ca="1">L640*(1+INDEX(L$544:L$546,MATCH(Work_Codes!$I$453,$D$544:$D$546,0)))</f>
        <v>0</v>
      </c>
      <c r="M680" s="81">
        <f ca="1">M640*(1+INDEX(M$544:M$546,MATCH(Work_Codes!$I$453,$D$544:$D$546,0)))</f>
        <v>0</v>
      </c>
      <c r="N680" s="81">
        <f ca="1">N640*(1+INDEX(N$544:N$546,MATCH(Work_Codes!$I$453,$D$544:$D$546,0)))</f>
        <v>0</v>
      </c>
      <c r="O680" s="81">
        <f ca="1">O640*(1+INDEX(O$544:O$546,MATCH(Work_Codes!$I$453,$D$544:$D$546,0)))</f>
        <v>0</v>
      </c>
      <c r="P680" s="81">
        <f ca="1">P640*(1+INDEX(P$544:P$546,MATCH(Work_Codes!$I$453,$D$544:$D$546,0)))</f>
        <v>0</v>
      </c>
      <c r="Q680" s="81">
        <f ca="1">Q640*(1+INDEX(Q$544:Q$546,MATCH(Work_Codes!$I$453,$D$544:$D$546,0)))</f>
        <v>0</v>
      </c>
      <c r="R680" s="81">
        <f ca="1">R640*(1+INDEX(R$544:R$546,MATCH(Work_Codes!$I$453,$D$544:$D$546,0)))</f>
        <v>0</v>
      </c>
      <c r="S680" s="81">
        <f ca="1">S640*(1+INDEX(S$544:S$546,MATCH(Work_Codes!$I$453,$D$544:$D$546,0)))</f>
        <v>0</v>
      </c>
      <c r="T680" s="81">
        <f ca="1">T640*(1+INDEX(T$544:T$546,MATCH(Work_Codes!$I$453,$D$544:$D$546,0)))</f>
        <v>0</v>
      </c>
    </row>
    <row r="681" spans="4:20" outlineLevel="2">
      <c r="E681" s="247" t="str">
        <f>GC!C53</f>
        <v>Distribution pipelines - post 1998</v>
      </c>
      <c r="F681" s="247"/>
      <c r="G681" s="247"/>
      <c r="H681" s="247"/>
      <c r="I681" s="247"/>
      <c r="J681" s="81">
        <f ca="1">J641*(1+INDEX(J$544:J$546,MATCH(Work_Codes!$I$453,$D$544:$D$546,0)))</f>
        <v>0</v>
      </c>
      <c r="K681" s="81">
        <f ca="1">K641*(1+INDEX(K$544:K$546,MATCH(Work_Codes!$I$453,$D$544:$D$546,0)))</f>
        <v>0</v>
      </c>
      <c r="L681" s="81">
        <f ca="1">L641*(1+INDEX(L$544:L$546,MATCH(Work_Codes!$I$453,$D$544:$D$546,0)))</f>
        <v>0</v>
      </c>
      <c r="M681" s="81">
        <f ca="1">M641*(1+INDEX(M$544:M$546,MATCH(Work_Codes!$I$453,$D$544:$D$546,0)))</f>
        <v>0</v>
      </c>
      <c r="N681" s="81">
        <f ca="1">N641*(1+INDEX(N$544:N$546,MATCH(Work_Codes!$I$453,$D$544:$D$546,0)))</f>
        <v>0</v>
      </c>
      <c r="O681" s="81">
        <f ca="1">O641*(1+INDEX(O$544:O$546,MATCH(Work_Codes!$I$453,$D$544:$D$546,0)))</f>
        <v>0</v>
      </c>
      <c r="P681" s="81">
        <f ca="1">P641*(1+INDEX(P$544:P$546,MATCH(Work_Codes!$I$453,$D$544:$D$546,0)))</f>
        <v>0</v>
      </c>
      <c r="Q681" s="81">
        <f ca="1">Q641*(1+INDEX(Q$544:Q$546,MATCH(Work_Codes!$I$453,$D$544:$D$546,0)))</f>
        <v>0</v>
      </c>
      <c r="R681" s="81">
        <f ca="1">R641*(1+INDEX(R$544:R$546,MATCH(Work_Codes!$I$453,$D$544:$D$546,0)))</f>
        <v>0</v>
      </c>
      <c r="S681" s="81">
        <f ca="1">S641*(1+INDEX(S$544:S$546,MATCH(Work_Codes!$I$453,$D$544:$D$546,0)))</f>
        <v>0</v>
      </c>
      <c r="T681" s="81">
        <f ca="1">T641*(1+INDEX(T$544:T$546,MATCH(Work_Codes!$I$453,$D$544:$D$546,0)))</f>
        <v>0</v>
      </c>
    </row>
    <row r="682" spans="4:20" outlineLevel="2">
      <c r="E682" s="247" t="str">
        <f>GC!C54</f>
        <v>Service pipes - post 1998</v>
      </c>
      <c r="F682" s="247"/>
      <c r="G682" s="247"/>
      <c r="H682" s="247"/>
      <c r="I682" s="247"/>
      <c r="J682" s="81">
        <f ca="1">J642*(1+INDEX(J$544:J$546,MATCH(Work_Codes!$I$453,$D$544:$D$546,0)))</f>
        <v>0</v>
      </c>
      <c r="K682" s="81">
        <f ca="1">K642*(1+INDEX(K$544:K$546,MATCH(Work_Codes!$I$453,$D$544:$D$546,0)))</f>
        <v>0</v>
      </c>
      <c r="L682" s="81">
        <f ca="1">L642*(1+INDEX(L$544:L$546,MATCH(Work_Codes!$I$453,$D$544:$D$546,0)))</f>
        <v>0</v>
      </c>
      <c r="M682" s="81">
        <f ca="1">M642*(1+INDEX(M$544:M$546,MATCH(Work_Codes!$I$453,$D$544:$D$546,0)))</f>
        <v>0</v>
      </c>
      <c r="N682" s="81">
        <f ca="1">N642*(1+INDEX(N$544:N$546,MATCH(Work_Codes!$I$453,$D$544:$D$546,0)))</f>
        <v>0</v>
      </c>
      <c r="O682" s="81">
        <f ca="1">O642*(1+INDEX(O$544:O$546,MATCH(Work_Codes!$I$453,$D$544:$D$546,0)))</f>
        <v>0</v>
      </c>
      <c r="P682" s="81">
        <f ca="1">P642*(1+INDEX(P$544:P$546,MATCH(Work_Codes!$I$453,$D$544:$D$546,0)))</f>
        <v>0</v>
      </c>
      <c r="Q682" s="81">
        <f ca="1">Q642*(1+INDEX(Q$544:Q$546,MATCH(Work_Codes!$I$453,$D$544:$D$546,0)))</f>
        <v>0</v>
      </c>
      <c r="R682" s="81">
        <f ca="1">R642*(1+INDEX(R$544:R$546,MATCH(Work_Codes!$I$453,$D$544:$D$546,0)))</f>
        <v>0</v>
      </c>
      <c r="S682" s="81">
        <f ca="1">S642*(1+INDEX(S$544:S$546,MATCH(Work_Codes!$I$453,$D$544:$D$546,0)))</f>
        <v>0</v>
      </c>
      <c r="T682" s="81">
        <f ca="1">T642*(1+INDEX(T$544:T$546,MATCH(Work_Codes!$I$453,$D$544:$D$546,0)))</f>
        <v>0</v>
      </c>
    </row>
    <row r="683" spans="4:20" outlineLevel="2">
      <c r="E683" s="247" t="str">
        <f>GC!C55</f>
        <v>Cathodic protection - post 1998</v>
      </c>
      <c r="F683" s="247"/>
      <c r="G683" s="247"/>
      <c r="H683" s="247"/>
      <c r="I683" s="247"/>
      <c r="J683" s="81">
        <f ca="1">J643*(1+INDEX(J$544:J$546,MATCH(Work_Codes!$I$453,$D$544:$D$546,0)))</f>
        <v>0</v>
      </c>
      <c r="K683" s="81">
        <f ca="1">K643*(1+INDEX(K$544:K$546,MATCH(Work_Codes!$I$453,$D$544:$D$546,0)))</f>
        <v>0</v>
      </c>
      <c r="L683" s="81">
        <f ca="1">L643*(1+INDEX(L$544:L$546,MATCH(Work_Codes!$I$453,$D$544:$D$546,0)))</f>
        <v>0</v>
      </c>
      <c r="M683" s="81">
        <f ca="1">M643*(1+INDEX(M$544:M$546,MATCH(Work_Codes!$I$453,$D$544:$D$546,0)))</f>
        <v>0</v>
      </c>
      <c r="N683" s="81">
        <f ca="1">N643*(1+INDEX(N$544:N$546,MATCH(Work_Codes!$I$453,$D$544:$D$546,0)))</f>
        <v>0</v>
      </c>
      <c r="O683" s="81">
        <f ca="1">O643*(1+INDEX(O$544:O$546,MATCH(Work_Codes!$I$453,$D$544:$D$546,0)))</f>
        <v>0</v>
      </c>
      <c r="P683" s="81">
        <f ca="1">P643*(1+INDEX(P$544:P$546,MATCH(Work_Codes!$I$453,$D$544:$D$546,0)))</f>
        <v>0</v>
      </c>
      <c r="Q683" s="81">
        <f ca="1">Q643*(1+INDEX(Q$544:Q$546,MATCH(Work_Codes!$I$453,$D$544:$D$546,0)))</f>
        <v>0</v>
      </c>
      <c r="R683" s="81">
        <f ca="1">R643*(1+INDEX(R$544:R$546,MATCH(Work_Codes!$I$453,$D$544:$D$546,0)))</f>
        <v>0</v>
      </c>
      <c r="S683" s="81">
        <f ca="1">S643*(1+INDEX(S$544:S$546,MATCH(Work_Codes!$I$453,$D$544:$D$546,0)))</f>
        <v>0</v>
      </c>
      <c r="T683" s="81">
        <f ca="1">T643*(1+INDEX(T$544:T$546,MATCH(Work_Codes!$I$453,$D$544:$D$546,0)))</f>
        <v>0</v>
      </c>
    </row>
    <row r="684" spans="4:20" ht="12" customHeight="1" outlineLevel="2">
      <c r="E684" s="249" t="str">
        <f>"Total "&amp;D666</f>
        <v>Total Direct Costs + Overheads</v>
      </c>
      <c r="F684" s="249"/>
      <c r="G684" s="249"/>
      <c r="H684" s="249"/>
      <c r="I684" s="249"/>
      <c r="J684" s="82">
        <f t="shared" ref="J684:T684" ca="1" si="72">SUM(J668:J683)</f>
        <v>0</v>
      </c>
      <c r="K684" s="82">
        <f t="shared" ca="1" si="72"/>
        <v>0</v>
      </c>
      <c r="L684" s="82">
        <f t="shared" ca="1" si="72"/>
        <v>0</v>
      </c>
      <c r="M684" s="82">
        <f t="shared" ca="1" si="72"/>
        <v>0</v>
      </c>
      <c r="N684" s="82">
        <f t="shared" ca="1" si="72"/>
        <v>0</v>
      </c>
      <c r="O684" s="82">
        <f t="shared" ca="1" si="72"/>
        <v>0</v>
      </c>
      <c r="P684" s="82">
        <f t="shared" ca="1" si="72"/>
        <v>570022.61582925939</v>
      </c>
      <c r="Q684" s="82">
        <f t="shared" ca="1" si="72"/>
        <v>569772.96922392305</v>
      </c>
      <c r="R684" s="82">
        <f t="shared" ca="1" si="72"/>
        <v>570415.73082008737</v>
      </c>
      <c r="S684" s="82">
        <f t="shared" ca="1" si="72"/>
        <v>571539.20794315648</v>
      </c>
      <c r="T684" s="82">
        <f t="shared" ca="1" si="72"/>
        <v>510607.45374078274</v>
      </c>
    </row>
    <row r="685" spans="4:20" outlineLevel="2"/>
    <row r="686" spans="4:20" outlineLevel="2">
      <c r="D686" s="37" t="s">
        <v>367</v>
      </c>
    </row>
    <row r="687" spans="4:20" ht="5.9" customHeight="1" outlineLevel="2"/>
    <row r="688" spans="4:20" outlineLevel="2">
      <c r="E688" s="247" t="str">
        <f>GC!C40</f>
        <v>Transmission pipelines</v>
      </c>
      <c r="F688" s="247"/>
      <c r="G688" s="247"/>
      <c r="H688" s="247"/>
      <c r="I688" s="247"/>
      <c r="J688" s="81">
        <f ca="1">SUMPRODUCT((Work_Codes!$N$456:$Y$456=$E688)*(Work_Codes!$N$466:$Y$466)*(J$580:J$580))</f>
        <v>0</v>
      </c>
      <c r="K688" s="81">
        <f ca="1">SUMPRODUCT((Work_Codes!$N$456:$Y$456=$E688)*(Work_Codes!$N$466:$Y$466)*(K$580:K$580))</f>
        <v>0</v>
      </c>
      <c r="L688" s="81">
        <f ca="1">SUMPRODUCT((Work_Codes!$N$456:$Y$456=$E688)*(Work_Codes!$N$466:$Y$466)*(L$580:L$580))</f>
        <v>0</v>
      </c>
      <c r="M688" s="81">
        <f ca="1">SUMPRODUCT((Work_Codes!$N$456:$Y$456=$E688)*(Work_Codes!$N$466:$Y$466)*(M$580:M$580))</f>
        <v>0</v>
      </c>
      <c r="N688" s="81">
        <f ca="1">SUMPRODUCT((Work_Codes!$N$456:$Y$456=$E688)*(Work_Codes!$N$466:$Y$466)*(N$580:N$580))</f>
        <v>0</v>
      </c>
      <c r="O688" s="81">
        <f ca="1">SUMPRODUCT((Work_Codes!$N$456:$Y$456=$E688)*(Work_Codes!$N$466:$Y$466)*(O$580:O$580))</f>
        <v>0</v>
      </c>
      <c r="P688" s="81">
        <f ca="1">SUMPRODUCT((Work_Codes!$N$456:$Y$456=$E688)*(Work_Codes!$N$466:$Y$466)*(P$580:P$580))</f>
        <v>0</v>
      </c>
      <c r="Q688" s="81">
        <f ca="1">SUMPRODUCT((Work_Codes!$N$456:$Y$456=$E688)*(Work_Codes!$N$466:$Y$466)*(Q$580:Q$580))</f>
        <v>0</v>
      </c>
      <c r="R688" s="81">
        <f ca="1">SUMPRODUCT((Work_Codes!$N$456:$Y$456=$E688)*(Work_Codes!$N$466:$Y$466)*(R$580:R$580))</f>
        <v>0</v>
      </c>
      <c r="S688" s="81">
        <f ca="1">SUMPRODUCT((Work_Codes!$N$456:$Y$456=$E688)*(Work_Codes!$N$466:$Y$466)*(S$580:S$580))</f>
        <v>0</v>
      </c>
      <c r="T688" s="81">
        <f ca="1">SUMPRODUCT((Work_Codes!$N$456:$Y$456=$E688)*(Work_Codes!$N$466:$Y$466)*(T$580:T$580))</f>
        <v>0</v>
      </c>
    </row>
    <row r="689" spans="5:20" outlineLevel="2">
      <c r="E689" s="247" t="str">
        <f>GC!C41</f>
        <v>Distribution pipelines</v>
      </c>
      <c r="F689" s="247"/>
      <c r="G689" s="247"/>
      <c r="H689" s="247"/>
      <c r="I689" s="247"/>
      <c r="J689" s="81">
        <f ca="1">SUMPRODUCT((Work_Codes!$N$456:$Y$456=$E689)*(Work_Codes!$N$466:$Y$466)*(J$580:J$580))</f>
        <v>0</v>
      </c>
      <c r="K689" s="81">
        <f ca="1">SUMPRODUCT((Work_Codes!$N$456:$Y$456=$E689)*(Work_Codes!$N$466:$Y$466)*(K$580:K$580))</f>
        <v>0</v>
      </c>
      <c r="L689" s="81">
        <f ca="1">SUMPRODUCT((Work_Codes!$N$456:$Y$456=$E689)*(Work_Codes!$N$466:$Y$466)*(L$580:L$580))</f>
        <v>0</v>
      </c>
      <c r="M689" s="81">
        <f ca="1">SUMPRODUCT((Work_Codes!$N$456:$Y$456=$E689)*(Work_Codes!$N$466:$Y$466)*(M$580:M$580))</f>
        <v>0</v>
      </c>
      <c r="N689" s="81">
        <f ca="1">SUMPRODUCT((Work_Codes!$N$456:$Y$456=$E689)*(Work_Codes!$N$466:$Y$466)*(N$580:N$580))</f>
        <v>0</v>
      </c>
      <c r="O689" s="81">
        <f ca="1">SUMPRODUCT((Work_Codes!$N$456:$Y$456=$E689)*(Work_Codes!$N$466:$Y$466)*(O$580:O$580))</f>
        <v>0</v>
      </c>
      <c r="P689" s="81">
        <f ca="1">SUMPRODUCT((Work_Codes!$N$456:$Y$456=$E689)*(Work_Codes!$N$466:$Y$466)*(P$580:P$580))</f>
        <v>0</v>
      </c>
      <c r="Q689" s="81">
        <f ca="1">SUMPRODUCT((Work_Codes!$N$456:$Y$456=$E689)*(Work_Codes!$N$466:$Y$466)*(Q$580:Q$580))</f>
        <v>0</v>
      </c>
      <c r="R689" s="81">
        <f ca="1">SUMPRODUCT((Work_Codes!$N$456:$Y$456=$E689)*(Work_Codes!$N$466:$Y$466)*(R$580:R$580))</f>
        <v>0</v>
      </c>
      <c r="S689" s="81">
        <f ca="1">SUMPRODUCT((Work_Codes!$N$456:$Y$456=$E689)*(Work_Codes!$N$466:$Y$466)*(S$580:S$580))</f>
        <v>0</v>
      </c>
      <c r="T689" s="81">
        <f ca="1">SUMPRODUCT((Work_Codes!$N$456:$Y$456=$E689)*(Work_Codes!$N$466:$Y$466)*(T$580:T$580))</f>
        <v>0</v>
      </c>
    </row>
    <row r="690" spans="5:20" outlineLevel="2">
      <c r="E690" s="247" t="str">
        <f>GC!C42</f>
        <v>Service pipes</v>
      </c>
      <c r="F690" s="247"/>
      <c r="G690" s="247"/>
      <c r="H690" s="247"/>
      <c r="I690" s="247"/>
      <c r="J690" s="81">
        <f ca="1">SUMPRODUCT((Work_Codes!$N$456:$Y$456=$E690)*(Work_Codes!$N$466:$Y$466)*(J$580:J$580))</f>
        <v>0</v>
      </c>
      <c r="K690" s="81">
        <f ca="1">SUMPRODUCT((Work_Codes!$N$456:$Y$456=$E690)*(Work_Codes!$N$466:$Y$466)*(K$580:K$580))</f>
        <v>0</v>
      </c>
      <c r="L690" s="81">
        <f ca="1">SUMPRODUCT((Work_Codes!$N$456:$Y$456=$E690)*(Work_Codes!$N$466:$Y$466)*(L$580:L$580))</f>
        <v>0</v>
      </c>
      <c r="M690" s="81">
        <f ca="1">SUMPRODUCT((Work_Codes!$N$456:$Y$456=$E690)*(Work_Codes!$N$466:$Y$466)*(M$580:M$580))</f>
        <v>0</v>
      </c>
      <c r="N690" s="81">
        <f ca="1">SUMPRODUCT((Work_Codes!$N$456:$Y$456=$E690)*(Work_Codes!$N$466:$Y$466)*(N$580:N$580))</f>
        <v>0</v>
      </c>
      <c r="O690" s="81">
        <f ca="1">SUMPRODUCT((Work_Codes!$N$456:$Y$456=$E690)*(Work_Codes!$N$466:$Y$466)*(O$580:O$580))</f>
        <v>0</v>
      </c>
      <c r="P690" s="81">
        <f ca="1">SUMPRODUCT((Work_Codes!$N$456:$Y$456=$E690)*(Work_Codes!$N$466:$Y$466)*(P$580:P$580))</f>
        <v>0</v>
      </c>
      <c r="Q690" s="81">
        <f ca="1">SUMPRODUCT((Work_Codes!$N$456:$Y$456=$E690)*(Work_Codes!$N$466:$Y$466)*(Q$580:Q$580))</f>
        <v>0</v>
      </c>
      <c r="R690" s="81">
        <f ca="1">SUMPRODUCT((Work_Codes!$N$456:$Y$456=$E690)*(Work_Codes!$N$466:$Y$466)*(R$580:R$580))</f>
        <v>0</v>
      </c>
      <c r="S690" s="81">
        <f ca="1">SUMPRODUCT((Work_Codes!$N$456:$Y$456=$E690)*(Work_Codes!$N$466:$Y$466)*(S$580:S$580))</f>
        <v>0</v>
      </c>
      <c r="T690" s="81">
        <f ca="1">SUMPRODUCT((Work_Codes!$N$456:$Y$456=$E690)*(Work_Codes!$N$466:$Y$466)*(T$580:T$580))</f>
        <v>0</v>
      </c>
    </row>
    <row r="691" spans="5:20" outlineLevel="2">
      <c r="E691" s="247" t="str">
        <f>GC!C43</f>
        <v>Cathodic protection</v>
      </c>
      <c r="F691" s="247"/>
      <c r="G691" s="247"/>
      <c r="H691" s="247"/>
      <c r="I691" s="247"/>
      <c r="J691" s="81">
        <f ca="1">SUMPRODUCT((Work_Codes!$N$456:$Y$456=$E691)*(Work_Codes!$N$466:$Y$466)*(J$580:J$580))</f>
        <v>0</v>
      </c>
      <c r="K691" s="81">
        <f ca="1">SUMPRODUCT((Work_Codes!$N$456:$Y$456=$E691)*(Work_Codes!$N$466:$Y$466)*(K$580:K$580))</f>
        <v>0</v>
      </c>
      <c r="L691" s="81">
        <f ca="1">SUMPRODUCT((Work_Codes!$N$456:$Y$456=$E691)*(Work_Codes!$N$466:$Y$466)*(L$580:L$580))</f>
        <v>0</v>
      </c>
      <c r="M691" s="81">
        <f ca="1">SUMPRODUCT((Work_Codes!$N$456:$Y$456=$E691)*(Work_Codes!$N$466:$Y$466)*(M$580:M$580))</f>
        <v>0</v>
      </c>
      <c r="N691" s="81">
        <f ca="1">SUMPRODUCT((Work_Codes!$N$456:$Y$456=$E691)*(Work_Codes!$N$466:$Y$466)*(N$580:N$580))</f>
        <v>0</v>
      </c>
      <c r="O691" s="81">
        <f ca="1">SUMPRODUCT((Work_Codes!$N$456:$Y$456=$E691)*(Work_Codes!$N$466:$Y$466)*(O$580:O$580))</f>
        <v>0</v>
      </c>
      <c r="P691" s="81">
        <f ca="1">SUMPRODUCT((Work_Codes!$N$456:$Y$456=$E691)*(Work_Codes!$N$466:$Y$466)*(P$580:P$580))</f>
        <v>0</v>
      </c>
      <c r="Q691" s="81">
        <f ca="1">SUMPRODUCT((Work_Codes!$N$456:$Y$456=$E691)*(Work_Codes!$N$466:$Y$466)*(Q$580:Q$580))</f>
        <v>0</v>
      </c>
      <c r="R691" s="81">
        <f ca="1">SUMPRODUCT((Work_Codes!$N$456:$Y$456=$E691)*(Work_Codes!$N$466:$Y$466)*(R$580:R$580))</f>
        <v>0</v>
      </c>
      <c r="S691" s="81">
        <f ca="1">SUMPRODUCT((Work_Codes!$N$456:$Y$456=$E691)*(Work_Codes!$N$466:$Y$466)*(S$580:S$580))</f>
        <v>0</v>
      </c>
      <c r="T691" s="81">
        <f ca="1">SUMPRODUCT((Work_Codes!$N$456:$Y$456=$E691)*(Work_Codes!$N$466:$Y$466)*(T$580:T$580))</f>
        <v>0</v>
      </c>
    </row>
    <row r="692" spans="5:20" outlineLevel="2">
      <c r="E692" s="247" t="str">
        <f>GC!C44</f>
        <v>Supply Regulators / Valve Stations</v>
      </c>
      <c r="F692" s="247"/>
      <c r="G692" s="247"/>
      <c r="H692" s="247"/>
      <c r="I692" s="247"/>
      <c r="J692" s="81">
        <f ca="1">SUMPRODUCT((Work_Codes!$N$456:$Y$456=$E692)*(Work_Codes!$N$466:$Y$466)*(J$580:J$580))</f>
        <v>0</v>
      </c>
      <c r="K692" s="81">
        <f ca="1">SUMPRODUCT((Work_Codes!$N$456:$Y$456=$E692)*(Work_Codes!$N$466:$Y$466)*(K$580:K$580))</f>
        <v>0</v>
      </c>
      <c r="L692" s="81">
        <f ca="1">SUMPRODUCT((Work_Codes!$N$456:$Y$456=$E692)*(Work_Codes!$N$466:$Y$466)*(L$580:L$580))</f>
        <v>0</v>
      </c>
      <c r="M692" s="81">
        <f ca="1">SUMPRODUCT((Work_Codes!$N$456:$Y$456=$E692)*(Work_Codes!$N$466:$Y$466)*(M$580:M$580))</f>
        <v>0</v>
      </c>
      <c r="N692" s="81">
        <f ca="1">SUMPRODUCT((Work_Codes!$N$456:$Y$456=$E692)*(Work_Codes!$N$466:$Y$466)*(N$580:N$580))</f>
        <v>0</v>
      </c>
      <c r="O692" s="81">
        <f ca="1">SUMPRODUCT((Work_Codes!$N$456:$Y$456=$E692)*(Work_Codes!$N$466:$Y$466)*(O$580:O$580))</f>
        <v>0</v>
      </c>
      <c r="P692" s="81">
        <f ca="1">SUMPRODUCT((Work_Codes!$N$456:$Y$456=$E692)*(Work_Codes!$N$466:$Y$466)*(P$580:P$580))</f>
        <v>0</v>
      </c>
      <c r="Q692" s="81">
        <f ca="1">SUMPRODUCT((Work_Codes!$N$456:$Y$456=$E692)*(Work_Codes!$N$466:$Y$466)*(Q$580:Q$580))</f>
        <v>0</v>
      </c>
      <c r="R692" s="81">
        <f ca="1">SUMPRODUCT((Work_Codes!$N$456:$Y$456=$E692)*(Work_Codes!$N$466:$Y$466)*(R$580:R$580))</f>
        <v>0</v>
      </c>
      <c r="S692" s="81">
        <f ca="1">SUMPRODUCT((Work_Codes!$N$456:$Y$456=$E692)*(Work_Codes!$N$466:$Y$466)*(S$580:S$580))</f>
        <v>0</v>
      </c>
      <c r="T692" s="81">
        <f ca="1">SUMPRODUCT((Work_Codes!$N$456:$Y$456=$E692)*(Work_Codes!$N$466:$Y$466)*(T$580:T$580))</f>
        <v>0</v>
      </c>
    </row>
    <row r="693" spans="5:20" outlineLevel="2">
      <c r="E693" s="247" t="str">
        <f>GC!C45</f>
        <v>Meters</v>
      </c>
      <c r="F693" s="247"/>
      <c r="G693" s="247"/>
      <c r="H693" s="247"/>
      <c r="I693" s="247"/>
      <c r="J693" s="81">
        <f ca="1">SUMPRODUCT((Work_Codes!$N$456:$Y$456=$E693)*(Work_Codes!$N$466:$Y$466)*(J$580:J$580))</f>
        <v>0</v>
      </c>
      <c r="K693" s="81">
        <f ca="1">SUMPRODUCT((Work_Codes!$N$456:$Y$456=$E693)*(Work_Codes!$N$466:$Y$466)*(K$580:K$580))</f>
        <v>0</v>
      </c>
      <c r="L693" s="81">
        <f ca="1">SUMPRODUCT((Work_Codes!$N$456:$Y$456=$E693)*(Work_Codes!$N$466:$Y$466)*(L$580:L$580))</f>
        <v>0</v>
      </c>
      <c r="M693" s="81">
        <f ca="1">SUMPRODUCT((Work_Codes!$N$456:$Y$456=$E693)*(Work_Codes!$N$466:$Y$466)*(M$580:M$580))</f>
        <v>0</v>
      </c>
      <c r="N693" s="81">
        <f ca="1">SUMPRODUCT((Work_Codes!$N$456:$Y$456=$E693)*(Work_Codes!$N$466:$Y$466)*(N$580:N$580))</f>
        <v>0</v>
      </c>
      <c r="O693" s="81">
        <f ca="1">SUMPRODUCT((Work_Codes!$N$456:$Y$456=$E693)*(Work_Codes!$N$466:$Y$466)*(O$580:O$580))</f>
        <v>0</v>
      </c>
      <c r="P693" s="81">
        <f ca="1">SUMPRODUCT((Work_Codes!$N$456:$Y$456=$E693)*(Work_Codes!$N$466:$Y$466)*(P$580:P$580))</f>
        <v>0</v>
      </c>
      <c r="Q693" s="81">
        <f ca="1">SUMPRODUCT((Work_Codes!$N$456:$Y$456=$E693)*(Work_Codes!$N$466:$Y$466)*(Q$580:Q$580))</f>
        <v>0</v>
      </c>
      <c r="R693" s="81">
        <f ca="1">SUMPRODUCT((Work_Codes!$N$456:$Y$456=$E693)*(Work_Codes!$N$466:$Y$466)*(R$580:R$580))</f>
        <v>0</v>
      </c>
      <c r="S693" s="81">
        <f ca="1">SUMPRODUCT((Work_Codes!$N$456:$Y$456=$E693)*(Work_Codes!$N$466:$Y$466)*(S$580:S$580))</f>
        <v>0</v>
      </c>
      <c r="T693" s="81">
        <f ca="1">SUMPRODUCT((Work_Codes!$N$456:$Y$456=$E693)*(Work_Codes!$N$466:$Y$466)*(T$580:T$580))</f>
        <v>0</v>
      </c>
    </row>
    <row r="694" spans="5:20" outlineLevel="2">
      <c r="E694" s="247" t="str">
        <f>GC!C46</f>
        <v>SCADA and remote control</v>
      </c>
      <c r="F694" s="247"/>
      <c r="G694" s="247"/>
      <c r="H694" s="247"/>
      <c r="I694" s="247"/>
      <c r="J694" s="81">
        <f ca="1">SUMPRODUCT((Work_Codes!$N$456:$Y$456=$E694)*(Work_Codes!$N$466:$Y$466)*(J$580:J$580))</f>
        <v>0</v>
      </c>
      <c r="K694" s="81">
        <f ca="1">SUMPRODUCT((Work_Codes!$N$456:$Y$456=$E694)*(Work_Codes!$N$466:$Y$466)*(K$580:K$580))</f>
        <v>0</v>
      </c>
      <c r="L694" s="81">
        <f ca="1">SUMPRODUCT((Work_Codes!$N$456:$Y$456=$E694)*(Work_Codes!$N$466:$Y$466)*(L$580:L$580))</f>
        <v>0</v>
      </c>
      <c r="M694" s="81">
        <f ca="1">SUMPRODUCT((Work_Codes!$N$456:$Y$456=$E694)*(Work_Codes!$N$466:$Y$466)*(M$580:M$580))</f>
        <v>0</v>
      </c>
      <c r="N694" s="81">
        <f ca="1">SUMPRODUCT((Work_Codes!$N$456:$Y$456=$E694)*(Work_Codes!$N$466:$Y$466)*(N$580:N$580))</f>
        <v>0</v>
      </c>
      <c r="O694" s="81">
        <f ca="1">SUMPRODUCT((Work_Codes!$N$456:$Y$456=$E694)*(Work_Codes!$N$466:$Y$466)*(O$580:O$580))</f>
        <v>0</v>
      </c>
      <c r="P694" s="81">
        <f ca="1">SUMPRODUCT((Work_Codes!$N$456:$Y$456=$E694)*(Work_Codes!$N$466:$Y$466)*(P$580:P$580))</f>
        <v>0</v>
      </c>
      <c r="Q694" s="81">
        <f ca="1">SUMPRODUCT((Work_Codes!$N$456:$Y$456=$E694)*(Work_Codes!$N$466:$Y$466)*(Q$580:Q$580))</f>
        <v>0</v>
      </c>
      <c r="R694" s="81">
        <f ca="1">SUMPRODUCT((Work_Codes!$N$456:$Y$456=$E694)*(Work_Codes!$N$466:$Y$466)*(R$580:R$580))</f>
        <v>0</v>
      </c>
      <c r="S694" s="81">
        <f ca="1">SUMPRODUCT((Work_Codes!$N$456:$Y$456=$E694)*(Work_Codes!$N$466:$Y$466)*(S$580:S$580))</f>
        <v>0</v>
      </c>
      <c r="T694" s="81">
        <f ca="1">SUMPRODUCT((Work_Codes!$N$456:$Y$456=$E694)*(Work_Codes!$N$466:$Y$466)*(T$580:T$580))</f>
        <v>0</v>
      </c>
    </row>
    <row r="695" spans="5:20" outlineLevel="2">
      <c r="E695" s="247" t="str">
        <f>GC!C47</f>
        <v>Buildings</v>
      </c>
      <c r="F695" s="247"/>
      <c r="G695" s="247"/>
      <c r="H695" s="247"/>
      <c r="I695" s="247"/>
      <c r="J695" s="81">
        <f ca="1">SUMPRODUCT((Work_Codes!$N$456:$Y$456=$E695)*(Work_Codes!$N$466:$Y$466)*(J$580:J$580))</f>
        <v>0</v>
      </c>
      <c r="K695" s="81">
        <f ca="1">SUMPRODUCT((Work_Codes!$N$456:$Y$456=$E695)*(Work_Codes!$N$466:$Y$466)*(K$580:K$580))</f>
        <v>0</v>
      </c>
      <c r="L695" s="81">
        <f ca="1">SUMPRODUCT((Work_Codes!$N$456:$Y$456=$E695)*(Work_Codes!$N$466:$Y$466)*(L$580:L$580))</f>
        <v>0</v>
      </c>
      <c r="M695" s="81">
        <f ca="1">SUMPRODUCT((Work_Codes!$N$456:$Y$456=$E695)*(Work_Codes!$N$466:$Y$466)*(M$580:M$580))</f>
        <v>0</v>
      </c>
      <c r="N695" s="81">
        <f ca="1">SUMPRODUCT((Work_Codes!$N$456:$Y$456=$E695)*(Work_Codes!$N$466:$Y$466)*(N$580:N$580))</f>
        <v>0</v>
      </c>
      <c r="O695" s="81">
        <f ca="1">SUMPRODUCT((Work_Codes!$N$456:$Y$456=$E695)*(Work_Codes!$N$466:$Y$466)*(O$580:O$580))</f>
        <v>0</v>
      </c>
      <c r="P695" s="81">
        <f ca="1">SUMPRODUCT((Work_Codes!$N$456:$Y$456=$E695)*(Work_Codes!$N$466:$Y$466)*(P$580:P$580))</f>
        <v>0</v>
      </c>
      <c r="Q695" s="81">
        <f ca="1">SUMPRODUCT((Work_Codes!$N$456:$Y$456=$E695)*(Work_Codes!$N$466:$Y$466)*(Q$580:Q$580))</f>
        <v>0</v>
      </c>
      <c r="R695" s="81">
        <f ca="1">SUMPRODUCT((Work_Codes!$N$456:$Y$456=$E695)*(Work_Codes!$N$466:$Y$466)*(R$580:R$580))</f>
        <v>0</v>
      </c>
      <c r="S695" s="81">
        <f ca="1">SUMPRODUCT((Work_Codes!$N$456:$Y$456=$E695)*(Work_Codes!$N$466:$Y$466)*(S$580:S$580))</f>
        <v>0</v>
      </c>
      <c r="T695" s="81">
        <f ca="1">SUMPRODUCT((Work_Codes!$N$456:$Y$456=$E695)*(Work_Codes!$N$466:$Y$466)*(T$580:T$580))</f>
        <v>0</v>
      </c>
    </row>
    <row r="696" spans="5:20" outlineLevel="2">
      <c r="E696" s="247" t="str">
        <f>GC!C48</f>
        <v>Other - IT</v>
      </c>
      <c r="F696" s="247"/>
      <c r="G696" s="247"/>
      <c r="H696" s="247"/>
      <c r="I696" s="247"/>
      <c r="J696" s="81">
        <f ca="1">SUMPRODUCT((Work_Codes!$N$456:$Y$456=$E696)*(Work_Codes!$N$466:$Y$466)*(J$580:J$580))</f>
        <v>0</v>
      </c>
      <c r="K696" s="81">
        <f ca="1">SUMPRODUCT((Work_Codes!$N$456:$Y$456=$E696)*(Work_Codes!$N$466:$Y$466)*(K$580:K$580))</f>
        <v>0</v>
      </c>
      <c r="L696" s="81">
        <f ca="1">SUMPRODUCT((Work_Codes!$N$456:$Y$456=$E696)*(Work_Codes!$N$466:$Y$466)*(L$580:L$580))</f>
        <v>0</v>
      </c>
      <c r="M696" s="81">
        <f ca="1">SUMPRODUCT((Work_Codes!$N$456:$Y$456=$E696)*(Work_Codes!$N$466:$Y$466)*(M$580:M$580))</f>
        <v>0</v>
      </c>
      <c r="N696" s="81">
        <f ca="1">SUMPRODUCT((Work_Codes!$N$456:$Y$456=$E696)*(Work_Codes!$N$466:$Y$466)*(N$580:N$580))</f>
        <v>0</v>
      </c>
      <c r="O696" s="81">
        <f ca="1">SUMPRODUCT((Work_Codes!$N$456:$Y$456=$E696)*(Work_Codes!$N$466:$Y$466)*(O$580:O$580))</f>
        <v>0</v>
      </c>
      <c r="P696" s="81">
        <f ca="1">SUMPRODUCT((Work_Codes!$N$456:$Y$456=$E696)*(Work_Codes!$N$466:$Y$466)*(P$580:P$580))</f>
        <v>0</v>
      </c>
      <c r="Q696" s="81">
        <f ca="1">SUMPRODUCT((Work_Codes!$N$456:$Y$456=$E696)*(Work_Codes!$N$466:$Y$466)*(Q$580:Q$580))</f>
        <v>0</v>
      </c>
      <c r="R696" s="81">
        <f ca="1">SUMPRODUCT((Work_Codes!$N$456:$Y$456=$E696)*(Work_Codes!$N$466:$Y$466)*(R$580:R$580))</f>
        <v>0</v>
      </c>
      <c r="S696" s="81">
        <f ca="1">SUMPRODUCT((Work_Codes!$N$456:$Y$456=$E696)*(Work_Codes!$N$466:$Y$466)*(S$580:S$580))</f>
        <v>0</v>
      </c>
      <c r="T696" s="81">
        <f ca="1">SUMPRODUCT((Work_Codes!$N$456:$Y$456=$E696)*(Work_Codes!$N$466:$Y$466)*(T$580:T$580))</f>
        <v>0</v>
      </c>
    </row>
    <row r="697" spans="5:20" outlineLevel="2">
      <c r="E697" s="247" t="str">
        <f>GC!C49</f>
        <v>Other - non IT</v>
      </c>
      <c r="F697" s="247"/>
      <c r="G697" s="247"/>
      <c r="H697" s="247"/>
      <c r="I697" s="247"/>
      <c r="J697" s="81">
        <f ca="1">SUMPRODUCT((Work_Codes!$N$456:$Y$456=$E697)*(Work_Codes!$N$466:$Y$466)*(J$580:J$580))</f>
        <v>0</v>
      </c>
      <c r="K697" s="81">
        <f ca="1">SUMPRODUCT((Work_Codes!$N$456:$Y$456=$E697)*(Work_Codes!$N$466:$Y$466)*(K$580:K$580))</f>
        <v>0</v>
      </c>
      <c r="L697" s="81">
        <f ca="1">SUMPRODUCT((Work_Codes!$N$456:$Y$456=$E697)*(Work_Codes!$N$466:$Y$466)*(L$580:L$580))</f>
        <v>0</v>
      </c>
      <c r="M697" s="81">
        <f ca="1">SUMPRODUCT((Work_Codes!$N$456:$Y$456=$E697)*(Work_Codes!$N$466:$Y$466)*(M$580:M$580))</f>
        <v>0</v>
      </c>
      <c r="N697" s="81">
        <f ca="1">SUMPRODUCT((Work_Codes!$N$456:$Y$456=$E697)*(Work_Codes!$N$466:$Y$466)*(N$580:N$580))</f>
        <v>0</v>
      </c>
      <c r="O697" s="81">
        <f ca="1">SUMPRODUCT((Work_Codes!$N$456:$Y$456=$E697)*(Work_Codes!$N$466:$Y$466)*(O$580:O$580))</f>
        <v>0</v>
      </c>
      <c r="P697" s="81">
        <f ca="1">SUMPRODUCT((Work_Codes!$N$456:$Y$456=$E697)*(Work_Codes!$N$466:$Y$466)*(P$580:P$580))</f>
        <v>0</v>
      </c>
      <c r="Q697" s="81">
        <f ca="1">SUMPRODUCT((Work_Codes!$N$456:$Y$456=$E697)*(Work_Codes!$N$466:$Y$466)*(Q$580:Q$580))</f>
        <v>0</v>
      </c>
      <c r="R697" s="81">
        <f ca="1">SUMPRODUCT((Work_Codes!$N$456:$Y$456=$E697)*(Work_Codes!$N$466:$Y$466)*(R$580:R$580))</f>
        <v>0</v>
      </c>
      <c r="S697" s="81">
        <f ca="1">SUMPRODUCT((Work_Codes!$N$456:$Y$456=$E697)*(Work_Codes!$N$466:$Y$466)*(S$580:S$580))</f>
        <v>0</v>
      </c>
      <c r="T697" s="81">
        <f ca="1">SUMPRODUCT((Work_Codes!$N$456:$Y$456=$E697)*(Work_Codes!$N$466:$Y$466)*(T$580:T$580))</f>
        <v>0</v>
      </c>
    </row>
    <row r="698" spans="5:20" outlineLevel="2">
      <c r="E698" s="247" t="str">
        <f>GC!C50</f>
        <v>Land</v>
      </c>
      <c r="F698" s="247"/>
      <c r="G698" s="247"/>
      <c r="H698" s="247"/>
      <c r="I698" s="247"/>
      <c r="J698" s="81">
        <f ca="1">SUMPRODUCT((Work_Codes!$N$456:$Y$456=$E698)*(Work_Codes!$N$466:$Y$466)*(J$580:J$580))</f>
        <v>0</v>
      </c>
      <c r="K698" s="81">
        <f ca="1">SUMPRODUCT((Work_Codes!$N$456:$Y$456=$E698)*(Work_Codes!$N$466:$Y$466)*(K$580:K$580))</f>
        <v>0</v>
      </c>
      <c r="L698" s="81">
        <f ca="1">SUMPRODUCT((Work_Codes!$N$456:$Y$456=$E698)*(Work_Codes!$N$466:$Y$466)*(L$580:L$580))</f>
        <v>0</v>
      </c>
      <c r="M698" s="81">
        <f ca="1">SUMPRODUCT((Work_Codes!$N$456:$Y$456=$E698)*(Work_Codes!$N$466:$Y$466)*(M$580:M$580))</f>
        <v>0</v>
      </c>
      <c r="N698" s="81">
        <f ca="1">SUMPRODUCT((Work_Codes!$N$456:$Y$456=$E698)*(Work_Codes!$N$466:$Y$466)*(N$580:N$580))</f>
        <v>0</v>
      </c>
      <c r="O698" s="81">
        <f ca="1">SUMPRODUCT((Work_Codes!$N$456:$Y$456=$E698)*(Work_Codes!$N$466:$Y$466)*(O$580:O$580))</f>
        <v>0</v>
      </c>
      <c r="P698" s="81">
        <f ca="1">SUMPRODUCT((Work_Codes!$N$456:$Y$456=$E698)*(Work_Codes!$N$466:$Y$466)*(P$580:P$580))</f>
        <v>0</v>
      </c>
      <c r="Q698" s="81">
        <f ca="1">SUMPRODUCT((Work_Codes!$N$456:$Y$456=$E698)*(Work_Codes!$N$466:$Y$466)*(Q$580:Q$580))</f>
        <v>0</v>
      </c>
      <c r="R698" s="81">
        <f ca="1">SUMPRODUCT((Work_Codes!$N$456:$Y$456=$E698)*(Work_Codes!$N$466:$Y$466)*(R$580:R$580))</f>
        <v>0</v>
      </c>
      <c r="S698" s="81">
        <f ca="1">SUMPRODUCT((Work_Codes!$N$456:$Y$456=$E698)*(Work_Codes!$N$466:$Y$466)*(S$580:S$580))</f>
        <v>0</v>
      </c>
      <c r="T698" s="81">
        <f ca="1">SUMPRODUCT((Work_Codes!$N$456:$Y$456=$E698)*(Work_Codes!$N$466:$Y$466)*(T$580:T$580))</f>
        <v>0</v>
      </c>
    </row>
    <row r="699" spans="5:20" outlineLevel="2">
      <c r="E699" s="247" t="str">
        <f>GC!C51</f>
        <v>Capitalised Leases</v>
      </c>
      <c r="F699" s="247"/>
      <c r="G699" s="247"/>
      <c r="H699" s="247"/>
      <c r="I699" s="247"/>
      <c r="J699" s="81">
        <f ca="1">SUMPRODUCT((Work_Codes!$N$456:$Y$456=$E699)*(Work_Codes!$N$466:$Y$466)*(J$580:J$580))</f>
        <v>0</v>
      </c>
      <c r="K699" s="81">
        <f ca="1">SUMPRODUCT((Work_Codes!$N$456:$Y$456=$E699)*(Work_Codes!$N$466:$Y$466)*(K$580:K$580))</f>
        <v>0</v>
      </c>
      <c r="L699" s="81">
        <f ca="1">SUMPRODUCT((Work_Codes!$N$456:$Y$456=$E699)*(Work_Codes!$N$466:$Y$466)*(L$580:L$580))</f>
        <v>0</v>
      </c>
      <c r="M699" s="81">
        <f ca="1">SUMPRODUCT((Work_Codes!$N$456:$Y$456=$E699)*(Work_Codes!$N$466:$Y$466)*(M$580:M$580))</f>
        <v>0</v>
      </c>
      <c r="N699" s="81">
        <f ca="1">SUMPRODUCT((Work_Codes!$N$456:$Y$456=$E699)*(Work_Codes!$N$466:$Y$466)*(N$580:N$580))</f>
        <v>0</v>
      </c>
      <c r="O699" s="81">
        <f ca="1">SUMPRODUCT((Work_Codes!$N$456:$Y$456=$E699)*(Work_Codes!$N$466:$Y$466)*(O$580:O$580))</f>
        <v>0</v>
      </c>
      <c r="P699" s="81">
        <f ca="1">SUMPRODUCT((Work_Codes!$N$456:$Y$456=$E699)*(Work_Codes!$N$466:$Y$466)*(P$580:P$580))</f>
        <v>0</v>
      </c>
      <c r="Q699" s="81">
        <f ca="1">SUMPRODUCT((Work_Codes!$N$456:$Y$456=$E699)*(Work_Codes!$N$466:$Y$466)*(Q$580:Q$580))</f>
        <v>0</v>
      </c>
      <c r="R699" s="81">
        <f ca="1">SUMPRODUCT((Work_Codes!$N$456:$Y$456=$E699)*(Work_Codes!$N$466:$Y$466)*(R$580:R$580))</f>
        <v>0</v>
      </c>
      <c r="S699" s="81">
        <f ca="1">SUMPRODUCT((Work_Codes!$N$456:$Y$456=$E699)*(Work_Codes!$N$466:$Y$466)*(S$580:S$580))</f>
        <v>0</v>
      </c>
      <c r="T699" s="81">
        <f ca="1">SUMPRODUCT((Work_Codes!$N$456:$Y$456=$E699)*(Work_Codes!$N$466:$Y$466)*(T$580:T$580))</f>
        <v>0</v>
      </c>
    </row>
    <row r="700" spans="5:20" outlineLevel="2">
      <c r="E700" s="247" t="str">
        <f>GC!C52</f>
        <v>Transmission pipelines - post 1998</v>
      </c>
      <c r="F700" s="247"/>
      <c r="G700" s="247"/>
      <c r="H700" s="247"/>
      <c r="I700" s="247"/>
      <c r="J700" s="81">
        <f ca="1">SUMPRODUCT((Work_Codes!$N$456:$Y$456=$E700)*(Work_Codes!$N$466:$Y$466)*(J$580:J$580))</f>
        <v>0</v>
      </c>
      <c r="K700" s="81">
        <f ca="1">SUMPRODUCT((Work_Codes!$N$456:$Y$456=$E700)*(Work_Codes!$N$466:$Y$466)*(K$580:K$580))</f>
        <v>0</v>
      </c>
      <c r="L700" s="81">
        <f ca="1">SUMPRODUCT((Work_Codes!$N$456:$Y$456=$E700)*(Work_Codes!$N$466:$Y$466)*(L$580:L$580))</f>
        <v>0</v>
      </c>
      <c r="M700" s="81">
        <f ca="1">SUMPRODUCT((Work_Codes!$N$456:$Y$456=$E700)*(Work_Codes!$N$466:$Y$466)*(M$580:M$580))</f>
        <v>0</v>
      </c>
      <c r="N700" s="81">
        <f ca="1">SUMPRODUCT((Work_Codes!$N$456:$Y$456=$E700)*(Work_Codes!$N$466:$Y$466)*(N$580:N$580))</f>
        <v>0</v>
      </c>
      <c r="O700" s="81">
        <f ca="1">SUMPRODUCT((Work_Codes!$N$456:$Y$456=$E700)*(Work_Codes!$N$466:$Y$466)*(O$580:O$580))</f>
        <v>0</v>
      </c>
      <c r="P700" s="81">
        <f ca="1">SUMPRODUCT((Work_Codes!$N$456:$Y$456=$E700)*(Work_Codes!$N$466:$Y$466)*(P$580:P$580))</f>
        <v>0</v>
      </c>
      <c r="Q700" s="81">
        <f ca="1">SUMPRODUCT((Work_Codes!$N$456:$Y$456=$E700)*(Work_Codes!$N$466:$Y$466)*(Q$580:Q$580))</f>
        <v>0</v>
      </c>
      <c r="R700" s="81">
        <f ca="1">SUMPRODUCT((Work_Codes!$N$456:$Y$456=$E700)*(Work_Codes!$N$466:$Y$466)*(R$580:R$580))</f>
        <v>0</v>
      </c>
      <c r="S700" s="81">
        <f ca="1">SUMPRODUCT((Work_Codes!$N$456:$Y$456=$E700)*(Work_Codes!$N$466:$Y$466)*(S$580:S$580))</f>
        <v>0</v>
      </c>
      <c r="T700" s="81">
        <f ca="1">SUMPRODUCT((Work_Codes!$N$456:$Y$456=$E700)*(Work_Codes!$N$466:$Y$466)*(T$580:T$580))</f>
        <v>0</v>
      </c>
    </row>
    <row r="701" spans="5:20" outlineLevel="2">
      <c r="E701" s="247" t="str">
        <f>GC!C53</f>
        <v>Distribution pipelines - post 1998</v>
      </c>
      <c r="F701" s="247"/>
      <c r="G701" s="247"/>
      <c r="H701" s="247"/>
      <c r="I701" s="247"/>
      <c r="J701" s="81">
        <f ca="1">SUMPRODUCT((Work_Codes!$N$456:$Y$456=$E701)*(Work_Codes!$N$466:$Y$466)*(J$580:J$580))</f>
        <v>0</v>
      </c>
      <c r="K701" s="81">
        <f ca="1">SUMPRODUCT((Work_Codes!$N$456:$Y$456=$E701)*(Work_Codes!$N$466:$Y$466)*(K$580:K$580))</f>
        <v>0</v>
      </c>
      <c r="L701" s="81">
        <f ca="1">SUMPRODUCT((Work_Codes!$N$456:$Y$456=$E701)*(Work_Codes!$N$466:$Y$466)*(L$580:L$580))</f>
        <v>0</v>
      </c>
      <c r="M701" s="81">
        <f ca="1">SUMPRODUCT((Work_Codes!$N$456:$Y$456=$E701)*(Work_Codes!$N$466:$Y$466)*(M$580:M$580))</f>
        <v>0</v>
      </c>
      <c r="N701" s="81">
        <f ca="1">SUMPRODUCT((Work_Codes!$N$456:$Y$456=$E701)*(Work_Codes!$N$466:$Y$466)*(N$580:N$580))</f>
        <v>0</v>
      </c>
      <c r="O701" s="81">
        <f ca="1">SUMPRODUCT((Work_Codes!$N$456:$Y$456=$E701)*(Work_Codes!$N$466:$Y$466)*(O$580:O$580))</f>
        <v>0</v>
      </c>
      <c r="P701" s="81">
        <f ca="1">SUMPRODUCT((Work_Codes!$N$456:$Y$456=$E701)*(Work_Codes!$N$466:$Y$466)*(P$580:P$580))</f>
        <v>0</v>
      </c>
      <c r="Q701" s="81">
        <f ca="1">SUMPRODUCT((Work_Codes!$N$456:$Y$456=$E701)*(Work_Codes!$N$466:$Y$466)*(Q$580:Q$580))</f>
        <v>0</v>
      </c>
      <c r="R701" s="81">
        <f ca="1">SUMPRODUCT((Work_Codes!$N$456:$Y$456=$E701)*(Work_Codes!$N$466:$Y$466)*(R$580:R$580))</f>
        <v>0</v>
      </c>
      <c r="S701" s="81">
        <f ca="1">SUMPRODUCT((Work_Codes!$N$456:$Y$456=$E701)*(Work_Codes!$N$466:$Y$466)*(S$580:S$580))</f>
        <v>0</v>
      </c>
      <c r="T701" s="81">
        <f ca="1">SUMPRODUCT((Work_Codes!$N$456:$Y$456=$E701)*(Work_Codes!$N$466:$Y$466)*(T$580:T$580))</f>
        <v>0</v>
      </c>
    </row>
    <row r="702" spans="5:20" outlineLevel="2">
      <c r="E702" s="247" t="str">
        <f>GC!C54</f>
        <v>Service pipes - post 1998</v>
      </c>
      <c r="F702" s="247"/>
      <c r="G702" s="247"/>
      <c r="H702" s="247"/>
      <c r="I702" s="247"/>
      <c r="J702" s="81">
        <f ca="1">SUMPRODUCT((Work_Codes!$N$456:$Y$456=$E702)*(Work_Codes!$N$466:$Y$466)*(J$580:J$580))</f>
        <v>0</v>
      </c>
      <c r="K702" s="81">
        <f ca="1">SUMPRODUCT((Work_Codes!$N$456:$Y$456=$E702)*(Work_Codes!$N$466:$Y$466)*(K$580:K$580))</f>
        <v>0</v>
      </c>
      <c r="L702" s="81">
        <f ca="1">SUMPRODUCT((Work_Codes!$N$456:$Y$456=$E702)*(Work_Codes!$N$466:$Y$466)*(L$580:L$580))</f>
        <v>0</v>
      </c>
      <c r="M702" s="81">
        <f ca="1">SUMPRODUCT((Work_Codes!$N$456:$Y$456=$E702)*(Work_Codes!$N$466:$Y$466)*(M$580:M$580))</f>
        <v>0</v>
      </c>
      <c r="N702" s="81">
        <f ca="1">SUMPRODUCT((Work_Codes!$N$456:$Y$456=$E702)*(Work_Codes!$N$466:$Y$466)*(N$580:N$580))</f>
        <v>0</v>
      </c>
      <c r="O702" s="81">
        <f ca="1">SUMPRODUCT((Work_Codes!$N$456:$Y$456=$E702)*(Work_Codes!$N$466:$Y$466)*(O$580:O$580))</f>
        <v>0</v>
      </c>
      <c r="P702" s="81">
        <f ca="1">SUMPRODUCT((Work_Codes!$N$456:$Y$456=$E702)*(Work_Codes!$N$466:$Y$466)*(P$580:P$580))</f>
        <v>0</v>
      </c>
      <c r="Q702" s="81">
        <f ca="1">SUMPRODUCT((Work_Codes!$N$456:$Y$456=$E702)*(Work_Codes!$N$466:$Y$466)*(Q$580:Q$580))</f>
        <v>0</v>
      </c>
      <c r="R702" s="81">
        <f ca="1">SUMPRODUCT((Work_Codes!$N$456:$Y$456=$E702)*(Work_Codes!$N$466:$Y$466)*(R$580:R$580))</f>
        <v>0</v>
      </c>
      <c r="S702" s="81">
        <f ca="1">SUMPRODUCT((Work_Codes!$N$456:$Y$456=$E702)*(Work_Codes!$N$466:$Y$466)*(S$580:S$580))</f>
        <v>0</v>
      </c>
      <c r="T702" s="81">
        <f ca="1">SUMPRODUCT((Work_Codes!$N$456:$Y$456=$E702)*(Work_Codes!$N$466:$Y$466)*(T$580:T$580))</f>
        <v>0</v>
      </c>
    </row>
    <row r="703" spans="5:20" outlineLevel="2">
      <c r="E703" s="247" t="str">
        <f>GC!C55</f>
        <v>Cathodic protection - post 1998</v>
      </c>
      <c r="F703" s="247"/>
      <c r="G703" s="247"/>
      <c r="H703" s="247"/>
      <c r="I703" s="247"/>
      <c r="J703" s="81">
        <f ca="1">SUMPRODUCT((Work_Codes!$N$456:$Y$456=$E703)*(Work_Codes!$N$466:$Y$466)*(J$580:J$580))</f>
        <v>0</v>
      </c>
      <c r="K703" s="81">
        <f ca="1">SUMPRODUCT((Work_Codes!$N$456:$Y$456=$E703)*(Work_Codes!$N$466:$Y$466)*(K$580:K$580))</f>
        <v>0</v>
      </c>
      <c r="L703" s="81">
        <f ca="1">SUMPRODUCT((Work_Codes!$N$456:$Y$456=$E703)*(Work_Codes!$N$466:$Y$466)*(L$580:L$580))</f>
        <v>0</v>
      </c>
      <c r="M703" s="81">
        <f ca="1">SUMPRODUCT((Work_Codes!$N$456:$Y$456=$E703)*(Work_Codes!$N$466:$Y$466)*(M$580:M$580))</f>
        <v>0</v>
      </c>
      <c r="N703" s="81">
        <f ca="1">SUMPRODUCT((Work_Codes!$N$456:$Y$456=$E703)*(Work_Codes!$N$466:$Y$466)*(N$580:N$580))</f>
        <v>0</v>
      </c>
      <c r="O703" s="81">
        <f ca="1">SUMPRODUCT((Work_Codes!$N$456:$Y$456=$E703)*(Work_Codes!$N$466:$Y$466)*(O$580:O$580))</f>
        <v>0</v>
      </c>
      <c r="P703" s="81">
        <f ca="1">SUMPRODUCT((Work_Codes!$N$456:$Y$456=$E703)*(Work_Codes!$N$466:$Y$466)*(P$580:P$580))</f>
        <v>0</v>
      </c>
      <c r="Q703" s="81">
        <f ca="1">SUMPRODUCT((Work_Codes!$N$456:$Y$456=$E703)*(Work_Codes!$N$466:$Y$466)*(Q$580:Q$580))</f>
        <v>0</v>
      </c>
      <c r="R703" s="81">
        <f ca="1">SUMPRODUCT((Work_Codes!$N$456:$Y$456=$E703)*(Work_Codes!$N$466:$Y$466)*(R$580:R$580))</f>
        <v>0</v>
      </c>
      <c r="S703" s="81">
        <f ca="1">SUMPRODUCT((Work_Codes!$N$456:$Y$456=$E703)*(Work_Codes!$N$466:$Y$466)*(S$580:S$580))</f>
        <v>0</v>
      </c>
      <c r="T703" s="81">
        <f ca="1">SUMPRODUCT((Work_Codes!$N$456:$Y$456=$E703)*(Work_Codes!$N$466:$Y$466)*(T$580:T$580))</f>
        <v>0</v>
      </c>
    </row>
    <row r="704" spans="5:20" outlineLevel="2">
      <c r="E704" s="249" t="str">
        <f>"Total "&amp;D686</f>
        <v>Total Customer Contributions</v>
      </c>
      <c r="F704" s="249"/>
      <c r="G704" s="249"/>
      <c r="H704" s="249"/>
      <c r="I704" s="249"/>
      <c r="J704" s="82">
        <f t="shared" ref="J704:T704" ca="1" si="73">SUM(J688:J703)</f>
        <v>0</v>
      </c>
      <c r="K704" s="82">
        <f t="shared" ca="1" si="73"/>
        <v>0</v>
      </c>
      <c r="L704" s="82">
        <f t="shared" ca="1" si="73"/>
        <v>0</v>
      </c>
      <c r="M704" s="82">
        <f t="shared" ca="1" si="73"/>
        <v>0</v>
      </c>
      <c r="N704" s="82">
        <f t="shared" ca="1" si="73"/>
        <v>0</v>
      </c>
      <c r="O704" s="82">
        <f t="shared" ca="1" si="73"/>
        <v>0</v>
      </c>
      <c r="P704" s="82">
        <f t="shared" ca="1" si="73"/>
        <v>0</v>
      </c>
      <c r="Q704" s="82">
        <f t="shared" ca="1" si="73"/>
        <v>0</v>
      </c>
      <c r="R704" s="82">
        <f t="shared" ca="1" si="73"/>
        <v>0</v>
      </c>
      <c r="S704" s="82">
        <f t="shared" ca="1" si="73"/>
        <v>0</v>
      </c>
      <c r="T704" s="82">
        <f t="shared" ca="1" si="73"/>
        <v>0</v>
      </c>
    </row>
    <row r="705" spans="2:20" outlineLevel="1">
      <c r="B705" s="12"/>
      <c r="C705" s="12"/>
      <c r="D705" s="12"/>
      <c r="E705" s="12"/>
      <c r="F705" s="12"/>
      <c r="G705" s="12"/>
      <c r="H705" s="12"/>
      <c r="I705" s="12"/>
      <c r="J705" s="12"/>
      <c r="K705" s="12"/>
      <c r="L705" s="12"/>
      <c r="M705" s="12"/>
      <c r="N705" s="12"/>
      <c r="O705" s="12"/>
      <c r="P705" s="12"/>
      <c r="Q705" s="12"/>
      <c r="R705" s="12"/>
      <c r="S705" s="12"/>
      <c r="T705" s="12"/>
    </row>
    <row r="706" spans="2:20" outlineLevel="1"/>
    <row r="707" spans="2:20" outlineLevel="1">
      <c r="C707" s="37" t="s">
        <v>196</v>
      </c>
    </row>
    <row r="708" spans="2:20" ht="5.9" customHeight="1" outlineLevel="2"/>
    <row r="709" spans="2:20" outlineLevel="2">
      <c r="D709" s="37" t="s">
        <v>215</v>
      </c>
    </row>
    <row r="710" spans="2:20" ht="5.9" customHeight="1" outlineLevel="2"/>
    <row r="711" spans="2:20" ht="12" customHeight="1" outlineLevel="2">
      <c r="E711" s="247" t="str">
        <f>GC!C60</f>
        <v>Mains replacement</v>
      </c>
      <c r="F711" s="247"/>
      <c r="G711" s="247"/>
      <c r="H711" s="247"/>
      <c r="I711" s="247"/>
      <c r="J711" s="81">
        <f ca="1">SUMPRODUCT((Work_Codes!$AC$456:$AO$456=$E711)*(Work_Codes!$AC$459:$AO$462)*(J$616:J$619))</f>
        <v>0</v>
      </c>
      <c r="K711" s="81">
        <f ca="1">SUMPRODUCT((Work_Codes!$AC$456:$AO$456=$E711)*(Work_Codes!$AC$459:$AO$462)*(K$616:K$619))</f>
        <v>0</v>
      </c>
      <c r="L711" s="81">
        <f ca="1">SUMPRODUCT((Work_Codes!$AC$456:$AO$456=$E711)*(Work_Codes!$AC$459:$AO$462)*(L$616:L$619))</f>
        <v>0</v>
      </c>
      <c r="M711" s="81">
        <f ca="1">SUMPRODUCT((Work_Codes!$AC$456:$AO$456=$E711)*(Work_Codes!$AC$459:$AO$462)*(M$616:M$619))</f>
        <v>0</v>
      </c>
      <c r="N711" s="81">
        <f ca="1">SUMPRODUCT((Work_Codes!$AC$456:$AO$456=$E711)*(Work_Codes!$AC$459:$AO$462)*(N$616:N$619))</f>
        <v>0</v>
      </c>
      <c r="O711" s="81">
        <f ca="1">SUMPRODUCT((Work_Codes!$AC$456:$AO$456=$E711)*(Work_Codes!$AC$459:$AO$462)*(O$616:O$619))</f>
        <v>0</v>
      </c>
      <c r="P711" s="81">
        <f ca="1">SUMPRODUCT((Work_Codes!$AC$456:$AO$456=$E711)*(Work_Codes!$AC$459:$AO$462)*(P$616:P$619))</f>
        <v>0</v>
      </c>
      <c r="Q711" s="81">
        <f ca="1">SUMPRODUCT((Work_Codes!$AC$456:$AO$456=$E711)*(Work_Codes!$AC$459:$AO$462)*(Q$616:Q$619))</f>
        <v>0</v>
      </c>
      <c r="R711" s="81">
        <f ca="1">SUMPRODUCT((Work_Codes!$AC$456:$AO$456=$E711)*(Work_Codes!$AC$459:$AO$462)*(R$616:R$619))</f>
        <v>0</v>
      </c>
      <c r="S711" s="81">
        <f ca="1">SUMPRODUCT((Work_Codes!$AC$456:$AO$456=$E711)*(Work_Codes!$AC$459:$AO$462)*(S$616:S$619))</f>
        <v>0</v>
      </c>
      <c r="T711" s="81">
        <f ca="1">SUMPRODUCT((Work_Codes!$AC$456:$AO$456=$E711)*(Work_Codes!$AC$459:$AO$462)*(T$616:T$619))</f>
        <v>0</v>
      </c>
    </row>
    <row r="712" spans="2:20" ht="12" customHeight="1" outlineLevel="2">
      <c r="E712" s="247" t="str">
        <f>GC!C61</f>
        <v>Residential new customer connections</v>
      </c>
      <c r="F712" s="247"/>
      <c r="G712" s="247"/>
      <c r="H712" s="247"/>
      <c r="I712" s="247"/>
      <c r="J712" s="81">
        <f ca="1">SUMPRODUCT((Work_Codes!$AC$456:$AO$456=$E712)*(Work_Codes!$AC$459:$AO$462)*(J$616:J$619))</f>
        <v>0</v>
      </c>
      <c r="K712" s="81">
        <f ca="1">SUMPRODUCT((Work_Codes!$AC$456:$AO$456=$E712)*(Work_Codes!$AC$459:$AO$462)*(K$616:K$619))</f>
        <v>0</v>
      </c>
      <c r="L712" s="81">
        <f ca="1">SUMPRODUCT((Work_Codes!$AC$456:$AO$456=$E712)*(Work_Codes!$AC$459:$AO$462)*(L$616:L$619))</f>
        <v>0</v>
      </c>
      <c r="M712" s="81">
        <f ca="1">SUMPRODUCT((Work_Codes!$AC$456:$AO$456=$E712)*(Work_Codes!$AC$459:$AO$462)*(M$616:M$619))</f>
        <v>0</v>
      </c>
      <c r="N712" s="81">
        <f ca="1">SUMPRODUCT((Work_Codes!$AC$456:$AO$456=$E712)*(Work_Codes!$AC$459:$AO$462)*(N$616:N$619))</f>
        <v>0</v>
      </c>
      <c r="O712" s="81">
        <f ca="1">SUMPRODUCT((Work_Codes!$AC$456:$AO$456=$E712)*(Work_Codes!$AC$459:$AO$462)*(O$616:O$619))</f>
        <v>0</v>
      </c>
      <c r="P712" s="81">
        <f ca="1">SUMPRODUCT((Work_Codes!$AC$456:$AO$456=$E712)*(Work_Codes!$AC$459:$AO$462)*(P$616:P$619))</f>
        <v>0</v>
      </c>
      <c r="Q712" s="81">
        <f ca="1">SUMPRODUCT((Work_Codes!$AC$456:$AO$456=$E712)*(Work_Codes!$AC$459:$AO$462)*(Q$616:Q$619))</f>
        <v>0</v>
      </c>
      <c r="R712" s="81">
        <f ca="1">SUMPRODUCT((Work_Codes!$AC$456:$AO$456=$E712)*(Work_Codes!$AC$459:$AO$462)*(R$616:R$619))</f>
        <v>0</v>
      </c>
      <c r="S712" s="81">
        <f ca="1">SUMPRODUCT((Work_Codes!$AC$456:$AO$456=$E712)*(Work_Codes!$AC$459:$AO$462)*(S$616:S$619))</f>
        <v>0</v>
      </c>
      <c r="T712" s="81">
        <f ca="1">SUMPRODUCT((Work_Codes!$AC$456:$AO$456=$E712)*(Work_Codes!$AC$459:$AO$462)*(T$616:T$619))</f>
        <v>0</v>
      </c>
    </row>
    <row r="713" spans="2:20" ht="12" customHeight="1" outlineLevel="2">
      <c r="E713" s="247" t="str">
        <f>GC!C62</f>
        <v>Commercial and industrial new customer connections</v>
      </c>
      <c r="F713" s="247"/>
      <c r="G713" s="247"/>
      <c r="H713" s="247"/>
      <c r="I713" s="247"/>
      <c r="J713" s="81">
        <f ca="1">SUMPRODUCT((Work_Codes!$AC$456:$AO$456=$E713)*(Work_Codes!$AC$459:$AO$462)*(J$616:J$619))</f>
        <v>0</v>
      </c>
      <c r="K713" s="81">
        <f ca="1">SUMPRODUCT((Work_Codes!$AC$456:$AO$456=$E713)*(Work_Codes!$AC$459:$AO$462)*(K$616:K$619))</f>
        <v>0</v>
      </c>
      <c r="L713" s="81">
        <f ca="1">SUMPRODUCT((Work_Codes!$AC$456:$AO$456=$E713)*(Work_Codes!$AC$459:$AO$462)*(L$616:L$619))</f>
        <v>0</v>
      </c>
      <c r="M713" s="81">
        <f ca="1">SUMPRODUCT((Work_Codes!$AC$456:$AO$456=$E713)*(Work_Codes!$AC$459:$AO$462)*(M$616:M$619))</f>
        <v>0</v>
      </c>
      <c r="N713" s="81">
        <f ca="1">SUMPRODUCT((Work_Codes!$AC$456:$AO$456=$E713)*(Work_Codes!$AC$459:$AO$462)*(N$616:N$619))</f>
        <v>0</v>
      </c>
      <c r="O713" s="81">
        <f ca="1">SUMPRODUCT((Work_Codes!$AC$456:$AO$456=$E713)*(Work_Codes!$AC$459:$AO$462)*(O$616:O$619))</f>
        <v>0</v>
      </c>
      <c r="P713" s="81">
        <f ca="1">SUMPRODUCT((Work_Codes!$AC$456:$AO$456=$E713)*(Work_Codes!$AC$459:$AO$462)*(P$616:P$619))</f>
        <v>0</v>
      </c>
      <c r="Q713" s="81">
        <f ca="1">SUMPRODUCT((Work_Codes!$AC$456:$AO$456=$E713)*(Work_Codes!$AC$459:$AO$462)*(Q$616:Q$619))</f>
        <v>0</v>
      </c>
      <c r="R713" s="81">
        <f ca="1">SUMPRODUCT((Work_Codes!$AC$456:$AO$456=$E713)*(Work_Codes!$AC$459:$AO$462)*(R$616:R$619))</f>
        <v>0</v>
      </c>
      <c r="S713" s="81">
        <f ca="1">SUMPRODUCT((Work_Codes!$AC$456:$AO$456=$E713)*(Work_Codes!$AC$459:$AO$462)*(S$616:S$619))</f>
        <v>0</v>
      </c>
      <c r="T713" s="81">
        <f ca="1">SUMPRODUCT((Work_Codes!$AC$456:$AO$456=$E713)*(Work_Codes!$AC$459:$AO$462)*(T$616:T$619))</f>
        <v>0</v>
      </c>
    </row>
    <row r="714" spans="2:20" ht="12" customHeight="1" outlineLevel="2">
      <c r="E714" s="247" t="str">
        <f>GC!C63</f>
        <v>Residential meter replacement</v>
      </c>
      <c r="F714" s="247"/>
      <c r="G714" s="247"/>
      <c r="H714" s="247"/>
      <c r="I714" s="247"/>
      <c r="J714" s="81">
        <f ca="1">SUMPRODUCT((Work_Codes!$AC$456:$AO$456=$E714)*(Work_Codes!$AC$459:$AO$462)*(J$616:J$619))</f>
        <v>0</v>
      </c>
      <c r="K714" s="81">
        <f ca="1">SUMPRODUCT((Work_Codes!$AC$456:$AO$456=$E714)*(Work_Codes!$AC$459:$AO$462)*(K$616:K$619))</f>
        <v>0</v>
      </c>
      <c r="L714" s="81">
        <f ca="1">SUMPRODUCT((Work_Codes!$AC$456:$AO$456=$E714)*(Work_Codes!$AC$459:$AO$462)*(L$616:L$619))</f>
        <v>0</v>
      </c>
      <c r="M714" s="81">
        <f ca="1">SUMPRODUCT((Work_Codes!$AC$456:$AO$456=$E714)*(Work_Codes!$AC$459:$AO$462)*(M$616:M$619))</f>
        <v>0</v>
      </c>
      <c r="N714" s="81">
        <f ca="1">SUMPRODUCT((Work_Codes!$AC$456:$AO$456=$E714)*(Work_Codes!$AC$459:$AO$462)*(N$616:N$619))</f>
        <v>0</v>
      </c>
      <c r="O714" s="81">
        <f ca="1">SUMPRODUCT((Work_Codes!$AC$456:$AO$456=$E714)*(Work_Codes!$AC$459:$AO$462)*(O$616:O$619))</f>
        <v>0</v>
      </c>
      <c r="P714" s="81">
        <f ca="1">SUMPRODUCT((Work_Codes!$AC$456:$AO$456=$E714)*(Work_Codes!$AC$459:$AO$462)*(P$616:P$619))</f>
        <v>0</v>
      </c>
      <c r="Q714" s="81">
        <f ca="1">SUMPRODUCT((Work_Codes!$AC$456:$AO$456=$E714)*(Work_Codes!$AC$459:$AO$462)*(Q$616:Q$619))</f>
        <v>0</v>
      </c>
      <c r="R714" s="81">
        <f ca="1">SUMPRODUCT((Work_Codes!$AC$456:$AO$456=$E714)*(Work_Codes!$AC$459:$AO$462)*(R$616:R$619))</f>
        <v>0</v>
      </c>
      <c r="S714" s="81">
        <f ca="1">SUMPRODUCT((Work_Codes!$AC$456:$AO$456=$E714)*(Work_Codes!$AC$459:$AO$462)*(S$616:S$619))</f>
        <v>0</v>
      </c>
      <c r="T714" s="81">
        <f ca="1">SUMPRODUCT((Work_Codes!$AC$456:$AO$456=$E714)*(Work_Codes!$AC$459:$AO$462)*(T$616:T$619))</f>
        <v>0</v>
      </c>
    </row>
    <row r="715" spans="2:20" ht="12" customHeight="1" outlineLevel="2">
      <c r="E715" s="247" t="str">
        <f>GC!C64</f>
        <v>Commercial and industrial meter replacement</v>
      </c>
      <c r="F715" s="247"/>
      <c r="G715" s="247"/>
      <c r="H715" s="247"/>
      <c r="I715" s="247"/>
      <c r="J715" s="81">
        <f ca="1">SUMPRODUCT((Work_Codes!$AC$456:$AO$456=$E715)*(Work_Codes!$AC$459:$AO$462)*(J$616:J$619))</f>
        <v>0</v>
      </c>
      <c r="K715" s="81">
        <f ca="1">SUMPRODUCT((Work_Codes!$AC$456:$AO$456=$E715)*(Work_Codes!$AC$459:$AO$462)*(K$616:K$619))</f>
        <v>0</v>
      </c>
      <c r="L715" s="81">
        <f ca="1">SUMPRODUCT((Work_Codes!$AC$456:$AO$456=$E715)*(Work_Codes!$AC$459:$AO$462)*(L$616:L$619))</f>
        <v>0</v>
      </c>
      <c r="M715" s="81">
        <f ca="1">SUMPRODUCT((Work_Codes!$AC$456:$AO$456=$E715)*(Work_Codes!$AC$459:$AO$462)*(M$616:M$619))</f>
        <v>0</v>
      </c>
      <c r="N715" s="81">
        <f ca="1">SUMPRODUCT((Work_Codes!$AC$456:$AO$456=$E715)*(Work_Codes!$AC$459:$AO$462)*(N$616:N$619))</f>
        <v>0</v>
      </c>
      <c r="O715" s="81">
        <f ca="1">SUMPRODUCT((Work_Codes!$AC$456:$AO$456=$E715)*(Work_Codes!$AC$459:$AO$462)*(O$616:O$619))</f>
        <v>0</v>
      </c>
      <c r="P715" s="81">
        <f ca="1">SUMPRODUCT((Work_Codes!$AC$456:$AO$456=$E715)*(Work_Codes!$AC$459:$AO$462)*(P$616:P$619))</f>
        <v>0</v>
      </c>
      <c r="Q715" s="81">
        <f ca="1">SUMPRODUCT((Work_Codes!$AC$456:$AO$456=$E715)*(Work_Codes!$AC$459:$AO$462)*(Q$616:Q$619))</f>
        <v>0</v>
      </c>
      <c r="R715" s="81">
        <f ca="1">SUMPRODUCT((Work_Codes!$AC$456:$AO$456=$E715)*(Work_Codes!$AC$459:$AO$462)*(R$616:R$619))</f>
        <v>0</v>
      </c>
      <c r="S715" s="81">
        <f ca="1">SUMPRODUCT((Work_Codes!$AC$456:$AO$456=$E715)*(Work_Codes!$AC$459:$AO$462)*(S$616:S$619))</f>
        <v>0</v>
      </c>
      <c r="T715" s="81">
        <f ca="1">SUMPRODUCT((Work_Codes!$AC$456:$AO$456=$E715)*(Work_Codes!$AC$459:$AO$462)*(T$616:T$619))</f>
        <v>0</v>
      </c>
    </row>
    <row r="716" spans="2:20" ht="12" customHeight="1" outlineLevel="2">
      <c r="E716" s="247" t="str">
        <f>GC!C65</f>
        <v>Augmentation</v>
      </c>
      <c r="F716" s="247"/>
      <c r="G716" s="247"/>
      <c r="H716" s="247"/>
      <c r="I716" s="247"/>
      <c r="J716" s="81">
        <f ca="1">SUMPRODUCT((Work_Codes!$AC$456:$AO$456=$E716)*(Work_Codes!$AC$459:$AO$462)*(J$616:J$619))</f>
        <v>0</v>
      </c>
      <c r="K716" s="81">
        <f ca="1">SUMPRODUCT((Work_Codes!$AC$456:$AO$456=$E716)*(Work_Codes!$AC$459:$AO$462)*(K$616:K$619))</f>
        <v>0</v>
      </c>
      <c r="L716" s="81">
        <f ca="1">SUMPRODUCT((Work_Codes!$AC$456:$AO$456=$E716)*(Work_Codes!$AC$459:$AO$462)*(L$616:L$619))</f>
        <v>0</v>
      </c>
      <c r="M716" s="81">
        <f ca="1">SUMPRODUCT((Work_Codes!$AC$456:$AO$456=$E716)*(Work_Codes!$AC$459:$AO$462)*(M$616:M$619))</f>
        <v>0</v>
      </c>
      <c r="N716" s="81">
        <f ca="1">SUMPRODUCT((Work_Codes!$AC$456:$AO$456=$E716)*(Work_Codes!$AC$459:$AO$462)*(N$616:N$619))</f>
        <v>0</v>
      </c>
      <c r="O716" s="81">
        <f ca="1">SUMPRODUCT((Work_Codes!$AC$456:$AO$456=$E716)*(Work_Codes!$AC$459:$AO$462)*(O$616:O$619))</f>
        <v>0</v>
      </c>
      <c r="P716" s="81">
        <f ca="1">SUMPRODUCT((Work_Codes!$AC$456:$AO$456=$E716)*(Work_Codes!$AC$459:$AO$462)*(P$616:P$619))</f>
        <v>0</v>
      </c>
      <c r="Q716" s="81">
        <f ca="1">SUMPRODUCT((Work_Codes!$AC$456:$AO$456=$E716)*(Work_Codes!$AC$459:$AO$462)*(Q$616:Q$619))</f>
        <v>0</v>
      </c>
      <c r="R716" s="81">
        <f ca="1">SUMPRODUCT((Work_Codes!$AC$456:$AO$456=$E716)*(Work_Codes!$AC$459:$AO$462)*(R$616:R$619))</f>
        <v>0</v>
      </c>
      <c r="S716" s="81">
        <f ca="1">SUMPRODUCT((Work_Codes!$AC$456:$AO$456=$E716)*(Work_Codes!$AC$459:$AO$462)*(S$616:S$619))</f>
        <v>0</v>
      </c>
      <c r="T716" s="81">
        <f ca="1">SUMPRODUCT((Work_Codes!$AC$456:$AO$456=$E716)*(Work_Codes!$AC$459:$AO$462)*(T$616:T$619))</f>
        <v>0</v>
      </c>
    </row>
    <row r="717" spans="2:20" ht="12" customHeight="1" outlineLevel="2">
      <c r="E717" s="247" t="str">
        <f>GC!C66</f>
        <v>IT capex</v>
      </c>
      <c r="F717" s="247"/>
      <c r="G717" s="247"/>
      <c r="H717" s="247"/>
      <c r="I717" s="247"/>
      <c r="J717" s="81">
        <f ca="1">SUMPRODUCT((Work_Codes!$AC$456:$AO$456=$E717)*(Work_Codes!$AC$459:$AO$462)*(J$616:J$619))</f>
        <v>0</v>
      </c>
      <c r="K717" s="81">
        <f ca="1">SUMPRODUCT((Work_Codes!$AC$456:$AO$456=$E717)*(Work_Codes!$AC$459:$AO$462)*(K$616:K$619))</f>
        <v>0</v>
      </c>
      <c r="L717" s="81">
        <f ca="1">SUMPRODUCT((Work_Codes!$AC$456:$AO$456=$E717)*(Work_Codes!$AC$459:$AO$462)*(L$616:L$619))</f>
        <v>0</v>
      </c>
      <c r="M717" s="81">
        <f ca="1">SUMPRODUCT((Work_Codes!$AC$456:$AO$456=$E717)*(Work_Codes!$AC$459:$AO$462)*(M$616:M$619))</f>
        <v>0</v>
      </c>
      <c r="N717" s="81">
        <f ca="1">SUMPRODUCT((Work_Codes!$AC$456:$AO$456=$E717)*(Work_Codes!$AC$459:$AO$462)*(N$616:N$619))</f>
        <v>0</v>
      </c>
      <c r="O717" s="81">
        <f ca="1">SUMPRODUCT((Work_Codes!$AC$456:$AO$456=$E717)*(Work_Codes!$AC$459:$AO$462)*(O$616:O$619))</f>
        <v>0</v>
      </c>
      <c r="P717" s="81">
        <f ca="1">SUMPRODUCT((Work_Codes!$AC$456:$AO$456=$E717)*(Work_Codes!$AC$459:$AO$462)*(P$616:P$619))</f>
        <v>0</v>
      </c>
      <c r="Q717" s="81">
        <f ca="1">SUMPRODUCT((Work_Codes!$AC$456:$AO$456=$E717)*(Work_Codes!$AC$459:$AO$462)*(Q$616:Q$619))</f>
        <v>0</v>
      </c>
      <c r="R717" s="81">
        <f ca="1">SUMPRODUCT((Work_Codes!$AC$456:$AO$456=$E717)*(Work_Codes!$AC$459:$AO$462)*(R$616:R$619))</f>
        <v>0</v>
      </c>
      <c r="S717" s="81">
        <f ca="1">SUMPRODUCT((Work_Codes!$AC$456:$AO$456=$E717)*(Work_Codes!$AC$459:$AO$462)*(S$616:S$619))</f>
        <v>0</v>
      </c>
      <c r="T717" s="81">
        <f ca="1">SUMPRODUCT((Work_Codes!$AC$456:$AO$456=$E717)*(Work_Codes!$AC$459:$AO$462)*(T$616:T$619))</f>
        <v>0</v>
      </c>
    </row>
    <row r="718" spans="2:20" ht="12" customHeight="1" outlineLevel="2">
      <c r="E718" s="247" t="str">
        <f>GC!C67</f>
        <v>SCADA</v>
      </c>
      <c r="F718" s="247"/>
      <c r="G718" s="247"/>
      <c r="H718" s="247"/>
      <c r="I718" s="247"/>
      <c r="J718" s="81">
        <f ca="1">SUMPRODUCT((Work_Codes!$AC$456:$AO$456=$E718)*(Work_Codes!$AC$459:$AO$462)*(J$616:J$619))</f>
        <v>0</v>
      </c>
      <c r="K718" s="81">
        <f ca="1">SUMPRODUCT((Work_Codes!$AC$456:$AO$456=$E718)*(Work_Codes!$AC$459:$AO$462)*(K$616:K$619))</f>
        <v>0</v>
      </c>
      <c r="L718" s="81">
        <f ca="1">SUMPRODUCT((Work_Codes!$AC$456:$AO$456=$E718)*(Work_Codes!$AC$459:$AO$462)*(L$616:L$619))</f>
        <v>0</v>
      </c>
      <c r="M718" s="81">
        <f ca="1">SUMPRODUCT((Work_Codes!$AC$456:$AO$456=$E718)*(Work_Codes!$AC$459:$AO$462)*(M$616:M$619))</f>
        <v>0</v>
      </c>
      <c r="N718" s="81">
        <f ca="1">SUMPRODUCT((Work_Codes!$AC$456:$AO$456=$E718)*(Work_Codes!$AC$459:$AO$462)*(N$616:N$619))</f>
        <v>0</v>
      </c>
      <c r="O718" s="81">
        <f ca="1">SUMPRODUCT((Work_Codes!$AC$456:$AO$456=$E718)*(Work_Codes!$AC$459:$AO$462)*(O$616:O$619))</f>
        <v>0</v>
      </c>
      <c r="P718" s="81">
        <f ca="1">SUMPRODUCT((Work_Codes!$AC$456:$AO$456=$E718)*(Work_Codes!$AC$459:$AO$462)*(P$616:P$619))</f>
        <v>0</v>
      </c>
      <c r="Q718" s="81">
        <f ca="1">SUMPRODUCT((Work_Codes!$AC$456:$AO$456=$E718)*(Work_Codes!$AC$459:$AO$462)*(Q$616:Q$619))</f>
        <v>0</v>
      </c>
      <c r="R718" s="81">
        <f ca="1">SUMPRODUCT((Work_Codes!$AC$456:$AO$456=$E718)*(Work_Codes!$AC$459:$AO$462)*(R$616:R$619))</f>
        <v>0</v>
      </c>
      <c r="S718" s="81">
        <f ca="1">SUMPRODUCT((Work_Codes!$AC$456:$AO$456=$E718)*(Work_Codes!$AC$459:$AO$462)*(S$616:S$619))</f>
        <v>0</v>
      </c>
      <c r="T718" s="81">
        <f ca="1">SUMPRODUCT((Work_Codes!$AC$456:$AO$456=$E718)*(Work_Codes!$AC$459:$AO$462)*(T$616:T$619))</f>
        <v>0</v>
      </c>
    </row>
    <row r="719" spans="2:20" ht="12" customHeight="1" outlineLevel="2">
      <c r="E719" s="247" t="str">
        <f>GC!C68</f>
        <v>Other</v>
      </c>
      <c r="F719" s="247"/>
      <c r="G719" s="247"/>
      <c r="H719" s="247"/>
      <c r="I719" s="247"/>
      <c r="J719" s="81">
        <f ca="1">SUMPRODUCT((Work_Codes!$AC$456:$AO$456=$E719)*(Work_Codes!$AC$459:$AO$462)*(J$616:J$619))</f>
        <v>0</v>
      </c>
      <c r="K719" s="81">
        <f ca="1">SUMPRODUCT((Work_Codes!$AC$456:$AO$456=$E719)*(Work_Codes!$AC$459:$AO$462)*(K$616:K$619))</f>
        <v>0</v>
      </c>
      <c r="L719" s="81">
        <f ca="1">SUMPRODUCT((Work_Codes!$AC$456:$AO$456=$E719)*(Work_Codes!$AC$459:$AO$462)*(L$616:L$619))</f>
        <v>0</v>
      </c>
      <c r="M719" s="81">
        <f ca="1">SUMPRODUCT((Work_Codes!$AC$456:$AO$456=$E719)*(Work_Codes!$AC$459:$AO$462)*(M$616:M$619))</f>
        <v>0</v>
      </c>
      <c r="N719" s="81">
        <f ca="1">SUMPRODUCT((Work_Codes!$AC$456:$AO$456=$E719)*(Work_Codes!$AC$459:$AO$462)*(N$616:N$619))</f>
        <v>0</v>
      </c>
      <c r="O719" s="81">
        <f ca="1">SUMPRODUCT((Work_Codes!$AC$456:$AO$456=$E719)*(Work_Codes!$AC$459:$AO$462)*(O$616:O$619))</f>
        <v>0</v>
      </c>
      <c r="P719" s="81">
        <f ca="1">SUMPRODUCT((Work_Codes!$AC$456:$AO$456=$E719)*(Work_Codes!$AC$459:$AO$462)*(P$616:P$619))</f>
        <v>555170.33239944058</v>
      </c>
      <c r="Q719" s="81">
        <f ca="1">SUMPRODUCT((Work_Codes!$AC$456:$AO$456=$E719)*(Work_Codes!$AC$459:$AO$462)*(Q$616:Q$619))</f>
        <v>555301.48633428232</v>
      </c>
      <c r="R719" s="81">
        <f ca="1">SUMPRODUCT((Work_Codes!$AC$456:$AO$456=$E719)*(Work_Codes!$AC$459:$AO$462)*(R$616:R$619))</f>
        <v>555488.09589311818</v>
      </c>
      <c r="S719" s="81">
        <f ca="1">SUMPRODUCT((Work_Codes!$AC$456:$AO$456=$E719)*(Work_Codes!$AC$459:$AO$462)*(S$616:S$619))</f>
        <v>555676.75973361172</v>
      </c>
      <c r="T719" s="81">
        <f ca="1">SUMPRODUCT((Work_Codes!$AC$456:$AO$456=$E719)*(Work_Codes!$AC$459:$AO$462)*(T$616:T$619))</f>
        <v>495773.71663559834</v>
      </c>
    </row>
    <row r="720" spans="2:20" outlineLevel="2">
      <c r="E720" s="247" t="str">
        <f>GC!C69</f>
        <v>Capitalised Leases</v>
      </c>
      <c r="F720" s="247"/>
      <c r="G720" s="247"/>
      <c r="H720" s="247"/>
      <c r="I720" s="247"/>
      <c r="J720" s="81">
        <f ca="1">SUMPRODUCT((Work_Codes!$AC$456:$AO$456=$E720)*(Work_Codes!$AC$459:$AO$462)*(J$616:J$619))</f>
        <v>0</v>
      </c>
      <c r="K720" s="81">
        <f ca="1">SUMPRODUCT((Work_Codes!$AC$456:$AO$456=$E720)*(Work_Codes!$AC$459:$AO$462)*(K$616:K$619))</f>
        <v>0</v>
      </c>
      <c r="L720" s="81">
        <f ca="1">SUMPRODUCT((Work_Codes!$AC$456:$AO$456=$E720)*(Work_Codes!$AC$459:$AO$462)*(L$616:L$619))</f>
        <v>0</v>
      </c>
      <c r="M720" s="81">
        <f ca="1">SUMPRODUCT((Work_Codes!$AC$456:$AO$456=$E720)*(Work_Codes!$AC$459:$AO$462)*(M$616:M$619))</f>
        <v>0</v>
      </c>
      <c r="N720" s="81">
        <f ca="1">SUMPRODUCT((Work_Codes!$AC$456:$AO$456=$E720)*(Work_Codes!$AC$459:$AO$462)*(N$616:N$619))</f>
        <v>0</v>
      </c>
      <c r="O720" s="81">
        <f ca="1">SUMPRODUCT((Work_Codes!$AC$456:$AO$456=$E720)*(Work_Codes!$AC$459:$AO$462)*(O$616:O$619))</f>
        <v>0</v>
      </c>
      <c r="P720" s="81">
        <f ca="1">SUMPRODUCT((Work_Codes!$AC$456:$AO$456=$E720)*(Work_Codes!$AC$459:$AO$462)*(P$616:P$619))</f>
        <v>0</v>
      </c>
      <c r="Q720" s="81">
        <f ca="1">SUMPRODUCT((Work_Codes!$AC$456:$AO$456=$E720)*(Work_Codes!$AC$459:$AO$462)*(Q$616:Q$619))</f>
        <v>0</v>
      </c>
      <c r="R720" s="81">
        <f ca="1">SUMPRODUCT((Work_Codes!$AC$456:$AO$456=$E720)*(Work_Codes!$AC$459:$AO$462)*(R$616:R$619))</f>
        <v>0</v>
      </c>
      <c r="S720" s="81">
        <f ca="1">SUMPRODUCT((Work_Codes!$AC$456:$AO$456=$E720)*(Work_Codes!$AC$459:$AO$462)*(S$616:S$619))</f>
        <v>0</v>
      </c>
      <c r="T720" s="81">
        <f ca="1">SUMPRODUCT((Work_Codes!$AC$456:$AO$456=$E720)*(Work_Codes!$AC$459:$AO$462)*(T$616:T$619))</f>
        <v>0</v>
      </c>
    </row>
    <row r="721" spans="4:20" ht="12" customHeight="1" outlineLevel="2">
      <c r="E721" s="247" t="str">
        <f>GC!C70</f>
        <v>Gas Extensions - Energy for the Regions</v>
      </c>
      <c r="F721" s="247"/>
      <c r="G721" s="247"/>
      <c r="H721" s="247"/>
      <c r="I721" s="247"/>
      <c r="J721" s="81">
        <f ca="1">SUMPRODUCT((Work_Codes!$AC$456:$AO$456=$E721)*(Work_Codes!$AC$459:$AO$462)*(J$616:J$619))</f>
        <v>0</v>
      </c>
      <c r="K721" s="81">
        <f ca="1">SUMPRODUCT((Work_Codes!$AC$456:$AO$456=$E721)*(Work_Codes!$AC$459:$AO$462)*(K$616:K$619))</f>
        <v>0</v>
      </c>
      <c r="L721" s="81">
        <f ca="1">SUMPRODUCT((Work_Codes!$AC$456:$AO$456=$E721)*(Work_Codes!$AC$459:$AO$462)*(L$616:L$619))</f>
        <v>0</v>
      </c>
      <c r="M721" s="81">
        <f ca="1">SUMPRODUCT((Work_Codes!$AC$456:$AO$456=$E721)*(Work_Codes!$AC$459:$AO$462)*(M$616:M$619))</f>
        <v>0</v>
      </c>
      <c r="N721" s="81">
        <f ca="1">SUMPRODUCT((Work_Codes!$AC$456:$AO$456=$E721)*(Work_Codes!$AC$459:$AO$462)*(N$616:N$619))</f>
        <v>0</v>
      </c>
      <c r="O721" s="81">
        <f ca="1">SUMPRODUCT((Work_Codes!$AC$456:$AO$456=$E721)*(Work_Codes!$AC$459:$AO$462)*(O$616:O$619))</f>
        <v>0</v>
      </c>
      <c r="P721" s="81">
        <f ca="1">SUMPRODUCT((Work_Codes!$AC$456:$AO$456=$E721)*(Work_Codes!$AC$459:$AO$462)*(P$616:P$619))</f>
        <v>0</v>
      </c>
      <c r="Q721" s="81">
        <f ca="1">SUMPRODUCT((Work_Codes!$AC$456:$AO$456=$E721)*(Work_Codes!$AC$459:$AO$462)*(Q$616:Q$619))</f>
        <v>0</v>
      </c>
      <c r="R721" s="81">
        <f ca="1">SUMPRODUCT((Work_Codes!$AC$456:$AO$456=$E721)*(Work_Codes!$AC$459:$AO$462)*(R$616:R$619))</f>
        <v>0</v>
      </c>
      <c r="S721" s="81">
        <f ca="1">SUMPRODUCT((Work_Codes!$AC$456:$AO$456=$E721)*(Work_Codes!$AC$459:$AO$462)*(S$616:S$619))</f>
        <v>0</v>
      </c>
      <c r="T721" s="81">
        <f ca="1">SUMPRODUCT((Work_Codes!$AC$456:$AO$456=$E721)*(Work_Codes!$AC$459:$AO$462)*(T$616:T$619))</f>
        <v>0</v>
      </c>
    </row>
    <row r="722" spans="4:20" ht="12" customHeight="1" outlineLevel="2">
      <c r="E722" s="247" t="str">
        <f>GC!C71</f>
        <v>Gas Extensions - Other</v>
      </c>
      <c r="F722" s="247"/>
      <c r="G722" s="247"/>
      <c r="H722" s="247"/>
      <c r="I722" s="247"/>
      <c r="J722" s="81">
        <f ca="1">SUMPRODUCT((Work_Codes!$AC$456:$AO$456=$E722)*(Work_Codes!$AC$459:$AO$462)*(J$616:J$619))</f>
        <v>0</v>
      </c>
      <c r="K722" s="81">
        <f ca="1">SUMPRODUCT((Work_Codes!$AC$456:$AO$456=$E722)*(Work_Codes!$AC$459:$AO$462)*(K$616:K$619))</f>
        <v>0</v>
      </c>
      <c r="L722" s="81">
        <f ca="1">SUMPRODUCT((Work_Codes!$AC$456:$AO$456=$E722)*(Work_Codes!$AC$459:$AO$462)*(L$616:L$619))</f>
        <v>0</v>
      </c>
      <c r="M722" s="81">
        <f ca="1">SUMPRODUCT((Work_Codes!$AC$456:$AO$456=$E722)*(Work_Codes!$AC$459:$AO$462)*(M$616:M$619))</f>
        <v>0</v>
      </c>
      <c r="N722" s="81">
        <f ca="1">SUMPRODUCT((Work_Codes!$AC$456:$AO$456=$E722)*(Work_Codes!$AC$459:$AO$462)*(N$616:N$619))</f>
        <v>0</v>
      </c>
      <c r="O722" s="81">
        <f ca="1">SUMPRODUCT((Work_Codes!$AC$456:$AO$456=$E722)*(Work_Codes!$AC$459:$AO$462)*(O$616:O$619))</f>
        <v>0</v>
      </c>
      <c r="P722" s="81">
        <f ca="1">SUMPRODUCT((Work_Codes!$AC$456:$AO$456=$E722)*(Work_Codes!$AC$459:$AO$462)*(P$616:P$619))</f>
        <v>0</v>
      </c>
      <c r="Q722" s="81">
        <f ca="1">SUMPRODUCT((Work_Codes!$AC$456:$AO$456=$E722)*(Work_Codes!$AC$459:$AO$462)*(Q$616:Q$619))</f>
        <v>0</v>
      </c>
      <c r="R722" s="81">
        <f ca="1">SUMPRODUCT((Work_Codes!$AC$456:$AO$456=$E722)*(Work_Codes!$AC$459:$AO$462)*(R$616:R$619))</f>
        <v>0</v>
      </c>
      <c r="S722" s="81">
        <f ca="1">SUMPRODUCT((Work_Codes!$AC$456:$AO$456=$E722)*(Work_Codes!$AC$459:$AO$462)*(S$616:S$619))</f>
        <v>0</v>
      </c>
      <c r="T722" s="81">
        <f ca="1">SUMPRODUCT((Work_Codes!$AC$456:$AO$456=$E722)*(Work_Codes!$AC$459:$AO$462)*(T$616:T$619))</f>
        <v>0</v>
      </c>
    </row>
    <row r="723" spans="4:20" ht="12" customHeight="1" outlineLevel="2">
      <c r="E723" s="247" t="str">
        <f>GC!C72</f>
        <v>Customer contributions</v>
      </c>
      <c r="F723" s="247"/>
      <c r="G723" s="247"/>
      <c r="H723" s="247"/>
      <c r="I723" s="247"/>
      <c r="J723" s="81">
        <f ca="1">SUMPRODUCT((Work_Codes!$AC$456:$AO$456=$E723)*(Work_Codes!$AC$459:$AO$462)*(J$616:J$619))</f>
        <v>0</v>
      </c>
      <c r="K723" s="81">
        <f ca="1">SUMPRODUCT((Work_Codes!$AC$456:$AO$456=$E723)*(Work_Codes!$AC$459:$AO$462)*(K$616:K$619))</f>
        <v>0</v>
      </c>
      <c r="L723" s="81">
        <f ca="1">SUMPRODUCT((Work_Codes!$AC$456:$AO$456=$E723)*(Work_Codes!$AC$459:$AO$462)*(L$616:L$619))</f>
        <v>0</v>
      </c>
      <c r="M723" s="81">
        <f ca="1">SUMPRODUCT((Work_Codes!$AC$456:$AO$456=$E723)*(Work_Codes!$AC$459:$AO$462)*(M$616:M$619))</f>
        <v>0</v>
      </c>
      <c r="N723" s="81">
        <f ca="1">SUMPRODUCT((Work_Codes!$AC$456:$AO$456=$E723)*(Work_Codes!$AC$459:$AO$462)*(N$616:N$619))</f>
        <v>0</v>
      </c>
      <c r="O723" s="81">
        <f ca="1">SUMPRODUCT((Work_Codes!$AC$456:$AO$456=$E723)*(Work_Codes!$AC$459:$AO$462)*(O$616:O$619))</f>
        <v>0</v>
      </c>
      <c r="P723" s="81">
        <f ca="1">SUMPRODUCT((Work_Codes!$AC$456:$AO$456=$E723)*(Work_Codes!$AC$459:$AO$462)*(P$616:P$619))</f>
        <v>0</v>
      </c>
      <c r="Q723" s="81">
        <f ca="1">SUMPRODUCT((Work_Codes!$AC$456:$AO$456=$E723)*(Work_Codes!$AC$459:$AO$462)*(Q$616:Q$619))</f>
        <v>0</v>
      </c>
      <c r="R723" s="81">
        <f ca="1">SUMPRODUCT((Work_Codes!$AC$456:$AO$456=$E723)*(Work_Codes!$AC$459:$AO$462)*(R$616:R$619))</f>
        <v>0</v>
      </c>
      <c r="S723" s="81">
        <f ca="1">SUMPRODUCT((Work_Codes!$AC$456:$AO$456=$E723)*(Work_Codes!$AC$459:$AO$462)*(S$616:S$619))</f>
        <v>0</v>
      </c>
      <c r="T723" s="81">
        <f ca="1">SUMPRODUCT((Work_Codes!$AC$456:$AO$456=$E723)*(Work_Codes!$AC$459:$AO$462)*(T$616:T$619))</f>
        <v>0</v>
      </c>
    </row>
    <row r="724" spans="4:20" ht="12" customHeight="1" outlineLevel="2">
      <c r="E724" s="247" t="str">
        <f>GC!C73</f>
        <v>Government contributions</v>
      </c>
      <c r="F724" s="247"/>
      <c r="G724" s="247"/>
      <c r="H724" s="247"/>
      <c r="I724" s="247"/>
      <c r="J724" s="81">
        <f ca="1">SUMPRODUCT((Work_Codes!$AC$456:$AO$456=$E724)*(Work_Codes!$AC$459:$AO$462)*(J$616:J$619))</f>
        <v>0</v>
      </c>
      <c r="K724" s="81">
        <f ca="1">SUMPRODUCT((Work_Codes!$AC$456:$AO$456=$E724)*(Work_Codes!$AC$459:$AO$462)*(K$616:K$619))</f>
        <v>0</v>
      </c>
      <c r="L724" s="81">
        <f ca="1">SUMPRODUCT((Work_Codes!$AC$456:$AO$456=$E724)*(Work_Codes!$AC$459:$AO$462)*(L$616:L$619))</f>
        <v>0</v>
      </c>
      <c r="M724" s="81">
        <f ca="1">SUMPRODUCT((Work_Codes!$AC$456:$AO$456=$E724)*(Work_Codes!$AC$459:$AO$462)*(M$616:M$619))</f>
        <v>0</v>
      </c>
      <c r="N724" s="81">
        <f ca="1">SUMPRODUCT((Work_Codes!$AC$456:$AO$456=$E724)*(Work_Codes!$AC$459:$AO$462)*(N$616:N$619))</f>
        <v>0</v>
      </c>
      <c r="O724" s="81">
        <f ca="1">SUMPRODUCT((Work_Codes!$AC$456:$AO$456=$E724)*(Work_Codes!$AC$459:$AO$462)*(O$616:O$619))</f>
        <v>0</v>
      </c>
      <c r="P724" s="81">
        <f ca="1">SUMPRODUCT((Work_Codes!$AC$456:$AO$456=$E724)*(Work_Codes!$AC$459:$AO$462)*(P$616:P$619))</f>
        <v>0</v>
      </c>
      <c r="Q724" s="81">
        <f ca="1">SUMPRODUCT((Work_Codes!$AC$456:$AO$456=$E724)*(Work_Codes!$AC$459:$AO$462)*(Q$616:Q$619))</f>
        <v>0</v>
      </c>
      <c r="R724" s="81">
        <f ca="1">SUMPRODUCT((Work_Codes!$AC$456:$AO$456=$E724)*(Work_Codes!$AC$459:$AO$462)*(R$616:R$619))</f>
        <v>0</v>
      </c>
      <c r="S724" s="81">
        <f ca="1">SUMPRODUCT((Work_Codes!$AC$456:$AO$456=$E724)*(Work_Codes!$AC$459:$AO$462)*(S$616:S$619))</f>
        <v>0</v>
      </c>
      <c r="T724" s="81">
        <f ca="1">SUMPRODUCT((Work_Codes!$AC$456:$AO$456=$E724)*(Work_Codes!$AC$459:$AO$462)*(T$616:T$619))</f>
        <v>0</v>
      </c>
    </row>
    <row r="725" spans="4:20" ht="12" customHeight="1" outlineLevel="2">
      <c r="E725" s="249" t="str">
        <f>"Total "&amp;D709</f>
        <v>Total Direct Costs</v>
      </c>
      <c r="F725" s="249"/>
      <c r="G725" s="249"/>
      <c r="H725" s="249"/>
      <c r="I725" s="249"/>
      <c r="J725" s="82">
        <f t="shared" ref="J725:T725" ca="1" si="74">SUM(J711:J724)</f>
        <v>0</v>
      </c>
      <c r="K725" s="82">
        <f t="shared" ca="1" si="74"/>
        <v>0</v>
      </c>
      <c r="L725" s="82">
        <f t="shared" ca="1" si="74"/>
        <v>0</v>
      </c>
      <c r="M725" s="82">
        <f t="shared" ca="1" si="74"/>
        <v>0</v>
      </c>
      <c r="N725" s="82">
        <f t="shared" ca="1" si="74"/>
        <v>0</v>
      </c>
      <c r="O725" s="82">
        <f t="shared" ca="1" si="74"/>
        <v>0</v>
      </c>
      <c r="P725" s="82">
        <f t="shared" ca="1" si="74"/>
        <v>555170.33239944058</v>
      </c>
      <c r="Q725" s="82">
        <f t="shared" ca="1" si="74"/>
        <v>555301.48633428232</v>
      </c>
      <c r="R725" s="82">
        <f t="shared" ca="1" si="74"/>
        <v>555488.09589311818</v>
      </c>
      <c r="S725" s="82">
        <f t="shared" ca="1" si="74"/>
        <v>555676.75973361172</v>
      </c>
      <c r="T725" s="82">
        <f t="shared" ca="1" si="74"/>
        <v>495773.71663559834</v>
      </c>
    </row>
    <row r="726" spans="4:20" outlineLevel="2"/>
    <row r="727" spans="4:20" outlineLevel="2">
      <c r="D727" s="37" t="s">
        <v>216</v>
      </c>
    </row>
    <row r="728" spans="4:20" ht="5.9" customHeight="1" outlineLevel="2"/>
    <row r="729" spans="4:20" ht="12" customHeight="1" outlineLevel="2">
      <c r="E729" s="247" t="str">
        <f>GC!C60</f>
        <v>Mains replacement</v>
      </c>
      <c r="F729" s="247"/>
      <c r="G729" s="247"/>
      <c r="H729" s="247"/>
      <c r="I729" s="247"/>
      <c r="J729" s="81">
        <f ca="1">J711*(1+INDEX(J$544:J$546,MATCH(Work_Codes!$I$453,$D$544:$D$546,0)))</f>
        <v>0</v>
      </c>
      <c r="K729" s="81">
        <f ca="1">K711*(1+INDEX(K$544:K$546,MATCH(Work_Codes!$I$453,$D$544:$D$546,0)))</f>
        <v>0</v>
      </c>
      <c r="L729" s="81">
        <f ca="1">L711*(1+INDEX(L$544:L$546,MATCH(Work_Codes!$I$453,$D$544:$D$546,0)))</f>
        <v>0</v>
      </c>
      <c r="M729" s="81">
        <f ca="1">M711*(1+INDEX(M$544:M$546,MATCH(Work_Codes!$I$453,$D$544:$D$546,0)))</f>
        <v>0</v>
      </c>
      <c r="N729" s="81">
        <f ca="1">N711*(1+INDEX(N$544:N$546,MATCH(Work_Codes!$I$453,$D$544:$D$546,0)))</f>
        <v>0</v>
      </c>
      <c r="O729" s="81">
        <f ca="1">O711*(1+INDEX(O$544:O$546,MATCH(Work_Codes!$I$453,$D$544:$D$546,0)))</f>
        <v>0</v>
      </c>
      <c r="P729" s="81">
        <f ca="1">P711*(1+INDEX(P$544:P$546,MATCH(Work_Codes!$I$453,$D$544:$D$546,0)))</f>
        <v>0</v>
      </c>
      <c r="Q729" s="81">
        <f ca="1">Q711*(1+INDEX(Q$544:Q$546,MATCH(Work_Codes!$I$453,$D$544:$D$546,0)))</f>
        <v>0</v>
      </c>
      <c r="R729" s="81">
        <f ca="1">R711*(1+INDEX(R$544:R$546,MATCH(Work_Codes!$I$453,$D$544:$D$546,0)))</f>
        <v>0</v>
      </c>
      <c r="S729" s="81">
        <f ca="1">S711*(1+INDEX(S$544:S$546,MATCH(Work_Codes!$I$453,$D$544:$D$546,0)))</f>
        <v>0</v>
      </c>
      <c r="T729" s="81">
        <f ca="1">T711*(1+INDEX(T$544:T$546,MATCH(Work_Codes!$I$453,$D$544:$D$546,0)))</f>
        <v>0</v>
      </c>
    </row>
    <row r="730" spans="4:20" ht="12" customHeight="1" outlineLevel="2">
      <c r="E730" s="247" t="str">
        <f>GC!C61</f>
        <v>Residential new customer connections</v>
      </c>
      <c r="F730" s="247"/>
      <c r="G730" s="247"/>
      <c r="H730" s="247"/>
      <c r="I730" s="247"/>
      <c r="J730" s="81">
        <f ca="1">J712*(1+INDEX(J$544:J$546,MATCH(Work_Codes!$I$453,$D$544:$D$546,0)))</f>
        <v>0</v>
      </c>
      <c r="K730" s="81">
        <f ca="1">K712*(1+INDEX(K$544:K$546,MATCH(Work_Codes!$I$453,$D$544:$D$546,0)))</f>
        <v>0</v>
      </c>
      <c r="L730" s="81">
        <f ca="1">L712*(1+INDEX(L$544:L$546,MATCH(Work_Codes!$I$453,$D$544:$D$546,0)))</f>
        <v>0</v>
      </c>
      <c r="M730" s="81">
        <f ca="1">M712*(1+INDEX(M$544:M$546,MATCH(Work_Codes!$I$453,$D$544:$D$546,0)))</f>
        <v>0</v>
      </c>
      <c r="N730" s="81">
        <f ca="1">N712*(1+INDEX(N$544:N$546,MATCH(Work_Codes!$I$453,$D$544:$D$546,0)))</f>
        <v>0</v>
      </c>
      <c r="O730" s="81">
        <f ca="1">O712*(1+INDEX(O$544:O$546,MATCH(Work_Codes!$I$453,$D$544:$D$546,0)))</f>
        <v>0</v>
      </c>
      <c r="P730" s="81">
        <f ca="1">P712*(1+INDEX(P$544:P$546,MATCH(Work_Codes!$I$453,$D$544:$D$546,0)))</f>
        <v>0</v>
      </c>
      <c r="Q730" s="81">
        <f ca="1">Q712*(1+INDEX(Q$544:Q$546,MATCH(Work_Codes!$I$453,$D$544:$D$546,0)))</f>
        <v>0</v>
      </c>
      <c r="R730" s="81">
        <f ca="1">R712*(1+INDEX(R$544:R$546,MATCH(Work_Codes!$I$453,$D$544:$D$546,0)))</f>
        <v>0</v>
      </c>
      <c r="S730" s="81">
        <f ca="1">S712*(1+INDEX(S$544:S$546,MATCH(Work_Codes!$I$453,$D$544:$D$546,0)))</f>
        <v>0</v>
      </c>
      <c r="T730" s="81">
        <f ca="1">T712*(1+INDEX(T$544:T$546,MATCH(Work_Codes!$I$453,$D$544:$D$546,0)))</f>
        <v>0</v>
      </c>
    </row>
    <row r="731" spans="4:20" ht="12" customHeight="1" outlineLevel="2">
      <c r="E731" s="247" t="str">
        <f>GC!C62</f>
        <v>Commercial and industrial new customer connections</v>
      </c>
      <c r="F731" s="247"/>
      <c r="G731" s="247"/>
      <c r="H731" s="247"/>
      <c r="I731" s="247"/>
      <c r="J731" s="81">
        <f ca="1">J713*(1+INDEX(J$544:J$546,MATCH(Work_Codes!$I$453,$D$544:$D$546,0)))</f>
        <v>0</v>
      </c>
      <c r="K731" s="81">
        <f ca="1">K713*(1+INDEX(K$544:K$546,MATCH(Work_Codes!$I$453,$D$544:$D$546,0)))</f>
        <v>0</v>
      </c>
      <c r="L731" s="81">
        <f ca="1">L713*(1+INDEX(L$544:L$546,MATCH(Work_Codes!$I$453,$D$544:$D$546,0)))</f>
        <v>0</v>
      </c>
      <c r="M731" s="81">
        <f ca="1">M713*(1+INDEX(M$544:M$546,MATCH(Work_Codes!$I$453,$D$544:$D$546,0)))</f>
        <v>0</v>
      </c>
      <c r="N731" s="81">
        <f ca="1">N713*(1+INDEX(N$544:N$546,MATCH(Work_Codes!$I$453,$D$544:$D$546,0)))</f>
        <v>0</v>
      </c>
      <c r="O731" s="81">
        <f ca="1">O713*(1+INDEX(O$544:O$546,MATCH(Work_Codes!$I$453,$D$544:$D$546,0)))</f>
        <v>0</v>
      </c>
      <c r="P731" s="81">
        <f ca="1">P713*(1+INDEX(P$544:P$546,MATCH(Work_Codes!$I$453,$D$544:$D$546,0)))</f>
        <v>0</v>
      </c>
      <c r="Q731" s="81">
        <f ca="1">Q713*(1+INDEX(Q$544:Q$546,MATCH(Work_Codes!$I$453,$D$544:$D$546,0)))</f>
        <v>0</v>
      </c>
      <c r="R731" s="81">
        <f ca="1">R713*(1+INDEX(R$544:R$546,MATCH(Work_Codes!$I$453,$D$544:$D$546,0)))</f>
        <v>0</v>
      </c>
      <c r="S731" s="81">
        <f ca="1">S713*(1+INDEX(S$544:S$546,MATCH(Work_Codes!$I$453,$D$544:$D$546,0)))</f>
        <v>0</v>
      </c>
      <c r="T731" s="81">
        <f ca="1">T713*(1+INDEX(T$544:T$546,MATCH(Work_Codes!$I$453,$D$544:$D$546,0)))</f>
        <v>0</v>
      </c>
    </row>
    <row r="732" spans="4:20" ht="12" customHeight="1" outlineLevel="2">
      <c r="E732" s="247" t="str">
        <f>GC!C63</f>
        <v>Residential meter replacement</v>
      </c>
      <c r="F732" s="247"/>
      <c r="G732" s="247"/>
      <c r="H732" s="247"/>
      <c r="I732" s="247"/>
      <c r="J732" s="81">
        <f ca="1">J714*(1+INDEX(J$544:J$546,MATCH(Work_Codes!$I$453,$D$544:$D$546,0)))</f>
        <v>0</v>
      </c>
      <c r="K732" s="81">
        <f ca="1">K714*(1+INDEX(K$544:K$546,MATCH(Work_Codes!$I$453,$D$544:$D$546,0)))</f>
        <v>0</v>
      </c>
      <c r="L732" s="81">
        <f ca="1">L714*(1+INDEX(L$544:L$546,MATCH(Work_Codes!$I$453,$D$544:$D$546,0)))</f>
        <v>0</v>
      </c>
      <c r="M732" s="81">
        <f ca="1">M714*(1+INDEX(M$544:M$546,MATCH(Work_Codes!$I$453,$D$544:$D$546,0)))</f>
        <v>0</v>
      </c>
      <c r="N732" s="81">
        <f ca="1">N714*(1+INDEX(N$544:N$546,MATCH(Work_Codes!$I$453,$D$544:$D$546,0)))</f>
        <v>0</v>
      </c>
      <c r="O732" s="81">
        <f ca="1">O714*(1+INDEX(O$544:O$546,MATCH(Work_Codes!$I$453,$D$544:$D$546,0)))</f>
        <v>0</v>
      </c>
      <c r="P732" s="81">
        <f ca="1">P714*(1+INDEX(P$544:P$546,MATCH(Work_Codes!$I$453,$D$544:$D$546,0)))</f>
        <v>0</v>
      </c>
      <c r="Q732" s="81">
        <f ca="1">Q714*(1+INDEX(Q$544:Q$546,MATCH(Work_Codes!$I$453,$D$544:$D$546,0)))</f>
        <v>0</v>
      </c>
      <c r="R732" s="81">
        <f ca="1">R714*(1+INDEX(R$544:R$546,MATCH(Work_Codes!$I$453,$D$544:$D$546,0)))</f>
        <v>0</v>
      </c>
      <c r="S732" s="81">
        <f ca="1">S714*(1+INDEX(S$544:S$546,MATCH(Work_Codes!$I$453,$D$544:$D$546,0)))</f>
        <v>0</v>
      </c>
      <c r="T732" s="81">
        <f ca="1">T714*(1+INDEX(T$544:T$546,MATCH(Work_Codes!$I$453,$D$544:$D$546,0)))</f>
        <v>0</v>
      </c>
    </row>
    <row r="733" spans="4:20" ht="12" customHeight="1" outlineLevel="2">
      <c r="E733" s="247" t="str">
        <f>GC!C64</f>
        <v>Commercial and industrial meter replacement</v>
      </c>
      <c r="F733" s="247"/>
      <c r="G733" s="247"/>
      <c r="H733" s="247"/>
      <c r="I733" s="247"/>
      <c r="J733" s="81">
        <f ca="1">J715*(1+INDEX(J$544:J$546,MATCH(Work_Codes!$I$453,$D$544:$D$546,0)))</f>
        <v>0</v>
      </c>
      <c r="K733" s="81">
        <f ca="1">K715*(1+INDEX(K$544:K$546,MATCH(Work_Codes!$I$453,$D$544:$D$546,0)))</f>
        <v>0</v>
      </c>
      <c r="L733" s="81">
        <f ca="1">L715*(1+INDEX(L$544:L$546,MATCH(Work_Codes!$I$453,$D$544:$D$546,0)))</f>
        <v>0</v>
      </c>
      <c r="M733" s="81">
        <f ca="1">M715*(1+INDEX(M$544:M$546,MATCH(Work_Codes!$I$453,$D$544:$D$546,0)))</f>
        <v>0</v>
      </c>
      <c r="N733" s="81">
        <f ca="1">N715*(1+INDEX(N$544:N$546,MATCH(Work_Codes!$I$453,$D$544:$D$546,0)))</f>
        <v>0</v>
      </c>
      <c r="O733" s="81">
        <f ca="1">O715*(1+INDEX(O$544:O$546,MATCH(Work_Codes!$I$453,$D$544:$D$546,0)))</f>
        <v>0</v>
      </c>
      <c r="P733" s="81">
        <f ca="1">P715*(1+INDEX(P$544:P$546,MATCH(Work_Codes!$I$453,$D$544:$D$546,0)))</f>
        <v>0</v>
      </c>
      <c r="Q733" s="81">
        <f ca="1">Q715*(1+INDEX(Q$544:Q$546,MATCH(Work_Codes!$I$453,$D$544:$D$546,0)))</f>
        <v>0</v>
      </c>
      <c r="R733" s="81">
        <f ca="1">R715*(1+INDEX(R$544:R$546,MATCH(Work_Codes!$I$453,$D$544:$D$546,0)))</f>
        <v>0</v>
      </c>
      <c r="S733" s="81">
        <f ca="1">S715*(1+INDEX(S$544:S$546,MATCH(Work_Codes!$I$453,$D$544:$D$546,0)))</f>
        <v>0</v>
      </c>
      <c r="T733" s="81">
        <f ca="1">T715*(1+INDEX(T$544:T$546,MATCH(Work_Codes!$I$453,$D$544:$D$546,0)))</f>
        <v>0</v>
      </c>
    </row>
    <row r="734" spans="4:20" ht="12" customHeight="1" outlineLevel="2">
      <c r="E734" s="247" t="str">
        <f>GC!C65</f>
        <v>Augmentation</v>
      </c>
      <c r="F734" s="247"/>
      <c r="G734" s="247"/>
      <c r="H734" s="247"/>
      <c r="I734" s="247"/>
      <c r="J734" s="81">
        <f ca="1">J716*(1+INDEX(J$544:J$546,MATCH(Work_Codes!$I$453,$D$544:$D$546,0)))</f>
        <v>0</v>
      </c>
      <c r="K734" s="81">
        <f ca="1">K716*(1+INDEX(K$544:K$546,MATCH(Work_Codes!$I$453,$D$544:$D$546,0)))</f>
        <v>0</v>
      </c>
      <c r="L734" s="81">
        <f ca="1">L716*(1+INDEX(L$544:L$546,MATCH(Work_Codes!$I$453,$D$544:$D$546,0)))</f>
        <v>0</v>
      </c>
      <c r="M734" s="81">
        <f ca="1">M716*(1+INDEX(M$544:M$546,MATCH(Work_Codes!$I$453,$D$544:$D$546,0)))</f>
        <v>0</v>
      </c>
      <c r="N734" s="81">
        <f ca="1">N716*(1+INDEX(N$544:N$546,MATCH(Work_Codes!$I$453,$D$544:$D$546,0)))</f>
        <v>0</v>
      </c>
      <c r="O734" s="81">
        <f ca="1">O716*(1+INDEX(O$544:O$546,MATCH(Work_Codes!$I$453,$D$544:$D$546,0)))</f>
        <v>0</v>
      </c>
      <c r="P734" s="81">
        <f ca="1">P716*(1+INDEX(P$544:P$546,MATCH(Work_Codes!$I$453,$D$544:$D$546,0)))</f>
        <v>0</v>
      </c>
      <c r="Q734" s="81">
        <f ca="1">Q716*(1+INDEX(Q$544:Q$546,MATCH(Work_Codes!$I$453,$D$544:$D$546,0)))</f>
        <v>0</v>
      </c>
      <c r="R734" s="81">
        <f ca="1">R716*(1+INDEX(R$544:R$546,MATCH(Work_Codes!$I$453,$D$544:$D$546,0)))</f>
        <v>0</v>
      </c>
      <c r="S734" s="81">
        <f ca="1">S716*(1+INDEX(S$544:S$546,MATCH(Work_Codes!$I$453,$D$544:$D$546,0)))</f>
        <v>0</v>
      </c>
      <c r="T734" s="81">
        <f ca="1">T716*(1+INDEX(T$544:T$546,MATCH(Work_Codes!$I$453,$D$544:$D$546,0)))</f>
        <v>0</v>
      </c>
    </row>
    <row r="735" spans="4:20" ht="12" customHeight="1" outlineLevel="2">
      <c r="E735" s="247" t="str">
        <f>GC!C66</f>
        <v>IT capex</v>
      </c>
      <c r="F735" s="247"/>
      <c r="G735" s="247"/>
      <c r="H735" s="247"/>
      <c r="I735" s="247"/>
      <c r="J735" s="81">
        <f ca="1">J717*(1+INDEX(J$544:J$546,MATCH(Work_Codes!$I$453,$D$544:$D$546,0)))</f>
        <v>0</v>
      </c>
      <c r="K735" s="81">
        <f ca="1">K717*(1+INDEX(K$544:K$546,MATCH(Work_Codes!$I$453,$D$544:$D$546,0)))</f>
        <v>0</v>
      </c>
      <c r="L735" s="81">
        <f ca="1">L717*(1+INDEX(L$544:L$546,MATCH(Work_Codes!$I$453,$D$544:$D$546,0)))</f>
        <v>0</v>
      </c>
      <c r="M735" s="81">
        <f ca="1">M717*(1+INDEX(M$544:M$546,MATCH(Work_Codes!$I$453,$D$544:$D$546,0)))</f>
        <v>0</v>
      </c>
      <c r="N735" s="81">
        <f ca="1">N717*(1+INDEX(N$544:N$546,MATCH(Work_Codes!$I$453,$D$544:$D$546,0)))</f>
        <v>0</v>
      </c>
      <c r="O735" s="81">
        <f ca="1">O717*(1+INDEX(O$544:O$546,MATCH(Work_Codes!$I$453,$D$544:$D$546,0)))</f>
        <v>0</v>
      </c>
      <c r="P735" s="81">
        <f ca="1">P717*(1+INDEX(P$544:P$546,MATCH(Work_Codes!$I$453,$D$544:$D$546,0)))</f>
        <v>0</v>
      </c>
      <c r="Q735" s="81">
        <f ca="1">Q717*(1+INDEX(Q$544:Q$546,MATCH(Work_Codes!$I$453,$D$544:$D$546,0)))</f>
        <v>0</v>
      </c>
      <c r="R735" s="81">
        <f ca="1">R717*(1+INDEX(R$544:R$546,MATCH(Work_Codes!$I$453,$D$544:$D$546,0)))</f>
        <v>0</v>
      </c>
      <c r="S735" s="81">
        <f ca="1">S717*(1+INDEX(S$544:S$546,MATCH(Work_Codes!$I$453,$D$544:$D$546,0)))</f>
        <v>0</v>
      </c>
      <c r="T735" s="81">
        <f ca="1">T717*(1+INDEX(T$544:T$546,MATCH(Work_Codes!$I$453,$D$544:$D$546,0)))</f>
        <v>0</v>
      </c>
    </row>
    <row r="736" spans="4:20" ht="12" customHeight="1" outlineLevel="2">
      <c r="E736" s="247" t="str">
        <f>GC!C67</f>
        <v>SCADA</v>
      </c>
      <c r="F736" s="247"/>
      <c r="G736" s="247"/>
      <c r="H736" s="247"/>
      <c r="I736" s="247"/>
      <c r="J736" s="81">
        <f ca="1">J718*(1+INDEX(J$544:J$546,MATCH(Work_Codes!$I$453,$D$544:$D$546,0)))</f>
        <v>0</v>
      </c>
      <c r="K736" s="81">
        <f ca="1">K718*(1+INDEX(K$544:K$546,MATCH(Work_Codes!$I$453,$D$544:$D$546,0)))</f>
        <v>0</v>
      </c>
      <c r="L736" s="81">
        <f ca="1">L718*(1+INDEX(L$544:L$546,MATCH(Work_Codes!$I$453,$D$544:$D$546,0)))</f>
        <v>0</v>
      </c>
      <c r="M736" s="81">
        <f ca="1">M718*(1+INDEX(M$544:M$546,MATCH(Work_Codes!$I$453,$D$544:$D$546,0)))</f>
        <v>0</v>
      </c>
      <c r="N736" s="81">
        <f ca="1">N718*(1+INDEX(N$544:N$546,MATCH(Work_Codes!$I$453,$D$544:$D$546,0)))</f>
        <v>0</v>
      </c>
      <c r="O736" s="81">
        <f ca="1">O718*(1+INDEX(O$544:O$546,MATCH(Work_Codes!$I$453,$D$544:$D$546,0)))</f>
        <v>0</v>
      </c>
      <c r="P736" s="81">
        <f ca="1">P718*(1+INDEX(P$544:P$546,MATCH(Work_Codes!$I$453,$D$544:$D$546,0)))</f>
        <v>0</v>
      </c>
      <c r="Q736" s="81">
        <f ca="1">Q718*(1+INDEX(Q$544:Q$546,MATCH(Work_Codes!$I$453,$D$544:$D$546,0)))</f>
        <v>0</v>
      </c>
      <c r="R736" s="81">
        <f ca="1">R718*(1+INDEX(R$544:R$546,MATCH(Work_Codes!$I$453,$D$544:$D$546,0)))</f>
        <v>0</v>
      </c>
      <c r="S736" s="81">
        <f ca="1">S718*(1+INDEX(S$544:S$546,MATCH(Work_Codes!$I$453,$D$544:$D$546,0)))</f>
        <v>0</v>
      </c>
      <c r="T736" s="81">
        <f ca="1">T718*(1+INDEX(T$544:T$546,MATCH(Work_Codes!$I$453,$D$544:$D$546,0)))</f>
        <v>0</v>
      </c>
    </row>
    <row r="737" spans="4:20" ht="12" customHeight="1" outlineLevel="2">
      <c r="E737" s="247" t="str">
        <f>GC!C68</f>
        <v>Other</v>
      </c>
      <c r="F737" s="247"/>
      <c r="G737" s="247"/>
      <c r="H737" s="247"/>
      <c r="I737" s="247"/>
      <c r="J737" s="81">
        <f ca="1">J719*(1+INDEX(J$544:J$546,MATCH(Work_Codes!$I$453,$D$544:$D$546,0)))</f>
        <v>0</v>
      </c>
      <c r="K737" s="81">
        <f ca="1">K719*(1+INDEX(K$544:K$546,MATCH(Work_Codes!$I$453,$D$544:$D$546,0)))</f>
        <v>0</v>
      </c>
      <c r="L737" s="81">
        <f ca="1">L719*(1+INDEX(L$544:L$546,MATCH(Work_Codes!$I$453,$D$544:$D$546,0)))</f>
        <v>0</v>
      </c>
      <c r="M737" s="81">
        <f ca="1">M719*(1+INDEX(M$544:M$546,MATCH(Work_Codes!$I$453,$D$544:$D$546,0)))</f>
        <v>0</v>
      </c>
      <c r="N737" s="81">
        <f ca="1">N719*(1+INDEX(N$544:N$546,MATCH(Work_Codes!$I$453,$D$544:$D$546,0)))</f>
        <v>0</v>
      </c>
      <c r="O737" s="81">
        <f ca="1">O719*(1+INDEX(O$544:O$546,MATCH(Work_Codes!$I$453,$D$544:$D$546,0)))</f>
        <v>0</v>
      </c>
      <c r="P737" s="81">
        <f ca="1">P719*(1+INDEX(P$544:P$546,MATCH(Work_Codes!$I$453,$D$544:$D$546,0)))</f>
        <v>570022.61582925939</v>
      </c>
      <c r="Q737" s="81">
        <f ca="1">Q719*(1+INDEX(Q$544:Q$546,MATCH(Work_Codes!$I$453,$D$544:$D$546,0)))</f>
        <v>569772.96922392305</v>
      </c>
      <c r="R737" s="81">
        <f ca="1">R719*(1+INDEX(R$544:R$546,MATCH(Work_Codes!$I$453,$D$544:$D$546,0)))</f>
        <v>570415.73082008737</v>
      </c>
      <c r="S737" s="81">
        <f ca="1">S719*(1+INDEX(S$544:S$546,MATCH(Work_Codes!$I$453,$D$544:$D$546,0)))</f>
        <v>571539.20794315648</v>
      </c>
      <c r="T737" s="81">
        <f ca="1">T719*(1+INDEX(T$544:T$546,MATCH(Work_Codes!$I$453,$D$544:$D$546,0)))</f>
        <v>510607.45374078274</v>
      </c>
    </row>
    <row r="738" spans="4:20" outlineLevel="2">
      <c r="E738" s="247" t="str">
        <f>GC!C69</f>
        <v>Capitalised Leases</v>
      </c>
      <c r="F738" s="247"/>
      <c r="G738" s="247"/>
      <c r="H738" s="247"/>
      <c r="I738" s="247"/>
      <c r="J738" s="81">
        <f ca="1">J720*(1+INDEX(J$544:J$546,MATCH(Work_Codes!$I$453,$D$544:$D$546,0)))</f>
        <v>0</v>
      </c>
      <c r="K738" s="81">
        <f ca="1">K720*(1+INDEX(K$544:K$546,MATCH(Work_Codes!$I$453,$D$544:$D$546,0)))</f>
        <v>0</v>
      </c>
      <c r="L738" s="81">
        <f ca="1">L720*(1+INDEX(L$544:L$546,MATCH(Work_Codes!$I$453,$D$544:$D$546,0)))</f>
        <v>0</v>
      </c>
      <c r="M738" s="81">
        <f ca="1">M720*(1+INDEX(M$544:M$546,MATCH(Work_Codes!$I$453,$D$544:$D$546,0)))</f>
        <v>0</v>
      </c>
      <c r="N738" s="81">
        <f ca="1">N720*(1+INDEX(N$544:N$546,MATCH(Work_Codes!$I$453,$D$544:$D$546,0)))</f>
        <v>0</v>
      </c>
      <c r="O738" s="81">
        <f ca="1">O720*(1+INDEX(O$544:O$546,MATCH(Work_Codes!$I$453,$D$544:$D$546,0)))</f>
        <v>0</v>
      </c>
      <c r="P738" s="81">
        <f ca="1">P720*(1+INDEX(P$544:P$546,MATCH(Work_Codes!$I$453,$D$544:$D$546,0)))</f>
        <v>0</v>
      </c>
      <c r="Q738" s="81">
        <f ca="1">Q720*(1+INDEX(Q$544:Q$546,MATCH(Work_Codes!$I$453,$D$544:$D$546,0)))</f>
        <v>0</v>
      </c>
      <c r="R738" s="81">
        <f ca="1">R720*(1+INDEX(R$544:R$546,MATCH(Work_Codes!$I$453,$D$544:$D$546,0)))</f>
        <v>0</v>
      </c>
      <c r="S738" s="81">
        <f ca="1">S720*(1+INDEX(S$544:S$546,MATCH(Work_Codes!$I$453,$D$544:$D$546,0)))</f>
        <v>0</v>
      </c>
      <c r="T738" s="81">
        <f ca="1">T720*(1+INDEX(T$544:T$546,MATCH(Work_Codes!$I$453,$D$544:$D$546,0)))</f>
        <v>0</v>
      </c>
    </row>
    <row r="739" spans="4:20" ht="12" customHeight="1" outlineLevel="2">
      <c r="E739" s="247" t="str">
        <f>GC!C70</f>
        <v>Gas Extensions - Energy for the Regions</v>
      </c>
      <c r="F739" s="247"/>
      <c r="G739" s="247"/>
      <c r="H739" s="247"/>
      <c r="I739" s="247"/>
      <c r="J739" s="81">
        <f ca="1">J721*(1+INDEX(J$544:J$546,MATCH(Work_Codes!$I$453,$D$544:$D$546,0)))</f>
        <v>0</v>
      </c>
      <c r="K739" s="81">
        <f ca="1">K721*(1+INDEX(K$544:K$546,MATCH(Work_Codes!$I$453,$D$544:$D$546,0)))</f>
        <v>0</v>
      </c>
      <c r="L739" s="81">
        <f ca="1">L721*(1+INDEX(L$544:L$546,MATCH(Work_Codes!$I$453,$D$544:$D$546,0)))</f>
        <v>0</v>
      </c>
      <c r="M739" s="81">
        <f ca="1">M721*(1+INDEX(M$544:M$546,MATCH(Work_Codes!$I$453,$D$544:$D$546,0)))</f>
        <v>0</v>
      </c>
      <c r="N739" s="81">
        <f ca="1">N721*(1+INDEX(N$544:N$546,MATCH(Work_Codes!$I$453,$D$544:$D$546,0)))</f>
        <v>0</v>
      </c>
      <c r="O739" s="81">
        <f ca="1">O721*(1+INDEX(O$544:O$546,MATCH(Work_Codes!$I$453,$D$544:$D$546,0)))</f>
        <v>0</v>
      </c>
      <c r="P739" s="81">
        <f ca="1">P721*(1+INDEX(P$544:P$546,MATCH(Work_Codes!$I$453,$D$544:$D$546,0)))</f>
        <v>0</v>
      </c>
      <c r="Q739" s="81">
        <f ca="1">Q721*(1+INDEX(Q$544:Q$546,MATCH(Work_Codes!$I$453,$D$544:$D$546,0)))</f>
        <v>0</v>
      </c>
      <c r="R739" s="81">
        <f ca="1">R721*(1+INDEX(R$544:R$546,MATCH(Work_Codes!$I$453,$D$544:$D$546,0)))</f>
        <v>0</v>
      </c>
      <c r="S739" s="81">
        <f ca="1">S721*(1+INDEX(S$544:S$546,MATCH(Work_Codes!$I$453,$D$544:$D$546,0)))</f>
        <v>0</v>
      </c>
      <c r="T739" s="81">
        <f ca="1">T721*(1+INDEX(T$544:T$546,MATCH(Work_Codes!$I$453,$D$544:$D$546,0)))</f>
        <v>0</v>
      </c>
    </row>
    <row r="740" spans="4:20" ht="12" customHeight="1" outlineLevel="2">
      <c r="E740" s="247" t="str">
        <f>GC!C71</f>
        <v>Gas Extensions - Other</v>
      </c>
      <c r="F740" s="247"/>
      <c r="G740" s="247"/>
      <c r="H740" s="247"/>
      <c r="I740" s="247"/>
      <c r="J740" s="81">
        <f ca="1">J722*(1+INDEX(J$544:J$546,MATCH(Work_Codes!$I$453,$D$544:$D$546,0)))</f>
        <v>0</v>
      </c>
      <c r="K740" s="81">
        <f ca="1">K722*(1+INDEX(K$544:K$546,MATCH(Work_Codes!$I$453,$D$544:$D$546,0)))</f>
        <v>0</v>
      </c>
      <c r="L740" s="81">
        <f ca="1">L722*(1+INDEX(L$544:L$546,MATCH(Work_Codes!$I$453,$D$544:$D$546,0)))</f>
        <v>0</v>
      </c>
      <c r="M740" s="81">
        <f ca="1">M722*(1+INDEX(M$544:M$546,MATCH(Work_Codes!$I$453,$D$544:$D$546,0)))</f>
        <v>0</v>
      </c>
      <c r="N740" s="81">
        <f ca="1">N722*(1+INDEX(N$544:N$546,MATCH(Work_Codes!$I$453,$D$544:$D$546,0)))</f>
        <v>0</v>
      </c>
      <c r="O740" s="81">
        <f ca="1">O722*(1+INDEX(O$544:O$546,MATCH(Work_Codes!$I$453,$D$544:$D$546,0)))</f>
        <v>0</v>
      </c>
      <c r="P740" s="81">
        <f ca="1">P722*(1+INDEX(P$544:P$546,MATCH(Work_Codes!$I$453,$D$544:$D$546,0)))</f>
        <v>0</v>
      </c>
      <c r="Q740" s="81">
        <f ca="1">Q722*(1+INDEX(Q$544:Q$546,MATCH(Work_Codes!$I$453,$D$544:$D$546,0)))</f>
        <v>0</v>
      </c>
      <c r="R740" s="81">
        <f ca="1">R722*(1+INDEX(R$544:R$546,MATCH(Work_Codes!$I$453,$D$544:$D$546,0)))</f>
        <v>0</v>
      </c>
      <c r="S740" s="81">
        <f ca="1">S722*(1+INDEX(S$544:S$546,MATCH(Work_Codes!$I$453,$D$544:$D$546,0)))</f>
        <v>0</v>
      </c>
      <c r="T740" s="81">
        <f ca="1">T722*(1+INDEX(T$544:T$546,MATCH(Work_Codes!$I$453,$D$544:$D$546,0)))</f>
        <v>0</v>
      </c>
    </row>
    <row r="741" spans="4:20" ht="12" customHeight="1" outlineLevel="2">
      <c r="E741" s="247" t="str">
        <f>GC!C72</f>
        <v>Customer contributions</v>
      </c>
      <c r="F741" s="247"/>
      <c r="G741" s="247"/>
      <c r="H741" s="247"/>
      <c r="I741" s="247"/>
      <c r="J741" s="81">
        <f ca="1">J723*(1+INDEX(J$544:J$546,MATCH(Work_Codes!$I$453,$D$544:$D$546,0)))</f>
        <v>0</v>
      </c>
      <c r="K741" s="81">
        <f ca="1">K723*(1+INDEX(K$544:K$546,MATCH(Work_Codes!$I$453,$D$544:$D$546,0)))</f>
        <v>0</v>
      </c>
      <c r="L741" s="81">
        <f ca="1">L723*(1+INDEX(L$544:L$546,MATCH(Work_Codes!$I$453,$D$544:$D$546,0)))</f>
        <v>0</v>
      </c>
      <c r="M741" s="81">
        <f ca="1">M723*(1+INDEX(M$544:M$546,MATCH(Work_Codes!$I$453,$D$544:$D$546,0)))</f>
        <v>0</v>
      </c>
      <c r="N741" s="81">
        <f ca="1">N723*(1+INDEX(N$544:N$546,MATCH(Work_Codes!$I$453,$D$544:$D$546,0)))</f>
        <v>0</v>
      </c>
      <c r="O741" s="81">
        <f ca="1">O723*(1+INDEX(O$544:O$546,MATCH(Work_Codes!$I$453,$D$544:$D$546,0)))</f>
        <v>0</v>
      </c>
      <c r="P741" s="81">
        <f ca="1">P723*(1+INDEX(P$544:P$546,MATCH(Work_Codes!$I$453,$D$544:$D$546,0)))</f>
        <v>0</v>
      </c>
      <c r="Q741" s="81">
        <f ca="1">Q723*(1+INDEX(Q$544:Q$546,MATCH(Work_Codes!$I$453,$D$544:$D$546,0)))</f>
        <v>0</v>
      </c>
      <c r="R741" s="81">
        <f ca="1">R723*(1+INDEX(R$544:R$546,MATCH(Work_Codes!$I$453,$D$544:$D$546,0)))</f>
        <v>0</v>
      </c>
      <c r="S741" s="81">
        <f ca="1">S723*(1+INDEX(S$544:S$546,MATCH(Work_Codes!$I$453,$D$544:$D$546,0)))</f>
        <v>0</v>
      </c>
      <c r="T741" s="81">
        <f ca="1">T723*(1+INDEX(T$544:T$546,MATCH(Work_Codes!$I$453,$D$544:$D$546,0)))</f>
        <v>0</v>
      </c>
    </row>
    <row r="742" spans="4:20" ht="12" customHeight="1" outlineLevel="2">
      <c r="E742" s="247" t="str">
        <f>GC!C73</f>
        <v>Government contributions</v>
      </c>
      <c r="F742" s="247"/>
      <c r="G742" s="247"/>
      <c r="H742" s="247"/>
      <c r="I742" s="247"/>
      <c r="J742" s="81">
        <f ca="1">J724*(1+INDEX(J$544:J$546,MATCH(Work_Codes!$I$453,$D$544:$D$546,0)))</f>
        <v>0</v>
      </c>
      <c r="K742" s="81">
        <f ca="1">K724*(1+INDEX(K$544:K$546,MATCH(Work_Codes!$I$453,$D$544:$D$546,0)))</f>
        <v>0</v>
      </c>
      <c r="L742" s="81">
        <f ca="1">L724*(1+INDEX(L$544:L$546,MATCH(Work_Codes!$I$453,$D$544:$D$546,0)))</f>
        <v>0</v>
      </c>
      <c r="M742" s="81">
        <f ca="1">M724*(1+INDEX(M$544:M$546,MATCH(Work_Codes!$I$453,$D$544:$D$546,0)))</f>
        <v>0</v>
      </c>
      <c r="N742" s="81">
        <f ca="1">N724*(1+INDEX(N$544:N$546,MATCH(Work_Codes!$I$453,$D$544:$D$546,0)))</f>
        <v>0</v>
      </c>
      <c r="O742" s="81">
        <f ca="1">O724*(1+INDEX(O$544:O$546,MATCH(Work_Codes!$I$453,$D$544:$D$546,0)))</f>
        <v>0</v>
      </c>
      <c r="P742" s="81">
        <f ca="1">P724*(1+INDEX(P$544:P$546,MATCH(Work_Codes!$I$453,$D$544:$D$546,0)))</f>
        <v>0</v>
      </c>
      <c r="Q742" s="81">
        <f ca="1">Q724*(1+INDEX(Q$544:Q$546,MATCH(Work_Codes!$I$453,$D$544:$D$546,0)))</f>
        <v>0</v>
      </c>
      <c r="R742" s="81">
        <f ca="1">R724*(1+INDEX(R$544:R$546,MATCH(Work_Codes!$I$453,$D$544:$D$546,0)))</f>
        <v>0</v>
      </c>
      <c r="S742" s="81">
        <f ca="1">S724*(1+INDEX(S$544:S$546,MATCH(Work_Codes!$I$453,$D$544:$D$546,0)))</f>
        <v>0</v>
      </c>
      <c r="T742" s="81">
        <f ca="1">T724*(1+INDEX(T$544:T$546,MATCH(Work_Codes!$I$453,$D$544:$D$546,0)))</f>
        <v>0</v>
      </c>
    </row>
    <row r="743" spans="4:20" ht="12" customHeight="1" outlineLevel="2">
      <c r="E743" s="249" t="str">
        <f>"Total "&amp;D727</f>
        <v>Total Direct Costs + Overheads</v>
      </c>
      <c r="F743" s="249"/>
      <c r="G743" s="249"/>
      <c r="H743" s="249"/>
      <c r="I743" s="249"/>
      <c r="J743" s="82">
        <f t="shared" ref="J743:T743" ca="1" si="75">SUM(J729:J742)</f>
        <v>0</v>
      </c>
      <c r="K743" s="82">
        <f t="shared" ca="1" si="75"/>
        <v>0</v>
      </c>
      <c r="L743" s="82">
        <f t="shared" ca="1" si="75"/>
        <v>0</v>
      </c>
      <c r="M743" s="82">
        <f t="shared" ca="1" si="75"/>
        <v>0</v>
      </c>
      <c r="N743" s="82">
        <f t="shared" ca="1" si="75"/>
        <v>0</v>
      </c>
      <c r="O743" s="82">
        <f t="shared" ca="1" si="75"/>
        <v>0</v>
      </c>
      <c r="P743" s="82">
        <f t="shared" ca="1" si="75"/>
        <v>570022.61582925939</v>
      </c>
      <c r="Q743" s="82">
        <f t="shared" ca="1" si="75"/>
        <v>569772.96922392305</v>
      </c>
      <c r="R743" s="82">
        <f t="shared" ca="1" si="75"/>
        <v>570415.73082008737</v>
      </c>
      <c r="S743" s="82">
        <f t="shared" ca="1" si="75"/>
        <v>571539.20794315648</v>
      </c>
      <c r="T743" s="82">
        <f t="shared" ca="1" si="75"/>
        <v>510607.45374078274</v>
      </c>
    </row>
    <row r="744" spans="4:20" outlineLevel="2"/>
    <row r="745" spans="4:20" outlineLevel="2">
      <c r="D745" s="37" t="s">
        <v>367</v>
      </c>
    </row>
    <row r="746" spans="4:20" ht="5.75" customHeight="1" outlineLevel="2"/>
    <row r="747" spans="4:20" outlineLevel="2">
      <c r="E747" s="247" t="str">
        <f>GC!C60</f>
        <v>Mains replacement</v>
      </c>
      <c r="F747" s="247"/>
      <c r="G747" s="247"/>
      <c r="H747" s="247"/>
      <c r="I747" s="247"/>
      <c r="J747" s="81">
        <f ca="1">SUMPRODUCT((Work_Codes!$AC$456:$AO$456=$E747)*(Work_Codes!$AC$466:$AO$466)*(J$580:J$580))</f>
        <v>0</v>
      </c>
      <c r="K747" s="81">
        <f ca="1">SUMPRODUCT((Work_Codes!$AC$456:$AO$456=$E747)*(Work_Codes!$AC$466:$AO$466)*(K$580:K$580))</f>
        <v>0</v>
      </c>
      <c r="L747" s="81">
        <f ca="1">SUMPRODUCT((Work_Codes!$AC$456:$AO$456=$E747)*(Work_Codes!$AC$466:$AO$466)*(L$580:L$580))</f>
        <v>0</v>
      </c>
      <c r="M747" s="81">
        <f ca="1">SUMPRODUCT((Work_Codes!$AC$456:$AO$456=$E747)*(Work_Codes!$AC$466:$AO$466)*(M$580:M$580))</f>
        <v>0</v>
      </c>
      <c r="N747" s="81">
        <f ca="1">SUMPRODUCT((Work_Codes!$AC$456:$AO$456=$E747)*(Work_Codes!$AC$466:$AO$466)*(N$580:N$580))</f>
        <v>0</v>
      </c>
      <c r="O747" s="81">
        <f ca="1">SUMPRODUCT((Work_Codes!$AC$456:$AO$456=$E747)*(Work_Codes!$AC$466:$AO$466)*(O$580:O$580))</f>
        <v>0</v>
      </c>
      <c r="P747" s="81">
        <f ca="1">SUMPRODUCT((Work_Codes!$AC$456:$AO$456=$E747)*(Work_Codes!$AC$466:$AO$466)*(P$580:P$580))</f>
        <v>0</v>
      </c>
      <c r="Q747" s="81">
        <f ca="1">SUMPRODUCT((Work_Codes!$AC$456:$AO$456=$E747)*(Work_Codes!$AC$466:$AO$466)*(Q$580:Q$580))</f>
        <v>0</v>
      </c>
      <c r="R747" s="81">
        <f ca="1">SUMPRODUCT((Work_Codes!$AC$456:$AO$456=$E747)*(Work_Codes!$AC$466:$AO$466)*(R$580:R$580))</f>
        <v>0</v>
      </c>
      <c r="S747" s="81">
        <f ca="1">SUMPRODUCT((Work_Codes!$AC$456:$AO$456=$E747)*(Work_Codes!$AC$466:$AO$466)*(S$580:S$580))</f>
        <v>0</v>
      </c>
      <c r="T747" s="81">
        <f ca="1">SUMPRODUCT((Work_Codes!$AC$456:$AO$456=$E747)*(Work_Codes!$AC$466:$AO$466)*(T$580:T$580))</f>
        <v>0</v>
      </c>
    </row>
    <row r="748" spans="4:20" outlineLevel="2">
      <c r="E748" s="247" t="str">
        <f>GC!C61</f>
        <v>Residential new customer connections</v>
      </c>
      <c r="F748" s="247"/>
      <c r="G748" s="247"/>
      <c r="H748" s="247"/>
      <c r="I748" s="247"/>
      <c r="J748" s="81">
        <f ca="1">SUMPRODUCT((Work_Codes!$AC$456:$AO$456=$E748)*(Work_Codes!$AC$466:$AO$466)*(J$580:J$580))</f>
        <v>0</v>
      </c>
      <c r="K748" s="81">
        <f ca="1">SUMPRODUCT((Work_Codes!$AC$456:$AO$456=$E748)*(Work_Codes!$AC$466:$AO$466)*(K$580:K$580))</f>
        <v>0</v>
      </c>
      <c r="L748" s="81">
        <f ca="1">SUMPRODUCT((Work_Codes!$AC$456:$AO$456=$E748)*(Work_Codes!$AC$466:$AO$466)*(L$580:L$580))</f>
        <v>0</v>
      </c>
      <c r="M748" s="81">
        <f ca="1">SUMPRODUCT((Work_Codes!$AC$456:$AO$456=$E748)*(Work_Codes!$AC$466:$AO$466)*(M$580:M$580))</f>
        <v>0</v>
      </c>
      <c r="N748" s="81">
        <f ca="1">SUMPRODUCT((Work_Codes!$AC$456:$AO$456=$E748)*(Work_Codes!$AC$466:$AO$466)*(N$580:N$580))</f>
        <v>0</v>
      </c>
      <c r="O748" s="81">
        <f ca="1">SUMPRODUCT((Work_Codes!$AC$456:$AO$456=$E748)*(Work_Codes!$AC$466:$AO$466)*(O$580:O$580))</f>
        <v>0</v>
      </c>
      <c r="P748" s="81">
        <f ca="1">SUMPRODUCT((Work_Codes!$AC$456:$AO$456=$E748)*(Work_Codes!$AC$466:$AO$466)*(P$580:P$580))</f>
        <v>0</v>
      </c>
      <c r="Q748" s="81">
        <f ca="1">SUMPRODUCT((Work_Codes!$AC$456:$AO$456=$E748)*(Work_Codes!$AC$466:$AO$466)*(Q$580:Q$580))</f>
        <v>0</v>
      </c>
      <c r="R748" s="81">
        <f ca="1">SUMPRODUCT((Work_Codes!$AC$456:$AO$456=$E748)*(Work_Codes!$AC$466:$AO$466)*(R$580:R$580))</f>
        <v>0</v>
      </c>
      <c r="S748" s="81">
        <f ca="1">SUMPRODUCT((Work_Codes!$AC$456:$AO$456=$E748)*(Work_Codes!$AC$466:$AO$466)*(S$580:S$580))</f>
        <v>0</v>
      </c>
      <c r="T748" s="81">
        <f ca="1">SUMPRODUCT((Work_Codes!$AC$456:$AO$456=$E748)*(Work_Codes!$AC$466:$AO$466)*(T$580:T$580))</f>
        <v>0</v>
      </c>
    </row>
    <row r="749" spans="4:20" outlineLevel="2">
      <c r="E749" s="247" t="str">
        <f>GC!C62</f>
        <v>Commercial and industrial new customer connections</v>
      </c>
      <c r="F749" s="247"/>
      <c r="G749" s="247"/>
      <c r="H749" s="247"/>
      <c r="I749" s="247"/>
      <c r="J749" s="81">
        <f ca="1">SUMPRODUCT((Work_Codes!$AC$456:$AO$456=$E749)*(Work_Codes!$AC$466:$AO$466)*(J$580:J$580))</f>
        <v>0</v>
      </c>
      <c r="K749" s="81">
        <f ca="1">SUMPRODUCT((Work_Codes!$AC$456:$AO$456=$E749)*(Work_Codes!$AC$466:$AO$466)*(K$580:K$580))</f>
        <v>0</v>
      </c>
      <c r="L749" s="81">
        <f ca="1">SUMPRODUCT((Work_Codes!$AC$456:$AO$456=$E749)*(Work_Codes!$AC$466:$AO$466)*(L$580:L$580))</f>
        <v>0</v>
      </c>
      <c r="M749" s="81">
        <f ca="1">SUMPRODUCT((Work_Codes!$AC$456:$AO$456=$E749)*(Work_Codes!$AC$466:$AO$466)*(M$580:M$580))</f>
        <v>0</v>
      </c>
      <c r="N749" s="81">
        <f ca="1">SUMPRODUCT((Work_Codes!$AC$456:$AO$456=$E749)*(Work_Codes!$AC$466:$AO$466)*(N$580:N$580))</f>
        <v>0</v>
      </c>
      <c r="O749" s="81">
        <f ca="1">SUMPRODUCT((Work_Codes!$AC$456:$AO$456=$E749)*(Work_Codes!$AC$466:$AO$466)*(O$580:O$580))</f>
        <v>0</v>
      </c>
      <c r="P749" s="81">
        <f ca="1">SUMPRODUCT((Work_Codes!$AC$456:$AO$456=$E749)*(Work_Codes!$AC$466:$AO$466)*(P$580:P$580))</f>
        <v>0</v>
      </c>
      <c r="Q749" s="81">
        <f ca="1">SUMPRODUCT((Work_Codes!$AC$456:$AO$456=$E749)*(Work_Codes!$AC$466:$AO$466)*(Q$580:Q$580))</f>
        <v>0</v>
      </c>
      <c r="R749" s="81">
        <f ca="1">SUMPRODUCT((Work_Codes!$AC$456:$AO$456=$E749)*(Work_Codes!$AC$466:$AO$466)*(R$580:R$580))</f>
        <v>0</v>
      </c>
      <c r="S749" s="81">
        <f ca="1">SUMPRODUCT((Work_Codes!$AC$456:$AO$456=$E749)*(Work_Codes!$AC$466:$AO$466)*(S$580:S$580))</f>
        <v>0</v>
      </c>
      <c r="T749" s="81">
        <f ca="1">SUMPRODUCT((Work_Codes!$AC$456:$AO$456=$E749)*(Work_Codes!$AC$466:$AO$466)*(T$580:T$580))</f>
        <v>0</v>
      </c>
    </row>
    <row r="750" spans="4:20" outlineLevel="2">
      <c r="E750" s="247" t="str">
        <f>GC!C63</f>
        <v>Residential meter replacement</v>
      </c>
      <c r="F750" s="247"/>
      <c r="G750" s="247"/>
      <c r="H750" s="247"/>
      <c r="I750" s="247"/>
      <c r="J750" s="81">
        <f ca="1">SUMPRODUCT((Work_Codes!$AC$456:$AO$456=$E750)*(Work_Codes!$AC$466:$AO$466)*(J$580:J$580))</f>
        <v>0</v>
      </c>
      <c r="K750" s="81">
        <f ca="1">SUMPRODUCT((Work_Codes!$AC$456:$AO$456=$E750)*(Work_Codes!$AC$466:$AO$466)*(K$580:K$580))</f>
        <v>0</v>
      </c>
      <c r="L750" s="81">
        <f ca="1">SUMPRODUCT((Work_Codes!$AC$456:$AO$456=$E750)*(Work_Codes!$AC$466:$AO$466)*(L$580:L$580))</f>
        <v>0</v>
      </c>
      <c r="M750" s="81">
        <f ca="1">SUMPRODUCT((Work_Codes!$AC$456:$AO$456=$E750)*(Work_Codes!$AC$466:$AO$466)*(M$580:M$580))</f>
        <v>0</v>
      </c>
      <c r="N750" s="81">
        <f ca="1">SUMPRODUCT((Work_Codes!$AC$456:$AO$456=$E750)*(Work_Codes!$AC$466:$AO$466)*(N$580:N$580))</f>
        <v>0</v>
      </c>
      <c r="O750" s="81">
        <f ca="1">SUMPRODUCT((Work_Codes!$AC$456:$AO$456=$E750)*(Work_Codes!$AC$466:$AO$466)*(O$580:O$580))</f>
        <v>0</v>
      </c>
      <c r="P750" s="81">
        <f ca="1">SUMPRODUCT((Work_Codes!$AC$456:$AO$456=$E750)*(Work_Codes!$AC$466:$AO$466)*(P$580:P$580))</f>
        <v>0</v>
      </c>
      <c r="Q750" s="81">
        <f ca="1">SUMPRODUCT((Work_Codes!$AC$456:$AO$456=$E750)*(Work_Codes!$AC$466:$AO$466)*(Q$580:Q$580))</f>
        <v>0</v>
      </c>
      <c r="R750" s="81">
        <f ca="1">SUMPRODUCT((Work_Codes!$AC$456:$AO$456=$E750)*(Work_Codes!$AC$466:$AO$466)*(R$580:R$580))</f>
        <v>0</v>
      </c>
      <c r="S750" s="81">
        <f ca="1">SUMPRODUCT((Work_Codes!$AC$456:$AO$456=$E750)*(Work_Codes!$AC$466:$AO$466)*(S$580:S$580))</f>
        <v>0</v>
      </c>
      <c r="T750" s="81">
        <f ca="1">SUMPRODUCT((Work_Codes!$AC$456:$AO$456=$E750)*(Work_Codes!$AC$466:$AO$466)*(T$580:T$580))</f>
        <v>0</v>
      </c>
    </row>
    <row r="751" spans="4:20" outlineLevel="2">
      <c r="E751" s="247" t="str">
        <f>GC!C64</f>
        <v>Commercial and industrial meter replacement</v>
      </c>
      <c r="F751" s="247"/>
      <c r="G751" s="247"/>
      <c r="H751" s="247"/>
      <c r="I751" s="247"/>
      <c r="J751" s="81">
        <f ca="1">SUMPRODUCT((Work_Codes!$AC$456:$AO$456=$E751)*(Work_Codes!$AC$466:$AO$466)*(J$580:J$580))</f>
        <v>0</v>
      </c>
      <c r="K751" s="81">
        <f ca="1">SUMPRODUCT((Work_Codes!$AC$456:$AO$456=$E751)*(Work_Codes!$AC$466:$AO$466)*(K$580:K$580))</f>
        <v>0</v>
      </c>
      <c r="L751" s="81">
        <f ca="1">SUMPRODUCT((Work_Codes!$AC$456:$AO$456=$E751)*(Work_Codes!$AC$466:$AO$466)*(L$580:L$580))</f>
        <v>0</v>
      </c>
      <c r="M751" s="81">
        <f ca="1">SUMPRODUCT((Work_Codes!$AC$456:$AO$456=$E751)*(Work_Codes!$AC$466:$AO$466)*(M$580:M$580))</f>
        <v>0</v>
      </c>
      <c r="N751" s="81">
        <f ca="1">SUMPRODUCT((Work_Codes!$AC$456:$AO$456=$E751)*(Work_Codes!$AC$466:$AO$466)*(N$580:N$580))</f>
        <v>0</v>
      </c>
      <c r="O751" s="81">
        <f ca="1">SUMPRODUCT((Work_Codes!$AC$456:$AO$456=$E751)*(Work_Codes!$AC$466:$AO$466)*(O$580:O$580))</f>
        <v>0</v>
      </c>
      <c r="P751" s="81">
        <f ca="1">SUMPRODUCT((Work_Codes!$AC$456:$AO$456=$E751)*(Work_Codes!$AC$466:$AO$466)*(P$580:P$580))</f>
        <v>0</v>
      </c>
      <c r="Q751" s="81">
        <f ca="1">SUMPRODUCT((Work_Codes!$AC$456:$AO$456=$E751)*(Work_Codes!$AC$466:$AO$466)*(Q$580:Q$580))</f>
        <v>0</v>
      </c>
      <c r="R751" s="81">
        <f ca="1">SUMPRODUCT((Work_Codes!$AC$456:$AO$456=$E751)*(Work_Codes!$AC$466:$AO$466)*(R$580:R$580))</f>
        <v>0</v>
      </c>
      <c r="S751" s="81">
        <f ca="1">SUMPRODUCT((Work_Codes!$AC$456:$AO$456=$E751)*(Work_Codes!$AC$466:$AO$466)*(S$580:S$580))</f>
        <v>0</v>
      </c>
      <c r="T751" s="81">
        <f ca="1">SUMPRODUCT((Work_Codes!$AC$456:$AO$456=$E751)*(Work_Codes!$AC$466:$AO$466)*(T$580:T$580))</f>
        <v>0</v>
      </c>
    </row>
    <row r="752" spans="4:20" outlineLevel="2">
      <c r="E752" s="247" t="str">
        <f>GC!C65</f>
        <v>Augmentation</v>
      </c>
      <c r="F752" s="247"/>
      <c r="G752" s="247"/>
      <c r="H752" s="247"/>
      <c r="I752" s="247"/>
      <c r="J752" s="81">
        <f ca="1">SUMPRODUCT((Work_Codes!$AC$456:$AO$456=$E752)*(Work_Codes!$AC$466:$AO$466)*(J$580:J$580))</f>
        <v>0</v>
      </c>
      <c r="K752" s="81">
        <f ca="1">SUMPRODUCT((Work_Codes!$AC$456:$AO$456=$E752)*(Work_Codes!$AC$466:$AO$466)*(K$580:K$580))</f>
        <v>0</v>
      </c>
      <c r="L752" s="81">
        <f ca="1">SUMPRODUCT((Work_Codes!$AC$456:$AO$456=$E752)*(Work_Codes!$AC$466:$AO$466)*(L$580:L$580))</f>
        <v>0</v>
      </c>
      <c r="M752" s="81">
        <f ca="1">SUMPRODUCT((Work_Codes!$AC$456:$AO$456=$E752)*(Work_Codes!$AC$466:$AO$466)*(M$580:M$580))</f>
        <v>0</v>
      </c>
      <c r="N752" s="81">
        <f ca="1">SUMPRODUCT((Work_Codes!$AC$456:$AO$456=$E752)*(Work_Codes!$AC$466:$AO$466)*(N$580:N$580))</f>
        <v>0</v>
      </c>
      <c r="O752" s="81">
        <f ca="1">SUMPRODUCT((Work_Codes!$AC$456:$AO$456=$E752)*(Work_Codes!$AC$466:$AO$466)*(O$580:O$580))</f>
        <v>0</v>
      </c>
      <c r="P752" s="81">
        <f ca="1">SUMPRODUCT((Work_Codes!$AC$456:$AO$456=$E752)*(Work_Codes!$AC$466:$AO$466)*(P$580:P$580))</f>
        <v>0</v>
      </c>
      <c r="Q752" s="81">
        <f ca="1">SUMPRODUCT((Work_Codes!$AC$456:$AO$456=$E752)*(Work_Codes!$AC$466:$AO$466)*(Q$580:Q$580))</f>
        <v>0</v>
      </c>
      <c r="R752" s="81">
        <f ca="1">SUMPRODUCT((Work_Codes!$AC$456:$AO$456=$E752)*(Work_Codes!$AC$466:$AO$466)*(R$580:R$580))</f>
        <v>0</v>
      </c>
      <c r="S752" s="81">
        <f ca="1">SUMPRODUCT((Work_Codes!$AC$456:$AO$456=$E752)*(Work_Codes!$AC$466:$AO$466)*(S$580:S$580))</f>
        <v>0</v>
      </c>
      <c r="T752" s="81">
        <f ca="1">SUMPRODUCT((Work_Codes!$AC$456:$AO$456=$E752)*(Work_Codes!$AC$466:$AO$466)*(T$580:T$580))</f>
        <v>0</v>
      </c>
    </row>
    <row r="753" spans="2:20" outlineLevel="2">
      <c r="E753" s="247" t="str">
        <f>GC!C66</f>
        <v>IT capex</v>
      </c>
      <c r="F753" s="247"/>
      <c r="G753" s="247"/>
      <c r="H753" s="247"/>
      <c r="I753" s="247"/>
      <c r="J753" s="81">
        <f ca="1">SUMPRODUCT((Work_Codes!$AC$456:$AO$456=$E753)*(Work_Codes!$AC$466:$AO$466)*(J$580:J$580))</f>
        <v>0</v>
      </c>
      <c r="K753" s="81">
        <f ca="1">SUMPRODUCT((Work_Codes!$AC$456:$AO$456=$E753)*(Work_Codes!$AC$466:$AO$466)*(K$580:K$580))</f>
        <v>0</v>
      </c>
      <c r="L753" s="81">
        <f ca="1">SUMPRODUCT((Work_Codes!$AC$456:$AO$456=$E753)*(Work_Codes!$AC$466:$AO$466)*(L$580:L$580))</f>
        <v>0</v>
      </c>
      <c r="M753" s="81">
        <f ca="1">SUMPRODUCT((Work_Codes!$AC$456:$AO$456=$E753)*(Work_Codes!$AC$466:$AO$466)*(M$580:M$580))</f>
        <v>0</v>
      </c>
      <c r="N753" s="81">
        <f ca="1">SUMPRODUCT((Work_Codes!$AC$456:$AO$456=$E753)*(Work_Codes!$AC$466:$AO$466)*(N$580:N$580))</f>
        <v>0</v>
      </c>
      <c r="O753" s="81">
        <f ca="1">SUMPRODUCT((Work_Codes!$AC$456:$AO$456=$E753)*(Work_Codes!$AC$466:$AO$466)*(O$580:O$580))</f>
        <v>0</v>
      </c>
      <c r="P753" s="81">
        <f ca="1">SUMPRODUCT((Work_Codes!$AC$456:$AO$456=$E753)*(Work_Codes!$AC$466:$AO$466)*(P$580:P$580))</f>
        <v>0</v>
      </c>
      <c r="Q753" s="81">
        <f ca="1">SUMPRODUCT((Work_Codes!$AC$456:$AO$456=$E753)*(Work_Codes!$AC$466:$AO$466)*(Q$580:Q$580))</f>
        <v>0</v>
      </c>
      <c r="R753" s="81">
        <f ca="1">SUMPRODUCT((Work_Codes!$AC$456:$AO$456=$E753)*(Work_Codes!$AC$466:$AO$466)*(R$580:R$580))</f>
        <v>0</v>
      </c>
      <c r="S753" s="81">
        <f ca="1">SUMPRODUCT((Work_Codes!$AC$456:$AO$456=$E753)*(Work_Codes!$AC$466:$AO$466)*(S$580:S$580))</f>
        <v>0</v>
      </c>
      <c r="T753" s="81">
        <f ca="1">SUMPRODUCT((Work_Codes!$AC$456:$AO$456=$E753)*(Work_Codes!$AC$466:$AO$466)*(T$580:T$580))</f>
        <v>0</v>
      </c>
    </row>
    <row r="754" spans="2:20" outlineLevel="2">
      <c r="E754" s="247" t="str">
        <f>GC!C67</f>
        <v>SCADA</v>
      </c>
      <c r="F754" s="247"/>
      <c r="G754" s="247"/>
      <c r="H754" s="247"/>
      <c r="I754" s="247"/>
      <c r="J754" s="81">
        <f ca="1">SUMPRODUCT((Work_Codes!$AC$456:$AO$456=$E754)*(Work_Codes!$AC$466:$AO$466)*(J$580:J$580))</f>
        <v>0</v>
      </c>
      <c r="K754" s="81">
        <f ca="1">SUMPRODUCT((Work_Codes!$AC$456:$AO$456=$E754)*(Work_Codes!$AC$466:$AO$466)*(K$580:K$580))</f>
        <v>0</v>
      </c>
      <c r="L754" s="81">
        <f ca="1">SUMPRODUCT((Work_Codes!$AC$456:$AO$456=$E754)*(Work_Codes!$AC$466:$AO$466)*(L$580:L$580))</f>
        <v>0</v>
      </c>
      <c r="M754" s="81">
        <f ca="1">SUMPRODUCT((Work_Codes!$AC$456:$AO$456=$E754)*(Work_Codes!$AC$466:$AO$466)*(M$580:M$580))</f>
        <v>0</v>
      </c>
      <c r="N754" s="81">
        <f ca="1">SUMPRODUCT((Work_Codes!$AC$456:$AO$456=$E754)*(Work_Codes!$AC$466:$AO$466)*(N$580:N$580))</f>
        <v>0</v>
      </c>
      <c r="O754" s="81">
        <f ca="1">SUMPRODUCT((Work_Codes!$AC$456:$AO$456=$E754)*(Work_Codes!$AC$466:$AO$466)*(O$580:O$580))</f>
        <v>0</v>
      </c>
      <c r="P754" s="81">
        <f ca="1">SUMPRODUCT((Work_Codes!$AC$456:$AO$456=$E754)*(Work_Codes!$AC$466:$AO$466)*(P$580:P$580))</f>
        <v>0</v>
      </c>
      <c r="Q754" s="81">
        <f ca="1">SUMPRODUCT((Work_Codes!$AC$456:$AO$456=$E754)*(Work_Codes!$AC$466:$AO$466)*(Q$580:Q$580))</f>
        <v>0</v>
      </c>
      <c r="R754" s="81">
        <f ca="1">SUMPRODUCT((Work_Codes!$AC$456:$AO$456=$E754)*(Work_Codes!$AC$466:$AO$466)*(R$580:R$580))</f>
        <v>0</v>
      </c>
      <c r="S754" s="81">
        <f ca="1">SUMPRODUCT((Work_Codes!$AC$456:$AO$456=$E754)*(Work_Codes!$AC$466:$AO$466)*(S$580:S$580))</f>
        <v>0</v>
      </c>
      <c r="T754" s="81">
        <f ca="1">SUMPRODUCT((Work_Codes!$AC$456:$AO$456=$E754)*(Work_Codes!$AC$466:$AO$466)*(T$580:T$580))</f>
        <v>0</v>
      </c>
    </row>
    <row r="755" spans="2:20" outlineLevel="2">
      <c r="E755" s="247" t="str">
        <f>GC!C68</f>
        <v>Other</v>
      </c>
      <c r="F755" s="247"/>
      <c r="G755" s="247"/>
      <c r="H755" s="247"/>
      <c r="I755" s="247"/>
      <c r="J755" s="81">
        <f ca="1">SUMPRODUCT((Work_Codes!$AC$456:$AO$456=$E755)*(Work_Codes!$AC$466:$AO$466)*(J$580:J$580))</f>
        <v>0</v>
      </c>
      <c r="K755" s="81">
        <f ca="1">SUMPRODUCT((Work_Codes!$AC$456:$AO$456=$E755)*(Work_Codes!$AC$466:$AO$466)*(K$580:K$580))</f>
        <v>0</v>
      </c>
      <c r="L755" s="81">
        <f ca="1">SUMPRODUCT((Work_Codes!$AC$456:$AO$456=$E755)*(Work_Codes!$AC$466:$AO$466)*(L$580:L$580))</f>
        <v>0</v>
      </c>
      <c r="M755" s="81">
        <f ca="1">SUMPRODUCT((Work_Codes!$AC$456:$AO$456=$E755)*(Work_Codes!$AC$466:$AO$466)*(M$580:M$580))</f>
        <v>0</v>
      </c>
      <c r="N755" s="81">
        <f ca="1">SUMPRODUCT((Work_Codes!$AC$456:$AO$456=$E755)*(Work_Codes!$AC$466:$AO$466)*(N$580:N$580))</f>
        <v>0</v>
      </c>
      <c r="O755" s="81">
        <f ca="1">SUMPRODUCT((Work_Codes!$AC$456:$AO$456=$E755)*(Work_Codes!$AC$466:$AO$466)*(O$580:O$580))</f>
        <v>0</v>
      </c>
      <c r="P755" s="81">
        <f ca="1">SUMPRODUCT((Work_Codes!$AC$456:$AO$456=$E755)*(Work_Codes!$AC$466:$AO$466)*(P$580:P$580))</f>
        <v>0</v>
      </c>
      <c r="Q755" s="81">
        <f ca="1">SUMPRODUCT((Work_Codes!$AC$456:$AO$456=$E755)*(Work_Codes!$AC$466:$AO$466)*(Q$580:Q$580))</f>
        <v>0</v>
      </c>
      <c r="R755" s="81">
        <f ca="1">SUMPRODUCT((Work_Codes!$AC$456:$AO$456=$E755)*(Work_Codes!$AC$466:$AO$466)*(R$580:R$580))</f>
        <v>0</v>
      </c>
      <c r="S755" s="81">
        <f ca="1">SUMPRODUCT((Work_Codes!$AC$456:$AO$456=$E755)*(Work_Codes!$AC$466:$AO$466)*(S$580:S$580))</f>
        <v>0</v>
      </c>
      <c r="T755" s="81">
        <f ca="1">SUMPRODUCT((Work_Codes!$AC$456:$AO$456=$E755)*(Work_Codes!$AC$466:$AO$466)*(T$580:T$580))</f>
        <v>0</v>
      </c>
    </row>
    <row r="756" spans="2:20" outlineLevel="2">
      <c r="E756" s="247" t="str">
        <f>GC!C69</f>
        <v>Capitalised Leases</v>
      </c>
      <c r="F756" s="247"/>
      <c r="G756" s="247"/>
      <c r="H756" s="247"/>
      <c r="I756" s="247"/>
      <c r="J756" s="81">
        <f ca="1">SUMPRODUCT((Work_Codes!$AC$456:$AO$456=$E756)*(Work_Codes!$AC$466:$AO$466)*(J$580:J$580))</f>
        <v>0</v>
      </c>
      <c r="K756" s="81">
        <f ca="1">SUMPRODUCT((Work_Codes!$AC$456:$AO$456=$E756)*(Work_Codes!$AC$466:$AO$466)*(K$580:K$580))</f>
        <v>0</v>
      </c>
      <c r="L756" s="81">
        <f ca="1">SUMPRODUCT((Work_Codes!$AC$456:$AO$456=$E756)*(Work_Codes!$AC$466:$AO$466)*(L$580:L$580))</f>
        <v>0</v>
      </c>
      <c r="M756" s="81">
        <f ca="1">SUMPRODUCT((Work_Codes!$AC$456:$AO$456=$E756)*(Work_Codes!$AC$466:$AO$466)*(M$580:M$580))</f>
        <v>0</v>
      </c>
      <c r="N756" s="81">
        <f ca="1">SUMPRODUCT((Work_Codes!$AC$456:$AO$456=$E756)*(Work_Codes!$AC$466:$AO$466)*(N$580:N$580))</f>
        <v>0</v>
      </c>
      <c r="O756" s="81">
        <f ca="1">SUMPRODUCT((Work_Codes!$AC$456:$AO$456=$E756)*(Work_Codes!$AC$466:$AO$466)*(O$580:O$580))</f>
        <v>0</v>
      </c>
      <c r="P756" s="81">
        <f ca="1">SUMPRODUCT((Work_Codes!$AC$456:$AO$456=$E756)*(Work_Codes!$AC$466:$AO$466)*(P$580:P$580))</f>
        <v>0</v>
      </c>
      <c r="Q756" s="81">
        <f ca="1">SUMPRODUCT((Work_Codes!$AC$456:$AO$456=$E756)*(Work_Codes!$AC$466:$AO$466)*(Q$580:Q$580))</f>
        <v>0</v>
      </c>
      <c r="R756" s="81">
        <f ca="1">SUMPRODUCT((Work_Codes!$AC$456:$AO$456=$E756)*(Work_Codes!$AC$466:$AO$466)*(R$580:R$580))</f>
        <v>0</v>
      </c>
      <c r="S756" s="81">
        <f ca="1">SUMPRODUCT((Work_Codes!$AC$456:$AO$456=$E756)*(Work_Codes!$AC$466:$AO$466)*(S$580:S$580))</f>
        <v>0</v>
      </c>
      <c r="T756" s="81">
        <f ca="1">SUMPRODUCT((Work_Codes!$AC$456:$AO$456=$E756)*(Work_Codes!$AC$466:$AO$466)*(T$580:T$580))</f>
        <v>0</v>
      </c>
    </row>
    <row r="757" spans="2:20" outlineLevel="2">
      <c r="E757" s="247" t="str">
        <f>GC!C70</f>
        <v>Gas Extensions - Energy for the Regions</v>
      </c>
      <c r="F757" s="247"/>
      <c r="G757" s="247"/>
      <c r="H757" s="247"/>
      <c r="I757" s="247"/>
      <c r="J757" s="81">
        <f ca="1">SUMPRODUCT((Work_Codes!$AC$456:$AO$456=$E757)*(Work_Codes!$AC$466:$AO$466)*(J$580:J$580))</f>
        <v>0</v>
      </c>
      <c r="K757" s="81">
        <f ca="1">SUMPRODUCT((Work_Codes!$AC$456:$AO$456=$E757)*(Work_Codes!$AC$466:$AO$466)*(K$580:K$580))</f>
        <v>0</v>
      </c>
      <c r="L757" s="81">
        <f ca="1">SUMPRODUCT((Work_Codes!$AC$456:$AO$456=$E757)*(Work_Codes!$AC$466:$AO$466)*(L$580:L$580))</f>
        <v>0</v>
      </c>
      <c r="M757" s="81">
        <f ca="1">SUMPRODUCT((Work_Codes!$AC$456:$AO$456=$E757)*(Work_Codes!$AC$466:$AO$466)*(M$580:M$580))</f>
        <v>0</v>
      </c>
      <c r="N757" s="81">
        <f ca="1">SUMPRODUCT((Work_Codes!$AC$456:$AO$456=$E757)*(Work_Codes!$AC$466:$AO$466)*(N$580:N$580))</f>
        <v>0</v>
      </c>
      <c r="O757" s="81">
        <f ca="1">SUMPRODUCT((Work_Codes!$AC$456:$AO$456=$E757)*(Work_Codes!$AC$466:$AO$466)*(O$580:O$580))</f>
        <v>0</v>
      </c>
      <c r="P757" s="81">
        <f ca="1">SUMPRODUCT((Work_Codes!$AC$456:$AO$456=$E757)*(Work_Codes!$AC$466:$AO$466)*(P$580:P$580))</f>
        <v>0</v>
      </c>
      <c r="Q757" s="81">
        <f ca="1">SUMPRODUCT((Work_Codes!$AC$456:$AO$456=$E757)*(Work_Codes!$AC$466:$AO$466)*(Q$580:Q$580))</f>
        <v>0</v>
      </c>
      <c r="R757" s="81">
        <f ca="1">SUMPRODUCT((Work_Codes!$AC$456:$AO$456=$E757)*(Work_Codes!$AC$466:$AO$466)*(R$580:R$580))</f>
        <v>0</v>
      </c>
      <c r="S757" s="81">
        <f ca="1">SUMPRODUCT((Work_Codes!$AC$456:$AO$456=$E757)*(Work_Codes!$AC$466:$AO$466)*(S$580:S$580))</f>
        <v>0</v>
      </c>
      <c r="T757" s="81">
        <f ca="1">SUMPRODUCT((Work_Codes!$AC$456:$AO$456=$E757)*(Work_Codes!$AC$466:$AO$466)*(T$580:T$580))</f>
        <v>0</v>
      </c>
    </row>
    <row r="758" spans="2:20" outlineLevel="2">
      <c r="E758" s="247" t="str">
        <f>GC!C71</f>
        <v>Gas Extensions - Other</v>
      </c>
      <c r="F758" s="247"/>
      <c r="G758" s="247"/>
      <c r="H758" s="247"/>
      <c r="I758" s="247"/>
      <c r="J758" s="81">
        <f ca="1">SUMPRODUCT((Work_Codes!$AC$456:$AO$456=$E758)*(Work_Codes!$AC$466:$AO$466)*(J$580:J$580))</f>
        <v>0</v>
      </c>
      <c r="K758" s="81">
        <f ca="1">SUMPRODUCT((Work_Codes!$AC$456:$AO$456=$E758)*(Work_Codes!$AC$466:$AO$466)*(K$580:K$580))</f>
        <v>0</v>
      </c>
      <c r="L758" s="81">
        <f ca="1">SUMPRODUCT((Work_Codes!$AC$456:$AO$456=$E758)*(Work_Codes!$AC$466:$AO$466)*(L$580:L$580))</f>
        <v>0</v>
      </c>
      <c r="M758" s="81">
        <f ca="1">SUMPRODUCT((Work_Codes!$AC$456:$AO$456=$E758)*(Work_Codes!$AC$466:$AO$466)*(M$580:M$580))</f>
        <v>0</v>
      </c>
      <c r="N758" s="81">
        <f ca="1">SUMPRODUCT((Work_Codes!$AC$456:$AO$456=$E758)*(Work_Codes!$AC$466:$AO$466)*(N$580:N$580))</f>
        <v>0</v>
      </c>
      <c r="O758" s="81">
        <f ca="1">SUMPRODUCT((Work_Codes!$AC$456:$AO$456=$E758)*(Work_Codes!$AC$466:$AO$466)*(O$580:O$580))</f>
        <v>0</v>
      </c>
      <c r="P758" s="81">
        <f ca="1">SUMPRODUCT((Work_Codes!$AC$456:$AO$456=$E758)*(Work_Codes!$AC$466:$AO$466)*(P$580:P$580))</f>
        <v>0</v>
      </c>
      <c r="Q758" s="81">
        <f ca="1">SUMPRODUCT((Work_Codes!$AC$456:$AO$456=$E758)*(Work_Codes!$AC$466:$AO$466)*(Q$580:Q$580))</f>
        <v>0</v>
      </c>
      <c r="R758" s="81">
        <f ca="1">SUMPRODUCT((Work_Codes!$AC$456:$AO$456=$E758)*(Work_Codes!$AC$466:$AO$466)*(R$580:R$580))</f>
        <v>0</v>
      </c>
      <c r="S758" s="81">
        <f ca="1">SUMPRODUCT((Work_Codes!$AC$456:$AO$456=$E758)*(Work_Codes!$AC$466:$AO$466)*(S$580:S$580))</f>
        <v>0</v>
      </c>
      <c r="T758" s="81">
        <f ca="1">SUMPRODUCT((Work_Codes!$AC$456:$AO$456=$E758)*(Work_Codes!$AC$466:$AO$466)*(T$580:T$580))</f>
        <v>0</v>
      </c>
    </row>
    <row r="759" spans="2:20" outlineLevel="2">
      <c r="E759" s="247" t="str">
        <f>GC!C72</f>
        <v>Customer contributions</v>
      </c>
      <c r="F759" s="247"/>
      <c r="G759" s="247"/>
      <c r="H759" s="247"/>
      <c r="I759" s="247"/>
      <c r="J759" s="81">
        <f ca="1">SUMPRODUCT((Work_Codes!$AC$456:$AO$456=$E759)*(Work_Codes!$AC$466:$AO$466)*(J$580:J$580))</f>
        <v>0</v>
      </c>
      <c r="K759" s="81">
        <f ca="1">SUMPRODUCT((Work_Codes!$AC$456:$AO$456=$E759)*(Work_Codes!$AC$466:$AO$466)*(K$580:K$580))</f>
        <v>0</v>
      </c>
      <c r="L759" s="81">
        <f ca="1">SUMPRODUCT((Work_Codes!$AC$456:$AO$456=$E759)*(Work_Codes!$AC$466:$AO$466)*(L$580:L$580))</f>
        <v>0</v>
      </c>
      <c r="M759" s="81">
        <f ca="1">SUMPRODUCT((Work_Codes!$AC$456:$AO$456=$E759)*(Work_Codes!$AC$466:$AO$466)*(M$580:M$580))</f>
        <v>0</v>
      </c>
      <c r="N759" s="81">
        <f ca="1">SUMPRODUCT((Work_Codes!$AC$456:$AO$456=$E759)*(Work_Codes!$AC$466:$AO$466)*(N$580:N$580))</f>
        <v>0</v>
      </c>
      <c r="O759" s="81">
        <f ca="1">SUMPRODUCT((Work_Codes!$AC$456:$AO$456=$E759)*(Work_Codes!$AC$466:$AO$466)*(O$580:O$580))</f>
        <v>0</v>
      </c>
      <c r="P759" s="81">
        <f ca="1">SUMPRODUCT((Work_Codes!$AC$456:$AO$456=$E759)*(Work_Codes!$AC$466:$AO$466)*(P$580:P$580))</f>
        <v>0</v>
      </c>
      <c r="Q759" s="81">
        <f ca="1">SUMPRODUCT((Work_Codes!$AC$456:$AO$456=$E759)*(Work_Codes!$AC$466:$AO$466)*(Q$580:Q$580))</f>
        <v>0</v>
      </c>
      <c r="R759" s="81">
        <f ca="1">SUMPRODUCT((Work_Codes!$AC$456:$AO$456=$E759)*(Work_Codes!$AC$466:$AO$466)*(R$580:R$580))</f>
        <v>0</v>
      </c>
      <c r="S759" s="81">
        <f ca="1">SUMPRODUCT((Work_Codes!$AC$456:$AO$456=$E759)*(Work_Codes!$AC$466:$AO$466)*(S$580:S$580))</f>
        <v>0</v>
      </c>
      <c r="T759" s="81">
        <f ca="1">SUMPRODUCT((Work_Codes!$AC$456:$AO$456=$E759)*(Work_Codes!$AC$466:$AO$466)*(T$580:T$580))</f>
        <v>0</v>
      </c>
    </row>
    <row r="760" spans="2:20" outlineLevel="2">
      <c r="E760" s="247" t="str">
        <f>GC!C73</f>
        <v>Government contributions</v>
      </c>
      <c r="F760" s="247"/>
      <c r="G760" s="247"/>
      <c r="H760" s="247"/>
      <c r="I760" s="247"/>
      <c r="J760" s="81">
        <f ca="1">SUMPRODUCT((Work_Codes!$AC$456:$AO$456=$E760)*(Work_Codes!$AC$466:$AO$466)*(J$580:J$580))</f>
        <v>0</v>
      </c>
      <c r="K760" s="81">
        <f ca="1">SUMPRODUCT((Work_Codes!$AC$456:$AO$456=$E760)*(Work_Codes!$AC$466:$AO$466)*(K$580:K$580))</f>
        <v>0</v>
      </c>
      <c r="L760" s="81">
        <f ca="1">SUMPRODUCT((Work_Codes!$AC$456:$AO$456=$E760)*(Work_Codes!$AC$466:$AO$466)*(L$580:L$580))</f>
        <v>0</v>
      </c>
      <c r="M760" s="81">
        <f ca="1">SUMPRODUCT((Work_Codes!$AC$456:$AO$456=$E760)*(Work_Codes!$AC$466:$AO$466)*(M$580:M$580))</f>
        <v>0</v>
      </c>
      <c r="N760" s="81">
        <f ca="1">SUMPRODUCT((Work_Codes!$AC$456:$AO$456=$E760)*(Work_Codes!$AC$466:$AO$466)*(N$580:N$580))</f>
        <v>0</v>
      </c>
      <c r="O760" s="81">
        <f ca="1">SUMPRODUCT((Work_Codes!$AC$456:$AO$456=$E760)*(Work_Codes!$AC$466:$AO$466)*(O$580:O$580))</f>
        <v>0</v>
      </c>
      <c r="P760" s="81">
        <f ca="1">SUMPRODUCT((Work_Codes!$AC$456:$AO$456=$E760)*(Work_Codes!$AC$466:$AO$466)*(P$580:P$580))</f>
        <v>0</v>
      </c>
      <c r="Q760" s="81">
        <f ca="1">SUMPRODUCT((Work_Codes!$AC$456:$AO$456=$E760)*(Work_Codes!$AC$466:$AO$466)*(Q$580:Q$580))</f>
        <v>0</v>
      </c>
      <c r="R760" s="81">
        <f ca="1">SUMPRODUCT((Work_Codes!$AC$456:$AO$456=$E760)*(Work_Codes!$AC$466:$AO$466)*(R$580:R$580))</f>
        <v>0</v>
      </c>
      <c r="S760" s="81">
        <f ca="1">SUMPRODUCT((Work_Codes!$AC$456:$AO$456=$E760)*(Work_Codes!$AC$466:$AO$466)*(S$580:S$580))</f>
        <v>0</v>
      </c>
      <c r="T760" s="81">
        <f ca="1">SUMPRODUCT((Work_Codes!$AC$456:$AO$456=$E760)*(Work_Codes!$AC$466:$AO$466)*(T$580:T$580))</f>
        <v>0</v>
      </c>
    </row>
    <row r="761" spans="2:20" outlineLevel="2">
      <c r="E761" s="249" t="str">
        <f t="shared" ref="E761" si="76">"Total "&amp;D745</f>
        <v>Total Customer Contributions</v>
      </c>
      <c r="F761" s="249"/>
      <c r="G761" s="249"/>
      <c r="H761" s="249"/>
      <c r="I761" s="249"/>
      <c r="J761" s="82">
        <f t="shared" ref="J761:T761" ca="1" si="77">SUM(J747:J760)</f>
        <v>0</v>
      </c>
      <c r="K761" s="82">
        <f t="shared" ca="1" si="77"/>
        <v>0</v>
      </c>
      <c r="L761" s="82">
        <f t="shared" ca="1" si="77"/>
        <v>0</v>
      </c>
      <c r="M761" s="82">
        <f t="shared" ca="1" si="77"/>
        <v>0</v>
      </c>
      <c r="N761" s="82">
        <f t="shared" ca="1" si="77"/>
        <v>0</v>
      </c>
      <c r="O761" s="82">
        <f t="shared" ca="1" si="77"/>
        <v>0</v>
      </c>
      <c r="P761" s="82">
        <f t="shared" ca="1" si="77"/>
        <v>0</v>
      </c>
      <c r="Q761" s="82">
        <f t="shared" ca="1" si="77"/>
        <v>0</v>
      </c>
      <c r="R761" s="82">
        <f t="shared" ca="1" si="77"/>
        <v>0</v>
      </c>
      <c r="S761" s="82">
        <f t="shared" ca="1" si="77"/>
        <v>0</v>
      </c>
      <c r="T761" s="82">
        <f t="shared" ca="1" si="77"/>
        <v>0</v>
      </c>
    </row>
    <row r="762" spans="2:20" outlineLevel="2">
      <c r="B762" s="12"/>
      <c r="C762" s="12"/>
      <c r="D762" s="12"/>
      <c r="E762" s="12"/>
      <c r="F762" s="12"/>
      <c r="G762" s="12"/>
      <c r="H762" s="12"/>
      <c r="I762" s="12"/>
      <c r="J762" s="12"/>
      <c r="K762" s="12"/>
      <c r="L762" s="12"/>
      <c r="M762" s="12"/>
      <c r="N762" s="12"/>
      <c r="O762" s="12"/>
      <c r="P762" s="12"/>
      <c r="Q762" s="12"/>
      <c r="R762" s="12"/>
      <c r="S762" s="12"/>
      <c r="T762" s="12"/>
    </row>
    <row r="763" spans="2:20" outlineLevel="2"/>
    <row r="764" spans="2:20" outlineLevel="2">
      <c r="C764" s="37" t="s">
        <v>311</v>
      </c>
    </row>
    <row r="765" spans="2:20" ht="5.9" customHeight="1" outlineLevel="2"/>
    <row r="766" spans="2:20" outlineLevel="2">
      <c r="D766" s="37" t="s">
        <v>215</v>
      </c>
    </row>
    <row r="767" spans="2:20" ht="5.9" customHeight="1" outlineLevel="2"/>
    <row r="768" spans="2:20" outlineLevel="2">
      <c r="E768" s="247" t="str">
        <f>GC!C78</f>
        <v>Mains &amp; Services</v>
      </c>
      <c r="F768" s="247"/>
      <c r="G768" s="247"/>
      <c r="H768" s="247"/>
      <c r="I768" s="247"/>
      <c r="J768" s="81">
        <f ca="1">SUMPRODUCT((Work_Codes!$AR$456:$AX$456=$E768)*(Work_Codes!$AR$459:$AX$462)*(J$616:J$619))</f>
        <v>0</v>
      </c>
      <c r="K768" s="81">
        <f ca="1">SUMPRODUCT((Work_Codes!$AR$456:$AX$456=$E768)*(Work_Codes!$AR$459:$AX$462)*(K$616:K$619))</f>
        <v>0</v>
      </c>
      <c r="L768" s="81">
        <f ca="1">SUMPRODUCT((Work_Codes!$AR$456:$AX$456=$E768)*(Work_Codes!$AR$459:$AX$462)*(L$616:L$619))</f>
        <v>0</v>
      </c>
      <c r="M768" s="81">
        <f ca="1">SUMPRODUCT((Work_Codes!$AR$456:$AX$456=$E768)*(Work_Codes!$AR$459:$AX$462)*(M$616:M$619))</f>
        <v>0</v>
      </c>
      <c r="N768" s="81">
        <f ca="1">SUMPRODUCT((Work_Codes!$AR$456:$AX$456=$E768)*(Work_Codes!$AR$459:$AX$462)*(N$616:N$619))</f>
        <v>0</v>
      </c>
      <c r="O768" s="81">
        <f ca="1">SUMPRODUCT((Work_Codes!$AR$456:$AX$456=$E768)*(Work_Codes!$AR$459:$AX$462)*(O$616:O$619))</f>
        <v>0</v>
      </c>
      <c r="P768" s="81">
        <f ca="1">SUMPRODUCT((Work_Codes!$AR$456:$AX$456=$E768)*(Work_Codes!$AR$459:$AX$462)*(P$616:P$619))</f>
        <v>0</v>
      </c>
      <c r="Q768" s="81">
        <f ca="1">SUMPRODUCT((Work_Codes!$AR$456:$AX$456=$E768)*(Work_Codes!$AR$459:$AX$462)*(Q$616:Q$619))</f>
        <v>0</v>
      </c>
      <c r="R768" s="81">
        <f ca="1">SUMPRODUCT((Work_Codes!$AR$456:$AX$456=$E768)*(Work_Codes!$AR$459:$AX$462)*(R$616:R$619))</f>
        <v>0</v>
      </c>
      <c r="S768" s="81">
        <f ca="1">SUMPRODUCT((Work_Codes!$AR$456:$AX$456=$E768)*(Work_Codes!$AR$459:$AX$462)*(S$616:S$619))</f>
        <v>0</v>
      </c>
      <c r="T768" s="81">
        <f ca="1">SUMPRODUCT((Work_Codes!$AR$456:$AX$456=$E768)*(Work_Codes!$AR$459:$AX$462)*(T$616:T$619))</f>
        <v>0</v>
      </c>
    </row>
    <row r="769" spans="4:20" outlineLevel="2">
      <c r="E769" s="247" t="str">
        <f>GC!C79</f>
        <v>Meters Domestic</v>
      </c>
      <c r="F769" s="247"/>
      <c r="G769" s="247"/>
      <c r="H769" s="247"/>
      <c r="I769" s="247"/>
      <c r="J769" s="81">
        <f ca="1">SUMPRODUCT((Work_Codes!$AR$456:$AX$456=$E769)*(Work_Codes!$AR$459:$AX$462)*(J$616:J$619))</f>
        <v>0</v>
      </c>
      <c r="K769" s="81">
        <f ca="1">SUMPRODUCT((Work_Codes!$AR$456:$AX$456=$E769)*(Work_Codes!$AR$459:$AX$462)*(K$616:K$619))</f>
        <v>0</v>
      </c>
      <c r="L769" s="81">
        <f ca="1">SUMPRODUCT((Work_Codes!$AR$456:$AX$456=$E769)*(Work_Codes!$AR$459:$AX$462)*(L$616:L$619))</f>
        <v>0</v>
      </c>
      <c r="M769" s="81">
        <f ca="1">SUMPRODUCT((Work_Codes!$AR$456:$AX$456=$E769)*(Work_Codes!$AR$459:$AX$462)*(M$616:M$619))</f>
        <v>0</v>
      </c>
      <c r="N769" s="81">
        <f ca="1">SUMPRODUCT((Work_Codes!$AR$456:$AX$456=$E769)*(Work_Codes!$AR$459:$AX$462)*(N$616:N$619))</f>
        <v>0</v>
      </c>
      <c r="O769" s="81">
        <f ca="1">SUMPRODUCT((Work_Codes!$AR$456:$AX$456=$E769)*(Work_Codes!$AR$459:$AX$462)*(O$616:O$619))</f>
        <v>0</v>
      </c>
      <c r="P769" s="81">
        <f ca="1">SUMPRODUCT((Work_Codes!$AR$456:$AX$456=$E769)*(Work_Codes!$AR$459:$AX$462)*(P$616:P$619))</f>
        <v>0</v>
      </c>
      <c r="Q769" s="81">
        <f ca="1">SUMPRODUCT((Work_Codes!$AR$456:$AX$456=$E769)*(Work_Codes!$AR$459:$AX$462)*(Q$616:Q$619))</f>
        <v>0</v>
      </c>
      <c r="R769" s="81">
        <f ca="1">SUMPRODUCT((Work_Codes!$AR$456:$AX$456=$E769)*(Work_Codes!$AR$459:$AX$462)*(R$616:R$619))</f>
        <v>0</v>
      </c>
      <c r="S769" s="81">
        <f ca="1">SUMPRODUCT((Work_Codes!$AR$456:$AX$456=$E769)*(Work_Codes!$AR$459:$AX$462)*(S$616:S$619))</f>
        <v>0</v>
      </c>
      <c r="T769" s="81">
        <f ca="1">SUMPRODUCT((Work_Codes!$AR$456:$AX$456=$E769)*(Work_Codes!$AR$459:$AX$462)*(T$616:T$619))</f>
        <v>0</v>
      </c>
    </row>
    <row r="770" spans="4:20" outlineLevel="2">
      <c r="E770" s="247" t="str">
        <f>GC!C80</f>
        <v>Meters Industrial &amp; Commercial</v>
      </c>
      <c r="F770" s="247"/>
      <c r="G770" s="247"/>
      <c r="H770" s="247"/>
      <c r="I770" s="247"/>
      <c r="J770" s="81">
        <f ca="1">SUMPRODUCT((Work_Codes!$AR$456:$AX$456=$E770)*(Work_Codes!$AR$459:$AX$462)*(J$616:J$619))</f>
        <v>0</v>
      </c>
      <c r="K770" s="81">
        <f ca="1">SUMPRODUCT((Work_Codes!$AR$456:$AX$456=$E770)*(Work_Codes!$AR$459:$AX$462)*(K$616:K$619))</f>
        <v>0</v>
      </c>
      <c r="L770" s="81">
        <f ca="1">SUMPRODUCT((Work_Codes!$AR$456:$AX$456=$E770)*(Work_Codes!$AR$459:$AX$462)*(L$616:L$619))</f>
        <v>0</v>
      </c>
      <c r="M770" s="81">
        <f ca="1">SUMPRODUCT((Work_Codes!$AR$456:$AX$456=$E770)*(Work_Codes!$AR$459:$AX$462)*(M$616:M$619))</f>
        <v>0</v>
      </c>
      <c r="N770" s="81">
        <f ca="1">SUMPRODUCT((Work_Codes!$AR$456:$AX$456=$E770)*(Work_Codes!$AR$459:$AX$462)*(N$616:N$619))</f>
        <v>0</v>
      </c>
      <c r="O770" s="81">
        <f ca="1">SUMPRODUCT((Work_Codes!$AR$456:$AX$456=$E770)*(Work_Codes!$AR$459:$AX$462)*(O$616:O$619))</f>
        <v>0</v>
      </c>
      <c r="P770" s="81">
        <f ca="1">SUMPRODUCT((Work_Codes!$AR$456:$AX$456=$E770)*(Work_Codes!$AR$459:$AX$462)*(P$616:P$619))</f>
        <v>0</v>
      </c>
      <c r="Q770" s="81">
        <f ca="1">SUMPRODUCT((Work_Codes!$AR$456:$AX$456=$E770)*(Work_Codes!$AR$459:$AX$462)*(Q$616:Q$619))</f>
        <v>0</v>
      </c>
      <c r="R770" s="81">
        <f ca="1">SUMPRODUCT((Work_Codes!$AR$456:$AX$456=$E770)*(Work_Codes!$AR$459:$AX$462)*(R$616:R$619))</f>
        <v>0</v>
      </c>
      <c r="S770" s="81">
        <f ca="1">SUMPRODUCT((Work_Codes!$AR$456:$AX$456=$E770)*(Work_Codes!$AR$459:$AX$462)*(S$616:S$619))</f>
        <v>0</v>
      </c>
      <c r="T770" s="81">
        <f ca="1">SUMPRODUCT((Work_Codes!$AR$456:$AX$456=$E770)*(Work_Codes!$AR$459:$AX$462)*(T$616:T$619))</f>
        <v>0</v>
      </c>
    </row>
    <row r="771" spans="4:20" outlineLevel="2">
      <c r="E771" s="247" t="str">
        <f>GC!C81</f>
        <v>Buildings</v>
      </c>
      <c r="F771" s="247"/>
      <c r="G771" s="247"/>
      <c r="H771" s="247"/>
      <c r="I771" s="247"/>
      <c r="J771" s="81">
        <f ca="1">SUMPRODUCT((Work_Codes!$AR$456:$AX$456=$E771)*(Work_Codes!$AR$459:$AX$462)*(J$616:J$619))</f>
        <v>0</v>
      </c>
      <c r="K771" s="81">
        <f ca="1">SUMPRODUCT((Work_Codes!$AR$456:$AX$456=$E771)*(Work_Codes!$AR$459:$AX$462)*(K$616:K$619))</f>
        <v>0</v>
      </c>
      <c r="L771" s="81">
        <f ca="1">SUMPRODUCT((Work_Codes!$AR$456:$AX$456=$E771)*(Work_Codes!$AR$459:$AX$462)*(L$616:L$619))</f>
        <v>0</v>
      </c>
      <c r="M771" s="81">
        <f ca="1">SUMPRODUCT((Work_Codes!$AR$456:$AX$456=$E771)*(Work_Codes!$AR$459:$AX$462)*(M$616:M$619))</f>
        <v>0</v>
      </c>
      <c r="N771" s="81">
        <f ca="1">SUMPRODUCT((Work_Codes!$AR$456:$AX$456=$E771)*(Work_Codes!$AR$459:$AX$462)*(N$616:N$619))</f>
        <v>0</v>
      </c>
      <c r="O771" s="81">
        <f ca="1">SUMPRODUCT((Work_Codes!$AR$456:$AX$456=$E771)*(Work_Codes!$AR$459:$AX$462)*(O$616:O$619))</f>
        <v>0</v>
      </c>
      <c r="P771" s="81">
        <f ca="1">SUMPRODUCT((Work_Codes!$AR$456:$AX$456=$E771)*(Work_Codes!$AR$459:$AX$462)*(P$616:P$619))</f>
        <v>0</v>
      </c>
      <c r="Q771" s="81">
        <f ca="1">SUMPRODUCT((Work_Codes!$AR$456:$AX$456=$E771)*(Work_Codes!$AR$459:$AX$462)*(Q$616:Q$619))</f>
        <v>0</v>
      </c>
      <c r="R771" s="81">
        <f ca="1">SUMPRODUCT((Work_Codes!$AR$456:$AX$456=$E771)*(Work_Codes!$AR$459:$AX$462)*(R$616:R$619))</f>
        <v>0</v>
      </c>
      <c r="S771" s="81">
        <f ca="1">SUMPRODUCT((Work_Codes!$AR$456:$AX$456=$E771)*(Work_Codes!$AR$459:$AX$462)*(S$616:S$619))</f>
        <v>0</v>
      </c>
      <c r="T771" s="81">
        <f ca="1">SUMPRODUCT((Work_Codes!$AR$456:$AX$456=$E771)*(Work_Codes!$AR$459:$AX$462)*(T$616:T$619))</f>
        <v>0</v>
      </c>
    </row>
    <row r="772" spans="4:20" outlineLevel="2">
      <c r="E772" s="247" t="str">
        <f>GC!C82</f>
        <v>Other Assets</v>
      </c>
      <c r="F772" s="247"/>
      <c r="G772" s="247"/>
      <c r="H772" s="247"/>
      <c r="I772" s="247"/>
      <c r="J772" s="81">
        <f ca="1">SUMPRODUCT((Work_Codes!$AR$456:$AX$456=$E772)*(Work_Codes!$AR$459:$AX$462)*(J$616:J$619))</f>
        <v>0</v>
      </c>
      <c r="K772" s="81">
        <f ca="1">SUMPRODUCT((Work_Codes!$AR$456:$AX$456=$E772)*(Work_Codes!$AR$459:$AX$462)*(K$616:K$619))</f>
        <v>0</v>
      </c>
      <c r="L772" s="81">
        <f ca="1">SUMPRODUCT((Work_Codes!$AR$456:$AX$456=$E772)*(Work_Codes!$AR$459:$AX$462)*(L$616:L$619))</f>
        <v>0</v>
      </c>
      <c r="M772" s="81">
        <f ca="1">SUMPRODUCT((Work_Codes!$AR$456:$AX$456=$E772)*(Work_Codes!$AR$459:$AX$462)*(M$616:M$619))</f>
        <v>0</v>
      </c>
      <c r="N772" s="81">
        <f ca="1">SUMPRODUCT((Work_Codes!$AR$456:$AX$456=$E772)*(Work_Codes!$AR$459:$AX$462)*(N$616:N$619))</f>
        <v>0</v>
      </c>
      <c r="O772" s="81">
        <f ca="1">SUMPRODUCT((Work_Codes!$AR$456:$AX$456=$E772)*(Work_Codes!$AR$459:$AX$462)*(O$616:O$619))</f>
        <v>0</v>
      </c>
      <c r="P772" s="81">
        <f ca="1">SUMPRODUCT((Work_Codes!$AR$456:$AX$456=$E772)*(Work_Codes!$AR$459:$AX$462)*(P$616:P$619))</f>
        <v>555170.33239944058</v>
      </c>
      <c r="Q772" s="81">
        <f ca="1">SUMPRODUCT((Work_Codes!$AR$456:$AX$456=$E772)*(Work_Codes!$AR$459:$AX$462)*(Q$616:Q$619))</f>
        <v>555301.48633428232</v>
      </c>
      <c r="R772" s="81">
        <f ca="1">SUMPRODUCT((Work_Codes!$AR$456:$AX$456=$E772)*(Work_Codes!$AR$459:$AX$462)*(R$616:R$619))</f>
        <v>555488.09589311818</v>
      </c>
      <c r="S772" s="81">
        <f ca="1">SUMPRODUCT((Work_Codes!$AR$456:$AX$456=$E772)*(Work_Codes!$AR$459:$AX$462)*(S$616:S$619))</f>
        <v>555676.75973361172</v>
      </c>
      <c r="T772" s="81">
        <f ca="1">SUMPRODUCT((Work_Codes!$AR$456:$AX$456=$E772)*(Work_Codes!$AR$459:$AX$462)*(T$616:T$619))</f>
        <v>495773.71663559834</v>
      </c>
    </row>
    <row r="773" spans="4:20" outlineLevel="2">
      <c r="E773" s="247" t="str">
        <f>GC!C83</f>
        <v>Repairs</v>
      </c>
      <c r="F773" s="247"/>
      <c r="G773" s="247"/>
      <c r="H773" s="247"/>
      <c r="I773" s="247"/>
      <c r="J773" s="81">
        <f ca="1">SUMPRODUCT((Work_Codes!$AR$456:$AX$456=$E773)*(Work_Codes!$AR$459:$AX$462)*(J$616:J$619))</f>
        <v>0</v>
      </c>
      <c r="K773" s="81">
        <f ca="1">SUMPRODUCT((Work_Codes!$AR$456:$AX$456=$E773)*(Work_Codes!$AR$459:$AX$462)*(K$616:K$619))</f>
        <v>0</v>
      </c>
      <c r="L773" s="81">
        <f ca="1">SUMPRODUCT((Work_Codes!$AR$456:$AX$456=$E773)*(Work_Codes!$AR$459:$AX$462)*(L$616:L$619))</f>
        <v>0</v>
      </c>
      <c r="M773" s="81">
        <f ca="1">SUMPRODUCT((Work_Codes!$AR$456:$AX$456=$E773)*(Work_Codes!$AR$459:$AX$462)*(M$616:M$619))</f>
        <v>0</v>
      </c>
      <c r="N773" s="81">
        <f ca="1">SUMPRODUCT((Work_Codes!$AR$456:$AX$456=$E773)*(Work_Codes!$AR$459:$AX$462)*(N$616:N$619))</f>
        <v>0</v>
      </c>
      <c r="O773" s="81">
        <f ca="1">SUMPRODUCT((Work_Codes!$AR$456:$AX$456=$E773)*(Work_Codes!$AR$459:$AX$462)*(O$616:O$619))</f>
        <v>0</v>
      </c>
      <c r="P773" s="81">
        <f ca="1">SUMPRODUCT((Work_Codes!$AR$456:$AX$456=$E773)*(Work_Codes!$AR$459:$AX$462)*(P$616:P$619))</f>
        <v>0</v>
      </c>
      <c r="Q773" s="81">
        <f ca="1">SUMPRODUCT((Work_Codes!$AR$456:$AX$456=$E773)*(Work_Codes!$AR$459:$AX$462)*(Q$616:Q$619))</f>
        <v>0</v>
      </c>
      <c r="R773" s="81">
        <f ca="1">SUMPRODUCT((Work_Codes!$AR$456:$AX$456=$E773)*(Work_Codes!$AR$459:$AX$462)*(R$616:R$619))</f>
        <v>0</v>
      </c>
      <c r="S773" s="81">
        <f ca="1">SUMPRODUCT((Work_Codes!$AR$456:$AX$456=$E773)*(Work_Codes!$AR$459:$AX$462)*(S$616:S$619))</f>
        <v>0</v>
      </c>
      <c r="T773" s="81">
        <f ca="1">SUMPRODUCT((Work_Codes!$AR$456:$AX$456=$E773)*(Work_Codes!$AR$459:$AX$462)*(T$616:T$619))</f>
        <v>0</v>
      </c>
    </row>
    <row r="774" spans="4:20" outlineLevel="2">
      <c r="E774" s="247" t="str">
        <f>GC!C84</f>
        <v>Land</v>
      </c>
      <c r="F774" s="247"/>
      <c r="G774" s="247"/>
      <c r="H774" s="247"/>
      <c r="I774" s="247"/>
      <c r="J774" s="81">
        <f ca="1">SUMPRODUCT((Work_Codes!$AR$456:$AX$456=$E774)*(Work_Codes!$AR$459:$AX$462)*(J$616:J$619))</f>
        <v>0</v>
      </c>
      <c r="K774" s="81">
        <f ca="1">SUMPRODUCT((Work_Codes!$AR$456:$AX$456=$E774)*(Work_Codes!$AR$459:$AX$462)*(K$616:K$619))</f>
        <v>0</v>
      </c>
      <c r="L774" s="81">
        <f ca="1">SUMPRODUCT((Work_Codes!$AR$456:$AX$456=$E774)*(Work_Codes!$AR$459:$AX$462)*(L$616:L$619))</f>
        <v>0</v>
      </c>
      <c r="M774" s="81">
        <f ca="1">SUMPRODUCT((Work_Codes!$AR$456:$AX$456=$E774)*(Work_Codes!$AR$459:$AX$462)*(M$616:M$619))</f>
        <v>0</v>
      </c>
      <c r="N774" s="81">
        <f ca="1">SUMPRODUCT((Work_Codes!$AR$456:$AX$456=$E774)*(Work_Codes!$AR$459:$AX$462)*(N$616:N$619))</f>
        <v>0</v>
      </c>
      <c r="O774" s="81">
        <f ca="1">SUMPRODUCT((Work_Codes!$AR$456:$AX$456=$E774)*(Work_Codes!$AR$459:$AX$462)*(O$616:O$619))</f>
        <v>0</v>
      </c>
      <c r="P774" s="81">
        <f ca="1">SUMPRODUCT((Work_Codes!$AR$456:$AX$456=$E774)*(Work_Codes!$AR$459:$AX$462)*(P$616:P$619))</f>
        <v>0</v>
      </c>
      <c r="Q774" s="81">
        <f ca="1">SUMPRODUCT((Work_Codes!$AR$456:$AX$456=$E774)*(Work_Codes!$AR$459:$AX$462)*(Q$616:Q$619))</f>
        <v>0</v>
      </c>
      <c r="R774" s="81">
        <f ca="1">SUMPRODUCT((Work_Codes!$AR$456:$AX$456=$E774)*(Work_Codes!$AR$459:$AX$462)*(R$616:R$619))</f>
        <v>0</v>
      </c>
      <c r="S774" s="81">
        <f ca="1">SUMPRODUCT((Work_Codes!$AR$456:$AX$456=$E774)*(Work_Codes!$AR$459:$AX$462)*(S$616:S$619))</f>
        <v>0</v>
      </c>
      <c r="T774" s="81">
        <f ca="1">SUMPRODUCT((Work_Codes!$AR$456:$AX$456=$E774)*(Work_Codes!$AR$459:$AX$462)*(T$616:T$619))</f>
        <v>0</v>
      </c>
    </row>
    <row r="775" spans="4:20" outlineLevel="2">
      <c r="E775" s="249" t="str">
        <f>"Total "&amp;D766</f>
        <v>Total Direct Costs</v>
      </c>
      <c r="F775" s="249"/>
      <c r="G775" s="249"/>
      <c r="H775" s="249"/>
      <c r="I775" s="249"/>
      <c r="J775" s="82">
        <f t="shared" ref="J775:T775" ca="1" si="78">SUM(J768:J774)</f>
        <v>0</v>
      </c>
      <c r="K775" s="82">
        <f t="shared" ca="1" si="78"/>
        <v>0</v>
      </c>
      <c r="L775" s="82">
        <f t="shared" ca="1" si="78"/>
        <v>0</v>
      </c>
      <c r="M775" s="82">
        <f t="shared" ca="1" si="78"/>
        <v>0</v>
      </c>
      <c r="N775" s="82">
        <f t="shared" ca="1" si="78"/>
        <v>0</v>
      </c>
      <c r="O775" s="82">
        <f t="shared" ca="1" si="78"/>
        <v>0</v>
      </c>
      <c r="P775" s="82">
        <f t="shared" ca="1" si="78"/>
        <v>555170.33239944058</v>
      </c>
      <c r="Q775" s="82">
        <f t="shared" ca="1" si="78"/>
        <v>555301.48633428232</v>
      </c>
      <c r="R775" s="82">
        <f t="shared" ca="1" si="78"/>
        <v>555488.09589311818</v>
      </c>
      <c r="S775" s="82">
        <f t="shared" ca="1" si="78"/>
        <v>555676.75973361172</v>
      </c>
      <c r="T775" s="82">
        <f t="shared" ca="1" si="78"/>
        <v>495773.71663559834</v>
      </c>
    </row>
    <row r="776" spans="4:20" outlineLevel="2"/>
    <row r="777" spans="4:20" outlineLevel="2">
      <c r="D777" s="37" t="s">
        <v>313</v>
      </c>
    </row>
    <row r="778" spans="4:20" ht="5.9" customHeight="1" outlineLevel="2"/>
    <row r="779" spans="4:20" outlineLevel="2">
      <c r="E779" s="247" t="str">
        <f>GC!C78</f>
        <v>Mains &amp; Services</v>
      </c>
      <c r="F779" s="247"/>
      <c r="G779" s="247"/>
      <c r="H779" s="247"/>
      <c r="I779" s="247"/>
      <c r="J779" s="81">
        <f ca="1">J768*(1+INDEX(J$544:J$546,MATCH(Work_Codes!$I$453,$D$544:$D$546,0)))</f>
        <v>0</v>
      </c>
      <c r="K779" s="81">
        <f ca="1">K768*(1+INDEX(K$544:K$546,MATCH(Work_Codes!$I$453,$D$544:$D$546,0)))</f>
        <v>0</v>
      </c>
      <c r="L779" s="81">
        <f ca="1">L768*(1+INDEX(L$544:L$546,MATCH(Work_Codes!$I$453,$D$544:$D$546,0)))</f>
        <v>0</v>
      </c>
      <c r="M779" s="81">
        <f ca="1">M768*(1+INDEX(M$544:M$546,MATCH(Work_Codes!$I$453,$D$544:$D$546,0)))</f>
        <v>0</v>
      </c>
      <c r="N779" s="81">
        <f ca="1">N768*(1+INDEX(N$544:N$546,MATCH(Work_Codes!$I$453,$D$544:$D$546,0)))</f>
        <v>0</v>
      </c>
      <c r="O779" s="81">
        <f ca="1">O768*(1+INDEX(O$544:O$546,MATCH(Work_Codes!$I$453,$D$544:$D$546,0)))</f>
        <v>0</v>
      </c>
      <c r="P779" s="81">
        <f ca="1">P768*(1+INDEX(P$544:P$546,MATCH(Work_Codes!$I$453,$D$544:$D$546,0)))</f>
        <v>0</v>
      </c>
      <c r="Q779" s="81">
        <f ca="1">Q768*(1+INDEX(Q$544:Q$546,MATCH(Work_Codes!$I$453,$D$544:$D$546,0)))</f>
        <v>0</v>
      </c>
      <c r="R779" s="81">
        <f ca="1">R768*(1+INDEX(R$544:R$546,MATCH(Work_Codes!$I$453,$D$544:$D$546,0)))</f>
        <v>0</v>
      </c>
      <c r="S779" s="81">
        <f ca="1">S768*(1+INDEX(S$544:S$546,MATCH(Work_Codes!$I$453,$D$544:$D$546,0)))</f>
        <v>0</v>
      </c>
      <c r="T779" s="81">
        <f ca="1">T768*(1+INDEX(T$544:T$546,MATCH(Work_Codes!$I$453,$D$544:$D$546,0)))</f>
        <v>0</v>
      </c>
    </row>
    <row r="780" spans="4:20" outlineLevel="2">
      <c r="E780" s="247" t="str">
        <f>GC!C79</f>
        <v>Meters Domestic</v>
      </c>
      <c r="F780" s="247"/>
      <c r="G780" s="247"/>
      <c r="H780" s="247"/>
      <c r="I780" s="247"/>
      <c r="J780" s="81">
        <f ca="1">J769*(1+INDEX(J$544:J$546,MATCH(Work_Codes!$I$453,$D$544:$D$546,0)))</f>
        <v>0</v>
      </c>
      <c r="K780" s="81">
        <f ca="1">K769*(1+INDEX(K$544:K$546,MATCH(Work_Codes!$I$453,$D$544:$D$546,0)))</f>
        <v>0</v>
      </c>
      <c r="L780" s="81">
        <f ca="1">L769*(1+INDEX(L$544:L$546,MATCH(Work_Codes!$I$453,$D$544:$D$546,0)))</f>
        <v>0</v>
      </c>
      <c r="M780" s="81">
        <f ca="1">M769*(1+INDEX(M$544:M$546,MATCH(Work_Codes!$I$453,$D$544:$D$546,0)))</f>
        <v>0</v>
      </c>
      <c r="N780" s="81">
        <f ca="1">N769*(1+INDEX(N$544:N$546,MATCH(Work_Codes!$I$453,$D$544:$D$546,0)))</f>
        <v>0</v>
      </c>
      <c r="O780" s="81">
        <f ca="1">O769*(1+INDEX(O$544:O$546,MATCH(Work_Codes!$I$453,$D$544:$D$546,0)))</f>
        <v>0</v>
      </c>
      <c r="P780" s="81">
        <f ca="1">P769*(1+INDEX(P$544:P$546,MATCH(Work_Codes!$I$453,$D$544:$D$546,0)))</f>
        <v>0</v>
      </c>
      <c r="Q780" s="81">
        <f ca="1">Q769*(1+INDEX(Q$544:Q$546,MATCH(Work_Codes!$I$453,$D$544:$D$546,0)))</f>
        <v>0</v>
      </c>
      <c r="R780" s="81">
        <f ca="1">R769*(1+INDEX(R$544:R$546,MATCH(Work_Codes!$I$453,$D$544:$D$546,0)))</f>
        <v>0</v>
      </c>
      <c r="S780" s="81">
        <f ca="1">S769*(1+INDEX(S$544:S$546,MATCH(Work_Codes!$I$453,$D$544:$D$546,0)))</f>
        <v>0</v>
      </c>
      <c r="T780" s="81">
        <f ca="1">T769*(1+INDEX(T$544:T$546,MATCH(Work_Codes!$I$453,$D$544:$D$546,0)))</f>
        <v>0</v>
      </c>
    </row>
    <row r="781" spans="4:20" outlineLevel="2">
      <c r="E781" s="247" t="str">
        <f>GC!C80</f>
        <v>Meters Industrial &amp; Commercial</v>
      </c>
      <c r="F781" s="247"/>
      <c r="G781" s="247"/>
      <c r="H781" s="247"/>
      <c r="I781" s="247"/>
      <c r="J781" s="81">
        <f ca="1">J770*(1+INDEX(J$544:J$546,MATCH(Work_Codes!$I$453,$D$544:$D$546,0)))</f>
        <v>0</v>
      </c>
      <c r="K781" s="81">
        <f ca="1">K770*(1+INDEX(K$544:K$546,MATCH(Work_Codes!$I$453,$D$544:$D$546,0)))</f>
        <v>0</v>
      </c>
      <c r="L781" s="81">
        <f ca="1">L770*(1+INDEX(L$544:L$546,MATCH(Work_Codes!$I$453,$D$544:$D$546,0)))</f>
        <v>0</v>
      </c>
      <c r="M781" s="81">
        <f ca="1">M770*(1+INDEX(M$544:M$546,MATCH(Work_Codes!$I$453,$D$544:$D$546,0)))</f>
        <v>0</v>
      </c>
      <c r="N781" s="81">
        <f ca="1">N770*(1+INDEX(N$544:N$546,MATCH(Work_Codes!$I$453,$D$544:$D$546,0)))</f>
        <v>0</v>
      </c>
      <c r="O781" s="81">
        <f ca="1">O770*(1+INDEX(O$544:O$546,MATCH(Work_Codes!$I$453,$D$544:$D$546,0)))</f>
        <v>0</v>
      </c>
      <c r="P781" s="81">
        <f ca="1">P770*(1+INDEX(P$544:P$546,MATCH(Work_Codes!$I$453,$D$544:$D$546,0)))</f>
        <v>0</v>
      </c>
      <c r="Q781" s="81">
        <f ca="1">Q770*(1+INDEX(Q$544:Q$546,MATCH(Work_Codes!$I$453,$D$544:$D$546,0)))</f>
        <v>0</v>
      </c>
      <c r="R781" s="81">
        <f ca="1">R770*(1+INDEX(R$544:R$546,MATCH(Work_Codes!$I$453,$D$544:$D$546,0)))</f>
        <v>0</v>
      </c>
      <c r="S781" s="81">
        <f ca="1">S770*(1+INDEX(S$544:S$546,MATCH(Work_Codes!$I$453,$D$544:$D$546,0)))</f>
        <v>0</v>
      </c>
      <c r="T781" s="81">
        <f ca="1">T770*(1+INDEX(T$544:T$546,MATCH(Work_Codes!$I$453,$D$544:$D$546,0)))</f>
        <v>0</v>
      </c>
    </row>
    <row r="782" spans="4:20" outlineLevel="2">
      <c r="E782" s="247" t="str">
        <f>GC!C81</f>
        <v>Buildings</v>
      </c>
      <c r="F782" s="247"/>
      <c r="G782" s="247"/>
      <c r="H782" s="247"/>
      <c r="I782" s="247"/>
      <c r="J782" s="81">
        <f ca="1">J771*(1+INDEX(J$544:J$546,MATCH(Work_Codes!$I$453,$D$544:$D$546,0)))</f>
        <v>0</v>
      </c>
      <c r="K782" s="81">
        <f ca="1">K771*(1+INDEX(K$544:K$546,MATCH(Work_Codes!$I$453,$D$544:$D$546,0)))</f>
        <v>0</v>
      </c>
      <c r="L782" s="81">
        <f ca="1">L771*(1+INDEX(L$544:L$546,MATCH(Work_Codes!$I$453,$D$544:$D$546,0)))</f>
        <v>0</v>
      </c>
      <c r="M782" s="81">
        <f ca="1">M771*(1+INDEX(M$544:M$546,MATCH(Work_Codes!$I$453,$D$544:$D$546,0)))</f>
        <v>0</v>
      </c>
      <c r="N782" s="81">
        <f ca="1">N771*(1+INDEX(N$544:N$546,MATCH(Work_Codes!$I$453,$D$544:$D$546,0)))</f>
        <v>0</v>
      </c>
      <c r="O782" s="81">
        <f ca="1">O771*(1+INDEX(O$544:O$546,MATCH(Work_Codes!$I$453,$D$544:$D$546,0)))</f>
        <v>0</v>
      </c>
      <c r="P782" s="81">
        <f ca="1">P771*(1+INDEX(P$544:P$546,MATCH(Work_Codes!$I$453,$D$544:$D$546,0)))</f>
        <v>0</v>
      </c>
      <c r="Q782" s="81">
        <f ca="1">Q771*(1+INDEX(Q$544:Q$546,MATCH(Work_Codes!$I$453,$D$544:$D$546,0)))</f>
        <v>0</v>
      </c>
      <c r="R782" s="81">
        <f ca="1">R771*(1+INDEX(R$544:R$546,MATCH(Work_Codes!$I$453,$D$544:$D$546,0)))</f>
        <v>0</v>
      </c>
      <c r="S782" s="81">
        <f ca="1">S771*(1+INDEX(S$544:S$546,MATCH(Work_Codes!$I$453,$D$544:$D$546,0)))</f>
        <v>0</v>
      </c>
      <c r="T782" s="81">
        <f ca="1">T771*(1+INDEX(T$544:T$546,MATCH(Work_Codes!$I$453,$D$544:$D$546,0)))</f>
        <v>0</v>
      </c>
    </row>
    <row r="783" spans="4:20" outlineLevel="2">
      <c r="E783" s="247" t="str">
        <f>GC!C82</f>
        <v>Other Assets</v>
      </c>
      <c r="F783" s="247"/>
      <c r="G783" s="247"/>
      <c r="H783" s="247"/>
      <c r="I783" s="247"/>
      <c r="J783" s="81">
        <f ca="1">J772*(1+INDEX(J$544:J$546,MATCH(Work_Codes!$I$453,$D$544:$D$546,0)))</f>
        <v>0</v>
      </c>
      <c r="K783" s="81">
        <f ca="1">K772*(1+INDEX(K$544:K$546,MATCH(Work_Codes!$I$453,$D$544:$D$546,0)))</f>
        <v>0</v>
      </c>
      <c r="L783" s="81">
        <f ca="1">L772*(1+INDEX(L$544:L$546,MATCH(Work_Codes!$I$453,$D$544:$D$546,0)))</f>
        <v>0</v>
      </c>
      <c r="M783" s="81">
        <f ca="1">M772*(1+INDEX(M$544:M$546,MATCH(Work_Codes!$I$453,$D$544:$D$546,0)))</f>
        <v>0</v>
      </c>
      <c r="N783" s="81">
        <f ca="1">N772*(1+INDEX(N$544:N$546,MATCH(Work_Codes!$I$453,$D$544:$D$546,0)))</f>
        <v>0</v>
      </c>
      <c r="O783" s="81">
        <f ca="1">O772*(1+INDEX(O$544:O$546,MATCH(Work_Codes!$I$453,$D$544:$D$546,0)))</f>
        <v>0</v>
      </c>
      <c r="P783" s="81">
        <f ca="1">P772*(1+INDEX(P$544:P$546,MATCH(Work_Codes!$I$453,$D$544:$D$546,0)))</f>
        <v>570022.61582925939</v>
      </c>
      <c r="Q783" s="81">
        <f ca="1">Q772*(1+INDEX(Q$544:Q$546,MATCH(Work_Codes!$I$453,$D$544:$D$546,0)))</f>
        <v>569772.96922392305</v>
      </c>
      <c r="R783" s="81">
        <f ca="1">R772*(1+INDEX(R$544:R$546,MATCH(Work_Codes!$I$453,$D$544:$D$546,0)))</f>
        <v>570415.73082008737</v>
      </c>
      <c r="S783" s="81">
        <f ca="1">S772*(1+INDEX(S$544:S$546,MATCH(Work_Codes!$I$453,$D$544:$D$546,0)))</f>
        <v>571539.20794315648</v>
      </c>
      <c r="T783" s="81">
        <f ca="1">T772*(1+INDEX(T$544:T$546,MATCH(Work_Codes!$I$453,$D$544:$D$546,0)))</f>
        <v>510607.45374078274</v>
      </c>
    </row>
    <row r="784" spans="4:20" outlineLevel="2">
      <c r="E784" s="247" t="str">
        <f>GC!C83</f>
        <v>Repairs</v>
      </c>
      <c r="F784" s="247"/>
      <c r="G784" s="247"/>
      <c r="H784" s="247"/>
      <c r="I784" s="247"/>
      <c r="J784" s="81">
        <f ca="1">J773*(1+INDEX(J$544:J$546,MATCH(Work_Codes!$I$453,$D$544:$D$546,0)))</f>
        <v>0</v>
      </c>
      <c r="K784" s="81">
        <f ca="1">K773*(1+INDEX(K$544:K$546,MATCH(Work_Codes!$I$453,$D$544:$D$546,0)))</f>
        <v>0</v>
      </c>
      <c r="L784" s="81">
        <f ca="1">L773*(1+INDEX(L$544:L$546,MATCH(Work_Codes!$I$453,$D$544:$D$546,0)))</f>
        <v>0</v>
      </c>
      <c r="M784" s="81">
        <f ca="1">M773*(1+INDEX(M$544:M$546,MATCH(Work_Codes!$I$453,$D$544:$D$546,0)))</f>
        <v>0</v>
      </c>
      <c r="N784" s="81">
        <f ca="1">N773*(1+INDEX(N$544:N$546,MATCH(Work_Codes!$I$453,$D$544:$D$546,0)))</f>
        <v>0</v>
      </c>
      <c r="O784" s="81">
        <f ca="1">O773*(1+INDEX(O$544:O$546,MATCH(Work_Codes!$I$453,$D$544:$D$546,0)))</f>
        <v>0</v>
      </c>
      <c r="P784" s="81">
        <f ca="1">P773*(1+INDEX(P$544:P$546,MATCH(Work_Codes!$I$453,$D$544:$D$546,0)))</f>
        <v>0</v>
      </c>
      <c r="Q784" s="81">
        <f ca="1">Q773*(1+INDEX(Q$544:Q$546,MATCH(Work_Codes!$I$453,$D$544:$D$546,0)))</f>
        <v>0</v>
      </c>
      <c r="R784" s="81">
        <f ca="1">R773*(1+INDEX(R$544:R$546,MATCH(Work_Codes!$I$453,$D$544:$D$546,0)))</f>
        <v>0</v>
      </c>
      <c r="S784" s="81">
        <f ca="1">S773*(1+INDEX(S$544:S$546,MATCH(Work_Codes!$I$453,$D$544:$D$546,0)))</f>
        <v>0</v>
      </c>
      <c r="T784" s="81">
        <f ca="1">T773*(1+INDEX(T$544:T$546,MATCH(Work_Codes!$I$453,$D$544:$D$546,0)))</f>
        <v>0</v>
      </c>
    </row>
    <row r="785" spans="2:20" outlineLevel="2">
      <c r="E785" s="247" t="str">
        <f>GC!C84</f>
        <v>Land</v>
      </c>
      <c r="F785" s="247"/>
      <c r="G785" s="247"/>
      <c r="H785" s="247"/>
      <c r="I785" s="247"/>
      <c r="J785" s="81">
        <f ca="1">J774*(1+INDEX(J$544:J$546,MATCH(Work_Codes!$I$453,$D$544:$D$546,0)))</f>
        <v>0</v>
      </c>
      <c r="K785" s="81">
        <f ca="1">K774*(1+INDEX(K$544:K$546,MATCH(Work_Codes!$I$453,$D$544:$D$546,0)))</f>
        <v>0</v>
      </c>
      <c r="L785" s="81">
        <f ca="1">L774*(1+INDEX(L$544:L$546,MATCH(Work_Codes!$I$453,$D$544:$D$546,0)))</f>
        <v>0</v>
      </c>
      <c r="M785" s="81">
        <f ca="1">M774*(1+INDEX(M$544:M$546,MATCH(Work_Codes!$I$453,$D$544:$D$546,0)))</f>
        <v>0</v>
      </c>
      <c r="N785" s="81">
        <f ca="1">N774*(1+INDEX(N$544:N$546,MATCH(Work_Codes!$I$453,$D$544:$D$546,0)))</f>
        <v>0</v>
      </c>
      <c r="O785" s="81">
        <f ca="1">O774*(1+INDEX(O$544:O$546,MATCH(Work_Codes!$I$453,$D$544:$D$546,0)))</f>
        <v>0</v>
      </c>
      <c r="P785" s="81">
        <f ca="1">P774*(1+INDEX(P$544:P$546,MATCH(Work_Codes!$I$453,$D$544:$D$546,0)))</f>
        <v>0</v>
      </c>
      <c r="Q785" s="81">
        <f ca="1">Q774*(1+INDEX(Q$544:Q$546,MATCH(Work_Codes!$I$453,$D$544:$D$546,0)))</f>
        <v>0</v>
      </c>
      <c r="R785" s="81">
        <f ca="1">R774*(1+INDEX(R$544:R$546,MATCH(Work_Codes!$I$453,$D$544:$D$546,0)))</f>
        <v>0</v>
      </c>
      <c r="S785" s="81">
        <f ca="1">S774*(1+INDEX(S$544:S$546,MATCH(Work_Codes!$I$453,$D$544:$D$546,0)))</f>
        <v>0</v>
      </c>
      <c r="T785" s="81">
        <f ca="1">T774*(1+INDEX(T$544:T$546,MATCH(Work_Codes!$I$453,$D$544:$D$546,0)))</f>
        <v>0</v>
      </c>
    </row>
    <row r="786" spans="2:20" outlineLevel="2">
      <c r="E786" s="249" t="str">
        <f>"Total "&amp;D777</f>
        <v>Total Direct Costs +  Overheads</v>
      </c>
      <c r="F786" s="249"/>
      <c r="G786" s="249"/>
      <c r="H786" s="249"/>
      <c r="I786" s="249"/>
      <c r="J786" s="82">
        <f t="shared" ref="J786:T786" ca="1" si="79">SUM(J779:J785)</f>
        <v>0</v>
      </c>
      <c r="K786" s="82">
        <f t="shared" ca="1" si="79"/>
        <v>0</v>
      </c>
      <c r="L786" s="82">
        <f t="shared" ca="1" si="79"/>
        <v>0</v>
      </c>
      <c r="M786" s="82">
        <f t="shared" ca="1" si="79"/>
        <v>0</v>
      </c>
      <c r="N786" s="82">
        <f t="shared" ca="1" si="79"/>
        <v>0</v>
      </c>
      <c r="O786" s="82">
        <f t="shared" ca="1" si="79"/>
        <v>0</v>
      </c>
      <c r="P786" s="82">
        <f t="shared" ca="1" si="79"/>
        <v>570022.61582925939</v>
      </c>
      <c r="Q786" s="82">
        <f t="shared" ca="1" si="79"/>
        <v>569772.96922392305</v>
      </c>
      <c r="R786" s="82">
        <f t="shared" ca="1" si="79"/>
        <v>570415.73082008737</v>
      </c>
      <c r="S786" s="82">
        <f t="shared" ca="1" si="79"/>
        <v>571539.20794315648</v>
      </c>
      <c r="T786" s="82">
        <f t="shared" ca="1" si="79"/>
        <v>510607.45374078274</v>
      </c>
    </row>
    <row r="787" spans="2:20" outlineLevel="1">
      <c r="B787" s="12"/>
      <c r="C787" s="12"/>
      <c r="D787" s="12"/>
      <c r="E787" s="12"/>
      <c r="F787" s="12"/>
      <c r="G787" s="12"/>
      <c r="H787" s="12"/>
      <c r="I787" s="12"/>
      <c r="J787" s="12"/>
      <c r="K787" s="12"/>
      <c r="L787" s="12"/>
      <c r="M787" s="12"/>
      <c r="N787" s="12"/>
      <c r="O787" s="12"/>
      <c r="P787" s="12"/>
      <c r="Q787" s="12"/>
      <c r="R787" s="12"/>
      <c r="S787" s="12"/>
      <c r="T787" s="12"/>
    </row>
    <row r="788" spans="2:20" outlineLevel="1"/>
    <row r="789" spans="2:20" outlineLevel="1">
      <c r="C789" s="37" t="s">
        <v>19</v>
      </c>
    </row>
    <row r="790" spans="2:20" ht="5.9" customHeight="1" outlineLevel="1"/>
    <row r="791" spans="2:20" outlineLevel="1">
      <c r="F791" s="51" t="str">
        <f>$B$532&amp;" Work Code v RAB Category Direct Check"</f>
        <v>3025 - Inputs Work Code v RAB Category Direct Check</v>
      </c>
      <c r="I791" s="130">
        <f ca="1">IF(ISERROR(SUM(J791:T791)),1,MIN(SUM(J791:T791),1))</f>
        <v>0</v>
      </c>
      <c r="J791" s="81">
        <f t="shared" ref="J791:T791" ca="1" si="80">J621-J644</f>
        <v>0</v>
      </c>
      <c r="K791" s="81">
        <f t="shared" ca="1" si="80"/>
        <v>0</v>
      </c>
      <c r="L791" s="81">
        <f t="shared" ca="1" si="80"/>
        <v>0</v>
      </c>
      <c r="M791" s="81">
        <f t="shared" ca="1" si="80"/>
        <v>0</v>
      </c>
      <c r="N791" s="81">
        <f t="shared" ca="1" si="80"/>
        <v>0</v>
      </c>
      <c r="O791" s="81">
        <f t="shared" ca="1" si="80"/>
        <v>0</v>
      </c>
      <c r="P791" s="81">
        <f t="shared" ca="1" si="80"/>
        <v>0</v>
      </c>
      <c r="Q791" s="81">
        <f t="shared" ca="1" si="80"/>
        <v>0</v>
      </c>
      <c r="R791" s="81">
        <f t="shared" ca="1" si="80"/>
        <v>0</v>
      </c>
      <c r="S791" s="81">
        <f t="shared" ca="1" si="80"/>
        <v>0</v>
      </c>
      <c r="T791" s="81">
        <f t="shared" ca="1" si="80"/>
        <v>0</v>
      </c>
    </row>
    <row r="792" spans="2:20" outlineLevel="1">
      <c r="F792" s="51" t="str">
        <f>$B$532&amp;" Work Code v RIN Category Direct Check"</f>
        <v>3025 - Inputs Work Code v RIN Category Direct Check</v>
      </c>
      <c r="I792" s="130">
        <f ca="1">IF(ISERROR(SUM(J792:T792)),1,MIN(SUM(J792:T792),1))</f>
        <v>0</v>
      </c>
      <c r="J792" s="81">
        <f t="shared" ref="J792:T792" ca="1" si="81">J621-J725</f>
        <v>0</v>
      </c>
      <c r="K792" s="81">
        <f t="shared" ca="1" si="81"/>
        <v>0</v>
      </c>
      <c r="L792" s="81">
        <f t="shared" ca="1" si="81"/>
        <v>0</v>
      </c>
      <c r="M792" s="81">
        <f t="shared" ca="1" si="81"/>
        <v>0</v>
      </c>
      <c r="N792" s="81">
        <f t="shared" ca="1" si="81"/>
        <v>0</v>
      </c>
      <c r="O792" s="81">
        <f t="shared" ca="1" si="81"/>
        <v>0</v>
      </c>
      <c r="P792" s="81">
        <f t="shared" ca="1" si="81"/>
        <v>0</v>
      </c>
      <c r="Q792" s="81">
        <f t="shared" ca="1" si="81"/>
        <v>0</v>
      </c>
      <c r="R792" s="81">
        <f t="shared" ca="1" si="81"/>
        <v>0</v>
      </c>
      <c r="S792" s="81">
        <f t="shared" ca="1" si="81"/>
        <v>0</v>
      </c>
      <c r="T792" s="81">
        <f t="shared" ca="1" si="81"/>
        <v>0</v>
      </c>
    </row>
    <row r="793" spans="2:20" outlineLevel="1">
      <c r="F793" s="51" t="str">
        <f>$B$532&amp;" Work Code v Tax Category Direct Check"</f>
        <v>3025 - Inputs Work Code v Tax Category Direct Check</v>
      </c>
      <c r="I793" s="130">
        <f ca="1">IF(ISERROR(SUM(J793:T793)),1,MIN(SUM(J793:T793),1))</f>
        <v>0</v>
      </c>
      <c r="J793" s="81">
        <f t="shared" ref="J793:T793" ca="1" si="82">J621-J775</f>
        <v>0</v>
      </c>
      <c r="K793" s="81">
        <f t="shared" ca="1" si="82"/>
        <v>0</v>
      </c>
      <c r="L793" s="81">
        <f t="shared" ca="1" si="82"/>
        <v>0</v>
      </c>
      <c r="M793" s="81">
        <f t="shared" ca="1" si="82"/>
        <v>0</v>
      </c>
      <c r="N793" s="81">
        <f t="shared" ca="1" si="82"/>
        <v>0</v>
      </c>
      <c r="O793" s="81">
        <f t="shared" ca="1" si="82"/>
        <v>0</v>
      </c>
      <c r="P793" s="81">
        <f t="shared" ca="1" si="82"/>
        <v>0</v>
      </c>
      <c r="Q793" s="81">
        <f t="shared" ca="1" si="82"/>
        <v>0</v>
      </c>
      <c r="R793" s="81">
        <f t="shared" ca="1" si="82"/>
        <v>0</v>
      </c>
      <c r="S793" s="81">
        <f t="shared" ca="1" si="82"/>
        <v>0</v>
      </c>
      <c r="T793" s="81">
        <f t="shared" ca="1" si="82"/>
        <v>0</v>
      </c>
    </row>
    <row r="794" spans="2:20" outlineLevel="1">
      <c r="F794" s="51" t="str">
        <f>$B$532&amp;" Customer Contributions v RAB Category Direct Check"</f>
        <v>3025 - Inputs Customer Contributions v RAB Category Direct Check</v>
      </c>
      <c r="I794" s="130">
        <f ca="1">IF(ISERROR(SUM(J794:T794)),1,MIN(SUM(J794:T794),1))</f>
        <v>0</v>
      </c>
      <c r="J794" s="81">
        <f t="shared" ref="J794:T794" ca="1" si="83">J582-J704</f>
        <v>0</v>
      </c>
      <c r="K794" s="81">
        <f t="shared" ca="1" si="83"/>
        <v>0</v>
      </c>
      <c r="L794" s="81">
        <f t="shared" ca="1" si="83"/>
        <v>0</v>
      </c>
      <c r="M794" s="81">
        <f t="shared" ca="1" si="83"/>
        <v>0</v>
      </c>
      <c r="N794" s="81">
        <f t="shared" ca="1" si="83"/>
        <v>0</v>
      </c>
      <c r="O794" s="81">
        <f t="shared" ca="1" si="83"/>
        <v>0</v>
      </c>
      <c r="P794" s="81">
        <f t="shared" ca="1" si="83"/>
        <v>0</v>
      </c>
      <c r="Q794" s="81">
        <f t="shared" ca="1" si="83"/>
        <v>0</v>
      </c>
      <c r="R794" s="81">
        <f t="shared" ca="1" si="83"/>
        <v>0</v>
      </c>
      <c r="S794" s="81">
        <f t="shared" ca="1" si="83"/>
        <v>0</v>
      </c>
      <c r="T794" s="81">
        <f t="shared" ca="1" si="83"/>
        <v>0</v>
      </c>
    </row>
    <row r="795" spans="2:20" ht="5.9" customHeight="1" outlineLevel="1"/>
    <row r="796" spans="2:20" outlineLevel="1">
      <c r="F796" s="51" t="str">
        <f>$B$532&amp;" RAB v RIN Direct + Overhead Check"</f>
        <v>3025 - Inputs RAB v RIN Direct + Overhead Check</v>
      </c>
      <c r="I796" s="130">
        <f ca="1">IF(ISERROR(SUM(J796:T796)),1,MIN(SUM(J796:T796),1))</f>
        <v>0</v>
      </c>
      <c r="J796" s="81">
        <f t="shared" ref="J796:T796" ca="1" si="84">J684-J743</f>
        <v>0</v>
      </c>
      <c r="K796" s="81">
        <f t="shared" ca="1" si="84"/>
        <v>0</v>
      </c>
      <c r="L796" s="81">
        <f t="shared" ca="1" si="84"/>
        <v>0</v>
      </c>
      <c r="M796" s="81">
        <f t="shared" ca="1" si="84"/>
        <v>0</v>
      </c>
      <c r="N796" s="81">
        <f t="shared" ca="1" si="84"/>
        <v>0</v>
      </c>
      <c r="O796" s="81">
        <f t="shared" ca="1" si="84"/>
        <v>0</v>
      </c>
      <c r="P796" s="81">
        <f t="shared" ca="1" si="84"/>
        <v>0</v>
      </c>
      <c r="Q796" s="81">
        <f t="shared" ca="1" si="84"/>
        <v>0</v>
      </c>
      <c r="R796" s="81">
        <f t="shared" ca="1" si="84"/>
        <v>0</v>
      </c>
      <c r="S796" s="81">
        <f t="shared" ca="1" si="84"/>
        <v>0</v>
      </c>
      <c r="T796" s="81">
        <f t="shared" ca="1" si="84"/>
        <v>0</v>
      </c>
    </row>
    <row r="797" spans="2:20" outlineLevel="1">
      <c r="F797" s="51" t="str">
        <f>$B$532&amp;" RAB v Tax Direct + Overhead Check"</f>
        <v>3025 - Inputs RAB v Tax Direct + Overhead Check</v>
      </c>
      <c r="I797" s="130">
        <f ca="1">IF(ISERROR(SUM(J797:T797)),1,MIN(SUM(J797:T797),1))</f>
        <v>0</v>
      </c>
      <c r="J797" s="81">
        <f t="shared" ref="J797:T797" ca="1" si="85">J684-J786</f>
        <v>0</v>
      </c>
      <c r="K797" s="81">
        <f t="shared" ca="1" si="85"/>
        <v>0</v>
      </c>
      <c r="L797" s="81">
        <f t="shared" ca="1" si="85"/>
        <v>0</v>
      </c>
      <c r="M797" s="81">
        <f t="shared" ca="1" si="85"/>
        <v>0</v>
      </c>
      <c r="N797" s="81">
        <f t="shared" ca="1" si="85"/>
        <v>0</v>
      </c>
      <c r="O797" s="81">
        <f t="shared" ca="1" si="85"/>
        <v>0</v>
      </c>
      <c r="P797" s="81">
        <f t="shared" ca="1" si="85"/>
        <v>0</v>
      </c>
      <c r="Q797" s="81">
        <f t="shared" ca="1" si="85"/>
        <v>0</v>
      </c>
      <c r="R797" s="81">
        <f t="shared" ca="1" si="85"/>
        <v>0</v>
      </c>
      <c r="S797" s="81">
        <f t="shared" ca="1" si="85"/>
        <v>0</v>
      </c>
      <c r="T797" s="81">
        <f t="shared" ca="1" si="85"/>
        <v>0</v>
      </c>
    </row>
    <row r="798" spans="2:20" ht="12" outlineLevel="1" thickBot="1">
      <c r="B798" s="94"/>
      <c r="C798" s="94"/>
      <c r="D798" s="94"/>
      <c r="E798" s="94"/>
      <c r="F798" s="94"/>
      <c r="G798" s="94"/>
      <c r="H798" s="94"/>
      <c r="I798" s="94"/>
      <c r="J798" s="94"/>
      <c r="K798" s="94"/>
      <c r="L798" s="94"/>
      <c r="M798" s="94"/>
      <c r="N798" s="94"/>
      <c r="O798" s="94"/>
      <c r="P798" s="94"/>
      <c r="Q798" s="94"/>
      <c r="R798" s="94"/>
      <c r="S798" s="94"/>
      <c r="T798" s="94"/>
    </row>
  </sheetData>
  <sheetProtection formatColumns="0" formatRows="0"/>
  <mergeCells count="406">
    <mergeCell ref="E503:I503"/>
    <mergeCell ref="E504:I504"/>
    <mergeCell ref="E505:I505"/>
    <mergeCell ref="E506:I506"/>
    <mergeCell ref="E664:I664"/>
    <mergeCell ref="E648:I648"/>
    <mergeCell ref="E396:I396"/>
    <mergeCell ref="E380:I380"/>
    <mergeCell ref="E381:I381"/>
    <mergeCell ref="E382:I382"/>
    <mergeCell ref="E400:I400"/>
    <mergeCell ref="E433:I433"/>
    <mergeCell ref="E434:I434"/>
    <mergeCell ref="E435:I435"/>
    <mergeCell ref="E758:I758"/>
    <mergeCell ref="E493:I493"/>
    <mergeCell ref="E479:I479"/>
    <mergeCell ref="E480:I480"/>
    <mergeCell ref="E481:I481"/>
    <mergeCell ref="E483:I483"/>
    <mergeCell ref="E484:I484"/>
    <mergeCell ref="E485:I485"/>
    <mergeCell ref="E486:I486"/>
    <mergeCell ref="E487:I487"/>
    <mergeCell ref="E488:I488"/>
    <mergeCell ref="E489:I489"/>
    <mergeCell ref="E490:I490"/>
    <mergeCell ref="E507:I507"/>
    <mergeCell ref="E501:I501"/>
    <mergeCell ref="E502:I502"/>
    <mergeCell ref="D582:I582"/>
    <mergeCell ref="E181:I181"/>
    <mergeCell ref="E165:I165"/>
    <mergeCell ref="E166:I166"/>
    <mergeCell ref="E167:I167"/>
    <mergeCell ref="E168:I168"/>
    <mergeCell ref="E169:I169"/>
    <mergeCell ref="E170:I170"/>
    <mergeCell ref="E171:I171"/>
    <mergeCell ref="E172:I172"/>
    <mergeCell ref="E173:I173"/>
    <mergeCell ref="E174:I174"/>
    <mergeCell ref="E175:I175"/>
    <mergeCell ref="E176:I176"/>
    <mergeCell ref="E436:I436"/>
    <mergeCell ref="E444:I444"/>
    <mergeCell ref="E446:I446"/>
    <mergeCell ref="E445:I445"/>
    <mergeCell ref="E447:I447"/>
    <mergeCell ref="E448:I448"/>
    <mergeCell ref="E449:I449"/>
    <mergeCell ref="E450:I450"/>
    <mergeCell ref="E492:I492"/>
    <mergeCell ref="E229:I229"/>
    <mergeCell ref="D61:I61"/>
    <mergeCell ref="D77:I77"/>
    <mergeCell ref="D84:I84"/>
    <mergeCell ref="D91:I91"/>
    <mergeCell ref="D98:I98"/>
    <mergeCell ref="E202:I202"/>
    <mergeCell ref="E188:I188"/>
    <mergeCell ref="E189:I189"/>
    <mergeCell ref="E190:I190"/>
    <mergeCell ref="E191:I191"/>
    <mergeCell ref="E105:I105"/>
    <mergeCell ref="E106:I106"/>
    <mergeCell ref="E107:I107"/>
    <mergeCell ref="E108:I108"/>
    <mergeCell ref="E109:I109"/>
    <mergeCell ref="E110:I110"/>
    <mergeCell ref="E111:I111"/>
    <mergeCell ref="E112:I112"/>
    <mergeCell ref="D67:I67"/>
    <mergeCell ref="E132:I132"/>
    <mergeCell ref="E133:I133"/>
    <mergeCell ref="E135:I135"/>
    <mergeCell ref="E136:I136"/>
    <mergeCell ref="E148:I148"/>
    <mergeCell ref="E226:I226"/>
    <mergeCell ref="E227:I227"/>
    <mergeCell ref="E228:I228"/>
    <mergeCell ref="E491:I491"/>
    <mergeCell ref="E216:I216"/>
    <mergeCell ref="E420:I420"/>
    <mergeCell ref="E421:I421"/>
    <mergeCell ref="E422:I422"/>
    <mergeCell ref="E416:I416"/>
    <mergeCell ref="E482:I482"/>
    <mergeCell ref="D322:I322"/>
    <mergeCell ref="E230:I230"/>
    <mergeCell ref="E231:I231"/>
    <mergeCell ref="E232:I232"/>
    <mergeCell ref="E233:I233"/>
    <mergeCell ref="E234:I234"/>
    <mergeCell ref="E235:I235"/>
    <mergeCell ref="E236:I236"/>
    <mergeCell ref="E237:I237"/>
    <mergeCell ref="E256:I256"/>
    <mergeCell ref="E257:I257"/>
    <mergeCell ref="E258:I258"/>
    <mergeCell ref="E259:I259"/>
    <mergeCell ref="E457:I457"/>
    <mergeCell ref="E238:I238"/>
    <mergeCell ref="E224:I224"/>
    <mergeCell ref="E113:I113"/>
    <mergeCell ref="E114:I114"/>
    <mergeCell ref="E115:I115"/>
    <mergeCell ref="E116:I116"/>
    <mergeCell ref="E149:I149"/>
    <mergeCell ref="E150:I150"/>
    <mergeCell ref="E209:I209"/>
    <mergeCell ref="E210:I210"/>
    <mergeCell ref="E151:I151"/>
    <mergeCell ref="E152:I152"/>
    <mergeCell ref="E153:I153"/>
    <mergeCell ref="E201:I201"/>
    <mergeCell ref="E117:I117"/>
    <mergeCell ref="E118:I118"/>
    <mergeCell ref="E119:I119"/>
    <mergeCell ref="E120:I120"/>
    <mergeCell ref="E131:I131"/>
    <mergeCell ref="E121:I121"/>
    <mergeCell ref="E145:I145"/>
    <mergeCell ref="E146:I146"/>
    <mergeCell ref="E147:I147"/>
    <mergeCell ref="E225:I225"/>
    <mergeCell ref="E211:I211"/>
    <mergeCell ref="E197:I197"/>
    <mergeCell ref="E125:I125"/>
    <mergeCell ref="E126:I126"/>
    <mergeCell ref="E127:I127"/>
    <mergeCell ref="E206:I206"/>
    <mergeCell ref="E207:I207"/>
    <mergeCell ref="E208:I208"/>
    <mergeCell ref="E158:I158"/>
    <mergeCell ref="E159:I159"/>
    <mergeCell ref="E160:I160"/>
    <mergeCell ref="E177:I177"/>
    <mergeCell ref="E178:I178"/>
    <mergeCell ref="E179:I179"/>
    <mergeCell ref="E180:I180"/>
    <mergeCell ref="E137:I137"/>
    <mergeCell ref="E138:I138"/>
    <mergeCell ref="E139:I139"/>
    <mergeCell ref="E140:I140"/>
    <mergeCell ref="E157:I157"/>
    <mergeCell ref="E134:I134"/>
    <mergeCell ref="E128:I128"/>
    <mergeCell ref="E129:I129"/>
    <mergeCell ref="E474:I474"/>
    <mergeCell ref="E466:I466"/>
    <mergeCell ref="E451:I451"/>
    <mergeCell ref="E453:I453"/>
    <mergeCell ref="E431:I431"/>
    <mergeCell ref="E473:I473"/>
    <mergeCell ref="E468:I468"/>
    <mergeCell ref="E246:I246"/>
    <mergeCell ref="E247:I247"/>
    <mergeCell ref="E385:I385"/>
    <mergeCell ref="E386:I386"/>
    <mergeCell ref="E411:I411"/>
    <mergeCell ref="E369:I369"/>
    <mergeCell ref="E370:I370"/>
    <mergeCell ref="E360:I360"/>
    <mergeCell ref="E361:I361"/>
    <mergeCell ref="E362:I362"/>
    <mergeCell ref="E363:I363"/>
    <mergeCell ref="E364:I364"/>
    <mergeCell ref="E467:I467"/>
    <mergeCell ref="E260:I260"/>
    <mergeCell ref="E443:I443"/>
    <mergeCell ref="E410:I410"/>
    <mergeCell ref="E408:I408"/>
    <mergeCell ref="E424:I424"/>
    <mergeCell ref="E391:I391"/>
    <mergeCell ref="E392:I392"/>
    <mergeCell ref="E393:I393"/>
    <mergeCell ref="E394:I394"/>
    <mergeCell ref="E395:I395"/>
    <mergeCell ref="E412:I412"/>
    <mergeCell ref="E130:I130"/>
    <mergeCell ref="E217:I217"/>
    <mergeCell ref="E218:I218"/>
    <mergeCell ref="E371:I371"/>
    <mergeCell ref="E215:I215"/>
    <mergeCell ref="E154:I154"/>
    <mergeCell ref="E155:I155"/>
    <mergeCell ref="E199:I199"/>
    <mergeCell ref="E200:I200"/>
    <mergeCell ref="E161:I161"/>
    <mergeCell ref="E192:I192"/>
    <mergeCell ref="E193:I193"/>
    <mergeCell ref="E194:I194"/>
    <mergeCell ref="E195:I195"/>
    <mergeCell ref="E196:I196"/>
    <mergeCell ref="E198:I198"/>
    <mergeCell ref="E156:I156"/>
    <mergeCell ref="E634:I634"/>
    <mergeCell ref="E387:I387"/>
    <mergeCell ref="E388:I388"/>
    <mergeCell ref="E376:I376"/>
    <mergeCell ref="E367:I367"/>
    <mergeCell ref="E368:I368"/>
    <mergeCell ref="E384:I384"/>
    <mergeCell ref="E500:I500"/>
    <mergeCell ref="E389:I389"/>
    <mergeCell ref="E413:I413"/>
    <mergeCell ref="E414:I414"/>
    <mergeCell ref="E415:I415"/>
    <mergeCell ref="E425:I425"/>
    <mergeCell ref="E426:I426"/>
    <mergeCell ref="E427:I427"/>
    <mergeCell ref="E428:I428"/>
    <mergeCell ref="E429:I429"/>
    <mergeCell ref="E430:I430"/>
    <mergeCell ref="E454:I454"/>
    <mergeCell ref="E455:I455"/>
    <mergeCell ref="E456:I456"/>
    <mergeCell ref="E423:I423"/>
    <mergeCell ref="E470:I470"/>
    <mergeCell ref="E432:I432"/>
    <mergeCell ref="E212:I212"/>
    <mergeCell ref="E213:I213"/>
    <mergeCell ref="E214:I214"/>
    <mergeCell ref="E515:I515"/>
    <mergeCell ref="E516:I516"/>
    <mergeCell ref="E517:I517"/>
    <mergeCell ref="E401:I401"/>
    <mergeCell ref="E402:I402"/>
    <mergeCell ref="E409:I409"/>
    <mergeCell ref="E219:I219"/>
    <mergeCell ref="E475:I475"/>
    <mergeCell ref="E461:I461"/>
    <mergeCell ref="E462:I462"/>
    <mergeCell ref="E463:I463"/>
    <mergeCell ref="E464:I464"/>
    <mergeCell ref="E465:I465"/>
    <mergeCell ref="E220:I220"/>
    <mergeCell ref="E252:I252"/>
    <mergeCell ref="E245:I245"/>
    <mergeCell ref="E452:I452"/>
    <mergeCell ref="E511:I511"/>
    <mergeCell ref="E512:I512"/>
    <mergeCell ref="E513:I513"/>
    <mergeCell ref="E514:I514"/>
    <mergeCell ref="E719:I719"/>
    <mergeCell ref="E721:I721"/>
    <mergeCell ref="E722:I722"/>
    <mergeCell ref="D576:I576"/>
    <mergeCell ref="E714:I714"/>
    <mergeCell ref="E635:I635"/>
    <mergeCell ref="E636:I636"/>
    <mergeCell ref="E637:I637"/>
    <mergeCell ref="E638:I638"/>
    <mergeCell ref="E684:I684"/>
    <mergeCell ref="E668:I668"/>
    <mergeCell ref="E669:I669"/>
    <mergeCell ref="E713:I713"/>
    <mergeCell ref="E718:I718"/>
    <mergeCell ref="E679:I679"/>
    <mergeCell ref="E704:I704"/>
    <mergeCell ref="E688:I688"/>
    <mergeCell ref="E689:I689"/>
    <mergeCell ref="E690:I690"/>
    <mergeCell ref="E691:I691"/>
    <mergeCell ref="E692:I692"/>
    <mergeCell ref="E693:I693"/>
    <mergeCell ref="E694:I694"/>
    <mergeCell ref="E695:I695"/>
    <mergeCell ref="E769:I769"/>
    <mergeCell ref="E770:I770"/>
    <mergeCell ref="E771:I771"/>
    <mergeCell ref="E724:I724"/>
    <mergeCell ref="E732:I732"/>
    <mergeCell ref="E733:I733"/>
    <mergeCell ref="E734:I734"/>
    <mergeCell ref="E735:I735"/>
    <mergeCell ref="E731:I731"/>
    <mergeCell ref="E725:I725"/>
    <mergeCell ref="E761:I761"/>
    <mergeCell ref="E747:I747"/>
    <mergeCell ref="E748:I748"/>
    <mergeCell ref="E749:I749"/>
    <mergeCell ref="E750:I750"/>
    <mergeCell ref="E751:I751"/>
    <mergeCell ref="E752:I752"/>
    <mergeCell ref="E753:I753"/>
    <mergeCell ref="E754:I754"/>
    <mergeCell ref="E755:I755"/>
    <mergeCell ref="E756:I756"/>
    <mergeCell ref="E757:I757"/>
    <mergeCell ref="E759:I759"/>
    <mergeCell ref="E760:I760"/>
    <mergeCell ref="E712:I712"/>
    <mergeCell ref="E670:I670"/>
    <mergeCell ref="E633:I633"/>
    <mergeCell ref="E786:I786"/>
    <mergeCell ref="E779:I779"/>
    <mergeCell ref="E780:I780"/>
    <mergeCell ref="E781:I781"/>
    <mergeCell ref="E782:I782"/>
    <mergeCell ref="E783:I783"/>
    <mergeCell ref="E784:I784"/>
    <mergeCell ref="E785:I785"/>
    <mergeCell ref="E775:I775"/>
    <mergeCell ref="E680:I680"/>
    <mergeCell ref="E675:I675"/>
    <mergeCell ref="E697:I697"/>
    <mergeCell ref="E698:I698"/>
    <mergeCell ref="E699:I699"/>
    <mergeCell ref="E676:I676"/>
    <mergeCell ref="E677:I677"/>
    <mergeCell ref="E658:I658"/>
    <mergeCell ref="E678:I678"/>
    <mergeCell ref="E644:I644"/>
    <mergeCell ref="E730:I730"/>
    <mergeCell ref="E768:I768"/>
    <mergeCell ref="E736:I736"/>
    <mergeCell ref="E737:I737"/>
    <mergeCell ref="E739:I739"/>
    <mergeCell ref="E740:I740"/>
    <mergeCell ref="E741:I741"/>
    <mergeCell ref="E742:I742"/>
    <mergeCell ref="E743:I743"/>
    <mergeCell ref="E729:I729"/>
    <mergeCell ref="E655:I655"/>
    <mergeCell ref="E656:I656"/>
    <mergeCell ref="E657:I657"/>
    <mergeCell ref="E723:I723"/>
    <mergeCell ref="E715:I715"/>
    <mergeCell ref="E716:I716"/>
    <mergeCell ref="E720:I720"/>
    <mergeCell ref="E738:I738"/>
    <mergeCell ref="E681:I681"/>
    <mergeCell ref="E682:I682"/>
    <mergeCell ref="E683:I683"/>
    <mergeCell ref="E700:I700"/>
    <mergeCell ref="E701:I701"/>
    <mergeCell ref="E702:I702"/>
    <mergeCell ref="E696:I696"/>
    <mergeCell ref="E711:I711"/>
    <mergeCell ref="E703:I703"/>
    <mergeCell ref="E640:I640"/>
    <mergeCell ref="E641:I641"/>
    <mergeCell ref="E642:I642"/>
    <mergeCell ref="E643:I643"/>
    <mergeCell ref="E660:I660"/>
    <mergeCell ref="E661:I661"/>
    <mergeCell ref="E662:I662"/>
    <mergeCell ref="E663:I663"/>
    <mergeCell ref="E671:I671"/>
    <mergeCell ref="E649:I649"/>
    <mergeCell ref="E650:I650"/>
    <mergeCell ref="E651:I651"/>
    <mergeCell ref="E652:I652"/>
    <mergeCell ref="E653:I653"/>
    <mergeCell ref="E654:I654"/>
    <mergeCell ref="E659:I659"/>
    <mergeCell ref="E674:I674"/>
    <mergeCell ref="E261:I261"/>
    <mergeCell ref="E263:I263"/>
    <mergeCell ref="E262:I262"/>
    <mergeCell ref="E372:I372"/>
    <mergeCell ref="E373:I373"/>
    <mergeCell ref="E374:I374"/>
    <mergeCell ref="E375:I375"/>
    <mergeCell ref="D339:I339"/>
    <mergeCell ref="D346:I346"/>
    <mergeCell ref="D353:I353"/>
    <mergeCell ref="E518:I518"/>
    <mergeCell ref="E365:I365"/>
    <mergeCell ref="E366:I366"/>
    <mergeCell ref="D315:I315"/>
    <mergeCell ref="D332:I332"/>
    <mergeCell ref="E629:I629"/>
    <mergeCell ref="E630:I630"/>
    <mergeCell ref="E631:I631"/>
    <mergeCell ref="E632:I632"/>
    <mergeCell ref="E639:I639"/>
    <mergeCell ref="D603:I603"/>
    <mergeCell ref="D612:I612"/>
    <mergeCell ref="D621:I621"/>
    <mergeCell ref="N2:O2"/>
    <mergeCell ref="E773:I773"/>
    <mergeCell ref="E774:I774"/>
    <mergeCell ref="D594:I594"/>
    <mergeCell ref="E628:I628"/>
    <mergeCell ref="E772:I772"/>
    <mergeCell ref="E141:I141"/>
    <mergeCell ref="E248:I248"/>
    <mergeCell ref="E249:I249"/>
    <mergeCell ref="E250:I250"/>
    <mergeCell ref="E251:I251"/>
    <mergeCell ref="E403:I403"/>
    <mergeCell ref="E404:I404"/>
    <mergeCell ref="E405:I405"/>
    <mergeCell ref="E406:I406"/>
    <mergeCell ref="E407:I407"/>
    <mergeCell ref="E469:I469"/>
    <mergeCell ref="E471:I471"/>
    <mergeCell ref="E472:I472"/>
    <mergeCell ref="E717:I717"/>
    <mergeCell ref="E672:I672"/>
    <mergeCell ref="E673:I673"/>
    <mergeCell ref="E390:I390"/>
    <mergeCell ref="E383:I383"/>
  </mergeCells>
  <conditionalFormatting sqref="I268">
    <cfRule type="cellIs" dxfId="719" priority="1" operator="notEqual">
      <formula>0</formula>
    </cfRule>
  </conditionalFormatting>
  <conditionalFormatting sqref="I523">
    <cfRule type="cellIs" dxfId="718" priority="2" operator="notEqual">
      <formula>0</formula>
    </cfRule>
  </conditionalFormatting>
  <conditionalFormatting sqref="I791">
    <cfRule type="cellIs" dxfId="717" priority="3" operator="notEqual">
      <formula>0</formula>
    </cfRule>
  </conditionalFormatting>
  <conditionalFormatting sqref="J268:T268">
    <cfRule type="cellIs" dxfId="716" priority="4" operator="notEqual">
      <formula>0</formula>
    </cfRule>
  </conditionalFormatting>
  <conditionalFormatting sqref="J523:T523">
    <cfRule type="cellIs" dxfId="715" priority="5" operator="notEqual">
      <formula>0</formula>
    </cfRule>
  </conditionalFormatting>
  <conditionalFormatting sqref="J791:T791">
    <cfRule type="cellIs" dxfId="714" priority="6" operator="notEqual">
      <formula>0</formula>
    </cfRule>
  </conditionalFormatting>
  <conditionalFormatting sqref="I269">
    <cfRule type="cellIs" dxfId="713" priority="7" operator="notEqual">
      <formula>0</formula>
    </cfRule>
  </conditionalFormatting>
  <conditionalFormatting sqref="I524">
    <cfRule type="cellIs" dxfId="712" priority="8" operator="notEqual">
      <formula>0</formula>
    </cfRule>
  </conditionalFormatting>
  <conditionalFormatting sqref="I792">
    <cfRule type="cellIs" dxfId="711" priority="9" operator="notEqual">
      <formula>0</formula>
    </cfRule>
  </conditionalFormatting>
  <conditionalFormatting sqref="J269:T269">
    <cfRule type="cellIs" dxfId="710" priority="10" operator="notEqual">
      <formula>0</formula>
    </cfRule>
  </conditionalFormatting>
  <conditionalFormatting sqref="J524:T524">
    <cfRule type="cellIs" dxfId="709" priority="11" operator="notEqual">
      <formula>0</formula>
    </cfRule>
  </conditionalFormatting>
  <conditionalFormatting sqref="J792:T792">
    <cfRule type="cellIs" dxfId="708" priority="12" operator="notEqual">
      <formula>0</formula>
    </cfRule>
  </conditionalFormatting>
  <conditionalFormatting sqref="I270">
    <cfRule type="cellIs" dxfId="707" priority="13" operator="notEqual">
      <formula>0</formula>
    </cfRule>
  </conditionalFormatting>
  <conditionalFormatting sqref="I525">
    <cfRule type="cellIs" dxfId="706" priority="14" operator="notEqual">
      <formula>0</formula>
    </cfRule>
  </conditionalFormatting>
  <conditionalFormatting sqref="I793">
    <cfRule type="cellIs" dxfId="705" priority="15" operator="notEqual">
      <formula>0</formula>
    </cfRule>
  </conditionalFormatting>
  <conditionalFormatting sqref="J270:T270">
    <cfRule type="cellIs" dxfId="704" priority="16" operator="notEqual">
      <formula>0</formula>
    </cfRule>
  </conditionalFormatting>
  <conditionalFormatting sqref="J525:T525">
    <cfRule type="cellIs" dxfId="703" priority="17" operator="notEqual">
      <formula>0</formula>
    </cfRule>
  </conditionalFormatting>
  <conditionalFormatting sqref="J793:T793">
    <cfRule type="cellIs" dxfId="702" priority="18" operator="notEqual">
      <formula>0</formula>
    </cfRule>
  </conditionalFormatting>
  <conditionalFormatting sqref="I273">
    <cfRule type="cellIs" dxfId="701" priority="19" operator="notEqual">
      <formula>0</formula>
    </cfRule>
  </conditionalFormatting>
  <conditionalFormatting sqref="I528">
    <cfRule type="cellIs" dxfId="700" priority="20" operator="notEqual">
      <formula>0</formula>
    </cfRule>
  </conditionalFormatting>
  <conditionalFormatting sqref="I796">
    <cfRule type="cellIs" dxfId="699" priority="21" operator="notEqual">
      <formula>0</formula>
    </cfRule>
  </conditionalFormatting>
  <conditionalFormatting sqref="J273:T273">
    <cfRule type="cellIs" dxfId="698" priority="22" operator="notEqual">
      <formula>0</formula>
    </cfRule>
  </conditionalFormatting>
  <conditionalFormatting sqref="J528:T528">
    <cfRule type="cellIs" dxfId="697" priority="23" operator="notEqual">
      <formula>0</formula>
    </cfRule>
  </conditionalFormatting>
  <conditionalFormatting sqref="J796:T796">
    <cfRule type="cellIs" dxfId="696" priority="24" operator="notEqual">
      <formula>0</formula>
    </cfRule>
  </conditionalFormatting>
  <conditionalFormatting sqref="I274">
    <cfRule type="cellIs" dxfId="695" priority="25" operator="notEqual">
      <formula>0</formula>
    </cfRule>
  </conditionalFormatting>
  <conditionalFormatting sqref="I529">
    <cfRule type="cellIs" dxfId="694" priority="26" operator="notEqual">
      <formula>0</formula>
    </cfRule>
  </conditionalFormatting>
  <conditionalFormatting sqref="I797">
    <cfRule type="cellIs" dxfId="693" priority="27" operator="notEqual">
      <formula>0</formula>
    </cfRule>
  </conditionalFormatting>
  <conditionalFormatting sqref="J274:T274">
    <cfRule type="cellIs" dxfId="692" priority="28" operator="notEqual">
      <formula>0</formula>
    </cfRule>
  </conditionalFormatting>
  <conditionalFormatting sqref="J529:T529">
    <cfRule type="cellIs" dxfId="691" priority="29" operator="notEqual">
      <formula>0</formula>
    </cfRule>
  </conditionalFormatting>
  <conditionalFormatting sqref="J797:T797">
    <cfRule type="cellIs" dxfId="690" priority="30" operator="notEqual">
      <formula>0</formula>
    </cfRule>
  </conditionalFormatting>
  <conditionalFormatting sqref="I271">
    <cfRule type="cellIs" dxfId="689" priority="31" operator="notEqual">
      <formula>0</formula>
    </cfRule>
  </conditionalFormatting>
  <conditionalFormatting sqref="I526">
    <cfRule type="cellIs" dxfId="688" priority="32" operator="notEqual">
      <formula>0</formula>
    </cfRule>
  </conditionalFormatting>
  <conditionalFormatting sqref="I794">
    <cfRule type="cellIs" dxfId="687" priority="33" operator="notEqual">
      <formula>0</formula>
    </cfRule>
  </conditionalFormatting>
  <conditionalFormatting sqref="J271:T271">
    <cfRule type="cellIs" dxfId="686" priority="34" operator="notEqual">
      <formula>0</formula>
    </cfRule>
  </conditionalFormatting>
  <conditionalFormatting sqref="J526:T526">
    <cfRule type="cellIs" dxfId="685" priority="35" operator="notEqual">
      <formula>0</formula>
    </cfRule>
  </conditionalFormatting>
  <conditionalFormatting sqref="J794:T794">
    <cfRule type="cellIs" dxfId="684" priority="36" operator="notEqual">
      <formula>0</formula>
    </cfRule>
  </conditionalFormatting>
  <dataValidations count="1">
    <dataValidation type="custom" showErrorMessage="1" errorTitle="Invalid Assumption" error="Assumption must be a number." sqref="J51:T52 J44:T45 J305:T306 J298:T299 J562:T565 J65:T65 J580:T580 J319:T320 J553:T556" xr:uid="{C36C8944-2667-4808-A8BB-844ABA1A3AE5}">
      <formula1>NOT(ISERROR(J44/1))</formula1>
    </dataValidation>
  </dataValidations>
  <hyperlinks>
    <hyperlink ref="A1" location="HL_Home" tooltip="Go to Table of Contents" display="HL_Home" xr:uid="{B20AF5F7-685A-4E61-A7CB-EF6AAC54EA8F}"/>
    <hyperlink ref="A2" location="HL_Err_Chk" tooltip="Go to Error Checks" display="HL_Err_Chk" xr:uid="{FE75A33C-3F65-4DA5-AADF-2866FEF7F139}"/>
  </hyperlinks>
  <pageMargins left="0.39370078740157499" right="0.39370078740157499" top="0.59055118110236204" bottom="0.98425196850393704" header="0" footer="0.31496062992126"/>
  <pageSetup paperSize="9" orientation="landscape" r:id="rId1"/>
  <headerFooter>
    <oddFooter>&amp;L&amp;F
&amp;A
Printed: &amp;T on &amp;D&amp;CPage &amp;P of &amp;N</oddFooter>
  </headerFooter>
  <customProperties>
    <customPr name="EpmWorksheetKeyString_GUID" r:id="rId2"/>
  </customProperties>
  <legacyDrawing r:id="rId3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0B5A5F-8EF7-4389-BE03-2609AC22B2B0}">
  <sheetPr>
    <pageSetUpPr autoPageBreaks="0"/>
  </sheetPr>
  <dimension ref="A1:T401"/>
  <sheetViews>
    <sheetView showGridLines="0" zoomScaleNormal="100" workbookViewId="0">
      <pane xSplit="9" ySplit="21" topLeftCell="J22" activePane="bottomRight" state="frozen"/>
      <selection activeCell="J61" sqref="J61:T72"/>
      <selection pane="topRight" activeCell="J61" sqref="J61:T72"/>
      <selection pane="bottomLeft" activeCell="J61" sqref="J61:T72"/>
      <selection pane="bottomRight" activeCell="J61" sqref="J61:T72"/>
    </sheetView>
  </sheetViews>
  <sheetFormatPr defaultColWidth="11.59765625" defaultRowHeight="11.5" outlineLevelRow="3"/>
  <cols>
    <col min="1" max="5" width="3.59765625" customWidth="1"/>
    <col min="6" max="7" width="15.59765625" customWidth="1"/>
    <col min="10" max="12" width="11.8984375" bestFit="1" customWidth="1"/>
    <col min="13" max="13" width="12.59765625" bestFit="1" customWidth="1"/>
    <col min="14" max="15" width="11.8984375" bestFit="1" customWidth="1"/>
    <col min="16" max="20" width="12.69921875" bestFit="1" customWidth="1"/>
  </cols>
  <sheetData>
    <row r="1" spans="1:20" ht="14">
      <c r="A1" s="10" t="s">
        <v>11</v>
      </c>
      <c r="B1" s="6" t="s">
        <v>347</v>
      </c>
    </row>
    <row r="2" spans="1:20" ht="13">
      <c r="A2" s="23" t="s">
        <v>26</v>
      </c>
      <c r="B2" s="7" t="str">
        <f ca="1">Model_Name</f>
        <v>GAAR Capex Forecast</v>
      </c>
    </row>
    <row r="3" spans="1:20">
      <c r="B3" s="30"/>
      <c r="C3" s="30"/>
      <c r="D3" s="30"/>
      <c r="E3" s="30"/>
      <c r="F3" s="30"/>
      <c r="G3" s="30"/>
      <c r="H3" s="30"/>
      <c r="I3" s="30"/>
      <c r="J3" s="30"/>
      <c r="K3" s="30"/>
      <c r="L3" s="30"/>
      <c r="M3" s="30"/>
      <c r="N3" s="30"/>
      <c r="O3" s="30"/>
      <c r="P3" s="30"/>
      <c r="Q3" s="30"/>
      <c r="R3" s="30"/>
      <c r="S3" s="30"/>
      <c r="T3" s="30"/>
    </row>
    <row r="4" spans="1:20">
      <c r="B4" s="116" t="s">
        <v>74</v>
      </c>
      <c r="C4" s="118"/>
      <c r="D4" s="118"/>
      <c r="E4" s="118"/>
      <c r="F4" s="118"/>
      <c r="G4" s="118"/>
      <c r="H4" s="118"/>
      <c r="I4" s="118"/>
      <c r="J4" s="119">
        <f t="shared" ref="J4:T4" si="0">J8</f>
        <v>43465</v>
      </c>
      <c r="K4" s="119">
        <f t="shared" si="0"/>
        <v>43830</v>
      </c>
      <c r="L4" s="119">
        <f t="shared" si="0"/>
        <v>44196</v>
      </c>
      <c r="M4" s="119">
        <f t="shared" si="0"/>
        <v>44561</v>
      </c>
      <c r="N4" s="119">
        <f t="shared" si="0"/>
        <v>44926</v>
      </c>
      <c r="O4" s="121">
        <f t="shared" si="0"/>
        <v>45107</v>
      </c>
      <c r="P4" s="121">
        <f t="shared" si="0"/>
        <v>45473</v>
      </c>
      <c r="Q4" s="121">
        <f t="shared" si="0"/>
        <v>45838</v>
      </c>
      <c r="R4" s="121">
        <f t="shared" si="0"/>
        <v>46203</v>
      </c>
      <c r="S4" s="121">
        <f t="shared" si="0"/>
        <v>46568</v>
      </c>
      <c r="T4" s="121">
        <f t="shared" si="0"/>
        <v>46934</v>
      </c>
    </row>
    <row r="5" spans="1:20">
      <c r="B5" s="117" t="s">
        <v>100</v>
      </c>
      <c r="C5" s="117"/>
      <c r="D5" s="117"/>
      <c r="E5" s="117"/>
      <c r="F5" s="117"/>
      <c r="G5" s="117"/>
      <c r="H5" s="117"/>
      <c r="I5" s="117"/>
      <c r="J5" s="120">
        <f t="shared" ref="J5:T5" si="1">YEAR(J8)</f>
        <v>2018</v>
      </c>
      <c r="K5" s="120">
        <f t="shared" si="1"/>
        <v>2019</v>
      </c>
      <c r="L5" s="120">
        <f t="shared" si="1"/>
        <v>2020</v>
      </c>
      <c r="M5" s="120">
        <f t="shared" si="1"/>
        <v>2021</v>
      </c>
      <c r="N5" s="120">
        <f t="shared" si="1"/>
        <v>2022</v>
      </c>
      <c r="O5" s="120">
        <f t="shared" si="1"/>
        <v>2023</v>
      </c>
      <c r="P5" s="120">
        <f t="shared" si="1"/>
        <v>2024</v>
      </c>
      <c r="Q5" s="120">
        <f t="shared" si="1"/>
        <v>2025</v>
      </c>
      <c r="R5" s="120">
        <f t="shared" si="1"/>
        <v>2026</v>
      </c>
      <c r="S5" s="120">
        <f t="shared" si="1"/>
        <v>2027</v>
      </c>
      <c r="T5" s="120">
        <f t="shared" si="1"/>
        <v>2028</v>
      </c>
    </row>
    <row r="6" spans="1:20">
      <c r="B6" s="113" t="s">
        <v>91</v>
      </c>
      <c r="C6" s="113"/>
      <c r="D6" s="113"/>
      <c r="E6" s="113"/>
      <c r="F6" s="113"/>
      <c r="G6" s="113"/>
      <c r="H6" s="113"/>
      <c r="I6" s="113"/>
      <c r="J6" s="115" t="str">
        <f t="shared" ref="J6:T6" si="2">IF(J$17,"Actual","Forecast")</f>
        <v>Actual</v>
      </c>
      <c r="K6" s="115" t="str">
        <f t="shared" si="2"/>
        <v>Actual</v>
      </c>
      <c r="L6" s="115" t="str">
        <f t="shared" si="2"/>
        <v>Actual</v>
      </c>
      <c r="M6" s="115" t="str">
        <f t="shared" si="2"/>
        <v>Actual</v>
      </c>
      <c r="N6" s="115" t="str">
        <f t="shared" si="2"/>
        <v>Forecast</v>
      </c>
      <c r="O6" s="114" t="str">
        <f t="shared" si="2"/>
        <v>Forecast</v>
      </c>
      <c r="P6" s="114" t="str">
        <f t="shared" si="2"/>
        <v>Forecast</v>
      </c>
      <c r="Q6" s="114" t="str">
        <f t="shared" si="2"/>
        <v>Forecast</v>
      </c>
      <c r="R6" s="114" t="str">
        <f t="shared" si="2"/>
        <v>Forecast</v>
      </c>
      <c r="S6" s="114" t="str">
        <f t="shared" si="2"/>
        <v>Forecast</v>
      </c>
      <c r="T6" s="114" t="str">
        <f t="shared" si="2"/>
        <v>Forecast</v>
      </c>
    </row>
    <row r="7" spans="1:20" hidden="1" outlineLevel="3">
      <c r="B7" s="30" t="s">
        <v>101</v>
      </c>
      <c r="C7" s="30"/>
      <c r="D7" s="30"/>
      <c r="E7" s="30"/>
      <c r="F7" s="30"/>
      <c r="G7" s="30"/>
      <c r="H7" s="30"/>
      <c r="I7" s="30"/>
      <c r="J7" s="36">
        <f>EDATE(Ts_Start_Date,(J10-1)*Ts_Mths_In_Yr)</f>
        <v>43101</v>
      </c>
      <c r="K7" s="36">
        <f>EDATE(Ts_Start_Date,(K10-1)*Ts_Mths_In_Yr)</f>
        <v>43466</v>
      </c>
      <c r="L7" s="36">
        <f>EDATE(Ts_Start_Date,(L10-1)*Ts_Mths_In_Yr)</f>
        <v>43831</v>
      </c>
      <c r="M7" s="36">
        <f>EDATE(Ts_Start_Date,(M10-1)*Ts_Mths_In_Yr)</f>
        <v>44197</v>
      </c>
      <c r="N7" s="36">
        <f>EDATE(Ts_Start_Date,(N10-1)*Ts_Mths_In_Yr)</f>
        <v>44562</v>
      </c>
      <c r="O7" s="36">
        <f>Ts_Stub_Start_Date</f>
        <v>44927</v>
      </c>
      <c r="P7" s="36">
        <f>EDATE(Ts_Forecast_Reg_Start_Date,(P16-1)*Ts_Mths_In_Yr)</f>
        <v>45108</v>
      </c>
      <c r="Q7" s="36">
        <f>EDATE(Ts_Forecast_Reg_Start_Date,(Q16-1)*Ts_Mths_In_Yr)</f>
        <v>45474</v>
      </c>
      <c r="R7" s="36">
        <f>EDATE(Ts_Forecast_Reg_Start_Date,(R16-1)*Ts_Mths_In_Yr)</f>
        <v>45839</v>
      </c>
      <c r="S7" s="36">
        <f>EDATE(Ts_Forecast_Reg_Start_Date,(S16-1)*Ts_Mths_In_Yr)</f>
        <v>46204</v>
      </c>
      <c r="T7" s="36">
        <f>EDATE(Ts_Forecast_Reg_Start_Date,(T16-1)*Ts_Mths_In_Yr)</f>
        <v>46569</v>
      </c>
    </row>
    <row r="8" spans="1:20" hidden="1" outlineLevel="3">
      <c r="B8" s="30" t="s">
        <v>102</v>
      </c>
      <c r="C8" s="30"/>
      <c r="D8" s="30"/>
      <c r="E8" s="30"/>
      <c r="F8" s="30"/>
      <c r="G8" s="30"/>
      <c r="H8" s="30"/>
      <c r="I8" s="30"/>
      <c r="J8" s="36">
        <f>EOMONTH(J7,Ts_Mths_In_Yr-1)</f>
        <v>43465</v>
      </c>
      <c r="K8" s="36">
        <f>EOMONTH(K7,Ts_Mths_In_Yr-1)</f>
        <v>43830</v>
      </c>
      <c r="L8" s="36">
        <f>EOMONTH(L7,Ts_Mths_In_Yr-1)</f>
        <v>44196</v>
      </c>
      <c r="M8" s="36">
        <f>EOMONTH(M7,Ts_Mths_In_Yr-1)</f>
        <v>44561</v>
      </c>
      <c r="N8" s="36">
        <f>EOMONTH(N7,Ts_Mths_In_Yr-1)</f>
        <v>44926</v>
      </c>
      <c r="O8" s="36">
        <f>EOMONTH(O7,Ts_Stub_Length-1)</f>
        <v>45107</v>
      </c>
      <c r="P8" s="36">
        <f>EOMONTH(P7,Ts_Mths_In_Yr-1)</f>
        <v>45473</v>
      </c>
      <c r="Q8" s="36">
        <f>EOMONTH(Q7,Ts_Mths_In_Yr-1)</f>
        <v>45838</v>
      </c>
      <c r="R8" s="36">
        <f>EOMONTH(R7,Ts_Mths_In_Yr-1)</f>
        <v>46203</v>
      </c>
      <c r="S8" s="36">
        <f>EOMONTH(S7,Ts_Mths_In_Yr-1)</f>
        <v>46568</v>
      </c>
      <c r="T8" s="36">
        <f>EOMONTH(T7,Ts_Mths_In_Yr-1)</f>
        <v>46934</v>
      </c>
    </row>
    <row r="9" spans="1:20" hidden="1" outlineLevel="3">
      <c r="B9" s="30" t="s">
        <v>87</v>
      </c>
      <c r="C9" s="30"/>
      <c r="D9" s="30"/>
      <c r="E9" s="30"/>
      <c r="F9" s="30"/>
      <c r="G9" s="30"/>
      <c r="H9" s="30"/>
      <c r="I9" s="30"/>
      <c r="J9" s="14">
        <f t="shared" ref="J9:T9" si="3">DATEDIF(J7,J8,"m")+1</f>
        <v>12</v>
      </c>
      <c r="K9" s="14">
        <f t="shared" si="3"/>
        <v>12</v>
      </c>
      <c r="L9" s="14">
        <f t="shared" si="3"/>
        <v>12</v>
      </c>
      <c r="M9" s="14">
        <f t="shared" si="3"/>
        <v>12</v>
      </c>
      <c r="N9" s="14">
        <f t="shared" si="3"/>
        <v>12</v>
      </c>
      <c r="O9" s="14">
        <f t="shared" si="3"/>
        <v>6</v>
      </c>
      <c r="P9" s="38">
        <f t="shared" si="3"/>
        <v>12</v>
      </c>
      <c r="Q9" s="38">
        <f t="shared" si="3"/>
        <v>12</v>
      </c>
      <c r="R9" s="38">
        <f t="shared" si="3"/>
        <v>12</v>
      </c>
      <c r="S9" s="38">
        <f t="shared" si="3"/>
        <v>12</v>
      </c>
      <c r="T9" s="38">
        <f t="shared" si="3"/>
        <v>12</v>
      </c>
    </row>
    <row r="10" spans="1:20" hidden="1" outlineLevel="3">
      <c r="B10" s="30" t="s">
        <v>72</v>
      </c>
      <c r="C10" s="30"/>
      <c r="D10" s="30"/>
      <c r="E10" s="30"/>
      <c r="F10" s="30"/>
      <c r="G10" s="30"/>
      <c r="H10" s="30"/>
      <c r="I10" s="30"/>
      <c r="J10" s="40">
        <f>COLUMNS($J$10:J10)</f>
        <v>1</v>
      </c>
      <c r="K10" s="40">
        <f>COLUMNS($J$10:K10)</f>
        <v>2</v>
      </c>
      <c r="L10" s="40">
        <f>COLUMNS($J$10:L10)</f>
        <v>3</v>
      </c>
      <c r="M10" s="40">
        <f>COLUMNS($J$10:M10)</f>
        <v>4</v>
      </c>
      <c r="N10" s="40">
        <f>COLUMNS($J$10:N10)</f>
        <v>5</v>
      </c>
      <c r="O10" s="40">
        <f>COLUMNS($J$10:O10)</f>
        <v>6</v>
      </c>
      <c r="P10" s="40">
        <f>COLUMNS($J$10:P10)</f>
        <v>7</v>
      </c>
      <c r="Q10" s="40">
        <f>COLUMNS($J$10:Q10)</f>
        <v>8</v>
      </c>
      <c r="R10" s="40">
        <f>COLUMNS($J$10:R10)</f>
        <v>9</v>
      </c>
      <c r="S10" s="40">
        <f>COLUMNS($J$10:S10)</f>
        <v>10</v>
      </c>
      <c r="T10" s="40">
        <f>COLUMNS($J$10:T10)</f>
        <v>11</v>
      </c>
    </row>
    <row r="11" spans="1:20" hidden="1" outlineLevel="3">
      <c r="B11" s="30" t="s">
        <v>76</v>
      </c>
      <c r="C11" s="30"/>
      <c r="D11" s="30"/>
      <c r="E11" s="30"/>
      <c r="F11" s="30"/>
      <c r="G11" s="30"/>
      <c r="H11" s="30"/>
      <c r="I11" s="30"/>
      <c r="J11" s="40">
        <f>(J12&lt;&gt;0)*1</f>
        <v>1</v>
      </c>
      <c r="K11" s="40">
        <f>(K12&lt;&gt;0)*1</f>
        <v>1</v>
      </c>
      <c r="L11" s="40">
        <f>(L12&lt;&gt;0)*1</f>
        <v>1</v>
      </c>
      <c r="M11" s="40">
        <f>(M12&lt;&gt;0)*1</f>
        <v>1</v>
      </c>
      <c r="N11" s="40">
        <f>(N12&lt;&gt;0)*1</f>
        <v>1</v>
      </c>
      <c r="O11" s="45">
        <v>0</v>
      </c>
      <c r="P11" s="45">
        <v>0</v>
      </c>
      <c r="Q11" s="45">
        <v>0</v>
      </c>
      <c r="R11" s="45">
        <v>0</v>
      </c>
      <c r="S11" s="45">
        <v>0</v>
      </c>
      <c r="T11" s="45">
        <v>0</v>
      </c>
    </row>
    <row r="12" spans="1:20" hidden="1" outlineLevel="3">
      <c r="B12" s="30" t="s">
        <v>96</v>
      </c>
      <c r="C12" s="30"/>
      <c r="D12" s="30"/>
      <c r="E12" s="30"/>
      <c r="F12" s="30"/>
      <c r="G12" s="30"/>
      <c r="H12" s="30"/>
      <c r="I12" s="30"/>
      <c r="J12" s="40">
        <f>COLUMNS($J$10:J10)</f>
        <v>1</v>
      </c>
      <c r="K12" s="40">
        <f>COLUMNS($J$10:K10)</f>
        <v>2</v>
      </c>
      <c r="L12" s="40">
        <f>COLUMNS($J$10:L10)</f>
        <v>3</v>
      </c>
      <c r="M12" s="40">
        <f>COLUMNS($J$10:M10)</f>
        <v>4</v>
      </c>
      <c r="N12" s="40">
        <f>COLUMNS($J$10:N10)</f>
        <v>5</v>
      </c>
      <c r="O12" s="45">
        <v>0</v>
      </c>
      <c r="P12" s="45">
        <v>0</v>
      </c>
      <c r="Q12" s="45">
        <v>0</v>
      </c>
      <c r="R12" s="45">
        <v>0</v>
      </c>
      <c r="S12" s="45">
        <v>0</v>
      </c>
      <c r="T12" s="45">
        <v>0</v>
      </c>
    </row>
    <row r="13" spans="1:20" hidden="1" outlineLevel="3">
      <c r="B13" s="30" t="s">
        <v>79</v>
      </c>
      <c r="C13" s="30"/>
      <c r="D13" s="30"/>
      <c r="E13" s="30"/>
      <c r="F13" s="30"/>
      <c r="G13" s="30"/>
      <c r="H13" s="30"/>
      <c r="I13" s="30"/>
      <c r="J13" s="45">
        <v>0</v>
      </c>
      <c r="K13" s="45">
        <v>0</v>
      </c>
      <c r="L13" s="45">
        <v>0</v>
      </c>
      <c r="M13" s="45">
        <v>0</v>
      </c>
      <c r="N13" s="45">
        <v>0</v>
      </c>
      <c r="O13" s="40">
        <f>(O14&lt;&gt;0)*1</f>
        <v>1</v>
      </c>
      <c r="P13" s="45">
        <v>0</v>
      </c>
      <c r="Q13" s="45">
        <v>0</v>
      </c>
      <c r="R13" s="45">
        <v>0</v>
      </c>
      <c r="S13" s="45">
        <v>0</v>
      </c>
      <c r="T13" s="45">
        <v>0</v>
      </c>
    </row>
    <row r="14" spans="1:20" hidden="1" outlineLevel="3">
      <c r="B14" s="30" t="s">
        <v>97</v>
      </c>
      <c r="C14" s="30"/>
      <c r="D14" s="30"/>
      <c r="E14" s="30"/>
      <c r="F14" s="30"/>
      <c r="G14" s="30"/>
      <c r="H14" s="30"/>
      <c r="I14" s="30"/>
      <c r="J14" s="45">
        <v>0</v>
      </c>
      <c r="K14" s="45">
        <v>0</v>
      </c>
      <c r="L14" s="45">
        <v>0</v>
      </c>
      <c r="M14" s="45">
        <v>0</v>
      </c>
      <c r="N14" s="45">
        <v>0</v>
      </c>
      <c r="O14" s="40">
        <f>COLUMNS($O$14:O14)</f>
        <v>1</v>
      </c>
      <c r="P14" s="45">
        <v>0</v>
      </c>
      <c r="Q14" s="45">
        <v>0</v>
      </c>
      <c r="R14" s="45">
        <v>0</v>
      </c>
      <c r="S14" s="45">
        <v>0</v>
      </c>
      <c r="T14" s="45">
        <v>0</v>
      </c>
    </row>
    <row r="15" spans="1:20" hidden="1" outlineLevel="3">
      <c r="B15" s="30" t="s">
        <v>82</v>
      </c>
      <c r="C15" s="30"/>
      <c r="D15" s="30"/>
      <c r="E15" s="30"/>
      <c r="F15" s="30"/>
      <c r="G15" s="30"/>
      <c r="H15" s="30"/>
      <c r="I15" s="30"/>
      <c r="J15" s="45">
        <v>0</v>
      </c>
      <c r="K15" s="45">
        <v>0</v>
      </c>
      <c r="L15" s="45">
        <v>0</v>
      </c>
      <c r="M15" s="45">
        <v>0</v>
      </c>
      <c r="N15" s="45">
        <v>0</v>
      </c>
      <c r="O15" s="45">
        <v>0</v>
      </c>
      <c r="P15" s="39">
        <f>(P16&lt;&gt;0)*1</f>
        <v>1</v>
      </c>
      <c r="Q15" s="39">
        <f>(Q16&lt;&gt;0)*1</f>
        <v>1</v>
      </c>
      <c r="R15" s="39">
        <f>(R16&lt;&gt;0)*1</f>
        <v>1</v>
      </c>
      <c r="S15" s="39">
        <f>(S16&lt;&gt;0)*1</f>
        <v>1</v>
      </c>
      <c r="T15" s="39">
        <f>(T16&lt;&gt;0)*1</f>
        <v>1</v>
      </c>
    </row>
    <row r="16" spans="1:20" hidden="1" outlineLevel="3">
      <c r="B16" s="30" t="s">
        <v>98</v>
      </c>
      <c r="C16" s="30"/>
      <c r="D16" s="30"/>
      <c r="E16" s="30"/>
      <c r="F16" s="30"/>
      <c r="G16" s="30"/>
      <c r="H16" s="30"/>
      <c r="I16" s="30"/>
      <c r="J16" s="45">
        <v>0</v>
      </c>
      <c r="K16" s="45">
        <v>0</v>
      </c>
      <c r="L16" s="45">
        <v>0</v>
      </c>
      <c r="M16" s="45">
        <v>0</v>
      </c>
      <c r="N16" s="45">
        <v>0</v>
      </c>
      <c r="O16" s="45">
        <v>0</v>
      </c>
      <c r="P16" s="39">
        <f>COLUMNS($P$16:P16)</f>
        <v>1</v>
      </c>
      <c r="Q16" s="39">
        <f>COLUMNS($P$16:Q16)</f>
        <v>2</v>
      </c>
      <c r="R16" s="39">
        <f>COLUMNS($P$16:R16)</f>
        <v>3</v>
      </c>
      <c r="S16" s="39">
        <f>COLUMNS($P$16:S16)</f>
        <v>4</v>
      </c>
      <c r="T16" s="39">
        <f>COLUMNS($P$16:T16)</f>
        <v>5</v>
      </c>
    </row>
    <row r="17" spans="2:20" hidden="1" outlineLevel="3">
      <c r="B17" s="30" t="s">
        <v>206</v>
      </c>
      <c r="C17" s="30"/>
      <c r="D17" s="30"/>
      <c r="E17" s="30"/>
      <c r="F17" s="30"/>
      <c r="G17" s="30"/>
      <c r="H17" s="30"/>
      <c r="I17" s="30"/>
      <c r="J17" s="39">
        <f t="shared" ref="J17:T17" si="4">IF(J$5&lt;=Ts_Last_Actual_Year,1,0)</f>
        <v>1</v>
      </c>
      <c r="K17" s="39">
        <f t="shared" si="4"/>
        <v>1</v>
      </c>
      <c r="L17" s="39">
        <f t="shared" si="4"/>
        <v>1</v>
      </c>
      <c r="M17" s="39">
        <f t="shared" si="4"/>
        <v>1</v>
      </c>
      <c r="N17" s="39">
        <f t="shared" si="4"/>
        <v>0</v>
      </c>
      <c r="O17" s="39">
        <f t="shared" si="4"/>
        <v>0</v>
      </c>
      <c r="P17" s="39">
        <f t="shared" si="4"/>
        <v>0</v>
      </c>
      <c r="Q17" s="39">
        <f t="shared" si="4"/>
        <v>0</v>
      </c>
      <c r="R17" s="39">
        <f t="shared" si="4"/>
        <v>0</v>
      </c>
      <c r="S17" s="39">
        <f t="shared" si="4"/>
        <v>0</v>
      </c>
      <c r="T17" s="39">
        <f t="shared" si="4"/>
        <v>0</v>
      </c>
    </row>
    <row r="18" spans="2:20" hidden="1" outlineLevel="3">
      <c r="B18" s="30" t="s">
        <v>207</v>
      </c>
      <c r="C18" s="30"/>
      <c r="D18" s="30"/>
      <c r="E18" s="30"/>
      <c r="F18" s="30"/>
      <c r="G18" s="30"/>
      <c r="H18" s="30"/>
      <c r="I18" s="30"/>
      <c r="J18" s="39">
        <f t="shared" ref="J18:T18" si="5">IF(J$5&gt;Ts_Last_Actual_Year,1,0)</f>
        <v>0</v>
      </c>
      <c r="K18" s="39">
        <f t="shared" si="5"/>
        <v>0</v>
      </c>
      <c r="L18" s="39">
        <f t="shared" si="5"/>
        <v>0</v>
      </c>
      <c r="M18" s="39">
        <f t="shared" si="5"/>
        <v>0</v>
      </c>
      <c r="N18" s="39">
        <f t="shared" si="5"/>
        <v>1</v>
      </c>
      <c r="O18" s="40">
        <f t="shared" si="5"/>
        <v>1</v>
      </c>
      <c r="P18" s="40">
        <f t="shared" si="5"/>
        <v>1</v>
      </c>
      <c r="Q18" s="40">
        <f t="shared" si="5"/>
        <v>1</v>
      </c>
      <c r="R18" s="40">
        <f t="shared" si="5"/>
        <v>1</v>
      </c>
      <c r="S18" s="40">
        <f t="shared" si="5"/>
        <v>1</v>
      </c>
      <c r="T18" s="40">
        <f t="shared" si="5"/>
        <v>1</v>
      </c>
    </row>
    <row r="19" spans="2:20" hidden="1" outlineLevel="3">
      <c r="B19" s="30" t="s">
        <v>208</v>
      </c>
      <c r="C19" s="30"/>
      <c r="D19" s="30"/>
      <c r="E19" s="30"/>
      <c r="F19" s="30"/>
      <c r="G19" s="30"/>
      <c r="H19" s="30"/>
      <c r="I19" s="30"/>
      <c r="J19" s="39">
        <f>SUM($J18:J18)</f>
        <v>0</v>
      </c>
      <c r="K19" s="39">
        <f>SUM($J18:K18)</f>
        <v>0</v>
      </c>
      <c r="L19" s="39">
        <f>SUM($J18:L18)</f>
        <v>0</v>
      </c>
      <c r="M19" s="39">
        <f>SUM($J18:M18)</f>
        <v>0</v>
      </c>
      <c r="N19" s="39">
        <f>SUM($J18:N18)</f>
        <v>1</v>
      </c>
      <c r="O19" s="40">
        <f>SUM($J18:O18)</f>
        <v>2</v>
      </c>
      <c r="P19" s="40">
        <f>SUM($J18:P18)</f>
        <v>3</v>
      </c>
      <c r="Q19" s="40">
        <f>SUM($J18:Q18)</f>
        <v>4</v>
      </c>
      <c r="R19" s="40">
        <f>SUM($J18:R18)</f>
        <v>5</v>
      </c>
      <c r="S19" s="40">
        <f>SUM($J18:S18)</f>
        <v>6</v>
      </c>
      <c r="T19" s="40">
        <f>SUM($J18:T18)</f>
        <v>7</v>
      </c>
    </row>
    <row r="20" spans="2:20" hidden="1" outlineLevel="3">
      <c r="B20" s="30" t="s">
        <v>481</v>
      </c>
      <c r="C20" s="30"/>
      <c r="D20" s="30"/>
      <c r="E20" s="30"/>
      <c r="F20" s="30"/>
      <c r="G20" s="30"/>
      <c r="H20" s="30"/>
      <c r="I20" s="30"/>
      <c r="J20" s="38">
        <f t="shared" ref="J20:N20" si="6">J9/12</f>
        <v>1</v>
      </c>
      <c r="K20" s="38">
        <f t="shared" si="6"/>
        <v>1</v>
      </c>
      <c r="L20" s="38">
        <f t="shared" si="6"/>
        <v>1</v>
      </c>
      <c r="M20" s="38">
        <f t="shared" si="6"/>
        <v>1</v>
      </c>
      <c r="N20" s="38">
        <f t="shared" si="6"/>
        <v>1</v>
      </c>
      <c r="O20" s="38">
        <f>O9/12</f>
        <v>0.5</v>
      </c>
      <c r="P20" s="38">
        <f t="shared" ref="P20:T20" si="7">P9/12</f>
        <v>1</v>
      </c>
      <c r="Q20" s="38">
        <f t="shared" si="7"/>
        <v>1</v>
      </c>
      <c r="R20" s="38">
        <f t="shared" si="7"/>
        <v>1</v>
      </c>
      <c r="S20" s="38">
        <f t="shared" si="7"/>
        <v>1</v>
      </c>
      <c r="T20" s="38">
        <f t="shared" si="7"/>
        <v>1</v>
      </c>
    </row>
    <row r="21" spans="2:20" hidden="1" outlineLevel="3">
      <c r="B21" s="30"/>
      <c r="C21" s="30"/>
      <c r="D21" s="30"/>
      <c r="E21" s="30"/>
      <c r="F21" s="30"/>
      <c r="G21" s="30"/>
      <c r="H21" s="30"/>
      <c r="I21" s="30"/>
      <c r="J21" s="30"/>
      <c r="K21" s="30"/>
      <c r="L21" s="30"/>
      <c r="M21" s="30"/>
      <c r="N21" s="30"/>
      <c r="O21" s="30"/>
      <c r="P21" s="30"/>
      <c r="Q21" s="30"/>
      <c r="R21" s="30"/>
      <c r="S21" s="30"/>
      <c r="T21" s="30"/>
    </row>
    <row r="22" spans="2:20" collapsed="1"/>
    <row r="23" spans="2:20" ht="14">
      <c r="B23" s="110" t="s">
        <v>356</v>
      </c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</row>
    <row r="24" spans="2:20" ht="5.9" customHeight="1"/>
    <row r="25" spans="2:20" ht="14">
      <c r="B25" s="56" t="str">
        <f>GC!F33</f>
        <v>IT</v>
      </c>
    </row>
    <row r="26" spans="2:20" ht="5.9" customHeight="1" outlineLevel="1"/>
    <row r="27" spans="2:20" hidden="1" outlineLevel="2">
      <c r="C27" s="37" t="s">
        <v>204</v>
      </c>
    </row>
    <row r="28" spans="2:20" ht="5.9" hidden="1" customHeight="1" outlineLevel="2"/>
    <row r="29" spans="2:20" hidden="1" outlineLevel="2">
      <c r="D29" s="51" t="s">
        <v>103</v>
      </c>
      <c r="J29" s="92">
        <f>Rates!J42</f>
        <v>1</v>
      </c>
      <c r="K29" s="92">
        <f>Rates!K42</f>
        <v>1</v>
      </c>
      <c r="L29" s="92">
        <f>Rates!L42</f>
        <v>1</v>
      </c>
      <c r="M29" s="92">
        <f>Rates!M42</f>
        <v>1</v>
      </c>
      <c r="N29" s="92">
        <f>Rates!N42</f>
        <v>1</v>
      </c>
      <c r="O29" s="92">
        <f>Rates!O42</f>
        <v>1.0051959235721353</v>
      </c>
      <c r="P29" s="92">
        <f>Rates!P42</f>
        <v>1.0102301741405761</v>
      </c>
      <c r="Q29" s="92">
        <f>Rates!Q42</f>
        <v>1.0181072873442809</v>
      </c>
      <c r="R29" s="92">
        <f>Rates!R42</f>
        <v>1.0293150686557422</v>
      </c>
      <c r="S29" s="92">
        <f>Rates!S42</f>
        <v>1.040646230246951</v>
      </c>
      <c r="T29" s="92">
        <f>Rates!T42</f>
        <v>1.0521021303433229</v>
      </c>
    </row>
    <row r="30" spans="2:20" hidden="1" outlineLevel="2">
      <c r="D30" s="51" t="s">
        <v>104</v>
      </c>
      <c r="J30" s="92">
        <f>Rates!J43</f>
        <v>1</v>
      </c>
      <c r="K30" s="92">
        <f>Rates!K43</f>
        <v>1</v>
      </c>
      <c r="L30" s="92">
        <f>Rates!L43</f>
        <v>1</v>
      </c>
      <c r="M30" s="92">
        <f>Rates!M43</f>
        <v>1</v>
      </c>
      <c r="N30" s="92">
        <f>Rates!N43</f>
        <v>1</v>
      </c>
      <c r="O30" s="92">
        <f>Rates!O43</f>
        <v>1</v>
      </c>
      <c r="P30" s="92">
        <f>Rates!P43</f>
        <v>1</v>
      </c>
      <c r="Q30" s="92">
        <f>Rates!Q43</f>
        <v>1</v>
      </c>
      <c r="R30" s="92">
        <f>Rates!R43</f>
        <v>1</v>
      </c>
      <c r="S30" s="92">
        <f>Rates!S43</f>
        <v>1</v>
      </c>
      <c r="T30" s="92">
        <f>Rates!T43</f>
        <v>1</v>
      </c>
    </row>
    <row r="31" spans="2:20" hidden="1" outlineLevel="2">
      <c r="D31" s="51" t="s">
        <v>130</v>
      </c>
      <c r="J31" s="92">
        <f>Rates!J45</f>
        <v>1</v>
      </c>
      <c r="K31" s="92">
        <f>Rates!K45</f>
        <v>1</v>
      </c>
      <c r="L31" s="92">
        <f>Rates!L45</f>
        <v>1</v>
      </c>
      <c r="M31" s="92">
        <f>Rates!M45</f>
        <v>1</v>
      </c>
      <c r="N31" s="92">
        <f>Rates!N45</f>
        <v>1</v>
      </c>
      <c r="O31" s="92">
        <f>Rates!O45</f>
        <v>1</v>
      </c>
      <c r="P31" s="92">
        <f>Rates!P45</f>
        <v>1</v>
      </c>
      <c r="Q31" s="92">
        <f>Rates!Q45</f>
        <v>1</v>
      </c>
      <c r="R31" s="92">
        <f>Rates!R45</f>
        <v>1</v>
      </c>
      <c r="S31" s="92">
        <f>Rates!S45</f>
        <v>1</v>
      </c>
      <c r="T31" s="92">
        <f>Rates!T45</f>
        <v>1</v>
      </c>
    </row>
    <row r="32" spans="2:20" ht="5.9" hidden="1" customHeight="1" outlineLevel="2"/>
    <row r="33" spans="3:20" hidden="1" outlineLevel="2">
      <c r="C33" s="37" t="s">
        <v>105</v>
      </c>
    </row>
    <row r="34" spans="3:20" ht="5.9" hidden="1" customHeight="1" outlineLevel="2"/>
    <row r="35" spans="3:20" hidden="1" outlineLevel="2">
      <c r="D35" s="51" t="s">
        <v>106</v>
      </c>
      <c r="J35" s="100">
        <f>Rates!J50</f>
        <v>6.9591273870889495E-2</v>
      </c>
      <c r="K35" s="100">
        <f>Rates!K50</f>
        <v>7.3934468928182201E-2</v>
      </c>
      <c r="L35" s="100">
        <f>Rates!L50</f>
        <v>7.5085976469407303E-2</v>
      </c>
      <c r="M35" s="100">
        <f>Rates!M50</f>
        <v>8.0103391005934096E-2</v>
      </c>
      <c r="N35" s="100">
        <f>Rates!N50</f>
        <v>3.7711007382937055E-2</v>
      </c>
      <c r="O35" s="100">
        <f>Rates!O50</f>
        <v>3.3283969054706777E-2</v>
      </c>
      <c r="P35" s="100">
        <f>Rates!P50</f>
        <v>2.6752660513445464E-2</v>
      </c>
      <c r="Q35" s="100">
        <f>Rates!Q50</f>
        <v>2.6060587348993774E-2</v>
      </c>
      <c r="R35" s="100">
        <f>Rates!R50</f>
        <v>2.6873005987587139E-2</v>
      </c>
      <c r="S35" s="100">
        <f>Rates!S50</f>
        <v>2.8546178928104012E-2</v>
      </c>
      <c r="T35" s="100">
        <f>Rates!T50</f>
        <v>2.9920378203686534E-2</v>
      </c>
    </row>
    <row r="36" spans="3:20" hidden="1" outlineLevel="2">
      <c r="D36" s="51" t="s">
        <v>107</v>
      </c>
      <c r="J36" s="100">
        <f>Rates!J51</f>
        <v>5.5842732834613398E-2</v>
      </c>
      <c r="K36" s="100">
        <f>Rates!K51</f>
        <v>5.16564294790849E-2</v>
      </c>
      <c r="L36" s="100">
        <f>Rates!L51</f>
        <v>6.0535031919173997E-2</v>
      </c>
      <c r="M36" s="100">
        <f>Rates!M51</f>
        <v>7.1630695797579302E-2</v>
      </c>
      <c r="N36" s="100">
        <f>Rates!N51</f>
        <v>7.4343858126268231E-2</v>
      </c>
      <c r="O36" s="100">
        <f>Rates!O51</f>
        <v>7.4059082290758096E-2</v>
      </c>
      <c r="P36" s="100">
        <f>Rates!P51</f>
        <v>2.4388539961794877E-2</v>
      </c>
      <c r="Q36" s="100">
        <f>Rates!Q51</f>
        <v>2.1171310758207256E-2</v>
      </c>
      <c r="R36" s="100">
        <f>Rates!R51</f>
        <v>2.0024144075344485E-2</v>
      </c>
      <c r="S36" s="100">
        <f>Rates!S51</f>
        <v>3.9620009613577346E-2</v>
      </c>
      <c r="T36" s="100">
        <f>Rates!T51</f>
        <v>5.404914337922874E-2</v>
      </c>
    </row>
    <row r="37" spans="3:20" hidden="1" outlineLevel="2">
      <c r="D37" s="51" t="s">
        <v>108</v>
      </c>
      <c r="J37" s="100">
        <f>Rates!J52</f>
        <v>0</v>
      </c>
      <c r="K37" s="100">
        <f>Rates!K52</f>
        <v>0</v>
      </c>
      <c r="L37" s="100">
        <f>Rates!L52</f>
        <v>0</v>
      </c>
      <c r="M37" s="100">
        <f>Rates!M52</f>
        <v>0</v>
      </c>
      <c r="N37" s="100">
        <f>Rates!N52</f>
        <v>0</v>
      </c>
      <c r="O37" s="100">
        <f>Rates!O52</f>
        <v>0</v>
      </c>
      <c r="P37" s="100">
        <f>Rates!P52</f>
        <v>0</v>
      </c>
      <c r="Q37" s="100">
        <f>Rates!Q52</f>
        <v>0</v>
      </c>
      <c r="R37" s="100">
        <f>Rates!R52</f>
        <v>0</v>
      </c>
      <c r="S37" s="100">
        <f>Rates!S52</f>
        <v>0</v>
      </c>
      <c r="T37" s="100">
        <f>Rates!T52</f>
        <v>0</v>
      </c>
    </row>
    <row r="38" spans="3:20" outlineLevel="1" collapsed="1"/>
    <row r="39" spans="3:20" ht="5.9" customHeight="1" outlineLevel="1"/>
    <row r="40" spans="3:20" outlineLevel="1">
      <c r="C40" s="37" t="s">
        <v>118</v>
      </c>
    </row>
    <row r="41" spans="3:20" ht="5.9" customHeight="1" outlineLevel="1"/>
    <row r="42" spans="3:20" outlineLevel="1">
      <c r="D42" s="37" t="s">
        <v>160</v>
      </c>
      <c r="H42" s="107" t="s">
        <v>192</v>
      </c>
    </row>
    <row r="43" spans="3:20" ht="5.9" customHeight="1" outlineLevel="1"/>
    <row r="44" spans="3:20" outlineLevel="1">
      <c r="D44" s="102" t="str">
        <f>Work_Codes!D476</f>
        <v>Corporate</v>
      </c>
      <c r="H44" s="63"/>
      <c r="J44" s="125">
        <v>0</v>
      </c>
      <c r="K44" s="125">
        <v>0</v>
      </c>
      <c r="L44" s="125">
        <v>0</v>
      </c>
      <c r="M44" s="125">
        <v>0</v>
      </c>
      <c r="N44" s="125">
        <v>422954.65651369374</v>
      </c>
      <c r="O44" s="125">
        <v>430000</v>
      </c>
      <c r="P44" s="125">
        <v>0</v>
      </c>
      <c r="Q44" s="125">
        <v>0</v>
      </c>
      <c r="R44" s="125">
        <v>0</v>
      </c>
      <c r="S44" s="125">
        <v>0</v>
      </c>
      <c r="T44" s="125">
        <v>0</v>
      </c>
    </row>
    <row r="45" spans="3:20" outlineLevel="1">
      <c r="D45" s="102" t="str">
        <f>Work_Codes!D477</f>
        <v>Information Management</v>
      </c>
      <c r="H45" s="63"/>
      <c r="J45" s="125">
        <v>0</v>
      </c>
      <c r="K45" s="125">
        <v>0</v>
      </c>
      <c r="L45" s="125">
        <v>0</v>
      </c>
      <c r="M45" s="125">
        <v>0</v>
      </c>
      <c r="N45" s="125">
        <v>622756.63808444212</v>
      </c>
      <c r="O45" s="125">
        <v>215000</v>
      </c>
      <c r="P45" s="125">
        <v>0</v>
      </c>
      <c r="Q45" s="125">
        <v>0</v>
      </c>
      <c r="R45" s="125">
        <v>0</v>
      </c>
      <c r="S45" s="125">
        <v>0</v>
      </c>
      <c r="T45" s="125">
        <v>0</v>
      </c>
    </row>
    <row r="46" spans="3:20" outlineLevel="1">
      <c r="D46" s="102" t="str">
        <f>Work_Codes!D478</f>
        <v>Information Security</v>
      </c>
      <c r="H46" s="63"/>
      <c r="J46" s="125">
        <v>0</v>
      </c>
      <c r="K46" s="125">
        <v>0</v>
      </c>
      <c r="L46" s="125">
        <v>0</v>
      </c>
      <c r="M46" s="125">
        <v>0</v>
      </c>
      <c r="N46" s="125">
        <v>461360.05307072215</v>
      </c>
      <c r="O46" s="125">
        <v>630000</v>
      </c>
      <c r="P46" s="125">
        <v>0</v>
      </c>
      <c r="Q46" s="125">
        <v>0</v>
      </c>
      <c r="R46" s="125">
        <v>0</v>
      </c>
      <c r="S46" s="125">
        <v>0</v>
      </c>
      <c r="T46" s="125">
        <v>0</v>
      </c>
    </row>
    <row r="47" spans="3:20" outlineLevel="1">
      <c r="D47" s="102" t="str">
        <f>Work_Codes!D479</f>
        <v>Network Management</v>
      </c>
      <c r="H47" s="63"/>
      <c r="J47" s="125">
        <v>0</v>
      </c>
      <c r="K47" s="125">
        <v>0</v>
      </c>
      <c r="L47" s="125">
        <v>0</v>
      </c>
      <c r="M47" s="125">
        <v>0</v>
      </c>
      <c r="N47" s="125">
        <v>9079.8969212850971</v>
      </c>
      <c r="O47" s="125">
        <v>0</v>
      </c>
      <c r="P47" s="125">
        <v>0</v>
      </c>
      <c r="Q47" s="125">
        <v>0</v>
      </c>
      <c r="R47" s="125">
        <v>0</v>
      </c>
      <c r="S47" s="125">
        <v>0</v>
      </c>
      <c r="T47" s="125">
        <v>0</v>
      </c>
    </row>
    <row r="48" spans="3:20" outlineLevel="1">
      <c r="D48" s="102" t="str">
        <f>Work_Codes!D480</f>
        <v>Works &amp; Asset Management</v>
      </c>
      <c r="H48" s="63"/>
      <c r="J48" s="125">
        <v>0</v>
      </c>
      <c r="K48" s="125">
        <v>0</v>
      </c>
      <c r="L48" s="125">
        <v>0</v>
      </c>
      <c r="M48" s="125">
        <v>0</v>
      </c>
      <c r="N48" s="125">
        <v>27870.918712057952</v>
      </c>
      <c r="O48" s="125">
        <v>785000</v>
      </c>
      <c r="P48" s="125">
        <v>0</v>
      </c>
      <c r="Q48" s="125">
        <v>0</v>
      </c>
      <c r="R48" s="125">
        <v>0</v>
      </c>
      <c r="S48" s="125">
        <v>0</v>
      </c>
      <c r="T48" s="125">
        <v>0</v>
      </c>
    </row>
    <row r="49" spans="4:20" outlineLevel="1">
      <c r="D49" s="102" t="str">
        <f>Work_Codes!D481</f>
        <v>EAM / ERP</v>
      </c>
      <c r="H49" s="63"/>
      <c r="J49" s="125">
        <v>0</v>
      </c>
      <c r="K49" s="125">
        <v>0</v>
      </c>
      <c r="L49" s="125">
        <v>0</v>
      </c>
      <c r="M49" s="125">
        <v>0</v>
      </c>
      <c r="N49" s="125">
        <v>0</v>
      </c>
      <c r="O49" s="125">
        <v>0</v>
      </c>
      <c r="P49" s="125">
        <v>0</v>
      </c>
      <c r="Q49" s="125">
        <v>0</v>
      </c>
      <c r="R49" s="125">
        <v>0</v>
      </c>
      <c r="S49" s="125">
        <v>0</v>
      </c>
      <c r="T49" s="125">
        <v>0</v>
      </c>
    </row>
    <row r="50" spans="4:20" outlineLevel="1">
      <c r="D50" s="102" t="str">
        <f>Work_Codes!D482</f>
        <v>Metering &amp; Customer Services</v>
      </c>
      <c r="H50" s="63"/>
      <c r="J50" s="125">
        <v>0</v>
      </c>
      <c r="K50" s="125">
        <v>0</v>
      </c>
      <c r="L50" s="125">
        <v>0</v>
      </c>
      <c r="M50" s="125">
        <v>0</v>
      </c>
      <c r="N50" s="125">
        <v>600784.84851911559</v>
      </c>
      <c r="O50" s="125">
        <v>0</v>
      </c>
      <c r="P50" s="125">
        <v>0</v>
      </c>
      <c r="Q50" s="125">
        <v>0</v>
      </c>
      <c r="R50" s="125">
        <v>0</v>
      </c>
      <c r="S50" s="125">
        <v>0</v>
      </c>
      <c r="T50" s="125">
        <v>0</v>
      </c>
    </row>
    <row r="51" spans="4:20" outlineLevel="1">
      <c r="D51" s="102" t="str">
        <f>Work_Codes!D483</f>
        <v>Information Technology</v>
      </c>
      <c r="H51" s="63"/>
      <c r="J51" s="125">
        <v>0</v>
      </c>
      <c r="K51" s="125">
        <v>0</v>
      </c>
      <c r="L51" s="125">
        <v>0</v>
      </c>
      <c r="M51" s="125">
        <v>0</v>
      </c>
      <c r="N51" s="125">
        <v>4350580.0838668263</v>
      </c>
      <c r="O51" s="125">
        <v>1180000</v>
      </c>
      <c r="P51" s="125">
        <v>0</v>
      </c>
      <c r="Q51" s="125">
        <v>0</v>
      </c>
      <c r="R51" s="125">
        <v>0</v>
      </c>
      <c r="S51" s="125">
        <v>0</v>
      </c>
      <c r="T51" s="125">
        <v>0</v>
      </c>
    </row>
    <row r="52" spans="4:20" outlineLevel="1">
      <c r="D52" s="102" t="str">
        <f>Work_Codes!D484</f>
        <v>Comms</v>
      </c>
      <c r="H52" s="63"/>
      <c r="J52" s="125">
        <v>0</v>
      </c>
      <c r="K52" s="125">
        <v>0</v>
      </c>
      <c r="L52" s="125">
        <v>0</v>
      </c>
      <c r="M52" s="125">
        <v>0</v>
      </c>
      <c r="N52" s="125">
        <v>0</v>
      </c>
      <c r="O52" s="125">
        <v>0</v>
      </c>
      <c r="P52" s="178">
        <v>0</v>
      </c>
      <c r="Q52" s="178">
        <v>0</v>
      </c>
      <c r="R52" s="178">
        <v>0</v>
      </c>
      <c r="S52" s="178">
        <v>0</v>
      </c>
      <c r="T52" s="178">
        <v>0</v>
      </c>
    </row>
    <row r="53" spans="4:20" outlineLevel="1">
      <c r="D53" s="102" t="str">
        <f>Work_Codes!D485</f>
        <v>Workforce collaboration</v>
      </c>
      <c r="H53" s="63"/>
      <c r="J53" s="125">
        <v>0</v>
      </c>
      <c r="K53" s="125">
        <v>0</v>
      </c>
      <c r="L53" s="125">
        <v>0</v>
      </c>
      <c r="M53" s="125">
        <v>0</v>
      </c>
      <c r="N53" s="125">
        <v>0</v>
      </c>
      <c r="O53" s="178">
        <v>0</v>
      </c>
      <c r="P53" s="125">
        <v>1305371.1399999999</v>
      </c>
      <c r="Q53" s="125">
        <v>2665371.14</v>
      </c>
      <c r="R53" s="125">
        <v>1305371.1399999999</v>
      </c>
      <c r="S53" s="125">
        <v>625371.14</v>
      </c>
      <c r="T53" s="125">
        <v>625371.14</v>
      </c>
    </row>
    <row r="54" spans="4:20" outlineLevel="1">
      <c r="D54" s="102" t="str">
        <f>Work_Codes!D486</f>
        <v>Corporate Enablement</v>
      </c>
      <c r="H54" s="63"/>
      <c r="J54" s="125">
        <v>0</v>
      </c>
      <c r="K54" s="125">
        <v>0</v>
      </c>
      <c r="L54" s="125">
        <v>0</v>
      </c>
      <c r="M54" s="125">
        <v>0</v>
      </c>
      <c r="N54" s="125">
        <v>0</v>
      </c>
      <c r="O54" s="178">
        <v>0</v>
      </c>
      <c r="P54" s="125">
        <v>861000</v>
      </c>
      <c r="Q54" s="125">
        <v>1435000</v>
      </c>
      <c r="R54" s="125">
        <v>1148000</v>
      </c>
      <c r="S54" s="125">
        <v>1435000</v>
      </c>
      <c r="T54" s="125">
        <v>861000</v>
      </c>
    </row>
    <row r="55" spans="4:20" outlineLevel="1">
      <c r="D55" s="102" t="str">
        <f>Work_Codes!D487</f>
        <v>Corporate Communications</v>
      </c>
      <c r="H55" s="63"/>
      <c r="J55" s="125">
        <v>0</v>
      </c>
      <c r="K55" s="125">
        <v>0</v>
      </c>
      <c r="L55" s="125">
        <v>0</v>
      </c>
      <c r="M55" s="125">
        <v>0</v>
      </c>
      <c r="N55" s="125">
        <v>0</v>
      </c>
      <c r="O55" s="178">
        <v>0</v>
      </c>
      <c r="P55" s="125">
        <v>1771250</v>
      </c>
      <c r="Q55" s="125">
        <v>701687.5</v>
      </c>
      <c r="R55" s="125">
        <v>701687.5</v>
      </c>
      <c r="S55" s="125">
        <v>701687.5</v>
      </c>
      <c r="T55" s="125">
        <v>701687.5</v>
      </c>
    </row>
    <row r="56" spans="4:20" outlineLevel="1">
      <c r="D56" s="102" t="str">
        <f>Work_Codes!D488</f>
        <v>Information Management</v>
      </c>
      <c r="H56" s="63"/>
      <c r="J56" s="125">
        <v>0</v>
      </c>
      <c r="K56" s="125">
        <v>0</v>
      </c>
      <c r="L56" s="125">
        <v>0</v>
      </c>
      <c r="M56" s="125">
        <v>0</v>
      </c>
      <c r="N56" s="125">
        <v>0</v>
      </c>
      <c r="O56" s="178">
        <v>0</v>
      </c>
      <c r="P56" s="125">
        <v>2251448.4821428573</v>
      </c>
      <c r="Q56" s="125">
        <v>3901158.7857142854</v>
      </c>
      <c r="R56" s="125">
        <v>4001158.7857142859</v>
      </c>
      <c r="S56" s="125">
        <v>2251158.7857142859</v>
      </c>
      <c r="T56" s="125">
        <v>750869.0892857142</v>
      </c>
    </row>
    <row r="57" spans="4:20" outlineLevel="1">
      <c r="D57" s="102" t="str">
        <f>Work_Codes!D489</f>
        <v>Customer Information Systems</v>
      </c>
      <c r="H57" s="63"/>
      <c r="J57" s="125">
        <v>0</v>
      </c>
      <c r="K57" s="125">
        <v>0</v>
      </c>
      <c r="L57" s="125">
        <v>0</v>
      </c>
      <c r="M57" s="125">
        <v>0</v>
      </c>
      <c r="N57" s="125">
        <v>0</v>
      </c>
      <c r="O57" s="178">
        <v>0</v>
      </c>
      <c r="P57" s="125">
        <v>812500</v>
      </c>
      <c r="Q57" s="125">
        <v>812500</v>
      </c>
      <c r="R57" s="125">
        <v>607500</v>
      </c>
      <c r="S57" s="125">
        <v>472500.00000000006</v>
      </c>
      <c r="T57" s="125">
        <v>191250</v>
      </c>
    </row>
    <row r="58" spans="4:20" outlineLevel="1">
      <c r="D58" s="102" t="str">
        <f>Work_Codes!D490</f>
        <v>TAM Apps</v>
      </c>
      <c r="H58" s="63"/>
      <c r="J58" s="125">
        <v>0</v>
      </c>
      <c r="K58" s="125">
        <v>0</v>
      </c>
      <c r="L58" s="125">
        <v>0</v>
      </c>
      <c r="M58" s="125">
        <v>0</v>
      </c>
      <c r="N58" s="125">
        <v>0</v>
      </c>
      <c r="O58" s="178">
        <v>0</v>
      </c>
      <c r="P58" s="125">
        <v>433977.60000000003</v>
      </c>
      <c r="Q58" s="125">
        <v>433977.60000000003</v>
      </c>
      <c r="R58" s="125">
        <v>542472</v>
      </c>
      <c r="S58" s="125">
        <v>650966.4</v>
      </c>
      <c r="T58" s="125">
        <v>650966.4</v>
      </c>
    </row>
    <row r="59" spans="4:20" outlineLevel="1">
      <c r="D59" s="102" t="str">
        <f>Work_Codes!D491</f>
        <v>TAM Infra</v>
      </c>
      <c r="H59" s="63"/>
      <c r="J59" s="125">
        <v>0</v>
      </c>
      <c r="K59" s="125">
        <v>0</v>
      </c>
      <c r="L59" s="125">
        <v>0</v>
      </c>
      <c r="M59" s="125">
        <v>0</v>
      </c>
      <c r="N59" s="125">
        <v>0</v>
      </c>
      <c r="O59" s="178">
        <v>0</v>
      </c>
      <c r="P59" s="125">
        <v>2146647.9694255637</v>
      </c>
      <c r="Q59" s="125">
        <v>480122.6899214345</v>
      </c>
      <c r="R59" s="125">
        <v>2870456.3125212584</v>
      </c>
      <c r="S59" s="125">
        <v>675519.34356888477</v>
      </c>
      <c r="T59" s="125">
        <v>784133.68456285831</v>
      </c>
    </row>
    <row r="60" spans="4:20" outlineLevel="1">
      <c r="D60" s="102" t="str">
        <f>Work_Codes!D492</f>
        <v>Cyber Security</v>
      </c>
      <c r="H60" s="63"/>
      <c r="J60" s="125">
        <v>0</v>
      </c>
      <c r="K60" s="125">
        <v>0</v>
      </c>
      <c r="L60" s="125">
        <v>0</v>
      </c>
      <c r="M60" s="125">
        <v>0</v>
      </c>
      <c r="N60" s="125">
        <v>0</v>
      </c>
      <c r="O60" s="178">
        <v>0</v>
      </c>
      <c r="P60" s="125">
        <v>1584216.22</v>
      </c>
      <c r="Q60" s="125">
        <v>1584216.22</v>
      </c>
      <c r="R60" s="125">
        <v>1584216.22</v>
      </c>
      <c r="S60" s="125">
        <v>1584216.22</v>
      </c>
      <c r="T60" s="125">
        <v>1584216.22</v>
      </c>
    </row>
    <row r="61" spans="4:20" outlineLevel="1">
      <c r="D61" s="102" t="str">
        <f>Work_Codes!D493</f>
        <v>Intelligent Networks</v>
      </c>
      <c r="H61" s="63"/>
      <c r="J61" s="125">
        <v>0</v>
      </c>
      <c r="K61" s="125">
        <v>0</v>
      </c>
      <c r="L61" s="125">
        <v>0</v>
      </c>
      <c r="M61" s="125">
        <v>0</v>
      </c>
      <c r="N61" s="125">
        <v>0</v>
      </c>
      <c r="O61" s="178">
        <v>0</v>
      </c>
      <c r="P61" s="125">
        <v>3358000</v>
      </c>
      <c r="Q61" s="125">
        <v>4029600</v>
      </c>
      <c r="R61" s="125">
        <v>5372800</v>
      </c>
      <c r="S61" s="125">
        <v>671600</v>
      </c>
      <c r="T61" s="125">
        <v>0</v>
      </c>
    </row>
    <row r="62" spans="4:20" outlineLevel="1">
      <c r="D62" s="102" t="str">
        <f>Work_Codes!D494</f>
        <v>Smart Metering</v>
      </c>
      <c r="H62" s="63"/>
      <c r="J62" s="125">
        <v>0</v>
      </c>
      <c r="K62" s="125">
        <v>0</v>
      </c>
      <c r="L62" s="125">
        <v>0</v>
      </c>
      <c r="M62" s="125">
        <v>0</v>
      </c>
      <c r="N62" s="125">
        <v>0</v>
      </c>
      <c r="O62" s="178">
        <v>0</v>
      </c>
      <c r="P62" s="178">
        <v>494999.99999999994</v>
      </c>
      <c r="Q62" s="178">
        <v>1195000</v>
      </c>
      <c r="R62" s="178">
        <v>500000</v>
      </c>
      <c r="S62" s="178">
        <v>50000</v>
      </c>
      <c r="T62" s="178">
        <v>500000</v>
      </c>
    </row>
    <row r="63" spans="4:20" outlineLevel="1">
      <c r="D63" s="102" t="str">
        <f>Work_Codes!D495</f>
        <v>IT Category 20</v>
      </c>
      <c r="H63" s="63"/>
      <c r="J63" s="125">
        <v>0</v>
      </c>
      <c r="K63" s="125">
        <v>0</v>
      </c>
      <c r="L63" s="125">
        <v>0</v>
      </c>
      <c r="M63" s="125">
        <v>0</v>
      </c>
      <c r="N63" s="125">
        <v>0</v>
      </c>
      <c r="O63" s="125">
        <v>0</v>
      </c>
      <c r="P63" s="178">
        <v>0</v>
      </c>
      <c r="Q63" s="178">
        <v>0</v>
      </c>
      <c r="R63" s="178">
        <v>0</v>
      </c>
      <c r="S63" s="178">
        <v>0</v>
      </c>
      <c r="T63" s="178">
        <v>0</v>
      </c>
    </row>
    <row r="64" spans="4:20" outlineLevel="1">
      <c r="D64" s="105"/>
      <c r="H64" s="58"/>
      <c r="J64" s="66"/>
      <c r="K64" s="66"/>
      <c r="L64" s="66"/>
      <c r="M64" s="66"/>
      <c r="N64" s="66"/>
      <c r="O64" s="66"/>
      <c r="P64" s="66"/>
      <c r="Q64" s="66"/>
      <c r="R64" s="66"/>
      <c r="S64" s="66"/>
      <c r="T64" s="66"/>
    </row>
    <row r="65" spans="3:20" outlineLevel="1">
      <c r="C65" s="37" t="s">
        <v>119</v>
      </c>
    </row>
    <row r="66" spans="3:20" ht="5.9" customHeight="1" outlineLevel="1"/>
    <row r="67" spans="3:20" outlineLevel="1">
      <c r="D67" s="37" t="str">
        <f>D42</f>
        <v>Capex Category</v>
      </c>
    </row>
    <row r="68" spans="3:20" ht="5.9" customHeight="1" outlineLevel="1"/>
    <row r="69" spans="3:20" s="41" customFormat="1" outlineLevel="1">
      <c r="D69" s="205" t="str">
        <f>Work_Codes!D476</f>
        <v>Corporate</v>
      </c>
      <c r="J69" s="163">
        <v>0</v>
      </c>
      <c r="K69" s="163">
        <v>0</v>
      </c>
      <c r="L69" s="163">
        <v>0</v>
      </c>
      <c r="M69" s="163">
        <v>0</v>
      </c>
      <c r="N69" s="163">
        <v>1</v>
      </c>
      <c r="O69" s="163">
        <v>1</v>
      </c>
      <c r="P69" s="163">
        <v>0</v>
      </c>
      <c r="Q69" s="163">
        <v>0</v>
      </c>
      <c r="R69" s="163">
        <v>0</v>
      </c>
      <c r="S69" s="163">
        <v>0</v>
      </c>
      <c r="T69" s="163">
        <v>0</v>
      </c>
    </row>
    <row r="70" spans="3:20" s="41" customFormat="1" outlineLevel="1">
      <c r="D70" s="205" t="str">
        <f>Work_Codes!D477</f>
        <v>Information Management</v>
      </c>
      <c r="J70" s="163">
        <v>0</v>
      </c>
      <c r="K70" s="163">
        <v>0</v>
      </c>
      <c r="L70" s="163">
        <v>0</v>
      </c>
      <c r="M70" s="163">
        <v>0</v>
      </c>
      <c r="N70" s="163">
        <v>1</v>
      </c>
      <c r="O70" s="163">
        <v>1</v>
      </c>
      <c r="P70" s="163">
        <v>0</v>
      </c>
      <c r="Q70" s="163">
        <v>0</v>
      </c>
      <c r="R70" s="163">
        <v>0</v>
      </c>
      <c r="S70" s="163">
        <v>0</v>
      </c>
      <c r="T70" s="163">
        <v>0</v>
      </c>
    </row>
    <row r="71" spans="3:20" s="41" customFormat="1" outlineLevel="1">
      <c r="D71" s="205" t="str">
        <f>Work_Codes!D478</f>
        <v>Information Security</v>
      </c>
      <c r="J71" s="163">
        <v>0</v>
      </c>
      <c r="K71" s="163">
        <v>0</v>
      </c>
      <c r="L71" s="163">
        <v>0</v>
      </c>
      <c r="M71" s="163">
        <v>0</v>
      </c>
      <c r="N71" s="163">
        <v>1</v>
      </c>
      <c r="O71" s="163">
        <v>1</v>
      </c>
      <c r="P71" s="163">
        <v>0</v>
      </c>
      <c r="Q71" s="163">
        <v>0</v>
      </c>
      <c r="R71" s="163">
        <v>0</v>
      </c>
      <c r="S71" s="163">
        <v>0</v>
      </c>
      <c r="T71" s="163">
        <v>0</v>
      </c>
    </row>
    <row r="72" spans="3:20" s="41" customFormat="1" outlineLevel="1">
      <c r="D72" s="205" t="str">
        <f>Work_Codes!D479</f>
        <v>Network Management</v>
      </c>
      <c r="J72" s="163">
        <v>0</v>
      </c>
      <c r="K72" s="163">
        <v>0</v>
      </c>
      <c r="L72" s="163">
        <v>0</v>
      </c>
      <c r="M72" s="163">
        <v>0</v>
      </c>
      <c r="N72" s="163">
        <v>1</v>
      </c>
      <c r="O72" s="163">
        <v>1</v>
      </c>
      <c r="P72" s="163">
        <v>0</v>
      </c>
      <c r="Q72" s="163">
        <v>0</v>
      </c>
      <c r="R72" s="163">
        <v>0</v>
      </c>
      <c r="S72" s="163">
        <v>0</v>
      </c>
      <c r="T72" s="163">
        <v>0</v>
      </c>
    </row>
    <row r="73" spans="3:20" s="41" customFormat="1" outlineLevel="1">
      <c r="D73" s="205" t="str">
        <f>Work_Codes!D480</f>
        <v>Works &amp; Asset Management</v>
      </c>
      <c r="J73" s="163">
        <v>0</v>
      </c>
      <c r="K73" s="163">
        <v>0</v>
      </c>
      <c r="L73" s="163">
        <v>0</v>
      </c>
      <c r="M73" s="163">
        <v>0</v>
      </c>
      <c r="N73" s="163">
        <v>1</v>
      </c>
      <c r="O73" s="163">
        <v>1</v>
      </c>
      <c r="P73" s="163">
        <v>0</v>
      </c>
      <c r="Q73" s="163">
        <v>0</v>
      </c>
      <c r="R73" s="163">
        <v>0</v>
      </c>
      <c r="S73" s="163">
        <v>0</v>
      </c>
      <c r="T73" s="163">
        <v>0</v>
      </c>
    </row>
    <row r="74" spans="3:20" s="41" customFormat="1" outlineLevel="1">
      <c r="D74" s="205" t="str">
        <f>Work_Codes!D481</f>
        <v>EAM / ERP</v>
      </c>
      <c r="J74" s="163">
        <v>0</v>
      </c>
      <c r="K74" s="163">
        <v>0</v>
      </c>
      <c r="L74" s="163">
        <v>0</v>
      </c>
      <c r="M74" s="163">
        <v>0</v>
      </c>
      <c r="N74" s="163">
        <v>1</v>
      </c>
      <c r="O74" s="163">
        <v>1</v>
      </c>
      <c r="P74" s="163">
        <v>0</v>
      </c>
      <c r="Q74" s="163">
        <v>0</v>
      </c>
      <c r="R74" s="163">
        <v>0</v>
      </c>
      <c r="S74" s="163">
        <v>0</v>
      </c>
      <c r="T74" s="163">
        <v>0</v>
      </c>
    </row>
    <row r="75" spans="3:20" s="41" customFormat="1" outlineLevel="1">
      <c r="D75" s="205" t="str">
        <f>Work_Codes!D482</f>
        <v>Metering &amp; Customer Services</v>
      </c>
      <c r="J75" s="163">
        <v>0</v>
      </c>
      <c r="K75" s="163">
        <v>0</v>
      </c>
      <c r="L75" s="163">
        <v>0</v>
      </c>
      <c r="M75" s="163">
        <v>0</v>
      </c>
      <c r="N75" s="163">
        <v>1</v>
      </c>
      <c r="O75" s="163">
        <v>1</v>
      </c>
      <c r="P75" s="163">
        <v>0</v>
      </c>
      <c r="Q75" s="163">
        <v>0</v>
      </c>
      <c r="R75" s="163">
        <v>0</v>
      </c>
      <c r="S75" s="163">
        <v>0</v>
      </c>
      <c r="T75" s="163">
        <v>0</v>
      </c>
    </row>
    <row r="76" spans="3:20" s="41" customFormat="1" outlineLevel="1">
      <c r="D76" s="205" t="str">
        <f>Work_Codes!D483</f>
        <v>Information Technology</v>
      </c>
      <c r="J76" s="163">
        <v>0</v>
      </c>
      <c r="K76" s="163">
        <v>0</v>
      </c>
      <c r="L76" s="163">
        <v>0</v>
      </c>
      <c r="M76" s="163">
        <v>0</v>
      </c>
      <c r="N76" s="163">
        <v>1</v>
      </c>
      <c r="O76" s="163">
        <v>1</v>
      </c>
      <c r="P76" s="163">
        <v>0</v>
      </c>
      <c r="Q76" s="163">
        <v>0</v>
      </c>
      <c r="R76" s="163">
        <v>0</v>
      </c>
      <c r="S76" s="163">
        <v>0</v>
      </c>
      <c r="T76" s="163">
        <v>0</v>
      </c>
    </row>
    <row r="77" spans="3:20" s="41" customFormat="1" outlineLevel="1">
      <c r="D77" s="205" t="str">
        <f>Work_Codes!D484</f>
        <v>Comms</v>
      </c>
      <c r="J77" s="163">
        <v>0</v>
      </c>
      <c r="K77" s="163">
        <v>0</v>
      </c>
      <c r="L77" s="163">
        <v>0</v>
      </c>
      <c r="M77" s="163">
        <v>0</v>
      </c>
      <c r="N77" s="163">
        <v>0</v>
      </c>
      <c r="O77" s="163">
        <v>0</v>
      </c>
      <c r="P77" s="163">
        <v>0</v>
      </c>
      <c r="Q77" s="163">
        <v>0</v>
      </c>
      <c r="R77" s="163">
        <v>0</v>
      </c>
      <c r="S77" s="163">
        <v>0</v>
      </c>
      <c r="T77" s="163">
        <v>0</v>
      </c>
    </row>
    <row r="78" spans="3:20" s="41" customFormat="1" outlineLevel="1">
      <c r="D78" s="205" t="str">
        <f>Work_Codes!D485</f>
        <v>Workforce collaboration</v>
      </c>
      <c r="J78" s="163">
        <v>0</v>
      </c>
      <c r="K78" s="163">
        <v>0</v>
      </c>
      <c r="L78" s="163">
        <v>0</v>
      </c>
      <c r="M78" s="163">
        <v>0</v>
      </c>
      <c r="N78" s="163">
        <v>0</v>
      </c>
      <c r="O78" s="163">
        <v>0</v>
      </c>
      <c r="P78" s="163">
        <v>1</v>
      </c>
      <c r="Q78" s="163">
        <v>1</v>
      </c>
      <c r="R78" s="163">
        <v>1</v>
      </c>
      <c r="S78" s="163">
        <v>1</v>
      </c>
      <c r="T78" s="163">
        <v>1</v>
      </c>
    </row>
    <row r="79" spans="3:20" s="41" customFormat="1" outlineLevel="1">
      <c r="D79" s="205" t="str">
        <f>Work_Codes!D486</f>
        <v>Corporate Enablement</v>
      </c>
      <c r="J79" s="163">
        <v>0</v>
      </c>
      <c r="K79" s="163">
        <v>0</v>
      </c>
      <c r="L79" s="163">
        <v>0</v>
      </c>
      <c r="M79" s="163">
        <v>0</v>
      </c>
      <c r="N79" s="163">
        <v>0</v>
      </c>
      <c r="O79" s="163">
        <v>0</v>
      </c>
      <c r="P79" s="163">
        <v>1</v>
      </c>
      <c r="Q79" s="163">
        <v>1</v>
      </c>
      <c r="R79" s="163">
        <v>1</v>
      </c>
      <c r="S79" s="163">
        <v>1</v>
      </c>
      <c r="T79" s="163">
        <v>1</v>
      </c>
    </row>
    <row r="80" spans="3:20" s="41" customFormat="1" outlineLevel="1">
      <c r="D80" s="205" t="str">
        <f>Work_Codes!D487</f>
        <v>Corporate Communications</v>
      </c>
      <c r="J80" s="163">
        <v>0</v>
      </c>
      <c r="K80" s="163">
        <v>0</v>
      </c>
      <c r="L80" s="163">
        <v>0</v>
      </c>
      <c r="M80" s="163">
        <v>0</v>
      </c>
      <c r="N80" s="163">
        <v>0</v>
      </c>
      <c r="O80" s="163">
        <v>0</v>
      </c>
      <c r="P80" s="163">
        <v>1</v>
      </c>
      <c r="Q80" s="163">
        <v>1</v>
      </c>
      <c r="R80" s="163">
        <v>1</v>
      </c>
      <c r="S80" s="163">
        <v>1</v>
      </c>
      <c r="T80" s="163">
        <v>1</v>
      </c>
    </row>
    <row r="81" spans="3:20" s="41" customFormat="1" outlineLevel="1">
      <c r="D81" s="205" t="str">
        <f>Work_Codes!D488</f>
        <v>Information Management</v>
      </c>
      <c r="J81" s="163">
        <v>0</v>
      </c>
      <c r="K81" s="163">
        <v>0</v>
      </c>
      <c r="L81" s="163">
        <v>0</v>
      </c>
      <c r="M81" s="163">
        <v>0</v>
      </c>
      <c r="N81" s="163">
        <v>0</v>
      </c>
      <c r="O81" s="163">
        <v>0</v>
      </c>
      <c r="P81" s="163">
        <v>1</v>
      </c>
      <c r="Q81" s="163">
        <v>1</v>
      </c>
      <c r="R81" s="163">
        <v>1</v>
      </c>
      <c r="S81" s="163">
        <v>1</v>
      </c>
      <c r="T81" s="163">
        <v>1</v>
      </c>
    </row>
    <row r="82" spans="3:20" s="41" customFormat="1" outlineLevel="1">
      <c r="D82" s="205" t="str">
        <f>Work_Codes!D489</f>
        <v>Customer Information Systems</v>
      </c>
      <c r="J82" s="163">
        <v>0</v>
      </c>
      <c r="K82" s="163">
        <v>0</v>
      </c>
      <c r="L82" s="163">
        <v>0</v>
      </c>
      <c r="M82" s="163">
        <v>0</v>
      </c>
      <c r="N82" s="163">
        <v>0</v>
      </c>
      <c r="O82" s="163">
        <v>0</v>
      </c>
      <c r="P82" s="163">
        <v>1</v>
      </c>
      <c r="Q82" s="163">
        <v>1</v>
      </c>
      <c r="R82" s="163">
        <v>1</v>
      </c>
      <c r="S82" s="163">
        <v>1</v>
      </c>
      <c r="T82" s="163">
        <v>1</v>
      </c>
    </row>
    <row r="83" spans="3:20" s="41" customFormat="1" outlineLevel="1">
      <c r="D83" s="205" t="str">
        <f>Work_Codes!D490</f>
        <v>TAM Apps</v>
      </c>
      <c r="J83" s="163">
        <v>0</v>
      </c>
      <c r="K83" s="163">
        <v>0</v>
      </c>
      <c r="L83" s="163">
        <v>0</v>
      </c>
      <c r="M83" s="163">
        <v>0</v>
      </c>
      <c r="N83" s="163">
        <v>0</v>
      </c>
      <c r="O83" s="163">
        <v>0</v>
      </c>
      <c r="P83" s="163">
        <v>1</v>
      </c>
      <c r="Q83" s="163">
        <v>1</v>
      </c>
      <c r="R83" s="163">
        <v>1</v>
      </c>
      <c r="S83" s="163">
        <v>1</v>
      </c>
      <c r="T83" s="163">
        <v>1</v>
      </c>
    </row>
    <row r="84" spans="3:20" s="41" customFormat="1" outlineLevel="1">
      <c r="D84" s="205" t="str">
        <f>Work_Codes!D491</f>
        <v>TAM Infra</v>
      </c>
      <c r="J84" s="163">
        <v>0</v>
      </c>
      <c r="K84" s="163">
        <v>0</v>
      </c>
      <c r="L84" s="163">
        <v>0</v>
      </c>
      <c r="M84" s="163">
        <v>0</v>
      </c>
      <c r="N84" s="163">
        <v>0</v>
      </c>
      <c r="O84" s="163">
        <v>0</v>
      </c>
      <c r="P84" s="163">
        <v>1</v>
      </c>
      <c r="Q84" s="163">
        <v>1</v>
      </c>
      <c r="R84" s="163">
        <v>1</v>
      </c>
      <c r="S84" s="163">
        <v>1</v>
      </c>
      <c r="T84" s="163">
        <v>1</v>
      </c>
    </row>
    <row r="85" spans="3:20" s="41" customFormat="1" outlineLevel="1">
      <c r="D85" s="205" t="str">
        <f>Work_Codes!D492</f>
        <v>Cyber Security</v>
      </c>
      <c r="J85" s="163">
        <v>0</v>
      </c>
      <c r="K85" s="163">
        <v>0</v>
      </c>
      <c r="L85" s="163">
        <v>0</v>
      </c>
      <c r="M85" s="163">
        <v>0</v>
      </c>
      <c r="N85" s="163">
        <v>0</v>
      </c>
      <c r="O85" s="163">
        <v>0</v>
      </c>
      <c r="P85" s="163">
        <v>1</v>
      </c>
      <c r="Q85" s="163">
        <v>1</v>
      </c>
      <c r="R85" s="163">
        <v>1</v>
      </c>
      <c r="S85" s="163">
        <v>1</v>
      </c>
      <c r="T85" s="163">
        <v>1</v>
      </c>
    </row>
    <row r="86" spans="3:20" s="41" customFormat="1" outlineLevel="1">
      <c r="D86" s="205" t="str">
        <f>Work_Codes!D493</f>
        <v>Intelligent Networks</v>
      </c>
      <c r="J86" s="163">
        <v>0</v>
      </c>
      <c r="K86" s="163">
        <v>0</v>
      </c>
      <c r="L86" s="163">
        <v>0</v>
      </c>
      <c r="M86" s="163">
        <v>0</v>
      </c>
      <c r="N86" s="163">
        <v>0</v>
      </c>
      <c r="O86" s="163">
        <v>0</v>
      </c>
      <c r="P86" s="163">
        <v>1</v>
      </c>
      <c r="Q86" s="163">
        <v>1</v>
      </c>
      <c r="R86" s="163">
        <v>1</v>
      </c>
      <c r="S86" s="163">
        <v>1</v>
      </c>
      <c r="T86" s="163">
        <v>1</v>
      </c>
    </row>
    <row r="87" spans="3:20" s="41" customFormat="1" outlineLevel="1">
      <c r="D87" s="205" t="str">
        <f>Work_Codes!D494</f>
        <v>Smart Metering</v>
      </c>
      <c r="J87" s="163">
        <v>0</v>
      </c>
      <c r="K87" s="163">
        <v>0</v>
      </c>
      <c r="L87" s="163">
        <v>0</v>
      </c>
      <c r="M87" s="163">
        <v>0</v>
      </c>
      <c r="N87" s="163">
        <v>0</v>
      </c>
      <c r="O87" s="163">
        <v>0</v>
      </c>
      <c r="P87" s="163">
        <v>1</v>
      </c>
      <c r="Q87" s="163">
        <v>1</v>
      </c>
      <c r="R87" s="163">
        <v>1</v>
      </c>
      <c r="S87" s="163">
        <v>1</v>
      </c>
      <c r="T87" s="163">
        <v>1</v>
      </c>
    </row>
    <row r="88" spans="3:20" s="41" customFormat="1" outlineLevel="1">
      <c r="D88" s="205" t="str">
        <f>Work_Codes!D495</f>
        <v>IT Category 20</v>
      </c>
      <c r="J88" s="163">
        <v>0</v>
      </c>
      <c r="K88" s="163">
        <v>0</v>
      </c>
      <c r="L88" s="163">
        <v>0</v>
      </c>
      <c r="M88" s="163">
        <v>0</v>
      </c>
      <c r="N88" s="163">
        <v>0</v>
      </c>
      <c r="O88" s="163">
        <v>0</v>
      </c>
      <c r="P88" s="209"/>
      <c r="Q88" s="209"/>
      <c r="R88" s="209"/>
      <c r="S88" s="209"/>
      <c r="T88" s="209"/>
    </row>
    <row r="89" spans="3:20" s="41" customFormat="1" outlineLevel="1"/>
    <row r="90" spans="3:20" s="41" customFormat="1" outlineLevel="1">
      <c r="C90" s="50" t="s">
        <v>193</v>
      </c>
    </row>
    <row r="91" spans="3:20" s="41" customFormat="1" ht="5.9" customHeight="1" outlineLevel="1"/>
    <row r="92" spans="3:20" s="41" customFormat="1" outlineLevel="1">
      <c r="D92" s="50" t="str">
        <f>D42</f>
        <v>Capex Category</v>
      </c>
    </row>
    <row r="93" spans="3:20" s="41" customFormat="1" ht="5.9" customHeight="1" outlineLevel="1"/>
    <row r="94" spans="3:20" s="41" customFormat="1" outlineLevel="1">
      <c r="D94" s="205" t="str">
        <f>Work_Codes!D476</f>
        <v>Corporate</v>
      </c>
      <c r="J94" s="80">
        <f t="shared" ref="J94:T94" si="8">J44*J69</f>
        <v>0</v>
      </c>
      <c r="K94" s="80">
        <f t="shared" si="8"/>
        <v>0</v>
      </c>
      <c r="L94" s="80">
        <f t="shared" si="8"/>
        <v>0</v>
      </c>
      <c r="M94" s="80">
        <f t="shared" si="8"/>
        <v>0</v>
      </c>
      <c r="N94" s="80">
        <f t="shared" si="8"/>
        <v>422954.65651369374</v>
      </c>
      <c r="O94" s="80">
        <f t="shared" si="8"/>
        <v>430000</v>
      </c>
      <c r="P94" s="80">
        <f t="shared" si="8"/>
        <v>0</v>
      </c>
      <c r="Q94" s="80">
        <f t="shared" si="8"/>
        <v>0</v>
      </c>
      <c r="R94" s="80">
        <f t="shared" si="8"/>
        <v>0</v>
      </c>
      <c r="S94" s="80">
        <f t="shared" si="8"/>
        <v>0</v>
      </c>
      <c r="T94" s="80">
        <f t="shared" si="8"/>
        <v>0</v>
      </c>
    </row>
    <row r="95" spans="3:20" s="41" customFormat="1" outlineLevel="1">
      <c r="D95" s="205" t="str">
        <f>Work_Codes!D477</f>
        <v>Information Management</v>
      </c>
      <c r="J95" s="80">
        <f t="shared" ref="J95:T95" si="9">J45*J70</f>
        <v>0</v>
      </c>
      <c r="K95" s="80">
        <f t="shared" si="9"/>
        <v>0</v>
      </c>
      <c r="L95" s="80">
        <f t="shared" si="9"/>
        <v>0</v>
      </c>
      <c r="M95" s="80">
        <f t="shared" si="9"/>
        <v>0</v>
      </c>
      <c r="N95" s="80">
        <f t="shared" si="9"/>
        <v>622756.63808444212</v>
      </c>
      <c r="O95" s="80">
        <f t="shared" si="9"/>
        <v>215000</v>
      </c>
      <c r="P95" s="80">
        <f t="shared" si="9"/>
        <v>0</v>
      </c>
      <c r="Q95" s="80">
        <f t="shared" si="9"/>
        <v>0</v>
      </c>
      <c r="R95" s="80">
        <f t="shared" si="9"/>
        <v>0</v>
      </c>
      <c r="S95" s="80">
        <f t="shared" si="9"/>
        <v>0</v>
      </c>
      <c r="T95" s="80">
        <f t="shared" si="9"/>
        <v>0</v>
      </c>
    </row>
    <row r="96" spans="3:20" s="41" customFormat="1" outlineLevel="1">
      <c r="D96" s="205" t="str">
        <f>Work_Codes!D478</f>
        <v>Information Security</v>
      </c>
      <c r="J96" s="80">
        <f t="shared" ref="J96:T96" si="10">J46*J71</f>
        <v>0</v>
      </c>
      <c r="K96" s="80">
        <f t="shared" si="10"/>
        <v>0</v>
      </c>
      <c r="L96" s="80">
        <f t="shared" si="10"/>
        <v>0</v>
      </c>
      <c r="M96" s="80">
        <f t="shared" si="10"/>
        <v>0</v>
      </c>
      <c r="N96" s="80">
        <f t="shared" si="10"/>
        <v>461360.05307072215</v>
      </c>
      <c r="O96" s="80">
        <f t="shared" si="10"/>
        <v>630000</v>
      </c>
      <c r="P96" s="80">
        <f t="shared" si="10"/>
        <v>0</v>
      </c>
      <c r="Q96" s="80">
        <f t="shared" si="10"/>
        <v>0</v>
      </c>
      <c r="R96" s="80">
        <f t="shared" si="10"/>
        <v>0</v>
      </c>
      <c r="S96" s="80">
        <f t="shared" si="10"/>
        <v>0</v>
      </c>
      <c r="T96" s="80">
        <f t="shared" si="10"/>
        <v>0</v>
      </c>
    </row>
    <row r="97" spans="4:20" s="41" customFormat="1" outlineLevel="1">
      <c r="D97" s="205" t="str">
        <f>Work_Codes!D479</f>
        <v>Network Management</v>
      </c>
      <c r="J97" s="80">
        <f t="shared" ref="J97:T97" si="11">J47*J72</f>
        <v>0</v>
      </c>
      <c r="K97" s="80">
        <f t="shared" si="11"/>
        <v>0</v>
      </c>
      <c r="L97" s="80">
        <f t="shared" si="11"/>
        <v>0</v>
      </c>
      <c r="M97" s="80">
        <f t="shared" si="11"/>
        <v>0</v>
      </c>
      <c r="N97" s="80">
        <f t="shared" si="11"/>
        <v>9079.8969212850971</v>
      </c>
      <c r="O97" s="80">
        <f t="shared" si="11"/>
        <v>0</v>
      </c>
      <c r="P97" s="80">
        <f t="shared" si="11"/>
        <v>0</v>
      </c>
      <c r="Q97" s="80">
        <f t="shared" si="11"/>
        <v>0</v>
      </c>
      <c r="R97" s="80">
        <f t="shared" si="11"/>
        <v>0</v>
      </c>
      <c r="S97" s="80">
        <f t="shared" si="11"/>
        <v>0</v>
      </c>
      <c r="T97" s="80">
        <f t="shared" si="11"/>
        <v>0</v>
      </c>
    </row>
    <row r="98" spans="4:20" s="41" customFormat="1" outlineLevel="1">
      <c r="D98" s="205" t="str">
        <f>Work_Codes!D480</f>
        <v>Works &amp; Asset Management</v>
      </c>
      <c r="J98" s="80">
        <f t="shared" ref="J98:T98" si="12">J48*J73</f>
        <v>0</v>
      </c>
      <c r="K98" s="80">
        <f t="shared" si="12"/>
        <v>0</v>
      </c>
      <c r="L98" s="80">
        <f t="shared" si="12"/>
        <v>0</v>
      </c>
      <c r="M98" s="80">
        <f t="shared" si="12"/>
        <v>0</v>
      </c>
      <c r="N98" s="80">
        <f t="shared" si="12"/>
        <v>27870.918712057952</v>
      </c>
      <c r="O98" s="80">
        <f t="shared" si="12"/>
        <v>785000</v>
      </c>
      <c r="P98" s="80">
        <f t="shared" si="12"/>
        <v>0</v>
      </c>
      <c r="Q98" s="80">
        <f t="shared" si="12"/>
        <v>0</v>
      </c>
      <c r="R98" s="80">
        <f t="shared" si="12"/>
        <v>0</v>
      </c>
      <c r="S98" s="80">
        <f t="shared" si="12"/>
        <v>0</v>
      </c>
      <c r="T98" s="80">
        <f t="shared" si="12"/>
        <v>0</v>
      </c>
    </row>
    <row r="99" spans="4:20" s="41" customFormat="1" outlineLevel="1">
      <c r="D99" s="205" t="str">
        <f>Work_Codes!D481</f>
        <v>EAM / ERP</v>
      </c>
      <c r="J99" s="80">
        <f t="shared" ref="J99:T99" si="13">J49*J74</f>
        <v>0</v>
      </c>
      <c r="K99" s="80">
        <f t="shared" si="13"/>
        <v>0</v>
      </c>
      <c r="L99" s="80">
        <f t="shared" si="13"/>
        <v>0</v>
      </c>
      <c r="M99" s="80">
        <f t="shared" si="13"/>
        <v>0</v>
      </c>
      <c r="N99" s="80">
        <f t="shared" si="13"/>
        <v>0</v>
      </c>
      <c r="O99" s="80">
        <f t="shared" si="13"/>
        <v>0</v>
      </c>
      <c r="P99" s="80">
        <f t="shared" si="13"/>
        <v>0</v>
      </c>
      <c r="Q99" s="80">
        <f t="shared" si="13"/>
        <v>0</v>
      </c>
      <c r="R99" s="80">
        <f t="shared" si="13"/>
        <v>0</v>
      </c>
      <c r="S99" s="80">
        <f t="shared" si="13"/>
        <v>0</v>
      </c>
      <c r="T99" s="80">
        <f t="shared" si="13"/>
        <v>0</v>
      </c>
    </row>
    <row r="100" spans="4:20" s="41" customFormat="1" outlineLevel="1">
      <c r="D100" s="205" t="str">
        <f>Work_Codes!D482</f>
        <v>Metering &amp; Customer Services</v>
      </c>
      <c r="J100" s="80">
        <f t="shared" ref="J100:T100" si="14">J50*J75</f>
        <v>0</v>
      </c>
      <c r="K100" s="80">
        <f t="shared" si="14"/>
        <v>0</v>
      </c>
      <c r="L100" s="80">
        <f t="shared" si="14"/>
        <v>0</v>
      </c>
      <c r="M100" s="80">
        <f t="shared" si="14"/>
        <v>0</v>
      </c>
      <c r="N100" s="80">
        <f t="shared" si="14"/>
        <v>600784.84851911559</v>
      </c>
      <c r="O100" s="80">
        <f t="shared" si="14"/>
        <v>0</v>
      </c>
      <c r="P100" s="80">
        <f t="shared" si="14"/>
        <v>0</v>
      </c>
      <c r="Q100" s="80">
        <f t="shared" si="14"/>
        <v>0</v>
      </c>
      <c r="R100" s="80">
        <f t="shared" si="14"/>
        <v>0</v>
      </c>
      <c r="S100" s="80">
        <f t="shared" si="14"/>
        <v>0</v>
      </c>
      <c r="T100" s="80">
        <f t="shared" si="14"/>
        <v>0</v>
      </c>
    </row>
    <row r="101" spans="4:20" s="41" customFormat="1" outlineLevel="1">
      <c r="D101" s="205" t="str">
        <f>Work_Codes!D483</f>
        <v>Information Technology</v>
      </c>
      <c r="J101" s="80">
        <f t="shared" ref="J101:T101" si="15">J51*J76</f>
        <v>0</v>
      </c>
      <c r="K101" s="80">
        <f t="shared" si="15"/>
        <v>0</v>
      </c>
      <c r="L101" s="80">
        <f t="shared" si="15"/>
        <v>0</v>
      </c>
      <c r="M101" s="80">
        <f t="shared" si="15"/>
        <v>0</v>
      </c>
      <c r="N101" s="80">
        <f t="shared" si="15"/>
        <v>4350580.0838668263</v>
      </c>
      <c r="O101" s="80">
        <f t="shared" si="15"/>
        <v>1180000</v>
      </c>
      <c r="P101" s="80">
        <f t="shared" si="15"/>
        <v>0</v>
      </c>
      <c r="Q101" s="80">
        <f t="shared" si="15"/>
        <v>0</v>
      </c>
      <c r="R101" s="80">
        <f t="shared" si="15"/>
        <v>0</v>
      </c>
      <c r="S101" s="80">
        <f t="shared" si="15"/>
        <v>0</v>
      </c>
      <c r="T101" s="80">
        <f t="shared" si="15"/>
        <v>0</v>
      </c>
    </row>
    <row r="102" spans="4:20" s="41" customFormat="1" outlineLevel="1">
      <c r="D102" s="205" t="str">
        <f>Work_Codes!D484</f>
        <v>Comms</v>
      </c>
      <c r="J102" s="80">
        <f t="shared" ref="J102:T102" si="16">J52*J77</f>
        <v>0</v>
      </c>
      <c r="K102" s="80">
        <f t="shared" si="16"/>
        <v>0</v>
      </c>
      <c r="L102" s="80">
        <f t="shared" si="16"/>
        <v>0</v>
      </c>
      <c r="M102" s="80">
        <f t="shared" si="16"/>
        <v>0</v>
      </c>
      <c r="N102" s="80">
        <f t="shared" si="16"/>
        <v>0</v>
      </c>
      <c r="O102" s="80">
        <f t="shared" si="16"/>
        <v>0</v>
      </c>
      <c r="P102" s="80">
        <f t="shared" si="16"/>
        <v>0</v>
      </c>
      <c r="Q102" s="80">
        <f t="shared" si="16"/>
        <v>0</v>
      </c>
      <c r="R102" s="80">
        <f t="shared" si="16"/>
        <v>0</v>
      </c>
      <c r="S102" s="80">
        <f t="shared" si="16"/>
        <v>0</v>
      </c>
      <c r="T102" s="80">
        <f t="shared" si="16"/>
        <v>0</v>
      </c>
    </row>
    <row r="103" spans="4:20" s="41" customFormat="1" outlineLevel="1">
      <c r="D103" s="205" t="str">
        <f>Work_Codes!D485</f>
        <v>Workforce collaboration</v>
      </c>
      <c r="J103" s="80">
        <f t="shared" ref="J103:T103" si="17">J53*J78</f>
        <v>0</v>
      </c>
      <c r="K103" s="80">
        <f t="shared" si="17"/>
        <v>0</v>
      </c>
      <c r="L103" s="80">
        <f t="shared" si="17"/>
        <v>0</v>
      </c>
      <c r="M103" s="80">
        <f t="shared" si="17"/>
        <v>0</v>
      </c>
      <c r="N103" s="80">
        <f t="shared" si="17"/>
        <v>0</v>
      </c>
      <c r="O103" s="80">
        <f t="shared" si="17"/>
        <v>0</v>
      </c>
      <c r="P103" s="80">
        <f t="shared" si="17"/>
        <v>1305371.1399999999</v>
      </c>
      <c r="Q103" s="80">
        <f t="shared" si="17"/>
        <v>2665371.14</v>
      </c>
      <c r="R103" s="80">
        <f t="shared" si="17"/>
        <v>1305371.1399999999</v>
      </c>
      <c r="S103" s="80">
        <f t="shared" si="17"/>
        <v>625371.14</v>
      </c>
      <c r="T103" s="80">
        <f t="shared" si="17"/>
        <v>625371.14</v>
      </c>
    </row>
    <row r="104" spans="4:20" s="41" customFormat="1" outlineLevel="1">
      <c r="D104" s="205" t="str">
        <f>Work_Codes!D486</f>
        <v>Corporate Enablement</v>
      </c>
      <c r="J104" s="80">
        <f t="shared" ref="J104:T104" si="18">J54*J79</f>
        <v>0</v>
      </c>
      <c r="K104" s="80">
        <f t="shared" si="18"/>
        <v>0</v>
      </c>
      <c r="L104" s="80">
        <f t="shared" si="18"/>
        <v>0</v>
      </c>
      <c r="M104" s="80">
        <f t="shared" si="18"/>
        <v>0</v>
      </c>
      <c r="N104" s="80">
        <f t="shared" si="18"/>
        <v>0</v>
      </c>
      <c r="O104" s="80">
        <f t="shared" si="18"/>
        <v>0</v>
      </c>
      <c r="P104" s="80">
        <f t="shared" si="18"/>
        <v>861000</v>
      </c>
      <c r="Q104" s="80">
        <f t="shared" si="18"/>
        <v>1435000</v>
      </c>
      <c r="R104" s="80">
        <f t="shared" si="18"/>
        <v>1148000</v>
      </c>
      <c r="S104" s="80">
        <f t="shared" si="18"/>
        <v>1435000</v>
      </c>
      <c r="T104" s="80">
        <f t="shared" si="18"/>
        <v>861000</v>
      </c>
    </row>
    <row r="105" spans="4:20" s="41" customFormat="1" outlineLevel="1">
      <c r="D105" s="205" t="str">
        <f>Work_Codes!D487</f>
        <v>Corporate Communications</v>
      </c>
      <c r="J105" s="80">
        <f t="shared" ref="J105:T105" si="19">J55*J80</f>
        <v>0</v>
      </c>
      <c r="K105" s="80">
        <f t="shared" si="19"/>
        <v>0</v>
      </c>
      <c r="L105" s="80">
        <f t="shared" si="19"/>
        <v>0</v>
      </c>
      <c r="M105" s="80">
        <f t="shared" si="19"/>
        <v>0</v>
      </c>
      <c r="N105" s="80">
        <f t="shared" si="19"/>
        <v>0</v>
      </c>
      <c r="O105" s="80">
        <f t="shared" si="19"/>
        <v>0</v>
      </c>
      <c r="P105" s="80">
        <f t="shared" si="19"/>
        <v>1771250</v>
      </c>
      <c r="Q105" s="80">
        <f t="shared" si="19"/>
        <v>701687.5</v>
      </c>
      <c r="R105" s="80">
        <f t="shared" si="19"/>
        <v>701687.5</v>
      </c>
      <c r="S105" s="80">
        <f t="shared" si="19"/>
        <v>701687.5</v>
      </c>
      <c r="T105" s="80">
        <f t="shared" si="19"/>
        <v>701687.5</v>
      </c>
    </row>
    <row r="106" spans="4:20" s="41" customFormat="1" outlineLevel="1">
      <c r="D106" s="205" t="str">
        <f>Work_Codes!D488</f>
        <v>Information Management</v>
      </c>
      <c r="J106" s="80">
        <f t="shared" ref="J106:T106" si="20">J56*J81</f>
        <v>0</v>
      </c>
      <c r="K106" s="80">
        <f t="shared" si="20"/>
        <v>0</v>
      </c>
      <c r="L106" s="80">
        <f t="shared" si="20"/>
        <v>0</v>
      </c>
      <c r="M106" s="80">
        <f t="shared" si="20"/>
        <v>0</v>
      </c>
      <c r="N106" s="80">
        <f t="shared" si="20"/>
        <v>0</v>
      </c>
      <c r="O106" s="80">
        <f t="shared" si="20"/>
        <v>0</v>
      </c>
      <c r="P106" s="80">
        <f t="shared" si="20"/>
        <v>2251448.4821428573</v>
      </c>
      <c r="Q106" s="80">
        <f t="shared" si="20"/>
        <v>3901158.7857142854</v>
      </c>
      <c r="R106" s="80">
        <f t="shared" si="20"/>
        <v>4001158.7857142859</v>
      </c>
      <c r="S106" s="80">
        <f t="shared" si="20"/>
        <v>2251158.7857142859</v>
      </c>
      <c r="T106" s="80">
        <f t="shared" si="20"/>
        <v>750869.0892857142</v>
      </c>
    </row>
    <row r="107" spans="4:20" s="41" customFormat="1" outlineLevel="1">
      <c r="D107" s="205" t="str">
        <f>Work_Codes!D489</f>
        <v>Customer Information Systems</v>
      </c>
      <c r="J107" s="80">
        <f t="shared" ref="J107:T107" si="21">J57*J82</f>
        <v>0</v>
      </c>
      <c r="K107" s="80">
        <f t="shared" si="21"/>
        <v>0</v>
      </c>
      <c r="L107" s="80">
        <f t="shared" si="21"/>
        <v>0</v>
      </c>
      <c r="M107" s="80">
        <f t="shared" si="21"/>
        <v>0</v>
      </c>
      <c r="N107" s="80">
        <f t="shared" si="21"/>
        <v>0</v>
      </c>
      <c r="O107" s="80">
        <f t="shared" si="21"/>
        <v>0</v>
      </c>
      <c r="P107" s="80">
        <f t="shared" si="21"/>
        <v>812500</v>
      </c>
      <c r="Q107" s="80">
        <f t="shared" si="21"/>
        <v>812500</v>
      </c>
      <c r="R107" s="80">
        <f t="shared" si="21"/>
        <v>607500</v>
      </c>
      <c r="S107" s="80">
        <f t="shared" si="21"/>
        <v>472500.00000000006</v>
      </c>
      <c r="T107" s="80">
        <f t="shared" si="21"/>
        <v>191250</v>
      </c>
    </row>
    <row r="108" spans="4:20" s="41" customFormat="1" outlineLevel="1">
      <c r="D108" s="205" t="str">
        <f>Work_Codes!D490</f>
        <v>TAM Apps</v>
      </c>
      <c r="J108" s="80">
        <f t="shared" ref="J108:T108" si="22">J58*J83</f>
        <v>0</v>
      </c>
      <c r="K108" s="80">
        <f t="shared" si="22"/>
        <v>0</v>
      </c>
      <c r="L108" s="80">
        <f t="shared" si="22"/>
        <v>0</v>
      </c>
      <c r="M108" s="80">
        <f t="shared" si="22"/>
        <v>0</v>
      </c>
      <c r="N108" s="80">
        <f t="shared" si="22"/>
        <v>0</v>
      </c>
      <c r="O108" s="80">
        <f t="shared" si="22"/>
        <v>0</v>
      </c>
      <c r="P108" s="80">
        <f t="shared" si="22"/>
        <v>433977.60000000003</v>
      </c>
      <c r="Q108" s="80">
        <f t="shared" si="22"/>
        <v>433977.60000000003</v>
      </c>
      <c r="R108" s="80">
        <f t="shared" si="22"/>
        <v>542472</v>
      </c>
      <c r="S108" s="80">
        <f t="shared" si="22"/>
        <v>650966.4</v>
      </c>
      <c r="T108" s="80">
        <f t="shared" si="22"/>
        <v>650966.4</v>
      </c>
    </row>
    <row r="109" spans="4:20" s="41" customFormat="1" outlineLevel="1">
      <c r="D109" s="205" t="str">
        <f>Work_Codes!D491</f>
        <v>TAM Infra</v>
      </c>
      <c r="J109" s="80">
        <f t="shared" ref="J109:T109" si="23">J59*J84</f>
        <v>0</v>
      </c>
      <c r="K109" s="80">
        <f t="shared" si="23"/>
        <v>0</v>
      </c>
      <c r="L109" s="80">
        <f t="shared" si="23"/>
        <v>0</v>
      </c>
      <c r="M109" s="80">
        <f t="shared" si="23"/>
        <v>0</v>
      </c>
      <c r="N109" s="80">
        <f t="shared" si="23"/>
        <v>0</v>
      </c>
      <c r="O109" s="80">
        <f t="shared" si="23"/>
        <v>0</v>
      </c>
      <c r="P109" s="80">
        <f t="shared" si="23"/>
        <v>2146647.9694255637</v>
      </c>
      <c r="Q109" s="80">
        <f t="shared" si="23"/>
        <v>480122.6899214345</v>
      </c>
      <c r="R109" s="80">
        <f t="shared" si="23"/>
        <v>2870456.3125212584</v>
      </c>
      <c r="S109" s="80">
        <f t="shared" si="23"/>
        <v>675519.34356888477</v>
      </c>
      <c r="T109" s="80">
        <f t="shared" si="23"/>
        <v>784133.68456285831</v>
      </c>
    </row>
    <row r="110" spans="4:20" s="41" customFormat="1" outlineLevel="1">
      <c r="D110" s="205" t="str">
        <f>Work_Codes!D492</f>
        <v>Cyber Security</v>
      </c>
      <c r="J110" s="80">
        <f t="shared" ref="J110:T110" si="24">J60*J85</f>
        <v>0</v>
      </c>
      <c r="K110" s="80">
        <f t="shared" si="24"/>
        <v>0</v>
      </c>
      <c r="L110" s="80">
        <f t="shared" si="24"/>
        <v>0</v>
      </c>
      <c r="M110" s="80">
        <f t="shared" si="24"/>
        <v>0</v>
      </c>
      <c r="N110" s="80">
        <f t="shared" si="24"/>
        <v>0</v>
      </c>
      <c r="O110" s="80">
        <f t="shared" si="24"/>
        <v>0</v>
      </c>
      <c r="P110" s="80">
        <f t="shared" si="24"/>
        <v>1584216.22</v>
      </c>
      <c r="Q110" s="80">
        <f t="shared" si="24"/>
        <v>1584216.22</v>
      </c>
      <c r="R110" s="80">
        <f t="shared" si="24"/>
        <v>1584216.22</v>
      </c>
      <c r="S110" s="80">
        <f t="shared" si="24"/>
        <v>1584216.22</v>
      </c>
      <c r="T110" s="80">
        <f t="shared" si="24"/>
        <v>1584216.22</v>
      </c>
    </row>
    <row r="111" spans="4:20" s="41" customFormat="1" outlineLevel="1">
      <c r="D111" s="205" t="str">
        <f>Work_Codes!D493</f>
        <v>Intelligent Networks</v>
      </c>
      <c r="J111" s="80">
        <f t="shared" ref="J111:T111" si="25">J61*J86</f>
        <v>0</v>
      </c>
      <c r="K111" s="80">
        <f t="shared" si="25"/>
        <v>0</v>
      </c>
      <c r="L111" s="80">
        <f t="shared" si="25"/>
        <v>0</v>
      </c>
      <c r="M111" s="80">
        <f t="shared" si="25"/>
        <v>0</v>
      </c>
      <c r="N111" s="80">
        <f t="shared" si="25"/>
        <v>0</v>
      </c>
      <c r="O111" s="80">
        <f t="shared" si="25"/>
        <v>0</v>
      </c>
      <c r="P111" s="80">
        <f t="shared" si="25"/>
        <v>3358000</v>
      </c>
      <c r="Q111" s="80">
        <f t="shared" si="25"/>
        <v>4029600</v>
      </c>
      <c r="R111" s="80">
        <f t="shared" si="25"/>
        <v>5372800</v>
      </c>
      <c r="S111" s="80">
        <f t="shared" si="25"/>
        <v>671600</v>
      </c>
      <c r="T111" s="80">
        <f t="shared" si="25"/>
        <v>0</v>
      </c>
    </row>
    <row r="112" spans="4:20" s="41" customFormat="1" outlineLevel="1">
      <c r="D112" s="205" t="str">
        <f>Work_Codes!D494</f>
        <v>Smart Metering</v>
      </c>
      <c r="J112" s="80">
        <f t="shared" ref="J112:T112" si="26">J62*J87</f>
        <v>0</v>
      </c>
      <c r="K112" s="80">
        <f t="shared" si="26"/>
        <v>0</v>
      </c>
      <c r="L112" s="80">
        <f t="shared" si="26"/>
        <v>0</v>
      </c>
      <c r="M112" s="80">
        <f t="shared" si="26"/>
        <v>0</v>
      </c>
      <c r="N112" s="80">
        <f t="shared" si="26"/>
        <v>0</v>
      </c>
      <c r="O112" s="80">
        <f t="shared" si="26"/>
        <v>0</v>
      </c>
      <c r="P112" s="80">
        <f t="shared" si="26"/>
        <v>494999.99999999994</v>
      </c>
      <c r="Q112" s="80">
        <f t="shared" si="26"/>
        <v>1195000</v>
      </c>
      <c r="R112" s="80">
        <f t="shared" si="26"/>
        <v>500000</v>
      </c>
      <c r="S112" s="80">
        <f t="shared" si="26"/>
        <v>50000</v>
      </c>
      <c r="T112" s="80">
        <f t="shared" si="26"/>
        <v>500000</v>
      </c>
    </row>
    <row r="113" spans="3:20" s="41" customFormat="1" outlineLevel="1">
      <c r="D113" s="205" t="str">
        <f>Work_Codes!D495</f>
        <v>IT Category 20</v>
      </c>
      <c r="J113" s="80">
        <f t="shared" ref="J113:T113" si="27">J63*J88</f>
        <v>0</v>
      </c>
      <c r="K113" s="80">
        <f t="shared" si="27"/>
        <v>0</v>
      </c>
      <c r="L113" s="80">
        <f t="shared" si="27"/>
        <v>0</v>
      </c>
      <c r="M113" s="80">
        <f t="shared" si="27"/>
        <v>0</v>
      </c>
      <c r="N113" s="80">
        <f t="shared" si="27"/>
        <v>0</v>
      </c>
      <c r="O113" s="80">
        <f t="shared" si="27"/>
        <v>0</v>
      </c>
      <c r="P113" s="80">
        <f t="shared" si="27"/>
        <v>0</v>
      </c>
      <c r="Q113" s="80">
        <f t="shared" si="27"/>
        <v>0</v>
      </c>
      <c r="R113" s="80">
        <f t="shared" si="27"/>
        <v>0</v>
      </c>
      <c r="S113" s="80">
        <f t="shared" si="27"/>
        <v>0</v>
      </c>
      <c r="T113" s="80">
        <f t="shared" si="27"/>
        <v>0</v>
      </c>
    </row>
    <row r="114" spans="3:20" s="41" customFormat="1" ht="5.9" customHeight="1" outlineLevel="1">
      <c r="D114" s="50"/>
      <c r="J114" s="79"/>
      <c r="K114" s="79"/>
      <c r="L114" s="79"/>
      <c r="M114" s="79"/>
      <c r="N114" s="79"/>
      <c r="O114" s="79"/>
      <c r="P114" s="79"/>
      <c r="Q114" s="79"/>
      <c r="R114" s="79"/>
      <c r="S114" s="79"/>
      <c r="T114" s="79"/>
    </row>
    <row r="115" spans="3:20" s="41" customFormat="1" outlineLevel="1">
      <c r="D115" s="250" t="str">
        <f>"Total "&amp;B25</f>
        <v>Total IT</v>
      </c>
      <c r="E115" s="250"/>
      <c r="F115" s="250"/>
      <c r="G115" s="250"/>
      <c r="H115" s="250"/>
      <c r="I115" s="250"/>
      <c r="J115" s="101">
        <f t="shared" ref="J115:T115" si="28">SUM(J94:J114)</f>
        <v>0</v>
      </c>
      <c r="K115" s="101">
        <f t="shared" si="28"/>
        <v>0</v>
      </c>
      <c r="L115" s="101">
        <f t="shared" si="28"/>
        <v>0</v>
      </c>
      <c r="M115" s="101">
        <f t="shared" si="28"/>
        <v>0</v>
      </c>
      <c r="N115" s="101">
        <f t="shared" si="28"/>
        <v>6495387.0956881428</v>
      </c>
      <c r="O115" s="101">
        <f t="shared" si="28"/>
        <v>3240000</v>
      </c>
      <c r="P115" s="101">
        <f t="shared" si="28"/>
        <v>15019411.41156842</v>
      </c>
      <c r="Q115" s="101">
        <f t="shared" si="28"/>
        <v>17238633.935635723</v>
      </c>
      <c r="R115" s="101">
        <f t="shared" si="28"/>
        <v>18633661.958235547</v>
      </c>
      <c r="S115" s="101">
        <f t="shared" si="28"/>
        <v>9118019.3892831709</v>
      </c>
      <c r="T115" s="101">
        <f t="shared" si="28"/>
        <v>6649494.0338485725</v>
      </c>
    </row>
    <row r="116" spans="3:20" s="41" customFormat="1" outlineLevel="1"/>
    <row r="117" spans="3:20" s="41" customFormat="1" outlineLevel="1">
      <c r="C117" s="50" t="s">
        <v>286</v>
      </c>
    </row>
    <row r="118" spans="3:20" s="41" customFormat="1" ht="5.9" customHeight="1" outlineLevel="1"/>
    <row r="119" spans="3:20" s="41" customFormat="1" outlineLevel="1">
      <c r="D119" s="205" t="str">
        <f>Work_Codes!D499</f>
        <v>Customer Contributions Category 1</v>
      </c>
      <c r="J119" s="154">
        <v>0</v>
      </c>
      <c r="K119" s="154">
        <v>0</v>
      </c>
      <c r="L119" s="154">
        <v>0</v>
      </c>
      <c r="M119" s="154">
        <v>0</v>
      </c>
      <c r="N119" s="154">
        <v>0</v>
      </c>
      <c r="O119" s="154">
        <v>0</v>
      </c>
      <c r="P119" s="154">
        <v>0</v>
      </c>
      <c r="Q119" s="154">
        <v>0</v>
      </c>
      <c r="R119" s="154">
        <v>0</v>
      </c>
      <c r="S119" s="154">
        <v>0</v>
      </c>
      <c r="T119" s="154">
        <v>0</v>
      </c>
    </row>
    <row r="120" spans="3:20" s="41" customFormat="1" ht="5.9" customHeight="1" outlineLevel="1"/>
    <row r="121" spans="3:20" s="41" customFormat="1" outlineLevel="1">
      <c r="D121" s="250" t="str">
        <f>"Total "&amp;C117</f>
        <v>Total Customer Connections</v>
      </c>
      <c r="E121" s="250"/>
      <c r="F121" s="250"/>
      <c r="G121" s="250"/>
      <c r="H121" s="250"/>
      <c r="I121" s="250"/>
      <c r="J121" s="101">
        <f t="shared" ref="J121:T121" si="29">SUM(J119:J120)</f>
        <v>0</v>
      </c>
      <c r="K121" s="101">
        <f t="shared" si="29"/>
        <v>0</v>
      </c>
      <c r="L121" s="101">
        <f t="shared" si="29"/>
        <v>0</v>
      </c>
      <c r="M121" s="101">
        <f t="shared" si="29"/>
        <v>0</v>
      </c>
      <c r="N121" s="101">
        <f t="shared" si="29"/>
        <v>0</v>
      </c>
      <c r="O121" s="101">
        <f t="shared" si="29"/>
        <v>0</v>
      </c>
      <c r="P121" s="101">
        <f t="shared" si="29"/>
        <v>0</v>
      </c>
      <c r="Q121" s="101">
        <f t="shared" si="29"/>
        <v>0</v>
      </c>
      <c r="R121" s="101">
        <f t="shared" si="29"/>
        <v>0</v>
      </c>
      <c r="S121" s="101">
        <f t="shared" si="29"/>
        <v>0</v>
      </c>
      <c r="T121" s="101">
        <f t="shared" si="29"/>
        <v>0</v>
      </c>
    </row>
    <row r="122" spans="3:20" s="41" customFormat="1" outlineLevel="1">
      <c r="C122" s="109"/>
      <c r="D122" s="109"/>
      <c r="E122" s="109"/>
      <c r="F122" s="109"/>
      <c r="G122" s="109"/>
      <c r="H122" s="109"/>
      <c r="I122" s="109"/>
      <c r="J122" s="109"/>
      <c r="K122" s="109"/>
      <c r="L122" s="109"/>
      <c r="M122" s="109"/>
      <c r="N122" s="109"/>
      <c r="O122" s="109"/>
      <c r="P122" s="109"/>
      <c r="Q122" s="109"/>
      <c r="R122" s="109"/>
      <c r="S122" s="109"/>
      <c r="T122" s="109"/>
    </row>
    <row r="123" spans="3:20" s="41" customFormat="1" outlineLevel="1"/>
    <row r="124" spans="3:20" s="41" customFormat="1" outlineLevel="1">
      <c r="C124" s="50" t="s">
        <v>213</v>
      </c>
    </row>
    <row r="125" spans="3:20" s="41" customFormat="1" ht="5.9" hidden="1" customHeight="1" outlineLevel="2"/>
    <row r="126" spans="3:20" s="41" customFormat="1" hidden="1" outlineLevel="2">
      <c r="C126" s="50" t="s">
        <v>128</v>
      </c>
    </row>
    <row r="127" spans="3:20" s="41" customFormat="1" ht="5.9" hidden="1" customHeight="1" outlineLevel="2"/>
    <row r="128" spans="3:20" s="41" customFormat="1" hidden="1" outlineLevel="2">
      <c r="D128" s="205" t="str">
        <f>Work_Codes!D476</f>
        <v>Corporate</v>
      </c>
      <c r="J128" s="80">
        <f>Work_Codes!$I476*J94*J$29</f>
        <v>0</v>
      </c>
      <c r="K128" s="80">
        <f>Work_Codes!$I476*K94*K$29</f>
        <v>0</v>
      </c>
      <c r="L128" s="80">
        <f>Work_Codes!$I476*L94*L$29</f>
        <v>0</v>
      </c>
      <c r="M128" s="80">
        <f>Work_Codes!$I476*M94*M$29</f>
        <v>0</v>
      </c>
      <c r="N128" s="80">
        <f>Work_Codes!$I476*N94*N$29</f>
        <v>397249.13741748984</v>
      </c>
      <c r="O128" s="80">
        <f>Work_Codes!$I476*O94*O$29</f>
        <v>405964.75105014519</v>
      </c>
      <c r="P128" s="80">
        <f>Work_Codes!$I476*P94*P$29</f>
        <v>0</v>
      </c>
      <c r="Q128" s="80">
        <f>Work_Codes!$I476*Q94*Q$29</f>
        <v>0</v>
      </c>
      <c r="R128" s="80">
        <f>Work_Codes!$I476*R94*R$29</f>
        <v>0</v>
      </c>
      <c r="S128" s="80">
        <f>Work_Codes!$I476*S94*S$29</f>
        <v>0</v>
      </c>
      <c r="T128" s="80">
        <f>Work_Codes!$I476*T94*T$29</f>
        <v>0</v>
      </c>
    </row>
    <row r="129" spans="4:20" s="41" customFormat="1" hidden="1" outlineLevel="2">
      <c r="D129" s="205" t="str">
        <f>Work_Codes!D477</f>
        <v>Information Management</v>
      </c>
      <c r="J129" s="80">
        <f>Work_Codes!$I477*J95*J$29</f>
        <v>0</v>
      </c>
      <c r="K129" s="80">
        <f>Work_Codes!$I477*K95*K$29</f>
        <v>0</v>
      </c>
      <c r="L129" s="80">
        <f>Work_Codes!$I477*L95*L$29</f>
        <v>0</v>
      </c>
      <c r="M129" s="80">
        <f>Work_Codes!$I477*M95*M$29</f>
        <v>0</v>
      </c>
      <c r="N129" s="80">
        <f>Work_Codes!$I477*N95*N$29</f>
        <v>377515.57988132199</v>
      </c>
      <c r="O129" s="80">
        <f>Work_Codes!$I477*O95*O$29</f>
        <v>131010.37586209956</v>
      </c>
      <c r="P129" s="80">
        <f>Work_Codes!$I477*P95*P$29</f>
        <v>0</v>
      </c>
      <c r="Q129" s="80">
        <f>Work_Codes!$I477*Q95*Q$29</f>
        <v>0</v>
      </c>
      <c r="R129" s="80">
        <f>Work_Codes!$I477*R95*R$29</f>
        <v>0</v>
      </c>
      <c r="S129" s="80">
        <f>Work_Codes!$I477*S95*S$29</f>
        <v>0</v>
      </c>
      <c r="T129" s="80">
        <f>Work_Codes!$I477*T95*T$29</f>
        <v>0</v>
      </c>
    </row>
    <row r="130" spans="4:20" s="41" customFormat="1" hidden="1" outlineLevel="2">
      <c r="D130" s="205" t="str">
        <f>Work_Codes!D478</f>
        <v>Information Security</v>
      </c>
      <c r="J130" s="80">
        <f>Work_Codes!$I478*J96*J$29</f>
        <v>0</v>
      </c>
      <c r="K130" s="80">
        <f>Work_Codes!$I478*K96*K$29</f>
        <v>0</v>
      </c>
      <c r="L130" s="80">
        <f>Work_Codes!$I478*L96*L$29</f>
        <v>0</v>
      </c>
      <c r="M130" s="80">
        <f>Work_Codes!$I478*M96*M$29</f>
        <v>0</v>
      </c>
      <c r="N130" s="80">
        <f>Work_Codes!$I478*N96*N$29</f>
        <v>67769.854412211047</v>
      </c>
      <c r="O130" s="80">
        <f>Work_Codes!$I478*O96*O$29</f>
        <v>93022.462595059522</v>
      </c>
      <c r="P130" s="80">
        <f>Work_Codes!$I478*P96*P$29</f>
        <v>0</v>
      </c>
      <c r="Q130" s="80">
        <f>Work_Codes!$I478*Q96*Q$29</f>
        <v>0</v>
      </c>
      <c r="R130" s="80">
        <f>Work_Codes!$I478*R96*R$29</f>
        <v>0</v>
      </c>
      <c r="S130" s="80">
        <f>Work_Codes!$I478*S96*S$29</f>
        <v>0</v>
      </c>
      <c r="T130" s="80">
        <f>Work_Codes!$I478*T96*T$29</f>
        <v>0</v>
      </c>
    </row>
    <row r="131" spans="4:20" s="41" customFormat="1" hidden="1" outlineLevel="2">
      <c r="D131" s="205" t="str">
        <f>Work_Codes!D479</f>
        <v>Network Management</v>
      </c>
      <c r="J131" s="80">
        <f>Work_Codes!$I479*J97*J$29</f>
        <v>0</v>
      </c>
      <c r="K131" s="80">
        <f>Work_Codes!$I479*K97*K$29</f>
        <v>0</v>
      </c>
      <c r="L131" s="80">
        <f>Work_Codes!$I479*L97*L$29</f>
        <v>0</v>
      </c>
      <c r="M131" s="80">
        <f>Work_Codes!$I479*M97*M$29</f>
        <v>0</v>
      </c>
      <c r="N131" s="80">
        <f>Work_Codes!$I479*N97*N$29</f>
        <v>3252.5392382361388</v>
      </c>
      <c r="O131" s="80">
        <f>Work_Codes!$I479*O97*O$29</f>
        <v>0</v>
      </c>
      <c r="P131" s="80">
        <f>Work_Codes!$I479*P97*P$29</f>
        <v>0</v>
      </c>
      <c r="Q131" s="80">
        <f>Work_Codes!$I479*Q97*Q$29</f>
        <v>0</v>
      </c>
      <c r="R131" s="80">
        <f>Work_Codes!$I479*R97*R$29</f>
        <v>0</v>
      </c>
      <c r="S131" s="80">
        <f>Work_Codes!$I479*S97*S$29</f>
        <v>0</v>
      </c>
      <c r="T131" s="80">
        <f>Work_Codes!$I479*T97*T$29</f>
        <v>0</v>
      </c>
    </row>
    <row r="132" spans="4:20" s="41" customFormat="1" hidden="1" outlineLevel="2">
      <c r="D132" s="205" t="str">
        <f>Work_Codes!D480</f>
        <v>Works &amp; Asset Management</v>
      </c>
      <c r="J132" s="80">
        <f>Work_Codes!$I480*J98*J$29</f>
        <v>0</v>
      </c>
      <c r="K132" s="80">
        <f>Work_Codes!$I480*K98*K$29</f>
        <v>0</v>
      </c>
      <c r="L132" s="80">
        <f>Work_Codes!$I480*L98*L$29</f>
        <v>0</v>
      </c>
      <c r="M132" s="80">
        <f>Work_Codes!$I480*M98*M$29</f>
        <v>0</v>
      </c>
      <c r="N132" s="80">
        <f>Work_Codes!$I480*N98*N$29</f>
        <v>22726.210740121245</v>
      </c>
      <c r="O132" s="80">
        <f>Work_Codes!$I480*O98*O$29</f>
        <v>643422.31717311137</v>
      </c>
      <c r="P132" s="80">
        <f>Work_Codes!$I480*P98*P$29</f>
        <v>0</v>
      </c>
      <c r="Q132" s="80">
        <f>Work_Codes!$I480*Q98*Q$29</f>
        <v>0</v>
      </c>
      <c r="R132" s="80">
        <f>Work_Codes!$I480*R98*R$29</f>
        <v>0</v>
      </c>
      <c r="S132" s="80">
        <f>Work_Codes!$I480*S98*S$29</f>
        <v>0</v>
      </c>
      <c r="T132" s="80">
        <f>Work_Codes!$I480*T98*T$29</f>
        <v>0</v>
      </c>
    </row>
    <row r="133" spans="4:20" s="41" customFormat="1" hidden="1" outlineLevel="2">
      <c r="D133" s="205" t="str">
        <f>Work_Codes!D481</f>
        <v>EAM / ERP</v>
      </c>
      <c r="J133" s="80">
        <f>Work_Codes!$I481*J99*J$29</f>
        <v>0</v>
      </c>
      <c r="K133" s="80">
        <f>Work_Codes!$I481*K99*K$29</f>
        <v>0</v>
      </c>
      <c r="L133" s="80">
        <f>Work_Codes!$I481*L99*L$29</f>
        <v>0</v>
      </c>
      <c r="M133" s="80">
        <f>Work_Codes!$I481*M99*M$29</f>
        <v>0</v>
      </c>
      <c r="N133" s="80">
        <f>Work_Codes!$I481*N99*N$29</f>
        <v>0</v>
      </c>
      <c r="O133" s="80">
        <f>Work_Codes!$I481*O99*O$29</f>
        <v>0</v>
      </c>
      <c r="P133" s="80">
        <f>Work_Codes!$I481*P99*P$29</f>
        <v>0</v>
      </c>
      <c r="Q133" s="80">
        <f>Work_Codes!$I481*Q99*Q$29</f>
        <v>0</v>
      </c>
      <c r="R133" s="80">
        <f>Work_Codes!$I481*R99*R$29</f>
        <v>0</v>
      </c>
      <c r="S133" s="80">
        <f>Work_Codes!$I481*S99*S$29</f>
        <v>0</v>
      </c>
      <c r="T133" s="80">
        <f>Work_Codes!$I481*T99*T$29</f>
        <v>0</v>
      </c>
    </row>
    <row r="134" spans="4:20" s="41" customFormat="1" hidden="1" outlineLevel="2">
      <c r="D134" s="205" t="str">
        <f>Work_Codes!D482</f>
        <v>Metering &amp; Customer Services</v>
      </c>
      <c r="J134" s="80">
        <f>Work_Codes!$I482*J100*J$29</f>
        <v>0</v>
      </c>
      <c r="K134" s="80">
        <f>Work_Codes!$I482*K100*K$29</f>
        <v>0</v>
      </c>
      <c r="L134" s="80">
        <f>Work_Codes!$I482*L100*L$29</f>
        <v>0</v>
      </c>
      <c r="M134" s="80">
        <f>Work_Codes!$I482*M100*M$29</f>
        <v>0</v>
      </c>
      <c r="N134" s="80">
        <f>Work_Codes!$I482*N100*N$29</f>
        <v>281165.15989925951</v>
      </c>
      <c r="O134" s="80">
        <f>Work_Codes!$I482*O100*O$29</f>
        <v>0</v>
      </c>
      <c r="P134" s="80">
        <f>Work_Codes!$I482*P100*P$29</f>
        <v>0</v>
      </c>
      <c r="Q134" s="80">
        <f>Work_Codes!$I482*Q100*Q$29</f>
        <v>0</v>
      </c>
      <c r="R134" s="80">
        <f>Work_Codes!$I482*R100*R$29</f>
        <v>0</v>
      </c>
      <c r="S134" s="80">
        <f>Work_Codes!$I482*S100*S$29</f>
        <v>0</v>
      </c>
      <c r="T134" s="80">
        <f>Work_Codes!$I482*T100*T$29</f>
        <v>0</v>
      </c>
    </row>
    <row r="135" spans="4:20" s="41" customFormat="1" hidden="1" outlineLevel="2">
      <c r="D135" s="205" t="str">
        <f>Work_Codes!D483</f>
        <v>Information Technology</v>
      </c>
      <c r="J135" s="80">
        <f>Work_Codes!$I483*J101*J$29</f>
        <v>0</v>
      </c>
      <c r="K135" s="80">
        <f>Work_Codes!$I483*K101*K$29</f>
        <v>0</v>
      </c>
      <c r="L135" s="80">
        <f>Work_Codes!$I483*L101*L$29</f>
        <v>0</v>
      </c>
      <c r="M135" s="80">
        <f>Work_Codes!$I483*M101*M$29</f>
        <v>0</v>
      </c>
      <c r="N135" s="80">
        <f>Work_Codes!$I483*N101*N$29</f>
        <v>766988.36289651622</v>
      </c>
      <c r="O135" s="80">
        <f>Work_Codes!$I483*O101*O$29</f>
        <v>209109.77431041893</v>
      </c>
      <c r="P135" s="80">
        <f>Work_Codes!$I483*P101*P$29</f>
        <v>0</v>
      </c>
      <c r="Q135" s="80">
        <f>Work_Codes!$I483*Q101*Q$29</f>
        <v>0</v>
      </c>
      <c r="R135" s="80">
        <f>Work_Codes!$I483*R101*R$29</f>
        <v>0</v>
      </c>
      <c r="S135" s="80">
        <f>Work_Codes!$I483*S101*S$29</f>
        <v>0</v>
      </c>
      <c r="T135" s="80">
        <f>Work_Codes!$I483*T101*T$29</f>
        <v>0</v>
      </c>
    </row>
    <row r="136" spans="4:20" s="41" customFormat="1" hidden="1" outlineLevel="2">
      <c r="D136" s="205" t="str">
        <f>Work_Codes!D484</f>
        <v>Comms</v>
      </c>
      <c r="J136" s="80">
        <f>Work_Codes!$I484*J102*J$29</f>
        <v>0</v>
      </c>
      <c r="K136" s="80">
        <f>Work_Codes!$I484*K102*K$29</f>
        <v>0</v>
      </c>
      <c r="L136" s="80">
        <f>Work_Codes!$I484*L102*L$29</f>
        <v>0</v>
      </c>
      <c r="M136" s="80">
        <f>Work_Codes!$I484*M102*M$29</f>
        <v>0</v>
      </c>
      <c r="N136" s="80">
        <f>Work_Codes!$I484*N102*N$29</f>
        <v>0</v>
      </c>
      <c r="O136" s="80">
        <f>Work_Codes!$I484*O102*O$29</f>
        <v>0</v>
      </c>
      <c r="P136" s="80">
        <f>Work_Codes!$I484*P102*P$29</f>
        <v>0</v>
      </c>
      <c r="Q136" s="80">
        <f>Work_Codes!$I484*Q102*Q$29</f>
        <v>0</v>
      </c>
      <c r="R136" s="80">
        <f>Work_Codes!$I484*R102*R$29</f>
        <v>0</v>
      </c>
      <c r="S136" s="80">
        <f>Work_Codes!$I484*S102*S$29</f>
        <v>0</v>
      </c>
      <c r="T136" s="80">
        <f>Work_Codes!$I484*T102*T$29</f>
        <v>0</v>
      </c>
    </row>
    <row r="137" spans="4:20" s="41" customFormat="1" hidden="1" outlineLevel="2">
      <c r="D137" s="205" t="str">
        <f>Work_Codes!D485</f>
        <v>Workforce collaboration</v>
      </c>
      <c r="J137" s="80">
        <f>Work_Codes!$I485*J103*J$29</f>
        <v>0</v>
      </c>
      <c r="K137" s="80">
        <f>Work_Codes!$I485*K103*K$29</f>
        <v>0</v>
      </c>
      <c r="L137" s="80">
        <f>Work_Codes!$I485*L103*L$29</f>
        <v>0</v>
      </c>
      <c r="M137" s="80">
        <f>Work_Codes!$I485*M103*M$29</f>
        <v>0</v>
      </c>
      <c r="N137" s="80">
        <f>Work_Codes!$I485*N103*N$29</f>
        <v>0</v>
      </c>
      <c r="O137" s="80">
        <f>Work_Codes!$I485*O103*O$29</f>
        <v>0</v>
      </c>
      <c r="P137" s="80">
        <f>Work_Codes!$I485*P103*P$29</f>
        <v>540677.37877291569</v>
      </c>
      <c r="Q137" s="80">
        <f>Work_Codes!$I485*Q103*Q$29</f>
        <v>1112589.8502555648</v>
      </c>
      <c r="R137" s="80">
        <f>Work_Codes!$I485*R103*R$29</f>
        <v>550891.65568203293</v>
      </c>
      <c r="S137" s="80">
        <f>Work_Codes!$I485*S103*S$29</f>
        <v>266823.94893195765</v>
      </c>
      <c r="T137" s="80">
        <f>Work_Codes!$I485*T103*T$29</f>
        <v>269761.26654618524</v>
      </c>
    </row>
    <row r="138" spans="4:20" s="41" customFormat="1" hidden="1" outlineLevel="2" collapsed="1">
      <c r="D138" s="205" t="str">
        <f>Work_Codes!D486</f>
        <v>Corporate Enablement</v>
      </c>
      <c r="J138" s="80">
        <f>Work_Codes!$I486*J104*J$29</f>
        <v>0</v>
      </c>
      <c r="K138" s="80">
        <f>Work_Codes!$I486*K104*K$29</f>
        <v>0</v>
      </c>
      <c r="L138" s="80">
        <f>Work_Codes!$I486*L104*L$29</f>
        <v>0</v>
      </c>
      <c r="M138" s="80">
        <f>Work_Codes!$I486*M104*M$29</f>
        <v>0</v>
      </c>
      <c r="N138" s="80">
        <f>Work_Codes!$I486*N104*N$29</f>
        <v>0</v>
      </c>
      <c r="O138" s="80">
        <f>Work_Codes!$I486*O104*O$29</f>
        <v>0</v>
      </c>
      <c r="P138" s="80">
        <f>Work_Codes!$I486*P104*P$29</f>
        <v>356621.3537733648</v>
      </c>
      <c r="Q138" s="80">
        <f>Work_Codes!$I486*Q104*Q$29</f>
        <v>599003.42250900762</v>
      </c>
      <c r="R138" s="80">
        <f>Work_Codes!$I486*R104*R$29</f>
        <v>484478.01651488472</v>
      </c>
      <c r="S138" s="80">
        <f>Work_Codes!$I486*S104*S$29</f>
        <v>612264.20956579363</v>
      </c>
      <c r="T138" s="80">
        <f>Work_Codes!$I486*T104*T$29</f>
        <v>371402.57303249644</v>
      </c>
    </row>
    <row r="139" spans="4:20" s="41" customFormat="1" hidden="1" outlineLevel="2">
      <c r="D139" s="205" t="str">
        <f>Work_Codes!D487</f>
        <v>Corporate Communications</v>
      </c>
      <c r="J139" s="80">
        <f>Work_Codes!$I487*J105*J$29</f>
        <v>0</v>
      </c>
      <c r="K139" s="80">
        <f>Work_Codes!$I487*K105*K$29</f>
        <v>0</v>
      </c>
      <c r="L139" s="80">
        <f>Work_Codes!$I487*L105*L$29</f>
        <v>0</v>
      </c>
      <c r="M139" s="80">
        <f>Work_Codes!$I487*M105*M$29</f>
        <v>0</v>
      </c>
      <c r="N139" s="80">
        <f>Work_Codes!$I487*N105*N$29</f>
        <v>0</v>
      </c>
      <c r="O139" s="80">
        <f>Work_Codes!$I487*O105*O$29</f>
        <v>0</v>
      </c>
      <c r="P139" s="80">
        <f>Work_Codes!$I487*P105*P$29</f>
        <v>733641.78033806314</v>
      </c>
      <c r="Q139" s="80">
        <f>Work_Codes!$I487*Q105*Q$29</f>
        <v>292901.19444723992</v>
      </c>
      <c r="R139" s="80">
        <f>Work_Codes!$I487*R105*R$29</f>
        <v>296125.5820673242</v>
      </c>
      <c r="S139" s="80">
        <f>Work_Codes!$I487*S105*S$29</f>
        <v>299385.46519142704</v>
      </c>
      <c r="T139" s="80">
        <f>Work_Codes!$I487*T105*T$29</f>
        <v>302681.23456996493</v>
      </c>
    </row>
    <row r="140" spans="4:20" s="41" customFormat="1" hidden="1" outlineLevel="2">
      <c r="D140" s="205" t="str">
        <f>Work_Codes!D488</f>
        <v>Information Management</v>
      </c>
      <c r="J140" s="80">
        <f>Work_Codes!$I488*J106*J$29</f>
        <v>0</v>
      </c>
      <c r="K140" s="80">
        <f>Work_Codes!$I488*K106*K$29</f>
        <v>0</v>
      </c>
      <c r="L140" s="80">
        <f>Work_Codes!$I488*L106*L$29</f>
        <v>0</v>
      </c>
      <c r="M140" s="80">
        <f>Work_Codes!$I488*M106*M$29</f>
        <v>0</v>
      </c>
      <c r="N140" s="80">
        <f>Work_Codes!$I488*N106*N$29</f>
        <v>0</v>
      </c>
      <c r="O140" s="80">
        <f>Work_Codes!$I488*O106*O$29</f>
        <v>0</v>
      </c>
      <c r="P140" s="80">
        <f>Work_Codes!$I488*P106*P$29</f>
        <v>932537.28879532288</v>
      </c>
      <c r="Q140" s="80">
        <f>Work_Codes!$I488*Q106*Q$29</f>
        <v>1628437.2574173806</v>
      </c>
      <c r="R140" s="80">
        <f>Work_Codes!$I488*R106*R$29</f>
        <v>1688565.7423902107</v>
      </c>
      <c r="S140" s="80">
        <f>Work_Codes!$I488*S106*S$29</f>
        <v>960490.56065675884</v>
      </c>
      <c r="T140" s="80">
        <f>Work_Codes!$I488*T106*T$29</f>
        <v>323896.29706304474</v>
      </c>
    </row>
    <row r="141" spans="4:20" s="41" customFormat="1" hidden="1" outlineLevel="2">
      <c r="D141" s="205" t="str">
        <f>Work_Codes!D489</f>
        <v>Customer Information Systems</v>
      </c>
      <c r="J141" s="80">
        <f>Work_Codes!$I489*J107*J$29</f>
        <v>0</v>
      </c>
      <c r="K141" s="80">
        <f>Work_Codes!$I489*K107*K$29</f>
        <v>0</v>
      </c>
      <c r="L141" s="80">
        <f>Work_Codes!$I489*L107*L$29</f>
        <v>0</v>
      </c>
      <c r="M141" s="80">
        <f>Work_Codes!$I489*M107*M$29</f>
        <v>0</v>
      </c>
      <c r="N141" s="80">
        <f>Work_Codes!$I489*N107*N$29</f>
        <v>0</v>
      </c>
      <c r="O141" s="80">
        <f>Work_Codes!$I489*O107*O$29</f>
        <v>0</v>
      </c>
      <c r="P141" s="80">
        <f>Work_Codes!$I489*P107*P$29</f>
        <v>336532.9267605794</v>
      </c>
      <c r="Q141" s="80">
        <f>Work_Codes!$I489*Q107*Q$29</f>
        <v>339156.99009656359</v>
      </c>
      <c r="R141" s="80">
        <f>Work_Codes!$I489*R107*R$29</f>
        <v>256376.65072542895</v>
      </c>
      <c r="S141" s="80">
        <f>Work_Codes!$I489*S107*S$29</f>
        <v>201599.19095459059</v>
      </c>
      <c r="T141" s="80">
        <f>Work_Codes!$I489*T107*T$29</f>
        <v>82497.958295545803</v>
      </c>
    </row>
    <row r="142" spans="4:20" s="41" customFormat="1" hidden="1" outlineLevel="2">
      <c r="D142" s="205" t="str">
        <f>Work_Codes!D490</f>
        <v>TAM Apps</v>
      </c>
      <c r="J142" s="80">
        <f>Work_Codes!$I490*J108*J$29</f>
        <v>0</v>
      </c>
      <c r="K142" s="80">
        <f>Work_Codes!$I490*K108*K$29</f>
        <v>0</v>
      </c>
      <c r="L142" s="80">
        <f>Work_Codes!$I490*L108*L$29</f>
        <v>0</v>
      </c>
      <c r="M142" s="80">
        <f>Work_Codes!$I490*M108*M$29</f>
        <v>0</v>
      </c>
      <c r="N142" s="80">
        <f>Work_Codes!$I490*N108*N$29</f>
        <v>0</v>
      </c>
      <c r="O142" s="80">
        <f>Work_Codes!$I490*O108*O$29</f>
        <v>0</v>
      </c>
      <c r="P142" s="80">
        <f>Work_Codes!$I490*P108*P$29</f>
        <v>179751.0792326548</v>
      </c>
      <c r="Q142" s="80">
        <f>Work_Codes!$I490*Q108*Q$29</f>
        <v>181152.66041271438</v>
      </c>
      <c r="R142" s="80">
        <f>Work_Codes!$I490*R108*R$29</f>
        <v>228933.58760876529</v>
      </c>
      <c r="S142" s="80">
        <f>Work_Codes!$I490*S108*S$29</f>
        <v>277744.54937274579</v>
      </c>
      <c r="T142" s="80">
        <f>Work_Codes!$I490*T108*T$29</f>
        <v>280802.08585098869</v>
      </c>
    </row>
    <row r="143" spans="4:20" s="41" customFormat="1" hidden="1" outlineLevel="2">
      <c r="D143" s="205" t="str">
        <f>Work_Codes!D491</f>
        <v>TAM Infra</v>
      </c>
      <c r="J143" s="80">
        <f>Work_Codes!$I491*J109*J$29</f>
        <v>0</v>
      </c>
      <c r="K143" s="80">
        <f>Work_Codes!$I491*K109*K$29</f>
        <v>0</v>
      </c>
      <c r="L143" s="80">
        <f>Work_Codes!$I491*L109*L$29</f>
        <v>0</v>
      </c>
      <c r="M143" s="80">
        <f>Work_Codes!$I491*M109*M$29</f>
        <v>0</v>
      </c>
      <c r="N143" s="80">
        <f>Work_Codes!$I491*N109*N$29</f>
        <v>0</v>
      </c>
      <c r="O143" s="80">
        <f>Work_Codes!$I491*O109*O$29</f>
        <v>0</v>
      </c>
      <c r="P143" s="80">
        <f>Work_Codes!$I491*P109*P$29</f>
        <v>889129.50630823348</v>
      </c>
      <c r="Q143" s="80">
        <f>Work_Codes!$I491*Q109*Q$29</f>
        <v>200414.72786562389</v>
      </c>
      <c r="R143" s="80">
        <f>Work_Codes!$I491*R109*R$29</f>
        <v>1211387.6139224123</v>
      </c>
      <c r="S143" s="80">
        <f>Work_Codes!$I491*S109*S$29</f>
        <v>288220.42992098047</v>
      </c>
      <c r="T143" s="80">
        <f>Work_Codes!$I491*T109*T$29</f>
        <v>338245.37520104233</v>
      </c>
    </row>
    <row r="144" spans="4:20" s="41" customFormat="1" hidden="1" outlineLevel="2">
      <c r="D144" s="205" t="str">
        <f>Work_Codes!D492</f>
        <v>Cyber Security</v>
      </c>
      <c r="J144" s="80">
        <f>Work_Codes!$I492*J110*J$29</f>
        <v>0</v>
      </c>
      <c r="K144" s="80">
        <f>Work_Codes!$I492*K110*K$29</f>
        <v>0</v>
      </c>
      <c r="L144" s="80">
        <f>Work_Codes!$I492*L110*L$29</f>
        <v>0</v>
      </c>
      <c r="M144" s="80">
        <f>Work_Codes!$I492*M110*M$29</f>
        <v>0</v>
      </c>
      <c r="N144" s="80">
        <f>Work_Codes!$I492*N110*N$29</f>
        <v>0</v>
      </c>
      <c r="O144" s="80">
        <f>Work_Codes!$I492*O110*O$29</f>
        <v>0</v>
      </c>
      <c r="P144" s="80">
        <f>Work_Codes!$I492*P110*P$29</f>
        <v>656173.44140083925</v>
      </c>
      <c r="Q144" s="80">
        <f>Work_Codes!$I492*Q110*Q$29</f>
        <v>661289.85210751428</v>
      </c>
      <c r="R144" s="80">
        <f>Work_Codes!$I492*R110*R$29</f>
        <v>668569.62717448443</v>
      </c>
      <c r="S144" s="80">
        <f>Work_Codes!$I492*S110*S$29</f>
        <v>675929.5412680204</v>
      </c>
      <c r="T144" s="80">
        <f>Work_Codes!$I492*T110*T$29</f>
        <v>683370.47659444285</v>
      </c>
    </row>
    <row r="145" spans="3:20" s="41" customFormat="1" hidden="1" outlineLevel="2">
      <c r="D145" s="205" t="str">
        <f>Work_Codes!D493</f>
        <v>Intelligent Networks</v>
      </c>
      <c r="J145" s="80">
        <f>Work_Codes!$I493*J111*J$29</f>
        <v>0</v>
      </c>
      <c r="K145" s="80">
        <f>Work_Codes!$I493*K111*K$29</f>
        <v>0</v>
      </c>
      <c r="L145" s="80">
        <f>Work_Codes!$I493*L111*L$29</f>
        <v>0</v>
      </c>
      <c r="M145" s="80">
        <f>Work_Codes!$I493*M111*M$29</f>
        <v>0</v>
      </c>
      <c r="N145" s="80">
        <f>Work_Codes!$I493*N111*N$29</f>
        <v>0</v>
      </c>
      <c r="O145" s="80">
        <f>Work_Codes!$I493*O111*O$29</f>
        <v>0</v>
      </c>
      <c r="P145" s="80">
        <f>Work_Codes!$I493*P111*P$29</f>
        <v>1390864.6991532624</v>
      </c>
      <c r="Q145" s="80">
        <f>Work_Codes!$I493*Q111*Q$29</f>
        <v>1682051.7012838309</v>
      </c>
      <c r="R145" s="80">
        <f>Work_Codes!$I493*R111*R$29</f>
        <v>2267424.6403581644</v>
      </c>
      <c r="S145" s="80">
        <f>Work_Codes!$I493*S111*S$29</f>
        <v>286548.18337587942</v>
      </c>
      <c r="T145" s="80">
        <f>Work_Codes!$I493*T111*T$29</f>
        <v>0</v>
      </c>
    </row>
    <row r="146" spans="3:20" s="41" customFormat="1" hidden="1" outlineLevel="2">
      <c r="D146" s="205" t="str">
        <f>Work_Codes!D494</f>
        <v>Smart Metering</v>
      </c>
      <c r="J146" s="80">
        <f>Work_Codes!$I494*J112*J$29</f>
        <v>0</v>
      </c>
      <c r="K146" s="80">
        <f>Work_Codes!$I494*K112*K$29</f>
        <v>0</v>
      </c>
      <c r="L146" s="80">
        <f>Work_Codes!$I494*L112*L$29</f>
        <v>0</v>
      </c>
      <c r="M146" s="80">
        <f>Work_Codes!$I494*M112*M$29</f>
        <v>0</v>
      </c>
      <c r="N146" s="80">
        <f>Work_Codes!$I494*N112*N$29</f>
        <v>0</v>
      </c>
      <c r="O146" s="80">
        <f>Work_Codes!$I494*O112*O$29</f>
        <v>0</v>
      </c>
      <c r="P146" s="80">
        <f>Work_Codes!$I494*P112*P$29</f>
        <v>205026.21384182989</v>
      </c>
      <c r="Q146" s="80">
        <f>Work_Codes!$I494*Q112*Q$29</f>
        <v>498821.66543433035</v>
      </c>
      <c r="R146" s="80">
        <f>Work_Codes!$I494*R112*R$29</f>
        <v>211009.58907442715</v>
      </c>
      <c r="S146" s="80">
        <f>Work_Codes!$I494*S112*S$29</f>
        <v>21333.247720062496</v>
      </c>
      <c r="T146" s="80">
        <f>Work_Codes!$I494*T112*T$29</f>
        <v>215680.9367203812</v>
      </c>
    </row>
    <row r="147" spans="3:20" s="41" customFormat="1" hidden="1" outlineLevel="2">
      <c r="D147" s="205" t="str">
        <f>Work_Codes!D495</f>
        <v>IT Category 20</v>
      </c>
      <c r="J147" s="80">
        <f>Work_Codes!$I495*J113*J$29</f>
        <v>0</v>
      </c>
      <c r="K147" s="80">
        <f>Work_Codes!$I495*K113*K$29</f>
        <v>0</v>
      </c>
      <c r="L147" s="80">
        <f>Work_Codes!$I495*L113*L$29</f>
        <v>0</v>
      </c>
      <c r="M147" s="80">
        <f>Work_Codes!$I495*M113*M$29</f>
        <v>0</v>
      </c>
      <c r="N147" s="80">
        <f>Work_Codes!$I495*N113*N$29</f>
        <v>0</v>
      </c>
      <c r="O147" s="80">
        <f>Work_Codes!$I495*O113*O$29</f>
        <v>0</v>
      </c>
      <c r="P147" s="80">
        <f>Work_Codes!$I495*P113*P$29</f>
        <v>0</v>
      </c>
      <c r="Q147" s="80">
        <f>Work_Codes!$I495*Q113*Q$29</f>
        <v>0</v>
      </c>
      <c r="R147" s="80">
        <f>Work_Codes!$I495*R113*R$29</f>
        <v>0</v>
      </c>
      <c r="S147" s="80">
        <f>Work_Codes!$I495*S113*S$29</f>
        <v>0</v>
      </c>
      <c r="T147" s="80">
        <f>Work_Codes!$I495*T113*T$29</f>
        <v>0</v>
      </c>
    </row>
    <row r="148" spans="3:20" ht="5.9" hidden="1" customHeight="1" outlineLevel="2"/>
    <row r="149" spans="3:20" hidden="1" outlineLevel="2">
      <c r="D149" s="249" t="str">
        <f>"Total "&amp;C126</f>
        <v>Total Internal Labour</v>
      </c>
      <c r="E149" s="249"/>
      <c r="F149" s="249"/>
      <c r="G149" s="249"/>
      <c r="H149" s="249"/>
      <c r="I149" s="249"/>
      <c r="J149" s="82">
        <f t="shared" ref="J149:T149" si="30">SUM(J128:J148)</f>
        <v>0</v>
      </c>
      <c r="K149" s="82">
        <f t="shared" si="30"/>
        <v>0</v>
      </c>
      <c r="L149" s="82">
        <f t="shared" si="30"/>
        <v>0</v>
      </c>
      <c r="M149" s="82">
        <f t="shared" si="30"/>
        <v>0</v>
      </c>
      <c r="N149" s="82">
        <f t="shared" si="30"/>
        <v>1916666.844485156</v>
      </c>
      <c r="O149" s="82">
        <f t="shared" si="30"/>
        <v>1482529.6809908345</v>
      </c>
      <c r="P149" s="82">
        <f t="shared" si="30"/>
        <v>6220955.6683770651</v>
      </c>
      <c r="Q149" s="82">
        <f t="shared" si="30"/>
        <v>7195819.3218297707</v>
      </c>
      <c r="R149" s="82">
        <f t="shared" si="30"/>
        <v>7863762.7055181358</v>
      </c>
      <c r="S149" s="82">
        <f t="shared" si="30"/>
        <v>3890339.3269582163</v>
      </c>
      <c r="T149" s="82">
        <f t="shared" si="30"/>
        <v>2868338.2038740921</v>
      </c>
    </row>
    <row r="150" spans="3:20" hidden="1" outlineLevel="2"/>
    <row r="151" spans="3:20" hidden="1" outlineLevel="2">
      <c r="C151" s="37" t="s">
        <v>129</v>
      </c>
    </row>
    <row r="152" spans="3:20" ht="5.9" hidden="1" customHeight="1" outlineLevel="2"/>
    <row r="153" spans="3:20" hidden="1" outlineLevel="2">
      <c r="D153" s="102" t="str">
        <f>Work_Codes!D476</f>
        <v>Corporate</v>
      </c>
      <c r="J153" s="81">
        <f>Work_Codes!$J476*J94*J$30</f>
        <v>0</v>
      </c>
      <c r="K153" s="81">
        <f>Work_Codes!$J476*K94*K$30</f>
        <v>0</v>
      </c>
      <c r="L153" s="81">
        <f>Work_Codes!$J476*L94*L$30</f>
        <v>0</v>
      </c>
      <c r="M153" s="81">
        <f>Work_Codes!$J476*M94*M$30</f>
        <v>0</v>
      </c>
      <c r="N153" s="81">
        <f>Work_Codes!$J476*N94*N$30</f>
        <v>0</v>
      </c>
      <c r="O153" s="81">
        <f>Work_Codes!$J476*O94*O$30</f>
        <v>0</v>
      </c>
      <c r="P153" s="81">
        <f>Work_Codes!$J476*P94*P$30</f>
        <v>0</v>
      </c>
      <c r="Q153" s="81">
        <f>Work_Codes!$J476*Q94*Q$30</f>
        <v>0</v>
      </c>
      <c r="R153" s="81">
        <f>Work_Codes!$J476*R94*R$30</f>
        <v>0</v>
      </c>
      <c r="S153" s="81">
        <f>Work_Codes!$J476*S94*S$30</f>
        <v>0</v>
      </c>
      <c r="T153" s="81">
        <f>Work_Codes!$J476*T94*T$30</f>
        <v>0</v>
      </c>
    </row>
    <row r="154" spans="3:20" hidden="1" outlineLevel="2">
      <c r="D154" s="102" t="str">
        <f>Work_Codes!D477</f>
        <v>Information Management</v>
      </c>
      <c r="J154" s="81">
        <f>Work_Codes!$J477*J95*J$30</f>
        <v>0</v>
      </c>
      <c r="K154" s="81">
        <f>Work_Codes!$J477*K95*K$30</f>
        <v>0</v>
      </c>
      <c r="L154" s="81">
        <f>Work_Codes!$J477*L95*L$30</f>
        <v>0</v>
      </c>
      <c r="M154" s="81">
        <f>Work_Codes!$J477*M95*M$30</f>
        <v>0</v>
      </c>
      <c r="N154" s="81">
        <f>Work_Codes!$J477*N95*N$30</f>
        <v>0</v>
      </c>
      <c r="O154" s="81">
        <f>Work_Codes!$J477*O95*O$30</f>
        <v>0</v>
      </c>
      <c r="P154" s="81">
        <f>Work_Codes!$J477*P95*P$30</f>
        <v>0</v>
      </c>
      <c r="Q154" s="81">
        <f>Work_Codes!$J477*Q95*Q$30</f>
        <v>0</v>
      </c>
      <c r="R154" s="81">
        <f>Work_Codes!$J477*R95*R$30</f>
        <v>0</v>
      </c>
      <c r="S154" s="81">
        <f>Work_Codes!$J477*S95*S$30</f>
        <v>0</v>
      </c>
      <c r="T154" s="81">
        <f>Work_Codes!$J477*T95*T$30</f>
        <v>0</v>
      </c>
    </row>
    <row r="155" spans="3:20" hidden="1" outlineLevel="2">
      <c r="D155" s="102" t="str">
        <f>Work_Codes!D478</f>
        <v>Information Security</v>
      </c>
      <c r="J155" s="81">
        <f>Work_Codes!$J478*J96*J$30</f>
        <v>0</v>
      </c>
      <c r="K155" s="81">
        <f>Work_Codes!$J478*K96*K$30</f>
        <v>0</v>
      </c>
      <c r="L155" s="81">
        <f>Work_Codes!$J478*L96*L$30</f>
        <v>0</v>
      </c>
      <c r="M155" s="81">
        <f>Work_Codes!$J478*M96*M$30</f>
        <v>0</v>
      </c>
      <c r="N155" s="81">
        <f>Work_Codes!$J478*N96*N$30</f>
        <v>48649.31005870278</v>
      </c>
      <c r="O155" s="81">
        <f>Work_Codes!$J478*O96*O$30</f>
        <v>66431.987626558854</v>
      </c>
      <c r="P155" s="81">
        <f>Work_Codes!$J478*P96*P$30</f>
        <v>0</v>
      </c>
      <c r="Q155" s="81">
        <f>Work_Codes!$J478*Q96*Q$30</f>
        <v>0</v>
      </c>
      <c r="R155" s="81">
        <f>Work_Codes!$J478*R96*R$30</f>
        <v>0</v>
      </c>
      <c r="S155" s="81">
        <f>Work_Codes!$J478*S96*S$30</f>
        <v>0</v>
      </c>
      <c r="T155" s="81">
        <f>Work_Codes!$J478*T96*T$30</f>
        <v>0</v>
      </c>
    </row>
    <row r="156" spans="3:20" hidden="1" outlineLevel="2">
      <c r="D156" s="102" t="str">
        <f>Work_Codes!D479</f>
        <v>Network Management</v>
      </c>
      <c r="J156" s="81">
        <f>Work_Codes!$J479*J97*J$30</f>
        <v>0</v>
      </c>
      <c r="K156" s="81">
        <f>Work_Codes!$J479*K97*K$30</f>
        <v>0</v>
      </c>
      <c r="L156" s="81">
        <f>Work_Codes!$J479*L97*L$30</f>
        <v>0</v>
      </c>
      <c r="M156" s="81">
        <f>Work_Codes!$J479*M97*M$30</f>
        <v>0</v>
      </c>
      <c r="N156" s="81">
        <f>Work_Codes!$J479*N97*N$30</f>
        <v>241.93173181987177</v>
      </c>
      <c r="O156" s="81">
        <f>Work_Codes!$J479*O97*O$30</f>
        <v>0</v>
      </c>
      <c r="P156" s="81">
        <f>Work_Codes!$J479*P97*P$30</f>
        <v>0</v>
      </c>
      <c r="Q156" s="81">
        <f>Work_Codes!$J479*Q97*Q$30</f>
        <v>0</v>
      </c>
      <c r="R156" s="81">
        <f>Work_Codes!$J479*R97*R$30</f>
        <v>0</v>
      </c>
      <c r="S156" s="81">
        <f>Work_Codes!$J479*S97*S$30</f>
        <v>0</v>
      </c>
      <c r="T156" s="81">
        <f>Work_Codes!$J479*T97*T$30</f>
        <v>0</v>
      </c>
    </row>
    <row r="157" spans="3:20" hidden="1" outlineLevel="2">
      <c r="D157" s="102" t="str">
        <f>Work_Codes!D480</f>
        <v>Works &amp; Asset Management</v>
      </c>
      <c r="J157" s="81">
        <f>Work_Codes!$J480*J98*J$30</f>
        <v>0</v>
      </c>
      <c r="K157" s="81">
        <f>Work_Codes!$J480*K98*K$30</f>
        <v>0</v>
      </c>
      <c r="L157" s="81">
        <f>Work_Codes!$J480*L98*L$30</f>
        <v>0</v>
      </c>
      <c r="M157" s="81">
        <f>Work_Codes!$J480*M98*M$30</f>
        <v>0</v>
      </c>
      <c r="N157" s="81">
        <f>Work_Codes!$J480*N98*N$30</f>
        <v>485.46956981261394</v>
      </c>
      <c r="O157" s="81">
        <f>Work_Codes!$J480*O98*O$30</f>
        <v>13673.521717747584</v>
      </c>
      <c r="P157" s="81">
        <f>Work_Codes!$J480*P98*P$30</f>
        <v>0</v>
      </c>
      <c r="Q157" s="81">
        <f>Work_Codes!$J480*Q98*Q$30</f>
        <v>0</v>
      </c>
      <c r="R157" s="81">
        <f>Work_Codes!$J480*R98*R$30</f>
        <v>0</v>
      </c>
      <c r="S157" s="81">
        <f>Work_Codes!$J480*S98*S$30</f>
        <v>0</v>
      </c>
      <c r="T157" s="81">
        <f>Work_Codes!$J480*T98*T$30</f>
        <v>0</v>
      </c>
    </row>
    <row r="158" spans="3:20" hidden="1" outlineLevel="2">
      <c r="D158" s="102" t="str">
        <f>Work_Codes!D481</f>
        <v>EAM / ERP</v>
      </c>
      <c r="J158" s="81">
        <f>Work_Codes!$J481*J99*J$30</f>
        <v>0</v>
      </c>
      <c r="K158" s="81">
        <f>Work_Codes!$J481*K99*K$30</f>
        <v>0</v>
      </c>
      <c r="L158" s="81">
        <f>Work_Codes!$J481*L99*L$30</f>
        <v>0</v>
      </c>
      <c r="M158" s="81">
        <f>Work_Codes!$J481*M99*M$30</f>
        <v>0</v>
      </c>
      <c r="N158" s="81">
        <f>Work_Codes!$J481*N99*N$30</f>
        <v>0</v>
      </c>
      <c r="O158" s="81">
        <f>Work_Codes!$J481*O99*O$30</f>
        <v>0</v>
      </c>
      <c r="P158" s="81">
        <f>Work_Codes!$J481*P99*P$30</f>
        <v>0</v>
      </c>
      <c r="Q158" s="81">
        <f>Work_Codes!$J481*Q99*Q$30</f>
        <v>0</v>
      </c>
      <c r="R158" s="81">
        <f>Work_Codes!$J481*R99*R$30</f>
        <v>0</v>
      </c>
      <c r="S158" s="81">
        <f>Work_Codes!$J481*S99*S$30</f>
        <v>0</v>
      </c>
      <c r="T158" s="81">
        <f>Work_Codes!$J481*T99*T$30</f>
        <v>0</v>
      </c>
    </row>
    <row r="159" spans="3:20" hidden="1" outlineLevel="2">
      <c r="D159" s="102" t="str">
        <f>Work_Codes!D482</f>
        <v>Metering &amp; Customer Services</v>
      </c>
      <c r="J159" s="81">
        <f>Work_Codes!$J482*J100*J$30</f>
        <v>0</v>
      </c>
      <c r="K159" s="81">
        <f>Work_Codes!$J482*K100*K$30</f>
        <v>0</v>
      </c>
      <c r="L159" s="81">
        <f>Work_Codes!$J482*L100*L$30</f>
        <v>0</v>
      </c>
      <c r="M159" s="81">
        <f>Work_Codes!$J482*M100*M$30</f>
        <v>0</v>
      </c>
      <c r="N159" s="81">
        <f>Work_Codes!$J482*N100*N$30</f>
        <v>1802.6636302633917</v>
      </c>
      <c r="O159" s="81">
        <f>Work_Codes!$J482*O100*O$30</f>
        <v>0</v>
      </c>
      <c r="P159" s="81">
        <f>Work_Codes!$J482*P100*P$30</f>
        <v>0</v>
      </c>
      <c r="Q159" s="81">
        <f>Work_Codes!$J482*Q100*Q$30</f>
        <v>0</v>
      </c>
      <c r="R159" s="81">
        <f>Work_Codes!$J482*R100*R$30</f>
        <v>0</v>
      </c>
      <c r="S159" s="81">
        <f>Work_Codes!$J482*S100*S$30</f>
        <v>0</v>
      </c>
      <c r="T159" s="81">
        <f>Work_Codes!$J482*T100*T$30</f>
        <v>0</v>
      </c>
    </row>
    <row r="160" spans="3:20" hidden="1" outlineLevel="2">
      <c r="D160" s="102" t="str">
        <f>Work_Codes!D483</f>
        <v>Information Technology</v>
      </c>
      <c r="J160" s="81">
        <f>Work_Codes!$J483*J101*J$30</f>
        <v>0</v>
      </c>
      <c r="K160" s="81">
        <f>Work_Codes!$J483*K101*K$30</f>
        <v>0</v>
      </c>
      <c r="L160" s="81">
        <f>Work_Codes!$J483*L101*L$30</f>
        <v>0</v>
      </c>
      <c r="M160" s="81">
        <f>Work_Codes!$J483*M101*M$30</f>
        <v>0</v>
      </c>
      <c r="N160" s="81">
        <f>Work_Codes!$J483*N101*N$30</f>
        <v>513564.57286313508</v>
      </c>
      <c r="O160" s="81">
        <f>Work_Codes!$J483*O101*O$30</f>
        <v>139293.19407904721</v>
      </c>
      <c r="P160" s="81">
        <f>Work_Codes!$J483*P101*P$30</f>
        <v>0</v>
      </c>
      <c r="Q160" s="81">
        <f>Work_Codes!$J483*Q101*Q$30</f>
        <v>0</v>
      </c>
      <c r="R160" s="81">
        <f>Work_Codes!$J483*R101*R$30</f>
        <v>0</v>
      </c>
      <c r="S160" s="81">
        <f>Work_Codes!$J483*S101*S$30</f>
        <v>0</v>
      </c>
      <c r="T160" s="81">
        <f>Work_Codes!$J483*T101*T$30</f>
        <v>0</v>
      </c>
    </row>
    <row r="161" spans="3:20" hidden="1" outlineLevel="2">
      <c r="D161" s="102" t="str">
        <f>Work_Codes!D484</f>
        <v>Comms</v>
      </c>
      <c r="J161" s="81">
        <f>Work_Codes!$J484*J102*J$30</f>
        <v>0</v>
      </c>
      <c r="K161" s="81">
        <f>Work_Codes!$J484*K102*K$30</f>
        <v>0</v>
      </c>
      <c r="L161" s="81">
        <f>Work_Codes!$J484*L102*L$30</f>
        <v>0</v>
      </c>
      <c r="M161" s="81">
        <f>Work_Codes!$J484*M102*M$30</f>
        <v>0</v>
      </c>
      <c r="N161" s="81">
        <f>Work_Codes!$J484*N102*N$30</f>
        <v>0</v>
      </c>
      <c r="O161" s="81">
        <f>Work_Codes!$J484*O102*O$30</f>
        <v>0</v>
      </c>
      <c r="P161" s="81">
        <f>Work_Codes!$J484*P102*P$30</f>
        <v>0</v>
      </c>
      <c r="Q161" s="81">
        <f>Work_Codes!$J484*Q102*Q$30</f>
        <v>0</v>
      </c>
      <c r="R161" s="81">
        <f>Work_Codes!$J484*R102*R$30</f>
        <v>0</v>
      </c>
      <c r="S161" s="81">
        <f>Work_Codes!$J484*S102*S$30</f>
        <v>0</v>
      </c>
      <c r="T161" s="81">
        <f>Work_Codes!$J484*T102*T$30</f>
        <v>0</v>
      </c>
    </row>
    <row r="162" spans="3:20" hidden="1" outlineLevel="2">
      <c r="D162" s="102" t="str">
        <f>Work_Codes!D485</f>
        <v>Workforce collaboration</v>
      </c>
      <c r="J162" s="81">
        <f>Work_Codes!$J485*J103*J$30</f>
        <v>0</v>
      </c>
      <c r="K162" s="81">
        <f>Work_Codes!$J485*K103*K$30</f>
        <v>0</v>
      </c>
      <c r="L162" s="81">
        <f>Work_Codes!$J485*L103*L$30</f>
        <v>0</v>
      </c>
      <c r="M162" s="81">
        <f>Work_Codes!$J485*M103*M$30</f>
        <v>0</v>
      </c>
      <c r="N162" s="81">
        <f>Work_Codes!$J485*N103*N$30</f>
        <v>0</v>
      </c>
      <c r="O162" s="81">
        <f>Work_Codes!$J485*O103*O$30</f>
        <v>0</v>
      </c>
      <c r="P162" s="81">
        <f>Work_Codes!$J485*P103*P$30</f>
        <v>52214.845600000001</v>
      </c>
      <c r="Q162" s="81">
        <f>Work_Codes!$J485*Q103*Q$30</f>
        <v>106614.8456</v>
      </c>
      <c r="R162" s="81">
        <f>Work_Codes!$J485*R103*R$30</f>
        <v>52214.845600000001</v>
      </c>
      <c r="S162" s="81">
        <f>Work_Codes!$J485*S103*S$30</f>
        <v>25014.845600000001</v>
      </c>
      <c r="T162" s="81">
        <f>Work_Codes!$J485*T103*T$30</f>
        <v>25014.845600000001</v>
      </c>
    </row>
    <row r="163" spans="3:20" hidden="1" outlineLevel="2">
      <c r="D163" s="102" t="str">
        <f>Work_Codes!D486</f>
        <v>Corporate Enablement</v>
      </c>
      <c r="J163" s="81">
        <f>Work_Codes!$J486*J104*J$30</f>
        <v>0</v>
      </c>
      <c r="K163" s="81">
        <f>Work_Codes!$J486*K104*K$30</f>
        <v>0</v>
      </c>
      <c r="L163" s="81">
        <f>Work_Codes!$J486*L104*L$30</f>
        <v>0</v>
      </c>
      <c r="M163" s="81">
        <f>Work_Codes!$J486*M104*M$30</f>
        <v>0</v>
      </c>
      <c r="N163" s="81">
        <f>Work_Codes!$J486*N104*N$30</f>
        <v>0</v>
      </c>
      <c r="O163" s="81">
        <f>Work_Codes!$J486*O104*O$30</f>
        <v>0</v>
      </c>
      <c r="P163" s="81">
        <f>Work_Codes!$J486*P104*P$30</f>
        <v>34440</v>
      </c>
      <c r="Q163" s="81">
        <f>Work_Codes!$J486*Q104*Q$30</f>
        <v>57400</v>
      </c>
      <c r="R163" s="81">
        <f>Work_Codes!$J486*R104*R$30</f>
        <v>45920</v>
      </c>
      <c r="S163" s="81">
        <f>Work_Codes!$J486*S104*S$30</f>
        <v>57400</v>
      </c>
      <c r="T163" s="81">
        <f>Work_Codes!$J486*T104*T$30</f>
        <v>34440</v>
      </c>
    </row>
    <row r="164" spans="3:20" hidden="1" outlineLevel="2">
      <c r="D164" s="102" t="str">
        <f>Work_Codes!D487</f>
        <v>Corporate Communications</v>
      </c>
      <c r="J164" s="81">
        <f>Work_Codes!$J487*J105*J$30</f>
        <v>0</v>
      </c>
      <c r="K164" s="81">
        <f>Work_Codes!$J487*K105*K$30</f>
        <v>0</v>
      </c>
      <c r="L164" s="81">
        <f>Work_Codes!$J487*L105*L$30</f>
        <v>0</v>
      </c>
      <c r="M164" s="81">
        <f>Work_Codes!$J487*M105*M$30</f>
        <v>0</v>
      </c>
      <c r="N164" s="81">
        <f>Work_Codes!$J487*N105*N$30</f>
        <v>0</v>
      </c>
      <c r="O164" s="81">
        <f>Work_Codes!$J487*O105*O$30</f>
        <v>0</v>
      </c>
      <c r="P164" s="81">
        <f>Work_Codes!$J487*P105*P$30</f>
        <v>70850</v>
      </c>
      <c r="Q164" s="81">
        <f>Work_Codes!$J487*Q105*Q$30</f>
        <v>28067.5</v>
      </c>
      <c r="R164" s="81">
        <f>Work_Codes!$J487*R105*R$30</f>
        <v>28067.5</v>
      </c>
      <c r="S164" s="81">
        <f>Work_Codes!$J487*S105*S$30</f>
        <v>28067.5</v>
      </c>
      <c r="T164" s="81">
        <f>Work_Codes!$J487*T105*T$30</f>
        <v>28067.5</v>
      </c>
    </row>
    <row r="165" spans="3:20" hidden="1" outlineLevel="2">
      <c r="D165" s="102" t="str">
        <f>Work_Codes!D488</f>
        <v>Information Management</v>
      </c>
      <c r="J165" s="81">
        <f>Work_Codes!$J488*J106*J$30</f>
        <v>0</v>
      </c>
      <c r="K165" s="81">
        <f>Work_Codes!$J488*K106*K$30</f>
        <v>0</v>
      </c>
      <c r="L165" s="81">
        <f>Work_Codes!$J488*L106*L$30</f>
        <v>0</v>
      </c>
      <c r="M165" s="81">
        <f>Work_Codes!$J488*M106*M$30</f>
        <v>0</v>
      </c>
      <c r="N165" s="81">
        <f>Work_Codes!$J488*N106*N$30</f>
        <v>0</v>
      </c>
      <c r="O165" s="81">
        <f>Work_Codes!$J488*O106*O$30</f>
        <v>0</v>
      </c>
      <c r="P165" s="81">
        <f>Work_Codes!$J488*P106*P$30</f>
        <v>90057.939285714296</v>
      </c>
      <c r="Q165" s="81">
        <f>Work_Codes!$J488*Q106*Q$30</f>
        <v>156046.35142857142</v>
      </c>
      <c r="R165" s="81">
        <f>Work_Codes!$J488*R106*R$30</f>
        <v>160046.35142857145</v>
      </c>
      <c r="S165" s="81">
        <f>Work_Codes!$J488*S106*S$30</f>
        <v>90046.351428571434</v>
      </c>
      <c r="T165" s="81">
        <f>Work_Codes!$J488*T106*T$30</f>
        <v>30034.763571428568</v>
      </c>
    </row>
    <row r="166" spans="3:20" hidden="1" outlineLevel="2">
      <c r="D166" s="102" t="str">
        <f>Work_Codes!D489</f>
        <v>Customer Information Systems</v>
      </c>
      <c r="J166" s="81">
        <f>Work_Codes!$J489*J107*J$30</f>
        <v>0</v>
      </c>
      <c r="K166" s="81">
        <f>Work_Codes!$J489*K107*K$30</f>
        <v>0</v>
      </c>
      <c r="L166" s="81">
        <f>Work_Codes!$J489*L107*L$30</f>
        <v>0</v>
      </c>
      <c r="M166" s="81">
        <f>Work_Codes!$J489*M107*M$30</f>
        <v>0</v>
      </c>
      <c r="N166" s="81">
        <f>Work_Codes!$J489*N107*N$30</f>
        <v>0</v>
      </c>
      <c r="O166" s="81">
        <f>Work_Codes!$J489*O107*O$30</f>
        <v>0</v>
      </c>
      <c r="P166" s="81">
        <f>Work_Codes!$J489*P107*P$30</f>
        <v>32500</v>
      </c>
      <c r="Q166" s="81">
        <f>Work_Codes!$J489*Q107*Q$30</f>
        <v>32500</v>
      </c>
      <c r="R166" s="81">
        <f>Work_Codes!$J489*R107*R$30</f>
        <v>24300</v>
      </c>
      <c r="S166" s="81">
        <f>Work_Codes!$J489*S107*S$30</f>
        <v>18900.000000000004</v>
      </c>
      <c r="T166" s="81">
        <f>Work_Codes!$J489*T107*T$30</f>
        <v>7650</v>
      </c>
    </row>
    <row r="167" spans="3:20" hidden="1" outlineLevel="2">
      <c r="D167" s="102" t="str">
        <f>Work_Codes!D490</f>
        <v>TAM Apps</v>
      </c>
      <c r="J167" s="81">
        <f>Work_Codes!$J490*J108*J$30</f>
        <v>0</v>
      </c>
      <c r="K167" s="81">
        <f>Work_Codes!$J490*K108*K$30</f>
        <v>0</v>
      </c>
      <c r="L167" s="81">
        <f>Work_Codes!$J490*L108*L$30</f>
        <v>0</v>
      </c>
      <c r="M167" s="81">
        <f>Work_Codes!$J490*M108*M$30</f>
        <v>0</v>
      </c>
      <c r="N167" s="81">
        <f>Work_Codes!$J490*N108*N$30</f>
        <v>0</v>
      </c>
      <c r="O167" s="81">
        <f>Work_Codes!$J490*O108*O$30</f>
        <v>0</v>
      </c>
      <c r="P167" s="81">
        <f>Work_Codes!$J490*P108*P$30</f>
        <v>17359.104000000003</v>
      </c>
      <c r="Q167" s="81">
        <f>Work_Codes!$J490*Q108*Q$30</f>
        <v>17359.104000000003</v>
      </c>
      <c r="R167" s="81">
        <f>Work_Codes!$J490*R108*R$30</f>
        <v>21698.880000000001</v>
      </c>
      <c r="S167" s="81">
        <f>Work_Codes!$J490*S108*S$30</f>
        <v>26038.656000000003</v>
      </c>
      <c r="T167" s="81">
        <f>Work_Codes!$J490*T108*T$30</f>
        <v>26038.656000000003</v>
      </c>
    </row>
    <row r="168" spans="3:20" hidden="1" outlineLevel="2">
      <c r="D168" s="102" t="str">
        <f>Work_Codes!D491</f>
        <v>TAM Infra</v>
      </c>
      <c r="J168" s="81">
        <f>Work_Codes!$J491*J109*J$30</f>
        <v>0</v>
      </c>
      <c r="K168" s="81">
        <f>Work_Codes!$J491*K109*K$30</f>
        <v>0</v>
      </c>
      <c r="L168" s="81">
        <f>Work_Codes!$J491*L109*L$30</f>
        <v>0</v>
      </c>
      <c r="M168" s="81">
        <f>Work_Codes!$J491*M109*M$30</f>
        <v>0</v>
      </c>
      <c r="N168" s="81">
        <f>Work_Codes!$J491*N109*N$30</f>
        <v>0</v>
      </c>
      <c r="O168" s="81">
        <f>Work_Codes!$J491*O109*O$30</f>
        <v>0</v>
      </c>
      <c r="P168" s="81">
        <f>Work_Codes!$J491*P109*P$30</f>
        <v>85865.918777022554</v>
      </c>
      <c r="Q168" s="81">
        <f>Work_Codes!$J491*Q109*Q$30</f>
        <v>19204.907596857382</v>
      </c>
      <c r="R168" s="81">
        <f>Work_Codes!$J491*R109*R$30</f>
        <v>114818.25250085034</v>
      </c>
      <c r="S168" s="81">
        <f>Work_Codes!$J491*S109*S$30</f>
        <v>27020.773742755391</v>
      </c>
      <c r="T168" s="81">
        <f>Work_Codes!$J491*T109*T$30</f>
        <v>31365.347382514334</v>
      </c>
    </row>
    <row r="169" spans="3:20" hidden="1" outlineLevel="2">
      <c r="D169" s="102" t="str">
        <f>Work_Codes!D492</f>
        <v>Cyber Security</v>
      </c>
      <c r="J169" s="81">
        <f>Work_Codes!$J492*J110*J$30</f>
        <v>0</v>
      </c>
      <c r="K169" s="81">
        <f>Work_Codes!$J492*K110*K$30</f>
        <v>0</v>
      </c>
      <c r="L169" s="81">
        <f>Work_Codes!$J492*L110*L$30</f>
        <v>0</v>
      </c>
      <c r="M169" s="81">
        <f>Work_Codes!$J492*M110*M$30</f>
        <v>0</v>
      </c>
      <c r="N169" s="81">
        <f>Work_Codes!$J492*N110*N$30</f>
        <v>0</v>
      </c>
      <c r="O169" s="81">
        <f>Work_Codes!$J492*O110*O$30</f>
        <v>0</v>
      </c>
      <c r="P169" s="81">
        <f>Work_Codes!$J492*P110*P$30</f>
        <v>63368.648800000003</v>
      </c>
      <c r="Q169" s="81">
        <f>Work_Codes!$J492*Q110*Q$30</f>
        <v>63368.648800000003</v>
      </c>
      <c r="R169" s="81">
        <f>Work_Codes!$J492*R110*R$30</f>
        <v>63368.648800000003</v>
      </c>
      <c r="S169" s="81">
        <f>Work_Codes!$J492*S110*S$30</f>
        <v>63368.648800000003</v>
      </c>
      <c r="T169" s="81">
        <f>Work_Codes!$J492*T110*T$30</f>
        <v>63368.648800000003</v>
      </c>
    </row>
    <row r="170" spans="3:20" hidden="1" outlineLevel="2">
      <c r="D170" s="102" t="str">
        <f>Work_Codes!D493</f>
        <v>Intelligent Networks</v>
      </c>
      <c r="J170" s="81">
        <f>Work_Codes!$J493*J111*J$30</f>
        <v>0</v>
      </c>
      <c r="K170" s="81">
        <f>Work_Codes!$J493*K111*K$30</f>
        <v>0</v>
      </c>
      <c r="L170" s="81">
        <f>Work_Codes!$J493*L111*L$30</f>
        <v>0</v>
      </c>
      <c r="M170" s="81">
        <f>Work_Codes!$J493*M111*M$30</f>
        <v>0</v>
      </c>
      <c r="N170" s="81">
        <f>Work_Codes!$J493*N111*N$30</f>
        <v>0</v>
      </c>
      <c r="O170" s="81">
        <f>Work_Codes!$J493*O111*O$30</f>
        <v>0</v>
      </c>
      <c r="P170" s="81">
        <f>Work_Codes!$J493*P111*P$30</f>
        <v>134320</v>
      </c>
      <c r="Q170" s="81">
        <f>Work_Codes!$J493*Q111*Q$30</f>
        <v>161184</v>
      </c>
      <c r="R170" s="81">
        <f>Work_Codes!$J493*R111*R$30</f>
        <v>214912</v>
      </c>
      <c r="S170" s="81">
        <f>Work_Codes!$J493*S111*S$30</f>
        <v>26864</v>
      </c>
      <c r="T170" s="81">
        <f>Work_Codes!$J493*T111*T$30</f>
        <v>0</v>
      </c>
    </row>
    <row r="171" spans="3:20" hidden="1" outlineLevel="2">
      <c r="D171" s="102" t="str">
        <f>Work_Codes!D494</f>
        <v>Smart Metering</v>
      </c>
      <c r="J171" s="81">
        <f>Work_Codes!$J494*J112*J$30</f>
        <v>0</v>
      </c>
      <c r="K171" s="81">
        <f>Work_Codes!$J494*K112*K$30</f>
        <v>0</v>
      </c>
      <c r="L171" s="81">
        <f>Work_Codes!$J494*L112*L$30</f>
        <v>0</v>
      </c>
      <c r="M171" s="81">
        <f>Work_Codes!$J494*M112*M$30</f>
        <v>0</v>
      </c>
      <c r="N171" s="81">
        <f>Work_Codes!$J494*N112*N$30</f>
        <v>0</v>
      </c>
      <c r="O171" s="81">
        <f>Work_Codes!$J494*O112*O$30</f>
        <v>0</v>
      </c>
      <c r="P171" s="81">
        <f>Work_Codes!$J494*P112*P$30</f>
        <v>19799.999999999996</v>
      </c>
      <c r="Q171" s="81">
        <f>Work_Codes!$J494*Q112*Q$30</f>
        <v>47800</v>
      </c>
      <c r="R171" s="81">
        <f>Work_Codes!$J494*R112*R$30</f>
        <v>20000</v>
      </c>
      <c r="S171" s="81">
        <f>Work_Codes!$J494*S112*S$30</f>
        <v>2000</v>
      </c>
      <c r="T171" s="81">
        <f>Work_Codes!$J494*T112*T$30</f>
        <v>20000</v>
      </c>
    </row>
    <row r="172" spans="3:20" hidden="1" outlineLevel="2">
      <c r="D172" s="102" t="str">
        <f>Work_Codes!D495</f>
        <v>IT Category 20</v>
      </c>
      <c r="J172" s="81">
        <f>Work_Codes!$J495*J113*J$30</f>
        <v>0</v>
      </c>
      <c r="K172" s="81">
        <f>Work_Codes!$J495*K113*K$30</f>
        <v>0</v>
      </c>
      <c r="L172" s="81">
        <f>Work_Codes!$J495*L113*L$30</f>
        <v>0</v>
      </c>
      <c r="M172" s="81">
        <f>Work_Codes!$J495*M113*M$30</f>
        <v>0</v>
      </c>
      <c r="N172" s="81">
        <f>Work_Codes!$J495*N113*N$30</f>
        <v>0</v>
      </c>
      <c r="O172" s="81">
        <f>Work_Codes!$J495*O113*O$30</f>
        <v>0</v>
      </c>
      <c r="P172" s="81">
        <f>Work_Codes!$J495*P113*P$30</f>
        <v>0</v>
      </c>
      <c r="Q172" s="81">
        <f>Work_Codes!$J495*Q113*Q$30</f>
        <v>0</v>
      </c>
      <c r="R172" s="81">
        <f>Work_Codes!$J495*R113*R$30</f>
        <v>0</v>
      </c>
      <c r="S172" s="81">
        <f>Work_Codes!$J495*S113*S$30</f>
        <v>0</v>
      </c>
      <c r="T172" s="81">
        <f>Work_Codes!$J495*T113*T$30</f>
        <v>0</v>
      </c>
    </row>
    <row r="173" spans="3:20" ht="5.9" hidden="1" customHeight="1" outlineLevel="2"/>
    <row r="174" spans="3:20" hidden="1" outlineLevel="2">
      <c r="D174" s="249" t="str">
        <f>"Total "&amp;C151</f>
        <v>Total External Labour</v>
      </c>
      <c r="E174" s="249"/>
      <c r="F174" s="249"/>
      <c r="G174" s="249"/>
      <c r="H174" s="249"/>
      <c r="I174" s="249"/>
      <c r="J174" s="82">
        <f t="shared" ref="J174:T174" si="31">SUM(J153:J173)</f>
        <v>0</v>
      </c>
      <c r="K174" s="82">
        <f t="shared" si="31"/>
        <v>0</v>
      </c>
      <c r="L174" s="82">
        <f t="shared" si="31"/>
        <v>0</v>
      </c>
      <c r="M174" s="82">
        <f t="shared" si="31"/>
        <v>0</v>
      </c>
      <c r="N174" s="82">
        <f t="shared" si="31"/>
        <v>564743.94785373379</v>
      </c>
      <c r="O174" s="82">
        <f t="shared" si="31"/>
        <v>219398.70342335367</v>
      </c>
      <c r="P174" s="82">
        <f t="shared" si="31"/>
        <v>600776.45646273694</v>
      </c>
      <c r="Q174" s="82">
        <f t="shared" si="31"/>
        <v>689545.35742542881</v>
      </c>
      <c r="R174" s="82">
        <f t="shared" si="31"/>
        <v>745346.47832942184</v>
      </c>
      <c r="S174" s="82">
        <f t="shared" si="31"/>
        <v>364720.7755713269</v>
      </c>
      <c r="T174" s="82">
        <f t="shared" si="31"/>
        <v>265979.76135394291</v>
      </c>
    </row>
    <row r="175" spans="3:20" hidden="1" outlineLevel="2"/>
    <row r="176" spans="3:20" hidden="1" outlineLevel="2">
      <c r="C176" s="37" t="s">
        <v>130</v>
      </c>
    </row>
    <row r="177" spans="4:20" ht="5.9" hidden="1" customHeight="1" outlineLevel="2"/>
    <row r="178" spans="4:20" s="41" customFormat="1" hidden="1" outlineLevel="2">
      <c r="D178" s="205" t="str">
        <f>Work_Codes!D476</f>
        <v>Corporate</v>
      </c>
      <c r="J178" s="80">
        <f>Work_Codes!$K476*J94*J$31</f>
        <v>0</v>
      </c>
      <c r="K178" s="80">
        <f>Work_Codes!$K476*K94*K$31</f>
        <v>0</v>
      </c>
      <c r="L178" s="80">
        <f>Work_Codes!$K476*L94*L$31</f>
        <v>0</v>
      </c>
      <c r="M178" s="80">
        <f>Work_Codes!$K476*M94*M$31</f>
        <v>0</v>
      </c>
      <c r="N178" s="80">
        <f>Work_Codes!$K476*N94*N$31</f>
        <v>25705.519096203912</v>
      </c>
      <c r="O178" s="80">
        <f>Work_Codes!$K476*O94*O$31</f>
        <v>26133.707339878438</v>
      </c>
      <c r="P178" s="80">
        <f>Work_Codes!$K476*P94*P$31</f>
        <v>0</v>
      </c>
      <c r="Q178" s="80">
        <f>Work_Codes!$K476*Q94*Q$31</f>
        <v>0</v>
      </c>
      <c r="R178" s="80">
        <f>Work_Codes!$K476*R94*R$31</f>
        <v>0</v>
      </c>
      <c r="S178" s="80">
        <f>Work_Codes!$K476*S94*S$31</f>
        <v>0</v>
      </c>
      <c r="T178" s="80">
        <f>Work_Codes!$K476*T94*T$31</f>
        <v>0</v>
      </c>
    </row>
    <row r="179" spans="4:20" s="41" customFormat="1" hidden="1" outlineLevel="2">
      <c r="D179" s="205" t="str">
        <f>Work_Codes!D477</f>
        <v>Information Management</v>
      </c>
      <c r="J179" s="80">
        <f>Work_Codes!$K477*J95*J$31</f>
        <v>0</v>
      </c>
      <c r="K179" s="80">
        <f>Work_Codes!$K477*K95*K$31</f>
        <v>0</v>
      </c>
      <c r="L179" s="80">
        <f>Work_Codes!$K477*L95*L$31</f>
        <v>0</v>
      </c>
      <c r="M179" s="80">
        <f>Work_Codes!$K477*M95*M$31</f>
        <v>0</v>
      </c>
      <c r="N179" s="80">
        <f>Work_Codes!$K477*N95*N$31</f>
        <v>245241.05820312013</v>
      </c>
      <c r="O179" s="80">
        <f>Work_Codes!$K477*O95*O$31</f>
        <v>84666.825352283733</v>
      </c>
      <c r="P179" s="80">
        <f>Work_Codes!$K477*P95*P$31</f>
        <v>0</v>
      </c>
      <c r="Q179" s="80">
        <f>Work_Codes!$K477*Q95*Q$31</f>
        <v>0</v>
      </c>
      <c r="R179" s="80">
        <f>Work_Codes!$K477*R95*R$31</f>
        <v>0</v>
      </c>
      <c r="S179" s="80">
        <f>Work_Codes!$K477*S95*S$31</f>
        <v>0</v>
      </c>
      <c r="T179" s="80">
        <f>Work_Codes!$K477*T95*T$31</f>
        <v>0</v>
      </c>
    </row>
    <row r="180" spans="4:20" s="41" customFormat="1" hidden="1" outlineLevel="2">
      <c r="D180" s="205" t="str">
        <f>Work_Codes!D478</f>
        <v>Information Security</v>
      </c>
      <c r="J180" s="80">
        <f>Work_Codes!$K478*J96*J$31</f>
        <v>0</v>
      </c>
      <c r="K180" s="80">
        <f>Work_Codes!$K478*K96*K$31</f>
        <v>0</v>
      </c>
      <c r="L180" s="80">
        <f>Work_Codes!$K478*L96*L$31</f>
        <v>0</v>
      </c>
      <c r="M180" s="80">
        <f>Work_Codes!$K478*M96*M$31</f>
        <v>0</v>
      </c>
      <c r="N180" s="80">
        <f>Work_Codes!$K478*N96*N$31</f>
        <v>344940.88859980833</v>
      </c>
      <c r="O180" s="80">
        <f>Work_Codes!$K478*O96*O$31</f>
        <v>471026.38898077124</v>
      </c>
      <c r="P180" s="80">
        <f>Work_Codes!$K478*P96*P$31</f>
        <v>0</v>
      </c>
      <c r="Q180" s="80">
        <f>Work_Codes!$K478*Q96*Q$31</f>
        <v>0</v>
      </c>
      <c r="R180" s="80">
        <f>Work_Codes!$K478*R96*R$31</f>
        <v>0</v>
      </c>
      <c r="S180" s="80">
        <f>Work_Codes!$K478*S96*S$31</f>
        <v>0</v>
      </c>
      <c r="T180" s="80">
        <f>Work_Codes!$K478*T96*T$31</f>
        <v>0</v>
      </c>
    </row>
    <row r="181" spans="4:20" s="41" customFormat="1" hidden="1" outlineLevel="2">
      <c r="D181" s="205" t="str">
        <f>Work_Codes!D479</f>
        <v>Network Management</v>
      </c>
      <c r="J181" s="80">
        <f>Work_Codes!$K479*J97*J$31</f>
        <v>0</v>
      </c>
      <c r="K181" s="80">
        <f>Work_Codes!$K479*K97*K$31</f>
        <v>0</v>
      </c>
      <c r="L181" s="80">
        <f>Work_Codes!$K479*L97*L$31</f>
        <v>0</v>
      </c>
      <c r="M181" s="80">
        <f>Work_Codes!$K479*M97*M$31</f>
        <v>0</v>
      </c>
      <c r="N181" s="80">
        <f>Work_Codes!$K479*N97*N$31</f>
        <v>5585.4259512290864</v>
      </c>
      <c r="O181" s="80">
        <f>Work_Codes!$K479*O97*O$31</f>
        <v>0</v>
      </c>
      <c r="P181" s="80">
        <f>Work_Codes!$K479*P97*P$31</f>
        <v>0</v>
      </c>
      <c r="Q181" s="80">
        <f>Work_Codes!$K479*Q97*Q$31</f>
        <v>0</v>
      </c>
      <c r="R181" s="80">
        <f>Work_Codes!$K479*R97*R$31</f>
        <v>0</v>
      </c>
      <c r="S181" s="80">
        <f>Work_Codes!$K479*S97*S$31</f>
        <v>0</v>
      </c>
      <c r="T181" s="80">
        <f>Work_Codes!$K479*T97*T$31</f>
        <v>0</v>
      </c>
    </row>
    <row r="182" spans="4:20" s="41" customFormat="1" hidden="1" outlineLevel="2">
      <c r="D182" s="205" t="str">
        <f>Work_Codes!D480</f>
        <v>Works &amp; Asset Management</v>
      </c>
      <c r="J182" s="80">
        <f>Work_Codes!$K480*J98*J$31</f>
        <v>0</v>
      </c>
      <c r="K182" s="80">
        <f>Work_Codes!$K480*K98*K$31</f>
        <v>0</v>
      </c>
      <c r="L182" s="80">
        <f>Work_Codes!$K480*L98*L$31</f>
        <v>0</v>
      </c>
      <c r="M182" s="80">
        <f>Work_Codes!$K480*M98*M$31</f>
        <v>0</v>
      </c>
      <c r="N182" s="80">
        <f>Work_Codes!$K480*N98*N$31</f>
        <v>4659.2384021240914</v>
      </c>
      <c r="O182" s="80">
        <f>Work_Codes!$K480*O98*O$31</f>
        <v>131230.05321259992</v>
      </c>
      <c r="P182" s="80">
        <f>Work_Codes!$K480*P98*P$31</f>
        <v>0</v>
      </c>
      <c r="Q182" s="80">
        <f>Work_Codes!$K480*Q98*Q$31</f>
        <v>0</v>
      </c>
      <c r="R182" s="80">
        <f>Work_Codes!$K480*R98*R$31</f>
        <v>0</v>
      </c>
      <c r="S182" s="80">
        <f>Work_Codes!$K480*S98*S$31</f>
        <v>0</v>
      </c>
      <c r="T182" s="80">
        <f>Work_Codes!$K480*T98*T$31</f>
        <v>0</v>
      </c>
    </row>
    <row r="183" spans="4:20" s="41" customFormat="1" hidden="1" outlineLevel="2">
      <c r="D183" s="205" t="str">
        <f>Work_Codes!D481</f>
        <v>EAM / ERP</v>
      </c>
      <c r="J183" s="80">
        <f>Work_Codes!$K481*J99*J$31</f>
        <v>0</v>
      </c>
      <c r="K183" s="80">
        <f>Work_Codes!$K481*K99*K$31</f>
        <v>0</v>
      </c>
      <c r="L183" s="80">
        <f>Work_Codes!$K481*L99*L$31</f>
        <v>0</v>
      </c>
      <c r="M183" s="80">
        <f>Work_Codes!$K481*M99*M$31</f>
        <v>0</v>
      </c>
      <c r="N183" s="80">
        <f>Work_Codes!$K481*N99*N$31</f>
        <v>0</v>
      </c>
      <c r="O183" s="80">
        <f>Work_Codes!$K481*O99*O$31</f>
        <v>0</v>
      </c>
      <c r="P183" s="80">
        <f>Work_Codes!$K481*P99*P$31</f>
        <v>0</v>
      </c>
      <c r="Q183" s="80">
        <f>Work_Codes!$K481*Q99*Q$31</f>
        <v>0</v>
      </c>
      <c r="R183" s="80">
        <f>Work_Codes!$K481*R99*R$31</f>
        <v>0</v>
      </c>
      <c r="S183" s="80">
        <f>Work_Codes!$K481*S99*S$31</f>
        <v>0</v>
      </c>
      <c r="T183" s="80">
        <f>Work_Codes!$K481*T99*T$31</f>
        <v>0</v>
      </c>
    </row>
    <row r="184" spans="4:20" s="41" customFormat="1" hidden="1" outlineLevel="2">
      <c r="D184" s="205" t="str">
        <f>Work_Codes!D482</f>
        <v>Metering &amp; Customer Services</v>
      </c>
      <c r="J184" s="80">
        <f>Work_Codes!$K482*J100*J$31</f>
        <v>0</v>
      </c>
      <c r="K184" s="80">
        <f>Work_Codes!$K482*K100*K$31</f>
        <v>0</v>
      </c>
      <c r="L184" s="80">
        <f>Work_Codes!$K482*L100*L$31</f>
        <v>0</v>
      </c>
      <c r="M184" s="80">
        <f>Work_Codes!$K482*M100*M$31</f>
        <v>0</v>
      </c>
      <c r="N184" s="80">
        <f>Work_Codes!$K482*N100*N$31</f>
        <v>317817.02498959273</v>
      </c>
      <c r="O184" s="80">
        <f>Work_Codes!$K482*O100*O$31</f>
        <v>0</v>
      </c>
      <c r="P184" s="80">
        <f>Work_Codes!$K482*P100*P$31</f>
        <v>0</v>
      </c>
      <c r="Q184" s="80">
        <f>Work_Codes!$K482*Q100*Q$31</f>
        <v>0</v>
      </c>
      <c r="R184" s="80">
        <f>Work_Codes!$K482*R100*R$31</f>
        <v>0</v>
      </c>
      <c r="S184" s="80">
        <f>Work_Codes!$K482*S100*S$31</f>
        <v>0</v>
      </c>
      <c r="T184" s="80">
        <f>Work_Codes!$K482*T100*T$31</f>
        <v>0</v>
      </c>
    </row>
    <row r="185" spans="4:20" s="41" customFormat="1" hidden="1" outlineLevel="2">
      <c r="D185" s="205" t="str">
        <f>Work_Codes!D483</f>
        <v>Information Technology</v>
      </c>
      <c r="J185" s="80">
        <f>Work_Codes!$K483*J101*J$31</f>
        <v>0</v>
      </c>
      <c r="K185" s="80">
        <f>Work_Codes!$K483*K101*K$31</f>
        <v>0</v>
      </c>
      <c r="L185" s="80">
        <f>Work_Codes!$K483*L101*L$31</f>
        <v>0</v>
      </c>
      <c r="M185" s="80">
        <f>Work_Codes!$K483*M101*M$31</f>
        <v>0</v>
      </c>
      <c r="N185" s="80">
        <f>Work_Codes!$K483*N101*N$31</f>
        <v>3070027.1481071752</v>
      </c>
      <c r="O185" s="80">
        <f>Work_Codes!$K483*O101*O$31</f>
        <v>832677.93373122916</v>
      </c>
      <c r="P185" s="80">
        <f>Work_Codes!$K483*P101*P$31</f>
        <v>0</v>
      </c>
      <c r="Q185" s="80">
        <f>Work_Codes!$K483*Q101*Q$31</f>
        <v>0</v>
      </c>
      <c r="R185" s="80">
        <f>Work_Codes!$K483*R101*R$31</f>
        <v>0</v>
      </c>
      <c r="S185" s="80">
        <f>Work_Codes!$K483*S101*S$31</f>
        <v>0</v>
      </c>
      <c r="T185" s="80">
        <f>Work_Codes!$K483*T101*T$31</f>
        <v>0</v>
      </c>
    </row>
    <row r="186" spans="4:20" s="41" customFormat="1" hidden="1" outlineLevel="2">
      <c r="D186" s="205" t="str">
        <f>Work_Codes!D484</f>
        <v>Comms</v>
      </c>
      <c r="J186" s="80">
        <f>Work_Codes!$K484*J102*J$31</f>
        <v>0</v>
      </c>
      <c r="K186" s="80">
        <f>Work_Codes!$K484*K102*K$31</f>
        <v>0</v>
      </c>
      <c r="L186" s="80">
        <f>Work_Codes!$K484*L102*L$31</f>
        <v>0</v>
      </c>
      <c r="M186" s="80">
        <f>Work_Codes!$K484*M102*M$31</f>
        <v>0</v>
      </c>
      <c r="N186" s="80">
        <f>Work_Codes!$K484*N102*N$31</f>
        <v>0</v>
      </c>
      <c r="O186" s="80">
        <f>Work_Codes!$K484*O102*O$31</f>
        <v>0</v>
      </c>
      <c r="P186" s="80">
        <f>Work_Codes!$K484*P102*P$31</f>
        <v>0</v>
      </c>
      <c r="Q186" s="80">
        <f>Work_Codes!$K484*Q102*Q$31</f>
        <v>0</v>
      </c>
      <c r="R186" s="80">
        <f>Work_Codes!$K484*R102*R$31</f>
        <v>0</v>
      </c>
      <c r="S186" s="80">
        <f>Work_Codes!$K484*S102*S$31</f>
        <v>0</v>
      </c>
      <c r="T186" s="80">
        <f>Work_Codes!$K484*T102*T$31</f>
        <v>0</v>
      </c>
    </row>
    <row r="187" spans="4:20" s="41" customFormat="1" hidden="1" outlineLevel="2">
      <c r="D187" s="205" t="str">
        <f>Work_Codes!D485</f>
        <v>Workforce collaboration</v>
      </c>
      <c r="J187" s="80">
        <f>Work_Codes!$K485*J103*J$31</f>
        <v>0</v>
      </c>
      <c r="K187" s="80">
        <f>Work_Codes!$K485*K103*K$31</f>
        <v>0</v>
      </c>
      <c r="L187" s="80">
        <f>Work_Codes!$K485*L103*L$31</f>
        <v>0</v>
      </c>
      <c r="M187" s="80">
        <f>Work_Codes!$K485*M103*M$31</f>
        <v>0</v>
      </c>
      <c r="N187" s="80">
        <f>Work_Codes!$K485*N103*N$31</f>
        <v>0</v>
      </c>
      <c r="O187" s="80">
        <f>Work_Codes!$K485*O103*O$31</f>
        <v>0</v>
      </c>
      <c r="P187" s="80">
        <f>Work_Codes!$K485*P103*P$31</f>
        <v>717954.12699999998</v>
      </c>
      <c r="Q187" s="80">
        <f>Work_Codes!$K485*Q103*Q$31</f>
        <v>1465954.1270000001</v>
      </c>
      <c r="R187" s="80">
        <f>Work_Codes!$K485*R103*R$31</f>
        <v>717954.12699999998</v>
      </c>
      <c r="S187" s="80">
        <f>Work_Codes!$K485*S103*S$31</f>
        <v>343954.12700000004</v>
      </c>
      <c r="T187" s="80">
        <f>Work_Codes!$K485*T103*T$31</f>
        <v>343954.12700000004</v>
      </c>
    </row>
    <row r="188" spans="4:20" s="41" customFormat="1" hidden="1" outlineLevel="2">
      <c r="D188" s="205" t="str">
        <f>Work_Codes!D486</f>
        <v>Corporate Enablement</v>
      </c>
      <c r="J188" s="80">
        <f>Work_Codes!$K486*J104*J$31</f>
        <v>0</v>
      </c>
      <c r="K188" s="80">
        <f>Work_Codes!$K486*K104*K$31</f>
        <v>0</v>
      </c>
      <c r="L188" s="80">
        <f>Work_Codes!$K486*L104*L$31</f>
        <v>0</v>
      </c>
      <c r="M188" s="80">
        <f>Work_Codes!$K486*M104*M$31</f>
        <v>0</v>
      </c>
      <c r="N188" s="80">
        <f>Work_Codes!$K486*N104*N$31</f>
        <v>0</v>
      </c>
      <c r="O188" s="80">
        <f>Work_Codes!$K486*O104*O$31</f>
        <v>0</v>
      </c>
      <c r="P188" s="80">
        <f>Work_Codes!$K486*P104*P$31</f>
        <v>473550.00000000006</v>
      </c>
      <c r="Q188" s="80">
        <f>Work_Codes!$K486*Q104*Q$31</f>
        <v>789250.00000000012</v>
      </c>
      <c r="R188" s="80">
        <f>Work_Codes!$K486*R104*R$31</f>
        <v>631400</v>
      </c>
      <c r="S188" s="80">
        <f>Work_Codes!$K486*S104*S$31</f>
        <v>789250.00000000012</v>
      </c>
      <c r="T188" s="80">
        <f>Work_Codes!$K486*T104*T$31</f>
        <v>473550.00000000006</v>
      </c>
    </row>
    <row r="189" spans="4:20" s="41" customFormat="1" hidden="1" outlineLevel="2">
      <c r="D189" s="205" t="str">
        <f>Work_Codes!D487</f>
        <v>Corporate Communications</v>
      </c>
      <c r="J189" s="80">
        <f>Work_Codes!$K487*J105*J$31</f>
        <v>0</v>
      </c>
      <c r="K189" s="80">
        <f>Work_Codes!$K487*K105*K$31</f>
        <v>0</v>
      </c>
      <c r="L189" s="80">
        <f>Work_Codes!$K487*L105*L$31</f>
        <v>0</v>
      </c>
      <c r="M189" s="80">
        <f>Work_Codes!$K487*M105*M$31</f>
        <v>0</v>
      </c>
      <c r="N189" s="80">
        <f>Work_Codes!$K487*N105*N$31</f>
        <v>0</v>
      </c>
      <c r="O189" s="80">
        <f>Work_Codes!$K487*O105*O$31</f>
        <v>0</v>
      </c>
      <c r="P189" s="80">
        <f>Work_Codes!$K487*P105*P$31</f>
        <v>974187.50000000012</v>
      </c>
      <c r="Q189" s="80">
        <f>Work_Codes!$K487*Q105*Q$31</f>
        <v>385928.12500000006</v>
      </c>
      <c r="R189" s="80">
        <f>Work_Codes!$K487*R105*R$31</f>
        <v>385928.12500000006</v>
      </c>
      <c r="S189" s="80">
        <f>Work_Codes!$K487*S105*S$31</f>
        <v>385928.12500000006</v>
      </c>
      <c r="T189" s="80">
        <f>Work_Codes!$K487*T105*T$31</f>
        <v>385928.12500000006</v>
      </c>
    </row>
    <row r="190" spans="4:20" s="41" customFormat="1" hidden="1" outlineLevel="2">
      <c r="D190" s="205" t="str">
        <f>Work_Codes!D488</f>
        <v>Information Management</v>
      </c>
      <c r="J190" s="80">
        <f>Work_Codes!$K488*J106*J$31</f>
        <v>0</v>
      </c>
      <c r="K190" s="80">
        <f>Work_Codes!$K488*K106*K$31</f>
        <v>0</v>
      </c>
      <c r="L190" s="80">
        <f>Work_Codes!$K488*L106*L$31</f>
        <v>0</v>
      </c>
      <c r="M190" s="80">
        <f>Work_Codes!$K488*M106*M$31</f>
        <v>0</v>
      </c>
      <c r="N190" s="80">
        <f>Work_Codes!$K488*N106*N$31</f>
        <v>0</v>
      </c>
      <c r="O190" s="80">
        <f>Work_Codes!$K488*O106*O$31</f>
        <v>0</v>
      </c>
      <c r="P190" s="80">
        <f>Work_Codes!$K488*P106*P$31</f>
        <v>1238296.6651785716</v>
      </c>
      <c r="Q190" s="80">
        <f>Work_Codes!$K488*Q106*Q$31</f>
        <v>2145637.3321428574</v>
      </c>
      <c r="R190" s="80">
        <f>Work_Codes!$K488*R106*R$31</f>
        <v>2200637.3321428574</v>
      </c>
      <c r="S190" s="80">
        <f>Work_Codes!$K488*S106*S$31</f>
        <v>1238137.3321428574</v>
      </c>
      <c r="T190" s="80">
        <f>Work_Codes!$K488*T106*T$31</f>
        <v>412977.99910714285</v>
      </c>
    </row>
    <row r="191" spans="4:20" s="41" customFormat="1" hidden="1" outlineLevel="2">
      <c r="D191" s="205" t="str">
        <f>Work_Codes!D489</f>
        <v>Customer Information Systems</v>
      </c>
      <c r="J191" s="80">
        <f>Work_Codes!$K489*J107*J$31</f>
        <v>0</v>
      </c>
      <c r="K191" s="80">
        <f>Work_Codes!$K489*K107*K$31</f>
        <v>0</v>
      </c>
      <c r="L191" s="80">
        <f>Work_Codes!$K489*L107*L$31</f>
        <v>0</v>
      </c>
      <c r="M191" s="80">
        <f>Work_Codes!$K489*M107*M$31</f>
        <v>0</v>
      </c>
      <c r="N191" s="80">
        <f>Work_Codes!$K489*N107*N$31</f>
        <v>0</v>
      </c>
      <c r="O191" s="80">
        <f>Work_Codes!$K489*O107*O$31</f>
        <v>0</v>
      </c>
      <c r="P191" s="80">
        <f>Work_Codes!$K489*P107*P$31</f>
        <v>446875.00000000006</v>
      </c>
      <c r="Q191" s="80">
        <f>Work_Codes!$K489*Q107*Q$31</f>
        <v>446875.00000000006</v>
      </c>
      <c r="R191" s="80">
        <f>Work_Codes!$K489*R107*R$31</f>
        <v>334125</v>
      </c>
      <c r="S191" s="80">
        <f>Work_Codes!$K489*S107*S$31</f>
        <v>259875.00000000006</v>
      </c>
      <c r="T191" s="80">
        <f>Work_Codes!$K489*T107*T$31</f>
        <v>105187.50000000001</v>
      </c>
    </row>
    <row r="192" spans="4:20" s="41" customFormat="1" hidden="1" outlineLevel="2">
      <c r="D192" s="205" t="str">
        <f>Work_Codes!D490</f>
        <v>TAM Apps</v>
      </c>
      <c r="J192" s="80">
        <f>Work_Codes!$K490*J108*J$31</f>
        <v>0</v>
      </c>
      <c r="K192" s="80">
        <f>Work_Codes!$K490*K108*K$31</f>
        <v>0</v>
      </c>
      <c r="L192" s="80">
        <f>Work_Codes!$K490*L108*L$31</f>
        <v>0</v>
      </c>
      <c r="M192" s="80">
        <f>Work_Codes!$K490*M108*M$31</f>
        <v>0</v>
      </c>
      <c r="N192" s="80">
        <f>Work_Codes!$K490*N108*N$31</f>
        <v>0</v>
      </c>
      <c r="O192" s="80">
        <f>Work_Codes!$K490*O108*O$31</f>
        <v>0</v>
      </c>
      <c r="P192" s="80">
        <f>Work_Codes!$K490*P108*P$31</f>
        <v>238687.68000000005</v>
      </c>
      <c r="Q192" s="80">
        <f>Work_Codes!$K490*Q108*Q$31</f>
        <v>238687.68000000005</v>
      </c>
      <c r="R192" s="80">
        <f>Work_Codes!$K490*R108*R$31</f>
        <v>298359.60000000003</v>
      </c>
      <c r="S192" s="80">
        <f>Work_Codes!$K490*S108*S$31</f>
        <v>358031.52</v>
      </c>
      <c r="T192" s="80">
        <f>Work_Codes!$K490*T108*T$31</f>
        <v>358031.52</v>
      </c>
    </row>
    <row r="193" spans="3:20" s="41" customFormat="1" hidden="1" outlineLevel="2">
      <c r="D193" s="205" t="str">
        <f>Work_Codes!D491</f>
        <v>TAM Infra</v>
      </c>
      <c r="J193" s="80">
        <f>Work_Codes!$K491*J109*J$31</f>
        <v>0</v>
      </c>
      <c r="K193" s="80">
        <f>Work_Codes!$K491*K109*K$31</f>
        <v>0</v>
      </c>
      <c r="L193" s="80">
        <f>Work_Codes!$K491*L109*L$31</f>
        <v>0</v>
      </c>
      <c r="M193" s="80">
        <f>Work_Codes!$K491*M109*M$31</f>
        <v>0</v>
      </c>
      <c r="N193" s="80">
        <f>Work_Codes!$K491*N109*N$31</f>
        <v>0</v>
      </c>
      <c r="O193" s="80">
        <f>Work_Codes!$K491*O109*O$31</f>
        <v>0</v>
      </c>
      <c r="P193" s="80">
        <f>Work_Codes!$K491*P109*P$31</f>
        <v>1180656.3831840602</v>
      </c>
      <c r="Q193" s="80">
        <f>Work_Codes!$K491*Q109*Q$31</f>
        <v>264067.47945678898</v>
      </c>
      <c r="R193" s="80">
        <f>Work_Codes!$K491*R109*R$31</f>
        <v>1578750.9718866923</v>
      </c>
      <c r="S193" s="80">
        <f>Work_Codes!$K491*S109*S$31</f>
        <v>371535.63896288665</v>
      </c>
      <c r="T193" s="80">
        <f>Work_Codes!$K491*T109*T$31</f>
        <v>431273.52650957211</v>
      </c>
    </row>
    <row r="194" spans="3:20" s="41" customFormat="1" hidden="1" outlineLevel="2">
      <c r="D194" s="205" t="str">
        <f>Work_Codes!D492</f>
        <v>Cyber Security</v>
      </c>
      <c r="J194" s="80">
        <f>Work_Codes!$K492*J110*J$31</f>
        <v>0</v>
      </c>
      <c r="K194" s="80">
        <f>Work_Codes!$K492*K110*K$31</f>
        <v>0</v>
      </c>
      <c r="L194" s="80">
        <f>Work_Codes!$K492*L110*L$31</f>
        <v>0</v>
      </c>
      <c r="M194" s="80">
        <f>Work_Codes!$K492*M110*M$31</f>
        <v>0</v>
      </c>
      <c r="N194" s="80">
        <f>Work_Codes!$K492*N110*N$31</f>
        <v>0</v>
      </c>
      <c r="O194" s="80">
        <f>Work_Codes!$K492*O110*O$31</f>
        <v>0</v>
      </c>
      <c r="P194" s="80">
        <f>Work_Codes!$K492*P110*P$31</f>
        <v>871318.92100000009</v>
      </c>
      <c r="Q194" s="80">
        <f>Work_Codes!$K492*Q110*Q$31</f>
        <v>871318.92100000009</v>
      </c>
      <c r="R194" s="80">
        <f>Work_Codes!$K492*R110*R$31</f>
        <v>871318.92100000009</v>
      </c>
      <c r="S194" s="80">
        <f>Work_Codes!$K492*S110*S$31</f>
        <v>871318.92100000009</v>
      </c>
      <c r="T194" s="80">
        <f>Work_Codes!$K492*T110*T$31</f>
        <v>871318.92100000009</v>
      </c>
    </row>
    <row r="195" spans="3:20" s="41" customFormat="1" hidden="1" outlineLevel="2">
      <c r="D195" s="205" t="str">
        <f>Work_Codes!D493</f>
        <v>Intelligent Networks</v>
      </c>
      <c r="J195" s="80">
        <f>Work_Codes!$K493*J111*J$31</f>
        <v>0</v>
      </c>
      <c r="K195" s="80">
        <f>Work_Codes!$K493*K111*K$31</f>
        <v>0</v>
      </c>
      <c r="L195" s="80">
        <f>Work_Codes!$K493*L111*L$31</f>
        <v>0</v>
      </c>
      <c r="M195" s="80">
        <f>Work_Codes!$K493*M111*M$31</f>
        <v>0</v>
      </c>
      <c r="N195" s="80">
        <f>Work_Codes!$K493*N111*N$31</f>
        <v>0</v>
      </c>
      <c r="O195" s="80">
        <f>Work_Codes!$K493*O111*O$31</f>
        <v>0</v>
      </c>
      <c r="P195" s="80">
        <f>Work_Codes!$K493*P111*P$31</f>
        <v>1846900.0000000002</v>
      </c>
      <c r="Q195" s="80">
        <f>Work_Codes!$K493*Q111*Q$31</f>
        <v>2216280</v>
      </c>
      <c r="R195" s="80">
        <f>Work_Codes!$K493*R111*R$31</f>
        <v>2955040.0000000005</v>
      </c>
      <c r="S195" s="80">
        <f>Work_Codes!$K493*S111*S$31</f>
        <v>369380.00000000006</v>
      </c>
      <c r="T195" s="80">
        <f>Work_Codes!$K493*T111*T$31</f>
        <v>0</v>
      </c>
    </row>
    <row r="196" spans="3:20" s="41" customFormat="1" hidden="1" outlineLevel="2">
      <c r="D196" s="205" t="str">
        <f>Work_Codes!D494</f>
        <v>Smart Metering</v>
      </c>
      <c r="J196" s="80">
        <f>Work_Codes!$K494*J112*J$31</f>
        <v>0</v>
      </c>
      <c r="K196" s="80">
        <f>Work_Codes!$K494*K112*K$31</f>
        <v>0</v>
      </c>
      <c r="L196" s="80">
        <f>Work_Codes!$K494*L112*L$31</f>
        <v>0</v>
      </c>
      <c r="M196" s="80">
        <f>Work_Codes!$K494*M112*M$31</f>
        <v>0</v>
      </c>
      <c r="N196" s="80">
        <f>Work_Codes!$K494*N112*N$31</f>
        <v>0</v>
      </c>
      <c r="O196" s="80">
        <f>Work_Codes!$K494*O112*O$31</f>
        <v>0</v>
      </c>
      <c r="P196" s="80">
        <f>Work_Codes!$K494*P112*P$31</f>
        <v>272250</v>
      </c>
      <c r="Q196" s="80">
        <f>Work_Codes!$K494*Q112*Q$31</f>
        <v>657250</v>
      </c>
      <c r="R196" s="80">
        <f>Work_Codes!$K494*R112*R$31</f>
        <v>275000</v>
      </c>
      <c r="S196" s="80">
        <f>Work_Codes!$K494*S112*S$31</f>
        <v>27500.000000000004</v>
      </c>
      <c r="T196" s="80">
        <f>Work_Codes!$K494*T112*T$31</f>
        <v>275000</v>
      </c>
    </row>
    <row r="197" spans="3:20" s="41" customFormat="1" hidden="1" outlineLevel="2">
      <c r="D197" s="205" t="str">
        <f>Work_Codes!D495</f>
        <v>IT Category 20</v>
      </c>
      <c r="J197" s="80">
        <f>Work_Codes!$K495*J113*J$31</f>
        <v>0</v>
      </c>
      <c r="K197" s="80">
        <f>Work_Codes!$K495*K113*K$31</f>
        <v>0</v>
      </c>
      <c r="L197" s="80">
        <f>Work_Codes!$K495*L113*L$31</f>
        <v>0</v>
      </c>
      <c r="M197" s="80">
        <f>Work_Codes!$K495*M113*M$31</f>
        <v>0</v>
      </c>
      <c r="N197" s="80">
        <f>Work_Codes!$K495*N113*N$31</f>
        <v>0</v>
      </c>
      <c r="O197" s="80">
        <f>Work_Codes!$K495*O113*O$31</f>
        <v>0</v>
      </c>
      <c r="P197" s="80">
        <f>Work_Codes!$K495*P113*P$31</f>
        <v>0</v>
      </c>
      <c r="Q197" s="80">
        <f>Work_Codes!$K495*Q113*Q$31</f>
        <v>0</v>
      </c>
      <c r="R197" s="80">
        <f>Work_Codes!$K495*R113*R$31</f>
        <v>0</v>
      </c>
      <c r="S197" s="80">
        <f>Work_Codes!$K495*S113*S$31</f>
        <v>0</v>
      </c>
      <c r="T197" s="80">
        <f>Work_Codes!$K495*T113*T$31</f>
        <v>0</v>
      </c>
    </row>
    <row r="198" spans="3:20" s="41" customFormat="1" ht="5.9" hidden="1" customHeight="1" outlineLevel="2"/>
    <row r="199" spans="3:20" s="41" customFormat="1" hidden="1" outlineLevel="2">
      <c r="D199" s="250" t="str">
        <f>"Total "&amp;C176</f>
        <v>Total Materials</v>
      </c>
      <c r="E199" s="250"/>
      <c r="F199" s="250"/>
      <c r="G199" s="250"/>
      <c r="H199" s="250"/>
      <c r="I199" s="250"/>
      <c r="J199" s="101">
        <f t="shared" ref="J199:T199" si="32">SUM(J178:J198)</f>
        <v>0</v>
      </c>
      <c r="K199" s="101">
        <f t="shared" si="32"/>
        <v>0</v>
      </c>
      <c r="L199" s="101">
        <f t="shared" si="32"/>
        <v>0</v>
      </c>
      <c r="M199" s="101">
        <f t="shared" si="32"/>
        <v>0</v>
      </c>
      <c r="N199" s="101">
        <f t="shared" si="32"/>
        <v>4013976.3033492537</v>
      </c>
      <c r="O199" s="101">
        <f t="shared" si="32"/>
        <v>1545734.9086167626</v>
      </c>
      <c r="P199" s="101">
        <f t="shared" si="32"/>
        <v>8260676.2763626324</v>
      </c>
      <c r="Q199" s="101">
        <f t="shared" si="32"/>
        <v>9481248.6645996459</v>
      </c>
      <c r="R199" s="101">
        <f t="shared" si="32"/>
        <v>10248514.07702955</v>
      </c>
      <c r="S199" s="101">
        <f t="shared" si="32"/>
        <v>5014910.6641057441</v>
      </c>
      <c r="T199" s="101">
        <f t="shared" si="32"/>
        <v>3657221.7186167152</v>
      </c>
    </row>
    <row r="200" spans="3:20" s="41" customFormat="1" outlineLevel="1" collapsed="1"/>
    <row r="201" spans="3:20" s="41" customFormat="1" outlineLevel="1">
      <c r="C201" s="50" t="s">
        <v>217</v>
      </c>
    </row>
    <row r="202" spans="3:20" s="41" customFormat="1" ht="5.9" customHeight="1" outlineLevel="1"/>
    <row r="203" spans="3:20" s="41" customFormat="1" outlineLevel="1">
      <c r="D203" s="205" t="str">
        <f>Work_Codes!D476</f>
        <v>Corporate</v>
      </c>
      <c r="J203" s="80">
        <f t="shared" ref="J203:T203" si="33">J128+J153+J178</f>
        <v>0</v>
      </c>
      <c r="K203" s="80">
        <f t="shared" si="33"/>
        <v>0</v>
      </c>
      <c r="L203" s="80">
        <f t="shared" si="33"/>
        <v>0</v>
      </c>
      <c r="M203" s="80">
        <f t="shared" si="33"/>
        <v>0</v>
      </c>
      <c r="N203" s="80">
        <f t="shared" si="33"/>
        <v>422954.65651369374</v>
      </c>
      <c r="O203" s="80">
        <f t="shared" si="33"/>
        <v>432098.45839002362</v>
      </c>
      <c r="P203" s="80">
        <f t="shared" si="33"/>
        <v>0</v>
      </c>
      <c r="Q203" s="80">
        <f t="shared" si="33"/>
        <v>0</v>
      </c>
      <c r="R203" s="80">
        <f t="shared" si="33"/>
        <v>0</v>
      </c>
      <c r="S203" s="80">
        <f t="shared" si="33"/>
        <v>0</v>
      </c>
      <c r="T203" s="80">
        <f t="shared" si="33"/>
        <v>0</v>
      </c>
    </row>
    <row r="204" spans="3:20" s="41" customFormat="1" outlineLevel="1">
      <c r="D204" s="205" t="str">
        <f>Work_Codes!D477</f>
        <v>Information Management</v>
      </c>
      <c r="J204" s="80">
        <f t="shared" ref="J204:T204" si="34">J129+J154+J179</f>
        <v>0</v>
      </c>
      <c r="K204" s="80">
        <f t="shared" si="34"/>
        <v>0</v>
      </c>
      <c r="L204" s="80">
        <f t="shared" si="34"/>
        <v>0</v>
      </c>
      <c r="M204" s="80">
        <f t="shared" si="34"/>
        <v>0</v>
      </c>
      <c r="N204" s="80">
        <f t="shared" si="34"/>
        <v>622756.63808444212</v>
      </c>
      <c r="O204" s="80">
        <f t="shared" si="34"/>
        <v>215677.2012143833</v>
      </c>
      <c r="P204" s="80">
        <f t="shared" si="34"/>
        <v>0</v>
      </c>
      <c r="Q204" s="80">
        <f t="shared" si="34"/>
        <v>0</v>
      </c>
      <c r="R204" s="80">
        <f t="shared" si="34"/>
        <v>0</v>
      </c>
      <c r="S204" s="80">
        <f t="shared" si="34"/>
        <v>0</v>
      </c>
      <c r="T204" s="80">
        <f t="shared" si="34"/>
        <v>0</v>
      </c>
    </row>
    <row r="205" spans="3:20" s="41" customFormat="1" outlineLevel="1">
      <c r="D205" s="205" t="str">
        <f>Work_Codes!D478</f>
        <v>Information Security</v>
      </c>
      <c r="J205" s="80">
        <f t="shared" ref="J205:T205" si="35">J130+J155+J180</f>
        <v>0</v>
      </c>
      <c r="K205" s="80">
        <f t="shared" si="35"/>
        <v>0</v>
      </c>
      <c r="L205" s="80">
        <f t="shared" si="35"/>
        <v>0</v>
      </c>
      <c r="M205" s="80">
        <f t="shared" si="35"/>
        <v>0</v>
      </c>
      <c r="N205" s="80">
        <f t="shared" si="35"/>
        <v>461360.05307072215</v>
      </c>
      <c r="O205" s="80">
        <f t="shared" si="35"/>
        <v>630480.83920238959</v>
      </c>
      <c r="P205" s="80">
        <f t="shared" si="35"/>
        <v>0</v>
      </c>
      <c r="Q205" s="80">
        <f t="shared" si="35"/>
        <v>0</v>
      </c>
      <c r="R205" s="80">
        <f t="shared" si="35"/>
        <v>0</v>
      </c>
      <c r="S205" s="80">
        <f t="shared" si="35"/>
        <v>0</v>
      </c>
      <c r="T205" s="80">
        <f t="shared" si="35"/>
        <v>0</v>
      </c>
    </row>
    <row r="206" spans="3:20" s="41" customFormat="1" outlineLevel="1">
      <c r="D206" s="205" t="str">
        <f>Work_Codes!D479</f>
        <v>Network Management</v>
      </c>
      <c r="J206" s="80">
        <f t="shared" ref="J206:T206" si="36">J131+J156+J181</f>
        <v>0</v>
      </c>
      <c r="K206" s="80">
        <f t="shared" si="36"/>
        <v>0</v>
      </c>
      <c r="L206" s="80">
        <f t="shared" si="36"/>
        <v>0</v>
      </c>
      <c r="M206" s="80">
        <f t="shared" si="36"/>
        <v>0</v>
      </c>
      <c r="N206" s="80">
        <f t="shared" si="36"/>
        <v>9079.8969212850971</v>
      </c>
      <c r="O206" s="80">
        <f t="shared" si="36"/>
        <v>0</v>
      </c>
      <c r="P206" s="80">
        <f t="shared" si="36"/>
        <v>0</v>
      </c>
      <c r="Q206" s="80">
        <f t="shared" si="36"/>
        <v>0</v>
      </c>
      <c r="R206" s="80">
        <f t="shared" si="36"/>
        <v>0</v>
      </c>
      <c r="S206" s="80">
        <f t="shared" si="36"/>
        <v>0</v>
      </c>
      <c r="T206" s="80">
        <f t="shared" si="36"/>
        <v>0</v>
      </c>
    </row>
    <row r="207" spans="3:20" s="41" customFormat="1" outlineLevel="1">
      <c r="D207" s="205" t="str">
        <f>Work_Codes!D480</f>
        <v>Works &amp; Asset Management</v>
      </c>
      <c r="J207" s="80">
        <f t="shared" ref="J207:T207" si="37">J132+J157+J182</f>
        <v>0</v>
      </c>
      <c r="K207" s="80">
        <f t="shared" si="37"/>
        <v>0</v>
      </c>
      <c r="L207" s="80">
        <f t="shared" si="37"/>
        <v>0</v>
      </c>
      <c r="M207" s="80">
        <f t="shared" si="37"/>
        <v>0</v>
      </c>
      <c r="N207" s="80">
        <f t="shared" si="37"/>
        <v>27870.918712057948</v>
      </c>
      <c r="O207" s="80">
        <f t="shared" si="37"/>
        <v>788325.89210345887</v>
      </c>
      <c r="P207" s="80">
        <f t="shared" si="37"/>
        <v>0</v>
      </c>
      <c r="Q207" s="80">
        <f t="shared" si="37"/>
        <v>0</v>
      </c>
      <c r="R207" s="80">
        <f t="shared" si="37"/>
        <v>0</v>
      </c>
      <c r="S207" s="80">
        <f t="shared" si="37"/>
        <v>0</v>
      </c>
      <c r="T207" s="80">
        <f t="shared" si="37"/>
        <v>0</v>
      </c>
    </row>
    <row r="208" spans="3:20" s="41" customFormat="1" outlineLevel="1">
      <c r="D208" s="205" t="str">
        <f>Work_Codes!D481</f>
        <v>EAM / ERP</v>
      </c>
      <c r="J208" s="80">
        <f t="shared" ref="J208:T208" si="38">J133+J158+J183</f>
        <v>0</v>
      </c>
      <c r="K208" s="80">
        <f t="shared" si="38"/>
        <v>0</v>
      </c>
      <c r="L208" s="80">
        <f t="shared" si="38"/>
        <v>0</v>
      </c>
      <c r="M208" s="80">
        <f t="shared" si="38"/>
        <v>0</v>
      </c>
      <c r="N208" s="80">
        <f t="shared" si="38"/>
        <v>0</v>
      </c>
      <c r="O208" s="80">
        <f t="shared" si="38"/>
        <v>0</v>
      </c>
      <c r="P208" s="80">
        <f t="shared" si="38"/>
        <v>0</v>
      </c>
      <c r="Q208" s="80">
        <f t="shared" si="38"/>
        <v>0</v>
      </c>
      <c r="R208" s="80">
        <f t="shared" si="38"/>
        <v>0</v>
      </c>
      <c r="S208" s="80">
        <f t="shared" si="38"/>
        <v>0</v>
      </c>
      <c r="T208" s="80">
        <f t="shared" si="38"/>
        <v>0</v>
      </c>
    </row>
    <row r="209" spans="4:20" s="41" customFormat="1" outlineLevel="1">
      <c r="D209" s="205" t="str">
        <f>Work_Codes!D482</f>
        <v>Metering &amp; Customer Services</v>
      </c>
      <c r="J209" s="80">
        <f t="shared" ref="J209:T209" si="39">J134+J159+J184</f>
        <v>0</v>
      </c>
      <c r="K209" s="80">
        <f t="shared" si="39"/>
        <v>0</v>
      </c>
      <c r="L209" s="80">
        <f t="shared" si="39"/>
        <v>0</v>
      </c>
      <c r="M209" s="80">
        <f t="shared" si="39"/>
        <v>0</v>
      </c>
      <c r="N209" s="80">
        <f t="shared" si="39"/>
        <v>600784.84851911571</v>
      </c>
      <c r="O209" s="80">
        <f t="shared" si="39"/>
        <v>0</v>
      </c>
      <c r="P209" s="80">
        <f t="shared" si="39"/>
        <v>0</v>
      </c>
      <c r="Q209" s="80">
        <f t="shared" si="39"/>
        <v>0</v>
      </c>
      <c r="R209" s="80">
        <f t="shared" si="39"/>
        <v>0</v>
      </c>
      <c r="S209" s="80">
        <f t="shared" si="39"/>
        <v>0</v>
      </c>
      <c r="T209" s="80">
        <f t="shared" si="39"/>
        <v>0</v>
      </c>
    </row>
    <row r="210" spans="4:20" s="41" customFormat="1" outlineLevel="1">
      <c r="D210" s="205" t="str">
        <f>Work_Codes!D483</f>
        <v>Information Technology</v>
      </c>
      <c r="J210" s="80">
        <f t="shared" ref="J210:T210" si="40">J135+J160+J185</f>
        <v>0</v>
      </c>
      <c r="K210" s="80">
        <f t="shared" si="40"/>
        <v>0</v>
      </c>
      <c r="L210" s="80">
        <f t="shared" si="40"/>
        <v>0</v>
      </c>
      <c r="M210" s="80">
        <f t="shared" si="40"/>
        <v>0</v>
      </c>
      <c r="N210" s="80">
        <f t="shared" si="40"/>
        <v>4350580.0838668263</v>
      </c>
      <c r="O210" s="80">
        <f t="shared" si="40"/>
        <v>1181080.9021206954</v>
      </c>
      <c r="P210" s="80">
        <f t="shared" si="40"/>
        <v>0</v>
      </c>
      <c r="Q210" s="80">
        <f t="shared" si="40"/>
        <v>0</v>
      </c>
      <c r="R210" s="80">
        <f t="shared" si="40"/>
        <v>0</v>
      </c>
      <c r="S210" s="80">
        <f t="shared" si="40"/>
        <v>0</v>
      </c>
      <c r="T210" s="80">
        <f t="shared" si="40"/>
        <v>0</v>
      </c>
    </row>
    <row r="211" spans="4:20" s="41" customFormat="1" outlineLevel="1">
      <c r="D211" s="205" t="str">
        <f>Work_Codes!D484</f>
        <v>Comms</v>
      </c>
      <c r="J211" s="80">
        <f t="shared" ref="J211:T211" si="41">J136+J161+J186</f>
        <v>0</v>
      </c>
      <c r="K211" s="80">
        <f t="shared" si="41"/>
        <v>0</v>
      </c>
      <c r="L211" s="80">
        <f t="shared" si="41"/>
        <v>0</v>
      </c>
      <c r="M211" s="80">
        <f t="shared" si="41"/>
        <v>0</v>
      </c>
      <c r="N211" s="80">
        <f t="shared" si="41"/>
        <v>0</v>
      </c>
      <c r="O211" s="80">
        <f t="shared" si="41"/>
        <v>0</v>
      </c>
      <c r="P211" s="80">
        <f t="shared" si="41"/>
        <v>0</v>
      </c>
      <c r="Q211" s="80">
        <f t="shared" si="41"/>
        <v>0</v>
      </c>
      <c r="R211" s="80">
        <f t="shared" si="41"/>
        <v>0</v>
      </c>
      <c r="S211" s="80">
        <f t="shared" si="41"/>
        <v>0</v>
      </c>
      <c r="T211" s="80">
        <f t="shared" si="41"/>
        <v>0</v>
      </c>
    </row>
    <row r="212" spans="4:20" s="41" customFormat="1" outlineLevel="1">
      <c r="D212" s="205" t="str">
        <f>Work_Codes!D485</f>
        <v>Workforce collaboration</v>
      </c>
      <c r="J212" s="80">
        <f t="shared" ref="J212:T212" si="42">J137+J162+J187</f>
        <v>0</v>
      </c>
      <c r="K212" s="80">
        <f t="shared" si="42"/>
        <v>0</v>
      </c>
      <c r="L212" s="80">
        <f t="shared" si="42"/>
        <v>0</v>
      </c>
      <c r="M212" s="80">
        <f t="shared" si="42"/>
        <v>0</v>
      </c>
      <c r="N212" s="80">
        <f t="shared" si="42"/>
        <v>0</v>
      </c>
      <c r="O212" s="80">
        <f t="shared" si="42"/>
        <v>0</v>
      </c>
      <c r="P212" s="80">
        <f t="shared" si="42"/>
        <v>1310846.3513729158</v>
      </c>
      <c r="Q212" s="80">
        <f t="shared" si="42"/>
        <v>2685158.8228555648</v>
      </c>
      <c r="R212" s="80">
        <f t="shared" si="42"/>
        <v>1321060.6282820329</v>
      </c>
      <c r="S212" s="80">
        <f t="shared" si="42"/>
        <v>635792.92153195769</v>
      </c>
      <c r="T212" s="80">
        <f t="shared" si="42"/>
        <v>638730.23914618534</v>
      </c>
    </row>
    <row r="213" spans="4:20" s="41" customFormat="1" outlineLevel="1">
      <c r="D213" s="205" t="str">
        <f>Work_Codes!D486</f>
        <v>Corporate Enablement</v>
      </c>
      <c r="J213" s="80">
        <f t="shared" ref="J213:T213" si="43">J138+J163+J188</f>
        <v>0</v>
      </c>
      <c r="K213" s="80">
        <f t="shared" si="43"/>
        <v>0</v>
      </c>
      <c r="L213" s="80">
        <f t="shared" si="43"/>
        <v>0</v>
      </c>
      <c r="M213" s="80">
        <f t="shared" si="43"/>
        <v>0</v>
      </c>
      <c r="N213" s="80">
        <f t="shared" si="43"/>
        <v>0</v>
      </c>
      <c r="O213" s="80">
        <f t="shared" si="43"/>
        <v>0</v>
      </c>
      <c r="P213" s="80">
        <f t="shared" si="43"/>
        <v>864611.3537733648</v>
      </c>
      <c r="Q213" s="80">
        <f t="shared" si="43"/>
        <v>1445653.4225090076</v>
      </c>
      <c r="R213" s="80">
        <f t="shared" si="43"/>
        <v>1161798.0165148848</v>
      </c>
      <c r="S213" s="80">
        <f t="shared" si="43"/>
        <v>1458914.2095657936</v>
      </c>
      <c r="T213" s="80">
        <f t="shared" si="43"/>
        <v>879392.5730324965</v>
      </c>
    </row>
    <row r="214" spans="4:20" s="41" customFormat="1" outlineLevel="1">
      <c r="D214" s="205" t="str">
        <f>Work_Codes!D487</f>
        <v>Corporate Communications</v>
      </c>
      <c r="J214" s="80">
        <f t="shared" ref="J214:T214" si="44">J139+J164+J189</f>
        <v>0</v>
      </c>
      <c r="K214" s="80">
        <f t="shared" si="44"/>
        <v>0</v>
      </c>
      <c r="L214" s="80">
        <f t="shared" si="44"/>
        <v>0</v>
      </c>
      <c r="M214" s="80">
        <f t="shared" si="44"/>
        <v>0</v>
      </c>
      <c r="N214" s="80">
        <f t="shared" si="44"/>
        <v>0</v>
      </c>
      <c r="O214" s="80">
        <f t="shared" si="44"/>
        <v>0</v>
      </c>
      <c r="P214" s="80">
        <f t="shared" si="44"/>
        <v>1778679.2803380634</v>
      </c>
      <c r="Q214" s="80">
        <f t="shared" si="44"/>
        <v>706896.81944723998</v>
      </c>
      <c r="R214" s="80">
        <f t="shared" si="44"/>
        <v>710121.20706732431</v>
      </c>
      <c r="S214" s="80">
        <f t="shared" si="44"/>
        <v>713381.09019142715</v>
      </c>
      <c r="T214" s="80">
        <f t="shared" si="44"/>
        <v>716676.85956996493</v>
      </c>
    </row>
    <row r="215" spans="4:20" s="41" customFormat="1" outlineLevel="1">
      <c r="D215" s="205" t="str">
        <f>Work_Codes!D488</f>
        <v>Information Management</v>
      </c>
      <c r="J215" s="80">
        <f t="shared" ref="J215:T215" si="45">J140+J165+J190</f>
        <v>0</v>
      </c>
      <c r="K215" s="80">
        <f t="shared" si="45"/>
        <v>0</v>
      </c>
      <c r="L215" s="80">
        <f t="shared" si="45"/>
        <v>0</v>
      </c>
      <c r="M215" s="80">
        <f t="shared" si="45"/>
        <v>0</v>
      </c>
      <c r="N215" s="80">
        <f t="shared" si="45"/>
        <v>0</v>
      </c>
      <c r="O215" s="80">
        <f t="shared" si="45"/>
        <v>0</v>
      </c>
      <c r="P215" s="80">
        <f t="shared" si="45"/>
        <v>2260891.8932596087</v>
      </c>
      <c r="Q215" s="80">
        <f t="shared" si="45"/>
        <v>3930120.9409888093</v>
      </c>
      <c r="R215" s="80">
        <f t="shared" si="45"/>
        <v>4049249.4259616397</v>
      </c>
      <c r="S215" s="80">
        <f t="shared" si="45"/>
        <v>2288674.2442281879</v>
      </c>
      <c r="T215" s="80">
        <f t="shared" si="45"/>
        <v>766909.05974161613</v>
      </c>
    </row>
    <row r="216" spans="4:20" s="41" customFormat="1" outlineLevel="1">
      <c r="D216" s="205" t="str">
        <f>Work_Codes!D489</f>
        <v>Customer Information Systems</v>
      </c>
      <c r="J216" s="80">
        <f t="shared" ref="J216:T216" si="46">J141+J166+J191</f>
        <v>0</v>
      </c>
      <c r="K216" s="80">
        <f t="shared" si="46"/>
        <v>0</v>
      </c>
      <c r="L216" s="80">
        <f t="shared" si="46"/>
        <v>0</v>
      </c>
      <c r="M216" s="80">
        <f t="shared" si="46"/>
        <v>0</v>
      </c>
      <c r="N216" s="80">
        <f t="shared" si="46"/>
        <v>0</v>
      </c>
      <c r="O216" s="80">
        <f t="shared" si="46"/>
        <v>0</v>
      </c>
      <c r="P216" s="80">
        <f t="shared" si="46"/>
        <v>815907.92676057946</v>
      </c>
      <c r="Q216" s="80">
        <f t="shared" si="46"/>
        <v>818531.99009656371</v>
      </c>
      <c r="R216" s="80">
        <f t="shared" si="46"/>
        <v>614801.65072542895</v>
      </c>
      <c r="S216" s="80">
        <f t="shared" si="46"/>
        <v>480374.19095459068</v>
      </c>
      <c r="T216" s="80">
        <f t="shared" si="46"/>
        <v>195335.45829554583</v>
      </c>
    </row>
    <row r="217" spans="4:20" s="41" customFormat="1" outlineLevel="1">
      <c r="D217" s="205" t="str">
        <f>Work_Codes!D490</f>
        <v>TAM Apps</v>
      </c>
      <c r="J217" s="80">
        <f t="shared" ref="J217:T217" si="47">J142+J167+J192</f>
        <v>0</v>
      </c>
      <c r="K217" s="80">
        <f t="shared" si="47"/>
        <v>0</v>
      </c>
      <c r="L217" s="80">
        <f t="shared" si="47"/>
        <v>0</v>
      </c>
      <c r="M217" s="80">
        <f t="shared" si="47"/>
        <v>0</v>
      </c>
      <c r="N217" s="80">
        <f t="shared" si="47"/>
        <v>0</v>
      </c>
      <c r="O217" s="80">
        <f t="shared" si="47"/>
        <v>0</v>
      </c>
      <c r="P217" s="80">
        <f t="shared" si="47"/>
        <v>435797.86323265487</v>
      </c>
      <c r="Q217" s="80">
        <f t="shared" si="47"/>
        <v>437199.44441271445</v>
      </c>
      <c r="R217" s="80">
        <f t="shared" si="47"/>
        <v>548992.06760876533</v>
      </c>
      <c r="S217" s="80">
        <f t="shared" si="47"/>
        <v>661814.72537274589</v>
      </c>
      <c r="T217" s="80">
        <f t="shared" si="47"/>
        <v>664872.26185098873</v>
      </c>
    </row>
    <row r="218" spans="4:20" s="41" customFormat="1" outlineLevel="1">
      <c r="D218" s="205" t="str">
        <f>Work_Codes!D491</f>
        <v>TAM Infra</v>
      </c>
      <c r="J218" s="80">
        <f t="shared" ref="J218:T218" si="48">J143+J168+J193</f>
        <v>0</v>
      </c>
      <c r="K218" s="80">
        <f t="shared" si="48"/>
        <v>0</v>
      </c>
      <c r="L218" s="80">
        <f t="shared" si="48"/>
        <v>0</v>
      </c>
      <c r="M218" s="80">
        <f t="shared" si="48"/>
        <v>0</v>
      </c>
      <c r="N218" s="80">
        <f t="shared" si="48"/>
        <v>0</v>
      </c>
      <c r="O218" s="80">
        <f t="shared" si="48"/>
        <v>0</v>
      </c>
      <c r="P218" s="80">
        <f t="shared" si="48"/>
        <v>2155651.8082693163</v>
      </c>
      <c r="Q218" s="80">
        <f t="shared" si="48"/>
        <v>483687.11491927027</v>
      </c>
      <c r="R218" s="80">
        <f t="shared" si="48"/>
        <v>2904956.8383099549</v>
      </c>
      <c r="S218" s="80">
        <f t="shared" si="48"/>
        <v>686776.84262662253</v>
      </c>
      <c r="T218" s="80">
        <f t="shared" si="48"/>
        <v>800884.24909312883</v>
      </c>
    </row>
    <row r="219" spans="4:20" s="41" customFormat="1" outlineLevel="1">
      <c r="D219" s="205" t="str">
        <f>Work_Codes!D492</f>
        <v>Cyber Security</v>
      </c>
      <c r="J219" s="80">
        <f t="shared" ref="J219:T219" si="49">J144+J169+J194</f>
        <v>0</v>
      </c>
      <c r="K219" s="80">
        <f t="shared" si="49"/>
        <v>0</v>
      </c>
      <c r="L219" s="80">
        <f t="shared" si="49"/>
        <v>0</v>
      </c>
      <c r="M219" s="80">
        <f t="shared" si="49"/>
        <v>0</v>
      </c>
      <c r="N219" s="80">
        <f t="shared" si="49"/>
        <v>0</v>
      </c>
      <c r="O219" s="80">
        <f t="shared" si="49"/>
        <v>0</v>
      </c>
      <c r="P219" s="80">
        <f t="shared" si="49"/>
        <v>1590861.0112008392</v>
      </c>
      <c r="Q219" s="80">
        <f t="shared" si="49"/>
        <v>1595977.4219075143</v>
      </c>
      <c r="R219" s="80">
        <f t="shared" si="49"/>
        <v>1603257.1969744845</v>
      </c>
      <c r="S219" s="80">
        <f t="shared" si="49"/>
        <v>1610617.1110680206</v>
      </c>
      <c r="T219" s="80">
        <f t="shared" si="49"/>
        <v>1618058.0463944429</v>
      </c>
    </row>
    <row r="220" spans="4:20" s="41" customFormat="1" outlineLevel="1">
      <c r="D220" s="205" t="str">
        <f>Work_Codes!D493</f>
        <v>Intelligent Networks</v>
      </c>
      <c r="J220" s="80">
        <f t="shared" ref="J220:T220" si="50">J145+J170+J195</f>
        <v>0</v>
      </c>
      <c r="K220" s="80">
        <f t="shared" si="50"/>
        <v>0</v>
      </c>
      <c r="L220" s="80">
        <f t="shared" si="50"/>
        <v>0</v>
      </c>
      <c r="M220" s="80">
        <f t="shared" si="50"/>
        <v>0</v>
      </c>
      <c r="N220" s="80">
        <f t="shared" si="50"/>
        <v>0</v>
      </c>
      <c r="O220" s="80">
        <f t="shared" si="50"/>
        <v>0</v>
      </c>
      <c r="P220" s="80">
        <f t="shared" si="50"/>
        <v>3372084.6991532627</v>
      </c>
      <c r="Q220" s="80">
        <f t="shared" si="50"/>
        <v>4059515.7012838311</v>
      </c>
      <c r="R220" s="80">
        <f t="shared" si="50"/>
        <v>5437376.6403581649</v>
      </c>
      <c r="S220" s="80">
        <f t="shared" si="50"/>
        <v>682792.18337587942</v>
      </c>
      <c r="T220" s="80">
        <f t="shared" si="50"/>
        <v>0</v>
      </c>
    </row>
    <row r="221" spans="4:20" s="41" customFormat="1" outlineLevel="1">
      <c r="D221" s="205" t="str">
        <f>Work_Codes!D494</f>
        <v>Smart Metering</v>
      </c>
      <c r="J221" s="80">
        <f t="shared" ref="J221:T221" si="51">J146+J171+J196</f>
        <v>0</v>
      </c>
      <c r="K221" s="80">
        <f t="shared" si="51"/>
        <v>0</v>
      </c>
      <c r="L221" s="80">
        <f t="shared" si="51"/>
        <v>0</v>
      </c>
      <c r="M221" s="80">
        <f t="shared" si="51"/>
        <v>0</v>
      </c>
      <c r="N221" s="80">
        <f t="shared" si="51"/>
        <v>0</v>
      </c>
      <c r="O221" s="80">
        <f t="shared" si="51"/>
        <v>0</v>
      </c>
      <c r="P221" s="80">
        <f t="shared" si="51"/>
        <v>497076.21384182991</v>
      </c>
      <c r="Q221" s="80">
        <f t="shared" si="51"/>
        <v>1203871.6654343302</v>
      </c>
      <c r="R221" s="80">
        <f t="shared" si="51"/>
        <v>506009.58907442715</v>
      </c>
      <c r="S221" s="80">
        <f t="shared" si="51"/>
        <v>50833.2477200625</v>
      </c>
      <c r="T221" s="80">
        <f t="shared" si="51"/>
        <v>510680.9367203812</v>
      </c>
    </row>
    <row r="222" spans="4:20" s="41" customFormat="1" outlineLevel="1">
      <c r="D222" s="205" t="str">
        <f>Work_Codes!D495</f>
        <v>IT Category 20</v>
      </c>
      <c r="J222" s="80">
        <f t="shared" ref="J222:T222" si="52">J147+J172+J197</f>
        <v>0</v>
      </c>
      <c r="K222" s="80">
        <f t="shared" si="52"/>
        <v>0</v>
      </c>
      <c r="L222" s="80">
        <f t="shared" si="52"/>
        <v>0</v>
      </c>
      <c r="M222" s="80">
        <f t="shared" si="52"/>
        <v>0</v>
      </c>
      <c r="N222" s="80">
        <f t="shared" si="52"/>
        <v>0</v>
      </c>
      <c r="O222" s="80">
        <f t="shared" si="52"/>
        <v>0</v>
      </c>
      <c r="P222" s="80">
        <f t="shared" si="52"/>
        <v>0</v>
      </c>
      <c r="Q222" s="80">
        <f t="shared" si="52"/>
        <v>0</v>
      </c>
      <c r="R222" s="80">
        <f t="shared" si="52"/>
        <v>0</v>
      </c>
      <c r="S222" s="80">
        <f t="shared" si="52"/>
        <v>0</v>
      </c>
      <c r="T222" s="80">
        <f t="shared" si="52"/>
        <v>0</v>
      </c>
    </row>
    <row r="223" spans="4:20" s="41" customFormat="1" ht="5.9" customHeight="1" outlineLevel="1"/>
    <row r="224" spans="4:20" s="41" customFormat="1" outlineLevel="1">
      <c r="D224" s="250" t="str">
        <f>C201</f>
        <v>Total Direct Capex including Escalation (Non CPI)</v>
      </c>
      <c r="E224" s="250"/>
      <c r="F224" s="250"/>
      <c r="G224" s="250"/>
      <c r="H224" s="250"/>
      <c r="I224" s="250"/>
      <c r="J224" s="101">
        <f t="shared" ref="J224:T224" si="53">SUM(J203:J223)</f>
        <v>0</v>
      </c>
      <c r="K224" s="101">
        <f t="shared" si="53"/>
        <v>0</v>
      </c>
      <c r="L224" s="101">
        <f t="shared" si="53"/>
        <v>0</v>
      </c>
      <c r="M224" s="101">
        <f t="shared" si="53"/>
        <v>0</v>
      </c>
      <c r="N224" s="101">
        <f t="shared" si="53"/>
        <v>6495387.0956881428</v>
      </c>
      <c r="O224" s="101">
        <f t="shared" si="53"/>
        <v>3247663.2930309507</v>
      </c>
      <c r="P224" s="101">
        <f t="shared" si="53"/>
        <v>15082408.401202435</v>
      </c>
      <c r="Q224" s="101">
        <f t="shared" si="53"/>
        <v>17366613.343854845</v>
      </c>
      <c r="R224" s="101">
        <f t="shared" si="53"/>
        <v>18857623.260877103</v>
      </c>
      <c r="S224" s="101">
        <f t="shared" si="53"/>
        <v>9269970.7666352876</v>
      </c>
      <c r="T224" s="101">
        <f t="shared" si="53"/>
        <v>6791539.6838447517</v>
      </c>
    </row>
    <row r="225" spans="2:20" s="41" customFormat="1" outlineLevel="1">
      <c r="B225" s="109"/>
      <c r="C225" s="109"/>
      <c r="D225" s="109"/>
      <c r="E225" s="109"/>
      <c r="F225" s="109"/>
      <c r="G225" s="109"/>
      <c r="H225" s="109"/>
      <c r="I225" s="109"/>
      <c r="J225" s="109"/>
      <c r="K225" s="109"/>
      <c r="L225" s="109"/>
      <c r="M225" s="109"/>
      <c r="N225" s="109"/>
      <c r="O225" s="109"/>
      <c r="P225" s="109"/>
      <c r="Q225" s="109"/>
      <c r="R225" s="109"/>
      <c r="S225" s="109"/>
      <c r="T225" s="109"/>
    </row>
    <row r="226" spans="2:20" s="41" customFormat="1" outlineLevel="1"/>
    <row r="227" spans="2:20" s="41" customFormat="1" outlineLevel="1">
      <c r="C227" s="50" t="s">
        <v>195</v>
      </c>
    </row>
    <row r="228" spans="2:20" s="41" customFormat="1" ht="5.9" customHeight="1" outlineLevel="2"/>
    <row r="229" spans="2:20" s="41" customFormat="1" outlineLevel="2">
      <c r="D229" s="50" t="s">
        <v>215</v>
      </c>
    </row>
    <row r="230" spans="2:20" s="41" customFormat="1" ht="5.9" customHeight="1" outlineLevel="2"/>
    <row r="231" spans="2:20" s="41" customFormat="1" ht="11.5" customHeight="1" outlineLevel="2">
      <c r="E231" s="251" t="str">
        <f>GC!C40</f>
        <v>Transmission pipelines</v>
      </c>
      <c r="F231" s="251"/>
      <c r="G231" s="251"/>
      <c r="H231" s="251"/>
      <c r="I231" s="251"/>
      <c r="J231" s="80">
        <f ca="1">SUMPRODUCT((Work_Codes!$N$473:$Y$473=$E231)*(Work_Codes!$N$476:$Y$495)*(J$203:J$222))</f>
        <v>0</v>
      </c>
      <c r="K231" s="80">
        <f ca="1">SUMPRODUCT((Work_Codes!$N$473:$Y$473=$E231)*(Work_Codes!$N$476:$Y$495)*(K$203:K$222))</f>
        <v>0</v>
      </c>
      <c r="L231" s="80">
        <f ca="1">SUMPRODUCT((Work_Codes!$N$473:$Y$473=$E231)*(Work_Codes!$N$476:$Y$495)*(L$203:L$222))</f>
        <v>0</v>
      </c>
      <c r="M231" s="80">
        <f ca="1">SUMPRODUCT((Work_Codes!$N$473:$Y$473=$E231)*(Work_Codes!$N$476:$Y$495)*(M$203:M$222))</f>
        <v>0</v>
      </c>
      <c r="N231" s="80">
        <f ca="1">SUMPRODUCT((Work_Codes!$N$473:$Y$473=$E231)*(Work_Codes!$N$476:$Y$495)*(N$203:N$222))</f>
        <v>0</v>
      </c>
      <c r="O231" s="80">
        <f ca="1">SUMPRODUCT((Work_Codes!$N$473:$Y$473=$E231)*(Work_Codes!$N$476:$Y$495)*(O$203:O$222))</f>
        <v>0</v>
      </c>
      <c r="P231" s="80">
        <f ca="1">SUMPRODUCT((Work_Codes!$N$473:$Y$473=$E231)*(Work_Codes!$N$476:$Y$495)*(P$203:P$222))</f>
        <v>0</v>
      </c>
      <c r="Q231" s="80">
        <f ca="1">SUMPRODUCT((Work_Codes!$N$473:$Y$473=$E231)*(Work_Codes!$N$476:$Y$495)*(Q$203:Q$222))</f>
        <v>0</v>
      </c>
      <c r="R231" s="80">
        <f ca="1">SUMPRODUCT((Work_Codes!$N$473:$Y$473=$E231)*(Work_Codes!$N$476:$Y$495)*(R$203:R$222))</f>
        <v>0</v>
      </c>
      <c r="S231" s="80">
        <f ca="1">SUMPRODUCT((Work_Codes!$N$473:$Y$473=$E231)*(Work_Codes!$N$476:$Y$495)*(S$203:S$222))</f>
        <v>0</v>
      </c>
      <c r="T231" s="80">
        <f ca="1">SUMPRODUCT((Work_Codes!$N$473:$Y$473=$E231)*(Work_Codes!$N$476:$Y$495)*(T$203:T$222))</f>
        <v>0</v>
      </c>
    </row>
    <row r="232" spans="2:20" s="41" customFormat="1" ht="11.5" customHeight="1" outlineLevel="2">
      <c r="E232" s="251" t="str">
        <f>GC!C41</f>
        <v>Distribution pipelines</v>
      </c>
      <c r="F232" s="251"/>
      <c r="G232" s="251"/>
      <c r="H232" s="251"/>
      <c r="I232" s="251"/>
      <c r="J232" s="80">
        <f ca="1">SUMPRODUCT((Work_Codes!$N$473:$Y$473=$E232)*(Work_Codes!$N$476:$Y$495)*(J$203:J$222))</f>
        <v>0</v>
      </c>
      <c r="K232" s="80">
        <f ca="1">SUMPRODUCT((Work_Codes!$N$473:$Y$473=$E232)*(Work_Codes!$N$476:$Y$495)*(K$203:K$222))</f>
        <v>0</v>
      </c>
      <c r="L232" s="80">
        <f ca="1">SUMPRODUCT((Work_Codes!$N$473:$Y$473=$E232)*(Work_Codes!$N$476:$Y$495)*(L$203:L$222))</f>
        <v>0</v>
      </c>
      <c r="M232" s="80">
        <f ca="1">SUMPRODUCT((Work_Codes!$N$473:$Y$473=$E232)*(Work_Codes!$N$476:$Y$495)*(M$203:M$222))</f>
        <v>0</v>
      </c>
      <c r="N232" s="80">
        <f ca="1">SUMPRODUCT((Work_Codes!$N$473:$Y$473=$E232)*(Work_Codes!$N$476:$Y$495)*(N$203:N$222))</f>
        <v>0</v>
      </c>
      <c r="O232" s="80">
        <f ca="1">SUMPRODUCT((Work_Codes!$N$473:$Y$473=$E232)*(Work_Codes!$N$476:$Y$495)*(O$203:O$222))</f>
        <v>0</v>
      </c>
      <c r="P232" s="80">
        <f ca="1">SUMPRODUCT((Work_Codes!$N$473:$Y$473=$E232)*(Work_Codes!$N$476:$Y$495)*(P$203:P$222))</f>
        <v>0</v>
      </c>
      <c r="Q232" s="80">
        <f ca="1">SUMPRODUCT((Work_Codes!$N$473:$Y$473=$E232)*(Work_Codes!$N$476:$Y$495)*(Q$203:Q$222))</f>
        <v>0</v>
      </c>
      <c r="R232" s="80">
        <f ca="1">SUMPRODUCT((Work_Codes!$N$473:$Y$473=$E232)*(Work_Codes!$N$476:$Y$495)*(R$203:R$222))</f>
        <v>0</v>
      </c>
      <c r="S232" s="80">
        <f ca="1">SUMPRODUCT((Work_Codes!$N$473:$Y$473=$E232)*(Work_Codes!$N$476:$Y$495)*(S$203:S$222))</f>
        <v>0</v>
      </c>
      <c r="T232" s="80">
        <f ca="1">SUMPRODUCT((Work_Codes!$N$473:$Y$473=$E232)*(Work_Codes!$N$476:$Y$495)*(T$203:T$222))</f>
        <v>0</v>
      </c>
    </row>
    <row r="233" spans="2:20" s="41" customFormat="1" ht="11.5" customHeight="1" outlineLevel="2">
      <c r="E233" s="251" t="str">
        <f>GC!C42</f>
        <v>Service pipes</v>
      </c>
      <c r="F233" s="251"/>
      <c r="G233" s="251"/>
      <c r="H233" s="251"/>
      <c r="I233" s="251"/>
      <c r="J233" s="80">
        <f ca="1">SUMPRODUCT((Work_Codes!$N$473:$Y$473=$E233)*(Work_Codes!$N$476:$Y$495)*(J$203:J$222))</f>
        <v>0</v>
      </c>
      <c r="K233" s="80">
        <f ca="1">SUMPRODUCT((Work_Codes!$N$473:$Y$473=$E233)*(Work_Codes!$N$476:$Y$495)*(K$203:K$222))</f>
        <v>0</v>
      </c>
      <c r="L233" s="80">
        <f ca="1">SUMPRODUCT((Work_Codes!$N$473:$Y$473=$E233)*(Work_Codes!$N$476:$Y$495)*(L$203:L$222))</f>
        <v>0</v>
      </c>
      <c r="M233" s="80">
        <f ca="1">SUMPRODUCT((Work_Codes!$N$473:$Y$473=$E233)*(Work_Codes!$N$476:$Y$495)*(M$203:M$222))</f>
        <v>0</v>
      </c>
      <c r="N233" s="80">
        <f ca="1">SUMPRODUCT((Work_Codes!$N$473:$Y$473=$E233)*(Work_Codes!$N$476:$Y$495)*(N$203:N$222))</f>
        <v>0</v>
      </c>
      <c r="O233" s="80">
        <f ca="1">SUMPRODUCT((Work_Codes!$N$473:$Y$473=$E233)*(Work_Codes!$N$476:$Y$495)*(O$203:O$222))</f>
        <v>0</v>
      </c>
      <c r="P233" s="80">
        <f ca="1">SUMPRODUCT((Work_Codes!$N$473:$Y$473=$E233)*(Work_Codes!$N$476:$Y$495)*(P$203:P$222))</f>
        <v>0</v>
      </c>
      <c r="Q233" s="80">
        <f ca="1">SUMPRODUCT((Work_Codes!$N$473:$Y$473=$E233)*(Work_Codes!$N$476:$Y$495)*(Q$203:Q$222))</f>
        <v>0</v>
      </c>
      <c r="R233" s="80">
        <f ca="1">SUMPRODUCT((Work_Codes!$N$473:$Y$473=$E233)*(Work_Codes!$N$476:$Y$495)*(R$203:R$222))</f>
        <v>0</v>
      </c>
      <c r="S233" s="80">
        <f ca="1">SUMPRODUCT((Work_Codes!$N$473:$Y$473=$E233)*(Work_Codes!$N$476:$Y$495)*(S$203:S$222))</f>
        <v>0</v>
      </c>
      <c r="T233" s="80">
        <f ca="1">SUMPRODUCT((Work_Codes!$N$473:$Y$473=$E233)*(Work_Codes!$N$476:$Y$495)*(T$203:T$222))</f>
        <v>0</v>
      </c>
    </row>
    <row r="234" spans="2:20" s="41" customFormat="1" ht="11.5" customHeight="1" outlineLevel="2">
      <c r="E234" s="251" t="str">
        <f>GC!C43</f>
        <v>Cathodic protection</v>
      </c>
      <c r="F234" s="251"/>
      <c r="G234" s="251"/>
      <c r="H234" s="251"/>
      <c r="I234" s="251"/>
      <c r="J234" s="80">
        <f ca="1">SUMPRODUCT((Work_Codes!$N$473:$Y$473=$E234)*(Work_Codes!$N$476:$Y$495)*(J$203:J$222))</f>
        <v>0</v>
      </c>
      <c r="K234" s="80">
        <f ca="1">SUMPRODUCT((Work_Codes!$N$473:$Y$473=$E234)*(Work_Codes!$N$476:$Y$495)*(K$203:K$222))</f>
        <v>0</v>
      </c>
      <c r="L234" s="80">
        <f ca="1">SUMPRODUCT((Work_Codes!$N$473:$Y$473=$E234)*(Work_Codes!$N$476:$Y$495)*(L$203:L$222))</f>
        <v>0</v>
      </c>
      <c r="M234" s="80">
        <f ca="1">SUMPRODUCT((Work_Codes!$N$473:$Y$473=$E234)*(Work_Codes!$N$476:$Y$495)*(M$203:M$222))</f>
        <v>0</v>
      </c>
      <c r="N234" s="80">
        <f ca="1">SUMPRODUCT((Work_Codes!$N$473:$Y$473=$E234)*(Work_Codes!$N$476:$Y$495)*(N$203:N$222))</f>
        <v>0</v>
      </c>
      <c r="O234" s="80">
        <f ca="1">SUMPRODUCT((Work_Codes!$N$473:$Y$473=$E234)*(Work_Codes!$N$476:$Y$495)*(O$203:O$222))</f>
        <v>0</v>
      </c>
      <c r="P234" s="80">
        <f ca="1">SUMPRODUCT((Work_Codes!$N$473:$Y$473=$E234)*(Work_Codes!$N$476:$Y$495)*(P$203:P$222))</f>
        <v>0</v>
      </c>
      <c r="Q234" s="80">
        <f ca="1">SUMPRODUCT((Work_Codes!$N$473:$Y$473=$E234)*(Work_Codes!$N$476:$Y$495)*(Q$203:Q$222))</f>
        <v>0</v>
      </c>
      <c r="R234" s="80">
        <f ca="1">SUMPRODUCT((Work_Codes!$N$473:$Y$473=$E234)*(Work_Codes!$N$476:$Y$495)*(R$203:R$222))</f>
        <v>0</v>
      </c>
      <c r="S234" s="80">
        <f ca="1">SUMPRODUCT((Work_Codes!$N$473:$Y$473=$E234)*(Work_Codes!$N$476:$Y$495)*(S$203:S$222))</f>
        <v>0</v>
      </c>
      <c r="T234" s="80">
        <f ca="1">SUMPRODUCT((Work_Codes!$N$473:$Y$473=$E234)*(Work_Codes!$N$476:$Y$495)*(T$203:T$222))</f>
        <v>0</v>
      </c>
    </row>
    <row r="235" spans="2:20" s="41" customFormat="1" ht="11.5" customHeight="1" outlineLevel="2">
      <c r="E235" s="251" t="str">
        <f>GC!C44</f>
        <v>Supply Regulators / Valve Stations</v>
      </c>
      <c r="F235" s="251"/>
      <c r="G235" s="251"/>
      <c r="H235" s="251"/>
      <c r="I235" s="251"/>
      <c r="J235" s="80">
        <f ca="1">SUMPRODUCT((Work_Codes!$N$473:$Y$473=$E235)*(Work_Codes!$N$476:$Y$495)*(J$203:J$222))</f>
        <v>0</v>
      </c>
      <c r="K235" s="80">
        <f ca="1">SUMPRODUCT((Work_Codes!$N$473:$Y$473=$E235)*(Work_Codes!$N$476:$Y$495)*(K$203:K$222))</f>
        <v>0</v>
      </c>
      <c r="L235" s="80">
        <f ca="1">SUMPRODUCT((Work_Codes!$N$473:$Y$473=$E235)*(Work_Codes!$N$476:$Y$495)*(L$203:L$222))</f>
        <v>0</v>
      </c>
      <c r="M235" s="80">
        <f ca="1">SUMPRODUCT((Work_Codes!$N$473:$Y$473=$E235)*(Work_Codes!$N$476:$Y$495)*(M$203:M$222))</f>
        <v>0</v>
      </c>
      <c r="N235" s="80">
        <f ca="1">SUMPRODUCT((Work_Codes!$N$473:$Y$473=$E235)*(Work_Codes!$N$476:$Y$495)*(N$203:N$222))</f>
        <v>0</v>
      </c>
      <c r="O235" s="80">
        <f ca="1">SUMPRODUCT((Work_Codes!$N$473:$Y$473=$E235)*(Work_Codes!$N$476:$Y$495)*(O$203:O$222))</f>
        <v>0</v>
      </c>
      <c r="P235" s="80">
        <f ca="1">SUMPRODUCT((Work_Codes!$N$473:$Y$473=$E235)*(Work_Codes!$N$476:$Y$495)*(P$203:P$222))</f>
        <v>0</v>
      </c>
      <c r="Q235" s="80">
        <f ca="1">SUMPRODUCT((Work_Codes!$N$473:$Y$473=$E235)*(Work_Codes!$N$476:$Y$495)*(Q$203:Q$222))</f>
        <v>0</v>
      </c>
      <c r="R235" s="80">
        <f ca="1">SUMPRODUCT((Work_Codes!$N$473:$Y$473=$E235)*(Work_Codes!$N$476:$Y$495)*(R$203:R$222))</f>
        <v>0</v>
      </c>
      <c r="S235" s="80">
        <f ca="1">SUMPRODUCT((Work_Codes!$N$473:$Y$473=$E235)*(Work_Codes!$N$476:$Y$495)*(S$203:S$222))</f>
        <v>0</v>
      </c>
      <c r="T235" s="80">
        <f ca="1">SUMPRODUCT((Work_Codes!$N$473:$Y$473=$E235)*(Work_Codes!$N$476:$Y$495)*(T$203:T$222))</f>
        <v>0</v>
      </c>
    </row>
    <row r="236" spans="2:20" s="41" customFormat="1" ht="11.5" customHeight="1" outlineLevel="2">
      <c r="E236" s="251" t="str">
        <f>GC!C45</f>
        <v>Meters</v>
      </c>
      <c r="F236" s="251"/>
      <c r="G236" s="251"/>
      <c r="H236" s="251"/>
      <c r="I236" s="251"/>
      <c r="J236" s="80">
        <f ca="1">SUMPRODUCT((Work_Codes!$N$473:$Y$473=$E236)*(Work_Codes!$N$476:$Y$495)*(J$203:J$222))</f>
        <v>0</v>
      </c>
      <c r="K236" s="80">
        <f ca="1">SUMPRODUCT((Work_Codes!$N$473:$Y$473=$E236)*(Work_Codes!$N$476:$Y$495)*(K$203:K$222))</f>
        <v>0</v>
      </c>
      <c r="L236" s="80">
        <f ca="1">SUMPRODUCT((Work_Codes!$N$473:$Y$473=$E236)*(Work_Codes!$N$476:$Y$495)*(L$203:L$222))</f>
        <v>0</v>
      </c>
      <c r="M236" s="80">
        <f ca="1">SUMPRODUCT((Work_Codes!$N$473:$Y$473=$E236)*(Work_Codes!$N$476:$Y$495)*(M$203:M$222))</f>
        <v>0</v>
      </c>
      <c r="N236" s="80">
        <f ca="1">SUMPRODUCT((Work_Codes!$N$473:$Y$473=$E236)*(Work_Codes!$N$476:$Y$495)*(N$203:N$222))</f>
        <v>0</v>
      </c>
      <c r="O236" s="80">
        <f ca="1">SUMPRODUCT((Work_Codes!$N$473:$Y$473=$E236)*(Work_Codes!$N$476:$Y$495)*(O$203:O$222))</f>
        <v>0</v>
      </c>
      <c r="P236" s="80">
        <f ca="1">SUMPRODUCT((Work_Codes!$N$473:$Y$473=$E236)*(Work_Codes!$N$476:$Y$495)*(P$203:P$222))</f>
        <v>0</v>
      </c>
      <c r="Q236" s="80">
        <f ca="1">SUMPRODUCT((Work_Codes!$N$473:$Y$473=$E236)*(Work_Codes!$N$476:$Y$495)*(Q$203:Q$222))</f>
        <v>0</v>
      </c>
      <c r="R236" s="80">
        <f ca="1">SUMPRODUCT((Work_Codes!$N$473:$Y$473=$E236)*(Work_Codes!$N$476:$Y$495)*(R$203:R$222))</f>
        <v>0</v>
      </c>
      <c r="S236" s="80">
        <f ca="1">SUMPRODUCT((Work_Codes!$N$473:$Y$473=$E236)*(Work_Codes!$N$476:$Y$495)*(S$203:S$222))</f>
        <v>0</v>
      </c>
      <c r="T236" s="80">
        <f ca="1">SUMPRODUCT((Work_Codes!$N$473:$Y$473=$E236)*(Work_Codes!$N$476:$Y$495)*(T$203:T$222))</f>
        <v>0</v>
      </c>
    </row>
    <row r="237" spans="2:20" s="41" customFormat="1" ht="11.5" customHeight="1" outlineLevel="2">
      <c r="E237" s="251" t="str">
        <f>GC!C46</f>
        <v>SCADA and remote control</v>
      </c>
      <c r="F237" s="251"/>
      <c r="G237" s="251"/>
      <c r="H237" s="251"/>
      <c r="I237" s="251"/>
      <c r="J237" s="80">
        <f ca="1">SUMPRODUCT((Work_Codes!$N$473:$Y$473=$E237)*(Work_Codes!$N$476:$Y$495)*(J$203:J$222))</f>
        <v>0</v>
      </c>
      <c r="K237" s="80">
        <f ca="1">SUMPRODUCT((Work_Codes!$N$473:$Y$473=$E237)*(Work_Codes!$N$476:$Y$495)*(K$203:K$222))</f>
        <v>0</v>
      </c>
      <c r="L237" s="80">
        <f ca="1">SUMPRODUCT((Work_Codes!$N$473:$Y$473=$E237)*(Work_Codes!$N$476:$Y$495)*(L$203:L$222))</f>
        <v>0</v>
      </c>
      <c r="M237" s="80">
        <f ca="1">SUMPRODUCT((Work_Codes!$N$473:$Y$473=$E237)*(Work_Codes!$N$476:$Y$495)*(M$203:M$222))</f>
        <v>0</v>
      </c>
      <c r="N237" s="80">
        <f ca="1">SUMPRODUCT((Work_Codes!$N$473:$Y$473=$E237)*(Work_Codes!$N$476:$Y$495)*(N$203:N$222))</f>
        <v>0</v>
      </c>
      <c r="O237" s="80">
        <f ca="1">SUMPRODUCT((Work_Codes!$N$473:$Y$473=$E237)*(Work_Codes!$N$476:$Y$495)*(O$203:O$222))</f>
        <v>0</v>
      </c>
      <c r="P237" s="80">
        <f ca="1">SUMPRODUCT((Work_Codes!$N$473:$Y$473=$E237)*(Work_Codes!$N$476:$Y$495)*(P$203:P$222))</f>
        <v>0</v>
      </c>
      <c r="Q237" s="80">
        <f ca="1">SUMPRODUCT((Work_Codes!$N$473:$Y$473=$E237)*(Work_Codes!$N$476:$Y$495)*(Q$203:Q$222))</f>
        <v>0</v>
      </c>
      <c r="R237" s="80">
        <f ca="1">SUMPRODUCT((Work_Codes!$N$473:$Y$473=$E237)*(Work_Codes!$N$476:$Y$495)*(R$203:R$222))</f>
        <v>0</v>
      </c>
      <c r="S237" s="80">
        <f ca="1">SUMPRODUCT((Work_Codes!$N$473:$Y$473=$E237)*(Work_Codes!$N$476:$Y$495)*(S$203:S$222))</f>
        <v>0</v>
      </c>
      <c r="T237" s="80">
        <f ca="1">SUMPRODUCT((Work_Codes!$N$473:$Y$473=$E237)*(Work_Codes!$N$476:$Y$495)*(T$203:T$222))</f>
        <v>0</v>
      </c>
    </row>
    <row r="238" spans="2:20" s="41" customFormat="1" ht="11.5" customHeight="1" outlineLevel="2">
      <c r="E238" s="251" t="str">
        <f>GC!C47</f>
        <v>Buildings</v>
      </c>
      <c r="F238" s="251"/>
      <c r="G238" s="251"/>
      <c r="H238" s="251"/>
      <c r="I238" s="251"/>
      <c r="J238" s="80">
        <f ca="1">SUMPRODUCT((Work_Codes!$N$473:$Y$473=$E238)*(Work_Codes!$N$476:$Y$495)*(J$203:J$222))</f>
        <v>0</v>
      </c>
      <c r="K238" s="80">
        <f ca="1">SUMPRODUCT((Work_Codes!$N$473:$Y$473=$E238)*(Work_Codes!$N$476:$Y$495)*(K$203:K$222))</f>
        <v>0</v>
      </c>
      <c r="L238" s="80">
        <f ca="1">SUMPRODUCT((Work_Codes!$N$473:$Y$473=$E238)*(Work_Codes!$N$476:$Y$495)*(L$203:L$222))</f>
        <v>0</v>
      </c>
      <c r="M238" s="80">
        <f ca="1">SUMPRODUCT((Work_Codes!$N$473:$Y$473=$E238)*(Work_Codes!$N$476:$Y$495)*(M$203:M$222))</f>
        <v>0</v>
      </c>
      <c r="N238" s="80">
        <f ca="1">SUMPRODUCT((Work_Codes!$N$473:$Y$473=$E238)*(Work_Codes!$N$476:$Y$495)*(N$203:N$222))</f>
        <v>0</v>
      </c>
      <c r="O238" s="80">
        <f ca="1">SUMPRODUCT((Work_Codes!$N$473:$Y$473=$E238)*(Work_Codes!$N$476:$Y$495)*(O$203:O$222))</f>
        <v>0</v>
      </c>
      <c r="P238" s="80">
        <f ca="1">SUMPRODUCT((Work_Codes!$N$473:$Y$473=$E238)*(Work_Codes!$N$476:$Y$495)*(P$203:P$222))</f>
        <v>0</v>
      </c>
      <c r="Q238" s="80">
        <f ca="1">SUMPRODUCT((Work_Codes!$N$473:$Y$473=$E238)*(Work_Codes!$N$476:$Y$495)*(Q$203:Q$222))</f>
        <v>0</v>
      </c>
      <c r="R238" s="80">
        <f ca="1">SUMPRODUCT((Work_Codes!$N$473:$Y$473=$E238)*(Work_Codes!$N$476:$Y$495)*(R$203:R$222))</f>
        <v>0</v>
      </c>
      <c r="S238" s="80">
        <f ca="1">SUMPRODUCT((Work_Codes!$N$473:$Y$473=$E238)*(Work_Codes!$N$476:$Y$495)*(S$203:S$222))</f>
        <v>0</v>
      </c>
      <c r="T238" s="80">
        <f ca="1">SUMPRODUCT((Work_Codes!$N$473:$Y$473=$E238)*(Work_Codes!$N$476:$Y$495)*(T$203:T$222))</f>
        <v>0</v>
      </c>
    </row>
    <row r="239" spans="2:20" s="41" customFormat="1" ht="11.5" customHeight="1" outlineLevel="2">
      <c r="E239" s="251" t="str">
        <f>GC!C48</f>
        <v>Other - IT</v>
      </c>
      <c r="F239" s="251"/>
      <c r="G239" s="251"/>
      <c r="H239" s="251"/>
      <c r="I239" s="251"/>
      <c r="J239" s="80">
        <f ca="1">SUMPRODUCT((Work_Codes!$N$473:$Y$473=$E239)*(Work_Codes!$N$476:$Y$495)*(J$203:J$222))</f>
        <v>0</v>
      </c>
      <c r="K239" s="80">
        <f ca="1">SUMPRODUCT((Work_Codes!$N$473:$Y$473=$E239)*(Work_Codes!$N$476:$Y$495)*(K$203:K$222))</f>
        <v>0</v>
      </c>
      <c r="L239" s="80">
        <f ca="1">SUMPRODUCT((Work_Codes!$N$473:$Y$473=$E239)*(Work_Codes!$N$476:$Y$495)*(L$203:L$222))</f>
        <v>0</v>
      </c>
      <c r="M239" s="80">
        <f ca="1">SUMPRODUCT((Work_Codes!$N$473:$Y$473=$E239)*(Work_Codes!$N$476:$Y$495)*(M$203:M$222))</f>
        <v>0</v>
      </c>
      <c r="N239" s="80">
        <f ca="1">SUMPRODUCT((Work_Codes!$N$473:$Y$473=$E239)*(Work_Codes!$N$476:$Y$495)*(N$203:N$222))</f>
        <v>6495387.0956881428</v>
      </c>
      <c r="O239" s="80">
        <f ca="1">SUMPRODUCT((Work_Codes!$N$473:$Y$473=$E239)*(Work_Codes!$N$476:$Y$495)*(O$203:O$222))</f>
        <v>3247663.2930309507</v>
      </c>
      <c r="P239" s="80">
        <f ca="1">SUMPRODUCT((Work_Codes!$N$473:$Y$473=$E239)*(Work_Codes!$N$476:$Y$495)*(P$203:P$222))</f>
        <v>15082408.401202435</v>
      </c>
      <c r="Q239" s="80">
        <f ca="1">SUMPRODUCT((Work_Codes!$N$473:$Y$473=$E239)*(Work_Codes!$N$476:$Y$495)*(Q$203:Q$222))</f>
        <v>17366613.343854845</v>
      </c>
      <c r="R239" s="80">
        <f ca="1">SUMPRODUCT((Work_Codes!$N$473:$Y$473=$E239)*(Work_Codes!$N$476:$Y$495)*(R$203:R$222))</f>
        <v>18857623.260877103</v>
      </c>
      <c r="S239" s="80">
        <f ca="1">SUMPRODUCT((Work_Codes!$N$473:$Y$473=$E239)*(Work_Codes!$N$476:$Y$495)*(S$203:S$222))</f>
        <v>9269970.7666352876</v>
      </c>
      <c r="T239" s="80">
        <f ca="1">SUMPRODUCT((Work_Codes!$N$473:$Y$473=$E239)*(Work_Codes!$N$476:$Y$495)*(T$203:T$222))</f>
        <v>6791539.6838447517</v>
      </c>
    </row>
    <row r="240" spans="2:20" s="41" customFormat="1" ht="11.5" customHeight="1" outlineLevel="2">
      <c r="E240" s="251" t="str">
        <f>GC!C49</f>
        <v>Other - non IT</v>
      </c>
      <c r="F240" s="251"/>
      <c r="G240" s="251"/>
      <c r="H240" s="251"/>
      <c r="I240" s="251"/>
      <c r="J240" s="80">
        <f ca="1">SUMPRODUCT((Work_Codes!$N$473:$Y$473=$E240)*(Work_Codes!$N$476:$Y$495)*(J$203:J$222))</f>
        <v>0</v>
      </c>
      <c r="K240" s="80">
        <f ca="1">SUMPRODUCT((Work_Codes!$N$473:$Y$473=$E240)*(Work_Codes!$N$476:$Y$495)*(K$203:K$222))</f>
        <v>0</v>
      </c>
      <c r="L240" s="80">
        <f ca="1">SUMPRODUCT((Work_Codes!$N$473:$Y$473=$E240)*(Work_Codes!$N$476:$Y$495)*(L$203:L$222))</f>
        <v>0</v>
      </c>
      <c r="M240" s="80">
        <f ca="1">SUMPRODUCT((Work_Codes!$N$473:$Y$473=$E240)*(Work_Codes!$N$476:$Y$495)*(M$203:M$222))</f>
        <v>0</v>
      </c>
      <c r="N240" s="80">
        <f ca="1">SUMPRODUCT((Work_Codes!$N$473:$Y$473=$E240)*(Work_Codes!$N$476:$Y$495)*(N$203:N$222))</f>
        <v>0</v>
      </c>
      <c r="O240" s="80">
        <f ca="1">SUMPRODUCT((Work_Codes!$N$473:$Y$473=$E240)*(Work_Codes!$N$476:$Y$495)*(O$203:O$222))</f>
        <v>0</v>
      </c>
      <c r="P240" s="80">
        <f ca="1">SUMPRODUCT((Work_Codes!$N$473:$Y$473=$E240)*(Work_Codes!$N$476:$Y$495)*(P$203:P$222))</f>
        <v>0</v>
      </c>
      <c r="Q240" s="80">
        <f ca="1">SUMPRODUCT((Work_Codes!$N$473:$Y$473=$E240)*(Work_Codes!$N$476:$Y$495)*(Q$203:Q$222))</f>
        <v>0</v>
      </c>
      <c r="R240" s="80">
        <f ca="1">SUMPRODUCT((Work_Codes!$N$473:$Y$473=$E240)*(Work_Codes!$N$476:$Y$495)*(R$203:R$222))</f>
        <v>0</v>
      </c>
      <c r="S240" s="80">
        <f ca="1">SUMPRODUCT((Work_Codes!$N$473:$Y$473=$E240)*(Work_Codes!$N$476:$Y$495)*(S$203:S$222))</f>
        <v>0</v>
      </c>
      <c r="T240" s="80">
        <f ca="1">SUMPRODUCT((Work_Codes!$N$473:$Y$473=$E240)*(Work_Codes!$N$476:$Y$495)*(T$203:T$222))</f>
        <v>0</v>
      </c>
    </row>
    <row r="241" spans="4:20" s="41" customFormat="1" ht="11.5" customHeight="1" outlineLevel="2">
      <c r="E241" s="251" t="str">
        <f>GC!C50</f>
        <v>Land</v>
      </c>
      <c r="F241" s="251"/>
      <c r="G241" s="251"/>
      <c r="H241" s="251"/>
      <c r="I241" s="251"/>
      <c r="J241" s="80">
        <f ca="1">SUMPRODUCT((Work_Codes!$N$473:$Y$473=$E241)*(Work_Codes!$N$476:$Y$495)*(J$203:J$222))</f>
        <v>0</v>
      </c>
      <c r="K241" s="80">
        <f ca="1">SUMPRODUCT((Work_Codes!$N$473:$Y$473=$E241)*(Work_Codes!$N$476:$Y$495)*(K$203:K$222))</f>
        <v>0</v>
      </c>
      <c r="L241" s="80">
        <f ca="1">SUMPRODUCT((Work_Codes!$N$473:$Y$473=$E241)*(Work_Codes!$N$476:$Y$495)*(L$203:L$222))</f>
        <v>0</v>
      </c>
      <c r="M241" s="80">
        <f ca="1">SUMPRODUCT((Work_Codes!$N$473:$Y$473=$E241)*(Work_Codes!$N$476:$Y$495)*(M$203:M$222))</f>
        <v>0</v>
      </c>
      <c r="N241" s="80">
        <f ca="1">SUMPRODUCT((Work_Codes!$N$473:$Y$473=$E241)*(Work_Codes!$N$476:$Y$495)*(N$203:N$222))</f>
        <v>0</v>
      </c>
      <c r="O241" s="80">
        <f ca="1">SUMPRODUCT((Work_Codes!$N$473:$Y$473=$E241)*(Work_Codes!$N$476:$Y$495)*(O$203:O$222))</f>
        <v>0</v>
      </c>
      <c r="P241" s="80">
        <f ca="1">SUMPRODUCT((Work_Codes!$N$473:$Y$473=$E241)*(Work_Codes!$N$476:$Y$495)*(P$203:P$222))</f>
        <v>0</v>
      </c>
      <c r="Q241" s="80">
        <f ca="1">SUMPRODUCT((Work_Codes!$N$473:$Y$473=$E241)*(Work_Codes!$N$476:$Y$495)*(Q$203:Q$222))</f>
        <v>0</v>
      </c>
      <c r="R241" s="80">
        <f ca="1">SUMPRODUCT((Work_Codes!$N$473:$Y$473=$E241)*(Work_Codes!$N$476:$Y$495)*(R$203:R$222))</f>
        <v>0</v>
      </c>
      <c r="S241" s="80">
        <f ca="1">SUMPRODUCT((Work_Codes!$N$473:$Y$473=$E241)*(Work_Codes!$N$476:$Y$495)*(S$203:S$222))</f>
        <v>0</v>
      </c>
      <c r="T241" s="80">
        <f ca="1">SUMPRODUCT((Work_Codes!$N$473:$Y$473=$E241)*(Work_Codes!$N$476:$Y$495)*(T$203:T$222))</f>
        <v>0</v>
      </c>
    </row>
    <row r="242" spans="4:20" s="41" customFormat="1" outlineLevel="2">
      <c r="E242" s="251" t="str">
        <f>GC!C51</f>
        <v>Capitalised Leases</v>
      </c>
      <c r="F242" s="251"/>
      <c r="G242" s="251"/>
      <c r="H242" s="251"/>
      <c r="I242" s="251"/>
      <c r="J242" s="80">
        <f ca="1">SUMPRODUCT((Work_Codes!$N$473:$Y$473=$E242)*(Work_Codes!$N$476:$Y$495)*(J$203:J$222))</f>
        <v>0</v>
      </c>
      <c r="K242" s="80">
        <f ca="1">SUMPRODUCT((Work_Codes!$N$473:$Y$473=$E242)*(Work_Codes!$N$476:$Y$495)*(K$203:K$222))</f>
        <v>0</v>
      </c>
      <c r="L242" s="80">
        <f ca="1">SUMPRODUCT((Work_Codes!$N$473:$Y$473=$E242)*(Work_Codes!$N$476:$Y$495)*(L$203:L$222))</f>
        <v>0</v>
      </c>
      <c r="M242" s="80">
        <f ca="1">SUMPRODUCT((Work_Codes!$N$473:$Y$473=$E242)*(Work_Codes!$N$476:$Y$495)*(M$203:M$222))</f>
        <v>0</v>
      </c>
      <c r="N242" s="80">
        <f ca="1">SUMPRODUCT((Work_Codes!$N$473:$Y$473=$E242)*(Work_Codes!$N$476:$Y$495)*(N$203:N$222))</f>
        <v>0</v>
      </c>
      <c r="O242" s="80">
        <f ca="1">SUMPRODUCT((Work_Codes!$N$473:$Y$473=$E242)*(Work_Codes!$N$476:$Y$495)*(O$203:O$222))</f>
        <v>0</v>
      </c>
      <c r="P242" s="80">
        <f ca="1">SUMPRODUCT((Work_Codes!$N$473:$Y$473=$E242)*(Work_Codes!$N$476:$Y$495)*(P$203:P$222))</f>
        <v>0</v>
      </c>
      <c r="Q242" s="80">
        <f ca="1">SUMPRODUCT((Work_Codes!$N$473:$Y$473=$E242)*(Work_Codes!$N$476:$Y$495)*(Q$203:Q$222))</f>
        <v>0</v>
      </c>
      <c r="R242" s="80">
        <f ca="1">SUMPRODUCT((Work_Codes!$N$473:$Y$473=$E242)*(Work_Codes!$N$476:$Y$495)*(R$203:R$222))</f>
        <v>0</v>
      </c>
      <c r="S242" s="80">
        <f ca="1">SUMPRODUCT((Work_Codes!$N$473:$Y$473=$E242)*(Work_Codes!$N$476:$Y$495)*(S$203:S$222))</f>
        <v>0</v>
      </c>
      <c r="T242" s="80">
        <f ca="1">SUMPRODUCT((Work_Codes!$N$473:$Y$473=$E242)*(Work_Codes!$N$476:$Y$495)*(T$203:T$222))</f>
        <v>0</v>
      </c>
    </row>
    <row r="243" spans="4:20" s="41" customFormat="1" outlineLevel="2">
      <c r="E243" s="251" t="str">
        <f>GC!C52</f>
        <v>Transmission pipelines - post 1998</v>
      </c>
      <c r="F243" s="251"/>
      <c r="G243" s="251"/>
      <c r="H243" s="251"/>
      <c r="I243" s="251"/>
      <c r="J243" s="80">
        <f ca="1">SUMPRODUCT((Work_Codes!$N$473:$Y$473=$E243)*(Work_Codes!$N$476:$Y$495)*(J$203:J$222))</f>
        <v>0</v>
      </c>
      <c r="K243" s="80">
        <f ca="1">SUMPRODUCT((Work_Codes!$N$473:$Y$473=$E243)*(Work_Codes!$N$476:$Y$495)*(K$203:K$222))</f>
        <v>0</v>
      </c>
      <c r="L243" s="80">
        <f ca="1">SUMPRODUCT((Work_Codes!$N$473:$Y$473=$E243)*(Work_Codes!$N$476:$Y$495)*(L$203:L$222))</f>
        <v>0</v>
      </c>
      <c r="M243" s="80">
        <f ca="1">SUMPRODUCT((Work_Codes!$N$473:$Y$473=$E243)*(Work_Codes!$N$476:$Y$495)*(M$203:M$222))</f>
        <v>0</v>
      </c>
      <c r="N243" s="80">
        <f ca="1">SUMPRODUCT((Work_Codes!$N$473:$Y$473=$E243)*(Work_Codes!$N$476:$Y$495)*(N$203:N$222))</f>
        <v>0</v>
      </c>
      <c r="O243" s="80">
        <f ca="1">SUMPRODUCT((Work_Codes!$N$473:$Y$473=$E243)*(Work_Codes!$N$476:$Y$495)*(O$203:O$222))</f>
        <v>0</v>
      </c>
      <c r="P243" s="80">
        <f ca="1">SUMPRODUCT((Work_Codes!$N$473:$Y$473=$E243)*(Work_Codes!$N$476:$Y$495)*(P$203:P$222))</f>
        <v>0</v>
      </c>
      <c r="Q243" s="80">
        <f ca="1">SUMPRODUCT((Work_Codes!$N$473:$Y$473=$E243)*(Work_Codes!$N$476:$Y$495)*(Q$203:Q$222))</f>
        <v>0</v>
      </c>
      <c r="R243" s="80">
        <f ca="1">SUMPRODUCT((Work_Codes!$N$473:$Y$473=$E243)*(Work_Codes!$N$476:$Y$495)*(R$203:R$222))</f>
        <v>0</v>
      </c>
      <c r="S243" s="80">
        <f ca="1">SUMPRODUCT((Work_Codes!$N$473:$Y$473=$E243)*(Work_Codes!$N$476:$Y$495)*(S$203:S$222))</f>
        <v>0</v>
      </c>
      <c r="T243" s="80">
        <f ca="1">SUMPRODUCT((Work_Codes!$N$473:$Y$473=$E243)*(Work_Codes!$N$476:$Y$495)*(T$203:T$222))</f>
        <v>0</v>
      </c>
    </row>
    <row r="244" spans="4:20" s="41" customFormat="1" outlineLevel="2">
      <c r="E244" s="251" t="str">
        <f>GC!C53</f>
        <v>Distribution pipelines - post 1998</v>
      </c>
      <c r="F244" s="251"/>
      <c r="G244" s="251"/>
      <c r="H244" s="251"/>
      <c r="I244" s="251"/>
      <c r="J244" s="80">
        <f ca="1">SUMPRODUCT((Work_Codes!$N$473:$Y$473=$E244)*(Work_Codes!$N$476:$Y$495)*(J$203:J$222))</f>
        <v>0</v>
      </c>
      <c r="K244" s="80">
        <f ca="1">SUMPRODUCT((Work_Codes!$N$473:$Y$473=$E244)*(Work_Codes!$N$476:$Y$495)*(K$203:K$222))</f>
        <v>0</v>
      </c>
      <c r="L244" s="80">
        <f ca="1">SUMPRODUCT((Work_Codes!$N$473:$Y$473=$E244)*(Work_Codes!$N$476:$Y$495)*(L$203:L$222))</f>
        <v>0</v>
      </c>
      <c r="M244" s="80">
        <f ca="1">SUMPRODUCT((Work_Codes!$N$473:$Y$473=$E244)*(Work_Codes!$N$476:$Y$495)*(M$203:M$222))</f>
        <v>0</v>
      </c>
      <c r="N244" s="80">
        <f ca="1">SUMPRODUCT((Work_Codes!$N$473:$Y$473=$E244)*(Work_Codes!$N$476:$Y$495)*(N$203:N$222))</f>
        <v>0</v>
      </c>
      <c r="O244" s="80">
        <f ca="1">SUMPRODUCT((Work_Codes!$N$473:$Y$473=$E244)*(Work_Codes!$N$476:$Y$495)*(O$203:O$222))</f>
        <v>0</v>
      </c>
      <c r="P244" s="80">
        <f ca="1">SUMPRODUCT((Work_Codes!$N$473:$Y$473=$E244)*(Work_Codes!$N$476:$Y$495)*(P$203:P$222))</f>
        <v>0</v>
      </c>
      <c r="Q244" s="80">
        <f ca="1">SUMPRODUCT((Work_Codes!$N$473:$Y$473=$E244)*(Work_Codes!$N$476:$Y$495)*(Q$203:Q$222))</f>
        <v>0</v>
      </c>
      <c r="R244" s="80">
        <f ca="1">SUMPRODUCT((Work_Codes!$N$473:$Y$473=$E244)*(Work_Codes!$N$476:$Y$495)*(R$203:R$222))</f>
        <v>0</v>
      </c>
      <c r="S244" s="80">
        <f ca="1">SUMPRODUCT((Work_Codes!$N$473:$Y$473=$E244)*(Work_Codes!$N$476:$Y$495)*(S$203:S$222))</f>
        <v>0</v>
      </c>
      <c r="T244" s="80">
        <f ca="1">SUMPRODUCT((Work_Codes!$N$473:$Y$473=$E244)*(Work_Codes!$N$476:$Y$495)*(T$203:T$222))</f>
        <v>0</v>
      </c>
    </row>
    <row r="245" spans="4:20" s="41" customFormat="1" outlineLevel="2">
      <c r="E245" s="251" t="str">
        <f>GC!C54</f>
        <v>Service pipes - post 1998</v>
      </c>
      <c r="F245" s="251"/>
      <c r="G245" s="251"/>
      <c r="H245" s="251"/>
      <c r="I245" s="251"/>
      <c r="J245" s="80">
        <f ca="1">SUMPRODUCT((Work_Codes!$N$473:$Y$473=$E245)*(Work_Codes!$N$476:$Y$495)*(J$203:J$222))</f>
        <v>0</v>
      </c>
      <c r="K245" s="80">
        <f ca="1">SUMPRODUCT((Work_Codes!$N$473:$Y$473=$E245)*(Work_Codes!$N$476:$Y$495)*(K$203:K$222))</f>
        <v>0</v>
      </c>
      <c r="L245" s="80">
        <f ca="1">SUMPRODUCT((Work_Codes!$N$473:$Y$473=$E245)*(Work_Codes!$N$476:$Y$495)*(L$203:L$222))</f>
        <v>0</v>
      </c>
      <c r="M245" s="80">
        <f ca="1">SUMPRODUCT((Work_Codes!$N$473:$Y$473=$E245)*(Work_Codes!$N$476:$Y$495)*(M$203:M$222))</f>
        <v>0</v>
      </c>
      <c r="N245" s="80">
        <f ca="1">SUMPRODUCT((Work_Codes!$N$473:$Y$473=$E245)*(Work_Codes!$N$476:$Y$495)*(N$203:N$222))</f>
        <v>0</v>
      </c>
      <c r="O245" s="80">
        <f ca="1">SUMPRODUCT((Work_Codes!$N$473:$Y$473=$E245)*(Work_Codes!$N$476:$Y$495)*(O$203:O$222))</f>
        <v>0</v>
      </c>
      <c r="P245" s="80">
        <f ca="1">SUMPRODUCT((Work_Codes!$N$473:$Y$473=$E245)*(Work_Codes!$N$476:$Y$495)*(P$203:P$222))</f>
        <v>0</v>
      </c>
      <c r="Q245" s="80">
        <f ca="1">SUMPRODUCT((Work_Codes!$N$473:$Y$473=$E245)*(Work_Codes!$N$476:$Y$495)*(Q$203:Q$222))</f>
        <v>0</v>
      </c>
      <c r="R245" s="80">
        <f ca="1">SUMPRODUCT((Work_Codes!$N$473:$Y$473=$E245)*(Work_Codes!$N$476:$Y$495)*(R$203:R$222))</f>
        <v>0</v>
      </c>
      <c r="S245" s="80">
        <f ca="1">SUMPRODUCT((Work_Codes!$N$473:$Y$473=$E245)*(Work_Codes!$N$476:$Y$495)*(S$203:S$222))</f>
        <v>0</v>
      </c>
      <c r="T245" s="80">
        <f ca="1">SUMPRODUCT((Work_Codes!$N$473:$Y$473=$E245)*(Work_Codes!$N$476:$Y$495)*(T$203:T$222))</f>
        <v>0</v>
      </c>
    </row>
    <row r="246" spans="4:20" s="41" customFormat="1" outlineLevel="2">
      <c r="E246" s="251" t="str">
        <f>GC!C55</f>
        <v>Cathodic protection - post 1998</v>
      </c>
      <c r="F246" s="251"/>
      <c r="G246" s="251"/>
      <c r="H246" s="251"/>
      <c r="I246" s="251"/>
      <c r="J246" s="80">
        <f ca="1">SUMPRODUCT((Work_Codes!$N$473:$Y$473=$E246)*(Work_Codes!$N$476:$Y$495)*(J$203:J$222))</f>
        <v>0</v>
      </c>
      <c r="K246" s="80">
        <f ca="1">SUMPRODUCT((Work_Codes!$N$473:$Y$473=$E246)*(Work_Codes!$N$476:$Y$495)*(K$203:K$222))</f>
        <v>0</v>
      </c>
      <c r="L246" s="80">
        <f ca="1">SUMPRODUCT((Work_Codes!$N$473:$Y$473=$E246)*(Work_Codes!$N$476:$Y$495)*(L$203:L$222))</f>
        <v>0</v>
      </c>
      <c r="M246" s="80">
        <f ca="1">SUMPRODUCT((Work_Codes!$N$473:$Y$473=$E246)*(Work_Codes!$N$476:$Y$495)*(M$203:M$222))</f>
        <v>0</v>
      </c>
      <c r="N246" s="80">
        <f ca="1">SUMPRODUCT((Work_Codes!$N$473:$Y$473=$E246)*(Work_Codes!$N$476:$Y$495)*(N$203:N$222))</f>
        <v>0</v>
      </c>
      <c r="O246" s="80">
        <f ca="1">SUMPRODUCT((Work_Codes!$N$473:$Y$473=$E246)*(Work_Codes!$N$476:$Y$495)*(O$203:O$222))</f>
        <v>0</v>
      </c>
      <c r="P246" s="80">
        <f ca="1">SUMPRODUCT((Work_Codes!$N$473:$Y$473=$E246)*(Work_Codes!$N$476:$Y$495)*(P$203:P$222))</f>
        <v>0</v>
      </c>
      <c r="Q246" s="80">
        <f ca="1">SUMPRODUCT((Work_Codes!$N$473:$Y$473=$E246)*(Work_Codes!$N$476:$Y$495)*(Q$203:Q$222))</f>
        <v>0</v>
      </c>
      <c r="R246" s="80">
        <f ca="1">SUMPRODUCT((Work_Codes!$N$473:$Y$473=$E246)*(Work_Codes!$N$476:$Y$495)*(R$203:R$222))</f>
        <v>0</v>
      </c>
      <c r="S246" s="80">
        <f ca="1">SUMPRODUCT((Work_Codes!$N$473:$Y$473=$E246)*(Work_Codes!$N$476:$Y$495)*(S$203:S$222))</f>
        <v>0</v>
      </c>
      <c r="T246" s="80">
        <f ca="1">SUMPRODUCT((Work_Codes!$N$473:$Y$473=$E246)*(Work_Codes!$N$476:$Y$495)*(T$203:T$222))</f>
        <v>0</v>
      </c>
    </row>
    <row r="247" spans="4:20" s="41" customFormat="1" ht="12" customHeight="1" outlineLevel="2">
      <c r="E247" s="250" t="str">
        <f>"Total "&amp;D229</f>
        <v>Total Direct Costs</v>
      </c>
      <c r="F247" s="250"/>
      <c r="G247" s="250"/>
      <c r="H247" s="250"/>
      <c r="I247" s="250"/>
      <c r="J247" s="101">
        <f t="shared" ref="J247:T247" ca="1" si="54">SUM(J231:J246)</f>
        <v>0</v>
      </c>
      <c r="K247" s="101">
        <f t="shared" ca="1" si="54"/>
        <v>0</v>
      </c>
      <c r="L247" s="101">
        <f t="shared" ca="1" si="54"/>
        <v>0</v>
      </c>
      <c r="M247" s="101">
        <f t="shared" ca="1" si="54"/>
        <v>0</v>
      </c>
      <c r="N247" s="101">
        <f t="shared" ca="1" si="54"/>
        <v>6495387.0956881428</v>
      </c>
      <c r="O247" s="101">
        <f t="shared" ca="1" si="54"/>
        <v>3247663.2930309507</v>
      </c>
      <c r="P247" s="101">
        <f t="shared" ca="1" si="54"/>
        <v>15082408.401202435</v>
      </c>
      <c r="Q247" s="101">
        <f t="shared" ca="1" si="54"/>
        <v>17366613.343854845</v>
      </c>
      <c r="R247" s="101">
        <f t="shared" ca="1" si="54"/>
        <v>18857623.260877103</v>
      </c>
      <c r="S247" s="101">
        <f t="shared" ca="1" si="54"/>
        <v>9269970.7666352876</v>
      </c>
      <c r="T247" s="101">
        <f t="shared" ca="1" si="54"/>
        <v>6791539.6838447517</v>
      </c>
    </row>
    <row r="248" spans="4:20" s="41" customFormat="1" outlineLevel="2"/>
    <row r="249" spans="4:20" s="41" customFormat="1" outlineLevel="2">
      <c r="D249" s="50" t="s">
        <v>364</v>
      </c>
    </row>
    <row r="250" spans="4:20" s="41" customFormat="1" ht="5.9" customHeight="1" outlineLevel="2"/>
    <row r="251" spans="4:20" s="41" customFormat="1" outlineLevel="2">
      <c r="E251" s="251" t="str">
        <f>GC!C40</f>
        <v>Transmission pipelines</v>
      </c>
      <c r="F251" s="251"/>
      <c r="G251" s="251"/>
      <c r="H251" s="251"/>
      <c r="I251" s="251"/>
      <c r="J251" s="80">
        <f ca="1">J231*(INDEX(J$35:J$37,MATCH(Work_Codes!$I$470,$D$35:$D$37,0)))</f>
        <v>0</v>
      </c>
      <c r="K251" s="80">
        <f ca="1">K231*(INDEX(K$35:K$37,MATCH(Work_Codes!$I$470,$D$35:$D$37,0)))</f>
        <v>0</v>
      </c>
      <c r="L251" s="80">
        <f ca="1">L231*(INDEX(L$35:L$37,MATCH(Work_Codes!$I$470,$D$35:$D$37,0)))</f>
        <v>0</v>
      </c>
      <c r="M251" s="80">
        <f ca="1">M231*(INDEX(M$35:M$37,MATCH(Work_Codes!$I$470,$D$35:$D$37,0)))</f>
        <v>0</v>
      </c>
      <c r="N251" s="80">
        <f ca="1">N231*(INDEX(N$35:N$37,MATCH(Work_Codes!$I$470,$D$35:$D$37,0)))</f>
        <v>0</v>
      </c>
      <c r="O251" s="80">
        <f ca="1">O231*(INDEX(O$35:O$37,MATCH(Work_Codes!$I$470,$D$35:$D$37,0)))</f>
        <v>0</v>
      </c>
      <c r="P251" s="80">
        <f ca="1">P231*(INDEX(P$35:P$37,MATCH(Work_Codes!$I$470,$D$35:$D$37,0)))</f>
        <v>0</v>
      </c>
      <c r="Q251" s="80">
        <f ca="1">Q231*(INDEX(Q$35:Q$37,MATCH(Work_Codes!$I$470,$D$35:$D$37,0)))</f>
        <v>0</v>
      </c>
      <c r="R251" s="80">
        <f ca="1">R231*(INDEX(R$35:R$37,MATCH(Work_Codes!$I$470,$D$35:$D$37,0)))</f>
        <v>0</v>
      </c>
      <c r="S251" s="80">
        <f ca="1">S231*(INDEX(S$35:S$37,MATCH(Work_Codes!$I$470,$D$35:$D$37,0)))</f>
        <v>0</v>
      </c>
      <c r="T251" s="80">
        <f ca="1">T231*(INDEX(T$35:T$37,MATCH(Work_Codes!$I$470,$D$35:$D$37,0)))</f>
        <v>0</v>
      </c>
    </row>
    <row r="252" spans="4:20" s="41" customFormat="1" outlineLevel="2">
      <c r="E252" s="251" t="str">
        <f>GC!C41</f>
        <v>Distribution pipelines</v>
      </c>
      <c r="F252" s="251"/>
      <c r="G252" s="251"/>
      <c r="H252" s="251"/>
      <c r="I252" s="251"/>
      <c r="J252" s="80">
        <f ca="1">J232*(INDEX(J$35:J$37,MATCH(Work_Codes!$I$470,$D$35:$D$37,0)))</f>
        <v>0</v>
      </c>
      <c r="K252" s="80">
        <f ca="1">K232*(INDEX(K$35:K$37,MATCH(Work_Codes!$I$470,$D$35:$D$37,0)))</f>
        <v>0</v>
      </c>
      <c r="L252" s="80">
        <f ca="1">L232*(INDEX(L$35:L$37,MATCH(Work_Codes!$I$470,$D$35:$D$37,0)))</f>
        <v>0</v>
      </c>
      <c r="M252" s="80">
        <f ca="1">M232*(INDEX(M$35:M$37,MATCH(Work_Codes!$I$470,$D$35:$D$37,0)))</f>
        <v>0</v>
      </c>
      <c r="N252" s="80">
        <f ca="1">N232*(INDEX(N$35:N$37,MATCH(Work_Codes!$I$470,$D$35:$D$37,0)))</f>
        <v>0</v>
      </c>
      <c r="O252" s="80">
        <f ca="1">O232*(INDEX(O$35:O$37,MATCH(Work_Codes!$I$470,$D$35:$D$37,0)))</f>
        <v>0</v>
      </c>
      <c r="P252" s="80">
        <f ca="1">P232*(INDEX(P$35:P$37,MATCH(Work_Codes!$I$470,$D$35:$D$37,0)))</f>
        <v>0</v>
      </c>
      <c r="Q252" s="80">
        <f ca="1">Q232*(INDEX(Q$35:Q$37,MATCH(Work_Codes!$I$470,$D$35:$D$37,0)))</f>
        <v>0</v>
      </c>
      <c r="R252" s="80">
        <f ca="1">R232*(INDEX(R$35:R$37,MATCH(Work_Codes!$I$470,$D$35:$D$37,0)))</f>
        <v>0</v>
      </c>
      <c r="S252" s="80">
        <f ca="1">S232*(INDEX(S$35:S$37,MATCH(Work_Codes!$I$470,$D$35:$D$37,0)))</f>
        <v>0</v>
      </c>
      <c r="T252" s="80">
        <f ca="1">T232*(INDEX(T$35:T$37,MATCH(Work_Codes!$I$470,$D$35:$D$37,0)))</f>
        <v>0</v>
      </c>
    </row>
    <row r="253" spans="4:20" s="41" customFormat="1" outlineLevel="2">
      <c r="E253" s="251" t="str">
        <f>GC!C42</f>
        <v>Service pipes</v>
      </c>
      <c r="F253" s="251"/>
      <c r="G253" s="251"/>
      <c r="H253" s="251"/>
      <c r="I253" s="251"/>
      <c r="J253" s="80">
        <f ca="1">J233*(INDEX(J$35:J$37,MATCH(Work_Codes!$I$470,$D$35:$D$37,0)))</f>
        <v>0</v>
      </c>
      <c r="K253" s="80">
        <f ca="1">K233*(INDEX(K$35:K$37,MATCH(Work_Codes!$I$470,$D$35:$D$37,0)))</f>
        <v>0</v>
      </c>
      <c r="L253" s="80">
        <f ca="1">L233*(INDEX(L$35:L$37,MATCH(Work_Codes!$I$470,$D$35:$D$37,0)))</f>
        <v>0</v>
      </c>
      <c r="M253" s="80">
        <f ca="1">M233*(INDEX(M$35:M$37,MATCH(Work_Codes!$I$470,$D$35:$D$37,0)))</f>
        <v>0</v>
      </c>
      <c r="N253" s="80">
        <f ca="1">N233*(INDEX(N$35:N$37,MATCH(Work_Codes!$I$470,$D$35:$D$37,0)))</f>
        <v>0</v>
      </c>
      <c r="O253" s="80">
        <f ca="1">O233*(INDEX(O$35:O$37,MATCH(Work_Codes!$I$470,$D$35:$D$37,0)))</f>
        <v>0</v>
      </c>
      <c r="P253" s="80">
        <f ca="1">P233*(INDEX(P$35:P$37,MATCH(Work_Codes!$I$470,$D$35:$D$37,0)))</f>
        <v>0</v>
      </c>
      <c r="Q253" s="80">
        <f ca="1">Q233*(INDEX(Q$35:Q$37,MATCH(Work_Codes!$I$470,$D$35:$D$37,0)))</f>
        <v>0</v>
      </c>
      <c r="R253" s="80">
        <f ca="1">R233*(INDEX(R$35:R$37,MATCH(Work_Codes!$I$470,$D$35:$D$37,0)))</f>
        <v>0</v>
      </c>
      <c r="S253" s="80">
        <f ca="1">S233*(INDEX(S$35:S$37,MATCH(Work_Codes!$I$470,$D$35:$D$37,0)))</f>
        <v>0</v>
      </c>
      <c r="T253" s="80">
        <f ca="1">T233*(INDEX(T$35:T$37,MATCH(Work_Codes!$I$470,$D$35:$D$37,0)))</f>
        <v>0</v>
      </c>
    </row>
    <row r="254" spans="4:20" s="41" customFormat="1" outlineLevel="2">
      <c r="E254" s="251" t="str">
        <f>GC!C43</f>
        <v>Cathodic protection</v>
      </c>
      <c r="F254" s="251"/>
      <c r="G254" s="251"/>
      <c r="H254" s="251"/>
      <c r="I254" s="251"/>
      <c r="J254" s="80">
        <f ca="1">J234*(INDEX(J$35:J$37,MATCH(Work_Codes!$I$470,$D$35:$D$37,0)))</f>
        <v>0</v>
      </c>
      <c r="K254" s="80">
        <f ca="1">K234*(INDEX(K$35:K$37,MATCH(Work_Codes!$I$470,$D$35:$D$37,0)))</f>
        <v>0</v>
      </c>
      <c r="L254" s="80">
        <f ca="1">L234*(INDEX(L$35:L$37,MATCH(Work_Codes!$I$470,$D$35:$D$37,0)))</f>
        <v>0</v>
      </c>
      <c r="M254" s="80">
        <f ca="1">M234*(INDEX(M$35:M$37,MATCH(Work_Codes!$I$470,$D$35:$D$37,0)))</f>
        <v>0</v>
      </c>
      <c r="N254" s="80">
        <f ca="1">N234*(INDEX(N$35:N$37,MATCH(Work_Codes!$I$470,$D$35:$D$37,0)))</f>
        <v>0</v>
      </c>
      <c r="O254" s="80">
        <f ca="1">O234*(INDEX(O$35:O$37,MATCH(Work_Codes!$I$470,$D$35:$D$37,0)))</f>
        <v>0</v>
      </c>
      <c r="P254" s="80">
        <f ca="1">P234*(INDEX(P$35:P$37,MATCH(Work_Codes!$I$470,$D$35:$D$37,0)))</f>
        <v>0</v>
      </c>
      <c r="Q254" s="80">
        <f ca="1">Q234*(INDEX(Q$35:Q$37,MATCH(Work_Codes!$I$470,$D$35:$D$37,0)))</f>
        <v>0</v>
      </c>
      <c r="R254" s="80">
        <f ca="1">R234*(INDEX(R$35:R$37,MATCH(Work_Codes!$I$470,$D$35:$D$37,0)))</f>
        <v>0</v>
      </c>
      <c r="S254" s="80">
        <f ca="1">S234*(INDEX(S$35:S$37,MATCH(Work_Codes!$I$470,$D$35:$D$37,0)))</f>
        <v>0</v>
      </c>
      <c r="T254" s="80">
        <f ca="1">T234*(INDEX(T$35:T$37,MATCH(Work_Codes!$I$470,$D$35:$D$37,0)))</f>
        <v>0</v>
      </c>
    </row>
    <row r="255" spans="4:20" s="41" customFormat="1" outlineLevel="2">
      <c r="E255" s="251" t="str">
        <f>GC!C44</f>
        <v>Supply Regulators / Valve Stations</v>
      </c>
      <c r="F255" s="251"/>
      <c r="G255" s="251"/>
      <c r="H255" s="251"/>
      <c r="I255" s="251"/>
      <c r="J255" s="80">
        <f ca="1">J235*(INDEX(J$35:J$37,MATCH(Work_Codes!$I$470,$D$35:$D$37,0)))</f>
        <v>0</v>
      </c>
      <c r="K255" s="80">
        <f ca="1">K235*(INDEX(K$35:K$37,MATCH(Work_Codes!$I$470,$D$35:$D$37,0)))</f>
        <v>0</v>
      </c>
      <c r="L255" s="80">
        <f ca="1">L235*(INDEX(L$35:L$37,MATCH(Work_Codes!$I$470,$D$35:$D$37,0)))</f>
        <v>0</v>
      </c>
      <c r="M255" s="80">
        <f ca="1">M235*(INDEX(M$35:M$37,MATCH(Work_Codes!$I$470,$D$35:$D$37,0)))</f>
        <v>0</v>
      </c>
      <c r="N255" s="80">
        <f ca="1">N235*(INDEX(N$35:N$37,MATCH(Work_Codes!$I$470,$D$35:$D$37,0)))</f>
        <v>0</v>
      </c>
      <c r="O255" s="80">
        <f ca="1">O235*(INDEX(O$35:O$37,MATCH(Work_Codes!$I$470,$D$35:$D$37,0)))</f>
        <v>0</v>
      </c>
      <c r="P255" s="80">
        <f ca="1">P235*(INDEX(P$35:P$37,MATCH(Work_Codes!$I$470,$D$35:$D$37,0)))</f>
        <v>0</v>
      </c>
      <c r="Q255" s="80">
        <f ca="1">Q235*(INDEX(Q$35:Q$37,MATCH(Work_Codes!$I$470,$D$35:$D$37,0)))</f>
        <v>0</v>
      </c>
      <c r="R255" s="80">
        <f ca="1">R235*(INDEX(R$35:R$37,MATCH(Work_Codes!$I$470,$D$35:$D$37,0)))</f>
        <v>0</v>
      </c>
      <c r="S255" s="80">
        <f ca="1">S235*(INDEX(S$35:S$37,MATCH(Work_Codes!$I$470,$D$35:$D$37,0)))</f>
        <v>0</v>
      </c>
      <c r="T255" s="80">
        <f ca="1">T235*(INDEX(T$35:T$37,MATCH(Work_Codes!$I$470,$D$35:$D$37,0)))</f>
        <v>0</v>
      </c>
    </row>
    <row r="256" spans="4:20" s="41" customFormat="1" outlineLevel="2">
      <c r="E256" s="251" t="str">
        <f>GC!C45</f>
        <v>Meters</v>
      </c>
      <c r="F256" s="251"/>
      <c r="G256" s="251"/>
      <c r="H256" s="251"/>
      <c r="I256" s="251"/>
      <c r="J256" s="80">
        <f ca="1">J236*(INDEX(J$35:J$37,MATCH(Work_Codes!$I$470,$D$35:$D$37,0)))</f>
        <v>0</v>
      </c>
      <c r="K256" s="80">
        <f ca="1">K236*(INDEX(K$35:K$37,MATCH(Work_Codes!$I$470,$D$35:$D$37,0)))</f>
        <v>0</v>
      </c>
      <c r="L256" s="80">
        <f ca="1">L236*(INDEX(L$35:L$37,MATCH(Work_Codes!$I$470,$D$35:$D$37,0)))</f>
        <v>0</v>
      </c>
      <c r="M256" s="80">
        <f ca="1">M236*(INDEX(M$35:M$37,MATCH(Work_Codes!$I$470,$D$35:$D$37,0)))</f>
        <v>0</v>
      </c>
      <c r="N256" s="80">
        <f ca="1">N236*(INDEX(N$35:N$37,MATCH(Work_Codes!$I$470,$D$35:$D$37,0)))</f>
        <v>0</v>
      </c>
      <c r="O256" s="80">
        <f ca="1">O236*(INDEX(O$35:O$37,MATCH(Work_Codes!$I$470,$D$35:$D$37,0)))</f>
        <v>0</v>
      </c>
      <c r="P256" s="80">
        <f ca="1">P236*(INDEX(P$35:P$37,MATCH(Work_Codes!$I$470,$D$35:$D$37,0)))</f>
        <v>0</v>
      </c>
      <c r="Q256" s="80">
        <f ca="1">Q236*(INDEX(Q$35:Q$37,MATCH(Work_Codes!$I$470,$D$35:$D$37,0)))</f>
        <v>0</v>
      </c>
      <c r="R256" s="80">
        <f ca="1">R236*(INDEX(R$35:R$37,MATCH(Work_Codes!$I$470,$D$35:$D$37,0)))</f>
        <v>0</v>
      </c>
      <c r="S256" s="80">
        <f ca="1">S236*(INDEX(S$35:S$37,MATCH(Work_Codes!$I$470,$D$35:$D$37,0)))</f>
        <v>0</v>
      </c>
      <c r="T256" s="80">
        <f ca="1">T236*(INDEX(T$35:T$37,MATCH(Work_Codes!$I$470,$D$35:$D$37,0)))</f>
        <v>0</v>
      </c>
    </row>
    <row r="257" spans="4:20" s="41" customFormat="1" outlineLevel="2">
      <c r="E257" s="251" t="str">
        <f>GC!C46</f>
        <v>SCADA and remote control</v>
      </c>
      <c r="F257" s="251"/>
      <c r="G257" s="251"/>
      <c r="H257" s="251"/>
      <c r="I257" s="251"/>
      <c r="J257" s="80">
        <f ca="1">J237*(INDEX(J$35:J$37,MATCH(Work_Codes!$I$470,$D$35:$D$37,0)))</f>
        <v>0</v>
      </c>
      <c r="K257" s="80">
        <f ca="1">K237*(INDEX(K$35:K$37,MATCH(Work_Codes!$I$470,$D$35:$D$37,0)))</f>
        <v>0</v>
      </c>
      <c r="L257" s="80">
        <f ca="1">L237*(INDEX(L$35:L$37,MATCH(Work_Codes!$I$470,$D$35:$D$37,0)))</f>
        <v>0</v>
      </c>
      <c r="M257" s="80">
        <f ca="1">M237*(INDEX(M$35:M$37,MATCH(Work_Codes!$I$470,$D$35:$D$37,0)))</f>
        <v>0</v>
      </c>
      <c r="N257" s="80">
        <f ca="1">N237*(INDEX(N$35:N$37,MATCH(Work_Codes!$I$470,$D$35:$D$37,0)))</f>
        <v>0</v>
      </c>
      <c r="O257" s="80">
        <f ca="1">O237*(INDEX(O$35:O$37,MATCH(Work_Codes!$I$470,$D$35:$D$37,0)))</f>
        <v>0</v>
      </c>
      <c r="P257" s="80">
        <f ca="1">P237*(INDEX(P$35:P$37,MATCH(Work_Codes!$I$470,$D$35:$D$37,0)))</f>
        <v>0</v>
      </c>
      <c r="Q257" s="80">
        <f ca="1">Q237*(INDEX(Q$35:Q$37,MATCH(Work_Codes!$I$470,$D$35:$D$37,0)))</f>
        <v>0</v>
      </c>
      <c r="R257" s="80">
        <f ca="1">R237*(INDEX(R$35:R$37,MATCH(Work_Codes!$I$470,$D$35:$D$37,0)))</f>
        <v>0</v>
      </c>
      <c r="S257" s="80">
        <f ca="1">S237*(INDEX(S$35:S$37,MATCH(Work_Codes!$I$470,$D$35:$D$37,0)))</f>
        <v>0</v>
      </c>
      <c r="T257" s="80">
        <f ca="1">T237*(INDEX(T$35:T$37,MATCH(Work_Codes!$I$470,$D$35:$D$37,0)))</f>
        <v>0</v>
      </c>
    </row>
    <row r="258" spans="4:20" s="41" customFormat="1" outlineLevel="2">
      <c r="E258" s="251" t="str">
        <f>GC!C47</f>
        <v>Buildings</v>
      </c>
      <c r="F258" s="251"/>
      <c r="G258" s="251"/>
      <c r="H258" s="251"/>
      <c r="I258" s="251"/>
      <c r="J258" s="80">
        <f ca="1">J238*(INDEX(J$35:J$37,MATCH(Work_Codes!$I$470,$D$35:$D$37,0)))</f>
        <v>0</v>
      </c>
      <c r="K258" s="80">
        <f ca="1">K238*(INDEX(K$35:K$37,MATCH(Work_Codes!$I$470,$D$35:$D$37,0)))</f>
        <v>0</v>
      </c>
      <c r="L258" s="80">
        <f ca="1">L238*(INDEX(L$35:L$37,MATCH(Work_Codes!$I$470,$D$35:$D$37,0)))</f>
        <v>0</v>
      </c>
      <c r="M258" s="80">
        <f ca="1">M238*(INDEX(M$35:M$37,MATCH(Work_Codes!$I$470,$D$35:$D$37,0)))</f>
        <v>0</v>
      </c>
      <c r="N258" s="80">
        <f ca="1">N238*(INDEX(N$35:N$37,MATCH(Work_Codes!$I$470,$D$35:$D$37,0)))</f>
        <v>0</v>
      </c>
      <c r="O258" s="80">
        <f ca="1">O238*(INDEX(O$35:O$37,MATCH(Work_Codes!$I$470,$D$35:$D$37,0)))</f>
        <v>0</v>
      </c>
      <c r="P258" s="80">
        <f ca="1">P238*(INDEX(P$35:P$37,MATCH(Work_Codes!$I$470,$D$35:$D$37,0)))</f>
        <v>0</v>
      </c>
      <c r="Q258" s="80">
        <f ca="1">Q238*(INDEX(Q$35:Q$37,MATCH(Work_Codes!$I$470,$D$35:$D$37,0)))</f>
        <v>0</v>
      </c>
      <c r="R258" s="80">
        <f ca="1">R238*(INDEX(R$35:R$37,MATCH(Work_Codes!$I$470,$D$35:$D$37,0)))</f>
        <v>0</v>
      </c>
      <c r="S258" s="80">
        <f ca="1">S238*(INDEX(S$35:S$37,MATCH(Work_Codes!$I$470,$D$35:$D$37,0)))</f>
        <v>0</v>
      </c>
      <c r="T258" s="80">
        <f ca="1">T238*(INDEX(T$35:T$37,MATCH(Work_Codes!$I$470,$D$35:$D$37,0)))</f>
        <v>0</v>
      </c>
    </row>
    <row r="259" spans="4:20" s="41" customFormat="1" outlineLevel="2">
      <c r="E259" s="251" t="str">
        <f>GC!C48</f>
        <v>Other - IT</v>
      </c>
      <c r="F259" s="251"/>
      <c r="G259" s="251"/>
      <c r="H259" s="251"/>
      <c r="I259" s="251"/>
      <c r="J259" s="80">
        <f ca="1">J239*(INDEX(J$35:J$37,MATCH(Work_Codes!$I$470,$D$35:$D$37,0)))</f>
        <v>0</v>
      </c>
      <c r="K259" s="80">
        <f ca="1">K239*(INDEX(K$35:K$37,MATCH(Work_Codes!$I$470,$D$35:$D$37,0)))</f>
        <v>0</v>
      </c>
      <c r="L259" s="80">
        <f ca="1">L239*(INDEX(L$35:L$37,MATCH(Work_Codes!$I$470,$D$35:$D$37,0)))</f>
        <v>0</v>
      </c>
      <c r="M259" s="80">
        <f ca="1">M239*(INDEX(M$35:M$37,MATCH(Work_Codes!$I$470,$D$35:$D$37,0)))</f>
        <v>0</v>
      </c>
      <c r="N259" s="80">
        <f ca="1">N239*(INDEX(N$35:N$37,MATCH(Work_Codes!$I$470,$D$35:$D$37,0)))</f>
        <v>482892.13671703276</v>
      </c>
      <c r="O259" s="80">
        <f ca="1">O239*(INDEX(O$35:O$37,MATCH(Work_Codes!$I$470,$D$35:$D$37,0)))</f>
        <v>240518.96307125362</v>
      </c>
      <c r="P259" s="80">
        <f ca="1">P239*(INDEX(P$35:P$37,MATCH(Work_Codes!$I$470,$D$35:$D$37,0)))</f>
        <v>367837.92001283634</v>
      </c>
      <c r="Q259" s="80">
        <f ca="1">Q239*(INDEX(Q$35:Q$37,MATCH(Work_Codes!$I$470,$D$35:$D$37,0)))</f>
        <v>367673.96792037977</v>
      </c>
      <c r="R259" s="80">
        <f ca="1">R239*(INDEX(R$35:R$37,MATCH(Work_Codes!$I$470,$D$35:$D$37,0)))</f>
        <v>377607.76509437058</v>
      </c>
      <c r="S259" s="80">
        <f ca="1">S239*(INDEX(S$35:S$37,MATCH(Work_Codes!$I$470,$D$35:$D$37,0)))</f>
        <v>367276.33089167107</v>
      </c>
      <c r="T259" s="80">
        <f ca="1">T239*(INDEX(T$35:T$37,MATCH(Work_Codes!$I$470,$D$35:$D$37,0)))</f>
        <v>367076.9021378468</v>
      </c>
    </row>
    <row r="260" spans="4:20" s="41" customFormat="1" outlineLevel="2">
      <c r="E260" s="251" t="str">
        <f>GC!C49</f>
        <v>Other - non IT</v>
      </c>
      <c r="F260" s="251"/>
      <c r="G260" s="251"/>
      <c r="H260" s="251"/>
      <c r="I260" s="251"/>
      <c r="J260" s="80">
        <f ca="1">J240*(INDEX(J$35:J$37,MATCH(Work_Codes!$I$470,$D$35:$D$37,0)))</f>
        <v>0</v>
      </c>
      <c r="K260" s="80">
        <f ca="1">K240*(INDEX(K$35:K$37,MATCH(Work_Codes!$I$470,$D$35:$D$37,0)))</f>
        <v>0</v>
      </c>
      <c r="L260" s="80">
        <f ca="1">L240*(INDEX(L$35:L$37,MATCH(Work_Codes!$I$470,$D$35:$D$37,0)))</f>
        <v>0</v>
      </c>
      <c r="M260" s="80">
        <f ca="1">M240*(INDEX(M$35:M$37,MATCH(Work_Codes!$I$470,$D$35:$D$37,0)))</f>
        <v>0</v>
      </c>
      <c r="N260" s="80">
        <f ca="1">N240*(INDEX(N$35:N$37,MATCH(Work_Codes!$I$470,$D$35:$D$37,0)))</f>
        <v>0</v>
      </c>
      <c r="O260" s="80">
        <f ca="1">O240*(INDEX(O$35:O$37,MATCH(Work_Codes!$I$470,$D$35:$D$37,0)))</f>
        <v>0</v>
      </c>
      <c r="P260" s="80">
        <f ca="1">P240*(INDEX(P$35:P$37,MATCH(Work_Codes!$I$470,$D$35:$D$37,0)))</f>
        <v>0</v>
      </c>
      <c r="Q260" s="80">
        <f ca="1">Q240*(INDEX(Q$35:Q$37,MATCH(Work_Codes!$I$470,$D$35:$D$37,0)))</f>
        <v>0</v>
      </c>
      <c r="R260" s="80">
        <f ca="1">R240*(INDEX(R$35:R$37,MATCH(Work_Codes!$I$470,$D$35:$D$37,0)))</f>
        <v>0</v>
      </c>
      <c r="S260" s="80">
        <f ca="1">S240*(INDEX(S$35:S$37,MATCH(Work_Codes!$I$470,$D$35:$D$37,0)))</f>
        <v>0</v>
      </c>
      <c r="T260" s="80">
        <f ca="1">T240*(INDEX(T$35:T$37,MATCH(Work_Codes!$I$470,$D$35:$D$37,0)))</f>
        <v>0</v>
      </c>
    </row>
    <row r="261" spans="4:20" s="41" customFormat="1" outlineLevel="2">
      <c r="E261" s="251" t="str">
        <f>GC!C50</f>
        <v>Land</v>
      </c>
      <c r="F261" s="251"/>
      <c r="G261" s="251"/>
      <c r="H261" s="251"/>
      <c r="I261" s="251"/>
      <c r="J261" s="80">
        <f ca="1">J241*(INDEX(J$35:J$37,MATCH(Work_Codes!$I$470,$D$35:$D$37,0)))</f>
        <v>0</v>
      </c>
      <c r="K261" s="80">
        <f ca="1">K241*(INDEX(K$35:K$37,MATCH(Work_Codes!$I$470,$D$35:$D$37,0)))</f>
        <v>0</v>
      </c>
      <c r="L261" s="80">
        <f ca="1">L241*(INDEX(L$35:L$37,MATCH(Work_Codes!$I$470,$D$35:$D$37,0)))</f>
        <v>0</v>
      </c>
      <c r="M261" s="80">
        <f ca="1">M241*(INDEX(M$35:M$37,MATCH(Work_Codes!$I$470,$D$35:$D$37,0)))</f>
        <v>0</v>
      </c>
      <c r="N261" s="80">
        <f ca="1">N241*(INDEX(N$35:N$37,MATCH(Work_Codes!$I$470,$D$35:$D$37,0)))</f>
        <v>0</v>
      </c>
      <c r="O261" s="80">
        <f ca="1">O241*(INDEX(O$35:O$37,MATCH(Work_Codes!$I$470,$D$35:$D$37,0)))</f>
        <v>0</v>
      </c>
      <c r="P261" s="80">
        <f ca="1">P241*(INDEX(P$35:P$37,MATCH(Work_Codes!$I$470,$D$35:$D$37,0)))</f>
        <v>0</v>
      </c>
      <c r="Q261" s="80">
        <f ca="1">Q241*(INDEX(Q$35:Q$37,MATCH(Work_Codes!$I$470,$D$35:$D$37,0)))</f>
        <v>0</v>
      </c>
      <c r="R261" s="80">
        <f ca="1">R241*(INDEX(R$35:R$37,MATCH(Work_Codes!$I$470,$D$35:$D$37,0)))</f>
        <v>0</v>
      </c>
      <c r="S261" s="80">
        <f ca="1">S241*(INDEX(S$35:S$37,MATCH(Work_Codes!$I$470,$D$35:$D$37,0)))</f>
        <v>0</v>
      </c>
      <c r="T261" s="80">
        <f ca="1">T241*(INDEX(T$35:T$37,MATCH(Work_Codes!$I$470,$D$35:$D$37,0)))</f>
        <v>0</v>
      </c>
    </row>
    <row r="262" spans="4:20" s="41" customFormat="1" outlineLevel="2">
      <c r="E262" s="251" t="str">
        <f>GC!C51</f>
        <v>Capitalised Leases</v>
      </c>
      <c r="F262" s="251"/>
      <c r="G262" s="251"/>
      <c r="H262" s="251"/>
      <c r="I262" s="251"/>
      <c r="J262" s="80">
        <f ca="1">J242*(INDEX(J$35:J$37,MATCH(Work_Codes!$I$470,$D$35:$D$37,0)))</f>
        <v>0</v>
      </c>
      <c r="K262" s="80">
        <f ca="1">K242*(INDEX(K$35:K$37,MATCH(Work_Codes!$I$470,$D$35:$D$37,0)))</f>
        <v>0</v>
      </c>
      <c r="L262" s="80">
        <f ca="1">L242*(INDEX(L$35:L$37,MATCH(Work_Codes!$I$470,$D$35:$D$37,0)))</f>
        <v>0</v>
      </c>
      <c r="M262" s="80">
        <f ca="1">M242*(INDEX(M$35:M$37,MATCH(Work_Codes!$I$470,$D$35:$D$37,0)))</f>
        <v>0</v>
      </c>
      <c r="N262" s="80">
        <f ca="1">N242*(INDEX(N$35:N$37,MATCH(Work_Codes!$I$470,$D$35:$D$37,0)))</f>
        <v>0</v>
      </c>
      <c r="O262" s="80">
        <f ca="1">O242*(INDEX(O$35:O$37,MATCH(Work_Codes!$I$470,$D$35:$D$37,0)))</f>
        <v>0</v>
      </c>
      <c r="P262" s="80">
        <f ca="1">P242*(INDEX(P$35:P$37,MATCH(Work_Codes!$I$470,$D$35:$D$37,0)))</f>
        <v>0</v>
      </c>
      <c r="Q262" s="80">
        <f ca="1">Q242*(INDEX(Q$35:Q$37,MATCH(Work_Codes!$I$470,$D$35:$D$37,0)))</f>
        <v>0</v>
      </c>
      <c r="R262" s="80">
        <f ca="1">R242*(INDEX(R$35:R$37,MATCH(Work_Codes!$I$470,$D$35:$D$37,0)))</f>
        <v>0</v>
      </c>
      <c r="S262" s="80">
        <f ca="1">S242*(INDEX(S$35:S$37,MATCH(Work_Codes!$I$470,$D$35:$D$37,0)))</f>
        <v>0</v>
      </c>
      <c r="T262" s="80">
        <f ca="1">T242*(INDEX(T$35:T$37,MATCH(Work_Codes!$I$470,$D$35:$D$37,0)))</f>
        <v>0</v>
      </c>
    </row>
    <row r="263" spans="4:20" s="41" customFormat="1" outlineLevel="2">
      <c r="E263" s="251" t="str">
        <f>GC!C52</f>
        <v>Transmission pipelines - post 1998</v>
      </c>
      <c r="F263" s="251"/>
      <c r="G263" s="251"/>
      <c r="H263" s="251"/>
      <c r="I263" s="251"/>
      <c r="J263" s="80">
        <f ca="1">J243*(INDEX(J$35:J$37,MATCH(Work_Codes!$I$470,$D$35:$D$37,0)))</f>
        <v>0</v>
      </c>
      <c r="K263" s="80">
        <f ca="1">K243*(INDEX(K$35:K$37,MATCH(Work_Codes!$I$470,$D$35:$D$37,0)))</f>
        <v>0</v>
      </c>
      <c r="L263" s="80">
        <f ca="1">L243*(INDEX(L$35:L$37,MATCH(Work_Codes!$I$470,$D$35:$D$37,0)))</f>
        <v>0</v>
      </c>
      <c r="M263" s="80">
        <f ca="1">M243*(INDEX(M$35:M$37,MATCH(Work_Codes!$I$470,$D$35:$D$37,0)))</f>
        <v>0</v>
      </c>
      <c r="N263" s="80">
        <f ca="1">N243*(INDEX(N$35:N$37,MATCH(Work_Codes!$I$470,$D$35:$D$37,0)))</f>
        <v>0</v>
      </c>
      <c r="O263" s="80">
        <f ca="1">O243*(INDEX(O$35:O$37,MATCH(Work_Codes!$I$470,$D$35:$D$37,0)))</f>
        <v>0</v>
      </c>
      <c r="P263" s="80">
        <f ca="1">P243*(INDEX(P$35:P$37,MATCH(Work_Codes!$I$470,$D$35:$D$37,0)))</f>
        <v>0</v>
      </c>
      <c r="Q263" s="80">
        <f ca="1">Q243*(INDEX(Q$35:Q$37,MATCH(Work_Codes!$I$470,$D$35:$D$37,0)))</f>
        <v>0</v>
      </c>
      <c r="R263" s="80">
        <f ca="1">R243*(INDEX(R$35:R$37,MATCH(Work_Codes!$I$470,$D$35:$D$37,0)))</f>
        <v>0</v>
      </c>
      <c r="S263" s="80">
        <f ca="1">S243*(INDEX(S$35:S$37,MATCH(Work_Codes!$I$470,$D$35:$D$37,0)))</f>
        <v>0</v>
      </c>
      <c r="T263" s="80">
        <f ca="1">T243*(INDEX(T$35:T$37,MATCH(Work_Codes!$I$470,$D$35:$D$37,0)))</f>
        <v>0</v>
      </c>
    </row>
    <row r="264" spans="4:20" s="41" customFormat="1" outlineLevel="2">
      <c r="E264" s="251" t="str">
        <f>GC!C53</f>
        <v>Distribution pipelines - post 1998</v>
      </c>
      <c r="F264" s="251"/>
      <c r="G264" s="251"/>
      <c r="H264" s="251"/>
      <c r="I264" s="251"/>
      <c r="J264" s="80">
        <f ca="1">J244*(INDEX(J$35:J$37,MATCH(Work_Codes!$I$470,$D$35:$D$37,0)))</f>
        <v>0</v>
      </c>
      <c r="K264" s="80">
        <f ca="1">K244*(INDEX(K$35:K$37,MATCH(Work_Codes!$I$470,$D$35:$D$37,0)))</f>
        <v>0</v>
      </c>
      <c r="L264" s="80">
        <f ca="1">L244*(INDEX(L$35:L$37,MATCH(Work_Codes!$I$470,$D$35:$D$37,0)))</f>
        <v>0</v>
      </c>
      <c r="M264" s="80">
        <f ca="1">M244*(INDEX(M$35:M$37,MATCH(Work_Codes!$I$470,$D$35:$D$37,0)))</f>
        <v>0</v>
      </c>
      <c r="N264" s="80">
        <f ca="1">N244*(INDEX(N$35:N$37,MATCH(Work_Codes!$I$470,$D$35:$D$37,0)))</f>
        <v>0</v>
      </c>
      <c r="O264" s="80">
        <f ca="1">O244*(INDEX(O$35:O$37,MATCH(Work_Codes!$I$470,$D$35:$D$37,0)))</f>
        <v>0</v>
      </c>
      <c r="P264" s="80">
        <f ca="1">P244*(INDEX(P$35:P$37,MATCH(Work_Codes!$I$470,$D$35:$D$37,0)))</f>
        <v>0</v>
      </c>
      <c r="Q264" s="80">
        <f ca="1">Q244*(INDEX(Q$35:Q$37,MATCH(Work_Codes!$I$470,$D$35:$D$37,0)))</f>
        <v>0</v>
      </c>
      <c r="R264" s="80">
        <f ca="1">R244*(INDEX(R$35:R$37,MATCH(Work_Codes!$I$470,$D$35:$D$37,0)))</f>
        <v>0</v>
      </c>
      <c r="S264" s="80">
        <f ca="1">S244*(INDEX(S$35:S$37,MATCH(Work_Codes!$I$470,$D$35:$D$37,0)))</f>
        <v>0</v>
      </c>
      <c r="T264" s="80">
        <f ca="1">T244*(INDEX(T$35:T$37,MATCH(Work_Codes!$I$470,$D$35:$D$37,0)))</f>
        <v>0</v>
      </c>
    </row>
    <row r="265" spans="4:20" s="41" customFormat="1" outlineLevel="2">
      <c r="E265" s="251" t="str">
        <f>GC!C54</f>
        <v>Service pipes - post 1998</v>
      </c>
      <c r="F265" s="251"/>
      <c r="G265" s="251"/>
      <c r="H265" s="251"/>
      <c r="I265" s="251"/>
      <c r="J265" s="80">
        <f ca="1">J245*(INDEX(J$35:J$37,MATCH(Work_Codes!$I$470,$D$35:$D$37,0)))</f>
        <v>0</v>
      </c>
      <c r="K265" s="80">
        <f ca="1">K245*(INDEX(K$35:K$37,MATCH(Work_Codes!$I$470,$D$35:$D$37,0)))</f>
        <v>0</v>
      </c>
      <c r="L265" s="80">
        <f ca="1">L245*(INDEX(L$35:L$37,MATCH(Work_Codes!$I$470,$D$35:$D$37,0)))</f>
        <v>0</v>
      </c>
      <c r="M265" s="80">
        <f ca="1">M245*(INDEX(M$35:M$37,MATCH(Work_Codes!$I$470,$D$35:$D$37,0)))</f>
        <v>0</v>
      </c>
      <c r="N265" s="80">
        <f ca="1">N245*(INDEX(N$35:N$37,MATCH(Work_Codes!$I$470,$D$35:$D$37,0)))</f>
        <v>0</v>
      </c>
      <c r="O265" s="80">
        <f ca="1">O245*(INDEX(O$35:O$37,MATCH(Work_Codes!$I$470,$D$35:$D$37,0)))</f>
        <v>0</v>
      </c>
      <c r="P265" s="80">
        <f ca="1">P245*(INDEX(P$35:P$37,MATCH(Work_Codes!$I$470,$D$35:$D$37,0)))</f>
        <v>0</v>
      </c>
      <c r="Q265" s="80">
        <f ca="1">Q245*(INDEX(Q$35:Q$37,MATCH(Work_Codes!$I$470,$D$35:$D$37,0)))</f>
        <v>0</v>
      </c>
      <c r="R265" s="80">
        <f ca="1">R245*(INDEX(R$35:R$37,MATCH(Work_Codes!$I$470,$D$35:$D$37,0)))</f>
        <v>0</v>
      </c>
      <c r="S265" s="80">
        <f ca="1">S245*(INDEX(S$35:S$37,MATCH(Work_Codes!$I$470,$D$35:$D$37,0)))</f>
        <v>0</v>
      </c>
      <c r="T265" s="80">
        <f ca="1">T245*(INDEX(T$35:T$37,MATCH(Work_Codes!$I$470,$D$35:$D$37,0)))</f>
        <v>0</v>
      </c>
    </row>
    <row r="266" spans="4:20" s="41" customFormat="1" outlineLevel="2">
      <c r="E266" s="251" t="str">
        <f>GC!C55</f>
        <v>Cathodic protection - post 1998</v>
      </c>
      <c r="F266" s="251"/>
      <c r="G266" s="251"/>
      <c r="H266" s="251"/>
      <c r="I266" s="251"/>
      <c r="J266" s="80">
        <f ca="1">J246*(INDEX(J$35:J$37,MATCH(Work_Codes!$I$470,$D$35:$D$37,0)))</f>
        <v>0</v>
      </c>
      <c r="K266" s="80">
        <f ca="1">K246*(INDEX(K$35:K$37,MATCH(Work_Codes!$I$470,$D$35:$D$37,0)))</f>
        <v>0</v>
      </c>
      <c r="L266" s="80">
        <f ca="1">L246*(INDEX(L$35:L$37,MATCH(Work_Codes!$I$470,$D$35:$D$37,0)))</f>
        <v>0</v>
      </c>
      <c r="M266" s="80">
        <f ca="1">M246*(INDEX(M$35:M$37,MATCH(Work_Codes!$I$470,$D$35:$D$37,0)))</f>
        <v>0</v>
      </c>
      <c r="N266" s="80">
        <f ca="1">N246*(INDEX(N$35:N$37,MATCH(Work_Codes!$I$470,$D$35:$D$37,0)))</f>
        <v>0</v>
      </c>
      <c r="O266" s="80">
        <f ca="1">O246*(INDEX(O$35:O$37,MATCH(Work_Codes!$I$470,$D$35:$D$37,0)))</f>
        <v>0</v>
      </c>
      <c r="P266" s="80">
        <f ca="1">P246*(INDEX(P$35:P$37,MATCH(Work_Codes!$I$470,$D$35:$D$37,0)))</f>
        <v>0</v>
      </c>
      <c r="Q266" s="80">
        <f ca="1">Q246*(INDEX(Q$35:Q$37,MATCH(Work_Codes!$I$470,$D$35:$D$37,0)))</f>
        <v>0</v>
      </c>
      <c r="R266" s="80">
        <f ca="1">R246*(INDEX(R$35:R$37,MATCH(Work_Codes!$I$470,$D$35:$D$37,0)))</f>
        <v>0</v>
      </c>
      <c r="S266" s="80">
        <f ca="1">S246*(INDEX(S$35:S$37,MATCH(Work_Codes!$I$470,$D$35:$D$37,0)))</f>
        <v>0</v>
      </c>
      <c r="T266" s="80">
        <f ca="1">T246*(INDEX(T$35:T$37,MATCH(Work_Codes!$I$470,$D$35:$D$37,0)))</f>
        <v>0</v>
      </c>
    </row>
    <row r="267" spans="4:20" s="41" customFormat="1" outlineLevel="2">
      <c r="E267" s="250" t="str">
        <f>"Total "&amp;D249</f>
        <v>Total Overheads</v>
      </c>
      <c r="F267" s="250"/>
      <c r="G267" s="250"/>
      <c r="H267" s="250"/>
      <c r="I267" s="250"/>
      <c r="J267" s="101">
        <f t="shared" ref="J267:T267" ca="1" si="55">SUM(J251:J266)</f>
        <v>0</v>
      </c>
      <c r="K267" s="101">
        <f t="shared" ca="1" si="55"/>
        <v>0</v>
      </c>
      <c r="L267" s="101">
        <f t="shared" ca="1" si="55"/>
        <v>0</v>
      </c>
      <c r="M267" s="101">
        <f t="shared" ca="1" si="55"/>
        <v>0</v>
      </c>
      <c r="N267" s="101">
        <f t="shared" ca="1" si="55"/>
        <v>482892.13671703276</v>
      </c>
      <c r="O267" s="101">
        <f t="shared" ca="1" si="55"/>
        <v>240518.96307125362</v>
      </c>
      <c r="P267" s="101">
        <f t="shared" ca="1" si="55"/>
        <v>367837.92001283634</v>
      </c>
      <c r="Q267" s="101">
        <f t="shared" ca="1" si="55"/>
        <v>367673.96792037977</v>
      </c>
      <c r="R267" s="101">
        <f t="shared" ca="1" si="55"/>
        <v>377607.76509437058</v>
      </c>
      <c r="S267" s="101">
        <f t="shared" ca="1" si="55"/>
        <v>367276.33089167107</v>
      </c>
      <c r="T267" s="101">
        <f t="shared" ca="1" si="55"/>
        <v>367076.9021378468</v>
      </c>
    </row>
    <row r="268" spans="4:20" outlineLevel="2"/>
    <row r="269" spans="4:20" outlineLevel="2">
      <c r="D269" s="37" t="s">
        <v>216</v>
      </c>
    </row>
    <row r="270" spans="4:20" ht="5.9" customHeight="1" outlineLevel="2"/>
    <row r="271" spans="4:20" s="41" customFormat="1" ht="11.5" customHeight="1" outlineLevel="2">
      <c r="E271" s="251" t="str">
        <f>GC!C40</f>
        <v>Transmission pipelines</v>
      </c>
      <c r="F271" s="251"/>
      <c r="G271" s="251"/>
      <c r="H271" s="251"/>
      <c r="I271" s="251"/>
      <c r="J271" s="80">
        <f ca="1">J231*(1+INDEX(J$35:J$37,MATCH(Work_Codes!$I$470,$D$35:$D$37,0)))</f>
        <v>0</v>
      </c>
      <c r="K271" s="80">
        <f ca="1">K231*(1+INDEX(K$35:K$37,MATCH(Work_Codes!$I$470,$D$35:$D$37,0)))</f>
        <v>0</v>
      </c>
      <c r="L271" s="80">
        <f ca="1">L231*(1+INDEX(L$35:L$37,MATCH(Work_Codes!$I$470,$D$35:$D$37,0)))</f>
        <v>0</v>
      </c>
      <c r="M271" s="80">
        <f ca="1">M231*(1+INDEX(M$35:M$37,MATCH(Work_Codes!$I$470,$D$35:$D$37,0)))</f>
        <v>0</v>
      </c>
      <c r="N271" s="80">
        <f ca="1">N231*(1+INDEX(N$35:N$37,MATCH(Work_Codes!$I$470,$D$35:$D$37,0)))</f>
        <v>0</v>
      </c>
      <c r="O271" s="80">
        <f ca="1">O231*(1+INDEX(O$35:O$37,MATCH(Work_Codes!$I$470,$D$35:$D$37,0)))</f>
        <v>0</v>
      </c>
      <c r="P271" s="80">
        <f ca="1">P231*(1+INDEX(P$35:P$37,MATCH(Work_Codes!$I$470,$D$35:$D$37,0)))</f>
        <v>0</v>
      </c>
      <c r="Q271" s="80">
        <f ca="1">Q231*(1+INDEX(Q$35:Q$37,MATCH(Work_Codes!$I$470,$D$35:$D$37,0)))</f>
        <v>0</v>
      </c>
      <c r="R271" s="80">
        <f ca="1">R231*(1+INDEX(R$35:R$37,MATCH(Work_Codes!$I$470,$D$35:$D$37,0)))</f>
        <v>0</v>
      </c>
      <c r="S271" s="80">
        <f ca="1">S231*(1+INDEX(S$35:S$37,MATCH(Work_Codes!$I$470,$D$35:$D$37,0)))</f>
        <v>0</v>
      </c>
      <c r="T271" s="80">
        <f ca="1">T231*(1+INDEX(T$35:T$37,MATCH(Work_Codes!$I$470,$D$35:$D$37,0)))</f>
        <v>0</v>
      </c>
    </row>
    <row r="272" spans="4:20" s="41" customFormat="1" ht="11.5" customHeight="1" outlineLevel="2">
      <c r="E272" s="251" t="str">
        <f>GC!C41</f>
        <v>Distribution pipelines</v>
      </c>
      <c r="F272" s="251"/>
      <c r="G272" s="251"/>
      <c r="H272" s="251"/>
      <c r="I272" s="251"/>
      <c r="J272" s="80">
        <f ca="1">J232*(1+INDEX(J$35:J$37,MATCH(Work_Codes!$I$470,$D$35:$D$37,0)))</f>
        <v>0</v>
      </c>
      <c r="K272" s="80">
        <f ca="1">K232*(1+INDEX(K$35:K$37,MATCH(Work_Codes!$I$470,$D$35:$D$37,0)))</f>
        <v>0</v>
      </c>
      <c r="L272" s="80">
        <f ca="1">L232*(1+INDEX(L$35:L$37,MATCH(Work_Codes!$I$470,$D$35:$D$37,0)))</f>
        <v>0</v>
      </c>
      <c r="M272" s="80">
        <f ca="1">M232*(1+INDEX(M$35:M$37,MATCH(Work_Codes!$I$470,$D$35:$D$37,0)))</f>
        <v>0</v>
      </c>
      <c r="N272" s="80">
        <f ca="1">N232*(1+INDEX(N$35:N$37,MATCH(Work_Codes!$I$470,$D$35:$D$37,0)))</f>
        <v>0</v>
      </c>
      <c r="O272" s="80">
        <f ca="1">O232*(1+INDEX(O$35:O$37,MATCH(Work_Codes!$I$470,$D$35:$D$37,0)))</f>
        <v>0</v>
      </c>
      <c r="P272" s="80">
        <f ca="1">P232*(1+INDEX(P$35:P$37,MATCH(Work_Codes!$I$470,$D$35:$D$37,0)))</f>
        <v>0</v>
      </c>
      <c r="Q272" s="80">
        <f ca="1">Q232*(1+INDEX(Q$35:Q$37,MATCH(Work_Codes!$I$470,$D$35:$D$37,0)))</f>
        <v>0</v>
      </c>
      <c r="R272" s="80">
        <f ca="1">R232*(1+INDEX(R$35:R$37,MATCH(Work_Codes!$I$470,$D$35:$D$37,0)))</f>
        <v>0</v>
      </c>
      <c r="S272" s="80">
        <f ca="1">S232*(1+INDEX(S$35:S$37,MATCH(Work_Codes!$I$470,$D$35:$D$37,0)))</f>
        <v>0</v>
      </c>
      <c r="T272" s="80">
        <f ca="1">T232*(1+INDEX(T$35:T$37,MATCH(Work_Codes!$I$470,$D$35:$D$37,0)))</f>
        <v>0</v>
      </c>
    </row>
    <row r="273" spans="5:20" s="41" customFormat="1" ht="11.5" customHeight="1" outlineLevel="2">
      <c r="E273" s="251" t="str">
        <f>GC!C42</f>
        <v>Service pipes</v>
      </c>
      <c r="F273" s="251"/>
      <c r="G273" s="251"/>
      <c r="H273" s="251"/>
      <c r="I273" s="251"/>
      <c r="J273" s="80">
        <f ca="1">J233*(1+INDEX(J$35:J$37,MATCH(Work_Codes!$I$470,$D$35:$D$37,0)))</f>
        <v>0</v>
      </c>
      <c r="K273" s="80">
        <f ca="1">K233*(1+INDEX(K$35:K$37,MATCH(Work_Codes!$I$470,$D$35:$D$37,0)))</f>
        <v>0</v>
      </c>
      <c r="L273" s="80">
        <f ca="1">L233*(1+INDEX(L$35:L$37,MATCH(Work_Codes!$I$470,$D$35:$D$37,0)))</f>
        <v>0</v>
      </c>
      <c r="M273" s="80">
        <f ca="1">M233*(1+INDEX(M$35:M$37,MATCH(Work_Codes!$I$470,$D$35:$D$37,0)))</f>
        <v>0</v>
      </c>
      <c r="N273" s="80">
        <f ca="1">N233*(1+INDEX(N$35:N$37,MATCH(Work_Codes!$I$470,$D$35:$D$37,0)))</f>
        <v>0</v>
      </c>
      <c r="O273" s="80">
        <f ca="1">O233*(1+INDEX(O$35:O$37,MATCH(Work_Codes!$I$470,$D$35:$D$37,0)))</f>
        <v>0</v>
      </c>
      <c r="P273" s="80">
        <f ca="1">P233*(1+INDEX(P$35:P$37,MATCH(Work_Codes!$I$470,$D$35:$D$37,0)))</f>
        <v>0</v>
      </c>
      <c r="Q273" s="80">
        <f ca="1">Q233*(1+INDEX(Q$35:Q$37,MATCH(Work_Codes!$I$470,$D$35:$D$37,0)))</f>
        <v>0</v>
      </c>
      <c r="R273" s="80">
        <f ca="1">R233*(1+INDEX(R$35:R$37,MATCH(Work_Codes!$I$470,$D$35:$D$37,0)))</f>
        <v>0</v>
      </c>
      <c r="S273" s="80">
        <f ca="1">S233*(1+INDEX(S$35:S$37,MATCH(Work_Codes!$I$470,$D$35:$D$37,0)))</f>
        <v>0</v>
      </c>
      <c r="T273" s="80">
        <f ca="1">T233*(1+INDEX(T$35:T$37,MATCH(Work_Codes!$I$470,$D$35:$D$37,0)))</f>
        <v>0</v>
      </c>
    </row>
    <row r="274" spans="5:20" s="41" customFormat="1" ht="11.5" customHeight="1" outlineLevel="2">
      <c r="E274" s="251" t="str">
        <f>GC!C43</f>
        <v>Cathodic protection</v>
      </c>
      <c r="F274" s="251"/>
      <c r="G274" s="251"/>
      <c r="H274" s="251"/>
      <c r="I274" s="251"/>
      <c r="J274" s="80">
        <f ca="1">J234*(1+INDEX(J$35:J$37,MATCH(Work_Codes!$I$470,$D$35:$D$37,0)))</f>
        <v>0</v>
      </c>
      <c r="K274" s="80">
        <f ca="1">K234*(1+INDEX(K$35:K$37,MATCH(Work_Codes!$I$470,$D$35:$D$37,0)))</f>
        <v>0</v>
      </c>
      <c r="L274" s="80">
        <f ca="1">L234*(1+INDEX(L$35:L$37,MATCH(Work_Codes!$I$470,$D$35:$D$37,0)))</f>
        <v>0</v>
      </c>
      <c r="M274" s="80">
        <f ca="1">M234*(1+INDEX(M$35:M$37,MATCH(Work_Codes!$I$470,$D$35:$D$37,0)))</f>
        <v>0</v>
      </c>
      <c r="N274" s="80">
        <f ca="1">N234*(1+INDEX(N$35:N$37,MATCH(Work_Codes!$I$470,$D$35:$D$37,0)))</f>
        <v>0</v>
      </c>
      <c r="O274" s="80">
        <f ca="1">O234*(1+INDEX(O$35:O$37,MATCH(Work_Codes!$I$470,$D$35:$D$37,0)))</f>
        <v>0</v>
      </c>
      <c r="P274" s="80">
        <f ca="1">P234*(1+INDEX(P$35:P$37,MATCH(Work_Codes!$I$470,$D$35:$D$37,0)))</f>
        <v>0</v>
      </c>
      <c r="Q274" s="80">
        <f ca="1">Q234*(1+INDEX(Q$35:Q$37,MATCH(Work_Codes!$I$470,$D$35:$D$37,0)))</f>
        <v>0</v>
      </c>
      <c r="R274" s="80">
        <f ca="1">R234*(1+INDEX(R$35:R$37,MATCH(Work_Codes!$I$470,$D$35:$D$37,0)))</f>
        <v>0</v>
      </c>
      <c r="S274" s="80">
        <f ca="1">S234*(1+INDEX(S$35:S$37,MATCH(Work_Codes!$I$470,$D$35:$D$37,0)))</f>
        <v>0</v>
      </c>
      <c r="T274" s="80">
        <f ca="1">T234*(1+INDEX(T$35:T$37,MATCH(Work_Codes!$I$470,$D$35:$D$37,0)))</f>
        <v>0</v>
      </c>
    </row>
    <row r="275" spans="5:20" s="41" customFormat="1" ht="11.5" customHeight="1" outlineLevel="2">
      <c r="E275" s="251" t="str">
        <f>GC!C44</f>
        <v>Supply Regulators / Valve Stations</v>
      </c>
      <c r="F275" s="251"/>
      <c r="G275" s="251"/>
      <c r="H275" s="251"/>
      <c r="I275" s="251"/>
      <c r="J275" s="80">
        <f ca="1">J235*(1+INDEX(J$35:J$37,MATCH(Work_Codes!$I$470,$D$35:$D$37,0)))</f>
        <v>0</v>
      </c>
      <c r="K275" s="80">
        <f ca="1">K235*(1+INDEX(K$35:K$37,MATCH(Work_Codes!$I$470,$D$35:$D$37,0)))</f>
        <v>0</v>
      </c>
      <c r="L275" s="80">
        <f ca="1">L235*(1+INDEX(L$35:L$37,MATCH(Work_Codes!$I$470,$D$35:$D$37,0)))</f>
        <v>0</v>
      </c>
      <c r="M275" s="80">
        <f ca="1">M235*(1+INDEX(M$35:M$37,MATCH(Work_Codes!$I$470,$D$35:$D$37,0)))</f>
        <v>0</v>
      </c>
      <c r="N275" s="80">
        <f ca="1">N235*(1+INDEX(N$35:N$37,MATCH(Work_Codes!$I$470,$D$35:$D$37,0)))</f>
        <v>0</v>
      </c>
      <c r="O275" s="80">
        <f ca="1">O235*(1+INDEX(O$35:O$37,MATCH(Work_Codes!$I$470,$D$35:$D$37,0)))</f>
        <v>0</v>
      </c>
      <c r="P275" s="80">
        <f ca="1">P235*(1+INDEX(P$35:P$37,MATCH(Work_Codes!$I$470,$D$35:$D$37,0)))</f>
        <v>0</v>
      </c>
      <c r="Q275" s="80">
        <f ca="1">Q235*(1+INDEX(Q$35:Q$37,MATCH(Work_Codes!$I$470,$D$35:$D$37,0)))</f>
        <v>0</v>
      </c>
      <c r="R275" s="80">
        <f ca="1">R235*(1+INDEX(R$35:R$37,MATCH(Work_Codes!$I$470,$D$35:$D$37,0)))</f>
        <v>0</v>
      </c>
      <c r="S275" s="80">
        <f ca="1">S235*(1+INDEX(S$35:S$37,MATCH(Work_Codes!$I$470,$D$35:$D$37,0)))</f>
        <v>0</v>
      </c>
      <c r="T275" s="80">
        <f ca="1">T235*(1+INDEX(T$35:T$37,MATCH(Work_Codes!$I$470,$D$35:$D$37,0)))</f>
        <v>0</v>
      </c>
    </row>
    <row r="276" spans="5:20" s="41" customFormat="1" ht="11.5" customHeight="1" outlineLevel="2">
      <c r="E276" s="251" t="str">
        <f>GC!C45</f>
        <v>Meters</v>
      </c>
      <c r="F276" s="251"/>
      <c r="G276" s="251"/>
      <c r="H276" s="251"/>
      <c r="I276" s="251"/>
      <c r="J276" s="80">
        <f ca="1">J236*(1+INDEX(J$35:J$37,MATCH(Work_Codes!$I$470,$D$35:$D$37,0)))</f>
        <v>0</v>
      </c>
      <c r="K276" s="80">
        <f ca="1">K236*(1+INDEX(K$35:K$37,MATCH(Work_Codes!$I$470,$D$35:$D$37,0)))</f>
        <v>0</v>
      </c>
      <c r="L276" s="80">
        <f ca="1">L236*(1+INDEX(L$35:L$37,MATCH(Work_Codes!$I$470,$D$35:$D$37,0)))</f>
        <v>0</v>
      </c>
      <c r="M276" s="80">
        <f ca="1">M236*(1+INDEX(M$35:M$37,MATCH(Work_Codes!$I$470,$D$35:$D$37,0)))</f>
        <v>0</v>
      </c>
      <c r="N276" s="80">
        <f ca="1">N236*(1+INDEX(N$35:N$37,MATCH(Work_Codes!$I$470,$D$35:$D$37,0)))</f>
        <v>0</v>
      </c>
      <c r="O276" s="80">
        <f ca="1">O236*(1+INDEX(O$35:O$37,MATCH(Work_Codes!$I$470,$D$35:$D$37,0)))</f>
        <v>0</v>
      </c>
      <c r="P276" s="80">
        <f ca="1">P236*(1+INDEX(P$35:P$37,MATCH(Work_Codes!$I$470,$D$35:$D$37,0)))</f>
        <v>0</v>
      </c>
      <c r="Q276" s="80">
        <f ca="1">Q236*(1+INDEX(Q$35:Q$37,MATCH(Work_Codes!$I$470,$D$35:$D$37,0)))</f>
        <v>0</v>
      </c>
      <c r="R276" s="80">
        <f ca="1">R236*(1+INDEX(R$35:R$37,MATCH(Work_Codes!$I$470,$D$35:$D$37,0)))</f>
        <v>0</v>
      </c>
      <c r="S276" s="80">
        <f ca="1">S236*(1+INDEX(S$35:S$37,MATCH(Work_Codes!$I$470,$D$35:$D$37,0)))</f>
        <v>0</v>
      </c>
      <c r="T276" s="80">
        <f ca="1">T236*(1+INDEX(T$35:T$37,MATCH(Work_Codes!$I$470,$D$35:$D$37,0)))</f>
        <v>0</v>
      </c>
    </row>
    <row r="277" spans="5:20" s="41" customFormat="1" ht="11.5" customHeight="1" outlineLevel="2">
      <c r="E277" s="251" t="str">
        <f>GC!C46</f>
        <v>SCADA and remote control</v>
      </c>
      <c r="F277" s="251"/>
      <c r="G277" s="251"/>
      <c r="H277" s="251"/>
      <c r="I277" s="251"/>
      <c r="J277" s="80">
        <f ca="1">J237*(1+INDEX(J$35:J$37,MATCH(Work_Codes!$I$470,$D$35:$D$37,0)))</f>
        <v>0</v>
      </c>
      <c r="K277" s="80">
        <f ca="1">K237*(1+INDEX(K$35:K$37,MATCH(Work_Codes!$I$470,$D$35:$D$37,0)))</f>
        <v>0</v>
      </c>
      <c r="L277" s="80">
        <f ca="1">L237*(1+INDEX(L$35:L$37,MATCH(Work_Codes!$I$470,$D$35:$D$37,0)))</f>
        <v>0</v>
      </c>
      <c r="M277" s="80">
        <f ca="1">M237*(1+INDEX(M$35:M$37,MATCH(Work_Codes!$I$470,$D$35:$D$37,0)))</f>
        <v>0</v>
      </c>
      <c r="N277" s="80">
        <f ca="1">N237*(1+INDEX(N$35:N$37,MATCH(Work_Codes!$I$470,$D$35:$D$37,0)))</f>
        <v>0</v>
      </c>
      <c r="O277" s="80">
        <f ca="1">O237*(1+INDEX(O$35:O$37,MATCH(Work_Codes!$I$470,$D$35:$D$37,0)))</f>
        <v>0</v>
      </c>
      <c r="P277" s="80">
        <f ca="1">P237*(1+INDEX(P$35:P$37,MATCH(Work_Codes!$I$470,$D$35:$D$37,0)))</f>
        <v>0</v>
      </c>
      <c r="Q277" s="80">
        <f ca="1">Q237*(1+INDEX(Q$35:Q$37,MATCH(Work_Codes!$I$470,$D$35:$D$37,0)))</f>
        <v>0</v>
      </c>
      <c r="R277" s="80">
        <f ca="1">R237*(1+INDEX(R$35:R$37,MATCH(Work_Codes!$I$470,$D$35:$D$37,0)))</f>
        <v>0</v>
      </c>
      <c r="S277" s="80">
        <f ca="1">S237*(1+INDEX(S$35:S$37,MATCH(Work_Codes!$I$470,$D$35:$D$37,0)))</f>
        <v>0</v>
      </c>
      <c r="T277" s="80">
        <f ca="1">T237*(1+INDEX(T$35:T$37,MATCH(Work_Codes!$I$470,$D$35:$D$37,0)))</f>
        <v>0</v>
      </c>
    </row>
    <row r="278" spans="5:20" s="41" customFormat="1" ht="11.5" customHeight="1" outlineLevel="2">
      <c r="E278" s="251" t="str">
        <f>GC!C47</f>
        <v>Buildings</v>
      </c>
      <c r="F278" s="251"/>
      <c r="G278" s="251"/>
      <c r="H278" s="251"/>
      <c r="I278" s="251"/>
      <c r="J278" s="80">
        <f ca="1">J238*(1+INDEX(J$35:J$37,MATCH(Work_Codes!$I$470,$D$35:$D$37,0)))</f>
        <v>0</v>
      </c>
      <c r="K278" s="80">
        <f ca="1">K238*(1+INDEX(K$35:K$37,MATCH(Work_Codes!$I$470,$D$35:$D$37,0)))</f>
        <v>0</v>
      </c>
      <c r="L278" s="80">
        <f ca="1">L238*(1+INDEX(L$35:L$37,MATCH(Work_Codes!$I$470,$D$35:$D$37,0)))</f>
        <v>0</v>
      </c>
      <c r="M278" s="80">
        <f ca="1">M238*(1+INDEX(M$35:M$37,MATCH(Work_Codes!$I$470,$D$35:$D$37,0)))</f>
        <v>0</v>
      </c>
      <c r="N278" s="80">
        <f ca="1">N238*(1+INDEX(N$35:N$37,MATCH(Work_Codes!$I$470,$D$35:$D$37,0)))</f>
        <v>0</v>
      </c>
      <c r="O278" s="80">
        <f ca="1">O238*(1+INDEX(O$35:O$37,MATCH(Work_Codes!$I$470,$D$35:$D$37,0)))</f>
        <v>0</v>
      </c>
      <c r="P278" s="80">
        <f ca="1">P238*(1+INDEX(P$35:P$37,MATCH(Work_Codes!$I$470,$D$35:$D$37,0)))</f>
        <v>0</v>
      </c>
      <c r="Q278" s="80">
        <f ca="1">Q238*(1+INDEX(Q$35:Q$37,MATCH(Work_Codes!$I$470,$D$35:$D$37,0)))</f>
        <v>0</v>
      </c>
      <c r="R278" s="80">
        <f ca="1">R238*(1+INDEX(R$35:R$37,MATCH(Work_Codes!$I$470,$D$35:$D$37,0)))</f>
        <v>0</v>
      </c>
      <c r="S278" s="80">
        <f ca="1">S238*(1+INDEX(S$35:S$37,MATCH(Work_Codes!$I$470,$D$35:$D$37,0)))</f>
        <v>0</v>
      </c>
      <c r="T278" s="80">
        <f ca="1">T238*(1+INDEX(T$35:T$37,MATCH(Work_Codes!$I$470,$D$35:$D$37,0)))</f>
        <v>0</v>
      </c>
    </row>
    <row r="279" spans="5:20" s="41" customFormat="1" ht="11.5" customHeight="1" outlineLevel="2">
      <c r="E279" s="251" t="str">
        <f>GC!C48</f>
        <v>Other - IT</v>
      </c>
      <c r="F279" s="251"/>
      <c r="G279" s="251"/>
      <c r="H279" s="251"/>
      <c r="I279" s="251"/>
      <c r="J279" s="80">
        <f ca="1">J239*(1+INDEX(J$35:J$37,MATCH(Work_Codes!$I$470,$D$35:$D$37,0)))</f>
        <v>0</v>
      </c>
      <c r="K279" s="80">
        <f ca="1">K239*(1+INDEX(K$35:K$37,MATCH(Work_Codes!$I$470,$D$35:$D$37,0)))</f>
        <v>0</v>
      </c>
      <c r="L279" s="80">
        <f ca="1">L239*(1+INDEX(L$35:L$37,MATCH(Work_Codes!$I$470,$D$35:$D$37,0)))</f>
        <v>0</v>
      </c>
      <c r="M279" s="80">
        <f ca="1">M239*(1+INDEX(M$35:M$37,MATCH(Work_Codes!$I$470,$D$35:$D$37,0)))</f>
        <v>0</v>
      </c>
      <c r="N279" s="80">
        <f ca="1">N239*(1+INDEX(N$35:N$37,MATCH(Work_Codes!$I$470,$D$35:$D$37,0)))</f>
        <v>6978279.2324051764</v>
      </c>
      <c r="O279" s="80">
        <f ca="1">O239*(1+INDEX(O$35:O$37,MATCH(Work_Codes!$I$470,$D$35:$D$37,0)))</f>
        <v>3488182.2561022043</v>
      </c>
      <c r="P279" s="80">
        <f ca="1">P239*(1+INDEX(P$35:P$37,MATCH(Work_Codes!$I$470,$D$35:$D$37,0)))</f>
        <v>15450246.321215272</v>
      </c>
      <c r="Q279" s="80">
        <f ca="1">Q239*(1+INDEX(Q$35:Q$37,MATCH(Work_Codes!$I$470,$D$35:$D$37,0)))</f>
        <v>17734287.311775222</v>
      </c>
      <c r="R279" s="80">
        <f ca="1">R239*(1+INDEX(R$35:R$37,MATCH(Work_Codes!$I$470,$D$35:$D$37,0)))</f>
        <v>19235231.025971476</v>
      </c>
      <c r="S279" s="80">
        <f ca="1">S239*(1+INDEX(S$35:S$37,MATCH(Work_Codes!$I$470,$D$35:$D$37,0)))</f>
        <v>9637247.0975269582</v>
      </c>
      <c r="T279" s="80">
        <f ca="1">T239*(1+INDEX(T$35:T$37,MATCH(Work_Codes!$I$470,$D$35:$D$37,0)))</f>
        <v>7158616.5859825984</v>
      </c>
    </row>
    <row r="280" spans="5:20" s="41" customFormat="1" ht="11.5" customHeight="1" outlineLevel="2">
      <c r="E280" s="251" t="str">
        <f>GC!C49</f>
        <v>Other - non IT</v>
      </c>
      <c r="F280" s="251"/>
      <c r="G280" s="251"/>
      <c r="H280" s="251"/>
      <c r="I280" s="251"/>
      <c r="J280" s="80">
        <f ca="1">J240*(1+INDEX(J$35:J$37,MATCH(Work_Codes!$I$470,$D$35:$D$37,0)))</f>
        <v>0</v>
      </c>
      <c r="K280" s="80">
        <f ca="1">K240*(1+INDEX(K$35:K$37,MATCH(Work_Codes!$I$470,$D$35:$D$37,0)))</f>
        <v>0</v>
      </c>
      <c r="L280" s="80">
        <f ca="1">L240*(1+INDEX(L$35:L$37,MATCH(Work_Codes!$I$470,$D$35:$D$37,0)))</f>
        <v>0</v>
      </c>
      <c r="M280" s="80">
        <f ca="1">M240*(1+INDEX(M$35:M$37,MATCH(Work_Codes!$I$470,$D$35:$D$37,0)))</f>
        <v>0</v>
      </c>
      <c r="N280" s="80">
        <f ca="1">N240*(1+INDEX(N$35:N$37,MATCH(Work_Codes!$I$470,$D$35:$D$37,0)))</f>
        <v>0</v>
      </c>
      <c r="O280" s="80">
        <f ca="1">O240*(1+INDEX(O$35:O$37,MATCH(Work_Codes!$I$470,$D$35:$D$37,0)))</f>
        <v>0</v>
      </c>
      <c r="P280" s="80">
        <f ca="1">P240*(1+INDEX(P$35:P$37,MATCH(Work_Codes!$I$470,$D$35:$D$37,0)))</f>
        <v>0</v>
      </c>
      <c r="Q280" s="80">
        <f ca="1">Q240*(1+INDEX(Q$35:Q$37,MATCH(Work_Codes!$I$470,$D$35:$D$37,0)))</f>
        <v>0</v>
      </c>
      <c r="R280" s="80">
        <f ca="1">R240*(1+INDEX(R$35:R$37,MATCH(Work_Codes!$I$470,$D$35:$D$37,0)))</f>
        <v>0</v>
      </c>
      <c r="S280" s="80">
        <f ca="1">S240*(1+INDEX(S$35:S$37,MATCH(Work_Codes!$I$470,$D$35:$D$37,0)))</f>
        <v>0</v>
      </c>
      <c r="T280" s="80">
        <f ca="1">T240*(1+INDEX(T$35:T$37,MATCH(Work_Codes!$I$470,$D$35:$D$37,0)))</f>
        <v>0</v>
      </c>
    </row>
    <row r="281" spans="5:20" s="41" customFormat="1" ht="11.5" customHeight="1" outlineLevel="2">
      <c r="E281" s="251" t="str">
        <f>GC!C50</f>
        <v>Land</v>
      </c>
      <c r="F281" s="251"/>
      <c r="G281" s="251"/>
      <c r="H281" s="251"/>
      <c r="I281" s="251"/>
      <c r="J281" s="80">
        <f ca="1">J241*(1+INDEX(J$35:J$37,MATCH(Work_Codes!$I$470,$D$35:$D$37,0)))</f>
        <v>0</v>
      </c>
      <c r="K281" s="80">
        <f ca="1">K241*(1+INDEX(K$35:K$37,MATCH(Work_Codes!$I$470,$D$35:$D$37,0)))</f>
        <v>0</v>
      </c>
      <c r="L281" s="80">
        <f ca="1">L241*(1+INDEX(L$35:L$37,MATCH(Work_Codes!$I$470,$D$35:$D$37,0)))</f>
        <v>0</v>
      </c>
      <c r="M281" s="80">
        <f ca="1">M241*(1+INDEX(M$35:M$37,MATCH(Work_Codes!$I$470,$D$35:$D$37,0)))</f>
        <v>0</v>
      </c>
      <c r="N281" s="80">
        <f ca="1">N241*(1+INDEX(N$35:N$37,MATCH(Work_Codes!$I$470,$D$35:$D$37,0)))</f>
        <v>0</v>
      </c>
      <c r="O281" s="80">
        <f ca="1">O241*(1+INDEX(O$35:O$37,MATCH(Work_Codes!$I$470,$D$35:$D$37,0)))</f>
        <v>0</v>
      </c>
      <c r="P281" s="80">
        <f ca="1">P241*(1+INDEX(P$35:P$37,MATCH(Work_Codes!$I$470,$D$35:$D$37,0)))</f>
        <v>0</v>
      </c>
      <c r="Q281" s="80">
        <f ca="1">Q241*(1+INDEX(Q$35:Q$37,MATCH(Work_Codes!$I$470,$D$35:$D$37,0)))</f>
        <v>0</v>
      </c>
      <c r="R281" s="80">
        <f ca="1">R241*(1+INDEX(R$35:R$37,MATCH(Work_Codes!$I$470,$D$35:$D$37,0)))</f>
        <v>0</v>
      </c>
      <c r="S281" s="80">
        <f ca="1">S241*(1+INDEX(S$35:S$37,MATCH(Work_Codes!$I$470,$D$35:$D$37,0)))</f>
        <v>0</v>
      </c>
      <c r="T281" s="80">
        <f ca="1">T241*(1+INDEX(T$35:T$37,MATCH(Work_Codes!$I$470,$D$35:$D$37,0)))</f>
        <v>0</v>
      </c>
    </row>
    <row r="282" spans="5:20" s="41" customFormat="1" outlineLevel="2">
      <c r="E282" s="251" t="str">
        <f>GC!C51</f>
        <v>Capitalised Leases</v>
      </c>
      <c r="F282" s="251"/>
      <c r="G282" s="251"/>
      <c r="H282" s="251"/>
      <c r="I282" s="251"/>
      <c r="J282" s="80">
        <f ca="1">J242*(1+INDEX(J$35:J$37,MATCH(Work_Codes!$I$470,$D$35:$D$37,0)))</f>
        <v>0</v>
      </c>
      <c r="K282" s="80">
        <f ca="1">K242*(1+INDEX(K$35:K$37,MATCH(Work_Codes!$I$470,$D$35:$D$37,0)))</f>
        <v>0</v>
      </c>
      <c r="L282" s="80">
        <f ca="1">L242*(1+INDEX(L$35:L$37,MATCH(Work_Codes!$I$470,$D$35:$D$37,0)))</f>
        <v>0</v>
      </c>
      <c r="M282" s="80">
        <f ca="1">M242*(1+INDEX(M$35:M$37,MATCH(Work_Codes!$I$470,$D$35:$D$37,0)))</f>
        <v>0</v>
      </c>
      <c r="N282" s="80">
        <f ca="1">N242*(1+INDEX(N$35:N$37,MATCH(Work_Codes!$I$470,$D$35:$D$37,0)))</f>
        <v>0</v>
      </c>
      <c r="O282" s="80">
        <f ca="1">O242*(1+INDEX(O$35:O$37,MATCH(Work_Codes!$I$470,$D$35:$D$37,0)))</f>
        <v>0</v>
      </c>
      <c r="P282" s="80">
        <f ca="1">P242*(1+INDEX(P$35:P$37,MATCH(Work_Codes!$I$470,$D$35:$D$37,0)))</f>
        <v>0</v>
      </c>
      <c r="Q282" s="80">
        <f ca="1">Q242*(1+INDEX(Q$35:Q$37,MATCH(Work_Codes!$I$470,$D$35:$D$37,0)))</f>
        <v>0</v>
      </c>
      <c r="R282" s="80">
        <f ca="1">R242*(1+INDEX(R$35:R$37,MATCH(Work_Codes!$I$470,$D$35:$D$37,0)))</f>
        <v>0</v>
      </c>
      <c r="S282" s="80">
        <f ca="1">S242*(1+INDEX(S$35:S$37,MATCH(Work_Codes!$I$470,$D$35:$D$37,0)))</f>
        <v>0</v>
      </c>
      <c r="T282" s="80">
        <f ca="1">T242*(1+INDEX(T$35:T$37,MATCH(Work_Codes!$I$470,$D$35:$D$37,0)))</f>
        <v>0</v>
      </c>
    </row>
    <row r="283" spans="5:20" s="41" customFormat="1" outlineLevel="2">
      <c r="E283" s="251" t="str">
        <f>GC!C52</f>
        <v>Transmission pipelines - post 1998</v>
      </c>
      <c r="F283" s="251"/>
      <c r="G283" s="251"/>
      <c r="H283" s="251"/>
      <c r="I283" s="251"/>
      <c r="J283" s="80">
        <f ca="1">J243*(1+INDEX(J$35:J$37,MATCH(Work_Codes!$I$470,$D$35:$D$37,0)))</f>
        <v>0</v>
      </c>
      <c r="K283" s="80">
        <f ca="1">K243*(1+INDEX(K$35:K$37,MATCH(Work_Codes!$I$470,$D$35:$D$37,0)))</f>
        <v>0</v>
      </c>
      <c r="L283" s="80">
        <f ca="1">L243*(1+INDEX(L$35:L$37,MATCH(Work_Codes!$I$470,$D$35:$D$37,0)))</f>
        <v>0</v>
      </c>
      <c r="M283" s="80">
        <f ca="1">M243*(1+INDEX(M$35:M$37,MATCH(Work_Codes!$I$470,$D$35:$D$37,0)))</f>
        <v>0</v>
      </c>
      <c r="N283" s="80">
        <f ca="1">N243*(1+INDEX(N$35:N$37,MATCH(Work_Codes!$I$470,$D$35:$D$37,0)))</f>
        <v>0</v>
      </c>
      <c r="O283" s="80">
        <f ca="1">O243*(1+INDEX(O$35:O$37,MATCH(Work_Codes!$I$470,$D$35:$D$37,0)))</f>
        <v>0</v>
      </c>
      <c r="P283" s="80">
        <f ca="1">P243*(1+INDEX(P$35:P$37,MATCH(Work_Codes!$I$470,$D$35:$D$37,0)))</f>
        <v>0</v>
      </c>
      <c r="Q283" s="80">
        <f ca="1">Q243*(1+INDEX(Q$35:Q$37,MATCH(Work_Codes!$I$470,$D$35:$D$37,0)))</f>
        <v>0</v>
      </c>
      <c r="R283" s="80">
        <f ca="1">R243*(1+INDEX(R$35:R$37,MATCH(Work_Codes!$I$470,$D$35:$D$37,0)))</f>
        <v>0</v>
      </c>
      <c r="S283" s="80">
        <f ca="1">S243*(1+INDEX(S$35:S$37,MATCH(Work_Codes!$I$470,$D$35:$D$37,0)))</f>
        <v>0</v>
      </c>
      <c r="T283" s="80">
        <f ca="1">T243*(1+INDEX(T$35:T$37,MATCH(Work_Codes!$I$470,$D$35:$D$37,0)))</f>
        <v>0</v>
      </c>
    </row>
    <row r="284" spans="5:20" s="41" customFormat="1" outlineLevel="2">
      <c r="E284" s="251" t="str">
        <f>GC!C53</f>
        <v>Distribution pipelines - post 1998</v>
      </c>
      <c r="F284" s="251"/>
      <c r="G284" s="251"/>
      <c r="H284" s="251"/>
      <c r="I284" s="251"/>
      <c r="J284" s="80">
        <f ca="1">J244*(1+INDEX(J$35:J$37,MATCH(Work_Codes!$I$470,$D$35:$D$37,0)))</f>
        <v>0</v>
      </c>
      <c r="K284" s="80">
        <f ca="1">K244*(1+INDEX(K$35:K$37,MATCH(Work_Codes!$I$470,$D$35:$D$37,0)))</f>
        <v>0</v>
      </c>
      <c r="L284" s="80">
        <f ca="1">L244*(1+INDEX(L$35:L$37,MATCH(Work_Codes!$I$470,$D$35:$D$37,0)))</f>
        <v>0</v>
      </c>
      <c r="M284" s="80">
        <f ca="1">M244*(1+INDEX(M$35:M$37,MATCH(Work_Codes!$I$470,$D$35:$D$37,0)))</f>
        <v>0</v>
      </c>
      <c r="N284" s="80">
        <f ca="1">N244*(1+INDEX(N$35:N$37,MATCH(Work_Codes!$I$470,$D$35:$D$37,0)))</f>
        <v>0</v>
      </c>
      <c r="O284" s="80">
        <f ca="1">O244*(1+INDEX(O$35:O$37,MATCH(Work_Codes!$I$470,$D$35:$D$37,0)))</f>
        <v>0</v>
      </c>
      <c r="P284" s="80">
        <f ca="1">P244*(1+INDEX(P$35:P$37,MATCH(Work_Codes!$I$470,$D$35:$D$37,0)))</f>
        <v>0</v>
      </c>
      <c r="Q284" s="80">
        <f ca="1">Q244*(1+INDEX(Q$35:Q$37,MATCH(Work_Codes!$I$470,$D$35:$D$37,0)))</f>
        <v>0</v>
      </c>
      <c r="R284" s="80">
        <f ca="1">R244*(1+INDEX(R$35:R$37,MATCH(Work_Codes!$I$470,$D$35:$D$37,0)))</f>
        <v>0</v>
      </c>
      <c r="S284" s="80">
        <f ca="1">S244*(1+INDEX(S$35:S$37,MATCH(Work_Codes!$I$470,$D$35:$D$37,0)))</f>
        <v>0</v>
      </c>
      <c r="T284" s="80">
        <f ca="1">T244*(1+INDEX(T$35:T$37,MATCH(Work_Codes!$I$470,$D$35:$D$37,0)))</f>
        <v>0</v>
      </c>
    </row>
    <row r="285" spans="5:20" s="41" customFormat="1" outlineLevel="2">
      <c r="E285" s="251" t="str">
        <f>GC!C54</f>
        <v>Service pipes - post 1998</v>
      </c>
      <c r="F285" s="251"/>
      <c r="G285" s="251"/>
      <c r="H285" s="251"/>
      <c r="I285" s="251"/>
      <c r="J285" s="80">
        <f ca="1">J245*(1+INDEX(J$35:J$37,MATCH(Work_Codes!$I$470,$D$35:$D$37,0)))</f>
        <v>0</v>
      </c>
      <c r="K285" s="80">
        <f ca="1">K245*(1+INDEX(K$35:K$37,MATCH(Work_Codes!$I$470,$D$35:$D$37,0)))</f>
        <v>0</v>
      </c>
      <c r="L285" s="80">
        <f ca="1">L245*(1+INDEX(L$35:L$37,MATCH(Work_Codes!$I$470,$D$35:$D$37,0)))</f>
        <v>0</v>
      </c>
      <c r="M285" s="80">
        <f ca="1">M245*(1+INDEX(M$35:M$37,MATCH(Work_Codes!$I$470,$D$35:$D$37,0)))</f>
        <v>0</v>
      </c>
      <c r="N285" s="80">
        <f ca="1">N245*(1+INDEX(N$35:N$37,MATCH(Work_Codes!$I$470,$D$35:$D$37,0)))</f>
        <v>0</v>
      </c>
      <c r="O285" s="80">
        <f ca="1">O245*(1+INDEX(O$35:O$37,MATCH(Work_Codes!$I$470,$D$35:$D$37,0)))</f>
        <v>0</v>
      </c>
      <c r="P285" s="80">
        <f ca="1">P245*(1+INDEX(P$35:P$37,MATCH(Work_Codes!$I$470,$D$35:$D$37,0)))</f>
        <v>0</v>
      </c>
      <c r="Q285" s="80">
        <f ca="1">Q245*(1+INDEX(Q$35:Q$37,MATCH(Work_Codes!$I$470,$D$35:$D$37,0)))</f>
        <v>0</v>
      </c>
      <c r="R285" s="80">
        <f ca="1">R245*(1+INDEX(R$35:R$37,MATCH(Work_Codes!$I$470,$D$35:$D$37,0)))</f>
        <v>0</v>
      </c>
      <c r="S285" s="80">
        <f ca="1">S245*(1+INDEX(S$35:S$37,MATCH(Work_Codes!$I$470,$D$35:$D$37,0)))</f>
        <v>0</v>
      </c>
      <c r="T285" s="80">
        <f ca="1">T245*(1+INDEX(T$35:T$37,MATCH(Work_Codes!$I$470,$D$35:$D$37,0)))</f>
        <v>0</v>
      </c>
    </row>
    <row r="286" spans="5:20" s="41" customFormat="1" outlineLevel="2">
      <c r="E286" s="251" t="str">
        <f>GC!C55</f>
        <v>Cathodic protection - post 1998</v>
      </c>
      <c r="F286" s="251"/>
      <c r="G286" s="251"/>
      <c r="H286" s="251"/>
      <c r="I286" s="251"/>
      <c r="J286" s="80">
        <f ca="1">J246*(1+INDEX(J$35:J$37,MATCH(Work_Codes!$I$470,$D$35:$D$37,0)))</f>
        <v>0</v>
      </c>
      <c r="K286" s="80">
        <f ca="1">K246*(1+INDEX(K$35:K$37,MATCH(Work_Codes!$I$470,$D$35:$D$37,0)))</f>
        <v>0</v>
      </c>
      <c r="L286" s="80">
        <f ca="1">L246*(1+INDEX(L$35:L$37,MATCH(Work_Codes!$I$470,$D$35:$D$37,0)))</f>
        <v>0</v>
      </c>
      <c r="M286" s="80">
        <f ca="1">M246*(1+INDEX(M$35:M$37,MATCH(Work_Codes!$I$470,$D$35:$D$37,0)))</f>
        <v>0</v>
      </c>
      <c r="N286" s="80">
        <f ca="1">N246*(1+INDEX(N$35:N$37,MATCH(Work_Codes!$I$470,$D$35:$D$37,0)))</f>
        <v>0</v>
      </c>
      <c r="O286" s="80">
        <f ca="1">O246*(1+INDEX(O$35:O$37,MATCH(Work_Codes!$I$470,$D$35:$D$37,0)))</f>
        <v>0</v>
      </c>
      <c r="P286" s="80">
        <f ca="1">P246*(1+INDEX(P$35:P$37,MATCH(Work_Codes!$I$470,$D$35:$D$37,0)))</f>
        <v>0</v>
      </c>
      <c r="Q286" s="80">
        <f ca="1">Q246*(1+INDEX(Q$35:Q$37,MATCH(Work_Codes!$I$470,$D$35:$D$37,0)))</f>
        <v>0</v>
      </c>
      <c r="R286" s="80">
        <f ca="1">R246*(1+INDEX(R$35:R$37,MATCH(Work_Codes!$I$470,$D$35:$D$37,0)))</f>
        <v>0</v>
      </c>
      <c r="S286" s="80">
        <f ca="1">S246*(1+INDEX(S$35:S$37,MATCH(Work_Codes!$I$470,$D$35:$D$37,0)))</f>
        <v>0</v>
      </c>
      <c r="T286" s="80">
        <f ca="1">T246*(1+INDEX(T$35:T$37,MATCH(Work_Codes!$I$470,$D$35:$D$37,0)))</f>
        <v>0</v>
      </c>
    </row>
    <row r="287" spans="5:20" s="41" customFormat="1" ht="12" customHeight="1" outlineLevel="2">
      <c r="E287" s="250" t="str">
        <f>"Total "&amp;D269</f>
        <v>Total Direct Costs + Overheads</v>
      </c>
      <c r="F287" s="250"/>
      <c r="G287" s="250"/>
      <c r="H287" s="250"/>
      <c r="I287" s="250"/>
      <c r="J287" s="101">
        <f t="shared" ref="J287:T287" ca="1" si="56">SUM(J271:J286)</f>
        <v>0</v>
      </c>
      <c r="K287" s="101">
        <f t="shared" ca="1" si="56"/>
        <v>0</v>
      </c>
      <c r="L287" s="101">
        <f t="shared" ca="1" si="56"/>
        <v>0</v>
      </c>
      <c r="M287" s="101">
        <f t="shared" ca="1" si="56"/>
        <v>0</v>
      </c>
      <c r="N287" s="101">
        <f t="shared" ca="1" si="56"/>
        <v>6978279.2324051764</v>
      </c>
      <c r="O287" s="101">
        <f t="shared" ca="1" si="56"/>
        <v>3488182.2561022043</v>
      </c>
      <c r="P287" s="101">
        <f t="shared" ca="1" si="56"/>
        <v>15450246.321215272</v>
      </c>
      <c r="Q287" s="101">
        <f t="shared" ca="1" si="56"/>
        <v>17734287.311775222</v>
      </c>
      <c r="R287" s="101">
        <f t="shared" ca="1" si="56"/>
        <v>19235231.025971476</v>
      </c>
      <c r="S287" s="101">
        <f t="shared" ca="1" si="56"/>
        <v>9637247.0975269582</v>
      </c>
      <c r="T287" s="101">
        <f t="shared" ca="1" si="56"/>
        <v>7158616.5859825984</v>
      </c>
    </row>
    <row r="288" spans="5:20" s="41" customFormat="1" outlineLevel="2"/>
    <row r="289" spans="4:20" s="41" customFormat="1" outlineLevel="2">
      <c r="D289" s="50" t="s">
        <v>367</v>
      </c>
    </row>
    <row r="290" spans="4:20" s="41" customFormat="1" ht="5.9" customHeight="1" outlineLevel="2"/>
    <row r="291" spans="4:20" s="41" customFormat="1" outlineLevel="2">
      <c r="E291" s="251" t="str">
        <f>GC!C40</f>
        <v>Transmission pipelines</v>
      </c>
      <c r="F291" s="251"/>
      <c r="G291" s="251"/>
      <c r="H291" s="251"/>
      <c r="I291" s="251"/>
      <c r="J291" s="80">
        <f ca="1">SUMPRODUCT((Work_Codes!$N$473:$Y$473=$E291)*(Work_Codes!$N$499:$Y$499)*(J$119:J$119))</f>
        <v>0</v>
      </c>
      <c r="K291" s="80">
        <f ca="1">SUMPRODUCT((Work_Codes!$N$473:$Y$473=$E291)*(Work_Codes!$N$499:$Y$499)*(K$119:K$119))</f>
        <v>0</v>
      </c>
      <c r="L291" s="80">
        <f ca="1">SUMPRODUCT((Work_Codes!$N$473:$Y$473=$E291)*(Work_Codes!$N$499:$Y$499)*(L$119:L$119))</f>
        <v>0</v>
      </c>
      <c r="M291" s="80">
        <f ca="1">SUMPRODUCT((Work_Codes!$N$473:$Y$473=$E291)*(Work_Codes!$N$499:$Y$499)*(M$119:M$119))</f>
        <v>0</v>
      </c>
      <c r="N291" s="80">
        <f ca="1">SUMPRODUCT((Work_Codes!$N$473:$Y$473=$E291)*(Work_Codes!$N$499:$Y$499)*(N$119:N$119))</f>
        <v>0</v>
      </c>
      <c r="O291" s="80">
        <f ca="1">SUMPRODUCT((Work_Codes!$N$473:$Y$473=$E291)*(Work_Codes!$N$499:$Y$499)*(O$119:O$119))</f>
        <v>0</v>
      </c>
      <c r="P291" s="80">
        <f ca="1">SUMPRODUCT((Work_Codes!$N$473:$Y$473=$E291)*(Work_Codes!$N$499:$Y$499)*(P$119:P$119))</f>
        <v>0</v>
      </c>
      <c r="Q291" s="80">
        <f ca="1">SUMPRODUCT((Work_Codes!$N$473:$Y$473=$E291)*(Work_Codes!$N$499:$Y$499)*(Q$119:Q$119))</f>
        <v>0</v>
      </c>
      <c r="R291" s="80">
        <f ca="1">SUMPRODUCT((Work_Codes!$N$473:$Y$473=$E291)*(Work_Codes!$N$499:$Y$499)*(R$119:R$119))</f>
        <v>0</v>
      </c>
      <c r="S291" s="80">
        <f ca="1">SUMPRODUCT((Work_Codes!$N$473:$Y$473=$E291)*(Work_Codes!$N$499:$Y$499)*(S$119:S$119))</f>
        <v>0</v>
      </c>
      <c r="T291" s="80">
        <f ca="1">SUMPRODUCT((Work_Codes!$N$473:$Y$473=$E291)*(Work_Codes!$N$499:$Y$499)*(T$119:T$119))</f>
        <v>0</v>
      </c>
    </row>
    <row r="292" spans="4:20" s="41" customFormat="1" outlineLevel="2">
      <c r="E292" s="251" t="str">
        <f>GC!C41</f>
        <v>Distribution pipelines</v>
      </c>
      <c r="F292" s="251"/>
      <c r="G292" s="251"/>
      <c r="H292" s="251"/>
      <c r="I292" s="251"/>
      <c r="J292" s="80">
        <f ca="1">SUMPRODUCT((Work_Codes!$N$473:$Y$473=$E292)*(Work_Codes!$N$499:$Y$499)*(J$119:J$119))</f>
        <v>0</v>
      </c>
      <c r="K292" s="80">
        <f ca="1">SUMPRODUCT((Work_Codes!$N$473:$Y$473=$E292)*(Work_Codes!$N$499:$Y$499)*(K$119:K$119))</f>
        <v>0</v>
      </c>
      <c r="L292" s="80">
        <f ca="1">SUMPRODUCT((Work_Codes!$N$473:$Y$473=$E292)*(Work_Codes!$N$499:$Y$499)*(L$119:L$119))</f>
        <v>0</v>
      </c>
      <c r="M292" s="80">
        <f ca="1">SUMPRODUCT((Work_Codes!$N$473:$Y$473=$E292)*(Work_Codes!$N$499:$Y$499)*(M$119:M$119))</f>
        <v>0</v>
      </c>
      <c r="N292" s="80">
        <f ca="1">SUMPRODUCT((Work_Codes!$N$473:$Y$473=$E292)*(Work_Codes!$N$499:$Y$499)*(N$119:N$119))</f>
        <v>0</v>
      </c>
      <c r="O292" s="80">
        <f ca="1">SUMPRODUCT((Work_Codes!$N$473:$Y$473=$E292)*(Work_Codes!$N$499:$Y$499)*(O$119:O$119))</f>
        <v>0</v>
      </c>
      <c r="P292" s="80">
        <f ca="1">SUMPRODUCT((Work_Codes!$N$473:$Y$473=$E292)*(Work_Codes!$N$499:$Y$499)*(P$119:P$119))</f>
        <v>0</v>
      </c>
      <c r="Q292" s="80">
        <f ca="1">SUMPRODUCT((Work_Codes!$N$473:$Y$473=$E292)*(Work_Codes!$N$499:$Y$499)*(Q$119:Q$119))</f>
        <v>0</v>
      </c>
      <c r="R292" s="80">
        <f ca="1">SUMPRODUCT((Work_Codes!$N$473:$Y$473=$E292)*(Work_Codes!$N$499:$Y$499)*(R$119:R$119))</f>
        <v>0</v>
      </c>
      <c r="S292" s="80">
        <f ca="1">SUMPRODUCT((Work_Codes!$N$473:$Y$473=$E292)*(Work_Codes!$N$499:$Y$499)*(S$119:S$119))</f>
        <v>0</v>
      </c>
      <c r="T292" s="80">
        <f ca="1">SUMPRODUCT((Work_Codes!$N$473:$Y$473=$E292)*(Work_Codes!$N$499:$Y$499)*(T$119:T$119))</f>
        <v>0</v>
      </c>
    </row>
    <row r="293" spans="4:20" s="41" customFormat="1" outlineLevel="2">
      <c r="E293" s="251" t="str">
        <f>GC!C42</f>
        <v>Service pipes</v>
      </c>
      <c r="F293" s="251"/>
      <c r="G293" s="251"/>
      <c r="H293" s="251"/>
      <c r="I293" s="251"/>
      <c r="J293" s="80">
        <f ca="1">SUMPRODUCT((Work_Codes!$N$473:$Y$473=$E293)*(Work_Codes!$N$499:$Y$499)*(J$119:J$119))</f>
        <v>0</v>
      </c>
      <c r="K293" s="80">
        <f ca="1">SUMPRODUCT((Work_Codes!$N$473:$Y$473=$E293)*(Work_Codes!$N$499:$Y$499)*(K$119:K$119))</f>
        <v>0</v>
      </c>
      <c r="L293" s="80">
        <f ca="1">SUMPRODUCT((Work_Codes!$N$473:$Y$473=$E293)*(Work_Codes!$N$499:$Y$499)*(L$119:L$119))</f>
        <v>0</v>
      </c>
      <c r="M293" s="80">
        <f ca="1">SUMPRODUCT((Work_Codes!$N$473:$Y$473=$E293)*(Work_Codes!$N$499:$Y$499)*(M$119:M$119))</f>
        <v>0</v>
      </c>
      <c r="N293" s="80">
        <f ca="1">SUMPRODUCT((Work_Codes!$N$473:$Y$473=$E293)*(Work_Codes!$N$499:$Y$499)*(N$119:N$119))</f>
        <v>0</v>
      </c>
      <c r="O293" s="80">
        <f ca="1">SUMPRODUCT((Work_Codes!$N$473:$Y$473=$E293)*(Work_Codes!$N$499:$Y$499)*(O$119:O$119))</f>
        <v>0</v>
      </c>
      <c r="P293" s="80">
        <f ca="1">SUMPRODUCT((Work_Codes!$N$473:$Y$473=$E293)*(Work_Codes!$N$499:$Y$499)*(P$119:P$119))</f>
        <v>0</v>
      </c>
      <c r="Q293" s="80">
        <f ca="1">SUMPRODUCT((Work_Codes!$N$473:$Y$473=$E293)*(Work_Codes!$N$499:$Y$499)*(Q$119:Q$119))</f>
        <v>0</v>
      </c>
      <c r="R293" s="80">
        <f ca="1">SUMPRODUCT((Work_Codes!$N$473:$Y$473=$E293)*(Work_Codes!$N$499:$Y$499)*(R$119:R$119))</f>
        <v>0</v>
      </c>
      <c r="S293" s="80">
        <f ca="1">SUMPRODUCT((Work_Codes!$N$473:$Y$473=$E293)*(Work_Codes!$N$499:$Y$499)*(S$119:S$119))</f>
        <v>0</v>
      </c>
      <c r="T293" s="80">
        <f ca="1">SUMPRODUCT((Work_Codes!$N$473:$Y$473=$E293)*(Work_Codes!$N$499:$Y$499)*(T$119:T$119))</f>
        <v>0</v>
      </c>
    </row>
    <row r="294" spans="4:20" s="41" customFormat="1" outlineLevel="2">
      <c r="E294" s="251" t="str">
        <f>GC!C43</f>
        <v>Cathodic protection</v>
      </c>
      <c r="F294" s="251"/>
      <c r="G294" s="251"/>
      <c r="H294" s="251"/>
      <c r="I294" s="251"/>
      <c r="J294" s="80">
        <f ca="1">SUMPRODUCT((Work_Codes!$N$473:$Y$473=$E294)*(Work_Codes!$N$499:$Y$499)*(J$119:J$119))</f>
        <v>0</v>
      </c>
      <c r="K294" s="80">
        <f ca="1">SUMPRODUCT((Work_Codes!$N$473:$Y$473=$E294)*(Work_Codes!$N$499:$Y$499)*(K$119:K$119))</f>
        <v>0</v>
      </c>
      <c r="L294" s="80">
        <f ca="1">SUMPRODUCT((Work_Codes!$N$473:$Y$473=$E294)*(Work_Codes!$N$499:$Y$499)*(L$119:L$119))</f>
        <v>0</v>
      </c>
      <c r="M294" s="80">
        <f ca="1">SUMPRODUCT((Work_Codes!$N$473:$Y$473=$E294)*(Work_Codes!$N$499:$Y$499)*(M$119:M$119))</f>
        <v>0</v>
      </c>
      <c r="N294" s="80">
        <f ca="1">SUMPRODUCT((Work_Codes!$N$473:$Y$473=$E294)*(Work_Codes!$N$499:$Y$499)*(N$119:N$119))</f>
        <v>0</v>
      </c>
      <c r="O294" s="80">
        <f ca="1">SUMPRODUCT((Work_Codes!$N$473:$Y$473=$E294)*(Work_Codes!$N$499:$Y$499)*(O$119:O$119))</f>
        <v>0</v>
      </c>
      <c r="P294" s="80">
        <f ca="1">SUMPRODUCT((Work_Codes!$N$473:$Y$473=$E294)*(Work_Codes!$N$499:$Y$499)*(P$119:P$119))</f>
        <v>0</v>
      </c>
      <c r="Q294" s="80">
        <f ca="1">SUMPRODUCT((Work_Codes!$N$473:$Y$473=$E294)*(Work_Codes!$N$499:$Y$499)*(Q$119:Q$119))</f>
        <v>0</v>
      </c>
      <c r="R294" s="80">
        <f ca="1">SUMPRODUCT((Work_Codes!$N$473:$Y$473=$E294)*(Work_Codes!$N$499:$Y$499)*(R$119:R$119))</f>
        <v>0</v>
      </c>
      <c r="S294" s="80">
        <f ca="1">SUMPRODUCT((Work_Codes!$N$473:$Y$473=$E294)*(Work_Codes!$N$499:$Y$499)*(S$119:S$119))</f>
        <v>0</v>
      </c>
      <c r="T294" s="80">
        <f ca="1">SUMPRODUCT((Work_Codes!$N$473:$Y$473=$E294)*(Work_Codes!$N$499:$Y$499)*(T$119:T$119))</f>
        <v>0</v>
      </c>
    </row>
    <row r="295" spans="4:20" s="41" customFormat="1" outlineLevel="2">
      <c r="E295" s="251" t="str">
        <f>GC!C44</f>
        <v>Supply Regulators / Valve Stations</v>
      </c>
      <c r="F295" s="251"/>
      <c r="G295" s="251"/>
      <c r="H295" s="251"/>
      <c r="I295" s="251"/>
      <c r="J295" s="80">
        <f ca="1">SUMPRODUCT((Work_Codes!$N$473:$Y$473=$E295)*(Work_Codes!$N$499:$Y$499)*(J$119:J$119))</f>
        <v>0</v>
      </c>
      <c r="K295" s="80">
        <f ca="1">SUMPRODUCT((Work_Codes!$N$473:$Y$473=$E295)*(Work_Codes!$N$499:$Y$499)*(K$119:K$119))</f>
        <v>0</v>
      </c>
      <c r="L295" s="80">
        <f ca="1">SUMPRODUCT((Work_Codes!$N$473:$Y$473=$E295)*(Work_Codes!$N$499:$Y$499)*(L$119:L$119))</f>
        <v>0</v>
      </c>
      <c r="M295" s="80">
        <f ca="1">SUMPRODUCT((Work_Codes!$N$473:$Y$473=$E295)*(Work_Codes!$N$499:$Y$499)*(M$119:M$119))</f>
        <v>0</v>
      </c>
      <c r="N295" s="80">
        <f ca="1">SUMPRODUCT((Work_Codes!$N$473:$Y$473=$E295)*(Work_Codes!$N$499:$Y$499)*(N$119:N$119))</f>
        <v>0</v>
      </c>
      <c r="O295" s="80">
        <f ca="1">SUMPRODUCT((Work_Codes!$N$473:$Y$473=$E295)*(Work_Codes!$N$499:$Y$499)*(O$119:O$119))</f>
        <v>0</v>
      </c>
      <c r="P295" s="80">
        <f ca="1">SUMPRODUCT((Work_Codes!$N$473:$Y$473=$E295)*(Work_Codes!$N$499:$Y$499)*(P$119:P$119))</f>
        <v>0</v>
      </c>
      <c r="Q295" s="80">
        <f ca="1">SUMPRODUCT((Work_Codes!$N$473:$Y$473=$E295)*(Work_Codes!$N$499:$Y$499)*(Q$119:Q$119))</f>
        <v>0</v>
      </c>
      <c r="R295" s="80">
        <f ca="1">SUMPRODUCT((Work_Codes!$N$473:$Y$473=$E295)*(Work_Codes!$N$499:$Y$499)*(R$119:R$119))</f>
        <v>0</v>
      </c>
      <c r="S295" s="80">
        <f ca="1">SUMPRODUCT((Work_Codes!$N$473:$Y$473=$E295)*(Work_Codes!$N$499:$Y$499)*(S$119:S$119))</f>
        <v>0</v>
      </c>
      <c r="T295" s="80">
        <f ca="1">SUMPRODUCT((Work_Codes!$N$473:$Y$473=$E295)*(Work_Codes!$N$499:$Y$499)*(T$119:T$119))</f>
        <v>0</v>
      </c>
    </row>
    <row r="296" spans="4:20" s="41" customFormat="1" outlineLevel="2">
      <c r="E296" s="251" t="str">
        <f>GC!C45</f>
        <v>Meters</v>
      </c>
      <c r="F296" s="251"/>
      <c r="G296" s="251"/>
      <c r="H296" s="251"/>
      <c r="I296" s="251"/>
      <c r="J296" s="80">
        <f ca="1">SUMPRODUCT((Work_Codes!$N$473:$Y$473=$E296)*(Work_Codes!$N$499:$Y$499)*(J$119:J$119))</f>
        <v>0</v>
      </c>
      <c r="K296" s="80">
        <f ca="1">SUMPRODUCT((Work_Codes!$N$473:$Y$473=$E296)*(Work_Codes!$N$499:$Y$499)*(K$119:K$119))</f>
        <v>0</v>
      </c>
      <c r="L296" s="80">
        <f ca="1">SUMPRODUCT((Work_Codes!$N$473:$Y$473=$E296)*(Work_Codes!$N$499:$Y$499)*(L$119:L$119))</f>
        <v>0</v>
      </c>
      <c r="M296" s="80">
        <f ca="1">SUMPRODUCT((Work_Codes!$N$473:$Y$473=$E296)*(Work_Codes!$N$499:$Y$499)*(M$119:M$119))</f>
        <v>0</v>
      </c>
      <c r="N296" s="80">
        <f ca="1">SUMPRODUCT((Work_Codes!$N$473:$Y$473=$E296)*(Work_Codes!$N$499:$Y$499)*(N$119:N$119))</f>
        <v>0</v>
      </c>
      <c r="O296" s="80">
        <f ca="1">SUMPRODUCT((Work_Codes!$N$473:$Y$473=$E296)*(Work_Codes!$N$499:$Y$499)*(O$119:O$119))</f>
        <v>0</v>
      </c>
      <c r="P296" s="80">
        <f ca="1">SUMPRODUCT((Work_Codes!$N$473:$Y$473=$E296)*(Work_Codes!$N$499:$Y$499)*(P$119:P$119))</f>
        <v>0</v>
      </c>
      <c r="Q296" s="80">
        <f ca="1">SUMPRODUCT((Work_Codes!$N$473:$Y$473=$E296)*(Work_Codes!$N$499:$Y$499)*(Q$119:Q$119))</f>
        <v>0</v>
      </c>
      <c r="R296" s="80">
        <f ca="1">SUMPRODUCT((Work_Codes!$N$473:$Y$473=$E296)*(Work_Codes!$N$499:$Y$499)*(R$119:R$119))</f>
        <v>0</v>
      </c>
      <c r="S296" s="80">
        <f ca="1">SUMPRODUCT((Work_Codes!$N$473:$Y$473=$E296)*(Work_Codes!$N$499:$Y$499)*(S$119:S$119))</f>
        <v>0</v>
      </c>
      <c r="T296" s="80">
        <f ca="1">SUMPRODUCT((Work_Codes!$N$473:$Y$473=$E296)*(Work_Codes!$N$499:$Y$499)*(T$119:T$119))</f>
        <v>0</v>
      </c>
    </row>
    <row r="297" spans="4:20" s="41" customFormat="1" outlineLevel="2">
      <c r="E297" s="251" t="str">
        <f>GC!C46</f>
        <v>SCADA and remote control</v>
      </c>
      <c r="F297" s="251"/>
      <c r="G297" s="251"/>
      <c r="H297" s="251"/>
      <c r="I297" s="251"/>
      <c r="J297" s="80">
        <f ca="1">SUMPRODUCT((Work_Codes!$N$473:$Y$473=$E297)*(Work_Codes!$N$499:$Y$499)*(J$119:J$119))</f>
        <v>0</v>
      </c>
      <c r="K297" s="80">
        <f ca="1">SUMPRODUCT((Work_Codes!$N$473:$Y$473=$E297)*(Work_Codes!$N$499:$Y$499)*(K$119:K$119))</f>
        <v>0</v>
      </c>
      <c r="L297" s="80">
        <f ca="1">SUMPRODUCT((Work_Codes!$N$473:$Y$473=$E297)*(Work_Codes!$N$499:$Y$499)*(L$119:L$119))</f>
        <v>0</v>
      </c>
      <c r="M297" s="80">
        <f ca="1">SUMPRODUCT((Work_Codes!$N$473:$Y$473=$E297)*(Work_Codes!$N$499:$Y$499)*(M$119:M$119))</f>
        <v>0</v>
      </c>
      <c r="N297" s="80">
        <f ca="1">SUMPRODUCT((Work_Codes!$N$473:$Y$473=$E297)*(Work_Codes!$N$499:$Y$499)*(N$119:N$119))</f>
        <v>0</v>
      </c>
      <c r="O297" s="80">
        <f ca="1">SUMPRODUCT((Work_Codes!$N$473:$Y$473=$E297)*(Work_Codes!$N$499:$Y$499)*(O$119:O$119))</f>
        <v>0</v>
      </c>
      <c r="P297" s="80">
        <f ca="1">SUMPRODUCT((Work_Codes!$N$473:$Y$473=$E297)*(Work_Codes!$N$499:$Y$499)*(P$119:P$119))</f>
        <v>0</v>
      </c>
      <c r="Q297" s="80">
        <f ca="1">SUMPRODUCT((Work_Codes!$N$473:$Y$473=$E297)*(Work_Codes!$N$499:$Y$499)*(Q$119:Q$119))</f>
        <v>0</v>
      </c>
      <c r="R297" s="80">
        <f ca="1">SUMPRODUCT((Work_Codes!$N$473:$Y$473=$E297)*(Work_Codes!$N$499:$Y$499)*(R$119:R$119))</f>
        <v>0</v>
      </c>
      <c r="S297" s="80">
        <f ca="1">SUMPRODUCT((Work_Codes!$N$473:$Y$473=$E297)*(Work_Codes!$N$499:$Y$499)*(S$119:S$119))</f>
        <v>0</v>
      </c>
      <c r="T297" s="80">
        <f ca="1">SUMPRODUCT((Work_Codes!$N$473:$Y$473=$E297)*(Work_Codes!$N$499:$Y$499)*(T$119:T$119))</f>
        <v>0</v>
      </c>
    </row>
    <row r="298" spans="4:20" s="41" customFormat="1" outlineLevel="2">
      <c r="E298" s="251" t="str">
        <f>GC!C47</f>
        <v>Buildings</v>
      </c>
      <c r="F298" s="251"/>
      <c r="G298" s="251"/>
      <c r="H298" s="251"/>
      <c r="I298" s="251"/>
      <c r="J298" s="80">
        <f ca="1">SUMPRODUCT((Work_Codes!$N$473:$Y$473=$E298)*(Work_Codes!$N$499:$Y$499)*(J$119:J$119))</f>
        <v>0</v>
      </c>
      <c r="K298" s="80">
        <f ca="1">SUMPRODUCT((Work_Codes!$N$473:$Y$473=$E298)*(Work_Codes!$N$499:$Y$499)*(K$119:K$119))</f>
        <v>0</v>
      </c>
      <c r="L298" s="80">
        <f ca="1">SUMPRODUCT((Work_Codes!$N$473:$Y$473=$E298)*(Work_Codes!$N$499:$Y$499)*(L$119:L$119))</f>
        <v>0</v>
      </c>
      <c r="M298" s="80">
        <f ca="1">SUMPRODUCT((Work_Codes!$N$473:$Y$473=$E298)*(Work_Codes!$N$499:$Y$499)*(M$119:M$119))</f>
        <v>0</v>
      </c>
      <c r="N298" s="80">
        <f ca="1">SUMPRODUCT((Work_Codes!$N$473:$Y$473=$E298)*(Work_Codes!$N$499:$Y$499)*(N$119:N$119))</f>
        <v>0</v>
      </c>
      <c r="O298" s="80">
        <f ca="1">SUMPRODUCT((Work_Codes!$N$473:$Y$473=$E298)*(Work_Codes!$N$499:$Y$499)*(O$119:O$119))</f>
        <v>0</v>
      </c>
      <c r="P298" s="80">
        <f ca="1">SUMPRODUCT((Work_Codes!$N$473:$Y$473=$E298)*(Work_Codes!$N$499:$Y$499)*(P$119:P$119))</f>
        <v>0</v>
      </c>
      <c r="Q298" s="80">
        <f ca="1">SUMPRODUCT((Work_Codes!$N$473:$Y$473=$E298)*(Work_Codes!$N$499:$Y$499)*(Q$119:Q$119))</f>
        <v>0</v>
      </c>
      <c r="R298" s="80">
        <f ca="1">SUMPRODUCT((Work_Codes!$N$473:$Y$473=$E298)*(Work_Codes!$N$499:$Y$499)*(R$119:R$119))</f>
        <v>0</v>
      </c>
      <c r="S298" s="80">
        <f ca="1">SUMPRODUCT((Work_Codes!$N$473:$Y$473=$E298)*(Work_Codes!$N$499:$Y$499)*(S$119:S$119))</f>
        <v>0</v>
      </c>
      <c r="T298" s="80">
        <f ca="1">SUMPRODUCT((Work_Codes!$N$473:$Y$473=$E298)*(Work_Codes!$N$499:$Y$499)*(T$119:T$119))</f>
        <v>0</v>
      </c>
    </row>
    <row r="299" spans="4:20" s="41" customFormat="1" outlineLevel="2">
      <c r="E299" s="251" t="str">
        <f>GC!C48</f>
        <v>Other - IT</v>
      </c>
      <c r="F299" s="251"/>
      <c r="G299" s="251"/>
      <c r="H299" s="251"/>
      <c r="I299" s="251"/>
      <c r="J299" s="80">
        <f ca="1">SUMPRODUCT((Work_Codes!$N$473:$Y$473=$E299)*(Work_Codes!$N$499:$Y$499)*(J$119:J$119))</f>
        <v>0</v>
      </c>
      <c r="K299" s="80">
        <f ca="1">SUMPRODUCT((Work_Codes!$N$473:$Y$473=$E299)*(Work_Codes!$N$499:$Y$499)*(K$119:K$119))</f>
        <v>0</v>
      </c>
      <c r="L299" s="80">
        <f ca="1">SUMPRODUCT((Work_Codes!$N$473:$Y$473=$E299)*(Work_Codes!$N$499:$Y$499)*(L$119:L$119))</f>
        <v>0</v>
      </c>
      <c r="M299" s="80">
        <f ca="1">SUMPRODUCT((Work_Codes!$N$473:$Y$473=$E299)*(Work_Codes!$N$499:$Y$499)*(M$119:M$119))</f>
        <v>0</v>
      </c>
      <c r="N299" s="80">
        <f ca="1">SUMPRODUCT((Work_Codes!$N$473:$Y$473=$E299)*(Work_Codes!$N$499:$Y$499)*(N$119:N$119))</f>
        <v>0</v>
      </c>
      <c r="O299" s="80">
        <f ca="1">SUMPRODUCT((Work_Codes!$N$473:$Y$473=$E299)*(Work_Codes!$N$499:$Y$499)*(O$119:O$119))</f>
        <v>0</v>
      </c>
      <c r="P299" s="80">
        <f ca="1">SUMPRODUCT((Work_Codes!$N$473:$Y$473=$E299)*(Work_Codes!$N$499:$Y$499)*(P$119:P$119))</f>
        <v>0</v>
      </c>
      <c r="Q299" s="80">
        <f ca="1">SUMPRODUCT((Work_Codes!$N$473:$Y$473=$E299)*(Work_Codes!$N$499:$Y$499)*(Q$119:Q$119))</f>
        <v>0</v>
      </c>
      <c r="R299" s="80">
        <f ca="1">SUMPRODUCT((Work_Codes!$N$473:$Y$473=$E299)*(Work_Codes!$N$499:$Y$499)*(R$119:R$119))</f>
        <v>0</v>
      </c>
      <c r="S299" s="80">
        <f ca="1">SUMPRODUCT((Work_Codes!$N$473:$Y$473=$E299)*(Work_Codes!$N$499:$Y$499)*(S$119:S$119))</f>
        <v>0</v>
      </c>
      <c r="T299" s="80">
        <f ca="1">SUMPRODUCT((Work_Codes!$N$473:$Y$473=$E299)*(Work_Codes!$N$499:$Y$499)*(T$119:T$119))</f>
        <v>0</v>
      </c>
    </row>
    <row r="300" spans="4:20" s="41" customFormat="1" outlineLevel="2">
      <c r="E300" s="251" t="str">
        <f>GC!C49</f>
        <v>Other - non IT</v>
      </c>
      <c r="F300" s="251"/>
      <c r="G300" s="251"/>
      <c r="H300" s="251"/>
      <c r="I300" s="251"/>
      <c r="J300" s="80">
        <f ca="1">SUMPRODUCT((Work_Codes!$N$473:$Y$473=$E300)*(Work_Codes!$N$499:$Y$499)*(J$119:J$119))</f>
        <v>0</v>
      </c>
      <c r="K300" s="80">
        <f ca="1">SUMPRODUCT((Work_Codes!$N$473:$Y$473=$E300)*(Work_Codes!$N$499:$Y$499)*(K$119:K$119))</f>
        <v>0</v>
      </c>
      <c r="L300" s="80">
        <f ca="1">SUMPRODUCT((Work_Codes!$N$473:$Y$473=$E300)*(Work_Codes!$N$499:$Y$499)*(L$119:L$119))</f>
        <v>0</v>
      </c>
      <c r="M300" s="80">
        <f ca="1">SUMPRODUCT((Work_Codes!$N$473:$Y$473=$E300)*(Work_Codes!$N$499:$Y$499)*(M$119:M$119))</f>
        <v>0</v>
      </c>
      <c r="N300" s="80">
        <f ca="1">SUMPRODUCT((Work_Codes!$N$473:$Y$473=$E300)*(Work_Codes!$N$499:$Y$499)*(N$119:N$119))</f>
        <v>0</v>
      </c>
      <c r="O300" s="80">
        <f ca="1">SUMPRODUCT((Work_Codes!$N$473:$Y$473=$E300)*(Work_Codes!$N$499:$Y$499)*(O$119:O$119))</f>
        <v>0</v>
      </c>
      <c r="P300" s="80">
        <f ca="1">SUMPRODUCT((Work_Codes!$N$473:$Y$473=$E300)*(Work_Codes!$N$499:$Y$499)*(P$119:P$119))</f>
        <v>0</v>
      </c>
      <c r="Q300" s="80">
        <f ca="1">SUMPRODUCT((Work_Codes!$N$473:$Y$473=$E300)*(Work_Codes!$N$499:$Y$499)*(Q$119:Q$119))</f>
        <v>0</v>
      </c>
      <c r="R300" s="80">
        <f ca="1">SUMPRODUCT((Work_Codes!$N$473:$Y$473=$E300)*(Work_Codes!$N$499:$Y$499)*(R$119:R$119))</f>
        <v>0</v>
      </c>
      <c r="S300" s="80">
        <f ca="1">SUMPRODUCT((Work_Codes!$N$473:$Y$473=$E300)*(Work_Codes!$N$499:$Y$499)*(S$119:S$119))</f>
        <v>0</v>
      </c>
      <c r="T300" s="80">
        <f ca="1">SUMPRODUCT((Work_Codes!$N$473:$Y$473=$E300)*(Work_Codes!$N$499:$Y$499)*(T$119:T$119))</f>
        <v>0</v>
      </c>
    </row>
    <row r="301" spans="4:20" s="41" customFormat="1" outlineLevel="2">
      <c r="E301" s="251" t="str">
        <f>GC!C50</f>
        <v>Land</v>
      </c>
      <c r="F301" s="251"/>
      <c r="G301" s="251"/>
      <c r="H301" s="251"/>
      <c r="I301" s="251"/>
      <c r="J301" s="80">
        <f ca="1">SUMPRODUCT((Work_Codes!$N$473:$Y$473=$E301)*(Work_Codes!$N$499:$Y$499)*(J$119:J$119))</f>
        <v>0</v>
      </c>
      <c r="K301" s="80">
        <f ca="1">SUMPRODUCT((Work_Codes!$N$473:$Y$473=$E301)*(Work_Codes!$N$499:$Y$499)*(K$119:K$119))</f>
        <v>0</v>
      </c>
      <c r="L301" s="80">
        <f ca="1">SUMPRODUCT((Work_Codes!$N$473:$Y$473=$E301)*(Work_Codes!$N$499:$Y$499)*(L$119:L$119))</f>
        <v>0</v>
      </c>
      <c r="M301" s="80">
        <f ca="1">SUMPRODUCT((Work_Codes!$N$473:$Y$473=$E301)*(Work_Codes!$N$499:$Y$499)*(M$119:M$119))</f>
        <v>0</v>
      </c>
      <c r="N301" s="80">
        <f ca="1">SUMPRODUCT((Work_Codes!$N$473:$Y$473=$E301)*(Work_Codes!$N$499:$Y$499)*(N$119:N$119))</f>
        <v>0</v>
      </c>
      <c r="O301" s="80">
        <f ca="1">SUMPRODUCT((Work_Codes!$N$473:$Y$473=$E301)*(Work_Codes!$N$499:$Y$499)*(O$119:O$119))</f>
        <v>0</v>
      </c>
      <c r="P301" s="80">
        <f ca="1">SUMPRODUCT((Work_Codes!$N$473:$Y$473=$E301)*(Work_Codes!$N$499:$Y$499)*(P$119:P$119))</f>
        <v>0</v>
      </c>
      <c r="Q301" s="80">
        <f ca="1">SUMPRODUCT((Work_Codes!$N$473:$Y$473=$E301)*(Work_Codes!$N$499:$Y$499)*(Q$119:Q$119))</f>
        <v>0</v>
      </c>
      <c r="R301" s="80">
        <f ca="1">SUMPRODUCT((Work_Codes!$N$473:$Y$473=$E301)*(Work_Codes!$N$499:$Y$499)*(R$119:R$119))</f>
        <v>0</v>
      </c>
      <c r="S301" s="80">
        <f ca="1">SUMPRODUCT((Work_Codes!$N$473:$Y$473=$E301)*(Work_Codes!$N$499:$Y$499)*(S$119:S$119))</f>
        <v>0</v>
      </c>
      <c r="T301" s="80">
        <f ca="1">SUMPRODUCT((Work_Codes!$N$473:$Y$473=$E301)*(Work_Codes!$N$499:$Y$499)*(T$119:T$119))</f>
        <v>0</v>
      </c>
    </row>
    <row r="302" spans="4:20" s="41" customFormat="1" outlineLevel="2">
      <c r="E302" s="251" t="str">
        <f>GC!C51</f>
        <v>Capitalised Leases</v>
      </c>
      <c r="F302" s="251"/>
      <c r="G302" s="251"/>
      <c r="H302" s="251"/>
      <c r="I302" s="251"/>
      <c r="J302" s="80">
        <f ca="1">SUMPRODUCT((Work_Codes!$N$473:$Y$473=$E302)*(Work_Codes!$N$499:$Y$499)*(J$119:J$119))</f>
        <v>0</v>
      </c>
      <c r="K302" s="80">
        <f ca="1">SUMPRODUCT((Work_Codes!$N$473:$Y$473=$E302)*(Work_Codes!$N$499:$Y$499)*(K$119:K$119))</f>
        <v>0</v>
      </c>
      <c r="L302" s="80">
        <f ca="1">SUMPRODUCT((Work_Codes!$N$473:$Y$473=$E302)*(Work_Codes!$N$499:$Y$499)*(L$119:L$119))</f>
        <v>0</v>
      </c>
      <c r="M302" s="80">
        <f ca="1">SUMPRODUCT((Work_Codes!$N$473:$Y$473=$E302)*(Work_Codes!$N$499:$Y$499)*(M$119:M$119))</f>
        <v>0</v>
      </c>
      <c r="N302" s="80">
        <f ca="1">SUMPRODUCT((Work_Codes!$N$473:$Y$473=$E302)*(Work_Codes!$N$499:$Y$499)*(N$119:N$119))</f>
        <v>0</v>
      </c>
      <c r="O302" s="80">
        <f ca="1">SUMPRODUCT((Work_Codes!$N$473:$Y$473=$E302)*(Work_Codes!$N$499:$Y$499)*(O$119:O$119))</f>
        <v>0</v>
      </c>
      <c r="P302" s="80">
        <f ca="1">SUMPRODUCT((Work_Codes!$N$473:$Y$473=$E302)*(Work_Codes!$N$499:$Y$499)*(P$119:P$119))</f>
        <v>0</v>
      </c>
      <c r="Q302" s="80">
        <f ca="1">SUMPRODUCT((Work_Codes!$N$473:$Y$473=$E302)*(Work_Codes!$N$499:$Y$499)*(Q$119:Q$119))</f>
        <v>0</v>
      </c>
      <c r="R302" s="80">
        <f ca="1">SUMPRODUCT((Work_Codes!$N$473:$Y$473=$E302)*(Work_Codes!$N$499:$Y$499)*(R$119:R$119))</f>
        <v>0</v>
      </c>
      <c r="S302" s="80">
        <f ca="1">SUMPRODUCT((Work_Codes!$N$473:$Y$473=$E302)*(Work_Codes!$N$499:$Y$499)*(S$119:S$119))</f>
        <v>0</v>
      </c>
      <c r="T302" s="80">
        <f ca="1">SUMPRODUCT((Work_Codes!$N$473:$Y$473=$E302)*(Work_Codes!$N$499:$Y$499)*(T$119:T$119))</f>
        <v>0</v>
      </c>
    </row>
    <row r="303" spans="4:20" s="41" customFormat="1" outlineLevel="2">
      <c r="E303" s="251" t="str">
        <f>GC!C52</f>
        <v>Transmission pipelines - post 1998</v>
      </c>
      <c r="F303" s="251"/>
      <c r="G303" s="251"/>
      <c r="H303" s="251"/>
      <c r="I303" s="251"/>
      <c r="J303" s="80">
        <f ca="1">SUMPRODUCT((Work_Codes!$N$473:$Y$473=$E303)*(Work_Codes!$N$499:$Y$499)*(J$119:J$119))</f>
        <v>0</v>
      </c>
      <c r="K303" s="80">
        <f ca="1">SUMPRODUCT((Work_Codes!$N$473:$Y$473=$E303)*(Work_Codes!$N$499:$Y$499)*(K$119:K$119))</f>
        <v>0</v>
      </c>
      <c r="L303" s="80">
        <f ca="1">SUMPRODUCT((Work_Codes!$N$473:$Y$473=$E303)*(Work_Codes!$N$499:$Y$499)*(L$119:L$119))</f>
        <v>0</v>
      </c>
      <c r="M303" s="80">
        <f ca="1">SUMPRODUCT((Work_Codes!$N$473:$Y$473=$E303)*(Work_Codes!$N$499:$Y$499)*(M$119:M$119))</f>
        <v>0</v>
      </c>
      <c r="N303" s="80">
        <f ca="1">SUMPRODUCT((Work_Codes!$N$473:$Y$473=$E303)*(Work_Codes!$N$499:$Y$499)*(N$119:N$119))</f>
        <v>0</v>
      </c>
      <c r="O303" s="80">
        <f ca="1">SUMPRODUCT((Work_Codes!$N$473:$Y$473=$E303)*(Work_Codes!$N$499:$Y$499)*(O$119:O$119))</f>
        <v>0</v>
      </c>
      <c r="P303" s="80">
        <f ca="1">SUMPRODUCT((Work_Codes!$N$473:$Y$473=$E303)*(Work_Codes!$N$499:$Y$499)*(P$119:P$119))</f>
        <v>0</v>
      </c>
      <c r="Q303" s="80">
        <f ca="1">SUMPRODUCT((Work_Codes!$N$473:$Y$473=$E303)*(Work_Codes!$N$499:$Y$499)*(Q$119:Q$119))</f>
        <v>0</v>
      </c>
      <c r="R303" s="80">
        <f ca="1">SUMPRODUCT((Work_Codes!$N$473:$Y$473=$E303)*(Work_Codes!$N$499:$Y$499)*(R$119:R$119))</f>
        <v>0</v>
      </c>
      <c r="S303" s="80">
        <f ca="1">SUMPRODUCT((Work_Codes!$N$473:$Y$473=$E303)*(Work_Codes!$N$499:$Y$499)*(S$119:S$119))</f>
        <v>0</v>
      </c>
      <c r="T303" s="80">
        <f ca="1">SUMPRODUCT((Work_Codes!$N$473:$Y$473=$E303)*(Work_Codes!$N$499:$Y$499)*(T$119:T$119))</f>
        <v>0</v>
      </c>
    </row>
    <row r="304" spans="4:20" s="41" customFormat="1" outlineLevel="2">
      <c r="E304" s="251" t="str">
        <f>GC!C53</f>
        <v>Distribution pipelines - post 1998</v>
      </c>
      <c r="F304" s="251"/>
      <c r="G304" s="251"/>
      <c r="H304" s="251"/>
      <c r="I304" s="251"/>
      <c r="J304" s="80">
        <f ca="1">SUMPRODUCT((Work_Codes!$N$473:$Y$473=$E304)*(Work_Codes!$N$499:$Y$499)*(J$119:J$119))</f>
        <v>0</v>
      </c>
      <c r="K304" s="80">
        <f ca="1">SUMPRODUCT((Work_Codes!$N$473:$Y$473=$E304)*(Work_Codes!$N$499:$Y$499)*(K$119:K$119))</f>
        <v>0</v>
      </c>
      <c r="L304" s="80">
        <f ca="1">SUMPRODUCT((Work_Codes!$N$473:$Y$473=$E304)*(Work_Codes!$N$499:$Y$499)*(L$119:L$119))</f>
        <v>0</v>
      </c>
      <c r="M304" s="80">
        <f ca="1">SUMPRODUCT((Work_Codes!$N$473:$Y$473=$E304)*(Work_Codes!$N$499:$Y$499)*(M$119:M$119))</f>
        <v>0</v>
      </c>
      <c r="N304" s="80">
        <f ca="1">SUMPRODUCT((Work_Codes!$N$473:$Y$473=$E304)*(Work_Codes!$N$499:$Y$499)*(N$119:N$119))</f>
        <v>0</v>
      </c>
      <c r="O304" s="80">
        <f ca="1">SUMPRODUCT((Work_Codes!$N$473:$Y$473=$E304)*(Work_Codes!$N$499:$Y$499)*(O$119:O$119))</f>
        <v>0</v>
      </c>
      <c r="P304" s="80">
        <f ca="1">SUMPRODUCT((Work_Codes!$N$473:$Y$473=$E304)*(Work_Codes!$N$499:$Y$499)*(P$119:P$119))</f>
        <v>0</v>
      </c>
      <c r="Q304" s="80">
        <f ca="1">SUMPRODUCT((Work_Codes!$N$473:$Y$473=$E304)*(Work_Codes!$N$499:$Y$499)*(Q$119:Q$119))</f>
        <v>0</v>
      </c>
      <c r="R304" s="80">
        <f ca="1">SUMPRODUCT((Work_Codes!$N$473:$Y$473=$E304)*(Work_Codes!$N$499:$Y$499)*(R$119:R$119))</f>
        <v>0</v>
      </c>
      <c r="S304" s="80">
        <f ca="1">SUMPRODUCT((Work_Codes!$N$473:$Y$473=$E304)*(Work_Codes!$N$499:$Y$499)*(S$119:S$119))</f>
        <v>0</v>
      </c>
      <c r="T304" s="80">
        <f ca="1">SUMPRODUCT((Work_Codes!$N$473:$Y$473=$E304)*(Work_Codes!$N$499:$Y$499)*(T$119:T$119))</f>
        <v>0</v>
      </c>
    </row>
    <row r="305" spans="2:20" s="41" customFormat="1" outlineLevel="2">
      <c r="E305" s="251" t="str">
        <f>GC!C54</f>
        <v>Service pipes - post 1998</v>
      </c>
      <c r="F305" s="251"/>
      <c r="G305" s="251"/>
      <c r="H305" s="251"/>
      <c r="I305" s="251"/>
      <c r="J305" s="80">
        <f ca="1">SUMPRODUCT((Work_Codes!$N$473:$Y$473=$E305)*(Work_Codes!$N$499:$Y$499)*(J$119:J$119))</f>
        <v>0</v>
      </c>
      <c r="K305" s="80">
        <f ca="1">SUMPRODUCT((Work_Codes!$N$473:$Y$473=$E305)*(Work_Codes!$N$499:$Y$499)*(K$119:K$119))</f>
        <v>0</v>
      </c>
      <c r="L305" s="80">
        <f ca="1">SUMPRODUCT((Work_Codes!$N$473:$Y$473=$E305)*(Work_Codes!$N$499:$Y$499)*(L$119:L$119))</f>
        <v>0</v>
      </c>
      <c r="M305" s="80">
        <f ca="1">SUMPRODUCT((Work_Codes!$N$473:$Y$473=$E305)*(Work_Codes!$N$499:$Y$499)*(M$119:M$119))</f>
        <v>0</v>
      </c>
      <c r="N305" s="80">
        <f ca="1">SUMPRODUCT((Work_Codes!$N$473:$Y$473=$E305)*(Work_Codes!$N$499:$Y$499)*(N$119:N$119))</f>
        <v>0</v>
      </c>
      <c r="O305" s="80">
        <f ca="1">SUMPRODUCT((Work_Codes!$N$473:$Y$473=$E305)*(Work_Codes!$N$499:$Y$499)*(O$119:O$119))</f>
        <v>0</v>
      </c>
      <c r="P305" s="80">
        <f ca="1">SUMPRODUCT((Work_Codes!$N$473:$Y$473=$E305)*(Work_Codes!$N$499:$Y$499)*(P$119:P$119))</f>
        <v>0</v>
      </c>
      <c r="Q305" s="80">
        <f ca="1">SUMPRODUCT((Work_Codes!$N$473:$Y$473=$E305)*(Work_Codes!$N$499:$Y$499)*(Q$119:Q$119))</f>
        <v>0</v>
      </c>
      <c r="R305" s="80">
        <f ca="1">SUMPRODUCT((Work_Codes!$N$473:$Y$473=$E305)*(Work_Codes!$N$499:$Y$499)*(R$119:R$119))</f>
        <v>0</v>
      </c>
      <c r="S305" s="80">
        <f ca="1">SUMPRODUCT((Work_Codes!$N$473:$Y$473=$E305)*(Work_Codes!$N$499:$Y$499)*(S$119:S$119))</f>
        <v>0</v>
      </c>
      <c r="T305" s="80">
        <f ca="1">SUMPRODUCT((Work_Codes!$N$473:$Y$473=$E305)*(Work_Codes!$N$499:$Y$499)*(T$119:T$119))</f>
        <v>0</v>
      </c>
    </row>
    <row r="306" spans="2:20" s="41" customFormat="1" outlineLevel="2">
      <c r="E306" s="251" t="str">
        <f>GC!C55</f>
        <v>Cathodic protection - post 1998</v>
      </c>
      <c r="F306" s="251"/>
      <c r="G306" s="251"/>
      <c r="H306" s="251"/>
      <c r="I306" s="251"/>
      <c r="J306" s="80">
        <f ca="1">SUMPRODUCT((Work_Codes!$N$473:$Y$473=$E306)*(Work_Codes!$N$499:$Y$499)*(J$119:J$119))</f>
        <v>0</v>
      </c>
      <c r="K306" s="80">
        <f ca="1">SUMPRODUCT((Work_Codes!$N$473:$Y$473=$E306)*(Work_Codes!$N$499:$Y$499)*(K$119:K$119))</f>
        <v>0</v>
      </c>
      <c r="L306" s="80">
        <f ca="1">SUMPRODUCT((Work_Codes!$N$473:$Y$473=$E306)*(Work_Codes!$N$499:$Y$499)*(L$119:L$119))</f>
        <v>0</v>
      </c>
      <c r="M306" s="80">
        <f ca="1">SUMPRODUCT((Work_Codes!$N$473:$Y$473=$E306)*(Work_Codes!$N$499:$Y$499)*(M$119:M$119))</f>
        <v>0</v>
      </c>
      <c r="N306" s="80">
        <f ca="1">SUMPRODUCT((Work_Codes!$N$473:$Y$473=$E306)*(Work_Codes!$N$499:$Y$499)*(N$119:N$119))</f>
        <v>0</v>
      </c>
      <c r="O306" s="80">
        <f ca="1">SUMPRODUCT((Work_Codes!$N$473:$Y$473=$E306)*(Work_Codes!$N$499:$Y$499)*(O$119:O$119))</f>
        <v>0</v>
      </c>
      <c r="P306" s="80">
        <f ca="1">SUMPRODUCT((Work_Codes!$N$473:$Y$473=$E306)*(Work_Codes!$N$499:$Y$499)*(P$119:P$119))</f>
        <v>0</v>
      </c>
      <c r="Q306" s="80">
        <f ca="1">SUMPRODUCT((Work_Codes!$N$473:$Y$473=$E306)*(Work_Codes!$N$499:$Y$499)*(Q$119:Q$119))</f>
        <v>0</v>
      </c>
      <c r="R306" s="80">
        <f ca="1">SUMPRODUCT((Work_Codes!$N$473:$Y$473=$E306)*(Work_Codes!$N$499:$Y$499)*(R$119:R$119))</f>
        <v>0</v>
      </c>
      <c r="S306" s="80">
        <f ca="1">SUMPRODUCT((Work_Codes!$N$473:$Y$473=$E306)*(Work_Codes!$N$499:$Y$499)*(S$119:S$119))</f>
        <v>0</v>
      </c>
      <c r="T306" s="80">
        <f ca="1">SUMPRODUCT((Work_Codes!$N$473:$Y$473=$E306)*(Work_Codes!$N$499:$Y$499)*(T$119:T$119))</f>
        <v>0</v>
      </c>
    </row>
    <row r="307" spans="2:20" s="41" customFormat="1" outlineLevel="2">
      <c r="E307" s="250" t="str">
        <f>"Total "&amp;D289</f>
        <v>Total Customer Contributions</v>
      </c>
      <c r="F307" s="250"/>
      <c r="G307" s="250"/>
      <c r="H307" s="250"/>
      <c r="I307" s="250"/>
      <c r="J307" s="101">
        <f t="shared" ref="J307:T307" ca="1" si="57">SUM(J291:J306)</f>
        <v>0</v>
      </c>
      <c r="K307" s="101">
        <f t="shared" ca="1" si="57"/>
        <v>0</v>
      </c>
      <c r="L307" s="101">
        <f t="shared" ca="1" si="57"/>
        <v>0</v>
      </c>
      <c r="M307" s="101">
        <f t="shared" ca="1" si="57"/>
        <v>0</v>
      </c>
      <c r="N307" s="101">
        <f t="shared" ca="1" si="57"/>
        <v>0</v>
      </c>
      <c r="O307" s="101">
        <f t="shared" ca="1" si="57"/>
        <v>0</v>
      </c>
      <c r="P307" s="101">
        <f t="shared" ca="1" si="57"/>
        <v>0</v>
      </c>
      <c r="Q307" s="101">
        <f t="shared" ca="1" si="57"/>
        <v>0</v>
      </c>
      <c r="R307" s="101">
        <f t="shared" ca="1" si="57"/>
        <v>0</v>
      </c>
      <c r="S307" s="101">
        <f t="shared" ca="1" si="57"/>
        <v>0</v>
      </c>
      <c r="T307" s="101">
        <f t="shared" ca="1" si="57"/>
        <v>0</v>
      </c>
    </row>
    <row r="308" spans="2:20" s="41" customFormat="1" outlineLevel="1">
      <c r="B308" s="109"/>
      <c r="C308" s="109"/>
      <c r="D308" s="109"/>
      <c r="E308" s="109"/>
      <c r="F308" s="109"/>
      <c r="G308" s="109"/>
      <c r="H308" s="109"/>
      <c r="I308" s="109"/>
      <c r="J308" s="109"/>
      <c r="K308" s="109"/>
      <c r="L308" s="109"/>
      <c r="M308" s="109"/>
      <c r="N308" s="109"/>
      <c r="O308" s="109"/>
      <c r="P308" s="109"/>
      <c r="Q308" s="109"/>
      <c r="R308" s="109"/>
      <c r="S308" s="109"/>
      <c r="T308" s="109"/>
    </row>
    <row r="309" spans="2:20" s="41" customFormat="1" outlineLevel="1"/>
    <row r="310" spans="2:20" s="41" customFormat="1" outlineLevel="1">
      <c r="C310" s="50" t="s">
        <v>196</v>
      </c>
    </row>
    <row r="311" spans="2:20" s="41" customFormat="1" ht="5.9" customHeight="1" outlineLevel="2"/>
    <row r="312" spans="2:20" s="41" customFormat="1" outlineLevel="2">
      <c r="D312" s="50" t="s">
        <v>215</v>
      </c>
    </row>
    <row r="313" spans="2:20" s="41" customFormat="1" ht="5.9" customHeight="1" outlineLevel="2"/>
    <row r="314" spans="2:20" s="41" customFormat="1" ht="12" customHeight="1" outlineLevel="2">
      <c r="E314" s="251" t="str">
        <f>GC!C60</f>
        <v>Mains replacement</v>
      </c>
      <c r="F314" s="251"/>
      <c r="G314" s="251"/>
      <c r="H314" s="251"/>
      <c r="I314" s="251"/>
      <c r="J314" s="80">
        <f ca="1">SUMPRODUCT((Work_Codes!$AC$473:$AO$473=$E314)*(Work_Codes!$AC$476:$AO$495)*(J$203:J$222))</f>
        <v>0</v>
      </c>
      <c r="K314" s="80">
        <f ca="1">SUMPRODUCT((Work_Codes!$AC$473:$AO$473=$E314)*(Work_Codes!$AC$476:$AO$495)*(K$203:K$222))</f>
        <v>0</v>
      </c>
      <c r="L314" s="80">
        <f ca="1">SUMPRODUCT((Work_Codes!$AC$473:$AO$473=$E314)*(Work_Codes!$AC$476:$AO$495)*(L$203:L$222))</f>
        <v>0</v>
      </c>
      <c r="M314" s="80">
        <f ca="1">SUMPRODUCT((Work_Codes!$AC$473:$AO$473=$E314)*(Work_Codes!$AC$476:$AO$495)*(M$203:M$222))</f>
        <v>0</v>
      </c>
      <c r="N314" s="80">
        <f ca="1">SUMPRODUCT((Work_Codes!$AC$473:$AO$473=$E314)*(Work_Codes!$AC$476:$AO$495)*(N$203:N$222))</f>
        <v>0</v>
      </c>
      <c r="O314" s="80">
        <f ca="1">SUMPRODUCT((Work_Codes!$AC$473:$AO$473=$E314)*(Work_Codes!$AC$476:$AO$495)*(O$203:O$222))</f>
        <v>0</v>
      </c>
      <c r="P314" s="80">
        <f ca="1">SUMPRODUCT((Work_Codes!$AC$473:$AO$473=$E314)*(Work_Codes!$AC$476:$AO$495)*(P$203:P$222))</f>
        <v>0</v>
      </c>
      <c r="Q314" s="80">
        <f ca="1">SUMPRODUCT((Work_Codes!$AC$473:$AO$473=$E314)*(Work_Codes!$AC$476:$AO$495)*(Q$203:Q$222))</f>
        <v>0</v>
      </c>
      <c r="R314" s="80">
        <f ca="1">SUMPRODUCT((Work_Codes!$AC$473:$AO$473=$E314)*(Work_Codes!$AC$476:$AO$495)*(R$203:R$222))</f>
        <v>0</v>
      </c>
      <c r="S314" s="80">
        <f ca="1">SUMPRODUCT((Work_Codes!$AC$473:$AO$473=$E314)*(Work_Codes!$AC$476:$AO$495)*(S$203:S$222))</f>
        <v>0</v>
      </c>
      <c r="T314" s="80">
        <f ca="1">SUMPRODUCT((Work_Codes!$AC$473:$AO$473=$E314)*(Work_Codes!$AC$476:$AO$495)*(T$203:T$222))</f>
        <v>0</v>
      </c>
    </row>
    <row r="315" spans="2:20" s="41" customFormat="1" ht="12" customHeight="1" outlineLevel="2">
      <c r="E315" s="251" t="str">
        <f>GC!C61</f>
        <v>Residential new customer connections</v>
      </c>
      <c r="F315" s="251"/>
      <c r="G315" s="251"/>
      <c r="H315" s="251"/>
      <c r="I315" s="251"/>
      <c r="J315" s="80">
        <f ca="1">SUMPRODUCT((Work_Codes!$AC$473:$AO$473=$E315)*(Work_Codes!$AC$476:$AO$495)*(J$203:J$222))</f>
        <v>0</v>
      </c>
      <c r="K315" s="80">
        <f ca="1">SUMPRODUCT((Work_Codes!$AC$473:$AO$473=$E315)*(Work_Codes!$AC$476:$AO$495)*(K$203:K$222))</f>
        <v>0</v>
      </c>
      <c r="L315" s="80">
        <f ca="1">SUMPRODUCT((Work_Codes!$AC$473:$AO$473=$E315)*(Work_Codes!$AC$476:$AO$495)*(L$203:L$222))</f>
        <v>0</v>
      </c>
      <c r="M315" s="80">
        <f ca="1">SUMPRODUCT((Work_Codes!$AC$473:$AO$473=$E315)*(Work_Codes!$AC$476:$AO$495)*(M$203:M$222))</f>
        <v>0</v>
      </c>
      <c r="N315" s="80">
        <f ca="1">SUMPRODUCT((Work_Codes!$AC$473:$AO$473=$E315)*(Work_Codes!$AC$476:$AO$495)*(N$203:N$222))</f>
        <v>0</v>
      </c>
      <c r="O315" s="80">
        <f ca="1">SUMPRODUCT((Work_Codes!$AC$473:$AO$473=$E315)*(Work_Codes!$AC$476:$AO$495)*(O$203:O$222))</f>
        <v>0</v>
      </c>
      <c r="P315" s="80">
        <f ca="1">SUMPRODUCT((Work_Codes!$AC$473:$AO$473=$E315)*(Work_Codes!$AC$476:$AO$495)*(P$203:P$222))</f>
        <v>0</v>
      </c>
      <c r="Q315" s="80">
        <f ca="1">SUMPRODUCT((Work_Codes!$AC$473:$AO$473=$E315)*(Work_Codes!$AC$476:$AO$495)*(Q$203:Q$222))</f>
        <v>0</v>
      </c>
      <c r="R315" s="80">
        <f ca="1">SUMPRODUCT((Work_Codes!$AC$473:$AO$473=$E315)*(Work_Codes!$AC$476:$AO$495)*(R$203:R$222))</f>
        <v>0</v>
      </c>
      <c r="S315" s="80">
        <f ca="1">SUMPRODUCT((Work_Codes!$AC$473:$AO$473=$E315)*(Work_Codes!$AC$476:$AO$495)*(S$203:S$222))</f>
        <v>0</v>
      </c>
      <c r="T315" s="80">
        <f ca="1">SUMPRODUCT((Work_Codes!$AC$473:$AO$473=$E315)*(Work_Codes!$AC$476:$AO$495)*(T$203:T$222))</f>
        <v>0</v>
      </c>
    </row>
    <row r="316" spans="2:20" s="41" customFormat="1" ht="12" customHeight="1" outlineLevel="2">
      <c r="E316" s="251" t="str">
        <f>GC!C62</f>
        <v>Commercial and industrial new customer connections</v>
      </c>
      <c r="F316" s="251"/>
      <c r="G316" s="251"/>
      <c r="H316" s="251"/>
      <c r="I316" s="251"/>
      <c r="J316" s="80">
        <f ca="1">SUMPRODUCT((Work_Codes!$AC$473:$AO$473=$E316)*(Work_Codes!$AC$476:$AO$495)*(J$203:J$222))</f>
        <v>0</v>
      </c>
      <c r="K316" s="80">
        <f ca="1">SUMPRODUCT((Work_Codes!$AC$473:$AO$473=$E316)*(Work_Codes!$AC$476:$AO$495)*(K$203:K$222))</f>
        <v>0</v>
      </c>
      <c r="L316" s="80">
        <f ca="1">SUMPRODUCT((Work_Codes!$AC$473:$AO$473=$E316)*(Work_Codes!$AC$476:$AO$495)*(L$203:L$222))</f>
        <v>0</v>
      </c>
      <c r="M316" s="80">
        <f ca="1">SUMPRODUCT((Work_Codes!$AC$473:$AO$473=$E316)*(Work_Codes!$AC$476:$AO$495)*(M$203:M$222))</f>
        <v>0</v>
      </c>
      <c r="N316" s="80">
        <f ca="1">SUMPRODUCT((Work_Codes!$AC$473:$AO$473=$E316)*(Work_Codes!$AC$476:$AO$495)*(N$203:N$222))</f>
        <v>0</v>
      </c>
      <c r="O316" s="80">
        <f ca="1">SUMPRODUCT((Work_Codes!$AC$473:$AO$473=$E316)*(Work_Codes!$AC$476:$AO$495)*(O$203:O$222))</f>
        <v>0</v>
      </c>
      <c r="P316" s="80">
        <f ca="1">SUMPRODUCT((Work_Codes!$AC$473:$AO$473=$E316)*(Work_Codes!$AC$476:$AO$495)*(P$203:P$222))</f>
        <v>0</v>
      </c>
      <c r="Q316" s="80">
        <f ca="1">SUMPRODUCT((Work_Codes!$AC$473:$AO$473=$E316)*(Work_Codes!$AC$476:$AO$495)*(Q$203:Q$222))</f>
        <v>0</v>
      </c>
      <c r="R316" s="80">
        <f ca="1">SUMPRODUCT((Work_Codes!$AC$473:$AO$473=$E316)*(Work_Codes!$AC$476:$AO$495)*(R$203:R$222))</f>
        <v>0</v>
      </c>
      <c r="S316" s="80">
        <f ca="1">SUMPRODUCT((Work_Codes!$AC$473:$AO$473=$E316)*(Work_Codes!$AC$476:$AO$495)*(S$203:S$222))</f>
        <v>0</v>
      </c>
      <c r="T316" s="80">
        <f ca="1">SUMPRODUCT((Work_Codes!$AC$473:$AO$473=$E316)*(Work_Codes!$AC$476:$AO$495)*(T$203:T$222))</f>
        <v>0</v>
      </c>
    </row>
    <row r="317" spans="2:20" s="41" customFormat="1" ht="12" customHeight="1" outlineLevel="2">
      <c r="E317" s="251" t="str">
        <f>GC!C63</f>
        <v>Residential meter replacement</v>
      </c>
      <c r="F317" s="251"/>
      <c r="G317" s="251"/>
      <c r="H317" s="251"/>
      <c r="I317" s="251"/>
      <c r="J317" s="80">
        <f ca="1">SUMPRODUCT((Work_Codes!$AC$473:$AO$473=$E317)*(Work_Codes!$AC$476:$AO$495)*(J$203:J$222))</f>
        <v>0</v>
      </c>
      <c r="K317" s="80">
        <f ca="1">SUMPRODUCT((Work_Codes!$AC$473:$AO$473=$E317)*(Work_Codes!$AC$476:$AO$495)*(K$203:K$222))</f>
        <v>0</v>
      </c>
      <c r="L317" s="80">
        <f ca="1">SUMPRODUCT((Work_Codes!$AC$473:$AO$473=$E317)*(Work_Codes!$AC$476:$AO$495)*(L$203:L$222))</f>
        <v>0</v>
      </c>
      <c r="M317" s="80">
        <f ca="1">SUMPRODUCT((Work_Codes!$AC$473:$AO$473=$E317)*(Work_Codes!$AC$476:$AO$495)*(M$203:M$222))</f>
        <v>0</v>
      </c>
      <c r="N317" s="80">
        <f ca="1">SUMPRODUCT((Work_Codes!$AC$473:$AO$473=$E317)*(Work_Codes!$AC$476:$AO$495)*(N$203:N$222))</f>
        <v>0</v>
      </c>
      <c r="O317" s="80">
        <f ca="1">SUMPRODUCT((Work_Codes!$AC$473:$AO$473=$E317)*(Work_Codes!$AC$476:$AO$495)*(O$203:O$222))</f>
        <v>0</v>
      </c>
      <c r="P317" s="80">
        <f ca="1">SUMPRODUCT((Work_Codes!$AC$473:$AO$473=$E317)*(Work_Codes!$AC$476:$AO$495)*(P$203:P$222))</f>
        <v>0</v>
      </c>
      <c r="Q317" s="80">
        <f ca="1">SUMPRODUCT((Work_Codes!$AC$473:$AO$473=$E317)*(Work_Codes!$AC$476:$AO$495)*(Q$203:Q$222))</f>
        <v>0</v>
      </c>
      <c r="R317" s="80">
        <f ca="1">SUMPRODUCT((Work_Codes!$AC$473:$AO$473=$E317)*(Work_Codes!$AC$476:$AO$495)*(R$203:R$222))</f>
        <v>0</v>
      </c>
      <c r="S317" s="80">
        <f ca="1">SUMPRODUCT((Work_Codes!$AC$473:$AO$473=$E317)*(Work_Codes!$AC$476:$AO$495)*(S$203:S$222))</f>
        <v>0</v>
      </c>
      <c r="T317" s="80">
        <f ca="1">SUMPRODUCT((Work_Codes!$AC$473:$AO$473=$E317)*(Work_Codes!$AC$476:$AO$495)*(T$203:T$222))</f>
        <v>0</v>
      </c>
    </row>
    <row r="318" spans="2:20" s="41" customFormat="1" ht="12" customHeight="1" outlineLevel="2">
      <c r="E318" s="251" t="str">
        <f>GC!C64</f>
        <v>Commercial and industrial meter replacement</v>
      </c>
      <c r="F318" s="251"/>
      <c r="G318" s="251"/>
      <c r="H318" s="251"/>
      <c r="I318" s="251"/>
      <c r="J318" s="80">
        <f ca="1">SUMPRODUCT((Work_Codes!$AC$473:$AO$473=$E318)*(Work_Codes!$AC$476:$AO$495)*(J$203:J$222))</f>
        <v>0</v>
      </c>
      <c r="K318" s="80">
        <f ca="1">SUMPRODUCT((Work_Codes!$AC$473:$AO$473=$E318)*(Work_Codes!$AC$476:$AO$495)*(K$203:K$222))</f>
        <v>0</v>
      </c>
      <c r="L318" s="80">
        <f ca="1">SUMPRODUCT((Work_Codes!$AC$473:$AO$473=$E318)*(Work_Codes!$AC$476:$AO$495)*(L$203:L$222))</f>
        <v>0</v>
      </c>
      <c r="M318" s="80">
        <f ca="1">SUMPRODUCT((Work_Codes!$AC$473:$AO$473=$E318)*(Work_Codes!$AC$476:$AO$495)*(M$203:M$222))</f>
        <v>0</v>
      </c>
      <c r="N318" s="80">
        <f ca="1">SUMPRODUCT((Work_Codes!$AC$473:$AO$473=$E318)*(Work_Codes!$AC$476:$AO$495)*(N$203:N$222))</f>
        <v>0</v>
      </c>
      <c r="O318" s="80">
        <f ca="1">SUMPRODUCT((Work_Codes!$AC$473:$AO$473=$E318)*(Work_Codes!$AC$476:$AO$495)*(O$203:O$222))</f>
        <v>0</v>
      </c>
      <c r="P318" s="80">
        <f ca="1">SUMPRODUCT((Work_Codes!$AC$473:$AO$473=$E318)*(Work_Codes!$AC$476:$AO$495)*(P$203:P$222))</f>
        <v>0</v>
      </c>
      <c r="Q318" s="80">
        <f ca="1">SUMPRODUCT((Work_Codes!$AC$473:$AO$473=$E318)*(Work_Codes!$AC$476:$AO$495)*(Q$203:Q$222))</f>
        <v>0</v>
      </c>
      <c r="R318" s="80">
        <f ca="1">SUMPRODUCT((Work_Codes!$AC$473:$AO$473=$E318)*(Work_Codes!$AC$476:$AO$495)*(R$203:R$222))</f>
        <v>0</v>
      </c>
      <c r="S318" s="80">
        <f ca="1">SUMPRODUCT((Work_Codes!$AC$473:$AO$473=$E318)*(Work_Codes!$AC$476:$AO$495)*(S$203:S$222))</f>
        <v>0</v>
      </c>
      <c r="T318" s="80">
        <f ca="1">SUMPRODUCT((Work_Codes!$AC$473:$AO$473=$E318)*(Work_Codes!$AC$476:$AO$495)*(T$203:T$222))</f>
        <v>0</v>
      </c>
    </row>
    <row r="319" spans="2:20" s="41" customFormat="1" ht="12" customHeight="1" outlineLevel="2">
      <c r="E319" s="251" t="str">
        <f>GC!C65</f>
        <v>Augmentation</v>
      </c>
      <c r="F319" s="251"/>
      <c r="G319" s="251"/>
      <c r="H319" s="251"/>
      <c r="I319" s="251"/>
      <c r="J319" s="80">
        <f ca="1">SUMPRODUCT((Work_Codes!$AC$473:$AO$473=$E319)*(Work_Codes!$AC$476:$AO$495)*(J$203:J$222))</f>
        <v>0</v>
      </c>
      <c r="K319" s="80">
        <f ca="1">SUMPRODUCT((Work_Codes!$AC$473:$AO$473=$E319)*(Work_Codes!$AC$476:$AO$495)*(K$203:K$222))</f>
        <v>0</v>
      </c>
      <c r="L319" s="80">
        <f ca="1">SUMPRODUCT((Work_Codes!$AC$473:$AO$473=$E319)*(Work_Codes!$AC$476:$AO$495)*(L$203:L$222))</f>
        <v>0</v>
      </c>
      <c r="M319" s="80">
        <f ca="1">SUMPRODUCT((Work_Codes!$AC$473:$AO$473=$E319)*(Work_Codes!$AC$476:$AO$495)*(M$203:M$222))</f>
        <v>0</v>
      </c>
      <c r="N319" s="80">
        <f ca="1">SUMPRODUCT((Work_Codes!$AC$473:$AO$473=$E319)*(Work_Codes!$AC$476:$AO$495)*(N$203:N$222))</f>
        <v>0</v>
      </c>
      <c r="O319" s="80">
        <f ca="1">SUMPRODUCT((Work_Codes!$AC$473:$AO$473=$E319)*(Work_Codes!$AC$476:$AO$495)*(O$203:O$222))</f>
        <v>0</v>
      </c>
      <c r="P319" s="80">
        <f ca="1">SUMPRODUCT((Work_Codes!$AC$473:$AO$473=$E319)*(Work_Codes!$AC$476:$AO$495)*(P$203:P$222))</f>
        <v>0</v>
      </c>
      <c r="Q319" s="80">
        <f ca="1">SUMPRODUCT((Work_Codes!$AC$473:$AO$473=$E319)*(Work_Codes!$AC$476:$AO$495)*(Q$203:Q$222))</f>
        <v>0</v>
      </c>
      <c r="R319" s="80">
        <f ca="1">SUMPRODUCT((Work_Codes!$AC$473:$AO$473=$E319)*(Work_Codes!$AC$476:$AO$495)*(R$203:R$222))</f>
        <v>0</v>
      </c>
      <c r="S319" s="80">
        <f ca="1">SUMPRODUCT((Work_Codes!$AC$473:$AO$473=$E319)*(Work_Codes!$AC$476:$AO$495)*(S$203:S$222))</f>
        <v>0</v>
      </c>
      <c r="T319" s="80">
        <f ca="1">SUMPRODUCT((Work_Codes!$AC$473:$AO$473=$E319)*(Work_Codes!$AC$476:$AO$495)*(T$203:T$222))</f>
        <v>0</v>
      </c>
    </row>
    <row r="320" spans="2:20" s="41" customFormat="1" ht="12" customHeight="1" outlineLevel="2">
      <c r="E320" s="251" t="str">
        <f>GC!C66</f>
        <v>IT capex</v>
      </c>
      <c r="F320" s="251"/>
      <c r="G320" s="251"/>
      <c r="H320" s="251"/>
      <c r="I320" s="251"/>
      <c r="J320" s="80">
        <f ca="1">SUMPRODUCT((Work_Codes!$AC$473:$AO$473=$E320)*(Work_Codes!$AC$476:$AO$495)*(J$203:J$222))</f>
        <v>0</v>
      </c>
      <c r="K320" s="80">
        <f ca="1">SUMPRODUCT((Work_Codes!$AC$473:$AO$473=$E320)*(Work_Codes!$AC$476:$AO$495)*(K$203:K$222))</f>
        <v>0</v>
      </c>
      <c r="L320" s="80">
        <f ca="1">SUMPRODUCT((Work_Codes!$AC$473:$AO$473=$E320)*(Work_Codes!$AC$476:$AO$495)*(L$203:L$222))</f>
        <v>0</v>
      </c>
      <c r="M320" s="80">
        <f ca="1">SUMPRODUCT((Work_Codes!$AC$473:$AO$473=$E320)*(Work_Codes!$AC$476:$AO$495)*(M$203:M$222))</f>
        <v>0</v>
      </c>
      <c r="N320" s="80">
        <f ca="1">SUMPRODUCT((Work_Codes!$AC$473:$AO$473=$E320)*(Work_Codes!$AC$476:$AO$495)*(N$203:N$222))</f>
        <v>6495387.0956881428</v>
      </c>
      <c r="O320" s="80">
        <f ca="1">SUMPRODUCT((Work_Codes!$AC$473:$AO$473=$E320)*(Work_Codes!$AC$476:$AO$495)*(O$203:O$222))</f>
        <v>3247663.2930309507</v>
      </c>
      <c r="P320" s="80">
        <f ca="1">SUMPRODUCT((Work_Codes!$AC$473:$AO$473=$E320)*(Work_Codes!$AC$476:$AO$495)*(P$203:P$222))</f>
        <v>15082408.401202435</v>
      </c>
      <c r="Q320" s="80">
        <f ca="1">SUMPRODUCT((Work_Codes!$AC$473:$AO$473=$E320)*(Work_Codes!$AC$476:$AO$495)*(Q$203:Q$222))</f>
        <v>17366613.343854845</v>
      </c>
      <c r="R320" s="80">
        <f ca="1">SUMPRODUCT((Work_Codes!$AC$473:$AO$473=$E320)*(Work_Codes!$AC$476:$AO$495)*(R$203:R$222))</f>
        <v>18857623.260877103</v>
      </c>
      <c r="S320" s="80">
        <f ca="1">SUMPRODUCT((Work_Codes!$AC$473:$AO$473=$E320)*(Work_Codes!$AC$476:$AO$495)*(S$203:S$222))</f>
        <v>9269970.7666352876</v>
      </c>
      <c r="T320" s="80">
        <f ca="1">SUMPRODUCT((Work_Codes!$AC$473:$AO$473=$E320)*(Work_Codes!$AC$476:$AO$495)*(T$203:T$222))</f>
        <v>6791539.6838447517</v>
      </c>
    </row>
    <row r="321" spans="4:20" s="41" customFormat="1" ht="12" customHeight="1" outlineLevel="2">
      <c r="E321" s="251" t="str">
        <f>GC!C67</f>
        <v>SCADA</v>
      </c>
      <c r="F321" s="251"/>
      <c r="G321" s="251"/>
      <c r="H321" s="251"/>
      <c r="I321" s="251"/>
      <c r="J321" s="80">
        <f ca="1">SUMPRODUCT((Work_Codes!$AC$473:$AO$473=$E321)*(Work_Codes!$AC$476:$AO$495)*(J$203:J$222))</f>
        <v>0</v>
      </c>
      <c r="K321" s="80">
        <f ca="1">SUMPRODUCT((Work_Codes!$AC$473:$AO$473=$E321)*(Work_Codes!$AC$476:$AO$495)*(K$203:K$222))</f>
        <v>0</v>
      </c>
      <c r="L321" s="80">
        <f ca="1">SUMPRODUCT((Work_Codes!$AC$473:$AO$473=$E321)*(Work_Codes!$AC$476:$AO$495)*(L$203:L$222))</f>
        <v>0</v>
      </c>
      <c r="M321" s="80">
        <f ca="1">SUMPRODUCT((Work_Codes!$AC$473:$AO$473=$E321)*(Work_Codes!$AC$476:$AO$495)*(M$203:M$222))</f>
        <v>0</v>
      </c>
      <c r="N321" s="80">
        <f ca="1">SUMPRODUCT((Work_Codes!$AC$473:$AO$473=$E321)*(Work_Codes!$AC$476:$AO$495)*(N$203:N$222))</f>
        <v>0</v>
      </c>
      <c r="O321" s="80">
        <f ca="1">SUMPRODUCT((Work_Codes!$AC$473:$AO$473=$E321)*(Work_Codes!$AC$476:$AO$495)*(O$203:O$222))</f>
        <v>0</v>
      </c>
      <c r="P321" s="80">
        <f ca="1">SUMPRODUCT((Work_Codes!$AC$473:$AO$473=$E321)*(Work_Codes!$AC$476:$AO$495)*(P$203:P$222))</f>
        <v>0</v>
      </c>
      <c r="Q321" s="80">
        <f ca="1">SUMPRODUCT((Work_Codes!$AC$473:$AO$473=$E321)*(Work_Codes!$AC$476:$AO$495)*(Q$203:Q$222))</f>
        <v>0</v>
      </c>
      <c r="R321" s="80">
        <f ca="1">SUMPRODUCT((Work_Codes!$AC$473:$AO$473=$E321)*(Work_Codes!$AC$476:$AO$495)*(R$203:R$222))</f>
        <v>0</v>
      </c>
      <c r="S321" s="80">
        <f ca="1">SUMPRODUCT((Work_Codes!$AC$473:$AO$473=$E321)*(Work_Codes!$AC$476:$AO$495)*(S$203:S$222))</f>
        <v>0</v>
      </c>
      <c r="T321" s="80">
        <f ca="1">SUMPRODUCT((Work_Codes!$AC$473:$AO$473=$E321)*(Work_Codes!$AC$476:$AO$495)*(T$203:T$222))</f>
        <v>0</v>
      </c>
    </row>
    <row r="322" spans="4:20" s="41" customFormat="1" ht="12" customHeight="1" outlineLevel="2">
      <c r="E322" s="251" t="str">
        <f>GC!C68</f>
        <v>Other</v>
      </c>
      <c r="F322" s="251"/>
      <c r="G322" s="251"/>
      <c r="H322" s="251"/>
      <c r="I322" s="251"/>
      <c r="J322" s="80">
        <f ca="1">SUMPRODUCT((Work_Codes!$AC$473:$AO$473=$E322)*(Work_Codes!$AC$476:$AO$495)*(J$203:J$222))</f>
        <v>0</v>
      </c>
      <c r="K322" s="80">
        <f ca="1">SUMPRODUCT((Work_Codes!$AC$473:$AO$473=$E322)*(Work_Codes!$AC$476:$AO$495)*(K$203:K$222))</f>
        <v>0</v>
      </c>
      <c r="L322" s="80">
        <f ca="1">SUMPRODUCT((Work_Codes!$AC$473:$AO$473=$E322)*(Work_Codes!$AC$476:$AO$495)*(L$203:L$222))</f>
        <v>0</v>
      </c>
      <c r="M322" s="80">
        <f ca="1">SUMPRODUCT((Work_Codes!$AC$473:$AO$473=$E322)*(Work_Codes!$AC$476:$AO$495)*(M$203:M$222))</f>
        <v>0</v>
      </c>
      <c r="N322" s="80">
        <f ca="1">SUMPRODUCT((Work_Codes!$AC$473:$AO$473=$E322)*(Work_Codes!$AC$476:$AO$495)*(N$203:N$222))</f>
        <v>0</v>
      </c>
      <c r="O322" s="80">
        <f ca="1">SUMPRODUCT((Work_Codes!$AC$473:$AO$473=$E322)*(Work_Codes!$AC$476:$AO$495)*(O$203:O$222))</f>
        <v>0</v>
      </c>
      <c r="P322" s="80">
        <f ca="1">SUMPRODUCT((Work_Codes!$AC$473:$AO$473=$E322)*(Work_Codes!$AC$476:$AO$495)*(P$203:P$222))</f>
        <v>0</v>
      </c>
      <c r="Q322" s="80">
        <f ca="1">SUMPRODUCT((Work_Codes!$AC$473:$AO$473=$E322)*(Work_Codes!$AC$476:$AO$495)*(Q$203:Q$222))</f>
        <v>0</v>
      </c>
      <c r="R322" s="80">
        <f ca="1">SUMPRODUCT((Work_Codes!$AC$473:$AO$473=$E322)*(Work_Codes!$AC$476:$AO$495)*(R$203:R$222))</f>
        <v>0</v>
      </c>
      <c r="S322" s="80">
        <f ca="1">SUMPRODUCT((Work_Codes!$AC$473:$AO$473=$E322)*(Work_Codes!$AC$476:$AO$495)*(S$203:S$222))</f>
        <v>0</v>
      </c>
      <c r="T322" s="80">
        <f ca="1">SUMPRODUCT((Work_Codes!$AC$473:$AO$473=$E322)*(Work_Codes!$AC$476:$AO$495)*(T$203:T$222))</f>
        <v>0</v>
      </c>
    </row>
    <row r="323" spans="4:20" s="41" customFormat="1" outlineLevel="2">
      <c r="E323" s="251" t="str">
        <f>GC!C69</f>
        <v>Capitalised Leases</v>
      </c>
      <c r="F323" s="251"/>
      <c r="G323" s="251"/>
      <c r="H323" s="251"/>
      <c r="I323" s="251"/>
      <c r="J323" s="80">
        <f ca="1">SUMPRODUCT((Work_Codes!$AC$473:$AO$473=$E323)*(Work_Codes!$AC$476:$AO$495)*(J$203:J$222))</f>
        <v>0</v>
      </c>
      <c r="K323" s="80">
        <f ca="1">SUMPRODUCT((Work_Codes!$AC$473:$AO$473=$E323)*(Work_Codes!$AC$476:$AO$495)*(K$203:K$222))</f>
        <v>0</v>
      </c>
      <c r="L323" s="80">
        <f ca="1">SUMPRODUCT((Work_Codes!$AC$473:$AO$473=$E323)*(Work_Codes!$AC$476:$AO$495)*(L$203:L$222))</f>
        <v>0</v>
      </c>
      <c r="M323" s="80">
        <f ca="1">SUMPRODUCT((Work_Codes!$AC$473:$AO$473=$E323)*(Work_Codes!$AC$476:$AO$495)*(M$203:M$222))</f>
        <v>0</v>
      </c>
      <c r="N323" s="80">
        <f ca="1">SUMPRODUCT((Work_Codes!$AC$473:$AO$473=$E323)*(Work_Codes!$AC$476:$AO$495)*(N$203:N$222))</f>
        <v>0</v>
      </c>
      <c r="O323" s="80">
        <f ca="1">SUMPRODUCT((Work_Codes!$AC$473:$AO$473=$E323)*(Work_Codes!$AC$476:$AO$495)*(O$203:O$222))</f>
        <v>0</v>
      </c>
      <c r="P323" s="80">
        <f ca="1">SUMPRODUCT((Work_Codes!$AC$473:$AO$473=$E323)*(Work_Codes!$AC$476:$AO$495)*(P$203:P$222))</f>
        <v>0</v>
      </c>
      <c r="Q323" s="80">
        <f ca="1">SUMPRODUCT((Work_Codes!$AC$473:$AO$473=$E323)*(Work_Codes!$AC$476:$AO$495)*(Q$203:Q$222))</f>
        <v>0</v>
      </c>
      <c r="R323" s="80">
        <f ca="1">SUMPRODUCT((Work_Codes!$AC$473:$AO$473=$E323)*(Work_Codes!$AC$476:$AO$495)*(R$203:R$222))</f>
        <v>0</v>
      </c>
      <c r="S323" s="80">
        <f ca="1">SUMPRODUCT((Work_Codes!$AC$473:$AO$473=$E323)*(Work_Codes!$AC$476:$AO$495)*(S$203:S$222))</f>
        <v>0</v>
      </c>
      <c r="T323" s="80">
        <f ca="1">SUMPRODUCT((Work_Codes!$AC$473:$AO$473=$E323)*(Work_Codes!$AC$476:$AO$495)*(T$203:T$222))</f>
        <v>0</v>
      </c>
    </row>
    <row r="324" spans="4:20" s="41" customFormat="1" ht="12" customHeight="1" outlineLevel="2">
      <c r="E324" s="251" t="str">
        <f>GC!C70</f>
        <v>Gas Extensions - Energy for the Regions</v>
      </c>
      <c r="F324" s="251"/>
      <c r="G324" s="251"/>
      <c r="H324" s="251"/>
      <c r="I324" s="251"/>
      <c r="J324" s="80">
        <f ca="1">SUMPRODUCT((Work_Codes!$AC$473:$AO$473=$E324)*(Work_Codes!$AC$476:$AO$495)*(J$203:J$222))</f>
        <v>0</v>
      </c>
      <c r="K324" s="80">
        <f ca="1">SUMPRODUCT((Work_Codes!$AC$473:$AO$473=$E324)*(Work_Codes!$AC$476:$AO$495)*(K$203:K$222))</f>
        <v>0</v>
      </c>
      <c r="L324" s="80">
        <f ca="1">SUMPRODUCT((Work_Codes!$AC$473:$AO$473=$E324)*(Work_Codes!$AC$476:$AO$495)*(L$203:L$222))</f>
        <v>0</v>
      </c>
      <c r="M324" s="80">
        <f ca="1">SUMPRODUCT((Work_Codes!$AC$473:$AO$473=$E324)*(Work_Codes!$AC$476:$AO$495)*(M$203:M$222))</f>
        <v>0</v>
      </c>
      <c r="N324" s="80">
        <f ca="1">SUMPRODUCT((Work_Codes!$AC$473:$AO$473=$E324)*(Work_Codes!$AC$476:$AO$495)*(N$203:N$222))</f>
        <v>0</v>
      </c>
      <c r="O324" s="80">
        <f ca="1">SUMPRODUCT((Work_Codes!$AC$473:$AO$473=$E324)*(Work_Codes!$AC$476:$AO$495)*(O$203:O$222))</f>
        <v>0</v>
      </c>
      <c r="P324" s="80">
        <f ca="1">SUMPRODUCT((Work_Codes!$AC$473:$AO$473=$E324)*(Work_Codes!$AC$476:$AO$495)*(P$203:P$222))</f>
        <v>0</v>
      </c>
      <c r="Q324" s="80">
        <f ca="1">SUMPRODUCT((Work_Codes!$AC$473:$AO$473=$E324)*(Work_Codes!$AC$476:$AO$495)*(Q$203:Q$222))</f>
        <v>0</v>
      </c>
      <c r="R324" s="80">
        <f ca="1">SUMPRODUCT((Work_Codes!$AC$473:$AO$473=$E324)*(Work_Codes!$AC$476:$AO$495)*(R$203:R$222))</f>
        <v>0</v>
      </c>
      <c r="S324" s="80">
        <f ca="1">SUMPRODUCT((Work_Codes!$AC$473:$AO$473=$E324)*(Work_Codes!$AC$476:$AO$495)*(S$203:S$222))</f>
        <v>0</v>
      </c>
      <c r="T324" s="80">
        <f ca="1">SUMPRODUCT((Work_Codes!$AC$473:$AO$473=$E324)*(Work_Codes!$AC$476:$AO$495)*(T$203:T$222))</f>
        <v>0</v>
      </c>
    </row>
    <row r="325" spans="4:20" s="41" customFormat="1" ht="12" customHeight="1" outlineLevel="2">
      <c r="E325" s="251" t="str">
        <f>GC!C71</f>
        <v>Gas Extensions - Other</v>
      </c>
      <c r="F325" s="251"/>
      <c r="G325" s="251"/>
      <c r="H325" s="251"/>
      <c r="I325" s="251"/>
      <c r="J325" s="80">
        <f ca="1">SUMPRODUCT((Work_Codes!$AC$473:$AO$473=$E325)*(Work_Codes!$AC$476:$AO$495)*(J$203:J$222))</f>
        <v>0</v>
      </c>
      <c r="K325" s="80">
        <f ca="1">SUMPRODUCT((Work_Codes!$AC$473:$AO$473=$E325)*(Work_Codes!$AC$476:$AO$495)*(K$203:K$222))</f>
        <v>0</v>
      </c>
      <c r="L325" s="80">
        <f ca="1">SUMPRODUCT((Work_Codes!$AC$473:$AO$473=$E325)*(Work_Codes!$AC$476:$AO$495)*(L$203:L$222))</f>
        <v>0</v>
      </c>
      <c r="M325" s="80">
        <f ca="1">SUMPRODUCT((Work_Codes!$AC$473:$AO$473=$E325)*(Work_Codes!$AC$476:$AO$495)*(M$203:M$222))</f>
        <v>0</v>
      </c>
      <c r="N325" s="80">
        <f ca="1">SUMPRODUCT((Work_Codes!$AC$473:$AO$473=$E325)*(Work_Codes!$AC$476:$AO$495)*(N$203:N$222))</f>
        <v>0</v>
      </c>
      <c r="O325" s="80">
        <f ca="1">SUMPRODUCT((Work_Codes!$AC$473:$AO$473=$E325)*(Work_Codes!$AC$476:$AO$495)*(O$203:O$222))</f>
        <v>0</v>
      </c>
      <c r="P325" s="80">
        <f ca="1">SUMPRODUCT((Work_Codes!$AC$473:$AO$473=$E325)*(Work_Codes!$AC$476:$AO$495)*(P$203:P$222))</f>
        <v>0</v>
      </c>
      <c r="Q325" s="80">
        <f ca="1">SUMPRODUCT((Work_Codes!$AC$473:$AO$473=$E325)*(Work_Codes!$AC$476:$AO$495)*(Q$203:Q$222))</f>
        <v>0</v>
      </c>
      <c r="R325" s="80">
        <f ca="1">SUMPRODUCT((Work_Codes!$AC$473:$AO$473=$E325)*(Work_Codes!$AC$476:$AO$495)*(R$203:R$222))</f>
        <v>0</v>
      </c>
      <c r="S325" s="80">
        <f ca="1">SUMPRODUCT((Work_Codes!$AC$473:$AO$473=$E325)*(Work_Codes!$AC$476:$AO$495)*(S$203:S$222))</f>
        <v>0</v>
      </c>
      <c r="T325" s="80">
        <f ca="1">SUMPRODUCT((Work_Codes!$AC$473:$AO$473=$E325)*(Work_Codes!$AC$476:$AO$495)*(T$203:T$222))</f>
        <v>0</v>
      </c>
    </row>
    <row r="326" spans="4:20" s="41" customFormat="1" ht="12" customHeight="1" outlineLevel="2">
      <c r="E326" s="251" t="str">
        <f>GC!C72</f>
        <v>Customer contributions</v>
      </c>
      <c r="F326" s="251"/>
      <c r="G326" s="251"/>
      <c r="H326" s="251"/>
      <c r="I326" s="251"/>
      <c r="J326" s="80">
        <f ca="1">SUMPRODUCT((Work_Codes!$AC$473:$AO$473=$E326)*(Work_Codes!$AC$476:$AO$495)*(J$203:J$222))</f>
        <v>0</v>
      </c>
      <c r="K326" s="80">
        <f ca="1">SUMPRODUCT((Work_Codes!$AC$473:$AO$473=$E326)*(Work_Codes!$AC$476:$AO$495)*(K$203:K$222))</f>
        <v>0</v>
      </c>
      <c r="L326" s="80">
        <f ca="1">SUMPRODUCT((Work_Codes!$AC$473:$AO$473=$E326)*(Work_Codes!$AC$476:$AO$495)*(L$203:L$222))</f>
        <v>0</v>
      </c>
      <c r="M326" s="80">
        <f ca="1">SUMPRODUCT((Work_Codes!$AC$473:$AO$473=$E326)*(Work_Codes!$AC$476:$AO$495)*(M$203:M$222))</f>
        <v>0</v>
      </c>
      <c r="N326" s="80">
        <f ca="1">SUMPRODUCT((Work_Codes!$AC$473:$AO$473=$E326)*(Work_Codes!$AC$476:$AO$495)*(N$203:N$222))</f>
        <v>0</v>
      </c>
      <c r="O326" s="80">
        <f ca="1">SUMPRODUCT((Work_Codes!$AC$473:$AO$473=$E326)*(Work_Codes!$AC$476:$AO$495)*(O$203:O$222))</f>
        <v>0</v>
      </c>
      <c r="P326" s="80">
        <f ca="1">SUMPRODUCT((Work_Codes!$AC$473:$AO$473=$E326)*(Work_Codes!$AC$476:$AO$495)*(P$203:P$222))</f>
        <v>0</v>
      </c>
      <c r="Q326" s="80">
        <f ca="1">SUMPRODUCT((Work_Codes!$AC$473:$AO$473=$E326)*(Work_Codes!$AC$476:$AO$495)*(Q$203:Q$222))</f>
        <v>0</v>
      </c>
      <c r="R326" s="80">
        <f ca="1">SUMPRODUCT((Work_Codes!$AC$473:$AO$473=$E326)*(Work_Codes!$AC$476:$AO$495)*(R$203:R$222))</f>
        <v>0</v>
      </c>
      <c r="S326" s="80">
        <f ca="1">SUMPRODUCT((Work_Codes!$AC$473:$AO$473=$E326)*(Work_Codes!$AC$476:$AO$495)*(S$203:S$222))</f>
        <v>0</v>
      </c>
      <c r="T326" s="80">
        <f ca="1">SUMPRODUCT((Work_Codes!$AC$473:$AO$473=$E326)*(Work_Codes!$AC$476:$AO$495)*(T$203:T$222))</f>
        <v>0</v>
      </c>
    </row>
    <row r="327" spans="4:20" s="41" customFormat="1" ht="12" customHeight="1" outlineLevel="2">
      <c r="E327" s="251" t="str">
        <f>GC!C73</f>
        <v>Government contributions</v>
      </c>
      <c r="F327" s="251"/>
      <c r="G327" s="251"/>
      <c r="H327" s="251"/>
      <c r="I327" s="251"/>
      <c r="J327" s="80">
        <f ca="1">SUMPRODUCT((Work_Codes!$AC$473:$AO$473=$E327)*(Work_Codes!$AC$476:$AO$495)*(J$203:J$222))</f>
        <v>0</v>
      </c>
      <c r="K327" s="80">
        <f ca="1">SUMPRODUCT((Work_Codes!$AC$473:$AO$473=$E327)*(Work_Codes!$AC$476:$AO$495)*(K$203:K$222))</f>
        <v>0</v>
      </c>
      <c r="L327" s="80">
        <f ca="1">SUMPRODUCT((Work_Codes!$AC$473:$AO$473=$E327)*(Work_Codes!$AC$476:$AO$495)*(L$203:L$222))</f>
        <v>0</v>
      </c>
      <c r="M327" s="80">
        <f ca="1">SUMPRODUCT((Work_Codes!$AC$473:$AO$473=$E327)*(Work_Codes!$AC$476:$AO$495)*(M$203:M$222))</f>
        <v>0</v>
      </c>
      <c r="N327" s="80">
        <f ca="1">SUMPRODUCT((Work_Codes!$AC$473:$AO$473=$E327)*(Work_Codes!$AC$476:$AO$495)*(N$203:N$222))</f>
        <v>0</v>
      </c>
      <c r="O327" s="80">
        <f ca="1">SUMPRODUCT((Work_Codes!$AC$473:$AO$473=$E327)*(Work_Codes!$AC$476:$AO$495)*(O$203:O$222))</f>
        <v>0</v>
      </c>
      <c r="P327" s="80">
        <f ca="1">SUMPRODUCT((Work_Codes!$AC$473:$AO$473=$E327)*(Work_Codes!$AC$476:$AO$495)*(P$203:P$222))</f>
        <v>0</v>
      </c>
      <c r="Q327" s="80">
        <f ca="1">SUMPRODUCT((Work_Codes!$AC$473:$AO$473=$E327)*(Work_Codes!$AC$476:$AO$495)*(Q$203:Q$222))</f>
        <v>0</v>
      </c>
      <c r="R327" s="80">
        <f ca="1">SUMPRODUCT((Work_Codes!$AC$473:$AO$473=$E327)*(Work_Codes!$AC$476:$AO$495)*(R$203:R$222))</f>
        <v>0</v>
      </c>
      <c r="S327" s="80">
        <f ca="1">SUMPRODUCT((Work_Codes!$AC$473:$AO$473=$E327)*(Work_Codes!$AC$476:$AO$495)*(S$203:S$222))</f>
        <v>0</v>
      </c>
      <c r="T327" s="80">
        <f ca="1">SUMPRODUCT((Work_Codes!$AC$473:$AO$473=$E327)*(Work_Codes!$AC$476:$AO$495)*(T$203:T$222))</f>
        <v>0</v>
      </c>
    </row>
    <row r="328" spans="4:20" s="41" customFormat="1" ht="12" customHeight="1" outlineLevel="2">
      <c r="E328" s="250" t="str">
        <f>"Total "&amp;D312</f>
        <v>Total Direct Costs</v>
      </c>
      <c r="F328" s="250"/>
      <c r="G328" s="250"/>
      <c r="H328" s="250"/>
      <c r="I328" s="250"/>
      <c r="J328" s="101">
        <f t="shared" ref="J328:T328" ca="1" si="58">SUM(J314:J327)</f>
        <v>0</v>
      </c>
      <c r="K328" s="101">
        <f t="shared" ca="1" si="58"/>
        <v>0</v>
      </c>
      <c r="L328" s="101">
        <f t="shared" ca="1" si="58"/>
        <v>0</v>
      </c>
      <c r="M328" s="101">
        <f t="shared" ca="1" si="58"/>
        <v>0</v>
      </c>
      <c r="N328" s="101">
        <f t="shared" ca="1" si="58"/>
        <v>6495387.0956881428</v>
      </c>
      <c r="O328" s="101">
        <f t="shared" ca="1" si="58"/>
        <v>3247663.2930309507</v>
      </c>
      <c r="P328" s="101">
        <f t="shared" ca="1" si="58"/>
        <v>15082408.401202435</v>
      </c>
      <c r="Q328" s="101">
        <f t="shared" ca="1" si="58"/>
        <v>17366613.343854845</v>
      </c>
      <c r="R328" s="101">
        <f t="shared" ca="1" si="58"/>
        <v>18857623.260877103</v>
      </c>
      <c r="S328" s="101">
        <f t="shared" ca="1" si="58"/>
        <v>9269970.7666352876</v>
      </c>
      <c r="T328" s="101">
        <f t="shared" ca="1" si="58"/>
        <v>6791539.6838447517</v>
      </c>
    </row>
    <row r="329" spans="4:20" s="41" customFormat="1" outlineLevel="2"/>
    <row r="330" spans="4:20" s="41" customFormat="1" outlineLevel="2">
      <c r="D330" s="50" t="s">
        <v>216</v>
      </c>
    </row>
    <row r="331" spans="4:20" s="41" customFormat="1" ht="5.9" customHeight="1" outlineLevel="2"/>
    <row r="332" spans="4:20" s="41" customFormat="1" ht="12" customHeight="1" outlineLevel="2">
      <c r="E332" s="251" t="str">
        <f>GC!C60</f>
        <v>Mains replacement</v>
      </c>
      <c r="F332" s="251"/>
      <c r="G332" s="251"/>
      <c r="H332" s="251"/>
      <c r="I332" s="251"/>
      <c r="J332" s="80">
        <f ca="1">J314*(1+INDEX(J$35:J$37,MATCH(Work_Codes!$I$470,$D$35:$D$37,0)))</f>
        <v>0</v>
      </c>
      <c r="K332" s="80">
        <f ca="1">K314*(1+INDEX(K$35:K$37,MATCH(Work_Codes!$I$470,$D$35:$D$37,0)))</f>
        <v>0</v>
      </c>
      <c r="L332" s="80">
        <f ca="1">L314*(1+INDEX(L$35:L$37,MATCH(Work_Codes!$I$470,$D$35:$D$37,0)))</f>
        <v>0</v>
      </c>
      <c r="M332" s="80">
        <f ca="1">M314*(1+INDEX(M$35:M$37,MATCH(Work_Codes!$I$470,$D$35:$D$37,0)))</f>
        <v>0</v>
      </c>
      <c r="N332" s="80">
        <f ca="1">N314*(1+INDEX(N$35:N$37,MATCH(Work_Codes!$I$470,$D$35:$D$37,0)))</f>
        <v>0</v>
      </c>
      <c r="O332" s="80">
        <f ca="1">O314*(1+INDEX(O$35:O$37,MATCH(Work_Codes!$I$470,$D$35:$D$37,0)))</f>
        <v>0</v>
      </c>
      <c r="P332" s="80">
        <f ca="1">P314*(1+INDEX(P$35:P$37,MATCH(Work_Codes!$I$470,$D$35:$D$37,0)))</f>
        <v>0</v>
      </c>
      <c r="Q332" s="80">
        <f ca="1">Q314*(1+INDEX(Q$35:Q$37,MATCH(Work_Codes!$I$470,$D$35:$D$37,0)))</f>
        <v>0</v>
      </c>
      <c r="R332" s="80">
        <f ca="1">R314*(1+INDEX(R$35:R$37,MATCH(Work_Codes!$I$470,$D$35:$D$37,0)))</f>
        <v>0</v>
      </c>
      <c r="S332" s="80">
        <f ca="1">S314*(1+INDEX(S$35:S$37,MATCH(Work_Codes!$I$470,$D$35:$D$37,0)))</f>
        <v>0</v>
      </c>
      <c r="T332" s="80">
        <f ca="1">T314*(1+INDEX(T$35:T$37,MATCH(Work_Codes!$I$470,$D$35:$D$37,0)))</f>
        <v>0</v>
      </c>
    </row>
    <row r="333" spans="4:20" s="41" customFormat="1" ht="12" customHeight="1" outlineLevel="2">
      <c r="E333" s="251" t="str">
        <f>GC!C61</f>
        <v>Residential new customer connections</v>
      </c>
      <c r="F333" s="251"/>
      <c r="G333" s="251"/>
      <c r="H333" s="251"/>
      <c r="I333" s="251"/>
      <c r="J333" s="80">
        <f ca="1">J315*(1+INDEX(J$35:J$37,MATCH(Work_Codes!$I$470,$D$35:$D$37,0)))</f>
        <v>0</v>
      </c>
      <c r="K333" s="80">
        <f ca="1">K315*(1+INDEX(K$35:K$37,MATCH(Work_Codes!$I$470,$D$35:$D$37,0)))</f>
        <v>0</v>
      </c>
      <c r="L333" s="80">
        <f ca="1">L315*(1+INDEX(L$35:L$37,MATCH(Work_Codes!$I$470,$D$35:$D$37,0)))</f>
        <v>0</v>
      </c>
      <c r="M333" s="80">
        <f ca="1">M315*(1+INDEX(M$35:M$37,MATCH(Work_Codes!$I$470,$D$35:$D$37,0)))</f>
        <v>0</v>
      </c>
      <c r="N333" s="80">
        <f ca="1">N315*(1+INDEX(N$35:N$37,MATCH(Work_Codes!$I$470,$D$35:$D$37,0)))</f>
        <v>0</v>
      </c>
      <c r="O333" s="80">
        <f ca="1">O315*(1+INDEX(O$35:O$37,MATCH(Work_Codes!$I$470,$D$35:$D$37,0)))</f>
        <v>0</v>
      </c>
      <c r="P333" s="80">
        <f ca="1">P315*(1+INDEX(P$35:P$37,MATCH(Work_Codes!$I$470,$D$35:$D$37,0)))</f>
        <v>0</v>
      </c>
      <c r="Q333" s="80">
        <f ca="1">Q315*(1+INDEX(Q$35:Q$37,MATCH(Work_Codes!$I$470,$D$35:$D$37,0)))</f>
        <v>0</v>
      </c>
      <c r="R333" s="80">
        <f ca="1">R315*(1+INDEX(R$35:R$37,MATCH(Work_Codes!$I$470,$D$35:$D$37,0)))</f>
        <v>0</v>
      </c>
      <c r="S333" s="80">
        <f ca="1">S315*(1+INDEX(S$35:S$37,MATCH(Work_Codes!$I$470,$D$35:$D$37,0)))</f>
        <v>0</v>
      </c>
      <c r="T333" s="80">
        <f ca="1">T315*(1+INDEX(T$35:T$37,MATCH(Work_Codes!$I$470,$D$35:$D$37,0)))</f>
        <v>0</v>
      </c>
    </row>
    <row r="334" spans="4:20" s="41" customFormat="1" ht="12" customHeight="1" outlineLevel="2">
      <c r="E334" s="251" t="str">
        <f>GC!C62</f>
        <v>Commercial and industrial new customer connections</v>
      </c>
      <c r="F334" s="251"/>
      <c r="G334" s="251"/>
      <c r="H334" s="251"/>
      <c r="I334" s="251"/>
      <c r="J334" s="80">
        <f ca="1">J316*(1+INDEX(J$35:J$37,MATCH(Work_Codes!$I$470,$D$35:$D$37,0)))</f>
        <v>0</v>
      </c>
      <c r="K334" s="80">
        <f ca="1">K316*(1+INDEX(K$35:K$37,MATCH(Work_Codes!$I$470,$D$35:$D$37,0)))</f>
        <v>0</v>
      </c>
      <c r="L334" s="80">
        <f ca="1">L316*(1+INDEX(L$35:L$37,MATCH(Work_Codes!$I$470,$D$35:$D$37,0)))</f>
        <v>0</v>
      </c>
      <c r="M334" s="80">
        <f ca="1">M316*(1+INDEX(M$35:M$37,MATCH(Work_Codes!$I$470,$D$35:$D$37,0)))</f>
        <v>0</v>
      </c>
      <c r="N334" s="80">
        <f ca="1">N316*(1+INDEX(N$35:N$37,MATCH(Work_Codes!$I$470,$D$35:$D$37,0)))</f>
        <v>0</v>
      </c>
      <c r="O334" s="80">
        <f ca="1">O316*(1+INDEX(O$35:O$37,MATCH(Work_Codes!$I$470,$D$35:$D$37,0)))</f>
        <v>0</v>
      </c>
      <c r="P334" s="80">
        <f ca="1">P316*(1+INDEX(P$35:P$37,MATCH(Work_Codes!$I$470,$D$35:$D$37,0)))</f>
        <v>0</v>
      </c>
      <c r="Q334" s="80">
        <f ca="1">Q316*(1+INDEX(Q$35:Q$37,MATCH(Work_Codes!$I$470,$D$35:$D$37,0)))</f>
        <v>0</v>
      </c>
      <c r="R334" s="80">
        <f ca="1">R316*(1+INDEX(R$35:R$37,MATCH(Work_Codes!$I$470,$D$35:$D$37,0)))</f>
        <v>0</v>
      </c>
      <c r="S334" s="80">
        <f ca="1">S316*(1+INDEX(S$35:S$37,MATCH(Work_Codes!$I$470,$D$35:$D$37,0)))</f>
        <v>0</v>
      </c>
      <c r="T334" s="80">
        <f ca="1">T316*(1+INDEX(T$35:T$37,MATCH(Work_Codes!$I$470,$D$35:$D$37,0)))</f>
        <v>0</v>
      </c>
    </row>
    <row r="335" spans="4:20" s="41" customFormat="1" ht="12" customHeight="1" outlineLevel="2">
      <c r="E335" s="251" t="str">
        <f>GC!C63</f>
        <v>Residential meter replacement</v>
      </c>
      <c r="F335" s="251"/>
      <c r="G335" s="251"/>
      <c r="H335" s="251"/>
      <c r="I335" s="251"/>
      <c r="J335" s="80">
        <f ca="1">J317*(1+INDEX(J$35:J$37,MATCH(Work_Codes!$I$470,$D$35:$D$37,0)))</f>
        <v>0</v>
      </c>
      <c r="K335" s="80">
        <f ca="1">K317*(1+INDEX(K$35:K$37,MATCH(Work_Codes!$I$470,$D$35:$D$37,0)))</f>
        <v>0</v>
      </c>
      <c r="L335" s="80">
        <f ca="1">L317*(1+INDEX(L$35:L$37,MATCH(Work_Codes!$I$470,$D$35:$D$37,0)))</f>
        <v>0</v>
      </c>
      <c r="M335" s="80">
        <f ca="1">M317*(1+INDEX(M$35:M$37,MATCH(Work_Codes!$I$470,$D$35:$D$37,0)))</f>
        <v>0</v>
      </c>
      <c r="N335" s="80">
        <f ca="1">N317*(1+INDEX(N$35:N$37,MATCH(Work_Codes!$I$470,$D$35:$D$37,0)))</f>
        <v>0</v>
      </c>
      <c r="O335" s="80">
        <f ca="1">O317*(1+INDEX(O$35:O$37,MATCH(Work_Codes!$I$470,$D$35:$D$37,0)))</f>
        <v>0</v>
      </c>
      <c r="P335" s="80">
        <f ca="1">P317*(1+INDEX(P$35:P$37,MATCH(Work_Codes!$I$470,$D$35:$D$37,0)))</f>
        <v>0</v>
      </c>
      <c r="Q335" s="80">
        <f ca="1">Q317*(1+INDEX(Q$35:Q$37,MATCH(Work_Codes!$I$470,$D$35:$D$37,0)))</f>
        <v>0</v>
      </c>
      <c r="R335" s="80">
        <f ca="1">R317*(1+INDEX(R$35:R$37,MATCH(Work_Codes!$I$470,$D$35:$D$37,0)))</f>
        <v>0</v>
      </c>
      <c r="S335" s="80">
        <f ca="1">S317*(1+INDEX(S$35:S$37,MATCH(Work_Codes!$I$470,$D$35:$D$37,0)))</f>
        <v>0</v>
      </c>
      <c r="T335" s="80">
        <f ca="1">T317*(1+INDEX(T$35:T$37,MATCH(Work_Codes!$I$470,$D$35:$D$37,0)))</f>
        <v>0</v>
      </c>
    </row>
    <row r="336" spans="4:20" s="41" customFormat="1" ht="12" customHeight="1" outlineLevel="2">
      <c r="E336" s="251" t="str">
        <f>GC!C64</f>
        <v>Commercial and industrial meter replacement</v>
      </c>
      <c r="F336" s="251"/>
      <c r="G336" s="251"/>
      <c r="H336" s="251"/>
      <c r="I336" s="251"/>
      <c r="J336" s="80">
        <f ca="1">J318*(1+INDEX(J$35:J$37,MATCH(Work_Codes!$I$470,$D$35:$D$37,0)))</f>
        <v>0</v>
      </c>
      <c r="K336" s="80">
        <f ca="1">K318*(1+INDEX(K$35:K$37,MATCH(Work_Codes!$I$470,$D$35:$D$37,0)))</f>
        <v>0</v>
      </c>
      <c r="L336" s="80">
        <f ca="1">L318*(1+INDEX(L$35:L$37,MATCH(Work_Codes!$I$470,$D$35:$D$37,0)))</f>
        <v>0</v>
      </c>
      <c r="M336" s="80">
        <f ca="1">M318*(1+INDEX(M$35:M$37,MATCH(Work_Codes!$I$470,$D$35:$D$37,0)))</f>
        <v>0</v>
      </c>
      <c r="N336" s="80">
        <f ca="1">N318*(1+INDEX(N$35:N$37,MATCH(Work_Codes!$I$470,$D$35:$D$37,0)))</f>
        <v>0</v>
      </c>
      <c r="O336" s="80">
        <f ca="1">O318*(1+INDEX(O$35:O$37,MATCH(Work_Codes!$I$470,$D$35:$D$37,0)))</f>
        <v>0</v>
      </c>
      <c r="P336" s="80">
        <f ca="1">P318*(1+INDEX(P$35:P$37,MATCH(Work_Codes!$I$470,$D$35:$D$37,0)))</f>
        <v>0</v>
      </c>
      <c r="Q336" s="80">
        <f ca="1">Q318*(1+INDEX(Q$35:Q$37,MATCH(Work_Codes!$I$470,$D$35:$D$37,0)))</f>
        <v>0</v>
      </c>
      <c r="R336" s="80">
        <f ca="1">R318*(1+INDEX(R$35:R$37,MATCH(Work_Codes!$I$470,$D$35:$D$37,0)))</f>
        <v>0</v>
      </c>
      <c r="S336" s="80">
        <f ca="1">S318*(1+INDEX(S$35:S$37,MATCH(Work_Codes!$I$470,$D$35:$D$37,0)))</f>
        <v>0</v>
      </c>
      <c r="T336" s="80">
        <f ca="1">T318*(1+INDEX(T$35:T$37,MATCH(Work_Codes!$I$470,$D$35:$D$37,0)))</f>
        <v>0</v>
      </c>
    </row>
    <row r="337" spans="4:20" s="41" customFormat="1" ht="12" customHeight="1" outlineLevel="2">
      <c r="E337" s="251" t="str">
        <f>GC!C65</f>
        <v>Augmentation</v>
      </c>
      <c r="F337" s="251"/>
      <c r="G337" s="251"/>
      <c r="H337" s="251"/>
      <c r="I337" s="251"/>
      <c r="J337" s="80">
        <f ca="1">J319*(1+INDEX(J$35:J$37,MATCH(Work_Codes!$I$470,$D$35:$D$37,0)))</f>
        <v>0</v>
      </c>
      <c r="K337" s="80">
        <f ca="1">K319*(1+INDEX(K$35:K$37,MATCH(Work_Codes!$I$470,$D$35:$D$37,0)))</f>
        <v>0</v>
      </c>
      <c r="L337" s="80">
        <f ca="1">L319*(1+INDEX(L$35:L$37,MATCH(Work_Codes!$I$470,$D$35:$D$37,0)))</f>
        <v>0</v>
      </c>
      <c r="M337" s="80">
        <f ca="1">M319*(1+INDEX(M$35:M$37,MATCH(Work_Codes!$I$470,$D$35:$D$37,0)))</f>
        <v>0</v>
      </c>
      <c r="N337" s="80">
        <f ca="1">N319*(1+INDEX(N$35:N$37,MATCH(Work_Codes!$I$470,$D$35:$D$37,0)))</f>
        <v>0</v>
      </c>
      <c r="O337" s="80">
        <f ca="1">O319*(1+INDEX(O$35:O$37,MATCH(Work_Codes!$I$470,$D$35:$D$37,0)))</f>
        <v>0</v>
      </c>
      <c r="P337" s="80">
        <f ca="1">P319*(1+INDEX(P$35:P$37,MATCH(Work_Codes!$I$470,$D$35:$D$37,0)))</f>
        <v>0</v>
      </c>
      <c r="Q337" s="80">
        <f ca="1">Q319*(1+INDEX(Q$35:Q$37,MATCH(Work_Codes!$I$470,$D$35:$D$37,0)))</f>
        <v>0</v>
      </c>
      <c r="R337" s="80">
        <f ca="1">R319*(1+INDEX(R$35:R$37,MATCH(Work_Codes!$I$470,$D$35:$D$37,0)))</f>
        <v>0</v>
      </c>
      <c r="S337" s="80">
        <f ca="1">S319*(1+INDEX(S$35:S$37,MATCH(Work_Codes!$I$470,$D$35:$D$37,0)))</f>
        <v>0</v>
      </c>
      <c r="T337" s="80">
        <f ca="1">T319*(1+INDEX(T$35:T$37,MATCH(Work_Codes!$I$470,$D$35:$D$37,0)))</f>
        <v>0</v>
      </c>
    </row>
    <row r="338" spans="4:20" s="41" customFormat="1" ht="12" customHeight="1" outlineLevel="2">
      <c r="E338" s="251" t="str">
        <f>GC!C66</f>
        <v>IT capex</v>
      </c>
      <c r="F338" s="251"/>
      <c r="G338" s="251"/>
      <c r="H338" s="251"/>
      <c r="I338" s="251"/>
      <c r="J338" s="80">
        <f ca="1">J320*(1+INDEX(J$35:J$37,MATCH(Work_Codes!$I$470,$D$35:$D$37,0)))</f>
        <v>0</v>
      </c>
      <c r="K338" s="80">
        <f ca="1">K320*(1+INDEX(K$35:K$37,MATCH(Work_Codes!$I$470,$D$35:$D$37,0)))</f>
        <v>0</v>
      </c>
      <c r="L338" s="80">
        <f ca="1">L320*(1+INDEX(L$35:L$37,MATCH(Work_Codes!$I$470,$D$35:$D$37,0)))</f>
        <v>0</v>
      </c>
      <c r="M338" s="80">
        <f ca="1">M320*(1+INDEX(M$35:M$37,MATCH(Work_Codes!$I$470,$D$35:$D$37,0)))</f>
        <v>0</v>
      </c>
      <c r="N338" s="80">
        <f ca="1">N320*(1+INDEX(N$35:N$37,MATCH(Work_Codes!$I$470,$D$35:$D$37,0)))</f>
        <v>6978279.2324051764</v>
      </c>
      <c r="O338" s="80">
        <f ca="1">O320*(1+INDEX(O$35:O$37,MATCH(Work_Codes!$I$470,$D$35:$D$37,0)))</f>
        <v>3488182.2561022043</v>
      </c>
      <c r="P338" s="80">
        <f ca="1">P320*(1+INDEX(P$35:P$37,MATCH(Work_Codes!$I$470,$D$35:$D$37,0)))</f>
        <v>15450246.321215272</v>
      </c>
      <c r="Q338" s="80">
        <f ca="1">Q320*(1+INDEX(Q$35:Q$37,MATCH(Work_Codes!$I$470,$D$35:$D$37,0)))</f>
        <v>17734287.311775222</v>
      </c>
      <c r="R338" s="80">
        <f ca="1">R320*(1+INDEX(R$35:R$37,MATCH(Work_Codes!$I$470,$D$35:$D$37,0)))</f>
        <v>19235231.025971476</v>
      </c>
      <c r="S338" s="80">
        <f ca="1">S320*(1+INDEX(S$35:S$37,MATCH(Work_Codes!$I$470,$D$35:$D$37,0)))</f>
        <v>9637247.0975269582</v>
      </c>
      <c r="T338" s="80">
        <f ca="1">T320*(1+INDEX(T$35:T$37,MATCH(Work_Codes!$I$470,$D$35:$D$37,0)))</f>
        <v>7158616.5859825984</v>
      </c>
    </row>
    <row r="339" spans="4:20" s="41" customFormat="1" ht="12" customHeight="1" outlineLevel="2">
      <c r="E339" s="251" t="str">
        <f>GC!C67</f>
        <v>SCADA</v>
      </c>
      <c r="F339" s="251"/>
      <c r="G339" s="251"/>
      <c r="H339" s="251"/>
      <c r="I339" s="251"/>
      <c r="J339" s="80">
        <f ca="1">J321*(1+INDEX(J$35:J$37,MATCH(Work_Codes!$I$470,$D$35:$D$37,0)))</f>
        <v>0</v>
      </c>
      <c r="K339" s="80">
        <f ca="1">K321*(1+INDEX(K$35:K$37,MATCH(Work_Codes!$I$470,$D$35:$D$37,0)))</f>
        <v>0</v>
      </c>
      <c r="L339" s="80">
        <f ca="1">L321*(1+INDEX(L$35:L$37,MATCH(Work_Codes!$I$470,$D$35:$D$37,0)))</f>
        <v>0</v>
      </c>
      <c r="M339" s="80">
        <f ca="1">M321*(1+INDEX(M$35:M$37,MATCH(Work_Codes!$I$470,$D$35:$D$37,0)))</f>
        <v>0</v>
      </c>
      <c r="N339" s="80">
        <f ca="1">N321*(1+INDEX(N$35:N$37,MATCH(Work_Codes!$I$470,$D$35:$D$37,0)))</f>
        <v>0</v>
      </c>
      <c r="O339" s="80">
        <f ca="1">O321*(1+INDEX(O$35:O$37,MATCH(Work_Codes!$I$470,$D$35:$D$37,0)))</f>
        <v>0</v>
      </c>
      <c r="P339" s="80">
        <f ca="1">P321*(1+INDEX(P$35:P$37,MATCH(Work_Codes!$I$470,$D$35:$D$37,0)))</f>
        <v>0</v>
      </c>
      <c r="Q339" s="80">
        <f ca="1">Q321*(1+INDEX(Q$35:Q$37,MATCH(Work_Codes!$I$470,$D$35:$D$37,0)))</f>
        <v>0</v>
      </c>
      <c r="R339" s="80">
        <f ca="1">R321*(1+INDEX(R$35:R$37,MATCH(Work_Codes!$I$470,$D$35:$D$37,0)))</f>
        <v>0</v>
      </c>
      <c r="S339" s="80">
        <f ca="1">S321*(1+INDEX(S$35:S$37,MATCH(Work_Codes!$I$470,$D$35:$D$37,0)))</f>
        <v>0</v>
      </c>
      <c r="T339" s="80">
        <f ca="1">T321*(1+INDEX(T$35:T$37,MATCH(Work_Codes!$I$470,$D$35:$D$37,0)))</f>
        <v>0</v>
      </c>
    </row>
    <row r="340" spans="4:20" s="41" customFormat="1" ht="12" customHeight="1" outlineLevel="2">
      <c r="E340" s="251" t="str">
        <f>GC!C68</f>
        <v>Other</v>
      </c>
      <c r="F340" s="251"/>
      <c r="G340" s="251"/>
      <c r="H340" s="251"/>
      <c r="I340" s="251"/>
      <c r="J340" s="80">
        <f ca="1">J322*(1+INDEX(J$35:J$37,MATCH(Work_Codes!$I$470,$D$35:$D$37,0)))</f>
        <v>0</v>
      </c>
      <c r="K340" s="80">
        <f ca="1">K322*(1+INDEX(K$35:K$37,MATCH(Work_Codes!$I$470,$D$35:$D$37,0)))</f>
        <v>0</v>
      </c>
      <c r="L340" s="80">
        <f ca="1">L322*(1+INDEX(L$35:L$37,MATCH(Work_Codes!$I$470,$D$35:$D$37,0)))</f>
        <v>0</v>
      </c>
      <c r="M340" s="80">
        <f ca="1">M322*(1+INDEX(M$35:M$37,MATCH(Work_Codes!$I$470,$D$35:$D$37,0)))</f>
        <v>0</v>
      </c>
      <c r="N340" s="80">
        <f ca="1">N322*(1+INDEX(N$35:N$37,MATCH(Work_Codes!$I$470,$D$35:$D$37,0)))</f>
        <v>0</v>
      </c>
      <c r="O340" s="80">
        <f ca="1">O322*(1+INDEX(O$35:O$37,MATCH(Work_Codes!$I$470,$D$35:$D$37,0)))</f>
        <v>0</v>
      </c>
      <c r="P340" s="80">
        <f ca="1">P322*(1+INDEX(P$35:P$37,MATCH(Work_Codes!$I$470,$D$35:$D$37,0)))</f>
        <v>0</v>
      </c>
      <c r="Q340" s="80">
        <f ca="1">Q322*(1+INDEX(Q$35:Q$37,MATCH(Work_Codes!$I$470,$D$35:$D$37,0)))</f>
        <v>0</v>
      </c>
      <c r="R340" s="80">
        <f ca="1">R322*(1+INDEX(R$35:R$37,MATCH(Work_Codes!$I$470,$D$35:$D$37,0)))</f>
        <v>0</v>
      </c>
      <c r="S340" s="80">
        <f ca="1">S322*(1+INDEX(S$35:S$37,MATCH(Work_Codes!$I$470,$D$35:$D$37,0)))</f>
        <v>0</v>
      </c>
      <c r="T340" s="80">
        <f ca="1">T322*(1+INDEX(T$35:T$37,MATCH(Work_Codes!$I$470,$D$35:$D$37,0)))</f>
        <v>0</v>
      </c>
    </row>
    <row r="341" spans="4:20" s="41" customFormat="1" outlineLevel="2">
      <c r="E341" s="251" t="str">
        <f>GC!C69</f>
        <v>Capitalised Leases</v>
      </c>
      <c r="F341" s="251"/>
      <c r="G341" s="251"/>
      <c r="H341" s="251"/>
      <c r="I341" s="251"/>
      <c r="J341" s="80">
        <f ca="1">J323*(1+INDEX(J$35:J$37,MATCH(Work_Codes!$I$470,$D$35:$D$37,0)))</f>
        <v>0</v>
      </c>
      <c r="K341" s="80">
        <f ca="1">K323*(1+INDEX(K$35:K$37,MATCH(Work_Codes!$I$470,$D$35:$D$37,0)))</f>
        <v>0</v>
      </c>
      <c r="L341" s="80">
        <f ca="1">L323*(1+INDEX(L$35:L$37,MATCH(Work_Codes!$I$470,$D$35:$D$37,0)))</f>
        <v>0</v>
      </c>
      <c r="M341" s="80">
        <f ca="1">M323*(1+INDEX(M$35:M$37,MATCH(Work_Codes!$I$470,$D$35:$D$37,0)))</f>
        <v>0</v>
      </c>
      <c r="N341" s="80">
        <f ca="1">N323*(1+INDEX(N$35:N$37,MATCH(Work_Codes!$I$470,$D$35:$D$37,0)))</f>
        <v>0</v>
      </c>
      <c r="O341" s="80">
        <f ca="1">O323*(1+INDEX(O$35:O$37,MATCH(Work_Codes!$I$470,$D$35:$D$37,0)))</f>
        <v>0</v>
      </c>
      <c r="P341" s="80">
        <f ca="1">P323*(1+INDEX(P$35:P$37,MATCH(Work_Codes!$I$470,$D$35:$D$37,0)))</f>
        <v>0</v>
      </c>
      <c r="Q341" s="80">
        <f ca="1">Q323*(1+INDEX(Q$35:Q$37,MATCH(Work_Codes!$I$470,$D$35:$D$37,0)))</f>
        <v>0</v>
      </c>
      <c r="R341" s="80">
        <f ca="1">R323*(1+INDEX(R$35:R$37,MATCH(Work_Codes!$I$470,$D$35:$D$37,0)))</f>
        <v>0</v>
      </c>
      <c r="S341" s="80">
        <f ca="1">S323*(1+INDEX(S$35:S$37,MATCH(Work_Codes!$I$470,$D$35:$D$37,0)))</f>
        <v>0</v>
      </c>
      <c r="T341" s="80">
        <f ca="1">T323*(1+INDEX(T$35:T$37,MATCH(Work_Codes!$I$470,$D$35:$D$37,0)))</f>
        <v>0</v>
      </c>
    </row>
    <row r="342" spans="4:20" s="41" customFormat="1" ht="12" customHeight="1" outlineLevel="2">
      <c r="E342" s="251" t="str">
        <f>GC!C70</f>
        <v>Gas Extensions - Energy for the Regions</v>
      </c>
      <c r="F342" s="251"/>
      <c r="G342" s="251"/>
      <c r="H342" s="251"/>
      <c r="I342" s="251"/>
      <c r="J342" s="80">
        <f ca="1">J324*(1+INDEX(J$35:J$37,MATCH(Work_Codes!$I$470,$D$35:$D$37,0)))</f>
        <v>0</v>
      </c>
      <c r="K342" s="80">
        <f ca="1">K324*(1+INDEX(K$35:K$37,MATCH(Work_Codes!$I$470,$D$35:$D$37,0)))</f>
        <v>0</v>
      </c>
      <c r="L342" s="80">
        <f ca="1">L324*(1+INDEX(L$35:L$37,MATCH(Work_Codes!$I$470,$D$35:$D$37,0)))</f>
        <v>0</v>
      </c>
      <c r="M342" s="80">
        <f ca="1">M324*(1+INDEX(M$35:M$37,MATCH(Work_Codes!$I$470,$D$35:$D$37,0)))</f>
        <v>0</v>
      </c>
      <c r="N342" s="80">
        <f ca="1">N324*(1+INDEX(N$35:N$37,MATCH(Work_Codes!$I$470,$D$35:$D$37,0)))</f>
        <v>0</v>
      </c>
      <c r="O342" s="80">
        <f ca="1">O324*(1+INDEX(O$35:O$37,MATCH(Work_Codes!$I$470,$D$35:$D$37,0)))</f>
        <v>0</v>
      </c>
      <c r="P342" s="80">
        <f ca="1">P324*(1+INDEX(P$35:P$37,MATCH(Work_Codes!$I$470,$D$35:$D$37,0)))</f>
        <v>0</v>
      </c>
      <c r="Q342" s="80">
        <f ca="1">Q324*(1+INDEX(Q$35:Q$37,MATCH(Work_Codes!$I$470,$D$35:$D$37,0)))</f>
        <v>0</v>
      </c>
      <c r="R342" s="80">
        <f ca="1">R324*(1+INDEX(R$35:R$37,MATCH(Work_Codes!$I$470,$D$35:$D$37,0)))</f>
        <v>0</v>
      </c>
      <c r="S342" s="80">
        <f ca="1">S324*(1+INDEX(S$35:S$37,MATCH(Work_Codes!$I$470,$D$35:$D$37,0)))</f>
        <v>0</v>
      </c>
      <c r="T342" s="80">
        <f ca="1">T324*(1+INDEX(T$35:T$37,MATCH(Work_Codes!$I$470,$D$35:$D$37,0)))</f>
        <v>0</v>
      </c>
    </row>
    <row r="343" spans="4:20" s="41" customFormat="1" ht="12" customHeight="1" outlineLevel="2">
      <c r="E343" s="251" t="str">
        <f>GC!C71</f>
        <v>Gas Extensions - Other</v>
      </c>
      <c r="F343" s="251"/>
      <c r="G343" s="251"/>
      <c r="H343" s="251"/>
      <c r="I343" s="251"/>
      <c r="J343" s="80">
        <f ca="1">J325*(1+INDEX(J$35:J$37,MATCH(Work_Codes!$I$470,$D$35:$D$37,0)))</f>
        <v>0</v>
      </c>
      <c r="K343" s="80">
        <f ca="1">K325*(1+INDEX(K$35:K$37,MATCH(Work_Codes!$I$470,$D$35:$D$37,0)))</f>
        <v>0</v>
      </c>
      <c r="L343" s="80">
        <f ca="1">L325*(1+INDEX(L$35:L$37,MATCH(Work_Codes!$I$470,$D$35:$D$37,0)))</f>
        <v>0</v>
      </c>
      <c r="M343" s="80">
        <f ca="1">M325*(1+INDEX(M$35:M$37,MATCH(Work_Codes!$I$470,$D$35:$D$37,0)))</f>
        <v>0</v>
      </c>
      <c r="N343" s="80">
        <f ca="1">N325*(1+INDEX(N$35:N$37,MATCH(Work_Codes!$I$470,$D$35:$D$37,0)))</f>
        <v>0</v>
      </c>
      <c r="O343" s="80">
        <f ca="1">O325*(1+INDEX(O$35:O$37,MATCH(Work_Codes!$I$470,$D$35:$D$37,0)))</f>
        <v>0</v>
      </c>
      <c r="P343" s="80">
        <f ca="1">P325*(1+INDEX(P$35:P$37,MATCH(Work_Codes!$I$470,$D$35:$D$37,0)))</f>
        <v>0</v>
      </c>
      <c r="Q343" s="80">
        <f ca="1">Q325*(1+INDEX(Q$35:Q$37,MATCH(Work_Codes!$I$470,$D$35:$D$37,0)))</f>
        <v>0</v>
      </c>
      <c r="R343" s="80">
        <f ca="1">R325*(1+INDEX(R$35:R$37,MATCH(Work_Codes!$I$470,$D$35:$D$37,0)))</f>
        <v>0</v>
      </c>
      <c r="S343" s="80">
        <f ca="1">S325*(1+INDEX(S$35:S$37,MATCH(Work_Codes!$I$470,$D$35:$D$37,0)))</f>
        <v>0</v>
      </c>
      <c r="T343" s="80">
        <f ca="1">T325*(1+INDEX(T$35:T$37,MATCH(Work_Codes!$I$470,$D$35:$D$37,0)))</f>
        <v>0</v>
      </c>
    </row>
    <row r="344" spans="4:20" s="41" customFormat="1" ht="12" customHeight="1" outlineLevel="2">
      <c r="E344" s="251" t="str">
        <f>GC!C72</f>
        <v>Customer contributions</v>
      </c>
      <c r="F344" s="251"/>
      <c r="G344" s="251"/>
      <c r="H344" s="251"/>
      <c r="I344" s="251"/>
      <c r="J344" s="80">
        <f ca="1">J326*(1+INDEX(J$35:J$37,MATCH(Work_Codes!$I$470,$D$35:$D$37,0)))</f>
        <v>0</v>
      </c>
      <c r="K344" s="80">
        <f ca="1">K326*(1+INDEX(K$35:K$37,MATCH(Work_Codes!$I$470,$D$35:$D$37,0)))</f>
        <v>0</v>
      </c>
      <c r="L344" s="80">
        <f ca="1">L326*(1+INDEX(L$35:L$37,MATCH(Work_Codes!$I$470,$D$35:$D$37,0)))</f>
        <v>0</v>
      </c>
      <c r="M344" s="80">
        <f ca="1">M326*(1+INDEX(M$35:M$37,MATCH(Work_Codes!$I$470,$D$35:$D$37,0)))</f>
        <v>0</v>
      </c>
      <c r="N344" s="80">
        <f ca="1">N326*(1+INDEX(N$35:N$37,MATCH(Work_Codes!$I$470,$D$35:$D$37,0)))</f>
        <v>0</v>
      </c>
      <c r="O344" s="80">
        <f ca="1">O326*(1+INDEX(O$35:O$37,MATCH(Work_Codes!$I$470,$D$35:$D$37,0)))</f>
        <v>0</v>
      </c>
      <c r="P344" s="80">
        <f ca="1">P326*(1+INDEX(P$35:P$37,MATCH(Work_Codes!$I$470,$D$35:$D$37,0)))</f>
        <v>0</v>
      </c>
      <c r="Q344" s="80">
        <f ca="1">Q326*(1+INDEX(Q$35:Q$37,MATCH(Work_Codes!$I$470,$D$35:$D$37,0)))</f>
        <v>0</v>
      </c>
      <c r="R344" s="80">
        <f ca="1">R326*(1+INDEX(R$35:R$37,MATCH(Work_Codes!$I$470,$D$35:$D$37,0)))</f>
        <v>0</v>
      </c>
      <c r="S344" s="80">
        <f ca="1">S326*(1+INDEX(S$35:S$37,MATCH(Work_Codes!$I$470,$D$35:$D$37,0)))</f>
        <v>0</v>
      </c>
      <c r="T344" s="80">
        <f ca="1">T326*(1+INDEX(T$35:T$37,MATCH(Work_Codes!$I$470,$D$35:$D$37,0)))</f>
        <v>0</v>
      </c>
    </row>
    <row r="345" spans="4:20" s="41" customFormat="1" ht="12" customHeight="1" outlineLevel="2">
      <c r="E345" s="251" t="str">
        <f>GC!C73</f>
        <v>Government contributions</v>
      </c>
      <c r="F345" s="251"/>
      <c r="G345" s="251"/>
      <c r="H345" s="251"/>
      <c r="I345" s="251"/>
      <c r="J345" s="80">
        <f ca="1">J327*(1+INDEX(J$35:J$37,MATCH(Work_Codes!$I$470,$D$35:$D$37,0)))</f>
        <v>0</v>
      </c>
      <c r="K345" s="80">
        <f ca="1">K327*(1+INDEX(K$35:K$37,MATCH(Work_Codes!$I$470,$D$35:$D$37,0)))</f>
        <v>0</v>
      </c>
      <c r="L345" s="80">
        <f ca="1">L327*(1+INDEX(L$35:L$37,MATCH(Work_Codes!$I$470,$D$35:$D$37,0)))</f>
        <v>0</v>
      </c>
      <c r="M345" s="80">
        <f ca="1">M327*(1+INDEX(M$35:M$37,MATCH(Work_Codes!$I$470,$D$35:$D$37,0)))</f>
        <v>0</v>
      </c>
      <c r="N345" s="80">
        <f ca="1">N327*(1+INDEX(N$35:N$37,MATCH(Work_Codes!$I$470,$D$35:$D$37,0)))</f>
        <v>0</v>
      </c>
      <c r="O345" s="80">
        <f ca="1">O327*(1+INDEX(O$35:O$37,MATCH(Work_Codes!$I$470,$D$35:$D$37,0)))</f>
        <v>0</v>
      </c>
      <c r="P345" s="80">
        <f ca="1">P327*(1+INDEX(P$35:P$37,MATCH(Work_Codes!$I$470,$D$35:$D$37,0)))</f>
        <v>0</v>
      </c>
      <c r="Q345" s="80">
        <f ca="1">Q327*(1+INDEX(Q$35:Q$37,MATCH(Work_Codes!$I$470,$D$35:$D$37,0)))</f>
        <v>0</v>
      </c>
      <c r="R345" s="80">
        <f ca="1">R327*(1+INDEX(R$35:R$37,MATCH(Work_Codes!$I$470,$D$35:$D$37,0)))</f>
        <v>0</v>
      </c>
      <c r="S345" s="80">
        <f ca="1">S327*(1+INDEX(S$35:S$37,MATCH(Work_Codes!$I$470,$D$35:$D$37,0)))</f>
        <v>0</v>
      </c>
      <c r="T345" s="80">
        <f ca="1">T327*(1+INDEX(T$35:T$37,MATCH(Work_Codes!$I$470,$D$35:$D$37,0)))</f>
        <v>0</v>
      </c>
    </row>
    <row r="346" spans="4:20" s="41" customFormat="1" ht="12" customHeight="1" outlineLevel="2">
      <c r="E346" s="250" t="str">
        <f>"Total "&amp;D330</f>
        <v>Total Direct Costs + Overheads</v>
      </c>
      <c r="F346" s="250"/>
      <c r="G346" s="250"/>
      <c r="H346" s="250"/>
      <c r="I346" s="250"/>
      <c r="J346" s="101">
        <f t="shared" ref="J346:T346" ca="1" si="59">SUM(J332:J345)</f>
        <v>0</v>
      </c>
      <c r="K346" s="101">
        <f t="shared" ca="1" si="59"/>
        <v>0</v>
      </c>
      <c r="L346" s="101">
        <f t="shared" ca="1" si="59"/>
        <v>0</v>
      </c>
      <c r="M346" s="101">
        <f t="shared" ca="1" si="59"/>
        <v>0</v>
      </c>
      <c r="N346" s="101">
        <f t="shared" ca="1" si="59"/>
        <v>6978279.2324051764</v>
      </c>
      <c r="O346" s="101">
        <f t="shared" ca="1" si="59"/>
        <v>3488182.2561022043</v>
      </c>
      <c r="P346" s="101">
        <f t="shared" ca="1" si="59"/>
        <v>15450246.321215272</v>
      </c>
      <c r="Q346" s="101">
        <f t="shared" ca="1" si="59"/>
        <v>17734287.311775222</v>
      </c>
      <c r="R346" s="101">
        <f t="shared" ca="1" si="59"/>
        <v>19235231.025971476</v>
      </c>
      <c r="S346" s="101">
        <f t="shared" ca="1" si="59"/>
        <v>9637247.0975269582</v>
      </c>
      <c r="T346" s="101">
        <f t="shared" ca="1" si="59"/>
        <v>7158616.5859825984</v>
      </c>
    </row>
    <row r="347" spans="4:20" outlineLevel="2"/>
    <row r="348" spans="4:20" outlineLevel="2">
      <c r="D348" s="37" t="s">
        <v>367</v>
      </c>
    </row>
    <row r="349" spans="4:20" ht="5.75" customHeight="1" outlineLevel="2"/>
    <row r="350" spans="4:20" outlineLevel="2">
      <c r="E350" s="247" t="str">
        <f>GC!C60</f>
        <v>Mains replacement</v>
      </c>
      <c r="F350" s="247"/>
      <c r="G350" s="247"/>
      <c r="H350" s="247"/>
      <c r="I350" s="247"/>
      <c r="J350" s="81">
        <f ca="1">SUMPRODUCT((Work_Codes!$AC$473:$AO$473=$E350)*(Work_Codes!$AC$499:$AO$499)*(J$119:J$119))</f>
        <v>0</v>
      </c>
      <c r="K350" s="81">
        <f ca="1">SUMPRODUCT((Work_Codes!$AC$473:$AO$473=$E350)*(Work_Codes!$AC$499:$AO$499)*(K$119:K$119))</f>
        <v>0</v>
      </c>
      <c r="L350" s="81">
        <f ca="1">SUMPRODUCT((Work_Codes!$AC$473:$AO$473=$E350)*(Work_Codes!$AC$499:$AO$499)*(L$119:L$119))</f>
        <v>0</v>
      </c>
      <c r="M350" s="81">
        <f ca="1">SUMPRODUCT((Work_Codes!$AC$473:$AO$473=$E350)*(Work_Codes!$AC$499:$AO$499)*(M$119:M$119))</f>
        <v>0</v>
      </c>
      <c r="N350" s="81">
        <f ca="1">SUMPRODUCT((Work_Codes!$AC$473:$AO$473=$E350)*(Work_Codes!$AC$499:$AO$499)*(N$119:N$119))</f>
        <v>0</v>
      </c>
      <c r="O350" s="81">
        <f ca="1">SUMPRODUCT((Work_Codes!$AC$473:$AO$473=$E350)*(Work_Codes!$AC$499:$AO$499)*(O$119:O$119))</f>
        <v>0</v>
      </c>
      <c r="P350" s="81">
        <f ca="1">SUMPRODUCT((Work_Codes!$AC$473:$AO$473=$E350)*(Work_Codes!$AC$499:$AO$499)*(P$119:P$119))</f>
        <v>0</v>
      </c>
      <c r="Q350" s="81">
        <f ca="1">SUMPRODUCT((Work_Codes!$AC$473:$AO$473=$E350)*(Work_Codes!$AC$499:$AO$499)*(Q$119:Q$119))</f>
        <v>0</v>
      </c>
      <c r="R350" s="81">
        <f ca="1">SUMPRODUCT((Work_Codes!$AC$473:$AO$473=$E350)*(Work_Codes!$AC$499:$AO$499)*(R$119:R$119))</f>
        <v>0</v>
      </c>
      <c r="S350" s="81">
        <f ca="1">SUMPRODUCT((Work_Codes!$AC$473:$AO$473=$E350)*(Work_Codes!$AC$499:$AO$499)*(S$119:S$119))</f>
        <v>0</v>
      </c>
      <c r="T350" s="81">
        <f ca="1">SUMPRODUCT((Work_Codes!$AC$473:$AO$473=$E350)*(Work_Codes!$AC$499:$AO$499)*(T$119:T$119))</f>
        <v>0</v>
      </c>
    </row>
    <row r="351" spans="4:20" outlineLevel="2">
      <c r="E351" s="247" t="str">
        <f>GC!C61</f>
        <v>Residential new customer connections</v>
      </c>
      <c r="F351" s="247"/>
      <c r="G351" s="247"/>
      <c r="H351" s="247"/>
      <c r="I351" s="247"/>
      <c r="J351" s="81">
        <f ca="1">SUMPRODUCT((Work_Codes!$AC$473:$AO$473=$E351)*(Work_Codes!$AC$499:$AO$499)*(J$119:J$119))</f>
        <v>0</v>
      </c>
      <c r="K351" s="81">
        <f ca="1">SUMPRODUCT((Work_Codes!$AC$473:$AO$473=$E351)*(Work_Codes!$AC$499:$AO$499)*(K$119:K$119))</f>
        <v>0</v>
      </c>
      <c r="L351" s="81">
        <f ca="1">SUMPRODUCT((Work_Codes!$AC$473:$AO$473=$E351)*(Work_Codes!$AC$499:$AO$499)*(L$119:L$119))</f>
        <v>0</v>
      </c>
      <c r="M351" s="81">
        <f ca="1">SUMPRODUCT((Work_Codes!$AC$473:$AO$473=$E351)*(Work_Codes!$AC$499:$AO$499)*(M$119:M$119))</f>
        <v>0</v>
      </c>
      <c r="N351" s="81">
        <f ca="1">SUMPRODUCT((Work_Codes!$AC$473:$AO$473=$E351)*(Work_Codes!$AC$499:$AO$499)*(N$119:N$119))</f>
        <v>0</v>
      </c>
      <c r="O351" s="81">
        <f ca="1">SUMPRODUCT((Work_Codes!$AC$473:$AO$473=$E351)*(Work_Codes!$AC$499:$AO$499)*(O$119:O$119))</f>
        <v>0</v>
      </c>
      <c r="P351" s="81">
        <f ca="1">SUMPRODUCT((Work_Codes!$AC$473:$AO$473=$E351)*(Work_Codes!$AC$499:$AO$499)*(P$119:P$119))</f>
        <v>0</v>
      </c>
      <c r="Q351" s="81">
        <f ca="1">SUMPRODUCT((Work_Codes!$AC$473:$AO$473=$E351)*(Work_Codes!$AC$499:$AO$499)*(Q$119:Q$119))</f>
        <v>0</v>
      </c>
      <c r="R351" s="81">
        <f ca="1">SUMPRODUCT((Work_Codes!$AC$473:$AO$473=$E351)*(Work_Codes!$AC$499:$AO$499)*(R$119:R$119))</f>
        <v>0</v>
      </c>
      <c r="S351" s="81">
        <f ca="1">SUMPRODUCT((Work_Codes!$AC$473:$AO$473=$E351)*(Work_Codes!$AC$499:$AO$499)*(S$119:S$119))</f>
        <v>0</v>
      </c>
      <c r="T351" s="81">
        <f ca="1">SUMPRODUCT((Work_Codes!$AC$473:$AO$473=$E351)*(Work_Codes!$AC$499:$AO$499)*(T$119:T$119))</f>
        <v>0</v>
      </c>
    </row>
    <row r="352" spans="4:20" outlineLevel="2">
      <c r="E352" s="247" t="str">
        <f>GC!C62</f>
        <v>Commercial and industrial new customer connections</v>
      </c>
      <c r="F352" s="247"/>
      <c r="G352" s="247"/>
      <c r="H352" s="247"/>
      <c r="I352" s="247"/>
      <c r="J352" s="81">
        <f ca="1">SUMPRODUCT((Work_Codes!$AC$473:$AO$473=$E352)*(Work_Codes!$AC$499:$AO$499)*(J$119:J$119))</f>
        <v>0</v>
      </c>
      <c r="K352" s="81">
        <f ca="1">SUMPRODUCT((Work_Codes!$AC$473:$AO$473=$E352)*(Work_Codes!$AC$499:$AO$499)*(K$119:K$119))</f>
        <v>0</v>
      </c>
      <c r="L352" s="81">
        <f ca="1">SUMPRODUCT((Work_Codes!$AC$473:$AO$473=$E352)*(Work_Codes!$AC$499:$AO$499)*(L$119:L$119))</f>
        <v>0</v>
      </c>
      <c r="M352" s="81">
        <f ca="1">SUMPRODUCT((Work_Codes!$AC$473:$AO$473=$E352)*(Work_Codes!$AC$499:$AO$499)*(M$119:M$119))</f>
        <v>0</v>
      </c>
      <c r="N352" s="81">
        <f ca="1">SUMPRODUCT((Work_Codes!$AC$473:$AO$473=$E352)*(Work_Codes!$AC$499:$AO$499)*(N$119:N$119))</f>
        <v>0</v>
      </c>
      <c r="O352" s="81">
        <f ca="1">SUMPRODUCT((Work_Codes!$AC$473:$AO$473=$E352)*(Work_Codes!$AC$499:$AO$499)*(O$119:O$119))</f>
        <v>0</v>
      </c>
      <c r="P352" s="81">
        <f ca="1">SUMPRODUCT((Work_Codes!$AC$473:$AO$473=$E352)*(Work_Codes!$AC$499:$AO$499)*(P$119:P$119))</f>
        <v>0</v>
      </c>
      <c r="Q352" s="81">
        <f ca="1">SUMPRODUCT((Work_Codes!$AC$473:$AO$473=$E352)*(Work_Codes!$AC$499:$AO$499)*(Q$119:Q$119))</f>
        <v>0</v>
      </c>
      <c r="R352" s="81">
        <f ca="1">SUMPRODUCT((Work_Codes!$AC$473:$AO$473=$E352)*(Work_Codes!$AC$499:$AO$499)*(R$119:R$119))</f>
        <v>0</v>
      </c>
      <c r="S352" s="81">
        <f ca="1">SUMPRODUCT((Work_Codes!$AC$473:$AO$473=$E352)*(Work_Codes!$AC$499:$AO$499)*(S$119:S$119))</f>
        <v>0</v>
      </c>
      <c r="T352" s="81">
        <f ca="1">SUMPRODUCT((Work_Codes!$AC$473:$AO$473=$E352)*(Work_Codes!$AC$499:$AO$499)*(T$119:T$119))</f>
        <v>0</v>
      </c>
    </row>
    <row r="353" spans="2:20" outlineLevel="2">
      <c r="E353" s="247" t="str">
        <f>GC!C63</f>
        <v>Residential meter replacement</v>
      </c>
      <c r="F353" s="247"/>
      <c r="G353" s="247"/>
      <c r="H353" s="247"/>
      <c r="I353" s="247"/>
      <c r="J353" s="81">
        <f ca="1">SUMPRODUCT((Work_Codes!$AC$473:$AO$473=$E353)*(Work_Codes!$AC$499:$AO$499)*(J$119:J$119))</f>
        <v>0</v>
      </c>
      <c r="K353" s="81">
        <f ca="1">SUMPRODUCT((Work_Codes!$AC$473:$AO$473=$E353)*(Work_Codes!$AC$499:$AO$499)*(K$119:K$119))</f>
        <v>0</v>
      </c>
      <c r="L353" s="81">
        <f ca="1">SUMPRODUCT((Work_Codes!$AC$473:$AO$473=$E353)*(Work_Codes!$AC$499:$AO$499)*(L$119:L$119))</f>
        <v>0</v>
      </c>
      <c r="M353" s="81">
        <f ca="1">SUMPRODUCT((Work_Codes!$AC$473:$AO$473=$E353)*(Work_Codes!$AC$499:$AO$499)*(M$119:M$119))</f>
        <v>0</v>
      </c>
      <c r="N353" s="81">
        <f ca="1">SUMPRODUCT((Work_Codes!$AC$473:$AO$473=$E353)*(Work_Codes!$AC$499:$AO$499)*(N$119:N$119))</f>
        <v>0</v>
      </c>
      <c r="O353" s="81">
        <f ca="1">SUMPRODUCT((Work_Codes!$AC$473:$AO$473=$E353)*(Work_Codes!$AC$499:$AO$499)*(O$119:O$119))</f>
        <v>0</v>
      </c>
      <c r="P353" s="81">
        <f ca="1">SUMPRODUCT((Work_Codes!$AC$473:$AO$473=$E353)*(Work_Codes!$AC$499:$AO$499)*(P$119:P$119))</f>
        <v>0</v>
      </c>
      <c r="Q353" s="81">
        <f ca="1">SUMPRODUCT((Work_Codes!$AC$473:$AO$473=$E353)*(Work_Codes!$AC$499:$AO$499)*(Q$119:Q$119))</f>
        <v>0</v>
      </c>
      <c r="R353" s="81">
        <f ca="1">SUMPRODUCT((Work_Codes!$AC$473:$AO$473=$E353)*(Work_Codes!$AC$499:$AO$499)*(R$119:R$119))</f>
        <v>0</v>
      </c>
      <c r="S353" s="81">
        <f ca="1">SUMPRODUCT((Work_Codes!$AC$473:$AO$473=$E353)*(Work_Codes!$AC$499:$AO$499)*(S$119:S$119))</f>
        <v>0</v>
      </c>
      <c r="T353" s="81">
        <f ca="1">SUMPRODUCT((Work_Codes!$AC$473:$AO$473=$E353)*(Work_Codes!$AC$499:$AO$499)*(T$119:T$119))</f>
        <v>0</v>
      </c>
    </row>
    <row r="354" spans="2:20" outlineLevel="2">
      <c r="E354" s="247" t="str">
        <f>GC!C64</f>
        <v>Commercial and industrial meter replacement</v>
      </c>
      <c r="F354" s="247"/>
      <c r="G354" s="247"/>
      <c r="H354" s="247"/>
      <c r="I354" s="247"/>
      <c r="J354" s="81">
        <f ca="1">SUMPRODUCT((Work_Codes!$AC$473:$AO$473=$E354)*(Work_Codes!$AC$499:$AO$499)*(J$119:J$119))</f>
        <v>0</v>
      </c>
      <c r="K354" s="81">
        <f ca="1">SUMPRODUCT((Work_Codes!$AC$473:$AO$473=$E354)*(Work_Codes!$AC$499:$AO$499)*(K$119:K$119))</f>
        <v>0</v>
      </c>
      <c r="L354" s="81">
        <f ca="1">SUMPRODUCT((Work_Codes!$AC$473:$AO$473=$E354)*(Work_Codes!$AC$499:$AO$499)*(L$119:L$119))</f>
        <v>0</v>
      </c>
      <c r="M354" s="81">
        <f ca="1">SUMPRODUCT((Work_Codes!$AC$473:$AO$473=$E354)*(Work_Codes!$AC$499:$AO$499)*(M$119:M$119))</f>
        <v>0</v>
      </c>
      <c r="N354" s="81">
        <f ca="1">SUMPRODUCT((Work_Codes!$AC$473:$AO$473=$E354)*(Work_Codes!$AC$499:$AO$499)*(N$119:N$119))</f>
        <v>0</v>
      </c>
      <c r="O354" s="81">
        <f ca="1">SUMPRODUCT((Work_Codes!$AC$473:$AO$473=$E354)*(Work_Codes!$AC$499:$AO$499)*(O$119:O$119))</f>
        <v>0</v>
      </c>
      <c r="P354" s="81">
        <f ca="1">SUMPRODUCT((Work_Codes!$AC$473:$AO$473=$E354)*(Work_Codes!$AC$499:$AO$499)*(P$119:P$119))</f>
        <v>0</v>
      </c>
      <c r="Q354" s="81">
        <f ca="1">SUMPRODUCT((Work_Codes!$AC$473:$AO$473=$E354)*(Work_Codes!$AC$499:$AO$499)*(Q$119:Q$119))</f>
        <v>0</v>
      </c>
      <c r="R354" s="81">
        <f ca="1">SUMPRODUCT((Work_Codes!$AC$473:$AO$473=$E354)*(Work_Codes!$AC$499:$AO$499)*(R$119:R$119))</f>
        <v>0</v>
      </c>
      <c r="S354" s="81">
        <f ca="1">SUMPRODUCT((Work_Codes!$AC$473:$AO$473=$E354)*(Work_Codes!$AC$499:$AO$499)*(S$119:S$119))</f>
        <v>0</v>
      </c>
      <c r="T354" s="81">
        <f ca="1">SUMPRODUCT((Work_Codes!$AC$473:$AO$473=$E354)*(Work_Codes!$AC$499:$AO$499)*(T$119:T$119))</f>
        <v>0</v>
      </c>
    </row>
    <row r="355" spans="2:20" outlineLevel="2">
      <c r="E355" s="247" t="str">
        <f>GC!C65</f>
        <v>Augmentation</v>
      </c>
      <c r="F355" s="247"/>
      <c r="G355" s="247"/>
      <c r="H355" s="247"/>
      <c r="I355" s="247"/>
      <c r="J355" s="81">
        <f ca="1">SUMPRODUCT((Work_Codes!$AC$473:$AO$473=$E355)*(Work_Codes!$AC$499:$AO$499)*(J$119:J$119))</f>
        <v>0</v>
      </c>
      <c r="K355" s="81">
        <f ca="1">SUMPRODUCT((Work_Codes!$AC$473:$AO$473=$E355)*(Work_Codes!$AC$499:$AO$499)*(K$119:K$119))</f>
        <v>0</v>
      </c>
      <c r="L355" s="81">
        <f ca="1">SUMPRODUCT((Work_Codes!$AC$473:$AO$473=$E355)*(Work_Codes!$AC$499:$AO$499)*(L$119:L$119))</f>
        <v>0</v>
      </c>
      <c r="M355" s="81">
        <f ca="1">SUMPRODUCT((Work_Codes!$AC$473:$AO$473=$E355)*(Work_Codes!$AC$499:$AO$499)*(M$119:M$119))</f>
        <v>0</v>
      </c>
      <c r="N355" s="81">
        <f ca="1">SUMPRODUCT((Work_Codes!$AC$473:$AO$473=$E355)*(Work_Codes!$AC$499:$AO$499)*(N$119:N$119))</f>
        <v>0</v>
      </c>
      <c r="O355" s="81">
        <f ca="1">SUMPRODUCT((Work_Codes!$AC$473:$AO$473=$E355)*(Work_Codes!$AC$499:$AO$499)*(O$119:O$119))</f>
        <v>0</v>
      </c>
      <c r="P355" s="81">
        <f ca="1">SUMPRODUCT((Work_Codes!$AC$473:$AO$473=$E355)*(Work_Codes!$AC$499:$AO$499)*(P$119:P$119))</f>
        <v>0</v>
      </c>
      <c r="Q355" s="81">
        <f ca="1">SUMPRODUCT((Work_Codes!$AC$473:$AO$473=$E355)*(Work_Codes!$AC$499:$AO$499)*(Q$119:Q$119))</f>
        <v>0</v>
      </c>
      <c r="R355" s="81">
        <f ca="1">SUMPRODUCT((Work_Codes!$AC$473:$AO$473=$E355)*(Work_Codes!$AC$499:$AO$499)*(R$119:R$119))</f>
        <v>0</v>
      </c>
      <c r="S355" s="81">
        <f ca="1">SUMPRODUCT((Work_Codes!$AC$473:$AO$473=$E355)*(Work_Codes!$AC$499:$AO$499)*(S$119:S$119))</f>
        <v>0</v>
      </c>
      <c r="T355" s="81">
        <f ca="1">SUMPRODUCT((Work_Codes!$AC$473:$AO$473=$E355)*(Work_Codes!$AC$499:$AO$499)*(T$119:T$119))</f>
        <v>0</v>
      </c>
    </row>
    <row r="356" spans="2:20" outlineLevel="2">
      <c r="E356" s="247" t="str">
        <f>GC!C66</f>
        <v>IT capex</v>
      </c>
      <c r="F356" s="247"/>
      <c r="G356" s="247"/>
      <c r="H356" s="247"/>
      <c r="I356" s="247"/>
      <c r="J356" s="81">
        <f ca="1">SUMPRODUCT((Work_Codes!$AC$473:$AO$473=$E356)*(Work_Codes!$AC$499:$AO$499)*(J$119:J$119))</f>
        <v>0</v>
      </c>
      <c r="K356" s="81">
        <f ca="1">SUMPRODUCT((Work_Codes!$AC$473:$AO$473=$E356)*(Work_Codes!$AC$499:$AO$499)*(K$119:K$119))</f>
        <v>0</v>
      </c>
      <c r="L356" s="81">
        <f ca="1">SUMPRODUCT((Work_Codes!$AC$473:$AO$473=$E356)*(Work_Codes!$AC$499:$AO$499)*(L$119:L$119))</f>
        <v>0</v>
      </c>
      <c r="M356" s="81">
        <f ca="1">SUMPRODUCT((Work_Codes!$AC$473:$AO$473=$E356)*(Work_Codes!$AC$499:$AO$499)*(M$119:M$119))</f>
        <v>0</v>
      </c>
      <c r="N356" s="81">
        <f ca="1">SUMPRODUCT((Work_Codes!$AC$473:$AO$473=$E356)*(Work_Codes!$AC$499:$AO$499)*(N$119:N$119))</f>
        <v>0</v>
      </c>
      <c r="O356" s="81">
        <f ca="1">SUMPRODUCT((Work_Codes!$AC$473:$AO$473=$E356)*(Work_Codes!$AC$499:$AO$499)*(O$119:O$119))</f>
        <v>0</v>
      </c>
      <c r="P356" s="81">
        <f ca="1">SUMPRODUCT((Work_Codes!$AC$473:$AO$473=$E356)*(Work_Codes!$AC$499:$AO$499)*(P$119:P$119))</f>
        <v>0</v>
      </c>
      <c r="Q356" s="81">
        <f ca="1">SUMPRODUCT((Work_Codes!$AC$473:$AO$473=$E356)*(Work_Codes!$AC$499:$AO$499)*(Q$119:Q$119))</f>
        <v>0</v>
      </c>
      <c r="R356" s="81">
        <f ca="1">SUMPRODUCT((Work_Codes!$AC$473:$AO$473=$E356)*(Work_Codes!$AC$499:$AO$499)*(R$119:R$119))</f>
        <v>0</v>
      </c>
      <c r="S356" s="81">
        <f ca="1">SUMPRODUCT((Work_Codes!$AC$473:$AO$473=$E356)*(Work_Codes!$AC$499:$AO$499)*(S$119:S$119))</f>
        <v>0</v>
      </c>
      <c r="T356" s="81">
        <f ca="1">SUMPRODUCT((Work_Codes!$AC$473:$AO$473=$E356)*(Work_Codes!$AC$499:$AO$499)*(T$119:T$119))</f>
        <v>0</v>
      </c>
    </row>
    <row r="357" spans="2:20" outlineLevel="2">
      <c r="E357" s="247" t="str">
        <f>GC!C67</f>
        <v>SCADA</v>
      </c>
      <c r="F357" s="247"/>
      <c r="G357" s="247"/>
      <c r="H357" s="247"/>
      <c r="I357" s="247"/>
      <c r="J357" s="81">
        <f ca="1">SUMPRODUCT((Work_Codes!$AC$473:$AO$473=$E357)*(Work_Codes!$AC$499:$AO$499)*(J$119:J$119))</f>
        <v>0</v>
      </c>
      <c r="K357" s="81">
        <f ca="1">SUMPRODUCT((Work_Codes!$AC$473:$AO$473=$E357)*(Work_Codes!$AC$499:$AO$499)*(K$119:K$119))</f>
        <v>0</v>
      </c>
      <c r="L357" s="81">
        <f ca="1">SUMPRODUCT((Work_Codes!$AC$473:$AO$473=$E357)*(Work_Codes!$AC$499:$AO$499)*(L$119:L$119))</f>
        <v>0</v>
      </c>
      <c r="M357" s="81">
        <f ca="1">SUMPRODUCT((Work_Codes!$AC$473:$AO$473=$E357)*(Work_Codes!$AC$499:$AO$499)*(M$119:M$119))</f>
        <v>0</v>
      </c>
      <c r="N357" s="81">
        <f ca="1">SUMPRODUCT((Work_Codes!$AC$473:$AO$473=$E357)*(Work_Codes!$AC$499:$AO$499)*(N$119:N$119))</f>
        <v>0</v>
      </c>
      <c r="O357" s="81">
        <f ca="1">SUMPRODUCT((Work_Codes!$AC$473:$AO$473=$E357)*(Work_Codes!$AC$499:$AO$499)*(O$119:O$119))</f>
        <v>0</v>
      </c>
      <c r="P357" s="81">
        <f ca="1">SUMPRODUCT((Work_Codes!$AC$473:$AO$473=$E357)*(Work_Codes!$AC$499:$AO$499)*(P$119:P$119))</f>
        <v>0</v>
      </c>
      <c r="Q357" s="81">
        <f ca="1">SUMPRODUCT((Work_Codes!$AC$473:$AO$473=$E357)*(Work_Codes!$AC$499:$AO$499)*(Q$119:Q$119))</f>
        <v>0</v>
      </c>
      <c r="R357" s="81">
        <f ca="1">SUMPRODUCT((Work_Codes!$AC$473:$AO$473=$E357)*(Work_Codes!$AC$499:$AO$499)*(R$119:R$119))</f>
        <v>0</v>
      </c>
      <c r="S357" s="81">
        <f ca="1">SUMPRODUCT((Work_Codes!$AC$473:$AO$473=$E357)*(Work_Codes!$AC$499:$AO$499)*(S$119:S$119))</f>
        <v>0</v>
      </c>
      <c r="T357" s="81">
        <f ca="1">SUMPRODUCT((Work_Codes!$AC$473:$AO$473=$E357)*(Work_Codes!$AC$499:$AO$499)*(T$119:T$119))</f>
        <v>0</v>
      </c>
    </row>
    <row r="358" spans="2:20" outlineLevel="2">
      <c r="E358" s="247" t="str">
        <f>GC!C68</f>
        <v>Other</v>
      </c>
      <c r="F358" s="247"/>
      <c r="G358" s="247"/>
      <c r="H358" s="247"/>
      <c r="I358" s="247"/>
      <c r="J358" s="81">
        <f ca="1">SUMPRODUCT((Work_Codes!$AC$473:$AO$473=$E358)*(Work_Codes!$AC$499:$AO$499)*(J$119:J$119))</f>
        <v>0</v>
      </c>
      <c r="K358" s="81">
        <f ca="1">SUMPRODUCT((Work_Codes!$AC$473:$AO$473=$E358)*(Work_Codes!$AC$499:$AO$499)*(K$119:K$119))</f>
        <v>0</v>
      </c>
      <c r="L358" s="81">
        <f ca="1">SUMPRODUCT((Work_Codes!$AC$473:$AO$473=$E358)*(Work_Codes!$AC$499:$AO$499)*(L$119:L$119))</f>
        <v>0</v>
      </c>
      <c r="M358" s="81">
        <f ca="1">SUMPRODUCT((Work_Codes!$AC$473:$AO$473=$E358)*(Work_Codes!$AC$499:$AO$499)*(M$119:M$119))</f>
        <v>0</v>
      </c>
      <c r="N358" s="81">
        <f ca="1">SUMPRODUCT((Work_Codes!$AC$473:$AO$473=$E358)*(Work_Codes!$AC$499:$AO$499)*(N$119:N$119))</f>
        <v>0</v>
      </c>
      <c r="O358" s="81">
        <f ca="1">SUMPRODUCT((Work_Codes!$AC$473:$AO$473=$E358)*(Work_Codes!$AC$499:$AO$499)*(O$119:O$119))</f>
        <v>0</v>
      </c>
      <c r="P358" s="81">
        <f ca="1">SUMPRODUCT((Work_Codes!$AC$473:$AO$473=$E358)*(Work_Codes!$AC$499:$AO$499)*(P$119:P$119))</f>
        <v>0</v>
      </c>
      <c r="Q358" s="81">
        <f ca="1">SUMPRODUCT((Work_Codes!$AC$473:$AO$473=$E358)*(Work_Codes!$AC$499:$AO$499)*(Q$119:Q$119))</f>
        <v>0</v>
      </c>
      <c r="R358" s="81">
        <f ca="1">SUMPRODUCT((Work_Codes!$AC$473:$AO$473=$E358)*(Work_Codes!$AC$499:$AO$499)*(R$119:R$119))</f>
        <v>0</v>
      </c>
      <c r="S358" s="81">
        <f ca="1">SUMPRODUCT((Work_Codes!$AC$473:$AO$473=$E358)*(Work_Codes!$AC$499:$AO$499)*(S$119:S$119))</f>
        <v>0</v>
      </c>
      <c r="T358" s="81">
        <f ca="1">SUMPRODUCT((Work_Codes!$AC$473:$AO$473=$E358)*(Work_Codes!$AC$499:$AO$499)*(T$119:T$119))</f>
        <v>0</v>
      </c>
    </row>
    <row r="359" spans="2:20" outlineLevel="2">
      <c r="E359" s="247" t="str">
        <f>GC!C69</f>
        <v>Capitalised Leases</v>
      </c>
      <c r="F359" s="247"/>
      <c r="G359" s="247"/>
      <c r="H359" s="247"/>
      <c r="I359" s="247"/>
      <c r="J359" s="81">
        <f ca="1">SUMPRODUCT((Work_Codes!$AC$473:$AO$473=$E359)*(Work_Codes!$AC$499:$AO$499)*(J$119:J$119))</f>
        <v>0</v>
      </c>
      <c r="K359" s="81">
        <f ca="1">SUMPRODUCT((Work_Codes!$AC$473:$AO$473=$E359)*(Work_Codes!$AC$499:$AO$499)*(K$119:K$119))</f>
        <v>0</v>
      </c>
      <c r="L359" s="81">
        <f ca="1">SUMPRODUCT((Work_Codes!$AC$473:$AO$473=$E359)*(Work_Codes!$AC$499:$AO$499)*(L$119:L$119))</f>
        <v>0</v>
      </c>
      <c r="M359" s="81">
        <f ca="1">SUMPRODUCT((Work_Codes!$AC$473:$AO$473=$E359)*(Work_Codes!$AC$499:$AO$499)*(M$119:M$119))</f>
        <v>0</v>
      </c>
      <c r="N359" s="81">
        <f ca="1">SUMPRODUCT((Work_Codes!$AC$473:$AO$473=$E359)*(Work_Codes!$AC$499:$AO$499)*(N$119:N$119))</f>
        <v>0</v>
      </c>
      <c r="O359" s="81">
        <f ca="1">SUMPRODUCT((Work_Codes!$AC$473:$AO$473=$E359)*(Work_Codes!$AC$499:$AO$499)*(O$119:O$119))</f>
        <v>0</v>
      </c>
      <c r="P359" s="81">
        <f ca="1">SUMPRODUCT((Work_Codes!$AC$473:$AO$473=$E359)*(Work_Codes!$AC$499:$AO$499)*(P$119:P$119))</f>
        <v>0</v>
      </c>
      <c r="Q359" s="81">
        <f ca="1">SUMPRODUCT((Work_Codes!$AC$473:$AO$473=$E359)*(Work_Codes!$AC$499:$AO$499)*(Q$119:Q$119))</f>
        <v>0</v>
      </c>
      <c r="R359" s="81">
        <f ca="1">SUMPRODUCT((Work_Codes!$AC$473:$AO$473=$E359)*(Work_Codes!$AC$499:$AO$499)*(R$119:R$119))</f>
        <v>0</v>
      </c>
      <c r="S359" s="81">
        <f ca="1">SUMPRODUCT((Work_Codes!$AC$473:$AO$473=$E359)*(Work_Codes!$AC$499:$AO$499)*(S$119:S$119))</f>
        <v>0</v>
      </c>
      <c r="T359" s="81">
        <f ca="1">SUMPRODUCT((Work_Codes!$AC$473:$AO$473=$E359)*(Work_Codes!$AC$499:$AO$499)*(T$119:T$119))</f>
        <v>0</v>
      </c>
    </row>
    <row r="360" spans="2:20" outlineLevel="2">
      <c r="E360" s="247" t="str">
        <f>GC!C70</f>
        <v>Gas Extensions - Energy for the Regions</v>
      </c>
      <c r="F360" s="247"/>
      <c r="G360" s="247"/>
      <c r="H360" s="247"/>
      <c r="I360" s="247"/>
      <c r="J360" s="81">
        <f ca="1">SUMPRODUCT((Work_Codes!$AC$473:$AO$473=$E360)*(Work_Codes!$AC$499:$AO$499)*(J$119:J$119))</f>
        <v>0</v>
      </c>
      <c r="K360" s="81">
        <f ca="1">SUMPRODUCT((Work_Codes!$AC$473:$AO$473=$E360)*(Work_Codes!$AC$499:$AO$499)*(K$119:K$119))</f>
        <v>0</v>
      </c>
      <c r="L360" s="81">
        <f ca="1">SUMPRODUCT((Work_Codes!$AC$473:$AO$473=$E360)*(Work_Codes!$AC$499:$AO$499)*(L$119:L$119))</f>
        <v>0</v>
      </c>
      <c r="M360" s="81">
        <f ca="1">SUMPRODUCT((Work_Codes!$AC$473:$AO$473=$E360)*(Work_Codes!$AC$499:$AO$499)*(M$119:M$119))</f>
        <v>0</v>
      </c>
      <c r="N360" s="81">
        <f ca="1">SUMPRODUCT((Work_Codes!$AC$473:$AO$473=$E360)*(Work_Codes!$AC$499:$AO$499)*(N$119:N$119))</f>
        <v>0</v>
      </c>
      <c r="O360" s="81">
        <f ca="1">SUMPRODUCT((Work_Codes!$AC$473:$AO$473=$E360)*(Work_Codes!$AC$499:$AO$499)*(O$119:O$119))</f>
        <v>0</v>
      </c>
      <c r="P360" s="81">
        <f ca="1">SUMPRODUCT((Work_Codes!$AC$473:$AO$473=$E360)*(Work_Codes!$AC$499:$AO$499)*(P$119:P$119))</f>
        <v>0</v>
      </c>
      <c r="Q360" s="81">
        <f ca="1">SUMPRODUCT((Work_Codes!$AC$473:$AO$473=$E360)*(Work_Codes!$AC$499:$AO$499)*(Q$119:Q$119))</f>
        <v>0</v>
      </c>
      <c r="R360" s="81">
        <f ca="1">SUMPRODUCT((Work_Codes!$AC$473:$AO$473=$E360)*(Work_Codes!$AC$499:$AO$499)*(R$119:R$119))</f>
        <v>0</v>
      </c>
      <c r="S360" s="81">
        <f ca="1">SUMPRODUCT((Work_Codes!$AC$473:$AO$473=$E360)*(Work_Codes!$AC$499:$AO$499)*(S$119:S$119))</f>
        <v>0</v>
      </c>
      <c r="T360" s="81">
        <f ca="1">SUMPRODUCT((Work_Codes!$AC$473:$AO$473=$E360)*(Work_Codes!$AC$499:$AO$499)*(T$119:T$119))</f>
        <v>0</v>
      </c>
    </row>
    <row r="361" spans="2:20" outlineLevel="2">
      <c r="E361" s="247" t="str">
        <f>GC!C71</f>
        <v>Gas Extensions - Other</v>
      </c>
      <c r="F361" s="247"/>
      <c r="G361" s="247"/>
      <c r="H361" s="247"/>
      <c r="I361" s="247"/>
      <c r="J361" s="81">
        <f ca="1">SUMPRODUCT((Work_Codes!$AC$473:$AO$473=$E361)*(Work_Codes!$AC$499:$AO$499)*(J$119:J$119))</f>
        <v>0</v>
      </c>
      <c r="K361" s="81">
        <f ca="1">SUMPRODUCT((Work_Codes!$AC$473:$AO$473=$E361)*(Work_Codes!$AC$499:$AO$499)*(K$119:K$119))</f>
        <v>0</v>
      </c>
      <c r="L361" s="81">
        <f ca="1">SUMPRODUCT((Work_Codes!$AC$473:$AO$473=$E361)*(Work_Codes!$AC$499:$AO$499)*(L$119:L$119))</f>
        <v>0</v>
      </c>
      <c r="M361" s="81">
        <f ca="1">SUMPRODUCT((Work_Codes!$AC$473:$AO$473=$E361)*(Work_Codes!$AC$499:$AO$499)*(M$119:M$119))</f>
        <v>0</v>
      </c>
      <c r="N361" s="81">
        <f ca="1">SUMPRODUCT((Work_Codes!$AC$473:$AO$473=$E361)*(Work_Codes!$AC$499:$AO$499)*(N$119:N$119))</f>
        <v>0</v>
      </c>
      <c r="O361" s="81">
        <f ca="1">SUMPRODUCT((Work_Codes!$AC$473:$AO$473=$E361)*(Work_Codes!$AC$499:$AO$499)*(O$119:O$119))</f>
        <v>0</v>
      </c>
      <c r="P361" s="81">
        <f ca="1">SUMPRODUCT((Work_Codes!$AC$473:$AO$473=$E361)*(Work_Codes!$AC$499:$AO$499)*(P$119:P$119))</f>
        <v>0</v>
      </c>
      <c r="Q361" s="81">
        <f ca="1">SUMPRODUCT((Work_Codes!$AC$473:$AO$473=$E361)*(Work_Codes!$AC$499:$AO$499)*(Q$119:Q$119))</f>
        <v>0</v>
      </c>
      <c r="R361" s="81">
        <f ca="1">SUMPRODUCT((Work_Codes!$AC$473:$AO$473=$E361)*(Work_Codes!$AC$499:$AO$499)*(R$119:R$119))</f>
        <v>0</v>
      </c>
      <c r="S361" s="81">
        <f ca="1">SUMPRODUCT((Work_Codes!$AC$473:$AO$473=$E361)*(Work_Codes!$AC$499:$AO$499)*(S$119:S$119))</f>
        <v>0</v>
      </c>
      <c r="T361" s="81">
        <f ca="1">SUMPRODUCT((Work_Codes!$AC$473:$AO$473=$E361)*(Work_Codes!$AC$499:$AO$499)*(T$119:T$119))</f>
        <v>0</v>
      </c>
    </row>
    <row r="362" spans="2:20" outlineLevel="2">
      <c r="E362" s="247" t="str">
        <f>GC!C72</f>
        <v>Customer contributions</v>
      </c>
      <c r="F362" s="247"/>
      <c r="G362" s="247"/>
      <c r="H362" s="247"/>
      <c r="I362" s="247"/>
      <c r="J362" s="81">
        <f ca="1">SUMPRODUCT((Work_Codes!$AC$473:$AO$473=$E362)*(Work_Codes!$AC$499:$AO$499)*(J$119:J$119))</f>
        <v>0</v>
      </c>
      <c r="K362" s="81">
        <f ca="1">SUMPRODUCT((Work_Codes!$AC$473:$AO$473=$E362)*(Work_Codes!$AC$499:$AO$499)*(K$119:K$119))</f>
        <v>0</v>
      </c>
      <c r="L362" s="81">
        <f ca="1">SUMPRODUCT((Work_Codes!$AC$473:$AO$473=$E362)*(Work_Codes!$AC$499:$AO$499)*(L$119:L$119))</f>
        <v>0</v>
      </c>
      <c r="M362" s="81">
        <f ca="1">SUMPRODUCT((Work_Codes!$AC$473:$AO$473=$E362)*(Work_Codes!$AC$499:$AO$499)*(M$119:M$119))</f>
        <v>0</v>
      </c>
      <c r="N362" s="81">
        <f ca="1">SUMPRODUCT((Work_Codes!$AC$473:$AO$473=$E362)*(Work_Codes!$AC$499:$AO$499)*(N$119:N$119))</f>
        <v>0</v>
      </c>
      <c r="O362" s="81">
        <f ca="1">SUMPRODUCT((Work_Codes!$AC$473:$AO$473=$E362)*(Work_Codes!$AC$499:$AO$499)*(O$119:O$119))</f>
        <v>0</v>
      </c>
      <c r="P362" s="81">
        <f ca="1">SUMPRODUCT((Work_Codes!$AC$473:$AO$473=$E362)*(Work_Codes!$AC$499:$AO$499)*(P$119:P$119))</f>
        <v>0</v>
      </c>
      <c r="Q362" s="81">
        <f ca="1">SUMPRODUCT((Work_Codes!$AC$473:$AO$473=$E362)*(Work_Codes!$AC$499:$AO$499)*(Q$119:Q$119))</f>
        <v>0</v>
      </c>
      <c r="R362" s="81">
        <f ca="1">SUMPRODUCT((Work_Codes!$AC$473:$AO$473=$E362)*(Work_Codes!$AC$499:$AO$499)*(R$119:R$119))</f>
        <v>0</v>
      </c>
      <c r="S362" s="81">
        <f ca="1">SUMPRODUCT((Work_Codes!$AC$473:$AO$473=$E362)*(Work_Codes!$AC$499:$AO$499)*(S$119:S$119))</f>
        <v>0</v>
      </c>
      <c r="T362" s="81">
        <f ca="1">SUMPRODUCT((Work_Codes!$AC$473:$AO$473=$E362)*(Work_Codes!$AC$499:$AO$499)*(T$119:T$119))</f>
        <v>0</v>
      </c>
    </row>
    <row r="363" spans="2:20" outlineLevel="2">
      <c r="E363" s="247" t="str">
        <f>GC!C73</f>
        <v>Government contributions</v>
      </c>
      <c r="F363" s="247"/>
      <c r="G363" s="247"/>
      <c r="H363" s="247"/>
      <c r="I363" s="247"/>
      <c r="J363" s="81">
        <f ca="1">SUMPRODUCT((Work_Codes!$AC$473:$AO$473=$E363)*(Work_Codes!$AC$499:$AO$499)*(J$119:J$119))</f>
        <v>0</v>
      </c>
      <c r="K363" s="81">
        <f ca="1">SUMPRODUCT((Work_Codes!$AC$473:$AO$473=$E363)*(Work_Codes!$AC$499:$AO$499)*(K$119:K$119))</f>
        <v>0</v>
      </c>
      <c r="L363" s="81">
        <f ca="1">SUMPRODUCT((Work_Codes!$AC$473:$AO$473=$E363)*(Work_Codes!$AC$499:$AO$499)*(L$119:L$119))</f>
        <v>0</v>
      </c>
      <c r="M363" s="81">
        <f ca="1">SUMPRODUCT((Work_Codes!$AC$473:$AO$473=$E363)*(Work_Codes!$AC$499:$AO$499)*(M$119:M$119))</f>
        <v>0</v>
      </c>
      <c r="N363" s="81">
        <f ca="1">SUMPRODUCT((Work_Codes!$AC$473:$AO$473=$E363)*(Work_Codes!$AC$499:$AO$499)*(N$119:N$119))</f>
        <v>0</v>
      </c>
      <c r="O363" s="81">
        <f ca="1">SUMPRODUCT((Work_Codes!$AC$473:$AO$473=$E363)*(Work_Codes!$AC$499:$AO$499)*(O$119:O$119))</f>
        <v>0</v>
      </c>
      <c r="P363" s="81">
        <f ca="1">SUMPRODUCT((Work_Codes!$AC$473:$AO$473=$E363)*(Work_Codes!$AC$499:$AO$499)*(P$119:P$119))</f>
        <v>0</v>
      </c>
      <c r="Q363" s="81">
        <f ca="1">SUMPRODUCT((Work_Codes!$AC$473:$AO$473=$E363)*(Work_Codes!$AC$499:$AO$499)*(Q$119:Q$119))</f>
        <v>0</v>
      </c>
      <c r="R363" s="81">
        <f ca="1">SUMPRODUCT((Work_Codes!$AC$473:$AO$473=$E363)*(Work_Codes!$AC$499:$AO$499)*(R$119:R$119))</f>
        <v>0</v>
      </c>
      <c r="S363" s="81">
        <f ca="1">SUMPRODUCT((Work_Codes!$AC$473:$AO$473=$E363)*(Work_Codes!$AC$499:$AO$499)*(S$119:S$119))</f>
        <v>0</v>
      </c>
      <c r="T363" s="81">
        <f ca="1">SUMPRODUCT((Work_Codes!$AC$473:$AO$473=$E363)*(Work_Codes!$AC$499:$AO$499)*(T$119:T$119))</f>
        <v>0</v>
      </c>
    </row>
    <row r="364" spans="2:20" outlineLevel="2">
      <c r="E364" s="249" t="str">
        <f t="shared" ref="E364" si="60">"Total "&amp;D348</f>
        <v>Total Customer Contributions</v>
      </c>
      <c r="F364" s="249"/>
      <c r="G364" s="249"/>
      <c r="H364" s="249"/>
      <c r="I364" s="249"/>
      <c r="J364" s="82">
        <f t="shared" ref="J364:T364" ca="1" si="61">SUM(J350:J363)</f>
        <v>0</v>
      </c>
      <c r="K364" s="82">
        <f t="shared" ca="1" si="61"/>
        <v>0</v>
      </c>
      <c r="L364" s="82">
        <f t="shared" ca="1" si="61"/>
        <v>0</v>
      </c>
      <c r="M364" s="82">
        <f t="shared" ca="1" si="61"/>
        <v>0</v>
      </c>
      <c r="N364" s="82">
        <f t="shared" ca="1" si="61"/>
        <v>0</v>
      </c>
      <c r="O364" s="82">
        <f t="shared" ca="1" si="61"/>
        <v>0</v>
      </c>
      <c r="P364" s="82">
        <f t="shared" ca="1" si="61"/>
        <v>0</v>
      </c>
      <c r="Q364" s="82">
        <f t="shared" ca="1" si="61"/>
        <v>0</v>
      </c>
      <c r="R364" s="82">
        <f t="shared" ca="1" si="61"/>
        <v>0</v>
      </c>
      <c r="S364" s="82">
        <f t="shared" ca="1" si="61"/>
        <v>0</v>
      </c>
      <c r="T364" s="82">
        <f t="shared" ca="1" si="61"/>
        <v>0</v>
      </c>
    </row>
    <row r="365" spans="2:20" outlineLevel="2">
      <c r="B365" s="12"/>
      <c r="C365" s="12"/>
      <c r="D365" s="12"/>
      <c r="E365" s="12"/>
      <c r="F365" s="12"/>
      <c r="G365" s="12"/>
      <c r="H365" s="12"/>
      <c r="I365" s="12"/>
      <c r="J365" s="12"/>
      <c r="K365" s="12"/>
      <c r="L365" s="12"/>
      <c r="M365" s="12"/>
      <c r="N365" s="12"/>
      <c r="O365" s="12"/>
      <c r="P365" s="12"/>
      <c r="Q365" s="12"/>
      <c r="R365" s="12"/>
      <c r="S365" s="12"/>
      <c r="T365" s="12"/>
    </row>
    <row r="366" spans="2:20" outlineLevel="2"/>
    <row r="367" spans="2:20" outlineLevel="2">
      <c r="C367" s="37" t="s">
        <v>311</v>
      </c>
    </row>
    <row r="368" spans="2:20" ht="5.9" customHeight="1" outlineLevel="2"/>
    <row r="369" spans="4:20" outlineLevel="2">
      <c r="D369" s="37" t="s">
        <v>215</v>
      </c>
    </row>
    <row r="370" spans="4:20" ht="5.9" customHeight="1" outlineLevel="2"/>
    <row r="371" spans="4:20" outlineLevel="2">
      <c r="E371" s="247" t="str">
        <f>GC!C78</f>
        <v>Mains &amp; Services</v>
      </c>
      <c r="F371" s="247"/>
      <c r="G371" s="247"/>
      <c r="H371" s="247"/>
      <c r="I371" s="247"/>
      <c r="J371" s="81">
        <f ca="1">SUMPRODUCT((Work_Codes!$AR$473:$AX$473=$E371)*(Work_Codes!$AR$476:$AX$495)*(J$203:J$222))</f>
        <v>0</v>
      </c>
      <c r="K371" s="81">
        <f ca="1">SUMPRODUCT((Work_Codes!$AR$473:$AX$473=$E371)*(Work_Codes!$AR$476:$AX$495)*(K$203:K$222))</f>
        <v>0</v>
      </c>
      <c r="L371" s="81">
        <f ca="1">SUMPRODUCT((Work_Codes!$AR$473:$AX$473=$E371)*(Work_Codes!$AR$476:$AX$495)*(L$203:L$222))</f>
        <v>0</v>
      </c>
      <c r="M371" s="81">
        <f ca="1">SUMPRODUCT((Work_Codes!$AR$473:$AX$473=$E371)*(Work_Codes!$AR$476:$AX$495)*(M$203:M$222))</f>
        <v>0</v>
      </c>
      <c r="N371" s="81">
        <f ca="1">SUMPRODUCT((Work_Codes!$AR$473:$AX$473=$E371)*(Work_Codes!$AR$476:$AX$495)*(N$203:N$222))</f>
        <v>0</v>
      </c>
      <c r="O371" s="81">
        <f ca="1">SUMPRODUCT((Work_Codes!$AR$473:$AX$473=$E371)*(Work_Codes!$AR$476:$AX$495)*(O$203:O$222))</f>
        <v>0</v>
      </c>
      <c r="P371" s="81">
        <f ca="1">SUMPRODUCT((Work_Codes!$AR$473:$AX$473=$E371)*(Work_Codes!$AR$476:$AX$495)*(P$203:P$222))</f>
        <v>0</v>
      </c>
      <c r="Q371" s="81">
        <f ca="1">SUMPRODUCT((Work_Codes!$AR$473:$AX$473=$E371)*(Work_Codes!$AR$476:$AX$495)*(Q$203:Q$222))</f>
        <v>0</v>
      </c>
      <c r="R371" s="81">
        <f ca="1">SUMPRODUCT((Work_Codes!$AR$473:$AX$473=$E371)*(Work_Codes!$AR$476:$AX$495)*(R$203:R$222))</f>
        <v>0</v>
      </c>
      <c r="S371" s="81">
        <f ca="1">SUMPRODUCT((Work_Codes!$AR$473:$AX$473=$E371)*(Work_Codes!$AR$476:$AX$495)*(S$203:S$222))</f>
        <v>0</v>
      </c>
      <c r="T371" s="81">
        <f ca="1">SUMPRODUCT((Work_Codes!$AR$473:$AX$473=$E371)*(Work_Codes!$AR$476:$AX$495)*(T$203:T$222))</f>
        <v>0</v>
      </c>
    </row>
    <row r="372" spans="4:20" outlineLevel="2">
      <c r="E372" s="247" t="str">
        <f>GC!C79</f>
        <v>Meters Domestic</v>
      </c>
      <c r="F372" s="247"/>
      <c r="G372" s="247"/>
      <c r="H372" s="247"/>
      <c r="I372" s="247"/>
      <c r="J372" s="81">
        <f ca="1">SUMPRODUCT((Work_Codes!$AR$473:$AX$473=$E372)*(Work_Codes!$AR$476:$AX$495)*(J$203:J$222))</f>
        <v>0</v>
      </c>
      <c r="K372" s="81">
        <f ca="1">SUMPRODUCT((Work_Codes!$AR$473:$AX$473=$E372)*(Work_Codes!$AR$476:$AX$495)*(K$203:K$222))</f>
        <v>0</v>
      </c>
      <c r="L372" s="81">
        <f ca="1">SUMPRODUCT((Work_Codes!$AR$473:$AX$473=$E372)*(Work_Codes!$AR$476:$AX$495)*(L$203:L$222))</f>
        <v>0</v>
      </c>
      <c r="M372" s="81">
        <f ca="1">SUMPRODUCT((Work_Codes!$AR$473:$AX$473=$E372)*(Work_Codes!$AR$476:$AX$495)*(M$203:M$222))</f>
        <v>0</v>
      </c>
      <c r="N372" s="81">
        <f ca="1">SUMPRODUCT((Work_Codes!$AR$473:$AX$473=$E372)*(Work_Codes!$AR$476:$AX$495)*(N$203:N$222))</f>
        <v>0</v>
      </c>
      <c r="O372" s="81">
        <f ca="1">SUMPRODUCT((Work_Codes!$AR$473:$AX$473=$E372)*(Work_Codes!$AR$476:$AX$495)*(O$203:O$222))</f>
        <v>0</v>
      </c>
      <c r="P372" s="81">
        <f ca="1">SUMPRODUCT((Work_Codes!$AR$473:$AX$473=$E372)*(Work_Codes!$AR$476:$AX$495)*(P$203:P$222))</f>
        <v>0</v>
      </c>
      <c r="Q372" s="81">
        <f ca="1">SUMPRODUCT((Work_Codes!$AR$473:$AX$473=$E372)*(Work_Codes!$AR$476:$AX$495)*(Q$203:Q$222))</f>
        <v>0</v>
      </c>
      <c r="R372" s="81">
        <f ca="1">SUMPRODUCT((Work_Codes!$AR$473:$AX$473=$E372)*(Work_Codes!$AR$476:$AX$495)*(R$203:R$222))</f>
        <v>0</v>
      </c>
      <c r="S372" s="81">
        <f ca="1">SUMPRODUCT((Work_Codes!$AR$473:$AX$473=$E372)*(Work_Codes!$AR$476:$AX$495)*(S$203:S$222))</f>
        <v>0</v>
      </c>
      <c r="T372" s="81">
        <f ca="1">SUMPRODUCT((Work_Codes!$AR$473:$AX$473=$E372)*(Work_Codes!$AR$476:$AX$495)*(T$203:T$222))</f>
        <v>0</v>
      </c>
    </row>
    <row r="373" spans="4:20" outlineLevel="2">
      <c r="E373" s="247" t="str">
        <f>GC!C80</f>
        <v>Meters Industrial &amp; Commercial</v>
      </c>
      <c r="F373" s="247"/>
      <c r="G373" s="247"/>
      <c r="H373" s="247"/>
      <c r="I373" s="247"/>
      <c r="J373" s="81">
        <f ca="1">SUMPRODUCT((Work_Codes!$AR$473:$AX$473=$E373)*(Work_Codes!$AR$476:$AX$495)*(J$203:J$222))</f>
        <v>0</v>
      </c>
      <c r="K373" s="81">
        <f ca="1">SUMPRODUCT((Work_Codes!$AR$473:$AX$473=$E373)*(Work_Codes!$AR$476:$AX$495)*(K$203:K$222))</f>
        <v>0</v>
      </c>
      <c r="L373" s="81">
        <f ca="1">SUMPRODUCT((Work_Codes!$AR$473:$AX$473=$E373)*(Work_Codes!$AR$476:$AX$495)*(L$203:L$222))</f>
        <v>0</v>
      </c>
      <c r="M373" s="81">
        <f ca="1">SUMPRODUCT((Work_Codes!$AR$473:$AX$473=$E373)*(Work_Codes!$AR$476:$AX$495)*(M$203:M$222))</f>
        <v>0</v>
      </c>
      <c r="N373" s="81">
        <f ca="1">SUMPRODUCT((Work_Codes!$AR$473:$AX$473=$E373)*(Work_Codes!$AR$476:$AX$495)*(N$203:N$222))</f>
        <v>0</v>
      </c>
      <c r="O373" s="81">
        <f ca="1">SUMPRODUCT((Work_Codes!$AR$473:$AX$473=$E373)*(Work_Codes!$AR$476:$AX$495)*(O$203:O$222))</f>
        <v>0</v>
      </c>
      <c r="P373" s="81">
        <f ca="1">SUMPRODUCT((Work_Codes!$AR$473:$AX$473=$E373)*(Work_Codes!$AR$476:$AX$495)*(P$203:P$222))</f>
        <v>0</v>
      </c>
      <c r="Q373" s="81">
        <f ca="1">SUMPRODUCT((Work_Codes!$AR$473:$AX$473=$E373)*(Work_Codes!$AR$476:$AX$495)*(Q$203:Q$222))</f>
        <v>0</v>
      </c>
      <c r="R373" s="81">
        <f ca="1">SUMPRODUCT((Work_Codes!$AR$473:$AX$473=$E373)*(Work_Codes!$AR$476:$AX$495)*(R$203:R$222))</f>
        <v>0</v>
      </c>
      <c r="S373" s="81">
        <f ca="1">SUMPRODUCT((Work_Codes!$AR$473:$AX$473=$E373)*(Work_Codes!$AR$476:$AX$495)*(S$203:S$222))</f>
        <v>0</v>
      </c>
      <c r="T373" s="81">
        <f ca="1">SUMPRODUCT((Work_Codes!$AR$473:$AX$473=$E373)*(Work_Codes!$AR$476:$AX$495)*(T$203:T$222))</f>
        <v>0</v>
      </c>
    </row>
    <row r="374" spans="4:20" outlineLevel="2">
      <c r="E374" s="247" t="str">
        <f>GC!C81</f>
        <v>Buildings</v>
      </c>
      <c r="F374" s="247"/>
      <c r="G374" s="247"/>
      <c r="H374" s="247"/>
      <c r="I374" s="247"/>
      <c r="J374" s="81">
        <f ca="1">SUMPRODUCT((Work_Codes!$AR$473:$AX$473=$E374)*(Work_Codes!$AR$476:$AX$495)*(J$203:J$222))</f>
        <v>0</v>
      </c>
      <c r="K374" s="81">
        <f ca="1">SUMPRODUCT((Work_Codes!$AR$473:$AX$473=$E374)*(Work_Codes!$AR$476:$AX$495)*(K$203:K$222))</f>
        <v>0</v>
      </c>
      <c r="L374" s="81">
        <f ca="1">SUMPRODUCT((Work_Codes!$AR$473:$AX$473=$E374)*(Work_Codes!$AR$476:$AX$495)*(L$203:L$222))</f>
        <v>0</v>
      </c>
      <c r="M374" s="81">
        <f ca="1">SUMPRODUCT((Work_Codes!$AR$473:$AX$473=$E374)*(Work_Codes!$AR$476:$AX$495)*(M$203:M$222))</f>
        <v>0</v>
      </c>
      <c r="N374" s="81">
        <f ca="1">SUMPRODUCT((Work_Codes!$AR$473:$AX$473=$E374)*(Work_Codes!$AR$476:$AX$495)*(N$203:N$222))</f>
        <v>0</v>
      </c>
      <c r="O374" s="81">
        <f ca="1">SUMPRODUCT((Work_Codes!$AR$473:$AX$473=$E374)*(Work_Codes!$AR$476:$AX$495)*(O$203:O$222))</f>
        <v>0</v>
      </c>
      <c r="P374" s="81">
        <f ca="1">SUMPRODUCT((Work_Codes!$AR$473:$AX$473=$E374)*(Work_Codes!$AR$476:$AX$495)*(P$203:P$222))</f>
        <v>0</v>
      </c>
      <c r="Q374" s="81">
        <f ca="1">SUMPRODUCT((Work_Codes!$AR$473:$AX$473=$E374)*(Work_Codes!$AR$476:$AX$495)*(Q$203:Q$222))</f>
        <v>0</v>
      </c>
      <c r="R374" s="81">
        <f ca="1">SUMPRODUCT((Work_Codes!$AR$473:$AX$473=$E374)*(Work_Codes!$AR$476:$AX$495)*(R$203:R$222))</f>
        <v>0</v>
      </c>
      <c r="S374" s="81">
        <f ca="1">SUMPRODUCT((Work_Codes!$AR$473:$AX$473=$E374)*(Work_Codes!$AR$476:$AX$495)*(S$203:S$222))</f>
        <v>0</v>
      </c>
      <c r="T374" s="81">
        <f ca="1">SUMPRODUCT((Work_Codes!$AR$473:$AX$473=$E374)*(Work_Codes!$AR$476:$AX$495)*(T$203:T$222))</f>
        <v>0</v>
      </c>
    </row>
    <row r="375" spans="4:20" outlineLevel="2">
      <c r="E375" s="247" t="str">
        <f>GC!C82</f>
        <v>Other Assets</v>
      </c>
      <c r="F375" s="247"/>
      <c r="G375" s="247"/>
      <c r="H375" s="247"/>
      <c r="I375" s="247"/>
      <c r="J375" s="81">
        <f ca="1">SUMPRODUCT((Work_Codes!$AR$473:$AX$473=$E375)*(Work_Codes!$AR$476:$AX$495)*(J$203:J$222))</f>
        <v>0</v>
      </c>
      <c r="K375" s="81">
        <f ca="1">SUMPRODUCT((Work_Codes!$AR$473:$AX$473=$E375)*(Work_Codes!$AR$476:$AX$495)*(K$203:K$222))</f>
        <v>0</v>
      </c>
      <c r="L375" s="81">
        <f ca="1">SUMPRODUCT((Work_Codes!$AR$473:$AX$473=$E375)*(Work_Codes!$AR$476:$AX$495)*(L$203:L$222))</f>
        <v>0</v>
      </c>
      <c r="M375" s="81">
        <f ca="1">SUMPRODUCT((Work_Codes!$AR$473:$AX$473=$E375)*(Work_Codes!$AR$476:$AX$495)*(M$203:M$222))</f>
        <v>0</v>
      </c>
      <c r="N375" s="81">
        <f ca="1">SUMPRODUCT((Work_Codes!$AR$473:$AX$473=$E375)*(Work_Codes!$AR$476:$AX$495)*(N$203:N$222))</f>
        <v>6495387.0956881428</v>
      </c>
      <c r="O375" s="81">
        <f ca="1">SUMPRODUCT((Work_Codes!$AR$473:$AX$473=$E375)*(Work_Codes!$AR$476:$AX$495)*(O$203:O$222))</f>
        <v>3247663.2930309507</v>
      </c>
      <c r="P375" s="81">
        <f ca="1">SUMPRODUCT((Work_Codes!$AR$473:$AX$473=$E375)*(Work_Codes!$AR$476:$AX$495)*(P$203:P$222))</f>
        <v>15082408.401202435</v>
      </c>
      <c r="Q375" s="81">
        <f ca="1">SUMPRODUCT((Work_Codes!$AR$473:$AX$473=$E375)*(Work_Codes!$AR$476:$AX$495)*(Q$203:Q$222))</f>
        <v>17366613.343854845</v>
      </c>
      <c r="R375" s="81">
        <f ca="1">SUMPRODUCT((Work_Codes!$AR$473:$AX$473=$E375)*(Work_Codes!$AR$476:$AX$495)*(R$203:R$222))</f>
        <v>18857623.260877103</v>
      </c>
      <c r="S375" s="81">
        <f ca="1">SUMPRODUCT((Work_Codes!$AR$473:$AX$473=$E375)*(Work_Codes!$AR$476:$AX$495)*(S$203:S$222))</f>
        <v>9269970.7666352876</v>
      </c>
      <c r="T375" s="81">
        <f ca="1">SUMPRODUCT((Work_Codes!$AR$473:$AX$473=$E375)*(Work_Codes!$AR$476:$AX$495)*(T$203:T$222))</f>
        <v>6791539.6838447517</v>
      </c>
    </row>
    <row r="376" spans="4:20" outlineLevel="2">
      <c r="E376" s="247" t="str">
        <f>GC!C83</f>
        <v>Repairs</v>
      </c>
      <c r="F376" s="247"/>
      <c r="G376" s="247"/>
      <c r="H376" s="247"/>
      <c r="I376" s="247"/>
      <c r="J376" s="81">
        <f ca="1">SUMPRODUCT((Work_Codes!$AR$473:$AX$473=$E376)*(Work_Codes!$AR$476:$AX$495)*(J$203:J$222))</f>
        <v>0</v>
      </c>
      <c r="K376" s="81">
        <f ca="1">SUMPRODUCT((Work_Codes!$AR$473:$AX$473=$E376)*(Work_Codes!$AR$476:$AX$495)*(K$203:K$222))</f>
        <v>0</v>
      </c>
      <c r="L376" s="81">
        <f ca="1">SUMPRODUCT((Work_Codes!$AR$473:$AX$473=$E376)*(Work_Codes!$AR$476:$AX$495)*(L$203:L$222))</f>
        <v>0</v>
      </c>
      <c r="M376" s="81">
        <f ca="1">SUMPRODUCT((Work_Codes!$AR$473:$AX$473=$E376)*(Work_Codes!$AR$476:$AX$495)*(M$203:M$222))</f>
        <v>0</v>
      </c>
      <c r="N376" s="81">
        <f ca="1">SUMPRODUCT((Work_Codes!$AR$473:$AX$473=$E376)*(Work_Codes!$AR$476:$AX$495)*(N$203:N$222))</f>
        <v>0</v>
      </c>
      <c r="O376" s="81">
        <f ca="1">SUMPRODUCT((Work_Codes!$AR$473:$AX$473=$E376)*(Work_Codes!$AR$476:$AX$495)*(O$203:O$222))</f>
        <v>0</v>
      </c>
      <c r="P376" s="81">
        <f ca="1">SUMPRODUCT((Work_Codes!$AR$473:$AX$473=$E376)*(Work_Codes!$AR$476:$AX$495)*(P$203:P$222))</f>
        <v>0</v>
      </c>
      <c r="Q376" s="81">
        <f ca="1">SUMPRODUCT((Work_Codes!$AR$473:$AX$473=$E376)*(Work_Codes!$AR$476:$AX$495)*(Q$203:Q$222))</f>
        <v>0</v>
      </c>
      <c r="R376" s="81">
        <f ca="1">SUMPRODUCT((Work_Codes!$AR$473:$AX$473=$E376)*(Work_Codes!$AR$476:$AX$495)*(R$203:R$222))</f>
        <v>0</v>
      </c>
      <c r="S376" s="81">
        <f ca="1">SUMPRODUCT((Work_Codes!$AR$473:$AX$473=$E376)*(Work_Codes!$AR$476:$AX$495)*(S$203:S$222))</f>
        <v>0</v>
      </c>
      <c r="T376" s="81">
        <f ca="1">SUMPRODUCT((Work_Codes!$AR$473:$AX$473=$E376)*(Work_Codes!$AR$476:$AX$495)*(T$203:T$222))</f>
        <v>0</v>
      </c>
    </row>
    <row r="377" spans="4:20" outlineLevel="2">
      <c r="E377" s="247" t="str">
        <f>GC!C84</f>
        <v>Land</v>
      </c>
      <c r="F377" s="247"/>
      <c r="G377" s="247"/>
      <c r="H377" s="247"/>
      <c r="I377" s="247"/>
      <c r="J377" s="81">
        <f ca="1">SUMPRODUCT((Work_Codes!$AR$473:$AX$473=$E377)*(Work_Codes!$AR$476:$AX$495)*(J$203:J$222))</f>
        <v>0</v>
      </c>
      <c r="K377" s="81">
        <f ca="1">SUMPRODUCT((Work_Codes!$AR$473:$AX$473=$E377)*(Work_Codes!$AR$476:$AX$495)*(K$203:K$222))</f>
        <v>0</v>
      </c>
      <c r="L377" s="81">
        <f ca="1">SUMPRODUCT((Work_Codes!$AR$473:$AX$473=$E377)*(Work_Codes!$AR$476:$AX$495)*(L$203:L$222))</f>
        <v>0</v>
      </c>
      <c r="M377" s="81">
        <f ca="1">SUMPRODUCT((Work_Codes!$AR$473:$AX$473=$E377)*(Work_Codes!$AR$476:$AX$495)*(M$203:M$222))</f>
        <v>0</v>
      </c>
      <c r="N377" s="81">
        <f ca="1">SUMPRODUCT((Work_Codes!$AR$473:$AX$473=$E377)*(Work_Codes!$AR$476:$AX$495)*(N$203:N$222))</f>
        <v>0</v>
      </c>
      <c r="O377" s="81">
        <f ca="1">SUMPRODUCT((Work_Codes!$AR$473:$AX$473=$E377)*(Work_Codes!$AR$476:$AX$495)*(O$203:O$222))</f>
        <v>0</v>
      </c>
      <c r="P377" s="81">
        <f ca="1">SUMPRODUCT((Work_Codes!$AR$473:$AX$473=$E377)*(Work_Codes!$AR$476:$AX$495)*(P$203:P$222))</f>
        <v>0</v>
      </c>
      <c r="Q377" s="81">
        <f ca="1">SUMPRODUCT((Work_Codes!$AR$473:$AX$473=$E377)*(Work_Codes!$AR$476:$AX$495)*(Q$203:Q$222))</f>
        <v>0</v>
      </c>
      <c r="R377" s="81">
        <f ca="1">SUMPRODUCT((Work_Codes!$AR$473:$AX$473=$E377)*(Work_Codes!$AR$476:$AX$495)*(R$203:R$222))</f>
        <v>0</v>
      </c>
      <c r="S377" s="81">
        <f ca="1">SUMPRODUCT((Work_Codes!$AR$473:$AX$473=$E377)*(Work_Codes!$AR$476:$AX$495)*(S$203:S$222))</f>
        <v>0</v>
      </c>
      <c r="T377" s="81">
        <f ca="1">SUMPRODUCT((Work_Codes!$AR$473:$AX$473=$E377)*(Work_Codes!$AR$476:$AX$495)*(T$203:T$222))</f>
        <v>0</v>
      </c>
    </row>
    <row r="378" spans="4:20" outlineLevel="2">
      <c r="E378" s="249" t="str">
        <f>"Total "&amp;D369</f>
        <v>Total Direct Costs</v>
      </c>
      <c r="F378" s="249"/>
      <c r="G378" s="249"/>
      <c r="H378" s="249"/>
      <c r="I378" s="249"/>
      <c r="J378" s="82">
        <f t="shared" ref="J378:T378" ca="1" si="62">SUM(J371:J377)</f>
        <v>0</v>
      </c>
      <c r="K378" s="82">
        <f t="shared" ca="1" si="62"/>
        <v>0</v>
      </c>
      <c r="L378" s="82">
        <f t="shared" ca="1" si="62"/>
        <v>0</v>
      </c>
      <c r="M378" s="82">
        <f t="shared" ca="1" si="62"/>
        <v>0</v>
      </c>
      <c r="N378" s="82">
        <f t="shared" ca="1" si="62"/>
        <v>6495387.0956881428</v>
      </c>
      <c r="O378" s="82">
        <f t="shared" ca="1" si="62"/>
        <v>3247663.2930309507</v>
      </c>
      <c r="P378" s="82">
        <f t="shared" ca="1" si="62"/>
        <v>15082408.401202435</v>
      </c>
      <c r="Q378" s="82">
        <f t="shared" ca="1" si="62"/>
        <v>17366613.343854845</v>
      </c>
      <c r="R378" s="82">
        <f t="shared" ca="1" si="62"/>
        <v>18857623.260877103</v>
      </c>
      <c r="S378" s="82">
        <f t="shared" ca="1" si="62"/>
        <v>9269970.7666352876</v>
      </c>
      <c r="T378" s="82">
        <f t="shared" ca="1" si="62"/>
        <v>6791539.6838447517</v>
      </c>
    </row>
    <row r="379" spans="4:20" outlineLevel="2"/>
    <row r="380" spans="4:20" outlineLevel="2">
      <c r="D380" s="37" t="s">
        <v>313</v>
      </c>
    </row>
    <row r="381" spans="4:20" ht="5.9" customHeight="1" outlineLevel="2"/>
    <row r="382" spans="4:20" outlineLevel="2">
      <c r="E382" s="247" t="str">
        <f>GC!C78</f>
        <v>Mains &amp; Services</v>
      </c>
      <c r="F382" s="247"/>
      <c r="G382" s="247"/>
      <c r="H382" s="247"/>
      <c r="I382" s="247"/>
      <c r="J382" s="81">
        <f ca="1">J371*(1+INDEX(J$35:J$37,MATCH(Work_Codes!$I$470,$D$35:$D$37,0)))</f>
        <v>0</v>
      </c>
      <c r="K382" s="81">
        <f ca="1">K371*(1+INDEX(K$35:K$37,MATCH(Work_Codes!$I$470,$D$35:$D$37,0)))</f>
        <v>0</v>
      </c>
      <c r="L382" s="81">
        <f ca="1">L371*(1+INDEX(L$35:L$37,MATCH(Work_Codes!$I$470,$D$35:$D$37,0)))</f>
        <v>0</v>
      </c>
      <c r="M382" s="81">
        <f ca="1">M371*(1+INDEX(M$35:M$37,MATCH(Work_Codes!$I$470,$D$35:$D$37,0)))</f>
        <v>0</v>
      </c>
      <c r="N382" s="81">
        <f ca="1">N371*(1+INDEX(N$35:N$37,MATCH(Work_Codes!$I$470,$D$35:$D$37,0)))</f>
        <v>0</v>
      </c>
      <c r="O382" s="81">
        <f ca="1">O371*(1+INDEX(O$35:O$37,MATCH(Work_Codes!$I$470,$D$35:$D$37,0)))</f>
        <v>0</v>
      </c>
      <c r="P382" s="81">
        <f ca="1">P371*(1+INDEX(P$35:P$37,MATCH(Work_Codes!$I$470,$D$35:$D$37,0)))</f>
        <v>0</v>
      </c>
      <c r="Q382" s="81">
        <f ca="1">Q371*(1+INDEX(Q$35:Q$37,MATCH(Work_Codes!$I$470,$D$35:$D$37,0)))</f>
        <v>0</v>
      </c>
      <c r="R382" s="81">
        <f ca="1">R371*(1+INDEX(R$35:R$37,MATCH(Work_Codes!$I$470,$D$35:$D$37,0)))</f>
        <v>0</v>
      </c>
      <c r="S382" s="81">
        <f ca="1">S371*(1+INDEX(S$35:S$37,MATCH(Work_Codes!$I$470,$D$35:$D$37,0)))</f>
        <v>0</v>
      </c>
      <c r="T382" s="81">
        <f ca="1">T371*(1+INDEX(T$35:T$37,MATCH(Work_Codes!$I$470,$D$35:$D$37,0)))</f>
        <v>0</v>
      </c>
    </row>
    <row r="383" spans="4:20" outlineLevel="2">
      <c r="E383" s="247" t="str">
        <f>GC!C79</f>
        <v>Meters Domestic</v>
      </c>
      <c r="F383" s="247"/>
      <c r="G383" s="247"/>
      <c r="H383" s="247"/>
      <c r="I383" s="247"/>
      <c r="J383" s="81">
        <f ca="1">J372*(1+INDEX(J$35:J$37,MATCH(Work_Codes!$I$470,$D$35:$D$37,0)))</f>
        <v>0</v>
      </c>
      <c r="K383" s="81">
        <f ca="1">K372*(1+INDEX(K$35:K$37,MATCH(Work_Codes!$I$470,$D$35:$D$37,0)))</f>
        <v>0</v>
      </c>
      <c r="L383" s="81">
        <f ca="1">L372*(1+INDEX(L$35:L$37,MATCH(Work_Codes!$I$470,$D$35:$D$37,0)))</f>
        <v>0</v>
      </c>
      <c r="M383" s="81">
        <f ca="1">M372*(1+INDEX(M$35:M$37,MATCH(Work_Codes!$I$470,$D$35:$D$37,0)))</f>
        <v>0</v>
      </c>
      <c r="N383" s="81">
        <f ca="1">N372*(1+INDEX(N$35:N$37,MATCH(Work_Codes!$I$470,$D$35:$D$37,0)))</f>
        <v>0</v>
      </c>
      <c r="O383" s="81">
        <f ca="1">O372*(1+INDEX(O$35:O$37,MATCH(Work_Codes!$I$470,$D$35:$D$37,0)))</f>
        <v>0</v>
      </c>
      <c r="P383" s="81">
        <f ca="1">P372*(1+INDEX(P$35:P$37,MATCH(Work_Codes!$I$470,$D$35:$D$37,0)))</f>
        <v>0</v>
      </c>
      <c r="Q383" s="81">
        <f ca="1">Q372*(1+INDEX(Q$35:Q$37,MATCH(Work_Codes!$I$470,$D$35:$D$37,0)))</f>
        <v>0</v>
      </c>
      <c r="R383" s="81">
        <f ca="1">R372*(1+INDEX(R$35:R$37,MATCH(Work_Codes!$I$470,$D$35:$D$37,0)))</f>
        <v>0</v>
      </c>
      <c r="S383" s="81">
        <f ca="1">S372*(1+INDEX(S$35:S$37,MATCH(Work_Codes!$I$470,$D$35:$D$37,0)))</f>
        <v>0</v>
      </c>
      <c r="T383" s="81">
        <f ca="1">T372*(1+INDEX(T$35:T$37,MATCH(Work_Codes!$I$470,$D$35:$D$37,0)))</f>
        <v>0</v>
      </c>
    </row>
    <row r="384" spans="4:20" outlineLevel="2">
      <c r="E384" s="247" t="str">
        <f>GC!C80</f>
        <v>Meters Industrial &amp; Commercial</v>
      </c>
      <c r="F384" s="247"/>
      <c r="G384" s="247"/>
      <c r="H384" s="247"/>
      <c r="I384" s="247"/>
      <c r="J384" s="81">
        <f ca="1">J373*(1+INDEX(J$35:J$37,MATCH(Work_Codes!$I$470,$D$35:$D$37,0)))</f>
        <v>0</v>
      </c>
      <c r="K384" s="81">
        <f ca="1">K373*(1+INDEX(K$35:K$37,MATCH(Work_Codes!$I$470,$D$35:$D$37,0)))</f>
        <v>0</v>
      </c>
      <c r="L384" s="81">
        <f ca="1">L373*(1+INDEX(L$35:L$37,MATCH(Work_Codes!$I$470,$D$35:$D$37,0)))</f>
        <v>0</v>
      </c>
      <c r="M384" s="81">
        <f ca="1">M373*(1+INDEX(M$35:M$37,MATCH(Work_Codes!$I$470,$D$35:$D$37,0)))</f>
        <v>0</v>
      </c>
      <c r="N384" s="81">
        <f ca="1">N373*(1+INDEX(N$35:N$37,MATCH(Work_Codes!$I$470,$D$35:$D$37,0)))</f>
        <v>0</v>
      </c>
      <c r="O384" s="81">
        <f ca="1">O373*(1+INDEX(O$35:O$37,MATCH(Work_Codes!$I$470,$D$35:$D$37,0)))</f>
        <v>0</v>
      </c>
      <c r="P384" s="81">
        <f ca="1">P373*(1+INDEX(P$35:P$37,MATCH(Work_Codes!$I$470,$D$35:$D$37,0)))</f>
        <v>0</v>
      </c>
      <c r="Q384" s="81">
        <f ca="1">Q373*(1+INDEX(Q$35:Q$37,MATCH(Work_Codes!$I$470,$D$35:$D$37,0)))</f>
        <v>0</v>
      </c>
      <c r="R384" s="81">
        <f ca="1">R373*(1+INDEX(R$35:R$37,MATCH(Work_Codes!$I$470,$D$35:$D$37,0)))</f>
        <v>0</v>
      </c>
      <c r="S384" s="81">
        <f ca="1">S373*(1+INDEX(S$35:S$37,MATCH(Work_Codes!$I$470,$D$35:$D$37,0)))</f>
        <v>0</v>
      </c>
      <c r="T384" s="81">
        <f ca="1">T373*(1+INDEX(T$35:T$37,MATCH(Work_Codes!$I$470,$D$35:$D$37,0)))</f>
        <v>0</v>
      </c>
    </row>
    <row r="385" spans="2:20" outlineLevel="2">
      <c r="E385" s="247" t="str">
        <f>GC!C81</f>
        <v>Buildings</v>
      </c>
      <c r="F385" s="247"/>
      <c r="G385" s="247"/>
      <c r="H385" s="247"/>
      <c r="I385" s="247"/>
      <c r="J385" s="81">
        <f ca="1">J374*(1+INDEX(J$35:J$37,MATCH(Work_Codes!$I$470,$D$35:$D$37,0)))</f>
        <v>0</v>
      </c>
      <c r="K385" s="81">
        <f ca="1">K374*(1+INDEX(K$35:K$37,MATCH(Work_Codes!$I$470,$D$35:$D$37,0)))</f>
        <v>0</v>
      </c>
      <c r="L385" s="81">
        <f ca="1">L374*(1+INDEX(L$35:L$37,MATCH(Work_Codes!$I$470,$D$35:$D$37,0)))</f>
        <v>0</v>
      </c>
      <c r="M385" s="81">
        <f ca="1">M374*(1+INDEX(M$35:M$37,MATCH(Work_Codes!$I$470,$D$35:$D$37,0)))</f>
        <v>0</v>
      </c>
      <c r="N385" s="81">
        <f ca="1">N374*(1+INDEX(N$35:N$37,MATCH(Work_Codes!$I$470,$D$35:$D$37,0)))</f>
        <v>0</v>
      </c>
      <c r="O385" s="81">
        <f ca="1">O374*(1+INDEX(O$35:O$37,MATCH(Work_Codes!$I$470,$D$35:$D$37,0)))</f>
        <v>0</v>
      </c>
      <c r="P385" s="81">
        <f ca="1">P374*(1+INDEX(P$35:P$37,MATCH(Work_Codes!$I$470,$D$35:$D$37,0)))</f>
        <v>0</v>
      </c>
      <c r="Q385" s="81">
        <f ca="1">Q374*(1+INDEX(Q$35:Q$37,MATCH(Work_Codes!$I$470,$D$35:$D$37,0)))</f>
        <v>0</v>
      </c>
      <c r="R385" s="81">
        <f ca="1">R374*(1+INDEX(R$35:R$37,MATCH(Work_Codes!$I$470,$D$35:$D$37,0)))</f>
        <v>0</v>
      </c>
      <c r="S385" s="81">
        <f ca="1">S374*(1+INDEX(S$35:S$37,MATCH(Work_Codes!$I$470,$D$35:$D$37,0)))</f>
        <v>0</v>
      </c>
      <c r="T385" s="81">
        <f ca="1">T374*(1+INDEX(T$35:T$37,MATCH(Work_Codes!$I$470,$D$35:$D$37,0)))</f>
        <v>0</v>
      </c>
    </row>
    <row r="386" spans="2:20" outlineLevel="2">
      <c r="E386" s="247" t="str">
        <f>GC!C82</f>
        <v>Other Assets</v>
      </c>
      <c r="F386" s="247"/>
      <c r="G386" s="247"/>
      <c r="H386" s="247"/>
      <c r="I386" s="247"/>
      <c r="J386" s="81">
        <f ca="1">J375*(1+INDEX(J$35:J$37,MATCH(Work_Codes!$I$470,$D$35:$D$37,0)))</f>
        <v>0</v>
      </c>
      <c r="K386" s="81">
        <f ca="1">K375*(1+INDEX(K$35:K$37,MATCH(Work_Codes!$I$470,$D$35:$D$37,0)))</f>
        <v>0</v>
      </c>
      <c r="L386" s="81">
        <f ca="1">L375*(1+INDEX(L$35:L$37,MATCH(Work_Codes!$I$470,$D$35:$D$37,0)))</f>
        <v>0</v>
      </c>
      <c r="M386" s="81">
        <f ca="1">M375*(1+INDEX(M$35:M$37,MATCH(Work_Codes!$I$470,$D$35:$D$37,0)))</f>
        <v>0</v>
      </c>
      <c r="N386" s="81">
        <f ca="1">N375*(1+INDEX(N$35:N$37,MATCH(Work_Codes!$I$470,$D$35:$D$37,0)))</f>
        <v>6978279.2324051764</v>
      </c>
      <c r="O386" s="81">
        <f ca="1">O375*(1+INDEX(O$35:O$37,MATCH(Work_Codes!$I$470,$D$35:$D$37,0)))</f>
        <v>3488182.2561022043</v>
      </c>
      <c r="P386" s="81">
        <f ca="1">P375*(1+INDEX(P$35:P$37,MATCH(Work_Codes!$I$470,$D$35:$D$37,0)))</f>
        <v>15450246.321215272</v>
      </c>
      <c r="Q386" s="81">
        <f ca="1">Q375*(1+INDEX(Q$35:Q$37,MATCH(Work_Codes!$I$470,$D$35:$D$37,0)))</f>
        <v>17734287.311775222</v>
      </c>
      <c r="R386" s="81">
        <f ca="1">R375*(1+INDEX(R$35:R$37,MATCH(Work_Codes!$I$470,$D$35:$D$37,0)))</f>
        <v>19235231.025971476</v>
      </c>
      <c r="S386" s="81">
        <f ca="1">S375*(1+INDEX(S$35:S$37,MATCH(Work_Codes!$I$470,$D$35:$D$37,0)))</f>
        <v>9637247.0975269582</v>
      </c>
      <c r="T386" s="81">
        <f ca="1">T375*(1+INDEX(T$35:T$37,MATCH(Work_Codes!$I$470,$D$35:$D$37,0)))</f>
        <v>7158616.5859825984</v>
      </c>
    </row>
    <row r="387" spans="2:20" outlineLevel="2">
      <c r="E387" s="247" t="str">
        <f>GC!C83</f>
        <v>Repairs</v>
      </c>
      <c r="F387" s="247"/>
      <c r="G387" s="247"/>
      <c r="H387" s="247"/>
      <c r="I387" s="247"/>
      <c r="J387" s="81">
        <f ca="1">J376*(1+INDEX(J$35:J$37,MATCH(Work_Codes!$I$470,$D$35:$D$37,0)))</f>
        <v>0</v>
      </c>
      <c r="K387" s="81">
        <f ca="1">K376*(1+INDEX(K$35:K$37,MATCH(Work_Codes!$I$470,$D$35:$D$37,0)))</f>
        <v>0</v>
      </c>
      <c r="L387" s="81">
        <f ca="1">L376*(1+INDEX(L$35:L$37,MATCH(Work_Codes!$I$470,$D$35:$D$37,0)))</f>
        <v>0</v>
      </c>
      <c r="M387" s="81">
        <f ca="1">M376*(1+INDEX(M$35:M$37,MATCH(Work_Codes!$I$470,$D$35:$D$37,0)))</f>
        <v>0</v>
      </c>
      <c r="N387" s="81">
        <f ca="1">N376*(1+INDEX(N$35:N$37,MATCH(Work_Codes!$I$470,$D$35:$D$37,0)))</f>
        <v>0</v>
      </c>
      <c r="O387" s="81">
        <f ca="1">O376*(1+INDEX(O$35:O$37,MATCH(Work_Codes!$I$470,$D$35:$D$37,0)))</f>
        <v>0</v>
      </c>
      <c r="P387" s="81">
        <f ca="1">P376*(1+INDEX(P$35:P$37,MATCH(Work_Codes!$I$470,$D$35:$D$37,0)))</f>
        <v>0</v>
      </c>
      <c r="Q387" s="81">
        <f ca="1">Q376*(1+INDEX(Q$35:Q$37,MATCH(Work_Codes!$I$470,$D$35:$D$37,0)))</f>
        <v>0</v>
      </c>
      <c r="R387" s="81">
        <f ca="1">R376*(1+INDEX(R$35:R$37,MATCH(Work_Codes!$I$470,$D$35:$D$37,0)))</f>
        <v>0</v>
      </c>
      <c r="S387" s="81">
        <f ca="1">S376*(1+INDEX(S$35:S$37,MATCH(Work_Codes!$I$470,$D$35:$D$37,0)))</f>
        <v>0</v>
      </c>
      <c r="T387" s="81">
        <f ca="1">T376*(1+INDEX(T$35:T$37,MATCH(Work_Codes!$I$470,$D$35:$D$37,0)))</f>
        <v>0</v>
      </c>
    </row>
    <row r="388" spans="2:20" outlineLevel="2">
      <c r="E388" s="247" t="str">
        <f>GC!C84</f>
        <v>Land</v>
      </c>
      <c r="F388" s="247"/>
      <c r="G388" s="247"/>
      <c r="H388" s="247"/>
      <c r="I388" s="247"/>
      <c r="J388" s="81">
        <f ca="1">J377*(1+INDEX(J$35:J$37,MATCH(Work_Codes!$I$470,$D$35:$D$37,0)))</f>
        <v>0</v>
      </c>
      <c r="K388" s="81">
        <f ca="1">K377*(1+INDEX(K$35:K$37,MATCH(Work_Codes!$I$470,$D$35:$D$37,0)))</f>
        <v>0</v>
      </c>
      <c r="L388" s="81">
        <f ca="1">L377*(1+INDEX(L$35:L$37,MATCH(Work_Codes!$I$470,$D$35:$D$37,0)))</f>
        <v>0</v>
      </c>
      <c r="M388" s="81">
        <f ca="1">M377*(1+INDEX(M$35:M$37,MATCH(Work_Codes!$I$470,$D$35:$D$37,0)))</f>
        <v>0</v>
      </c>
      <c r="N388" s="81">
        <f ca="1">N377*(1+INDEX(N$35:N$37,MATCH(Work_Codes!$I$470,$D$35:$D$37,0)))</f>
        <v>0</v>
      </c>
      <c r="O388" s="81">
        <f ca="1">O377*(1+INDEX(O$35:O$37,MATCH(Work_Codes!$I$470,$D$35:$D$37,0)))</f>
        <v>0</v>
      </c>
      <c r="P388" s="81">
        <f ca="1">P377*(1+INDEX(P$35:P$37,MATCH(Work_Codes!$I$470,$D$35:$D$37,0)))</f>
        <v>0</v>
      </c>
      <c r="Q388" s="81">
        <f ca="1">Q377*(1+INDEX(Q$35:Q$37,MATCH(Work_Codes!$I$470,$D$35:$D$37,0)))</f>
        <v>0</v>
      </c>
      <c r="R388" s="81">
        <f ca="1">R377*(1+INDEX(R$35:R$37,MATCH(Work_Codes!$I$470,$D$35:$D$37,0)))</f>
        <v>0</v>
      </c>
      <c r="S388" s="81">
        <f ca="1">S377*(1+INDEX(S$35:S$37,MATCH(Work_Codes!$I$470,$D$35:$D$37,0)))</f>
        <v>0</v>
      </c>
      <c r="T388" s="81">
        <f ca="1">T377*(1+INDEX(T$35:T$37,MATCH(Work_Codes!$I$470,$D$35:$D$37,0)))</f>
        <v>0</v>
      </c>
    </row>
    <row r="389" spans="2:20" outlineLevel="2">
      <c r="E389" s="249" t="str">
        <f>"Total "&amp;D380</f>
        <v>Total Direct Costs +  Overheads</v>
      </c>
      <c r="F389" s="249"/>
      <c r="G389" s="249"/>
      <c r="H389" s="249"/>
      <c r="I389" s="249"/>
      <c r="J389" s="82">
        <f t="shared" ref="J389:T389" ca="1" si="63">SUM(J382:J388)</f>
        <v>0</v>
      </c>
      <c r="K389" s="82">
        <f t="shared" ca="1" si="63"/>
        <v>0</v>
      </c>
      <c r="L389" s="82">
        <f t="shared" ca="1" si="63"/>
        <v>0</v>
      </c>
      <c r="M389" s="82">
        <f t="shared" ca="1" si="63"/>
        <v>0</v>
      </c>
      <c r="N389" s="82">
        <f t="shared" ca="1" si="63"/>
        <v>6978279.2324051764</v>
      </c>
      <c r="O389" s="82">
        <f t="shared" ca="1" si="63"/>
        <v>3488182.2561022043</v>
      </c>
      <c r="P389" s="82">
        <f t="shared" ca="1" si="63"/>
        <v>15450246.321215272</v>
      </c>
      <c r="Q389" s="82">
        <f t="shared" ca="1" si="63"/>
        <v>17734287.311775222</v>
      </c>
      <c r="R389" s="82">
        <f t="shared" ca="1" si="63"/>
        <v>19235231.025971476</v>
      </c>
      <c r="S389" s="82">
        <f t="shared" ca="1" si="63"/>
        <v>9637247.0975269582</v>
      </c>
      <c r="T389" s="82">
        <f t="shared" ca="1" si="63"/>
        <v>7158616.5859825984</v>
      </c>
    </row>
    <row r="390" spans="2:20" outlineLevel="1">
      <c r="B390" s="12"/>
      <c r="C390" s="12"/>
      <c r="D390" s="12"/>
      <c r="E390" s="12"/>
      <c r="F390" s="12"/>
      <c r="G390" s="12"/>
      <c r="H390" s="12"/>
      <c r="I390" s="12"/>
      <c r="J390" s="12"/>
      <c r="K390" s="12"/>
      <c r="L390" s="12"/>
      <c r="M390" s="12"/>
      <c r="N390" s="12"/>
      <c r="O390" s="12"/>
      <c r="P390" s="12"/>
      <c r="Q390" s="12"/>
      <c r="R390" s="12"/>
      <c r="S390" s="12"/>
      <c r="T390" s="12"/>
    </row>
    <row r="391" spans="2:20" outlineLevel="1"/>
    <row r="392" spans="2:20" outlineLevel="1">
      <c r="C392" s="37" t="s">
        <v>19</v>
      </c>
    </row>
    <row r="393" spans="2:20" ht="5.9" customHeight="1" outlineLevel="1"/>
    <row r="394" spans="2:20" outlineLevel="1">
      <c r="F394" s="51" t="str">
        <f>$B$23&amp;" Work Code v RAB Category Direct Check"</f>
        <v>3027 - Inputs Work Code v RAB Category Direct Check</v>
      </c>
      <c r="I394" s="130">
        <f ca="1">IF(ISERROR(SUM(J394:T394)),1,MIN(SUM(J394:T394),1))</f>
        <v>0</v>
      </c>
      <c r="J394" s="81">
        <f t="shared" ref="J394:T394" ca="1" si="64">J224-J247</f>
        <v>0</v>
      </c>
      <c r="K394" s="81">
        <f t="shared" ca="1" si="64"/>
        <v>0</v>
      </c>
      <c r="L394" s="81">
        <f t="shared" ca="1" si="64"/>
        <v>0</v>
      </c>
      <c r="M394" s="81">
        <f t="shared" ca="1" si="64"/>
        <v>0</v>
      </c>
      <c r="N394" s="81">
        <f t="shared" ca="1" si="64"/>
        <v>0</v>
      </c>
      <c r="O394" s="81">
        <f t="shared" ca="1" si="64"/>
        <v>0</v>
      </c>
      <c r="P394" s="81">
        <f t="shared" ca="1" si="64"/>
        <v>0</v>
      </c>
      <c r="Q394" s="81">
        <f t="shared" ca="1" si="64"/>
        <v>0</v>
      </c>
      <c r="R394" s="81">
        <f t="shared" ca="1" si="64"/>
        <v>0</v>
      </c>
      <c r="S394" s="81">
        <f t="shared" ca="1" si="64"/>
        <v>0</v>
      </c>
      <c r="T394" s="81">
        <f t="shared" ca="1" si="64"/>
        <v>0</v>
      </c>
    </row>
    <row r="395" spans="2:20" outlineLevel="1">
      <c r="F395" s="51" t="str">
        <f>$B$23&amp;" Work Code v RIN Category Direct Check"</f>
        <v>3027 - Inputs Work Code v RIN Category Direct Check</v>
      </c>
      <c r="I395" s="130">
        <f ca="1">IF(ISERROR(SUM(J395:T395)),1,MIN(SUM(J395:T395),1))</f>
        <v>0</v>
      </c>
      <c r="J395" s="81">
        <f t="shared" ref="J395:T395" ca="1" si="65">J224-J328</f>
        <v>0</v>
      </c>
      <c r="K395" s="81">
        <f t="shared" ca="1" si="65"/>
        <v>0</v>
      </c>
      <c r="L395" s="81">
        <f t="shared" ca="1" si="65"/>
        <v>0</v>
      </c>
      <c r="M395" s="81">
        <f t="shared" ca="1" si="65"/>
        <v>0</v>
      </c>
      <c r="N395" s="81">
        <f t="shared" ca="1" si="65"/>
        <v>0</v>
      </c>
      <c r="O395" s="81">
        <f t="shared" ca="1" si="65"/>
        <v>0</v>
      </c>
      <c r="P395" s="81">
        <f t="shared" ca="1" si="65"/>
        <v>0</v>
      </c>
      <c r="Q395" s="81">
        <f t="shared" ca="1" si="65"/>
        <v>0</v>
      </c>
      <c r="R395" s="81">
        <f t="shared" ca="1" si="65"/>
        <v>0</v>
      </c>
      <c r="S395" s="81">
        <f t="shared" ca="1" si="65"/>
        <v>0</v>
      </c>
      <c r="T395" s="81">
        <f t="shared" ca="1" si="65"/>
        <v>0</v>
      </c>
    </row>
    <row r="396" spans="2:20" outlineLevel="1">
      <c r="F396" s="51" t="str">
        <f>$B$23&amp;" Work Code v Tax Category Direct Check"</f>
        <v>3027 - Inputs Work Code v Tax Category Direct Check</v>
      </c>
      <c r="I396" s="130">
        <f ca="1">IF(ISERROR(SUM(J396:T396)),1,MIN(SUM(J396:T396),1))</f>
        <v>0</v>
      </c>
      <c r="J396" s="81">
        <f t="shared" ref="J396:T396" ca="1" si="66">J224-J378</f>
        <v>0</v>
      </c>
      <c r="K396" s="81">
        <f t="shared" ca="1" si="66"/>
        <v>0</v>
      </c>
      <c r="L396" s="81">
        <f t="shared" ca="1" si="66"/>
        <v>0</v>
      </c>
      <c r="M396" s="81">
        <f t="shared" ca="1" si="66"/>
        <v>0</v>
      </c>
      <c r="N396" s="81">
        <f t="shared" ca="1" si="66"/>
        <v>0</v>
      </c>
      <c r="O396" s="81">
        <f t="shared" ca="1" si="66"/>
        <v>0</v>
      </c>
      <c r="P396" s="81">
        <f t="shared" ca="1" si="66"/>
        <v>0</v>
      </c>
      <c r="Q396" s="81">
        <f t="shared" ca="1" si="66"/>
        <v>0</v>
      </c>
      <c r="R396" s="81">
        <f t="shared" ca="1" si="66"/>
        <v>0</v>
      </c>
      <c r="S396" s="81">
        <f t="shared" ca="1" si="66"/>
        <v>0</v>
      </c>
      <c r="T396" s="81">
        <f t="shared" ca="1" si="66"/>
        <v>0</v>
      </c>
    </row>
    <row r="397" spans="2:20" outlineLevel="1">
      <c r="F397" s="51" t="str">
        <f>$B$23&amp;" Customer Contributions v RAB Category Direct Check"</f>
        <v>3027 - Inputs Customer Contributions v RAB Category Direct Check</v>
      </c>
      <c r="I397" s="130">
        <f ca="1">IF(ISERROR(SUM(J397:T397)),1,MIN(SUM(J397:T397),1))</f>
        <v>0</v>
      </c>
      <c r="J397" s="81">
        <f t="shared" ref="J397:T397" ca="1" si="67">J121-J307</f>
        <v>0</v>
      </c>
      <c r="K397" s="81">
        <f t="shared" ca="1" si="67"/>
        <v>0</v>
      </c>
      <c r="L397" s="81">
        <f t="shared" ca="1" si="67"/>
        <v>0</v>
      </c>
      <c r="M397" s="81">
        <f t="shared" ca="1" si="67"/>
        <v>0</v>
      </c>
      <c r="N397" s="81">
        <f t="shared" ca="1" si="67"/>
        <v>0</v>
      </c>
      <c r="O397" s="81">
        <f t="shared" ca="1" si="67"/>
        <v>0</v>
      </c>
      <c r="P397" s="81">
        <f t="shared" ca="1" si="67"/>
        <v>0</v>
      </c>
      <c r="Q397" s="81">
        <f t="shared" ca="1" si="67"/>
        <v>0</v>
      </c>
      <c r="R397" s="81">
        <f t="shared" ca="1" si="67"/>
        <v>0</v>
      </c>
      <c r="S397" s="81">
        <f t="shared" ca="1" si="67"/>
        <v>0</v>
      </c>
      <c r="T397" s="81">
        <f t="shared" ca="1" si="67"/>
        <v>0</v>
      </c>
    </row>
    <row r="398" spans="2:20" ht="5.9" customHeight="1" outlineLevel="1"/>
    <row r="399" spans="2:20" outlineLevel="1">
      <c r="F399" s="51" t="str">
        <f>$B$23&amp;" RAB v RIN Direct + Overhead Check"</f>
        <v>3027 - Inputs RAB v RIN Direct + Overhead Check</v>
      </c>
      <c r="I399" s="130">
        <f ca="1">IF(ISERROR(SUM(J399:T399)),1,MIN(SUM(J399:T399),1))</f>
        <v>0</v>
      </c>
      <c r="J399" s="81">
        <f t="shared" ref="J399:T399" ca="1" si="68">J287-J346</f>
        <v>0</v>
      </c>
      <c r="K399" s="81">
        <f t="shared" ca="1" si="68"/>
        <v>0</v>
      </c>
      <c r="L399" s="81">
        <f t="shared" ca="1" si="68"/>
        <v>0</v>
      </c>
      <c r="M399" s="81">
        <f t="shared" ca="1" si="68"/>
        <v>0</v>
      </c>
      <c r="N399" s="81">
        <f t="shared" ca="1" si="68"/>
        <v>0</v>
      </c>
      <c r="O399" s="81">
        <f t="shared" ca="1" si="68"/>
        <v>0</v>
      </c>
      <c r="P399" s="81">
        <f t="shared" ca="1" si="68"/>
        <v>0</v>
      </c>
      <c r="Q399" s="81">
        <f t="shared" ca="1" si="68"/>
        <v>0</v>
      </c>
      <c r="R399" s="81">
        <f t="shared" ca="1" si="68"/>
        <v>0</v>
      </c>
      <c r="S399" s="81">
        <f t="shared" ca="1" si="68"/>
        <v>0</v>
      </c>
      <c r="T399" s="81">
        <f t="shared" ca="1" si="68"/>
        <v>0</v>
      </c>
    </row>
    <row r="400" spans="2:20" outlineLevel="1">
      <c r="F400" s="51" t="str">
        <f>$B$23&amp;" RAB v Tax Direct + Overhead Check"</f>
        <v>3027 - Inputs RAB v Tax Direct + Overhead Check</v>
      </c>
      <c r="I400" s="130">
        <f ca="1">IF(ISERROR(SUM(J400:T400)),1,MIN(SUM(J400:T400),1))</f>
        <v>0</v>
      </c>
      <c r="J400" s="81">
        <f t="shared" ref="J400:T400" ca="1" si="69">J287-J389</f>
        <v>0</v>
      </c>
      <c r="K400" s="81">
        <f t="shared" ca="1" si="69"/>
        <v>0</v>
      </c>
      <c r="L400" s="81">
        <f t="shared" ca="1" si="69"/>
        <v>0</v>
      </c>
      <c r="M400" s="81">
        <f t="shared" ca="1" si="69"/>
        <v>0</v>
      </c>
      <c r="N400" s="81">
        <f t="shared" ca="1" si="69"/>
        <v>0</v>
      </c>
      <c r="O400" s="81">
        <f t="shared" ca="1" si="69"/>
        <v>0</v>
      </c>
      <c r="P400" s="81">
        <f t="shared" ca="1" si="69"/>
        <v>0</v>
      </c>
      <c r="Q400" s="81">
        <f t="shared" ca="1" si="69"/>
        <v>0</v>
      </c>
      <c r="R400" s="81">
        <f t="shared" ca="1" si="69"/>
        <v>0</v>
      </c>
      <c r="S400" s="81">
        <f t="shared" ca="1" si="69"/>
        <v>0</v>
      </c>
      <c r="T400" s="81">
        <f t="shared" ca="1" si="69"/>
        <v>0</v>
      </c>
    </row>
    <row r="401" spans="2:20" ht="12" outlineLevel="1" thickBot="1">
      <c r="B401" s="94"/>
      <c r="C401" s="94"/>
      <c r="D401" s="94"/>
      <c r="E401" s="94"/>
      <c r="F401" s="94"/>
      <c r="G401" s="94"/>
      <c r="H401" s="94"/>
      <c r="I401" s="94"/>
      <c r="J401" s="94"/>
      <c r="K401" s="94"/>
      <c r="L401" s="94"/>
      <c r="M401" s="94"/>
      <c r="N401" s="94"/>
      <c r="O401" s="94"/>
      <c r="P401" s="94"/>
      <c r="Q401" s="94"/>
      <c r="R401" s="94"/>
      <c r="S401" s="94"/>
      <c r="T401" s="94"/>
    </row>
  </sheetData>
  <sheetProtection formatColumns="0" formatRows="0"/>
  <mergeCells count="135">
    <mergeCell ref="E337:I337"/>
    <mergeCell ref="E332:I332"/>
    <mergeCell ref="E333:I333"/>
    <mergeCell ref="E334:I334"/>
    <mergeCell ref="E328:I328"/>
    <mergeCell ref="E335:I335"/>
    <mergeCell ref="E336:I336"/>
    <mergeCell ref="E344:I344"/>
    <mergeCell ref="E341:I341"/>
    <mergeCell ref="E338:I338"/>
    <mergeCell ref="E339:I339"/>
    <mergeCell ref="E340:I340"/>
    <mergeCell ref="D115:I115"/>
    <mergeCell ref="D149:I149"/>
    <mergeCell ref="D174:I174"/>
    <mergeCell ref="D199:I199"/>
    <mergeCell ref="D224:I224"/>
    <mergeCell ref="D121:I121"/>
    <mergeCell ref="E236:I236"/>
    <mergeCell ref="E277:I277"/>
    <mergeCell ref="E242:I242"/>
    <mergeCell ref="E247:I247"/>
    <mergeCell ref="E231:I231"/>
    <mergeCell ref="E232:I232"/>
    <mergeCell ref="E233:I233"/>
    <mergeCell ref="E234:I234"/>
    <mergeCell ref="E235:I235"/>
    <mergeCell ref="E251:I251"/>
    <mergeCell ref="E252:I252"/>
    <mergeCell ref="E253:I253"/>
    <mergeCell ref="E254:I254"/>
    <mergeCell ref="E255:I255"/>
    <mergeCell ref="E256:I256"/>
    <mergeCell ref="E257:I257"/>
    <mergeCell ref="E258:I258"/>
    <mergeCell ref="E237:I237"/>
    <mergeCell ref="E238:I238"/>
    <mergeCell ref="E239:I239"/>
    <mergeCell ref="E240:I240"/>
    <mergeCell ref="E241:I241"/>
    <mergeCell ref="E281:I281"/>
    <mergeCell ref="E325:I325"/>
    <mergeCell ref="E326:I326"/>
    <mergeCell ref="E327:I327"/>
    <mergeCell ref="E287:I287"/>
    <mergeCell ref="E318:I318"/>
    <mergeCell ref="E319:I319"/>
    <mergeCell ref="E320:I320"/>
    <mergeCell ref="E321:I321"/>
    <mergeCell ref="E322:I322"/>
    <mergeCell ref="E262:I262"/>
    <mergeCell ref="E314:I314"/>
    <mergeCell ref="E315:I315"/>
    <mergeCell ref="E316:I316"/>
    <mergeCell ref="E267:I267"/>
    <mergeCell ref="E323:I323"/>
    <mergeCell ref="E279:I279"/>
    <mergeCell ref="E280:I280"/>
    <mergeCell ref="E271:I271"/>
    <mergeCell ref="E272:I272"/>
    <mergeCell ref="E377:I377"/>
    <mergeCell ref="E346:I346"/>
    <mergeCell ref="E371:I371"/>
    <mergeCell ref="E372:I372"/>
    <mergeCell ref="E373:I373"/>
    <mergeCell ref="E374:I374"/>
    <mergeCell ref="E342:I342"/>
    <mergeCell ref="E343:I343"/>
    <mergeCell ref="E375:I375"/>
    <mergeCell ref="E376:I376"/>
    <mergeCell ref="E345:I345"/>
    <mergeCell ref="E364:I364"/>
    <mergeCell ref="E350:I350"/>
    <mergeCell ref="E362:I362"/>
    <mergeCell ref="E363:I363"/>
    <mergeCell ref="E360:I360"/>
    <mergeCell ref="E361:I361"/>
    <mergeCell ref="E353:I353"/>
    <mergeCell ref="E354:I354"/>
    <mergeCell ref="E355:I355"/>
    <mergeCell ref="E356:I356"/>
    <mergeCell ref="E357:I357"/>
    <mergeCell ref="E358:I358"/>
    <mergeCell ref="E359:I359"/>
    <mergeCell ref="E389:I389"/>
    <mergeCell ref="E382:I382"/>
    <mergeCell ref="E383:I383"/>
    <mergeCell ref="E384:I384"/>
    <mergeCell ref="E385:I385"/>
    <mergeCell ref="E386:I386"/>
    <mergeCell ref="E387:I387"/>
    <mergeCell ref="E388:I388"/>
    <mergeCell ref="E378:I378"/>
    <mergeCell ref="E284:I284"/>
    <mergeCell ref="E285:I285"/>
    <mergeCell ref="E286:I286"/>
    <mergeCell ref="E303:I303"/>
    <mergeCell ref="E304:I304"/>
    <mergeCell ref="E305:I305"/>
    <mergeCell ref="E306:I306"/>
    <mergeCell ref="E351:I351"/>
    <mergeCell ref="E352:I352"/>
    <mergeCell ref="E302:I302"/>
    <mergeCell ref="E298:I298"/>
    <mergeCell ref="E299:I299"/>
    <mergeCell ref="E300:I300"/>
    <mergeCell ref="E301:I301"/>
    <mergeCell ref="E317:I317"/>
    <mergeCell ref="E324:I324"/>
    <mergeCell ref="E307:I307"/>
    <mergeCell ref="E291:I291"/>
    <mergeCell ref="E292:I292"/>
    <mergeCell ref="E293:I293"/>
    <mergeCell ref="E294:I294"/>
    <mergeCell ref="E295:I295"/>
    <mergeCell ref="E296:I296"/>
    <mergeCell ref="E297:I297"/>
    <mergeCell ref="E243:I243"/>
    <mergeCell ref="E244:I244"/>
    <mergeCell ref="E245:I245"/>
    <mergeCell ref="E246:I246"/>
    <mergeCell ref="E263:I263"/>
    <mergeCell ref="E264:I264"/>
    <mergeCell ref="E265:I265"/>
    <mergeCell ref="E266:I266"/>
    <mergeCell ref="E283:I283"/>
    <mergeCell ref="E259:I259"/>
    <mergeCell ref="E260:I260"/>
    <mergeCell ref="E261:I261"/>
    <mergeCell ref="E282:I282"/>
    <mergeCell ref="E273:I273"/>
    <mergeCell ref="E274:I274"/>
    <mergeCell ref="E275:I275"/>
    <mergeCell ref="E276:I276"/>
    <mergeCell ref="E278:I278"/>
  </mergeCells>
  <conditionalFormatting sqref="I394">
    <cfRule type="cellIs" dxfId="683" priority="1" operator="notEqual">
      <formula>0</formula>
    </cfRule>
  </conditionalFormatting>
  <conditionalFormatting sqref="J394:T394">
    <cfRule type="cellIs" dxfId="682" priority="2" operator="notEqual">
      <formula>0</formula>
    </cfRule>
  </conditionalFormatting>
  <conditionalFormatting sqref="I395">
    <cfRule type="cellIs" dxfId="681" priority="3" operator="notEqual">
      <formula>0</formula>
    </cfRule>
  </conditionalFormatting>
  <conditionalFormatting sqref="J395:T395">
    <cfRule type="cellIs" dxfId="680" priority="4" operator="notEqual">
      <formula>0</formula>
    </cfRule>
  </conditionalFormatting>
  <conditionalFormatting sqref="I396">
    <cfRule type="cellIs" dxfId="679" priority="5" operator="notEqual">
      <formula>0</formula>
    </cfRule>
  </conditionalFormatting>
  <conditionalFormatting sqref="J396:T396">
    <cfRule type="cellIs" dxfId="678" priority="6" operator="notEqual">
      <formula>0</formula>
    </cfRule>
  </conditionalFormatting>
  <conditionalFormatting sqref="I399">
    <cfRule type="cellIs" dxfId="677" priority="7" operator="notEqual">
      <formula>0</formula>
    </cfRule>
  </conditionalFormatting>
  <conditionalFormatting sqref="J399:T399">
    <cfRule type="cellIs" dxfId="676" priority="8" operator="notEqual">
      <formula>0</formula>
    </cfRule>
  </conditionalFormatting>
  <conditionalFormatting sqref="I400">
    <cfRule type="cellIs" dxfId="675" priority="9" operator="notEqual">
      <formula>0</formula>
    </cfRule>
  </conditionalFormatting>
  <conditionalFormatting sqref="J400:T400">
    <cfRule type="cellIs" dxfId="674" priority="10" operator="notEqual">
      <formula>0</formula>
    </cfRule>
  </conditionalFormatting>
  <conditionalFormatting sqref="I397">
    <cfRule type="cellIs" dxfId="673" priority="11" operator="notEqual">
      <formula>0</formula>
    </cfRule>
  </conditionalFormatting>
  <conditionalFormatting sqref="J397:T397">
    <cfRule type="cellIs" dxfId="672" priority="12" operator="notEqual">
      <formula>0</formula>
    </cfRule>
  </conditionalFormatting>
  <dataValidations count="1">
    <dataValidation type="custom" showErrorMessage="1" errorTitle="Invalid Assumption" error="Assumption must be a number." sqref="J69:T88 J44:T63 J119:T119" xr:uid="{7B24A3C3-B411-486A-BA0F-A611C85F8CDA}">
      <formula1>NOT(ISERROR(J44/1))</formula1>
    </dataValidation>
  </dataValidations>
  <hyperlinks>
    <hyperlink ref="A1" location="HL_Home" tooltip="Go to Table of Contents" display="HL_Home" xr:uid="{19A15D44-D084-4EC0-9BF4-1A4626603496}"/>
    <hyperlink ref="A2" location="HL_Err_Chk" tooltip="Go to Error Checks" display="HL_Err_Chk" xr:uid="{52602882-F0C8-4746-9754-E7CA855A32CE}"/>
  </hyperlinks>
  <pageMargins left="0.39370078740157499" right="0.39370078740157499" top="0.59055118110236204" bottom="0.98425196850393704" header="0" footer="0.31496062992126"/>
  <pageSetup paperSize="9" orientation="landscape" r:id="rId1"/>
  <headerFooter>
    <oddFooter>&amp;L&amp;F
&amp;A
Printed: &amp;T on &amp;D&amp;CPage &amp;P of &amp;N</oddFooter>
  </headerFooter>
  <customProperties>
    <customPr name="EpmWorksheetKeyString_GUID" r:id="rId2"/>
  </customProperties>
  <legacyDrawing r:id="rId3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41228F-F23C-4A1A-BC41-367D024091FE}">
  <sheetPr>
    <pageSetUpPr autoPageBreaks="0"/>
  </sheetPr>
  <dimension ref="A1:T275"/>
  <sheetViews>
    <sheetView showGridLines="0" zoomScaleNormal="100" workbookViewId="0">
      <pane xSplit="9" ySplit="21" topLeftCell="J22" activePane="bottomRight" state="frozen"/>
      <selection activeCell="J61" sqref="J61:T72"/>
      <selection pane="topRight" activeCell="J61" sqref="J61:T72"/>
      <selection pane="bottomLeft" activeCell="J61" sqref="J61:T72"/>
      <selection pane="bottomRight" activeCell="J61" sqref="J61:T72"/>
    </sheetView>
  </sheetViews>
  <sheetFormatPr defaultColWidth="11.59765625" defaultRowHeight="11.5" outlineLevelRow="3"/>
  <cols>
    <col min="1" max="5" width="3.59765625" customWidth="1"/>
    <col min="6" max="7" width="15.59765625" customWidth="1"/>
  </cols>
  <sheetData>
    <row r="1" spans="1:20" ht="14">
      <c r="A1" s="10" t="s">
        <v>11</v>
      </c>
      <c r="B1" s="6" t="s">
        <v>359</v>
      </c>
    </row>
    <row r="2" spans="1:20" ht="13">
      <c r="A2" s="23" t="s">
        <v>26</v>
      </c>
      <c r="B2" s="7" t="str">
        <f ca="1">Model_Name</f>
        <v>GAAR Capex Forecast</v>
      </c>
    </row>
    <row r="3" spans="1:20">
      <c r="B3" s="30"/>
      <c r="C3" s="30"/>
      <c r="D3" s="30"/>
      <c r="E3" s="30"/>
      <c r="F3" s="30"/>
      <c r="G3" s="30"/>
      <c r="H3" s="30"/>
      <c r="I3" s="30"/>
      <c r="J3" s="30"/>
      <c r="K3" s="30"/>
      <c r="L3" s="30"/>
      <c r="M3" s="30"/>
      <c r="N3" s="30"/>
      <c r="O3" s="30"/>
      <c r="P3" s="30"/>
      <c r="Q3" s="30"/>
      <c r="R3" s="30"/>
      <c r="S3" s="30"/>
      <c r="T3" s="30"/>
    </row>
    <row r="4" spans="1:20">
      <c r="B4" s="116" t="s">
        <v>74</v>
      </c>
      <c r="C4" s="118"/>
      <c r="D4" s="118"/>
      <c r="E4" s="118"/>
      <c r="F4" s="118"/>
      <c r="G4" s="118"/>
      <c r="H4" s="118"/>
      <c r="I4" s="118"/>
      <c r="J4" s="119">
        <f t="shared" ref="J4:T4" si="0">J8</f>
        <v>43465</v>
      </c>
      <c r="K4" s="119">
        <f t="shared" si="0"/>
        <v>43830</v>
      </c>
      <c r="L4" s="119">
        <f t="shared" si="0"/>
        <v>44196</v>
      </c>
      <c r="M4" s="119">
        <f t="shared" si="0"/>
        <v>44561</v>
      </c>
      <c r="N4" s="119">
        <f t="shared" si="0"/>
        <v>44926</v>
      </c>
      <c r="O4" s="121">
        <f t="shared" si="0"/>
        <v>45107</v>
      </c>
      <c r="P4" s="121">
        <f t="shared" si="0"/>
        <v>45473</v>
      </c>
      <c r="Q4" s="121">
        <f t="shared" si="0"/>
        <v>45838</v>
      </c>
      <c r="R4" s="121">
        <f t="shared" si="0"/>
        <v>46203</v>
      </c>
      <c r="S4" s="121">
        <f t="shared" si="0"/>
        <v>46568</v>
      </c>
      <c r="T4" s="121">
        <f t="shared" si="0"/>
        <v>46934</v>
      </c>
    </row>
    <row r="5" spans="1:20">
      <c r="B5" s="117" t="s">
        <v>100</v>
      </c>
      <c r="C5" s="117"/>
      <c r="D5" s="117"/>
      <c r="E5" s="117"/>
      <c r="F5" s="117"/>
      <c r="G5" s="117"/>
      <c r="H5" s="117"/>
      <c r="I5" s="117"/>
      <c r="J5" s="120">
        <f t="shared" ref="J5:T5" si="1">YEAR(J8)</f>
        <v>2018</v>
      </c>
      <c r="K5" s="120">
        <f t="shared" si="1"/>
        <v>2019</v>
      </c>
      <c r="L5" s="120">
        <f t="shared" si="1"/>
        <v>2020</v>
      </c>
      <c r="M5" s="120">
        <f t="shared" si="1"/>
        <v>2021</v>
      </c>
      <c r="N5" s="120">
        <f t="shared" si="1"/>
        <v>2022</v>
      </c>
      <c r="O5" s="120">
        <f t="shared" si="1"/>
        <v>2023</v>
      </c>
      <c r="P5" s="120">
        <f t="shared" si="1"/>
        <v>2024</v>
      </c>
      <c r="Q5" s="120">
        <f t="shared" si="1"/>
        <v>2025</v>
      </c>
      <c r="R5" s="120">
        <f t="shared" si="1"/>
        <v>2026</v>
      </c>
      <c r="S5" s="120">
        <f t="shared" si="1"/>
        <v>2027</v>
      </c>
      <c r="T5" s="120">
        <f t="shared" si="1"/>
        <v>2028</v>
      </c>
    </row>
    <row r="6" spans="1:20">
      <c r="B6" s="113" t="s">
        <v>91</v>
      </c>
      <c r="C6" s="113"/>
      <c r="D6" s="113"/>
      <c r="E6" s="113"/>
      <c r="F6" s="113"/>
      <c r="G6" s="113"/>
      <c r="H6" s="113"/>
      <c r="I6" s="113"/>
      <c r="J6" s="115" t="str">
        <f t="shared" ref="J6:T6" si="2">IF(J$17,"Actual","Forecast")</f>
        <v>Actual</v>
      </c>
      <c r="K6" s="115" t="str">
        <f t="shared" si="2"/>
        <v>Actual</v>
      </c>
      <c r="L6" s="115" t="str">
        <f t="shared" si="2"/>
        <v>Actual</v>
      </c>
      <c r="M6" s="115" t="str">
        <f t="shared" si="2"/>
        <v>Actual</v>
      </c>
      <c r="N6" s="115" t="str">
        <f t="shared" si="2"/>
        <v>Forecast</v>
      </c>
      <c r="O6" s="114" t="str">
        <f t="shared" si="2"/>
        <v>Forecast</v>
      </c>
      <c r="P6" s="114" t="str">
        <f t="shared" si="2"/>
        <v>Forecast</v>
      </c>
      <c r="Q6" s="114" t="str">
        <f t="shared" si="2"/>
        <v>Forecast</v>
      </c>
      <c r="R6" s="114" t="str">
        <f t="shared" si="2"/>
        <v>Forecast</v>
      </c>
      <c r="S6" s="114" t="str">
        <f t="shared" si="2"/>
        <v>Forecast</v>
      </c>
      <c r="T6" s="114" t="str">
        <f t="shared" si="2"/>
        <v>Forecast</v>
      </c>
    </row>
    <row r="7" spans="1:20" hidden="1" outlineLevel="3">
      <c r="B7" s="30" t="s">
        <v>101</v>
      </c>
      <c r="C7" s="30"/>
      <c r="D7" s="30"/>
      <c r="E7" s="30"/>
      <c r="F7" s="30"/>
      <c r="G7" s="30"/>
      <c r="H7" s="30"/>
      <c r="I7" s="30"/>
      <c r="J7" s="36">
        <f>EDATE(Ts_Start_Date,(J10-1)*Ts_Mths_In_Yr)</f>
        <v>43101</v>
      </c>
      <c r="K7" s="36">
        <f>EDATE(Ts_Start_Date,(K10-1)*Ts_Mths_In_Yr)</f>
        <v>43466</v>
      </c>
      <c r="L7" s="36">
        <f>EDATE(Ts_Start_Date,(L10-1)*Ts_Mths_In_Yr)</f>
        <v>43831</v>
      </c>
      <c r="M7" s="36">
        <f>EDATE(Ts_Start_Date,(M10-1)*Ts_Mths_In_Yr)</f>
        <v>44197</v>
      </c>
      <c r="N7" s="36">
        <f>EDATE(Ts_Start_Date,(N10-1)*Ts_Mths_In_Yr)</f>
        <v>44562</v>
      </c>
      <c r="O7" s="36">
        <f>Ts_Stub_Start_Date</f>
        <v>44927</v>
      </c>
      <c r="P7" s="36">
        <f>EDATE(Ts_Forecast_Reg_Start_Date,(P16-1)*Ts_Mths_In_Yr)</f>
        <v>45108</v>
      </c>
      <c r="Q7" s="36">
        <f>EDATE(Ts_Forecast_Reg_Start_Date,(Q16-1)*Ts_Mths_In_Yr)</f>
        <v>45474</v>
      </c>
      <c r="R7" s="36">
        <f>EDATE(Ts_Forecast_Reg_Start_Date,(R16-1)*Ts_Mths_In_Yr)</f>
        <v>45839</v>
      </c>
      <c r="S7" s="36">
        <f>EDATE(Ts_Forecast_Reg_Start_Date,(S16-1)*Ts_Mths_In_Yr)</f>
        <v>46204</v>
      </c>
      <c r="T7" s="36">
        <f>EDATE(Ts_Forecast_Reg_Start_Date,(T16-1)*Ts_Mths_In_Yr)</f>
        <v>46569</v>
      </c>
    </row>
    <row r="8" spans="1:20" hidden="1" outlineLevel="3">
      <c r="B8" s="30" t="s">
        <v>102</v>
      </c>
      <c r="C8" s="30"/>
      <c r="D8" s="30"/>
      <c r="E8" s="30"/>
      <c r="F8" s="30"/>
      <c r="G8" s="30"/>
      <c r="H8" s="30"/>
      <c r="I8" s="30"/>
      <c r="J8" s="36">
        <f>EOMONTH(J7,Ts_Mths_In_Yr-1)</f>
        <v>43465</v>
      </c>
      <c r="K8" s="36">
        <f>EOMONTH(K7,Ts_Mths_In_Yr-1)</f>
        <v>43830</v>
      </c>
      <c r="L8" s="36">
        <f>EOMONTH(L7,Ts_Mths_In_Yr-1)</f>
        <v>44196</v>
      </c>
      <c r="M8" s="36">
        <f>EOMONTH(M7,Ts_Mths_In_Yr-1)</f>
        <v>44561</v>
      </c>
      <c r="N8" s="36">
        <f>EOMONTH(N7,Ts_Mths_In_Yr-1)</f>
        <v>44926</v>
      </c>
      <c r="O8" s="36">
        <f>EOMONTH(O7,Ts_Stub_Length-1)</f>
        <v>45107</v>
      </c>
      <c r="P8" s="36">
        <f>EOMONTH(P7,Ts_Mths_In_Yr-1)</f>
        <v>45473</v>
      </c>
      <c r="Q8" s="36">
        <f>EOMONTH(Q7,Ts_Mths_In_Yr-1)</f>
        <v>45838</v>
      </c>
      <c r="R8" s="36">
        <f>EOMONTH(R7,Ts_Mths_In_Yr-1)</f>
        <v>46203</v>
      </c>
      <c r="S8" s="36">
        <f>EOMONTH(S7,Ts_Mths_In_Yr-1)</f>
        <v>46568</v>
      </c>
      <c r="T8" s="36">
        <f>EOMONTH(T7,Ts_Mths_In_Yr-1)</f>
        <v>46934</v>
      </c>
    </row>
    <row r="9" spans="1:20" hidden="1" outlineLevel="3">
      <c r="B9" s="30" t="s">
        <v>87</v>
      </c>
      <c r="C9" s="30"/>
      <c r="D9" s="30"/>
      <c r="E9" s="30"/>
      <c r="F9" s="30"/>
      <c r="G9" s="30"/>
      <c r="H9" s="30"/>
      <c r="I9" s="30"/>
      <c r="J9" s="14">
        <f t="shared" ref="J9:T9" si="3">DATEDIF(J7,J8,"m")+1</f>
        <v>12</v>
      </c>
      <c r="K9" s="14">
        <f t="shared" si="3"/>
        <v>12</v>
      </c>
      <c r="L9" s="14">
        <f t="shared" si="3"/>
        <v>12</v>
      </c>
      <c r="M9" s="14">
        <f t="shared" si="3"/>
        <v>12</v>
      </c>
      <c r="N9" s="14">
        <f t="shared" si="3"/>
        <v>12</v>
      </c>
      <c r="O9" s="14">
        <f t="shared" si="3"/>
        <v>6</v>
      </c>
      <c r="P9" s="38">
        <f t="shared" si="3"/>
        <v>12</v>
      </c>
      <c r="Q9" s="38">
        <f t="shared" si="3"/>
        <v>12</v>
      </c>
      <c r="R9" s="38">
        <f t="shared" si="3"/>
        <v>12</v>
      </c>
      <c r="S9" s="38">
        <f t="shared" si="3"/>
        <v>12</v>
      </c>
      <c r="T9" s="38">
        <f t="shared" si="3"/>
        <v>12</v>
      </c>
    </row>
    <row r="10" spans="1:20" hidden="1" outlineLevel="3">
      <c r="B10" s="30" t="s">
        <v>72</v>
      </c>
      <c r="C10" s="30"/>
      <c r="D10" s="30"/>
      <c r="E10" s="30"/>
      <c r="F10" s="30"/>
      <c r="G10" s="30"/>
      <c r="H10" s="30"/>
      <c r="I10" s="30"/>
      <c r="J10" s="40">
        <f>COLUMNS($J$10:J10)</f>
        <v>1</v>
      </c>
      <c r="K10" s="40">
        <f>COLUMNS($J$10:K10)</f>
        <v>2</v>
      </c>
      <c r="L10" s="40">
        <f>COLUMNS($J$10:L10)</f>
        <v>3</v>
      </c>
      <c r="M10" s="40">
        <f>COLUMNS($J$10:M10)</f>
        <v>4</v>
      </c>
      <c r="N10" s="40">
        <f>COLUMNS($J$10:N10)</f>
        <v>5</v>
      </c>
      <c r="O10" s="40">
        <f>COLUMNS($J$10:O10)</f>
        <v>6</v>
      </c>
      <c r="P10" s="40">
        <f>COLUMNS($J$10:P10)</f>
        <v>7</v>
      </c>
      <c r="Q10" s="40">
        <f>COLUMNS($J$10:Q10)</f>
        <v>8</v>
      </c>
      <c r="R10" s="40">
        <f>COLUMNS($J$10:R10)</f>
        <v>9</v>
      </c>
      <c r="S10" s="40">
        <f>COLUMNS($J$10:S10)</f>
        <v>10</v>
      </c>
      <c r="T10" s="40">
        <f>COLUMNS($J$10:T10)</f>
        <v>11</v>
      </c>
    </row>
    <row r="11" spans="1:20" hidden="1" outlineLevel="3">
      <c r="B11" s="30" t="s">
        <v>76</v>
      </c>
      <c r="C11" s="30"/>
      <c r="D11" s="30"/>
      <c r="E11" s="30"/>
      <c r="F11" s="30"/>
      <c r="G11" s="30"/>
      <c r="H11" s="30"/>
      <c r="I11" s="30"/>
      <c r="J11" s="40">
        <f>(J12&lt;&gt;0)*1</f>
        <v>1</v>
      </c>
      <c r="K11" s="40">
        <f>(K12&lt;&gt;0)*1</f>
        <v>1</v>
      </c>
      <c r="L11" s="40">
        <f>(L12&lt;&gt;0)*1</f>
        <v>1</v>
      </c>
      <c r="M11" s="40">
        <f>(M12&lt;&gt;0)*1</f>
        <v>1</v>
      </c>
      <c r="N11" s="40">
        <f>(N12&lt;&gt;0)*1</f>
        <v>1</v>
      </c>
      <c r="O11" s="45">
        <v>0</v>
      </c>
      <c r="P11" s="45">
        <v>0</v>
      </c>
      <c r="Q11" s="45">
        <v>0</v>
      </c>
      <c r="R11" s="45">
        <v>0</v>
      </c>
      <c r="S11" s="45">
        <v>0</v>
      </c>
      <c r="T11" s="45">
        <v>0</v>
      </c>
    </row>
    <row r="12" spans="1:20" hidden="1" outlineLevel="3">
      <c r="B12" s="30" t="s">
        <v>96</v>
      </c>
      <c r="C12" s="30"/>
      <c r="D12" s="30"/>
      <c r="E12" s="30"/>
      <c r="F12" s="30"/>
      <c r="G12" s="30"/>
      <c r="H12" s="30"/>
      <c r="I12" s="30"/>
      <c r="J12" s="40">
        <f>COLUMNS($J$10:J10)</f>
        <v>1</v>
      </c>
      <c r="K12" s="40">
        <f>COLUMNS($J$10:K10)</f>
        <v>2</v>
      </c>
      <c r="L12" s="40">
        <f>COLUMNS($J$10:L10)</f>
        <v>3</v>
      </c>
      <c r="M12" s="40">
        <f>COLUMNS($J$10:M10)</f>
        <v>4</v>
      </c>
      <c r="N12" s="40">
        <f>COLUMNS($J$10:N10)</f>
        <v>5</v>
      </c>
      <c r="O12" s="45">
        <v>0</v>
      </c>
      <c r="P12" s="45">
        <v>0</v>
      </c>
      <c r="Q12" s="45">
        <v>0</v>
      </c>
      <c r="R12" s="45">
        <v>0</v>
      </c>
      <c r="S12" s="45">
        <v>0</v>
      </c>
      <c r="T12" s="45">
        <v>0</v>
      </c>
    </row>
    <row r="13" spans="1:20" hidden="1" outlineLevel="3">
      <c r="B13" s="30" t="s">
        <v>79</v>
      </c>
      <c r="C13" s="30"/>
      <c r="D13" s="30"/>
      <c r="E13" s="30"/>
      <c r="F13" s="30"/>
      <c r="G13" s="30"/>
      <c r="H13" s="30"/>
      <c r="I13" s="30"/>
      <c r="J13" s="45">
        <v>0</v>
      </c>
      <c r="K13" s="45">
        <v>0</v>
      </c>
      <c r="L13" s="45">
        <v>0</v>
      </c>
      <c r="M13" s="45">
        <v>0</v>
      </c>
      <c r="N13" s="45">
        <v>0</v>
      </c>
      <c r="O13" s="40">
        <f>(O14&lt;&gt;0)*1</f>
        <v>1</v>
      </c>
      <c r="P13" s="45">
        <v>0</v>
      </c>
      <c r="Q13" s="45">
        <v>0</v>
      </c>
      <c r="R13" s="45">
        <v>0</v>
      </c>
      <c r="S13" s="45">
        <v>0</v>
      </c>
      <c r="T13" s="45">
        <v>0</v>
      </c>
    </row>
    <row r="14" spans="1:20" hidden="1" outlineLevel="3">
      <c r="B14" s="30" t="s">
        <v>97</v>
      </c>
      <c r="C14" s="30"/>
      <c r="D14" s="30"/>
      <c r="E14" s="30"/>
      <c r="F14" s="30"/>
      <c r="G14" s="30"/>
      <c r="H14" s="30"/>
      <c r="I14" s="30"/>
      <c r="J14" s="45">
        <v>0</v>
      </c>
      <c r="K14" s="45">
        <v>0</v>
      </c>
      <c r="L14" s="45">
        <v>0</v>
      </c>
      <c r="M14" s="45">
        <v>0</v>
      </c>
      <c r="N14" s="45">
        <v>0</v>
      </c>
      <c r="O14" s="40">
        <f>COLUMNS($O$14:O14)</f>
        <v>1</v>
      </c>
      <c r="P14" s="45">
        <v>0</v>
      </c>
      <c r="Q14" s="45">
        <v>0</v>
      </c>
      <c r="R14" s="45">
        <v>0</v>
      </c>
      <c r="S14" s="45">
        <v>0</v>
      </c>
      <c r="T14" s="45">
        <v>0</v>
      </c>
    </row>
    <row r="15" spans="1:20" hidden="1" outlineLevel="3">
      <c r="B15" s="30" t="s">
        <v>82</v>
      </c>
      <c r="C15" s="30"/>
      <c r="D15" s="30"/>
      <c r="E15" s="30"/>
      <c r="F15" s="30"/>
      <c r="G15" s="30"/>
      <c r="H15" s="30"/>
      <c r="I15" s="30"/>
      <c r="J15" s="45">
        <v>0</v>
      </c>
      <c r="K15" s="45">
        <v>0</v>
      </c>
      <c r="L15" s="45">
        <v>0</v>
      </c>
      <c r="M15" s="45">
        <v>0</v>
      </c>
      <c r="N15" s="45">
        <v>0</v>
      </c>
      <c r="O15" s="45">
        <v>0</v>
      </c>
      <c r="P15" s="39">
        <f>(P16&lt;&gt;0)*1</f>
        <v>1</v>
      </c>
      <c r="Q15" s="39">
        <f>(Q16&lt;&gt;0)*1</f>
        <v>1</v>
      </c>
      <c r="R15" s="39">
        <f>(R16&lt;&gt;0)*1</f>
        <v>1</v>
      </c>
      <c r="S15" s="39">
        <f>(S16&lt;&gt;0)*1</f>
        <v>1</v>
      </c>
      <c r="T15" s="39">
        <f>(T16&lt;&gt;0)*1</f>
        <v>1</v>
      </c>
    </row>
    <row r="16" spans="1:20" hidden="1" outlineLevel="3">
      <c r="B16" s="30" t="s">
        <v>98</v>
      </c>
      <c r="C16" s="30"/>
      <c r="D16" s="30"/>
      <c r="E16" s="30"/>
      <c r="F16" s="30"/>
      <c r="G16" s="30"/>
      <c r="H16" s="30"/>
      <c r="I16" s="30"/>
      <c r="J16" s="45">
        <v>0</v>
      </c>
      <c r="K16" s="45">
        <v>0</v>
      </c>
      <c r="L16" s="45">
        <v>0</v>
      </c>
      <c r="M16" s="45">
        <v>0</v>
      </c>
      <c r="N16" s="45">
        <v>0</v>
      </c>
      <c r="O16" s="45">
        <v>0</v>
      </c>
      <c r="P16" s="39">
        <f>COLUMNS($P$16:P16)</f>
        <v>1</v>
      </c>
      <c r="Q16" s="39">
        <f>COLUMNS($P$16:Q16)</f>
        <v>2</v>
      </c>
      <c r="R16" s="39">
        <f>COLUMNS($P$16:R16)</f>
        <v>3</v>
      </c>
      <c r="S16" s="39">
        <f>COLUMNS($P$16:S16)</f>
        <v>4</v>
      </c>
      <c r="T16" s="39">
        <f>COLUMNS($P$16:T16)</f>
        <v>5</v>
      </c>
    </row>
    <row r="17" spans="2:20" hidden="1" outlineLevel="3">
      <c r="B17" s="30" t="s">
        <v>206</v>
      </c>
      <c r="C17" s="30"/>
      <c r="D17" s="30"/>
      <c r="E17" s="30"/>
      <c r="F17" s="30"/>
      <c r="G17" s="30"/>
      <c r="H17" s="30"/>
      <c r="I17" s="30"/>
      <c r="J17" s="39">
        <f t="shared" ref="J17:T17" si="4">IF(J$5&lt;=Ts_Last_Actual_Year,1,0)</f>
        <v>1</v>
      </c>
      <c r="K17" s="39">
        <f t="shared" si="4"/>
        <v>1</v>
      </c>
      <c r="L17" s="39">
        <f t="shared" si="4"/>
        <v>1</v>
      </c>
      <c r="M17" s="39">
        <f t="shared" si="4"/>
        <v>1</v>
      </c>
      <c r="N17" s="39">
        <f t="shared" si="4"/>
        <v>0</v>
      </c>
      <c r="O17" s="39">
        <f t="shared" si="4"/>
        <v>0</v>
      </c>
      <c r="P17" s="39">
        <f t="shared" si="4"/>
        <v>0</v>
      </c>
      <c r="Q17" s="39">
        <f t="shared" si="4"/>
        <v>0</v>
      </c>
      <c r="R17" s="39">
        <f t="shared" si="4"/>
        <v>0</v>
      </c>
      <c r="S17" s="39">
        <f t="shared" si="4"/>
        <v>0</v>
      </c>
      <c r="T17" s="39">
        <f t="shared" si="4"/>
        <v>0</v>
      </c>
    </row>
    <row r="18" spans="2:20" hidden="1" outlineLevel="3">
      <c r="B18" s="30" t="s">
        <v>207</v>
      </c>
      <c r="C18" s="30"/>
      <c r="D18" s="30"/>
      <c r="E18" s="30"/>
      <c r="F18" s="30"/>
      <c r="G18" s="30"/>
      <c r="H18" s="30"/>
      <c r="I18" s="30"/>
      <c r="J18" s="39">
        <f t="shared" ref="J18:T18" si="5">IF(J$5&gt;Ts_Last_Actual_Year,1,0)</f>
        <v>0</v>
      </c>
      <c r="K18" s="39">
        <f t="shared" si="5"/>
        <v>0</v>
      </c>
      <c r="L18" s="39">
        <f t="shared" si="5"/>
        <v>0</v>
      </c>
      <c r="M18" s="39">
        <f t="shared" si="5"/>
        <v>0</v>
      </c>
      <c r="N18" s="39">
        <f t="shared" si="5"/>
        <v>1</v>
      </c>
      <c r="O18" s="40">
        <f t="shared" si="5"/>
        <v>1</v>
      </c>
      <c r="P18" s="40">
        <f t="shared" si="5"/>
        <v>1</v>
      </c>
      <c r="Q18" s="40">
        <f t="shared" si="5"/>
        <v>1</v>
      </c>
      <c r="R18" s="40">
        <f t="shared" si="5"/>
        <v>1</v>
      </c>
      <c r="S18" s="40">
        <f t="shared" si="5"/>
        <v>1</v>
      </c>
      <c r="T18" s="40">
        <f t="shared" si="5"/>
        <v>1</v>
      </c>
    </row>
    <row r="19" spans="2:20" hidden="1" outlineLevel="3">
      <c r="B19" s="30" t="s">
        <v>208</v>
      </c>
      <c r="C19" s="30"/>
      <c r="D19" s="30"/>
      <c r="E19" s="30"/>
      <c r="F19" s="30"/>
      <c r="G19" s="30"/>
      <c r="H19" s="30"/>
      <c r="I19" s="30"/>
      <c r="J19" s="39">
        <f>SUM($J18:J18)</f>
        <v>0</v>
      </c>
      <c r="K19" s="39">
        <f>SUM($J18:K18)</f>
        <v>0</v>
      </c>
      <c r="L19" s="39">
        <f>SUM($J18:L18)</f>
        <v>0</v>
      </c>
      <c r="M19" s="39">
        <f>SUM($J18:M18)</f>
        <v>0</v>
      </c>
      <c r="N19" s="39">
        <f>SUM($J18:N18)</f>
        <v>1</v>
      </c>
      <c r="O19" s="40">
        <f>SUM($J18:O18)</f>
        <v>2</v>
      </c>
      <c r="P19" s="40">
        <f>SUM($J18:P18)</f>
        <v>3</v>
      </c>
      <c r="Q19" s="40">
        <f>SUM($J18:Q18)</f>
        <v>4</v>
      </c>
      <c r="R19" s="40">
        <f>SUM($J18:R18)</f>
        <v>5</v>
      </c>
      <c r="S19" s="40">
        <f>SUM($J18:S18)</f>
        <v>6</v>
      </c>
      <c r="T19" s="40">
        <f>SUM($J18:T18)</f>
        <v>7</v>
      </c>
    </row>
    <row r="20" spans="2:20" hidden="1" outlineLevel="3">
      <c r="B20" s="30" t="s">
        <v>481</v>
      </c>
      <c r="C20" s="30"/>
      <c r="D20" s="30"/>
      <c r="E20" s="30"/>
      <c r="F20" s="30"/>
      <c r="G20" s="30"/>
      <c r="H20" s="30"/>
      <c r="I20" s="30"/>
      <c r="J20" s="38">
        <f t="shared" ref="J20:N20" si="6">J9/12</f>
        <v>1</v>
      </c>
      <c r="K20" s="38">
        <f t="shared" si="6"/>
        <v>1</v>
      </c>
      <c r="L20" s="38">
        <f t="shared" si="6"/>
        <v>1</v>
      </c>
      <c r="M20" s="38">
        <f t="shared" si="6"/>
        <v>1</v>
      </c>
      <c r="N20" s="38">
        <f t="shared" si="6"/>
        <v>1</v>
      </c>
      <c r="O20" s="38">
        <f>O9/12</f>
        <v>0.5</v>
      </c>
      <c r="P20" s="38">
        <f t="shared" ref="P20:T20" si="7">P9/12</f>
        <v>1</v>
      </c>
      <c r="Q20" s="38">
        <f t="shared" si="7"/>
        <v>1</v>
      </c>
      <c r="R20" s="38">
        <f t="shared" si="7"/>
        <v>1</v>
      </c>
      <c r="S20" s="38">
        <f t="shared" si="7"/>
        <v>1</v>
      </c>
      <c r="T20" s="38">
        <f t="shared" si="7"/>
        <v>1</v>
      </c>
    </row>
    <row r="21" spans="2:20" hidden="1" outlineLevel="3">
      <c r="B21" s="30"/>
      <c r="C21" s="30"/>
      <c r="D21" s="30"/>
      <c r="E21" s="30"/>
      <c r="F21" s="30"/>
      <c r="G21" s="30"/>
      <c r="H21" s="30"/>
      <c r="I21" s="30"/>
      <c r="J21" s="30"/>
      <c r="K21" s="30"/>
      <c r="L21" s="30"/>
      <c r="M21" s="30"/>
      <c r="N21" s="30"/>
      <c r="O21" s="30"/>
      <c r="P21" s="30"/>
      <c r="Q21" s="30"/>
      <c r="R21" s="30"/>
      <c r="S21" s="30"/>
      <c r="T21" s="30"/>
    </row>
    <row r="22" spans="2:20" collapsed="1"/>
    <row r="23" spans="2:20" ht="14">
      <c r="B23" s="110" t="s">
        <v>358</v>
      </c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</row>
    <row r="24" spans="2:20" ht="5.9" customHeight="1"/>
    <row r="25" spans="2:20" ht="14">
      <c r="B25" s="56" t="str">
        <f>GC!F34</f>
        <v>Other Non-IT</v>
      </c>
    </row>
    <row r="26" spans="2:20" ht="5.9" customHeight="1" outlineLevel="1"/>
    <row r="27" spans="2:20" hidden="1" outlineLevel="2">
      <c r="C27" s="37" t="s">
        <v>204</v>
      </c>
    </row>
    <row r="28" spans="2:20" ht="5.9" hidden="1" customHeight="1" outlineLevel="2"/>
    <row r="29" spans="2:20" hidden="1" outlineLevel="2">
      <c r="D29" s="51" t="s">
        <v>103</v>
      </c>
      <c r="J29" s="92">
        <f>Rates!J42</f>
        <v>1</v>
      </c>
      <c r="K29" s="92">
        <f>Rates!K42</f>
        <v>1</v>
      </c>
      <c r="L29" s="92">
        <f>Rates!L42</f>
        <v>1</v>
      </c>
      <c r="M29" s="92">
        <f>Rates!M42</f>
        <v>1</v>
      </c>
      <c r="N29" s="92">
        <f>Rates!N42</f>
        <v>1</v>
      </c>
      <c r="O29" s="92">
        <f>Rates!O42</f>
        <v>1.0051959235721353</v>
      </c>
      <c r="P29" s="92">
        <f>Rates!P42</f>
        <v>1.0102301741405761</v>
      </c>
      <c r="Q29" s="92">
        <f>Rates!Q42</f>
        <v>1.0181072873442809</v>
      </c>
      <c r="R29" s="92">
        <f>Rates!R42</f>
        <v>1.0293150686557422</v>
      </c>
      <c r="S29" s="92">
        <f>Rates!S42</f>
        <v>1.040646230246951</v>
      </c>
      <c r="T29" s="92">
        <f>Rates!T42</f>
        <v>1.0521021303433229</v>
      </c>
    </row>
    <row r="30" spans="2:20" hidden="1" outlineLevel="2">
      <c r="D30" s="51" t="s">
        <v>104</v>
      </c>
      <c r="J30" s="92">
        <f>Rates!J43</f>
        <v>1</v>
      </c>
      <c r="K30" s="92">
        <f>Rates!K43</f>
        <v>1</v>
      </c>
      <c r="L30" s="92">
        <f>Rates!L43</f>
        <v>1</v>
      </c>
      <c r="M30" s="92">
        <f>Rates!M43</f>
        <v>1</v>
      </c>
      <c r="N30" s="92">
        <f>Rates!N43</f>
        <v>1</v>
      </c>
      <c r="O30" s="92">
        <f>Rates!O43</f>
        <v>1</v>
      </c>
      <c r="P30" s="92">
        <f>Rates!P43</f>
        <v>1</v>
      </c>
      <c r="Q30" s="92">
        <f>Rates!Q43</f>
        <v>1</v>
      </c>
      <c r="R30" s="92">
        <f>Rates!R43</f>
        <v>1</v>
      </c>
      <c r="S30" s="92">
        <f>Rates!S43</f>
        <v>1</v>
      </c>
      <c r="T30" s="92">
        <f>Rates!T43</f>
        <v>1</v>
      </c>
    </row>
    <row r="31" spans="2:20" hidden="1" outlineLevel="2">
      <c r="D31" s="51" t="s">
        <v>130</v>
      </c>
      <c r="J31" s="92">
        <f>Rates!J45</f>
        <v>1</v>
      </c>
      <c r="K31" s="92">
        <f>Rates!K45</f>
        <v>1</v>
      </c>
      <c r="L31" s="92">
        <f>Rates!L45</f>
        <v>1</v>
      </c>
      <c r="M31" s="92">
        <f>Rates!M45</f>
        <v>1</v>
      </c>
      <c r="N31" s="92">
        <f>Rates!N45</f>
        <v>1</v>
      </c>
      <c r="O31" s="92">
        <f>Rates!O45</f>
        <v>1</v>
      </c>
      <c r="P31" s="92">
        <f>Rates!P45</f>
        <v>1</v>
      </c>
      <c r="Q31" s="92">
        <f>Rates!Q45</f>
        <v>1</v>
      </c>
      <c r="R31" s="92">
        <f>Rates!R45</f>
        <v>1</v>
      </c>
      <c r="S31" s="92">
        <f>Rates!S45</f>
        <v>1</v>
      </c>
      <c r="T31" s="92">
        <f>Rates!T45</f>
        <v>1</v>
      </c>
    </row>
    <row r="32" spans="2:20" ht="5.9" hidden="1" customHeight="1" outlineLevel="2"/>
    <row r="33" spans="3:20" hidden="1" outlineLevel="2">
      <c r="C33" s="37" t="s">
        <v>105</v>
      </c>
    </row>
    <row r="34" spans="3:20" ht="5.9" hidden="1" customHeight="1" outlineLevel="2"/>
    <row r="35" spans="3:20" hidden="1" outlineLevel="2">
      <c r="D35" s="51" t="s">
        <v>106</v>
      </c>
      <c r="J35" s="100">
        <f>Rates!J50</f>
        <v>6.9591273870889495E-2</v>
      </c>
      <c r="K35" s="100">
        <f>Rates!K50</f>
        <v>7.3934468928182201E-2</v>
      </c>
      <c r="L35" s="100">
        <f>Rates!L50</f>
        <v>7.5085976469407303E-2</v>
      </c>
      <c r="M35" s="100">
        <f>Rates!M50</f>
        <v>8.0103391005934096E-2</v>
      </c>
      <c r="N35" s="100">
        <f>Rates!N50</f>
        <v>3.7711007382937055E-2</v>
      </c>
      <c r="O35" s="100">
        <f>Rates!O50</f>
        <v>3.3283969054706777E-2</v>
      </c>
      <c r="P35" s="100">
        <f>Rates!P50</f>
        <v>2.6752660513445464E-2</v>
      </c>
      <c r="Q35" s="100">
        <f>Rates!Q50</f>
        <v>2.6060587348993774E-2</v>
      </c>
      <c r="R35" s="100">
        <f>Rates!R50</f>
        <v>2.6873005987587139E-2</v>
      </c>
      <c r="S35" s="100">
        <f>Rates!S50</f>
        <v>2.8546178928104012E-2</v>
      </c>
      <c r="T35" s="100">
        <f>Rates!T50</f>
        <v>2.9920378203686534E-2</v>
      </c>
    </row>
    <row r="36" spans="3:20" hidden="1" outlineLevel="2">
      <c r="D36" s="51" t="s">
        <v>107</v>
      </c>
      <c r="J36" s="100">
        <f>Rates!J51</f>
        <v>5.5842732834613398E-2</v>
      </c>
      <c r="K36" s="100">
        <f>Rates!K51</f>
        <v>5.16564294790849E-2</v>
      </c>
      <c r="L36" s="100">
        <f>Rates!L51</f>
        <v>6.0535031919173997E-2</v>
      </c>
      <c r="M36" s="100">
        <f>Rates!M51</f>
        <v>7.1630695797579302E-2</v>
      </c>
      <c r="N36" s="100">
        <f>Rates!N51</f>
        <v>7.4343858126268231E-2</v>
      </c>
      <c r="O36" s="100">
        <f>Rates!O51</f>
        <v>7.4059082290758096E-2</v>
      </c>
      <c r="P36" s="100">
        <f>Rates!P51</f>
        <v>2.4388539961794877E-2</v>
      </c>
      <c r="Q36" s="100">
        <f>Rates!Q51</f>
        <v>2.1171310758207256E-2</v>
      </c>
      <c r="R36" s="100">
        <f>Rates!R51</f>
        <v>2.0024144075344485E-2</v>
      </c>
      <c r="S36" s="100">
        <f>Rates!S51</f>
        <v>3.9620009613577346E-2</v>
      </c>
      <c r="T36" s="100">
        <f>Rates!T51</f>
        <v>5.404914337922874E-2</v>
      </c>
    </row>
    <row r="37" spans="3:20" hidden="1" outlineLevel="2">
      <c r="D37" s="51" t="s">
        <v>108</v>
      </c>
      <c r="J37" s="100">
        <f>Rates!J52</f>
        <v>0</v>
      </c>
      <c r="K37" s="100">
        <f>Rates!K52</f>
        <v>0</v>
      </c>
      <c r="L37" s="100">
        <f>Rates!L52</f>
        <v>0</v>
      </c>
      <c r="M37" s="100">
        <f>Rates!M52</f>
        <v>0</v>
      </c>
      <c r="N37" s="100">
        <f>Rates!N52</f>
        <v>0</v>
      </c>
      <c r="O37" s="100">
        <f>Rates!O52</f>
        <v>0</v>
      </c>
      <c r="P37" s="100">
        <f>Rates!P52</f>
        <v>0</v>
      </c>
      <c r="Q37" s="100">
        <f>Rates!Q52</f>
        <v>0</v>
      </c>
      <c r="R37" s="100">
        <f>Rates!R52</f>
        <v>0</v>
      </c>
      <c r="S37" s="100">
        <f>Rates!S52</f>
        <v>0</v>
      </c>
      <c r="T37" s="100">
        <f>Rates!T52</f>
        <v>0</v>
      </c>
    </row>
    <row r="38" spans="3:20" outlineLevel="1" collapsed="1"/>
    <row r="39" spans="3:20" ht="5.9" customHeight="1" outlineLevel="1"/>
    <row r="40" spans="3:20" outlineLevel="1">
      <c r="C40" s="37" t="s">
        <v>118</v>
      </c>
    </row>
    <row r="41" spans="3:20" ht="5.9" customHeight="1" outlineLevel="1"/>
    <row r="42" spans="3:20" outlineLevel="1">
      <c r="D42" s="37" t="s">
        <v>160</v>
      </c>
      <c r="H42" s="107" t="s">
        <v>192</v>
      </c>
    </row>
    <row r="43" spans="3:20" ht="5.9" customHeight="1" outlineLevel="1"/>
    <row r="44" spans="3:20" outlineLevel="1">
      <c r="D44" s="102" t="str">
        <f>Work_Codes!D509</f>
        <v>Other Non-IT</v>
      </c>
      <c r="H44" s="63"/>
      <c r="J44" s="125">
        <v>0</v>
      </c>
      <c r="K44" s="125">
        <v>0</v>
      </c>
      <c r="L44" s="125">
        <v>0</v>
      </c>
      <c r="M44" s="125">
        <v>0</v>
      </c>
      <c r="N44" s="125">
        <v>361092.5049599809</v>
      </c>
      <c r="O44" s="125">
        <f>P44/2</f>
        <v>504464.3945648974</v>
      </c>
      <c r="P44" s="125">
        <v>1008928.7891297948</v>
      </c>
      <c r="Q44" s="125">
        <v>1008928.7891297948</v>
      </c>
      <c r="R44" s="125">
        <v>1008928.7891297948</v>
      </c>
      <c r="S44" s="125">
        <v>1008928.7891297948</v>
      </c>
      <c r="T44" s="125">
        <v>1008928.7891297948</v>
      </c>
    </row>
    <row r="45" spans="3:20" outlineLevel="1">
      <c r="D45" s="102" t="str">
        <f>Work_Codes!D510</f>
        <v>Other Non-IT Category 2</v>
      </c>
      <c r="H45" s="63"/>
      <c r="J45" s="125">
        <v>0</v>
      </c>
      <c r="K45" s="125">
        <v>0</v>
      </c>
      <c r="L45" s="125">
        <v>0</v>
      </c>
      <c r="M45" s="125">
        <v>0</v>
      </c>
      <c r="N45" s="125">
        <v>0</v>
      </c>
      <c r="O45" s="125">
        <v>0</v>
      </c>
      <c r="P45" s="125">
        <v>0</v>
      </c>
      <c r="Q45" s="125">
        <v>0</v>
      </c>
      <c r="R45" s="125">
        <v>0</v>
      </c>
      <c r="S45" s="125">
        <v>0</v>
      </c>
      <c r="T45" s="125">
        <v>0</v>
      </c>
    </row>
    <row r="46" spans="3:20" outlineLevel="1">
      <c r="D46" s="105"/>
      <c r="H46" s="58"/>
      <c r="J46" s="66"/>
      <c r="K46" s="66"/>
      <c r="L46" s="66"/>
      <c r="M46" s="66"/>
      <c r="N46" s="66"/>
      <c r="O46" s="66"/>
      <c r="P46" s="66"/>
      <c r="Q46" s="66"/>
      <c r="R46" s="66"/>
      <c r="S46" s="66"/>
      <c r="T46" s="66"/>
    </row>
    <row r="47" spans="3:20" outlineLevel="1">
      <c r="C47" s="37" t="s">
        <v>119</v>
      </c>
    </row>
    <row r="48" spans="3:20" ht="5.9" customHeight="1" outlineLevel="1"/>
    <row r="49" spans="3:20" outlineLevel="1">
      <c r="D49" s="37" t="str">
        <f>D42</f>
        <v>Capex Category</v>
      </c>
    </row>
    <row r="50" spans="3:20" ht="5.9" customHeight="1" outlineLevel="1"/>
    <row r="51" spans="3:20" outlineLevel="1">
      <c r="D51" s="102" t="str">
        <f>Work_Codes!D509</f>
        <v>Other Non-IT</v>
      </c>
      <c r="J51" s="163">
        <v>0</v>
      </c>
      <c r="K51" s="163">
        <v>0</v>
      </c>
      <c r="L51" s="163">
        <v>0</v>
      </c>
      <c r="M51" s="163">
        <v>0</v>
      </c>
      <c r="N51" s="163">
        <v>1</v>
      </c>
      <c r="O51" s="163">
        <v>0.5</v>
      </c>
      <c r="P51" s="163">
        <v>1</v>
      </c>
      <c r="Q51" s="163">
        <v>1</v>
      </c>
      <c r="R51" s="163">
        <v>1</v>
      </c>
      <c r="S51" s="163">
        <v>1</v>
      </c>
      <c r="T51" s="163">
        <v>1</v>
      </c>
    </row>
    <row r="52" spans="3:20" outlineLevel="1">
      <c r="D52" s="102" t="str">
        <f>Work_Codes!D510</f>
        <v>Other Non-IT Category 2</v>
      </c>
      <c r="J52" s="163">
        <v>0</v>
      </c>
      <c r="K52" s="163">
        <v>0</v>
      </c>
      <c r="L52" s="163">
        <v>0</v>
      </c>
      <c r="M52" s="163">
        <v>0</v>
      </c>
      <c r="N52" s="163">
        <v>0</v>
      </c>
      <c r="O52" s="163">
        <v>0</v>
      </c>
      <c r="P52" s="163">
        <v>0</v>
      </c>
      <c r="Q52" s="163">
        <v>0</v>
      </c>
      <c r="R52" s="163">
        <v>0</v>
      </c>
      <c r="S52" s="163">
        <v>0</v>
      </c>
      <c r="T52" s="163">
        <v>0</v>
      </c>
    </row>
    <row r="53" spans="3:20" outlineLevel="1"/>
    <row r="54" spans="3:20" outlineLevel="1">
      <c r="C54" s="37" t="s">
        <v>193</v>
      </c>
    </row>
    <row r="55" spans="3:20" ht="5.9" customHeight="1" outlineLevel="1"/>
    <row r="56" spans="3:20" outlineLevel="1">
      <c r="D56" s="37" t="str">
        <f>D42</f>
        <v>Capex Category</v>
      </c>
    </row>
    <row r="57" spans="3:20" ht="5.9" customHeight="1" outlineLevel="1"/>
    <row r="58" spans="3:20" outlineLevel="1">
      <c r="D58" s="102" t="str">
        <f>Work_Codes!D509</f>
        <v>Other Non-IT</v>
      </c>
      <c r="J58" s="81">
        <f t="shared" ref="J58:T58" si="8">J44*J51</f>
        <v>0</v>
      </c>
      <c r="K58" s="81">
        <f t="shared" si="8"/>
        <v>0</v>
      </c>
      <c r="L58" s="81">
        <f t="shared" si="8"/>
        <v>0</v>
      </c>
      <c r="M58" s="81">
        <f t="shared" si="8"/>
        <v>0</v>
      </c>
      <c r="N58" s="81">
        <f t="shared" si="8"/>
        <v>361092.5049599809</v>
      </c>
      <c r="O58" s="81">
        <f t="shared" si="8"/>
        <v>252232.1972824487</v>
      </c>
      <c r="P58" s="81">
        <f t="shared" si="8"/>
        <v>1008928.7891297948</v>
      </c>
      <c r="Q58" s="81">
        <f t="shared" si="8"/>
        <v>1008928.7891297948</v>
      </c>
      <c r="R58" s="81">
        <f t="shared" si="8"/>
        <v>1008928.7891297948</v>
      </c>
      <c r="S58" s="81">
        <f t="shared" si="8"/>
        <v>1008928.7891297948</v>
      </c>
      <c r="T58" s="81">
        <f t="shared" si="8"/>
        <v>1008928.7891297948</v>
      </c>
    </row>
    <row r="59" spans="3:20" outlineLevel="1">
      <c r="D59" s="102" t="str">
        <f>Work_Codes!D510</f>
        <v>Other Non-IT Category 2</v>
      </c>
      <c r="J59" s="81">
        <f t="shared" ref="J59:T59" si="9">J45*J52</f>
        <v>0</v>
      </c>
      <c r="K59" s="81">
        <f t="shared" si="9"/>
        <v>0</v>
      </c>
      <c r="L59" s="81">
        <f t="shared" si="9"/>
        <v>0</v>
      </c>
      <c r="M59" s="81">
        <f t="shared" si="9"/>
        <v>0</v>
      </c>
      <c r="N59" s="81">
        <f t="shared" si="9"/>
        <v>0</v>
      </c>
      <c r="O59" s="81">
        <f t="shared" si="9"/>
        <v>0</v>
      </c>
      <c r="P59" s="81">
        <f t="shared" si="9"/>
        <v>0</v>
      </c>
      <c r="Q59" s="81">
        <f t="shared" si="9"/>
        <v>0</v>
      </c>
      <c r="R59" s="81">
        <f t="shared" si="9"/>
        <v>0</v>
      </c>
      <c r="S59" s="81">
        <f t="shared" si="9"/>
        <v>0</v>
      </c>
      <c r="T59" s="81">
        <f t="shared" si="9"/>
        <v>0</v>
      </c>
    </row>
    <row r="60" spans="3:20" ht="5.9" customHeight="1" outlineLevel="1">
      <c r="D60" s="37"/>
      <c r="J60" s="78"/>
      <c r="K60" s="78"/>
      <c r="L60" s="78"/>
      <c r="M60" s="78"/>
      <c r="N60" s="78"/>
      <c r="O60" s="78"/>
      <c r="P60" s="78"/>
      <c r="Q60" s="78"/>
      <c r="R60" s="78"/>
      <c r="S60" s="78"/>
      <c r="T60" s="78"/>
    </row>
    <row r="61" spans="3:20" outlineLevel="1">
      <c r="D61" s="249" t="str">
        <f>"Total "&amp;B25</f>
        <v>Total Other Non-IT</v>
      </c>
      <c r="E61" s="249"/>
      <c r="F61" s="249"/>
      <c r="G61" s="249"/>
      <c r="H61" s="249"/>
      <c r="I61" s="249"/>
      <c r="J61" s="82">
        <f t="shared" ref="J61:T61" si="10">SUM(J58:J60)</f>
        <v>0</v>
      </c>
      <c r="K61" s="82">
        <f t="shared" si="10"/>
        <v>0</v>
      </c>
      <c r="L61" s="82">
        <f t="shared" si="10"/>
        <v>0</v>
      </c>
      <c r="M61" s="82">
        <f t="shared" si="10"/>
        <v>0</v>
      </c>
      <c r="N61" s="82">
        <f t="shared" si="10"/>
        <v>361092.5049599809</v>
      </c>
      <c r="O61" s="82">
        <f t="shared" si="10"/>
        <v>252232.1972824487</v>
      </c>
      <c r="P61" s="82">
        <f t="shared" si="10"/>
        <v>1008928.7891297948</v>
      </c>
      <c r="Q61" s="82">
        <f t="shared" si="10"/>
        <v>1008928.7891297948</v>
      </c>
      <c r="R61" s="82">
        <f t="shared" si="10"/>
        <v>1008928.7891297948</v>
      </c>
      <c r="S61" s="82">
        <f t="shared" si="10"/>
        <v>1008928.7891297948</v>
      </c>
      <c r="T61" s="82">
        <f t="shared" si="10"/>
        <v>1008928.7891297948</v>
      </c>
    </row>
    <row r="62" spans="3:20" outlineLevel="1"/>
    <row r="63" spans="3:20" outlineLevel="1">
      <c r="C63" s="37" t="s">
        <v>286</v>
      </c>
    </row>
    <row r="64" spans="3:20" ht="5.9" customHeight="1" outlineLevel="1"/>
    <row r="65" spans="3:20" outlineLevel="1">
      <c r="D65" s="143" t="str">
        <f>Work_Codes!D514</f>
        <v>Customer Contributions Category 1</v>
      </c>
      <c r="J65" s="148">
        <v>0</v>
      </c>
      <c r="K65" s="148">
        <v>0</v>
      </c>
      <c r="L65" s="148">
        <v>0</v>
      </c>
      <c r="M65" s="148">
        <v>0</v>
      </c>
      <c r="N65" s="148">
        <v>0</v>
      </c>
      <c r="O65" s="148">
        <v>0</v>
      </c>
      <c r="P65" s="148">
        <v>0</v>
      </c>
      <c r="Q65" s="148">
        <v>0</v>
      </c>
      <c r="R65" s="148">
        <v>0</v>
      </c>
      <c r="S65" s="148">
        <v>0</v>
      </c>
      <c r="T65" s="148">
        <v>0</v>
      </c>
    </row>
    <row r="66" spans="3:20" ht="5.9" customHeight="1" outlineLevel="1"/>
    <row r="67" spans="3:20" outlineLevel="1">
      <c r="D67" s="249" t="str">
        <f>"Total "&amp;C63</f>
        <v>Total Customer Connections</v>
      </c>
      <c r="E67" s="249"/>
      <c r="F67" s="249"/>
      <c r="G67" s="249"/>
      <c r="H67" s="249"/>
      <c r="I67" s="249"/>
      <c r="J67" s="82">
        <f t="shared" ref="J67:T67" si="11">SUM(J65:J66)</f>
        <v>0</v>
      </c>
      <c r="K67" s="82">
        <f t="shared" si="11"/>
        <v>0</v>
      </c>
      <c r="L67" s="82">
        <f t="shared" si="11"/>
        <v>0</v>
      </c>
      <c r="M67" s="82">
        <f t="shared" si="11"/>
        <v>0</v>
      </c>
      <c r="N67" s="82">
        <f t="shared" si="11"/>
        <v>0</v>
      </c>
      <c r="O67" s="82">
        <f t="shared" si="11"/>
        <v>0</v>
      </c>
      <c r="P67" s="82">
        <f t="shared" si="11"/>
        <v>0</v>
      </c>
      <c r="Q67" s="82">
        <f t="shared" si="11"/>
        <v>0</v>
      </c>
      <c r="R67" s="82">
        <f t="shared" si="11"/>
        <v>0</v>
      </c>
      <c r="S67" s="82">
        <f t="shared" si="11"/>
        <v>0</v>
      </c>
      <c r="T67" s="82">
        <f t="shared" si="11"/>
        <v>0</v>
      </c>
    </row>
    <row r="68" spans="3:20" outlineLevel="1">
      <c r="C68" s="12"/>
      <c r="D68" s="12"/>
      <c r="E68" s="12"/>
      <c r="F68" s="12"/>
      <c r="G68" s="12"/>
      <c r="H68" s="12"/>
      <c r="I68" s="12"/>
      <c r="J68" s="12"/>
      <c r="K68" s="12"/>
      <c r="L68" s="12"/>
      <c r="M68" s="12"/>
      <c r="N68" s="12"/>
      <c r="O68" s="12"/>
      <c r="P68" s="12"/>
      <c r="Q68" s="12"/>
      <c r="R68" s="12"/>
      <c r="S68" s="12"/>
      <c r="T68" s="12"/>
    </row>
    <row r="69" spans="3:20" outlineLevel="1"/>
    <row r="70" spans="3:20" outlineLevel="1">
      <c r="C70" s="37" t="s">
        <v>213</v>
      </c>
    </row>
    <row r="71" spans="3:20" ht="5.9" hidden="1" customHeight="1" outlineLevel="2"/>
    <row r="72" spans="3:20" hidden="1" outlineLevel="2">
      <c r="C72" s="37" t="s">
        <v>128</v>
      </c>
    </row>
    <row r="73" spans="3:20" ht="5.9" hidden="1" customHeight="1" outlineLevel="2"/>
    <row r="74" spans="3:20" hidden="1" outlineLevel="2">
      <c r="D74" s="102" t="str">
        <f>Work_Codes!D509</f>
        <v>Other Non-IT</v>
      </c>
      <c r="J74" s="81">
        <f>Work_Codes!$I509*J58*J$29</f>
        <v>0</v>
      </c>
      <c r="K74" s="81">
        <f>Work_Codes!$I509*K58*K$29</f>
        <v>0</v>
      </c>
      <c r="L74" s="81">
        <f>Work_Codes!$I509*L58*L$29</f>
        <v>0</v>
      </c>
      <c r="M74" s="81">
        <f>Work_Codes!$I509*M58*M$29</f>
        <v>0</v>
      </c>
      <c r="N74" s="81">
        <f>Work_Codes!$I509*N58*N$29</f>
        <v>14443.700198399236</v>
      </c>
      <c r="O74" s="81">
        <f>Work_Codes!$I509*O58*O$29</f>
        <v>10141.711060078402</v>
      </c>
      <c r="P74" s="81">
        <f>Work_Codes!$I509*P58*P$29</f>
        <v>40770.01225352133</v>
      </c>
      <c r="Q74" s="81">
        <f>Work_Codes!$I509*Q58*Q$29</f>
        <v>41087.910104979419</v>
      </c>
      <c r="R74" s="81">
        <f>Work_Codes!$I509*R58*R$29</f>
        <v>41540.224234075584</v>
      </c>
      <c r="S74" s="81">
        <f>Work_Codes!$I509*S58*S$29</f>
        <v>41997.517639821679</v>
      </c>
      <c r="T74" s="81">
        <f>Work_Codes!$I509*T58*T$29</f>
        <v>42459.845136326658</v>
      </c>
    </row>
    <row r="75" spans="3:20" hidden="1" outlineLevel="2">
      <c r="D75" s="102" t="str">
        <f>Work_Codes!D510</f>
        <v>Other Non-IT Category 2</v>
      </c>
      <c r="J75" s="81">
        <f>Work_Codes!$I510*J59*J$29</f>
        <v>0</v>
      </c>
      <c r="K75" s="81">
        <f>Work_Codes!$I510*K59*K$29</f>
        <v>0</v>
      </c>
      <c r="L75" s="81">
        <f>Work_Codes!$I510*L59*L$29</f>
        <v>0</v>
      </c>
      <c r="M75" s="81">
        <f>Work_Codes!$I510*M59*M$29</f>
        <v>0</v>
      </c>
      <c r="N75" s="81">
        <f>Work_Codes!$I510*N59*N$29</f>
        <v>0</v>
      </c>
      <c r="O75" s="81">
        <f>Work_Codes!$I510*O59*O$29</f>
        <v>0</v>
      </c>
      <c r="P75" s="81">
        <f>Work_Codes!$I510*P59*P$29</f>
        <v>0</v>
      </c>
      <c r="Q75" s="81">
        <f>Work_Codes!$I510*Q59*Q$29</f>
        <v>0</v>
      </c>
      <c r="R75" s="81">
        <f>Work_Codes!$I510*R59*R$29</f>
        <v>0</v>
      </c>
      <c r="S75" s="81">
        <f>Work_Codes!$I510*S59*S$29</f>
        <v>0</v>
      </c>
      <c r="T75" s="81">
        <f>Work_Codes!$I510*T59*T$29</f>
        <v>0</v>
      </c>
    </row>
    <row r="76" spans="3:20" ht="5.9" hidden="1" customHeight="1" outlineLevel="2"/>
    <row r="77" spans="3:20" hidden="1" outlineLevel="2">
      <c r="D77" s="249" t="str">
        <f>"Total "&amp;C72</f>
        <v>Total Internal Labour</v>
      </c>
      <c r="E77" s="249"/>
      <c r="F77" s="249"/>
      <c r="G77" s="249"/>
      <c r="H77" s="249"/>
      <c r="I77" s="249"/>
      <c r="J77" s="82">
        <f t="shared" ref="J77:T77" si="12">SUM(J74:J76)</f>
        <v>0</v>
      </c>
      <c r="K77" s="82">
        <f t="shared" si="12"/>
        <v>0</v>
      </c>
      <c r="L77" s="82">
        <f t="shared" si="12"/>
        <v>0</v>
      </c>
      <c r="M77" s="82">
        <f t="shared" si="12"/>
        <v>0</v>
      </c>
      <c r="N77" s="82">
        <f t="shared" si="12"/>
        <v>14443.700198399236</v>
      </c>
      <c r="O77" s="82">
        <f t="shared" si="12"/>
        <v>10141.711060078402</v>
      </c>
      <c r="P77" s="82">
        <f t="shared" si="12"/>
        <v>40770.01225352133</v>
      </c>
      <c r="Q77" s="82">
        <f t="shared" si="12"/>
        <v>41087.910104979419</v>
      </c>
      <c r="R77" s="82">
        <f t="shared" si="12"/>
        <v>41540.224234075584</v>
      </c>
      <c r="S77" s="82">
        <f t="shared" si="12"/>
        <v>41997.517639821679</v>
      </c>
      <c r="T77" s="82">
        <f t="shared" si="12"/>
        <v>42459.845136326658</v>
      </c>
    </row>
    <row r="78" spans="3:20" hidden="1" outlineLevel="2"/>
    <row r="79" spans="3:20" hidden="1" outlineLevel="2">
      <c r="C79" s="37" t="s">
        <v>129</v>
      </c>
    </row>
    <row r="80" spans="3:20" ht="5.9" hidden="1" customHeight="1" outlineLevel="2"/>
    <row r="81" spans="3:20" hidden="1" outlineLevel="2">
      <c r="D81" s="102" t="str">
        <f>Work_Codes!D509</f>
        <v>Other Non-IT</v>
      </c>
      <c r="J81" s="81">
        <f>Work_Codes!$J509*J58*J$30</f>
        <v>0</v>
      </c>
      <c r="K81" s="81">
        <f>Work_Codes!$J509*K58*K$30</f>
        <v>0</v>
      </c>
      <c r="L81" s="81">
        <f>Work_Codes!$J509*L58*L$30</f>
        <v>0</v>
      </c>
      <c r="M81" s="81">
        <f>Work_Codes!$J509*M58*M$30</f>
        <v>0</v>
      </c>
      <c r="N81" s="81">
        <f>Work_Codes!$J509*N58*N$30</f>
        <v>14443.700198399236</v>
      </c>
      <c r="O81" s="81">
        <f>Work_Codes!$J509*O58*O$30</f>
        <v>10089.287891297949</v>
      </c>
      <c r="P81" s="81">
        <f>Work_Codes!$J509*P58*P$30</f>
        <v>40357.151565191794</v>
      </c>
      <c r="Q81" s="81">
        <f>Work_Codes!$J509*Q58*Q$30</f>
        <v>40357.151565191794</v>
      </c>
      <c r="R81" s="81">
        <f>Work_Codes!$J509*R58*R$30</f>
        <v>40357.151565191794</v>
      </c>
      <c r="S81" s="81">
        <f>Work_Codes!$J509*S58*S$30</f>
        <v>40357.151565191794</v>
      </c>
      <c r="T81" s="81">
        <f>Work_Codes!$J509*T58*T$30</f>
        <v>40357.151565191794</v>
      </c>
    </row>
    <row r="82" spans="3:20" hidden="1" outlineLevel="2">
      <c r="D82" s="102" t="str">
        <f>Work_Codes!D510</f>
        <v>Other Non-IT Category 2</v>
      </c>
      <c r="J82" s="81">
        <f>Work_Codes!$J510*J59*J$30</f>
        <v>0</v>
      </c>
      <c r="K82" s="81">
        <f>Work_Codes!$J510*K59*K$30</f>
        <v>0</v>
      </c>
      <c r="L82" s="81">
        <f>Work_Codes!$J510*L59*L$30</f>
        <v>0</v>
      </c>
      <c r="M82" s="81">
        <f>Work_Codes!$J510*M59*M$30</f>
        <v>0</v>
      </c>
      <c r="N82" s="81">
        <f>Work_Codes!$J510*N59*N$30</f>
        <v>0</v>
      </c>
      <c r="O82" s="81">
        <f>Work_Codes!$J510*O59*O$30</f>
        <v>0</v>
      </c>
      <c r="P82" s="81">
        <f>Work_Codes!$J510*P59*P$30</f>
        <v>0</v>
      </c>
      <c r="Q82" s="81">
        <f>Work_Codes!$J510*Q59*Q$30</f>
        <v>0</v>
      </c>
      <c r="R82" s="81">
        <f>Work_Codes!$J510*R59*R$30</f>
        <v>0</v>
      </c>
      <c r="S82" s="81">
        <f>Work_Codes!$J510*S59*S$30</f>
        <v>0</v>
      </c>
      <c r="T82" s="81">
        <f>Work_Codes!$J510*T59*T$30</f>
        <v>0</v>
      </c>
    </row>
    <row r="83" spans="3:20" ht="5.9" hidden="1" customHeight="1" outlineLevel="2"/>
    <row r="84" spans="3:20" hidden="1" outlineLevel="2">
      <c r="D84" s="249" t="str">
        <f>"Total "&amp;C79</f>
        <v>Total External Labour</v>
      </c>
      <c r="E84" s="249"/>
      <c r="F84" s="249"/>
      <c r="G84" s="249"/>
      <c r="H84" s="249"/>
      <c r="I84" s="249"/>
      <c r="J84" s="82">
        <f t="shared" ref="J84:T84" si="13">SUM(J81:J83)</f>
        <v>0</v>
      </c>
      <c r="K84" s="82">
        <f t="shared" si="13"/>
        <v>0</v>
      </c>
      <c r="L84" s="82">
        <f t="shared" si="13"/>
        <v>0</v>
      </c>
      <c r="M84" s="82">
        <f t="shared" si="13"/>
        <v>0</v>
      </c>
      <c r="N84" s="82">
        <f t="shared" si="13"/>
        <v>14443.700198399236</v>
      </c>
      <c r="O84" s="82">
        <f t="shared" si="13"/>
        <v>10089.287891297949</v>
      </c>
      <c r="P84" s="82">
        <f t="shared" si="13"/>
        <v>40357.151565191794</v>
      </c>
      <c r="Q84" s="82">
        <f t="shared" si="13"/>
        <v>40357.151565191794</v>
      </c>
      <c r="R84" s="82">
        <f t="shared" si="13"/>
        <v>40357.151565191794</v>
      </c>
      <c r="S84" s="82">
        <f t="shared" si="13"/>
        <v>40357.151565191794</v>
      </c>
      <c r="T84" s="82">
        <f t="shared" si="13"/>
        <v>40357.151565191794</v>
      </c>
    </row>
    <row r="85" spans="3:20" hidden="1" outlineLevel="2"/>
    <row r="86" spans="3:20" hidden="1" outlineLevel="2">
      <c r="C86" s="37" t="s">
        <v>130</v>
      </c>
    </row>
    <row r="87" spans="3:20" ht="5.9" hidden="1" customHeight="1" outlineLevel="2"/>
    <row r="88" spans="3:20" hidden="1" outlineLevel="2">
      <c r="D88" s="102" t="str">
        <f>Work_Codes!D509</f>
        <v>Other Non-IT</v>
      </c>
      <c r="J88" s="81">
        <f>Work_Codes!$K509*J58*J$31</f>
        <v>0</v>
      </c>
      <c r="K88" s="81">
        <f>Work_Codes!$K509*K58*K$31</f>
        <v>0</v>
      </c>
      <c r="L88" s="81">
        <f>Work_Codes!$K509*L58*L$31</f>
        <v>0</v>
      </c>
      <c r="M88" s="81">
        <f>Work_Codes!$K509*M58*M$31</f>
        <v>0</v>
      </c>
      <c r="N88" s="81">
        <f>Work_Codes!$K509*N58*N$31</f>
        <v>332205.10456318245</v>
      </c>
      <c r="O88" s="81">
        <f>Work_Codes!$K509*O58*O$31</f>
        <v>232053.62149985283</v>
      </c>
      <c r="P88" s="81">
        <f>Work_Codes!$K509*P58*P$31</f>
        <v>928214.48599941132</v>
      </c>
      <c r="Q88" s="81">
        <f>Work_Codes!$K509*Q58*Q$31</f>
        <v>928214.48599941132</v>
      </c>
      <c r="R88" s="81">
        <f>Work_Codes!$K509*R58*R$31</f>
        <v>928214.48599941132</v>
      </c>
      <c r="S88" s="81">
        <f>Work_Codes!$K509*S58*S$31</f>
        <v>928214.48599941132</v>
      </c>
      <c r="T88" s="81">
        <f>Work_Codes!$K509*T58*T$31</f>
        <v>928214.48599941132</v>
      </c>
    </row>
    <row r="89" spans="3:20" hidden="1" outlineLevel="2">
      <c r="D89" s="102" t="str">
        <f>Work_Codes!D510</f>
        <v>Other Non-IT Category 2</v>
      </c>
      <c r="J89" s="81">
        <f>Work_Codes!$K510*J59*J$31</f>
        <v>0</v>
      </c>
      <c r="K89" s="81">
        <f>Work_Codes!$K510*K59*K$31</f>
        <v>0</v>
      </c>
      <c r="L89" s="81">
        <f>Work_Codes!$K510*L59*L$31</f>
        <v>0</v>
      </c>
      <c r="M89" s="81">
        <f>Work_Codes!$K510*M59*M$31</f>
        <v>0</v>
      </c>
      <c r="N89" s="81">
        <f>Work_Codes!$K510*N59*N$31</f>
        <v>0</v>
      </c>
      <c r="O89" s="81">
        <f>Work_Codes!$K510*O59*O$31</f>
        <v>0</v>
      </c>
      <c r="P89" s="81">
        <f>Work_Codes!$K510*P59*P$31</f>
        <v>0</v>
      </c>
      <c r="Q89" s="81">
        <f>Work_Codes!$K510*Q59*Q$31</f>
        <v>0</v>
      </c>
      <c r="R89" s="81">
        <f>Work_Codes!$K510*R59*R$31</f>
        <v>0</v>
      </c>
      <c r="S89" s="81">
        <f>Work_Codes!$K510*S59*S$31</f>
        <v>0</v>
      </c>
      <c r="T89" s="81">
        <f>Work_Codes!$K510*T59*T$31</f>
        <v>0</v>
      </c>
    </row>
    <row r="90" spans="3:20" ht="5.9" hidden="1" customHeight="1" outlineLevel="2"/>
    <row r="91" spans="3:20" hidden="1" outlineLevel="2">
      <c r="D91" s="249" t="str">
        <f>"Total "&amp;C86</f>
        <v>Total Materials</v>
      </c>
      <c r="E91" s="249"/>
      <c r="F91" s="249"/>
      <c r="G91" s="249"/>
      <c r="H91" s="249"/>
      <c r="I91" s="249"/>
      <c r="J91" s="82">
        <f t="shared" ref="J91:T91" si="14">SUM(J88:J90)</f>
        <v>0</v>
      </c>
      <c r="K91" s="82">
        <f t="shared" si="14"/>
        <v>0</v>
      </c>
      <c r="L91" s="82">
        <f t="shared" si="14"/>
        <v>0</v>
      </c>
      <c r="M91" s="82">
        <f t="shared" si="14"/>
        <v>0</v>
      </c>
      <c r="N91" s="82">
        <f t="shared" si="14"/>
        <v>332205.10456318245</v>
      </c>
      <c r="O91" s="82">
        <f t="shared" si="14"/>
        <v>232053.62149985283</v>
      </c>
      <c r="P91" s="82">
        <f t="shared" si="14"/>
        <v>928214.48599941132</v>
      </c>
      <c r="Q91" s="82">
        <f t="shared" si="14"/>
        <v>928214.48599941132</v>
      </c>
      <c r="R91" s="82">
        <f t="shared" si="14"/>
        <v>928214.48599941132</v>
      </c>
      <c r="S91" s="82">
        <f t="shared" si="14"/>
        <v>928214.48599941132</v>
      </c>
      <c r="T91" s="82">
        <f t="shared" si="14"/>
        <v>928214.48599941132</v>
      </c>
    </row>
    <row r="92" spans="3:20" outlineLevel="1" collapsed="1"/>
    <row r="93" spans="3:20" outlineLevel="1">
      <c r="C93" s="37" t="s">
        <v>217</v>
      </c>
    </row>
    <row r="94" spans="3:20" ht="5.9" customHeight="1" outlineLevel="1"/>
    <row r="95" spans="3:20" outlineLevel="1">
      <c r="D95" s="102" t="str">
        <f>Work_Codes!D509</f>
        <v>Other Non-IT</v>
      </c>
      <c r="J95" s="81">
        <f t="shared" ref="J95:T95" si="15">J74+J81+J88</f>
        <v>0</v>
      </c>
      <c r="K95" s="81">
        <f t="shared" si="15"/>
        <v>0</v>
      </c>
      <c r="L95" s="81">
        <f t="shared" si="15"/>
        <v>0</v>
      </c>
      <c r="M95" s="81">
        <f t="shared" si="15"/>
        <v>0</v>
      </c>
      <c r="N95" s="81">
        <f t="shared" si="15"/>
        <v>361092.5049599809</v>
      </c>
      <c r="O95" s="81">
        <f t="shared" si="15"/>
        <v>252284.62045122919</v>
      </c>
      <c r="P95" s="81">
        <f t="shared" si="15"/>
        <v>1009341.6498181245</v>
      </c>
      <c r="Q95" s="81">
        <f t="shared" si="15"/>
        <v>1009659.5476695825</v>
      </c>
      <c r="R95" s="81">
        <f t="shared" si="15"/>
        <v>1010111.8617986788</v>
      </c>
      <c r="S95" s="81">
        <f t="shared" si="15"/>
        <v>1010569.1552044248</v>
      </c>
      <c r="T95" s="81">
        <f t="shared" si="15"/>
        <v>1011031.4827009297</v>
      </c>
    </row>
    <row r="96" spans="3:20" outlineLevel="1">
      <c r="D96" s="102" t="str">
        <f>Work_Codes!D510</f>
        <v>Other Non-IT Category 2</v>
      </c>
      <c r="J96" s="81">
        <f t="shared" ref="J96:T96" si="16">J75+J82+J89</f>
        <v>0</v>
      </c>
      <c r="K96" s="81">
        <f t="shared" si="16"/>
        <v>0</v>
      </c>
      <c r="L96" s="81">
        <f t="shared" si="16"/>
        <v>0</v>
      </c>
      <c r="M96" s="81">
        <f t="shared" si="16"/>
        <v>0</v>
      </c>
      <c r="N96" s="81">
        <f t="shared" si="16"/>
        <v>0</v>
      </c>
      <c r="O96" s="81">
        <f t="shared" si="16"/>
        <v>0</v>
      </c>
      <c r="P96" s="81">
        <f t="shared" si="16"/>
        <v>0</v>
      </c>
      <c r="Q96" s="81">
        <f t="shared" si="16"/>
        <v>0</v>
      </c>
      <c r="R96" s="81">
        <f t="shared" si="16"/>
        <v>0</v>
      </c>
      <c r="S96" s="81">
        <f t="shared" si="16"/>
        <v>0</v>
      </c>
      <c r="T96" s="81">
        <f t="shared" si="16"/>
        <v>0</v>
      </c>
    </row>
    <row r="97" spans="2:20" ht="5.9" customHeight="1" outlineLevel="1"/>
    <row r="98" spans="2:20" outlineLevel="1">
      <c r="D98" s="249" t="str">
        <f>C93</f>
        <v>Total Direct Capex including Escalation (Non CPI)</v>
      </c>
      <c r="E98" s="249"/>
      <c r="F98" s="249"/>
      <c r="G98" s="249"/>
      <c r="H98" s="249"/>
      <c r="I98" s="249"/>
      <c r="J98" s="82">
        <f t="shared" ref="J98:T98" si="17">SUM(J95:J97)</f>
        <v>0</v>
      </c>
      <c r="K98" s="82">
        <f t="shared" si="17"/>
        <v>0</v>
      </c>
      <c r="L98" s="82">
        <f t="shared" si="17"/>
        <v>0</v>
      </c>
      <c r="M98" s="82">
        <f t="shared" si="17"/>
        <v>0</v>
      </c>
      <c r="N98" s="82">
        <f t="shared" si="17"/>
        <v>361092.5049599809</v>
      </c>
      <c r="O98" s="82">
        <f t="shared" si="17"/>
        <v>252284.62045122919</v>
      </c>
      <c r="P98" s="82">
        <f t="shared" si="17"/>
        <v>1009341.6498181245</v>
      </c>
      <c r="Q98" s="82">
        <f t="shared" si="17"/>
        <v>1009659.5476695825</v>
      </c>
      <c r="R98" s="82">
        <f t="shared" si="17"/>
        <v>1010111.8617986788</v>
      </c>
      <c r="S98" s="82">
        <f t="shared" si="17"/>
        <v>1010569.1552044248</v>
      </c>
      <c r="T98" s="82">
        <f t="shared" si="17"/>
        <v>1011031.4827009297</v>
      </c>
    </row>
    <row r="99" spans="2:20" outlineLevel="1">
      <c r="B99" s="12"/>
      <c r="C99" s="12"/>
      <c r="D99" s="12"/>
      <c r="E99" s="12"/>
      <c r="F99" s="12"/>
      <c r="G99" s="12"/>
      <c r="H99" s="12"/>
      <c r="I99" s="12"/>
      <c r="J99" s="12"/>
      <c r="K99" s="12"/>
      <c r="L99" s="12"/>
      <c r="M99" s="12"/>
      <c r="N99" s="12"/>
      <c r="O99" s="12"/>
      <c r="P99" s="12"/>
      <c r="Q99" s="12"/>
      <c r="R99" s="12"/>
      <c r="S99" s="12"/>
      <c r="T99" s="12"/>
    </row>
    <row r="100" spans="2:20" outlineLevel="1"/>
    <row r="101" spans="2:20" outlineLevel="1">
      <c r="C101" s="37" t="s">
        <v>195</v>
      </c>
    </row>
    <row r="102" spans="2:20" ht="5.9" customHeight="1" outlineLevel="2"/>
    <row r="103" spans="2:20" outlineLevel="2">
      <c r="D103" s="37" t="s">
        <v>215</v>
      </c>
    </row>
    <row r="104" spans="2:20" ht="5.9" customHeight="1" outlineLevel="2"/>
    <row r="105" spans="2:20" ht="11.5" customHeight="1" outlineLevel="2">
      <c r="E105" s="247" t="str">
        <f>GC!C40</f>
        <v>Transmission pipelines</v>
      </c>
      <c r="F105" s="247"/>
      <c r="G105" s="247"/>
      <c r="H105" s="247"/>
      <c r="I105" s="247"/>
      <c r="J105" s="81">
        <f ca="1">SUMPRODUCT((Work_Codes!$N$506:$Y$506=$E105)*(Work_Codes!$N$509:$Y$510)*(J$95:J$96))</f>
        <v>0</v>
      </c>
      <c r="K105" s="81">
        <f ca="1">SUMPRODUCT((Work_Codes!$N$506:$Y$506=$E105)*(Work_Codes!$N$509:$Y$510)*(K$95:K$96))</f>
        <v>0</v>
      </c>
      <c r="L105" s="81">
        <f ca="1">SUMPRODUCT((Work_Codes!$N$506:$Y$506=$E105)*(Work_Codes!$N$509:$Y$510)*(L$95:L$96))</f>
        <v>0</v>
      </c>
      <c r="M105" s="81">
        <f ca="1">SUMPRODUCT((Work_Codes!$N$506:$Y$506=$E105)*(Work_Codes!$N$509:$Y$510)*(M$95:M$96))</f>
        <v>0</v>
      </c>
      <c r="N105" s="81">
        <f ca="1">SUMPRODUCT((Work_Codes!$N$506:$Y$506=$E105)*(Work_Codes!$N$509:$Y$510)*(N$95:N$96))</f>
        <v>0</v>
      </c>
      <c r="O105" s="81">
        <f ca="1">SUMPRODUCT((Work_Codes!$N$506:$Y$506=$E105)*(Work_Codes!$N$509:$Y$510)*(O$95:O$96))</f>
        <v>0</v>
      </c>
      <c r="P105" s="81">
        <f ca="1">SUMPRODUCT((Work_Codes!$N$506:$Y$506=$E105)*(Work_Codes!$N$509:$Y$510)*(P$95:P$96))</f>
        <v>0</v>
      </c>
      <c r="Q105" s="81">
        <f ca="1">SUMPRODUCT((Work_Codes!$N$506:$Y$506=$E105)*(Work_Codes!$N$509:$Y$510)*(Q$95:Q$96))</f>
        <v>0</v>
      </c>
      <c r="R105" s="81">
        <f ca="1">SUMPRODUCT((Work_Codes!$N$506:$Y$506=$E105)*(Work_Codes!$N$509:$Y$510)*(R$95:R$96))</f>
        <v>0</v>
      </c>
      <c r="S105" s="81">
        <f ca="1">SUMPRODUCT((Work_Codes!$N$506:$Y$506=$E105)*(Work_Codes!$N$509:$Y$510)*(S$95:S$96))</f>
        <v>0</v>
      </c>
      <c r="T105" s="81">
        <f ca="1">SUMPRODUCT((Work_Codes!$N$506:$Y$506=$E105)*(Work_Codes!$N$509:$Y$510)*(T$95:T$96))</f>
        <v>0</v>
      </c>
    </row>
    <row r="106" spans="2:20" ht="11.5" customHeight="1" outlineLevel="2">
      <c r="E106" s="247" t="str">
        <f>GC!C41</f>
        <v>Distribution pipelines</v>
      </c>
      <c r="F106" s="247"/>
      <c r="G106" s="247"/>
      <c r="H106" s="247"/>
      <c r="I106" s="247"/>
      <c r="J106" s="81">
        <f ca="1">SUMPRODUCT((Work_Codes!$N$506:$Y$506=$E106)*(Work_Codes!$N$509:$Y$510)*(J$95:J$96))</f>
        <v>0</v>
      </c>
      <c r="K106" s="81">
        <f ca="1">SUMPRODUCT((Work_Codes!$N$506:$Y$506=$E106)*(Work_Codes!$N$509:$Y$510)*(K$95:K$96))</f>
        <v>0</v>
      </c>
      <c r="L106" s="81">
        <f ca="1">SUMPRODUCT((Work_Codes!$N$506:$Y$506=$E106)*(Work_Codes!$N$509:$Y$510)*(L$95:L$96))</f>
        <v>0</v>
      </c>
      <c r="M106" s="81">
        <f ca="1">SUMPRODUCT((Work_Codes!$N$506:$Y$506=$E106)*(Work_Codes!$N$509:$Y$510)*(M$95:M$96))</f>
        <v>0</v>
      </c>
      <c r="N106" s="81">
        <f ca="1">SUMPRODUCT((Work_Codes!$N$506:$Y$506=$E106)*(Work_Codes!$N$509:$Y$510)*(N$95:N$96))</f>
        <v>0</v>
      </c>
      <c r="O106" s="81">
        <f ca="1">SUMPRODUCT((Work_Codes!$N$506:$Y$506=$E106)*(Work_Codes!$N$509:$Y$510)*(O$95:O$96))</f>
        <v>0</v>
      </c>
      <c r="P106" s="81">
        <f ca="1">SUMPRODUCT((Work_Codes!$N$506:$Y$506=$E106)*(Work_Codes!$N$509:$Y$510)*(P$95:P$96))</f>
        <v>0</v>
      </c>
      <c r="Q106" s="81">
        <f ca="1">SUMPRODUCT((Work_Codes!$N$506:$Y$506=$E106)*(Work_Codes!$N$509:$Y$510)*(Q$95:Q$96))</f>
        <v>0</v>
      </c>
      <c r="R106" s="81">
        <f ca="1">SUMPRODUCT((Work_Codes!$N$506:$Y$506=$E106)*(Work_Codes!$N$509:$Y$510)*(R$95:R$96))</f>
        <v>0</v>
      </c>
      <c r="S106" s="81">
        <f ca="1">SUMPRODUCT((Work_Codes!$N$506:$Y$506=$E106)*(Work_Codes!$N$509:$Y$510)*(S$95:S$96))</f>
        <v>0</v>
      </c>
      <c r="T106" s="81">
        <f ca="1">SUMPRODUCT((Work_Codes!$N$506:$Y$506=$E106)*(Work_Codes!$N$509:$Y$510)*(T$95:T$96))</f>
        <v>0</v>
      </c>
    </row>
    <row r="107" spans="2:20" ht="11.5" customHeight="1" outlineLevel="2">
      <c r="E107" s="247" t="str">
        <f>GC!C42</f>
        <v>Service pipes</v>
      </c>
      <c r="F107" s="247"/>
      <c r="G107" s="247"/>
      <c r="H107" s="247"/>
      <c r="I107" s="247"/>
      <c r="J107" s="81">
        <f ca="1">SUMPRODUCT((Work_Codes!$N$506:$Y$506=$E107)*(Work_Codes!$N$509:$Y$510)*(J$95:J$96))</f>
        <v>0</v>
      </c>
      <c r="K107" s="81">
        <f ca="1">SUMPRODUCT((Work_Codes!$N$506:$Y$506=$E107)*(Work_Codes!$N$509:$Y$510)*(K$95:K$96))</f>
        <v>0</v>
      </c>
      <c r="L107" s="81">
        <f ca="1">SUMPRODUCT((Work_Codes!$N$506:$Y$506=$E107)*(Work_Codes!$N$509:$Y$510)*(L$95:L$96))</f>
        <v>0</v>
      </c>
      <c r="M107" s="81">
        <f ca="1">SUMPRODUCT((Work_Codes!$N$506:$Y$506=$E107)*(Work_Codes!$N$509:$Y$510)*(M$95:M$96))</f>
        <v>0</v>
      </c>
      <c r="N107" s="81">
        <f ca="1">SUMPRODUCT((Work_Codes!$N$506:$Y$506=$E107)*(Work_Codes!$N$509:$Y$510)*(N$95:N$96))</f>
        <v>0</v>
      </c>
      <c r="O107" s="81">
        <f ca="1">SUMPRODUCT((Work_Codes!$N$506:$Y$506=$E107)*(Work_Codes!$N$509:$Y$510)*(O$95:O$96))</f>
        <v>0</v>
      </c>
      <c r="P107" s="81">
        <f ca="1">SUMPRODUCT((Work_Codes!$N$506:$Y$506=$E107)*(Work_Codes!$N$509:$Y$510)*(P$95:P$96))</f>
        <v>0</v>
      </c>
      <c r="Q107" s="81">
        <f ca="1">SUMPRODUCT((Work_Codes!$N$506:$Y$506=$E107)*(Work_Codes!$N$509:$Y$510)*(Q$95:Q$96))</f>
        <v>0</v>
      </c>
      <c r="R107" s="81">
        <f ca="1">SUMPRODUCT((Work_Codes!$N$506:$Y$506=$E107)*(Work_Codes!$N$509:$Y$510)*(R$95:R$96))</f>
        <v>0</v>
      </c>
      <c r="S107" s="81">
        <f ca="1">SUMPRODUCT((Work_Codes!$N$506:$Y$506=$E107)*(Work_Codes!$N$509:$Y$510)*(S$95:S$96))</f>
        <v>0</v>
      </c>
      <c r="T107" s="81">
        <f ca="1">SUMPRODUCT((Work_Codes!$N$506:$Y$506=$E107)*(Work_Codes!$N$509:$Y$510)*(T$95:T$96))</f>
        <v>0</v>
      </c>
    </row>
    <row r="108" spans="2:20" ht="11.5" customHeight="1" outlineLevel="2">
      <c r="E108" s="247" t="str">
        <f>GC!C43</f>
        <v>Cathodic protection</v>
      </c>
      <c r="F108" s="247"/>
      <c r="G108" s="247"/>
      <c r="H108" s="247"/>
      <c r="I108" s="247"/>
      <c r="J108" s="81">
        <f ca="1">SUMPRODUCT((Work_Codes!$N$506:$Y$506=$E108)*(Work_Codes!$N$509:$Y$510)*(J$95:J$96))</f>
        <v>0</v>
      </c>
      <c r="K108" s="81">
        <f ca="1">SUMPRODUCT((Work_Codes!$N$506:$Y$506=$E108)*(Work_Codes!$N$509:$Y$510)*(K$95:K$96))</f>
        <v>0</v>
      </c>
      <c r="L108" s="81">
        <f ca="1">SUMPRODUCT((Work_Codes!$N$506:$Y$506=$E108)*(Work_Codes!$N$509:$Y$510)*(L$95:L$96))</f>
        <v>0</v>
      </c>
      <c r="M108" s="81">
        <f ca="1">SUMPRODUCT((Work_Codes!$N$506:$Y$506=$E108)*(Work_Codes!$N$509:$Y$510)*(M$95:M$96))</f>
        <v>0</v>
      </c>
      <c r="N108" s="81">
        <f ca="1">SUMPRODUCT((Work_Codes!$N$506:$Y$506=$E108)*(Work_Codes!$N$509:$Y$510)*(N$95:N$96))</f>
        <v>0</v>
      </c>
      <c r="O108" s="81">
        <f ca="1">SUMPRODUCT((Work_Codes!$N$506:$Y$506=$E108)*(Work_Codes!$N$509:$Y$510)*(O$95:O$96))</f>
        <v>0</v>
      </c>
      <c r="P108" s="81">
        <f ca="1">SUMPRODUCT((Work_Codes!$N$506:$Y$506=$E108)*(Work_Codes!$N$509:$Y$510)*(P$95:P$96))</f>
        <v>0</v>
      </c>
      <c r="Q108" s="81">
        <f ca="1">SUMPRODUCT((Work_Codes!$N$506:$Y$506=$E108)*(Work_Codes!$N$509:$Y$510)*(Q$95:Q$96))</f>
        <v>0</v>
      </c>
      <c r="R108" s="81">
        <f ca="1">SUMPRODUCT((Work_Codes!$N$506:$Y$506=$E108)*(Work_Codes!$N$509:$Y$510)*(R$95:R$96))</f>
        <v>0</v>
      </c>
      <c r="S108" s="81">
        <f ca="1">SUMPRODUCT((Work_Codes!$N$506:$Y$506=$E108)*(Work_Codes!$N$509:$Y$510)*(S$95:S$96))</f>
        <v>0</v>
      </c>
      <c r="T108" s="81">
        <f ca="1">SUMPRODUCT((Work_Codes!$N$506:$Y$506=$E108)*(Work_Codes!$N$509:$Y$510)*(T$95:T$96))</f>
        <v>0</v>
      </c>
    </row>
    <row r="109" spans="2:20" ht="11.5" customHeight="1" outlineLevel="2">
      <c r="E109" s="247" t="str">
        <f>GC!C44</f>
        <v>Supply Regulators / Valve Stations</v>
      </c>
      <c r="F109" s="247"/>
      <c r="G109" s="247"/>
      <c r="H109" s="247"/>
      <c r="I109" s="247"/>
      <c r="J109" s="81">
        <f ca="1">SUMPRODUCT((Work_Codes!$N$506:$Y$506=$E109)*(Work_Codes!$N$509:$Y$510)*(J$95:J$96))</f>
        <v>0</v>
      </c>
      <c r="K109" s="81">
        <f ca="1">SUMPRODUCT((Work_Codes!$N$506:$Y$506=$E109)*(Work_Codes!$N$509:$Y$510)*(K$95:K$96))</f>
        <v>0</v>
      </c>
      <c r="L109" s="81">
        <f ca="1">SUMPRODUCT((Work_Codes!$N$506:$Y$506=$E109)*(Work_Codes!$N$509:$Y$510)*(L$95:L$96))</f>
        <v>0</v>
      </c>
      <c r="M109" s="81">
        <f ca="1">SUMPRODUCT((Work_Codes!$N$506:$Y$506=$E109)*(Work_Codes!$N$509:$Y$510)*(M$95:M$96))</f>
        <v>0</v>
      </c>
      <c r="N109" s="81">
        <f ca="1">SUMPRODUCT((Work_Codes!$N$506:$Y$506=$E109)*(Work_Codes!$N$509:$Y$510)*(N$95:N$96))</f>
        <v>0</v>
      </c>
      <c r="O109" s="81">
        <f ca="1">SUMPRODUCT((Work_Codes!$N$506:$Y$506=$E109)*(Work_Codes!$N$509:$Y$510)*(O$95:O$96))</f>
        <v>0</v>
      </c>
      <c r="P109" s="81">
        <f ca="1">SUMPRODUCT((Work_Codes!$N$506:$Y$506=$E109)*(Work_Codes!$N$509:$Y$510)*(P$95:P$96))</f>
        <v>0</v>
      </c>
      <c r="Q109" s="81">
        <f ca="1">SUMPRODUCT((Work_Codes!$N$506:$Y$506=$E109)*(Work_Codes!$N$509:$Y$510)*(Q$95:Q$96))</f>
        <v>0</v>
      </c>
      <c r="R109" s="81">
        <f ca="1">SUMPRODUCT((Work_Codes!$N$506:$Y$506=$E109)*(Work_Codes!$N$509:$Y$510)*(R$95:R$96))</f>
        <v>0</v>
      </c>
      <c r="S109" s="81">
        <f ca="1">SUMPRODUCT((Work_Codes!$N$506:$Y$506=$E109)*(Work_Codes!$N$509:$Y$510)*(S$95:S$96))</f>
        <v>0</v>
      </c>
      <c r="T109" s="81">
        <f ca="1">SUMPRODUCT((Work_Codes!$N$506:$Y$506=$E109)*(Work_Codes!$N$509:$Y$510)*(T$95:T$96))</f>
        <v>0</v>
      </c>
    </row>
    <row r="110" spans="2:20" ht="11.5" customHeight="1" outlineLevel="2">
      <c r="E110" s="247" t="str">
        <f>GC!C45</f>
        <v>Meters</v>
      </c>
      <c r="F110" s="247"/>
      <c r="G110" s="247"/>
      <c r="H110" s="247"/>
      <c r="I110" s="247"/>
      <c r="J110" s="81">
        <f ca="1">SUMPRODUCT((Work_Codes!$N$506:$Y$506=$E110)*(Work_Codes!$N$509:$Y$510)*(J$95:J$96))</f>
        <v>0</v>
      </c>
      <c r="K110" s="81">
        <f ca="1">SUMPRODUCT((Work_Codes!$N$506:$Y$506=$E110)*(Work_Codes!$N$509:$Y$510)*(K$95:K$96))</f>
        <v>0</v>
      </c>
      <c r="L110" s="81">
        <f ca="1">SUMPRODUCT((Work_Codes!$N$506:$Y$506=$E110)*(Work_Codes!$N$509:$Y$510)*(L$95:L$96))</f>
        <v>0</v>
      </c>
      <c r="M110" s="81">
        <f ca="1">SUMPRODUCT((Work_Codes!$N$506:$Y$506=$E110)*(Work_Codes!$N$509:$Y$510)*(M$95:M$96))</f>
        <v>0</v>
      </c>
      <c r="N110" s="81">
        <f ca="1">SUMPRODUCT((Work_Codes!$N$506:$Y$506=$E110)*(Work_Codes!$N$509:$Y$510)*(N$95:N$96))</f>
        <v>0</v>
      </c>
      <c r="O110" s="81">
        <f ca="1">SUMPRODUCT((Work_Codes!$N$506:$Y$506=$E110)*(Work_Codes!$N$509:$Y$510)*(O$95:O$96))</f>
        <v>0</v>
      </c>
      <c r="P110" s="81">
        <f ca="1">SUMPRODUCT((Work_Codes!$N$506:$Y$506=$E110)*(Work_Codes!$N$509:$Y$510)*(P$95:P$96))</f>
        <v>0</v>
      </c>
      <c r="Q110" s="81">
        <f ca="1">SUMPRODUCT((Work_Codes!$N$506:$Y$506=$E110)*(Work_Codes!$N$509:$Y$510)*(Q$95:Q$96))</f>
        <v>0</v>
      </c>
      <c r="R110" s="81">
        <f ca="1">SUMPRODUCT((Work_Codes!$N$506:$Y$506=$E110)*(Work_Codes!$N$509:$Y$510)*(R$95:R$96))</f>
        <v>0</v>
      </c>
      <c r="S110" s="81">
        <f ca="1">SUMPRODUCT((Work_Codes!$N$506:$Y$506=$E110)*(Work_Codes!$N$509:$Y$510)*(S$95:S$96))</f>
        <v>0</v>
      </c>
      <c r="T110" s="81">
        <f ca="1">SUMPRODUCT((Work_Codes!$N$506:$Y$506=$E110)*(Work_Codes!$N$509:$Y$510)*(T$95:T$96))</f>
        <v>0</v>
      </c>
    </row>
    <row r="111" spans="2:20" ht="11.5" customHeight="1" outlineLevel="2">
      <c r="E111" s="247" t="str">
        <f>GC!C46</f>
        <v>SCADA and remote control</v>
      </c>
      <c r="F111" s="247"/>
      <c r="G111" s="247"/>
      <c r="H111" s="247"/>
      <c r="I111" s="247"/>
      <c r="J111" s="81">
        <f ca="1">SUMPRODUCT((Work_Codes!$N$506:$Y$506=$E111)*(Work_Codes!$N$509:$Y$510)*(J$95:J$96))</f>
        <v>0</v>
      </c>
      <c r="K111" s="81">
        <f ca="1">SUMPRODUCT((Work_Codes!$N$506:$Y$506=$E111)*(Work_Codes!$N$509:$Y$510)*(K$95:K$96))</f>
        <v>0</v>
      </c>
      <c r="L111" s="81">
        <f ca="1">SUMPRODUCT((Work_Codes!$N$506:$Y$506=$E111)*(Work_Codes!$N$509:$Y$510)*(L$95:L$96))</f>
        <v>0</v>
      </c>
      <c r="M111" s="81">
        <f ca="1">SUMPRODUCT((Work_Codes!$N$506:$Y$506=$E111)*(Work_Codes!$N$509:$Y$510)*(M$95:M$96))</f>
        <v>0</v>
      </c>
      <c r="N111" s="81">
        <f ca="1">SUMPRODUCT((Work_Codes!$N$506:$Y$506=$E111)*(Work_Codes!$N$509:$Y$510)*(N$95:N$96))</f>
        <v>0</v>
      </c>
      <c r="O111" s="81">
        <f ca="1">SUMPRODUCT((Work_Codes!$N$506:$Y$506=$E111)*(Work_Codes!$N$509:$Y$510)*(O$95:O$96))</f>
        <v>0</v>
      </c>
      <c r="P111" s="81">
        <f ca="1">SUMPRODUCT((Work_Codes!$N$506:$Y$506=$E111)*(Work_Codes!$N$509:$Y$510)*(P$95:P$96))</f>
        <v>0</v>
      </c>
      <c r="Q111" s="81">
        <f ca="1">SUMPRODUCT((Work_Codes!$N$506:$Y$506=$E111)*(Work_Codes!$N$509:$Y$510)*(Q$95:Q$96))</f>
        <v>0</v>
      </c>
      <c r="R111" s="81">
        <f ca="1">SUMPRODUCT((Work_Codes!$N$506:$Y$506=$E111)*(Work_Codes!$N$509:$Y$510)*(R$95:R$96))</f>
        <v>0</v>
      </c>
      <c r="S111" s="81">
        <f ca="1">SUMPRODUCT((Work_Codes!$N$506:$Y$506=$E111)*(Work_Codes!$N$509:$Y$510)*(S$95:S$96))</f>
        <v>0</v>
      </c>
      <c r="T111" s="81">
        <f ca="1">SUMPRODUCT((Work_Codes!$N$506:$Y$506=$E111)*(Work_Codes!$N$509:$Y$510)*(T$95:T$96))</f>
        <v>0</v>
      </c>
    </row>
    <row r="112" spans="2:20" ht="11.5" customHeight="1" outlineLevel="2">
      <c r="E112" s="247" t="str">
        <f>GC!C47</f>
        <v>Buildings</v>
      </c>
      <c r="F112" s="247"/>
      <c r="G112" s="247"/>
      <c r="H112" s="247"/>
      <c r="I112" s="247"/>
      <c r="J112" s="81">
        <f ca="1">SUMPRODUCT((Work_Codes!$N$506:$Y$506=$E112)*(Work_Codes!$N$509:$Y$510)*(J$95:J$96))</f>
        <v>0</v>
      </c>
      <c r="K112" s="81">
        <f ca="1">SUMPRODUCT((Work_Codes!$N$506:$Y$506=$E112)*(Work_Codes!$N$509:$Y$510)*(K$95:K$96))</f>
        <v>0</v>
      </c>
      <c r="L112" s="81">
        <f ca="1">SUMPRODUCT((Work_Codes!$N$506:$Y$506=$E112)*(Work_Codes!$N$509:$Y$510)*(L$95:L$96))</f>
        <v>0</v>
      </c>
      <c r="M112" s="81">
        <f ca="1">SUMPRODUCT((Work_Codes!$N$506:$Y$506=$E112)*(Work_Codes!$N$509:$Y$510)*(M$95:M$96))</f>
        <v>0</v>
      </c>
      <c r="N112" s="81">
        <f ca="1">SUMPRODUCT((Work_Codes!$N$506:$Y$506=$E112)*(Work_Codes!$N$509:$Y$510)*(N$95:N$96))</f>
        <v>0</v>
      </c>
      <c r="O112" s="81">
        <f ca="1">SUMPRODUCT((Work_Codes!$N$506:$Y$506=$E112)*(Work_Codes!$N$509:$Y$510)*(O$95:O$96))</f>
        <v>0</v>
      </c>
      <c r="P112" s="81">
        <f ca="1">SUMPRODUCT((Work_Codes!$N$506:$Y$506=$E112)*(Work_Codes!$N$509:$Y$510)*(P$95:P$96))</f>
        <v>0</v>
      </c>
      <c r="Q112" s="81">
        <f ca="1">SUMPRODUCT((Work_Codes!$N$506:$Y$506=$E112)*(Work_Codes!$N$509:$Y$510)*(Q$95:Q$96))</f>
        <v>0</v>
      </c>
      <c r="R112" s="81">
        <f ca="1">SUMPRODUCT((Work_Codes!$N$506:$Y$506=$E112)*(Work_Codes!$N$509:$Y$510)*(R$95:R$96))</f>
        <v>0</v>
      </c>
      <c r="S112" s="81">
        <f ca="1">SUMPRODUCT((Work_Codes!$N$506:$Y$506=$E112)*(Work_Codes!$N$509:$Y$510)*(S$95:S$96))</f>
        <v>0</v>
      </c>
      <c r="T112" s="81">
        <f ca="1">SUMPRODUCT((Work_Codes!$N$506:$Y$506=$E112)*(Work_Codes!$N$509:$Y$510)*(T$95:T$96))</f>
        <v>0</v>
      </c>
    </row>
    <row r="113" spans="4:20" ht="11.5" customHeight="1" outlineLevel="2">
      <c r="E113" s="247" t="str">
        <f>GC!C48</f>
        <v>Other - IT</v>
      </c>
      <c r="F113" s="247"/>
      <c r="G113" s="247"/>
      <c r="H113" s="247"/>
      <c r="I113" s="247"/>
      <c r="J113" s="81">
        <f ca="1">SUMPRODUCT((Work_Codes!$N$506:$Y$506=$E113)*(Work_Codes!$N$509:$Y$510)*(J$95:J$96))</f>
        <v>0</v>
      </c>
      <c r="K113" s="81">
        <f ca="1">SUMPRODUCT((Work_Codes!$N$506:$Y$506=$E113)*(Work_Codes!$N$509:$Y$510)*(K$95:K$96))</f>
        <v>0</v>
      </c>
      <c r="L113" s="81">
        <f ca="1">SUMPRODUCT((Work_Codes!$N$506:$Y$506=$E113)*(Work_Codes!$N$509:$Y$510)*(L$95:L$96))</f>
        <v>0</v>
      </c>
      <c r="M113" s="81">
        <f ca="1">SUMPRODUCT((Work_Codes!$N$506:$Y$506=$E113)*(Work_Codes!$N$509:$Y$510)*(M$95:M$96))</f>
        <v>0</v>
      </c>
      <c r="N113" s="81">
        <f ca="1">SUMPRODUCT((Work_Codes!$N$506:$Y$506=$E113)*(Work_Codes!$N$509:$Y$510)*(N$95:N$96))</f>
        <v>0</v>
      </c>
      <c r="O113" s="81">
        <f ca="1">SUMPRODUCT((Work_Codes!$N$506:$Y$506=$E113)*(Work_Codes!$N$509:$Y$510)*(O$95:O$96))</f>
        <v>0</v>
      </c>
      <c r="P113" s="81">
        <f ca="1">SUMPRODUCT((Work_Codes!$N$506:$Y$506=$E113)*(Work_Codes!$N$509:$Y$510)*(P$95:P$96))</f>
        <v>0</v>
      </c>
      <c r="Q113" s="81">
        <f ca="1">SUMPRODUCT((Work_Codes!$N$506:$Y$506=$E113)*(Work_Codes!$N$509:$Y$510)*(Q$95:Q$96))</f>
        <v>0</v>
      </c>
      <c r="R113" s="81">
        <f ca="1">SUMPRODUCT((Work_Codes!$N$506:$Y$506=$E113)*(Work_Codes!$N$509:$Y$510)*(R$95:R$96))</f>
        <v>0</v>
      </c>
      <c r="S113" s="81">
        <f ca="1">SUMPRODUCT((Work_Codes!$N$506:$Y$506=$E113)*(Work_Codes!$N$509:$Y$510)*(S$95:S$96))</f>
        <v>0</v>
      </c>
      <c r="T113" s="81">
        <f ca="1">SUMPRODUCT((Work_Codes!$N$506:$Y$506=$E113)*(Work_Codes!$N$509:$Y$510)*(T$95:T$96))</f>
        <v>0</v>
      </c>
    </row>
    <row r="114" spans="4:20" ht="11.5" customHeight="1" outlineLevel="2">
      <c r="E114" s="247" t="str">
        <f>GC!C49</f>
        <v>Other - non IT</v>
      </c>
      <c r="F114" s="247"/>
      <c r="G114" s="247"/>
      <c r="H114" s="247"/>
      <c r="I114" s="247"/>
      <c r="J114" s="81">
        <f ca="1">SUMPRODUCT((Work_Codes!$N$506:$Y$506=$E114)*(Work_Codes!$N$509:$Y$510)*(J$95:J$96))</f>
        <v>0</v>
      </c>
      <c r="K114" s="81">
        <f ca="1">SUMPRODUCT((Work_Codes!$N$506:$Y$506=$E114)*(Work_Codes!$N$509:$Y$510)*(K$95:K$96))</f>
        <v>0</v>
      </c>
      <c r="L114" s="81">
        <f ca="1">SUMPRODUCT((Work_Codes!$N$506:$Y$506=$E114)*(Work_Codes!$N$509:$Y$510)*(L$95:L$96))</f>
        <v>0</v>
      </c>
      <c r="M114" s="81">
        <f ca="1">SUMPRODUCT((Work_Codes!$N$506:$Y$506=$E114)*(Work_Codes!$N$509:$Y$510)*(M$95:M$96))</f>
        <v>0</v>
      </c>
      <c r="N114" s="81">
        <f ca="1">SUMPRODUCT((Work_Codes!$N$506:$Y$506=$E114)*(Work_Codes!$N$509:$Y$510)*(N$95:N$96))</f>
        <v>361092.5049599809</v>
      </c>
      <c r="O114" s="81">
        <f ca="1">SUMPRODUCT((Work_Codes!$N$506:$Y$506=$E114)*(Work_Codes!$N$509:$Y$510)*(O$95:O$96))</f>
        <v>252284.62045122919</v>
      </c>
      <c r="P114" s="81">
        <f ca="1">SUMPRODUCT((Work_Codes!$N$506:$Y$506=$E114)*(Work_Codes!$N$509:$Y$510)*(P$95:P$96))</f>
        <v>1009341.6498181245</v>
      </c>
      <c r="Q114" s="81">
        <f ca="1">SUMPRODUCT((Work_Codes!$N$506:$Y$506=$E114)*(Work_Codes!$N$509:$Y$510)*(Q$95:Q$96))</f>
        <v>1009659.5476695825</v>
      </c>
      <c r="R114" s="81">
        <f ca="1">SUMPRODUCT((Work_Codes!$N$506:$Y$506=$E114)*(Work_Codes!$N$509:$Y$510)*(R$95:R$96))</f>
        <v>1010111.8617986788</v>
      </c>
      <c r="S114" s="81">
        <f ca="1">SUMPRODUCT((Work_Codes!$N$506:$Y$506=$E114)*(Work_Codes!$N$509:$Y$510)*(S$95:S$96))</f>
        <v>1010569.1552044248</v>
      </c>
      <c r="T114" s="81">
        <f ca="1">SUMPRODUCT((Work_Codes!$N$506:$Y$506=$E114)*(Work_Codes!$N$509:$Y$510)*(T$95:T$96))</f>
        <v>1011031.4827009297</v>
      </c>
    </row>
    <row r="115" spans="4:20" ht="11.5" customHeight="1" outlineLevel="2">
      <c r="E115" s="247" t="str">
        <f>GC!C50</f>
        <v>Land</v>
      </c>
      <c r="F115" s="247"/>
      <c r="G115" s="247"/>
      <c r="H115" s="247"/>
      <c r="I115" s="247"/>
      <c r="J115" s="81">
        <f ca="1">SUMPRODUCT((Work_Codes!$N$506:$Y$506=$E115)*(Work_Codes!$N$509:$Y$510)*(J$95:J$96))</f>
        <v>0</v>
      </c>
      <c r="K115" s="81">
        <f ca="1">SUMPRODUCT((Work_Codes!$N$506:$Y$506=$E115)*(Work_Codes!$N$509:$Y$510)*(K$95:K$96))</f>
        <v>0</v>
      </c>
      <c r="L115" s="81">
        <f ca="1">SUMPRODUCT((Work_Codes!$N$506:$Y$506=$E115)*(Work_Codes!$N$509:$Y$510)*(L$95:L$96))</f>
        <v>0</v>
      </c>
      <c r="M115" s="81">
        <f ca="1">SUMPRODUCT((Work_Codes!$N$506:$Y$506=$E115)*(Work_Codes!$N$509:$Y$510)*(M$95:M$96))</f>
        <v>0</v>
      </c>
      <c r="N115" s="81">
        <f ca="1">SUMPRODUCT((Work_Codes!$N$506:$Y$506=$E115)*(Work_Codes!$N$509:$Y$510)*(N$95:N$96))</f>
        <v>0</v>
      </c>
      <c r="O115" s="81">
        <f ca="1">SUMPRODUCT((Work_Codes!$N$506:$Y$506=$E115)*(Work_Codes!$N$509:$Y$510)*(O$95:O$96))</f>
        <v>0</v>
      </c>
      <c r="P115" s="81">
        <f ca="1">SUMPRODUCT((Work_Codes!$N$506:$Y$506=$E115)*(Work_Codes!$N$509:$Y$510)*(P$95:P$96))</f>
        <v>0</v>
      </c>
      <c r="Q115" s="81">
        <f ca="1">SUMPRODUCT((Work_Codes!$N$506:$Y$506=$E115)*(Work_Codes!$N$509:$Y$510)*(Q$95:Q$96))</f>
        <v>0</v>
      </c>
      <c r="R115" s="81">
        <f ca="1">SUMPRODUCT((Work_Codes!$N$506:$Y$506=$E115)*(Work_Codes!$N$509:$Y$510)*(R$95:R$96))</f>
        <v>0</v>
      </c>
      <c r="S115" s="81">
        <f ca="1">SUMPRODUCT((Work_Codes!$N$506:$Y$506=$E115)*(Work_Codes!$N$509:$Y$510)*(S$95:S$96))</f>
        <v>0</v>
      </c>
      <c r="T115" s="81">
        <f ca="1">SUMPRODUCT((Work_Codes!$N$506:$Y$506=$E115)*(Work_Codes!$N$509:$Y$510)*(T$95:T$96))</f>
        <v>0</v>
      </c>
    </row>
    <row r="116" spans="4:20" outlineLevel="2">
      <c r="E116" s="247" t="str">
        <f>GC!C51</f>
        <v>Capitalised Leases</v>
      </c>
      <c r="F116" s="247"/>
      <c r="G116" s="247"/>
      <c r="H116" s="247"/>
      <c r="I116" s="247"/>
      <c r="J116" s="81">
        <f ca="1">SUMPRODUCT((Work_Codes!$N$506:$Y$506=$E116)*(Work_Codes!$N$509:$Y$510)*(J$95:J$96))</f>
        <v>0</v>
      </c>
      <c r="K116" s="81">
        <f ca="1">SUMPRODUCT((Work_Codes!$N$506:$Y$506=$E116)*(Work_Codes!$N$509:$Y$510)*(K$95:K$96))</f>
        <v>0</v>
      </c>
      <c r="L116" s="81">
        <f ca="1">SUMPRODUCT((Work_Codes!$N$506:$Y$506=$E116)*(Work_Codes!$N$509:$Y$510)*(L$95:L$96))</f>
        <v>0</v>
      </c>
      <c r="M116" s="81">
        <f ca="1">SUMPRODUCT((Work_Codes!$N$506:$Y$506=$E116)*(Work_Codes!$N$509:$Y$510)*(M$95:M$96))</f>
        <v>0</v>
      </c>
      <c r="N116" s="81">
        <f ca="1">SUMPRODUCT((Work_Codes!$N$506:$Y$506=$E116)*(Work_Codes!$N$509:$Y$510)*(N$95:N$96))</f>
        <v>0</v>
      </c>
      <c r="O116" s="81">
        <f ca="1">SUMPRODUCT((Work_Codes!$N$506:$Y$506=$E116)*(Work_Codes!$N$509:$Y$510)*(O$95:O$96))</f>
        <v>0</v>
      </c>
      <c r="P116" s="81">
        <f ca="1">SUMPRODUCT((Work_Codes!$N$506:$Y$506=$E116)*(Work_Codes!$N$509:$Y$510)*(P$95:P$96))</f>
        <v>0</v>
      </c>
      <c r="Q116" s="81">
        <f ca="1">SUMPRODUCT((Work_Codes!$N$506:$Y$506=$E116)*(Work_Codes!$N$509:$Y$510)*(Q$95:Q$96))</f>
        <v>0</v>
      </c>
      <c r="R116" s="81">
        <f ca="1">SUMPRODUCT((Work_Codes!$N$506:$Y$506=$E116)*(Work_Codes!$N$509:$Y$510)*(R$95:R$96))</f>
        <v>0</v>
      </c>
      <c r="S116" s="81">
        <f ca="1">SUMPRODUCT((Work_Codes!$N$506:$Y$506=$E116)*(Work_Codes!$N$509:$Y$510)*(S$95:S$96))</f>
        <v>0</v>
      </c>
      <c r="T116" s="81">
        <f ca="1">SUMPRODUCT((Work_Codes!$N$506:$Y$506=$E116)*(Work_Codes!$N$509:$Y$510)*(T$95:T$96))</f>
        <v>0</v>
      </c>
    </row>
    <row r="117" spans="4:20" outlineLevel="2">
      <c r="E117" s="247" t="str">
        <f>GC!C52</f>
        <v>Transmission pipelines - post 1998</v>
      </c>
      <c r="F117" s="247"/>
      <c r="G117" s="247"/>
      <c r="H117" s="247"/>
      <c r="I117" s="247"/>
      <c r="J117" s="81">
        <f ca="1">SUMPRODUCT((Work_Codes!$N$506:$Y$506=$E117)*(Work_Codes!$N$509:$Y$510)*(J$95:J$96))</f>
        <v>0</v>
      </c>
      <c r="K117" s="81">
        <f ca="1">SUMPRODUCT((Work_Codes!$N$506:$Y$506=$E117)*(Work_Codes!$N$509:$Y$510)*(K$95:K$96))</f>
        <v>0</v>
      </c>
      <c r="L117" s="81">
        <f ca="1">SUMPRODUCT((Work_Codes!$N$506:$Y$506=$E117)*(Work_Codes!$N$509:$Y$510)*(L$95:L$96))</f>
        <v>0</v>
      </c>
      <c r="M117" s="81">
        <f ca="1">SUMPRODUCT((Work_Codes!$N$506:$Y$506=$E117)*(Work_Codes!$N$509:$Y$510)*(M$95:M$96))</f>
        <v>0</v>
      </c>
      <c r="N117" s="81">
        <f ca="1">SUMPRODUCT((Work_Codes!$N$506:$Y$506=$E117)*(Work_Codes!$N$509:$Y$510)*(N$95:N$96))</f>
        <v>0</v>
      </c>
      <c r="O117" s="81">
        <f ca="1">SUMPRODUCT((Work_Codes!$N$506:$Y$506=$E117)*(Work_Codes!$N$509:$Y$510)*(O$95:O$96))</f>
        <v>0</v>
      </c>
      <c r="P117" s="81">
        <f ca="1">SUMPRODUCT((Work_Codes!$N$506:$Y$506=$E117)*(Work_Codes!$N$509:$Y$510)*(P$95:P$96))</f>
        <v>0</v>
      </c>
      <c r="Q117" s="81">
        <f ca="1">SUMPRODUCT((Work_Codes!$N$506:$Y$506=$E117)*(Work_Codes!$N$509:$Y$510)*(Q$95:Q$96))</f>
        <v>0</v>
      </c>
      <c r="R117" s="81">
        <f ca="1">SUMPRODUCT((Work_Codes!$N$506:$Y$506=$E117)*(Work_Codes!$N$509:$Y$510)*(R$95:R$96))</f>
        <v>0</v>
      </c>
      <c r="S117" s="81">
        <f ca="1">SUMPRODUCT((Work_Codes!$N$506:$Y$506=$E117)*(Work_Codes!$N$509:$Y$510)*(S$95:S$96))</f>
        <v>0</v>
      </c>
      <c r="T117" s="81">
        <f ca="1">SUMPRODUCT((Work_Codes!$N$506:$Y$506=$E117)*(Work_Codes!$N$509:$Y$510)*(T$95:T$96))</f>
        <v>0</v>
      </c>
    </row>
    <row r="118" spans="4:20" outlineLevel="2">
      <c r="E118" s="247" t="str">
        <f>GC!C53</f>
        <v>Distribution pipelines - post 1998</v>
      </c>
      <c r="F118" s="247"/>
      <c r="G118" s="247"/>
      <c r="H118" s="247"/>
      <c r="I118" s="247"/>
      <c r="J118" s="81">
        <f ca="1">SUMPRODUCT((Work_Codes!$N$506:$Y$506=$E118)*(Work_Codes!$N$509:$Y$510)*(J$95:J$96))</f>
        <v>0</v>
      </c>
      <c r="K118" s="81">
        <f ca="1">SUMPRODUCT((Work_Codes!$N$506:$Y$506=$E118)*(Work_Codes!$N$509:$Y$510)*(K$95:K$96))</f>
        <v>0</v>
      </c>
      <c r="L118" s="81">
        <f ca="1">SUMPRODUCT((Work_Codes!$N$506:$Y$506=$E118)*(Work_Codes!$N$509:$Y$510)*(L$95:L$96))</f>
        <v>0</v>
      </c>
      <c r="M118" s="81">
        <f ca="1">SUMPRODUCT((Work_Codes!$N$506:$Y$506=$E118)*(Work_Codes!$N$509:$Y$510)*(M$95:M$96))</f>
        <v>0</v>
      </c>
      <c r="N118" s="81">
        <f ca="1">SUMPRODUCT((Work_Codes!$N$506:$Y$506=$E118)*(Work_Codes!$N$509:$Y$510)*(N$95:N$96))</f>
        <v>0</v>
      </c>
      <c r="O118" s="81">
        <f ca="1">SUMPRODUCT((Work_Codes!$N$506:$Y$506=$E118)*(Work_Codes!$N$509:$Y$510)*(O$95:O$96))</f>
        <v>0</v>
      </c>
      <c r="P118" s="81">
        <f ca="1">SUMPRODUCT((Work_Codes!$N$506:$Y$506=$E118)*(Work_Codes!$N$509:$Y$510)*(P$95:P$96))</f>
        <v>0</v>
      </c>
      <c r="Q118" s="81">
        <f ca="1">SUMPRODUCT((Work_Codes!$N$506:$Y$506=$E118)*(Work_Codes!$N$509:$Y$510)*(Q$95:Q$96))</f>
        <v>0</v>
      </c>
      <c r="R118" s="81">
        <f ca="1">SUMPRODUCT((Work_Codes!$N$506:$Y$506=$E118)*(Work_Codes!$N$509:$Y$510)*(R$95:R$96))</f>
        <v>0</v>
      </c>
      <c r="S118" s="81">
        <f ca="1">SUMPRODUCT((Work_Codes!$N$506:$Y$506=$E118)*(Work_Codes!$N$509:$Y$510)*(S$95:S$96))</f>
        <v>0</v>
      </c>
      <c r="T118" s="81">
        <f ca="1">SUMPRODUCT((Work_Codes!$N$506:$Y$506=$E118)*(Work_Codes!$N$509:$Y$510)*(T$95:T$96))</f>
        <v>0</v>
      </c>
    </row>
    <row r="119" spans="4:20" outlineLevel="2">
      <c r="E119" s="247" t="str">
        <f>GC!C54</f>
        <v>Service pipes - post 1998</v>
      </c>
      <c r="F119" s="247"/>
      <c r="G119" s="247"/>
      <c r="H119" s="247"/>
      <c r="I119" s="247"/>
      <c r="J119" s="81">
        <f ca="1">SUMPRODUCT((Work_Codes!$N$506:$Y$506=$E119)*(Work_Codes!$N$509:$Y$510)*(J$95:J$96))</f>
        <v>0</v>
      </c>
      <c r="K119" s="81">
        <f ca="1">SUMPRODUCT((Work_Codes!$N$506:$Y$506=$E119)*(Work_Codes!$N$509:$Y$510)*(K$95:K$96))</f>
        <v>0</v>
      </c>
      <c r="L119" s="81">
        <f ca="1">SUMPRODUCT((Work_Codes!$N$506:$Y$506=$E119)*(Work_Codes!$N$509:$Y$510)*(L$95:L$96))</f>
        <v>0</v>
      </c>
      <c r="M119" s="81">
        <f ca="1">SUMPRODUCT((Work_Codes!$N$506:$Y$506=$E119)*(Work_Codes!$N$509:$Y$510)*(M$95:M$96))</f>
        <v>0</v>
      </c>
      <c r="N119" s="81">
        <f ca="1">SUMPRODUCT((Work_Codes!$N$506:$Y$506=$E119)*(Work_Codes!$N$509:$Y$510)*(N$95:N$96))</f>
        <v>0</v>
      </c>
      <c r="O119" s="81">
        <f ca="1">SUMPRODUCT((Work_Codes!$N$506:$Y$506=$E119)*(Work_Codes!$N$509:$Y$510)*(O$95:O$96))</f>
        <v>0</v>
      </c>
      <c r="P119" s="81">
        <f ca="1">SUMPRODUCT((Work_Codes!$N$506:$Y$506=$E119)*(Work_Codes!$N$509:$Y$510)*(P$95:P$96))</f>
        <v>0</v>
      </c>
      <c r="Q119" s="81">
        <f ca="1">SUMPRODUCT((Work_Codes!$N$506:$Y$506=$E119)*(Work_Codes!$N$509:$Y$510)*(Q$95:Q$96))</f>
        <v>0</v>
      </c>
      <c r="R119" s="81">
        <f ca="1">SUMPRODUCT((Work_Codes!$N$506:$Y$506=$E119)*(Work_Codes!$N$509:$Y$510)*(R$95:R$96))</f>
        <v>0</v>
      </c>
      <c r="S119" s="81">
        <f ca="1">SUMPRODUCT((Work_Codes!$N$506:$Y$506=$E119)*(Work_Codes!$N$509:$Y$510)*(S$95:S$96))</f>
        <v>0</v>
      </c>
      <c r="T119" s="81">
        <f ca="1">SUMPRODUCT((Work_Codes!$N$506:$Y$506=$E119)*(Work_Codes!$N$509:$Y$510)*(T$95:T$96))</f>
        <v>0</v>
      </c>
    </row>
    <row r="120" spans="4:20" outlineLevel="2">
      <c r="E120" s="247" t="str">
        <f>GC!C55</f>
        <v>Cathodic protection - post 1998</v>
      </c>
      <c r="F120" s="247"/>
      <c r="G120" s="247"/>
      <c r="H120" s="247"/>
      <c r="I120" s="247"/>
      <c r="J120" s="81">
        <f ca="1">SUMPRODUCT((Work_Codes!$N$506:$Y$506=$E120)*(Work_Codes!$N$509:$Y$510)*(J$95:J$96))</f>
        <v>0</v>
      </c>
      <c r="K120" s="81">
        <f ca="1">SUMPRODUCT((Work_Codes!$N$506:$Y$506=$E120)*(Work_Codes!$N$509:$Y$510)*(K$95:K$96))</f>
        <v>0</v>
      </c>
      <c r="L120" s="81">
        <f ca="1">SUMPRODUCT((Work_Codes!$N$506:$Y$506=$E120)*(Work_Codes!$N$509:$Y$510)*(L$95:L$96))</f>
        <v>0</v>
      </c>
      <c r="M120" s="81">
        <f ca="1">SUMPRODUCT((Work_Codes!$N$506:$Y$506=$E120)*(Work_Codes!$N$509:$Y$510)*(M$95:M$96))</f>
        <v>0</v>
      </c>
      <c r="N120" s="81">
        <f ca="1">SUMPRODUCT((Work_Codes!$N$506:$Y$506=$E120)*(Work_Codes!$N$509:$Y$510)*(N$95:N$96))</f>
        <v>0</v>
      </c>
      <c r="O120" s="81">
        <f ca="1">SUMPRODUCT((Work_Codes!$N$506:$Y$506=$E120)*(Work_Codes!$N$509:$Y$510)*(O$95:O$96))</f>
        <v>0</v>
      </c>
      <c r="P120" s="81">
        <f ca="1">SUMPRODUCT((Work_Codes!$N$506:$Y$506=$E120)*(Work_Codes!$N$509:$Y$510)*(P$95:P$96))</f>
        <v>0</v>
      </c>
      <c r="Q120" s="81">
        <f ca="1">SUMPRODUCT((Work_Codes!$N$506:$Y$506=$E120)*(Work_Codes!$N$509:$Y$510)*(Q$95:Q$96))</f>
        <v>0</v>
      </c>
      <c r="R120" s="81">
        <f ca="1">SUMPRODUCT((Work_Codes!$N$506:$Y$506=$E120)*(Work_Codes!$N$509:$Y$510)*(R$95:R$96))</f>
        <v>0</v>
      </c>
      <c r="S120" s="81">
        <f ca="1">SUMPRODUCT((Work_Codes!$N$506:$Y$506=$E120)*(Work_Codes!$N$509:$Y$510)*(S$95:S$96))</f>
        <v>0</v>
      </c>
      <c r="T120" s="81">
        <f ca="1">SUMPRODUCT((Work_Codes!$N$506:$Y$506=$E120)*(Work_Codes!$N$509:$Y$510)*(T$95:T$96))</f>
        <v>0</v>
      </c>
    </row>
    <row r="121" spans="4:20" ht="12" customHeight="1" outlineLevel="2">
      <c r="E121" s="249" t="str">
        <f>"Total "&amp;D103</f>
        <v>Total Direct Costs</v>
      </c>
      <c r="F121" s="249"/>
      <c r="G121" s="249"/>
      <c r="H121" s="249"/>
      <c r="I121" s="249"/>
      <c r="J121" s="82">
        <f t="shared" ref="J121:T121" ca="1" si="18">SUM(J105:J120)</f>
        <v>0</v>
      </c>
      <c r="K121" s="82">
        <f t="shared" ca="1" si="18"/>
        <v>0</v>
      </c>
      <c r="L121" s="82">
        <f t="shared" ca="1" si="18"/>
        <v>0</v>
      </c>
      <c r="M121" s="82">
        <f t="shared" ca="1" si="18"/>
        <v>0</v>
      </c>
      <c r="N121" s="82">
        <f t="shared" ca="1" si="18"/>
        <v>361092.5049599809</v>
      </c>
      <c r="O121" s="82">
        <f t="shared" ca="1" si="18"/>
        <v>252284.62045122919</v>
      </c>
      <c r="P121" s="82">
        <f t="shared" ca="1" si="18"/>
        <v>1009341.6498181245</v>
      </c>
      <c r="Q121" s="82">
        <f t="shared" ca="1" si="18"/>
        <v>1009659.5476695825</v>
      </c>
      <c r="R121" s="82">
        <f t="shared" ca="1" si="18"/>
        <v>1010111.8617986788</v>
      </c>
      <c r="S121" s="82">
        <f t="shared" ca="1" si="18"/>
        <v>1010569.1552044248</v>
      </c>
      <c r="T121" s="82">
        <f t="shared" ca="1" si="18"/>
        <v>1011031.4827009297</v>
      </c>
    </row>
    <row r="122" spans="4:20" outlineLevel="2"/>
    <row r="123" spans="4:20" outlineLevel="2">
      <c r="D123" s="37" t="s">
        <v>364</v>
      </c>
    </row>
    <row r="124" spans="4:20" ht="5.9" customHeight="1" outlineLevel="2"/>
    <row r="125" spans="4:20" outlineLevel="2">
      <c r="E125" s="247" t="str">
        <f>GC!C40</f>
        <v>Transmission pipelines</v>
      </c>
      <c r="F125" s="247"/>
      <c r="G125" s="247"/>
      <c r="H125" s="247"/>
      <c r="I125" s="247"/>
      <c r="J125" s="81">
        <f ca="1">J105*(INDEX(J$35:J$37,MATCH(Work_Codes!$I$503,$D$35:$D$37,0)))</f>
        <v>0</v>
      </c>
      <c r="K125" s="81">
        <f ca="1">K105*(INDEX(K$35:K$37,MATCH(Work_Codes!$I$503,$D$35:$D$37,0)))</f>
        <v>0</v>
      </c>
      <c r="L125" s="81">
        <f ca="1">L105*(INDEX(L$35:L$37,MATCH(Work_Codes!$I$503,$D$35:$D$37,0)))</f>
        <v>0</v>
      </c>
      <c r="M125" s="81">
        <f ca="1">M105*(INDEX(M$35:M$37,MATCH(Work_Codes!$I$503,$D$35:$D$37,0)))</f>
        <v>0</v>
      </c>
      <c r="N125" s="81">
        <f ca="1">N105*(INDEX(N$35:N$37,MATCH(Work_Codes!$I$503,$D$35:$D$37,0)))</f>
        <v>0</v>
      </c>
      <c r="O125" s="81">
        <f ca="1">O105*(INDEX(O$35:O$37,MATCH(Work_Codes!$I$503,$D$35:$D$37,0)))</f>
        <v>0</v>
      </c>
      <c r="P125" s="81">
        <f ca="1">P105*(INDEX(P$35:P$37,MATCH(Work_Codes!$I$503,$D$35:$D$37,0)))</f>
        <v>0</v>
      </c>
      <c r="Q125" s="81">
        <f ca="1">Q105*(INDEX(Q$35:Q$37,MATCH(Work_Codes!$I$503,$D$35:$D$37,0)))</f>
        <v>0</v>
      </c>
      <c r="R125" s="81">
        <f ca="1">R105*(INDEX(R$35:R$37,MATCH(Work_Codes!$I$503,$D$35:$D$37,0)))</f>
        <v>0</v>
      </c>
      <c r="S125" s="81">
        <f ca="1">S105*(INDEX(S$35:S$37,MATCH(Work_Codes!$I$503,$D$35:$D$37,0)))</f>
        <v>0</v>
      </c>
      <c r="T125" s="81">
        <f ca="1">T105*(INDEX(T$35:T$37,MATCH(Work_Codes!$I$503,$D$35:$D$37,0)))</f>
        <v>0</v>
      </c>
    </row>
    <row r="126" spans="4:20" outlineLevel="2">
      <c r="E126" s="247" t="str">
        <f>GC!C41</f>
        <v>Distribution pipelines</v>
      </c>
      <c r="F126" s="247"/>
      <c r="G126" s="247"/>
      <c r="H126" s="247"/>
      <c r="I126" s="247"/>
      <c r="J126" s="81">
        <f ca="1">J106*(INDEX(J$35:J$37,MATCH(Work_Codes!$I$503,$D$35:$D$37,0)))</f>
        <v>0</v>
      </c>
      <c r="K126" s="81">
        <f ca="1">K106*(INDEX(K$35:K$37,MATCH(Work_Codes!$I$503,$D$35:$D$37,0)))</f>
        <v>0</v>
      </c>
      <c r="L126" s="81">
        <f ca="1">L106*(INDEX(L$35:L$37,MATCH(Work_Codes!$I$503,$D$35:$D$37,0)))</f>
        <v>0</v>
      </c>
      <c r="M126" s="81">
        <f ca="1">M106*(INDEX(M$35:M$37,MATCH(Work_Codes!$I$503,$D$35:$D$37,0)))</f>
        <v>0</v>
      </c>
      <c r="N126" s="81">
        <f ca="1">N106*(INDEX(N$35:N$37,MATCH(Work_Codes!$I$503,$D$35:$D$37,0)))</f>
        <v>0</v>
      </c>
      <c r="O126" s="81">
        <f ca="1">O106*(INDEX(O$35:O$37,MATCH(Work_Codes!$I$503,$D$35:$D$37,0)))</f>
        <v>0</v>
      </c>
      <c r="P126" s="81">
        <f ca="1">P106*(INDEX(P$35:P$37,MATCH(Work_Codes!$I$503,$D$35:$D$37,0)))</f>
        <v>0</v>
      </c>
      <c r="Q126" s="81">
        <f ca="1">Q106*(INDEX(Q$35:Q$37,MATCH(Work_Codes!$I$503,$D$35:$D$37,0)))</f>
        <v>0</v>
      </c>
      <c r="R126" s="81">
        <f ca="1">R106*(INDEX(R$35:R$37,MATCH(Work_Codes!$I$503,$D$35:$D$37,0)))</f>
        <v>0</v>
      </c>
      <c r="S126" s="81">
        <f ca="1">S106*(INDEX(S$35:S$37,MATCH(Work_Codes!$I$503,$D$35:$D$37,0)))</f>
        <v>0</v>
      </c>
      <c r="T126" s="81">
        <f ca="1">T106*(INDEX(T$35:T$37,MATCH(Work_Codes!$I$503,$D$35:$D$37,0)))</f>
        <v>0</v>
      </c>
    </row>
    <row r="127" spans="4:20" outlineLevel="2">
      <c r="E127" s="247" t="str">
        <f>GC!C42</f>
        <v>Service pipes</v>
      </c>
      <c r="F127" s="247"/>
      <c r="G127" s="247"/>
      <c r="H127" s="247"/>
      <c r="I127" s="247"/>
      <c r="J127" s="81">
        <f ca="1">J107*(INDEX(J$35:J$37,MATCH(Work_Codes!$I$503,$D$35:$D$37,0)))</f>
        <v>0</v>
      </c>
      <c r="K127" s="81">
        <f ca="1">K107*(INDEX(K$35:K$37,MATCH(Work_Codes!$I$503,$D$35:$D$37,0)))</f>
        <v>0</v>
      </c>
      <c r="L127" s="81">
        <f ca="1">L107*(INDEX(L$35:L$37,MATCH(Work_Codes!$I$503,$D$35:$D$37,0)))</f>
        <v>0</v>
      </c>
      <c r="M127" s="81">
        <f ca="1">M107*(INDEX(M$35:M$37,MATCH(Work_Codes!$I$503,$D$35:$D$37,0)))</f>
        <v>0</v>
      </c>
      <c r="N127" s="81">
        <f ca="1">N107*(INDEX(N$35:N$37,MATCH(Work_Codes!$I$503,$D$35:$D$37,0)))</f>
        <v>0</v>
      </c>
      <c r="O127" s="81">
        <f ca="1">O107*(INDEX(O$35:O$37,MATCH(Work_Codes!$I$503,$D$35:$D$37,0)))</f>
        <v>0</v>
      </c>
      <c r="P127" s="81">
        <f ca="1">P107*(INDEX(P$35:P$37,MATCH(Work_Codes!$I$503,$D$35:$D$37,0)))</f>
        <v>0</v>
      </c>
      <c r="Q127" s="81">
        <f ca="1">Q107*(INDEX(Q$35:Q$37,MATCH(Work_Codes!$I$503,$D$35:$D$37,0)))</f>
        <v>0</v>
      </c>
      <c r="R127" s="81">
        <f ca="1">R107*(INDEX(R$35:R$37,MATCH(Work_Codes!$I$503,$D$35:$D$37,0)))</f>
        <v>0</v>
      </c>
      <c r="S127" s="81">
        <f ca="1">S107*(INDEX(S$35:S$37,MATCH(Work_Codes!$I$503,$D$35:$D$37,0)))</f>
        <v>0</v>
      </c>
      <c r="T127" s="81">
        <f ca="1">T107*(INDEX(T$35:T$37,MATCH(Work_Codes!$I$503,$D$35:$D$37,0)))</f>
        <v>0</v>
      </c>
    </row>
    <row r="128" spans="4:20" outlineLevel="2">
      <c r="E128" s="247" t="str">
        <f>GC!C43</f>
        <v>Cathodic protection</v>
      </c>
      <c r="F128" s="247"/>
      <c r="G128" s="247"/>
      <c r="H128" s="247"/>
      <c r="I128" s="247"/>
      <c r="J128" s="81">
        <f ca="1">J108*(INDEX(J$35:J$37,MATCH(Work_Codes!$I$503,$D$35:$D$37,0)))</f>
        <v>0</v>
      </c>
      <c r="K128" s="81">
        <f ca="1">K108*(INDEX(K$35:K$37,MATCH(Work_Codes!$I$503,$D$35:$D$37,0)))</f>
        <v>0</v>
      </c>
      <c r="L128" s="81">
        <f ca="1">L108*(INDEX(L$35:L$37,MATCH(Work_Codes!$I$503,$D$35:$D$37,0)))</f>
        <v>0</v>
      </c>
      <c r="M128" s="81">
        <f ca="1">M108*(INDEX(M$35:M$37,MATCH(Work_Codes!$I$503,$D$35:$D$37,0)))</f>
        <v>0</v>
      </c>
      <c r="N128" s="81">
        <f ca="1">N108*(INDEX(N$35:N$37,MATCH(Work_Codes!$I$503,$D$35:$D$37,0)))</f>
        <v>0</v>
      </c>
      <c r="O128" s="81">
        <f ca="1">O108*(INDEX(O$35:O$37,MATCH(Work_Codes!$I$503,$D$35:$D$37,0)))</f>
        <v>0</v>
      </c>
      <c r="P128" s="81">
        <f ca="1">P108*(INDEX(P$35:P$37,MATCH(Work_Codes!$I$503,$D$35:$D$37,0)))</f>
        <v>0</v>
      </c>
      <c r="Q128" s="81">
        <f ca="1">Q108*(INDEX(Q$35:Q$37,MATCH(Work_Codes!$I$503,$D$35:$D$37,0)))</f>
        <v>0</v>
      </c>
      <c r="R128" s="81">
        <f ca="1">R108*(INDEX(R$35:R$37,MATCH(Work_Codes!$I$503,$D$35:$D$37,0)))</f>
        <v>0</v>
      </c>
      <c r="S128" s="81">
        <f ca="1">S108*(INDEX(S$35:S$37,MATCH(Work_Codes!$I$503,$D$35:$D$37,0)))</f>
        <v>0</v>
      </c>
      <c r="T128" s="81">
        <f ca="1">T108*(INDEX(T$35:T$37,MATCH(Work_Codes!$I$503,$D$35:$D$37,0)))</f>
        <v>0</v>
      </c>
    </row>
    <row r="129" spans="4:20" outlineLevel="2">
      <c r="E129" s="247" t="str">
        <f>GC!C44</f>
        <v>Supply Regulators / Valve Stations</v>
      </c>
      <c r="F129" s="247"/>
      <c r="G129" s="247"/>
      <c r="H129" s="247"/>
      <c r="I129" s="247"/>
      <c r="J129" s="81">
        <f ca="1">J109*(INDEX(J$35:J$37,MATCH(Work_Codes!$I$503,$D$35:$D$37,0)))</f>
        <v>0</v>
      </c>
      <c r="K129" s="81">
        <f ca="1">K109*(INDEX(K$35:K$37,MATCH(Work_Codes!$I$503,$D$35:$D$37,0)))</f>
        <v>0</v>
      </c>
      <c r="L129" s="81">
        <f ca="1">L109*(INDEX(L$35:L$37,MATCH(Work_Codes!$I$503,$D$35:$D$37,0)))</f>
        <v>0</v>
      </c>
      <c r="M129" s="81">
        <f ca="1">M109*(INDEX(M$35:M$37,MATCH(Work_Codes!$I$503,$D$35:$D$37,0)))</f>
        <v>0</v>
      </c>
      <c r="N129" s="81">
        <f ca="1">N109*(INDEX(N$35:N$37,MATCH(Work_Codes!$I$503,$D$35:$D$37,0)))</f>
        <v>0</v>
      </c>
      <c r="O129" s="81">
        <f ca="1">O109*(INDEX(O$35:O$37,MATCH(Work_Codes!$I$503,$D$35:$D$37,0)))</f>
        <v>0</v>
      </c>
      <c r="P129" s="81">
        <f ca="1">P109*(INDEX(P$35:P$37,MATCH(Work_Codes!$I$503,$D$35:$D$37,0)))</f>
        <v>0</v>
      </c>
      <c r="Q129" s="81">
        <f ca="1">Q109*(INDEX(Q$35:Q$37,MATCH(Work_Codes!$I$503,$D$35:$D$37,0)))</f>
        <v>0</v>
      </c>
      <c r="R129" s="81">
        <f ca="1">R109*(INDEX(R$35:R$37,MATCH(Work_Codes!$I$503,$D$35:$D$37,0)))</f>
        <v>0</v>
      </c>
      <c r="S129" s="81">
        <f ca="1">S109*(INDEX(S$35:S$37,MATCH(Work_Codes!$I$503,$D$35:$D$37,0)))</f>
        <v>0</v>
      </c>
      <c r="T129" s="81">
        <f ca="1">T109*(INDEX(T$35:T$37,MATCH(Work_Codes!$I$503,$D$35:$D$37,0)))</f>
        <v>0</v>
      </c>
    </row>
    <row r="130" spans="4:20" outlineLevel="2">
      <c r="E130" s="247" t="str">
        <f>GC!C45</f>
        <v>Meters</v>
      </c>
      <c r="F130" s="247"/>
      <c r="G130" s="247"/>
      <c r="H130" s="247"/>
      <c r="I130" s="247"/>
      <c r="J130" s="81">
        <f ca="1">J110*(INDEX(J$35:J$37,MATCH(Work_Codes!$I$503,$D$35:$D$37,0)))</f>
        <v>0</v>
      </c>
      <c r="K130" s="81">
        <f ca="1">K110*(INDEX(K$35:K$37,MATCH(Work_Codes!$I$503,$D$35:$D$37,0)))</f>
        <v>0</v>
      </c>
      <c r="L130" s="81">
        <f ca="1">L110*(INDEX(L$35:L$37,MATCH(Work_Codes!$I$503,$D$35:$D$37,0)))</f>
        <v>0</v>
      </c>
      <c r="M130" s="81">
        <f ca="1">M110*(INDEX(M$35:M$37,MATCH(Work_Codes!$I$503,$D$35:$D$37,0)))</f>
        <v>0</v>
      </c>
      <c r="N130" s="81">
        <f ca="1">N110*(INDEX(N$35:N$37,MATCH(Work_Codes!$I$503,$D$35:$D$37,0)))</f>
        <v>0</v>
      </c>
      <c r="O130" s="81">
        <f ca="1">O110*(INDEX(O$35:O$37,MATCH(Work_Codes!$I$503,$D$35:$D$37,0)))</f>
        <v>0</v>
      </c>
      <c r="P130" s="81">
        <f ca="1">P110*(INDEX(P$35:P$37,MATCH(Work_Codes!$I$503,$D$35:$D$37,0)))</f>
        <v>0</v>
      </c>
      <c r="Q130" s="81">
        <f ca="1">Q110*(INDEX(Q$35:Q$37,MATCH(Work_Codes!$I$503,$D$35:$D$37,0)))</f>
        <v>0</v>
      </c>
      <c r="R130" s="81">
        <f ca="1">R110*(INDEX(R$35:R$37,MATCH(Work_Codes!$I$503,$D$35:$D$37,0)))</f>
        <v>0</v>
      </c>
      <c r="S130" s="81">
        <f ca="1">S110*(INDEX(S$35:S$37,MATCH(Work_Codes!$I$503,$D$35:$D$37,0)))</f>
        <v>0</v>
      </c>
      <c r="T130" s="81">
        <f ca="1">T110*(INDEX(T$35:T$37,MATCH(Work_Codes!$I$503,$D$35:$D$37,0)))</f>
        <v>0</v>
      </c>
    </row>
    <row r="131" spans="4:20" outlineLevel="2">
      <c r="E131" s="247" t="str">
        <f>GC!C46</f>
        <v>SCADA and remote control</v>
      </c>
      <c r="F131" s="247"/>
      <c r="G131" s="247"/>
      <c r="H131" s="247"/>
      <c r="I131" s="247"/>
      <c r="J131" s="81">
        <f ca="1">J111*(INDEX(J$35:J$37,MATCH(Work_Codes!$I$503,$D$35:$D$37,0)))</f>
        <v>0</v>
      </c>
      <c r="K131" s="81">
        <f ca="1">K111*(INDEX(K$35:K$37,MATCH(Work_Codes!$I$503,$D$35:$D$37,0)))</f>
        <v>0</v>
      </c>
      <c r="L131" s="81">
        <f ca="1">L111*(INDEX(L$35:L$37,MATCH(Work_Codes!$I$503,$D$35:$D$37,0)))</f>
        <v>0</v>
      </c>
      <c r="M131" s="81">
        <f ca="1">M111*(INDEX(M$35:M$37,MATCH(Work_Codes!$I$503,$D$35:$D$37,0)))</f>
        <v>0</v>
      </c>
      <c r="N131" s="81">
        <f ca="1">N111*(INDEX(N$35:N$37,MATCH(Work_Codes!$I$503,$D$35:$D$37,0)))</f>
        <v>0</v>
      </c>
      <c r="O131" s="81">
        <f ca="1">O111*(INDEX(O$35:O$37,MATCH(Work_Codes!$I$503,$D$35:$D$37,0)))</f>
        <v>0</v>
      </c>
      <c r="P131" s="81">
        <f ca="1">P111*(INDEX(P$35:P$37,MATCH(Work_Codes!$I$503,$D$35:$D$37,0)))</f>
        <v>0</v>
      </c>
      <c r="Q131" s="81">
        <f ca="1">Q111*(INDEX(Q$35:Q$37,MATCH(Work_Codes!$I$503,$D$35:$D$37,0)))</f>
        <v>0</v>
      </c>
      <c r="R131" s="81">
        <f ca="1">R111*(INDEX(R$35:R$37,MATCH(Work_Codes!$I$503,$D$35:$D$37,0)))</f>
        <v>0</v>
      </c>
      <c r="S131" s="81">
        <f ca="1">S111*(INDEX(S$35:S$37,MATCH(Work_Codes!$I$503,$D$35:$D$37,0)))</f>
        <v>0</v>
      </c>
      <c r="T131" s="81">
        <f ca="1">T111*(INDEX(T$35:T$37,MATCH(Work_Codes!$I$503,$D$35:$D$37,0)))</f>
        <v>0</v>
      </c>
    </row>
    <row r="132" spans="4:20" outlineLevel="2">
      <c r="E132" s="247" t="str">
        <f>GC!C47</f>
        <v>Buildings</v>
      </c>
      <c r="F132" s="247"/>
      <c r="G132" s="247"/>
      <c r="H132" s="247"/>
      <c r="I132" s="247"/>
      <c r="J132" s="81">
        <f ca="1">J112*(INDEX(J$35:J$37,MATCH(Work_Codes!$I$503,$D$35:$D$37,0)))</f>
        <v>0</v>
      </c>
      <c r="K132" s="81">
        <f ca="1">K112*(INDEX(K$35:K$37,MATCH(Work_Codes!$I$503,$D$35:$D$37,0)))</f>
        <v>0</v>
      </c>
      <c r="L132" s="81">
        <f ca="1">L112*(INDEX(L$35:L$37,MATCH(Work_Codes!$I$503,$D$35:$D$37,0)))</f>
        <v>0</v>
      </c>
      <c r="M132" s="81">
        <f ca="1">M112*(INDEX(M$35:M$37,MATCH(Work_Codes!$I$503,$D$35:$D$37,0)))</f>
        <v>0</v>
      </c>
      <c r="N132" s="81">
        <f ca="1">N112*(INDEX(N$35:N$37,MATCH(Work_Codes!$I$503,$D$35:$D$37,0)))</f>
        <v>0</v>
      </c>
      <c r="O132" s="81">
        <f ca="1">O112*(INDEX(O$35:O$37,MATCH(Work_Codes!$I$503,$D$35:$D$37,0)))</f>
        <v>0</v>
      </c>
      <c r="P132" s="81">
        <f ca="1">P112*(INDEX(P$35:P$37,MATCH(Work_Codes!$I$503,$D$35:$D$37,0)))</f>
        <v>0</v>
      </c>
      <c r="Q132" s="81">
        <f ca="1">Q112*(INDEX(Q$35:Q$37,MATCH(Work_Codes!$I$503,$D$35:$D$37,0)))</f>
        <v>0</v>
      </c>
      <c r="R132" s="81">
        <f ca="1">R112*(INDEX(R$35:R$37,MATCH(Work_Codes!$I$503,$D$35:$D$37,0)))</f>
        <v>0</v>
      </c>
      <c r="S132" s="81">
        <f ca="1">S112*(INDEX(S$35:S$37,MATCH(Work_Codes!$I$503,$D$35:$D$37,0)))</f>
        <v>0</v>
      </c>
      <c r="T132" s="81">
        <f ca="1">T112*(INDEX(T$35:T$37,MATCH(Work_Codes!$I$503,$D$35:$D$37,0)))</f>
        <v>0</v>
      </c>
    </row>
    <row r="133" spans="4:20" outlineLevel="2">
      <c r="E133" s="247" t="str">
        <f>GC!C48</f>
        <v>Other - IT</v>
      </c>
      <c r="F133" s="247"/>
      <c r="G133" s="247"/>
      <c r="H133" s="247"/>
      <c r="I133" s="247"/>
      <c r="J133" s="81">
        <f ca="1">J113*(INDEX(J$35:J$37,MATCH(Work_Codes!$I$503,$D$35:$D$37,0)))</f>
        <v>0</v>
      </c>
      <c r="K133" s="81">
        <f ca="1">K113*(INDEX(K$35:K$37,MATCH(Work_Codes!$I$503,$D$35:$D$37,0)))</f>
        <v>0</v>
      </c>
      <c r="L133" s="81">
        <f ca="1">L113*(INDEX(L$35:L$37,MATCH(Work_Codes!$I$503,$D$35:$D$37,0)))</f>
        <v>0</v>
      </c>
      <c r="M133" s="81">
        <f ca="1">M113*(INDEX(M$35:M$37,MATCH(Work_Codes!$I$503,$D$35:$D$37,0)))</f>
        <v>0</v>
      </c>
      <c r="N133" s="81">
        <f ca="1">N113*(INDEX(N$35:N$37,MATCH(Work_Codes!$I$503,$D$35:$D$37,0)))</f>
        <v>0</v>
      </c>
      <c r="O133" s="81">
        <f ca="1">O113*(INDEX(O$35:O$37,MATCH(Work_Codes!$I$503,$D$35:$D$37,0)))</f>
        <v>0</v>
      </c>
      <c r="P133" s="81">
        <f ca="1">P113*(INDEX(P$35:P$37,MATCH(Work_Codes!$I$503,$D$35:$D$37,0)))</f>
        <v>0</v>
      </c>
      <c r="Q133" s="81">
        <f ca="1">Q113*(INDEX(Q$35:Q$37,MATCH(Work_Codes!$I$503,$D$35:$D$37,0)))</f>
        <v>0</v>
      </c>
      <c r="R133" s="81">
        <f ca="1">R113*(INDEX(R$35:R$37,MATCH(Work_Codes!$I$503,$D$35:$D$37,0)))</f>
        <v>0</v>
      </c>
      <c r="S133" s="81">
        <f ca="1">S113*(INDEX(S$35:S$37,MATCH(Work_Codes!$I$503,$D$35:$D$37,0)))</f>
        <v>0</v>
      </c>
      <c r="T133" s="81">
        <f ca="1">T113*(INDEX(T$35:T$37,MATCH(Work_Codes!$I$503,$D$35:$D$37,0)))</f>
        <v>0</v>
      </c>
    </row>
    <row r="134" spans="4:20" outlineLevel="2">
      <c r="E134" s="247" t="str">
        <f>GC!C49</f>
        <v>Other - non IT</v>
      </c>
      <c r="F134" s="247"/>
      <c r="G134" s="247"/>
      <c r="H134" s="247"/>
      <c r="I134" s="247"/>
      <c r="J134" s="81">
        <f ca="1">J114*(INDEX(J$35:J$37,MATCH(Work_Codes!$I$503,$D$35:$D$37,0)))</f>
        <v>0</v>
      </c>
      <c r="K134" s="81">
        <f ca="1">K114*(INDEX(K$35:K$37,MATCH(Work_Codes!$I$503,$D$35:$D$37,0)))</f>
        <v>0</v>
      </c>
      <c r="L134" s="81">
        <f ca="1">L114*(INDEX(L$35:L$37,MATCH(Work_Codes!$I$503,$D$35:$D$37,0)))</f>
        <v>0</v>
      </c>
      <c r="M134" s="81">
        <f ca="1">M114*(INDEX(M$35:M$37,MATCH(Work_Codes!$I$503,$D$35:$D$37,0)))</f>
        <v>0</v>
      </c>
      <c r="N134" s="81">
        <f ca="1">N114*(INDEX(N$35:N$37,MATCH(Work_Codes!$I$503,$D$35:$D$37,0)))</f>
        <v>0</v>
      </c>
      <c r="O134" s="81">
        <f ca="1">O114*(INDEX(O$35:O$37,MATCH(Work_Codes!$I$503,$D$35:$D$37,0)))</f>
        <v>0</v>
      </c>
      <c r="P134" s="81">
        <f ca="1">P114*(INDEX(P$35:P$37,MATCH(Work_Codes!$I$503,$D$35:$D$37,0)))</f>
        <v>0</v>
      </c>
      <c r="Q134" s="81">
        <f ca="1">Q114*(INDEX(Q$35:Q$37,MATCH(Work_Codes!$I$503,$D$35:$D$37,0)))</f>
        <v>0</v>
      </c>
      <c r="R134" s="81">
        <f ca="1">R114*(INDEX(R$35:R$37,MATCH(Work_Codes!$I$503,$D$35:$D$37,0)))</f>
        <v>0</v>
      </c>
      <c r="S134" s="81">
        <f ca="1">S114*(INDEX(S$35:S$37,MATCH(Work_Codes!$I$503,$D$35:$D$37,0)))</f>
        <v>0</v>
      </c>
      <c r="T134" s="81">
        <f ca="1">T114*(INDEX(T$35:T$37,MATCH(Work_Codes!$I$503,$D$35:$D$37,0)))</f>
        <v>0</v>
      </c>
    </row>
    <row r="135" spans="4:20" outlineLevel="2">
      <c r="E135" s="247" t="str">
        <f>GC!C50</f>
        <v>Land</v>
      </c>
      <c r="F135" s="247"/>
      <c r="G135" s="247"/>
      <c r="H135" s="247"/>
      <c r="I135" s="247"/>
      <c r="J135" s="81">
        <f ca="1">J115*(INDEX(J$35:J$37,MATCH(Work_Codes!$I$503,$D$35:$D$37,0)))</f>
        <v>0</v>
      </c>
      <c r="K135" s="81">
        <f ca="1">K115*(INDEX(K$35:K$37,MATCH(Work_Codes!$I$503,$D$35:$D$37,0)))</f>
        <v>0</v>
      </c>
      <c r="L135" s="81">
        <f ca="1">L115*(INDEX(L$35:L$37,MATCH(Work_Codes!$I$503,$D$35:$D$37,0)))</f>
        <v>0</v>
      </c>
      <c r="M135" s="81">
        <f ca="1">M115*(INDEX(M$35:M$37,MATCH(Work_Codes!$I$503,$D$35:$D$37,0)))</f>
        <v>0</v>
      </c>
      <c r="N135" s="81">
        <f ca="1">N115*(INDEX(N$35:N$37,MATCH(Work_Codes!$I$503,$D$35:$D$37,0)))</f>
        <v>0</v>
      </c>
      <c r="O135" s="81">
        <f ca="1">O115*(INDEX(O$35:O$37,MATCH(Work_Codes!$I$503,$D$35:$D$37,0)))</f>
        <v>0</v>
      </c>
      <c r="P135" s="81">
        <f ca="1">P115*(INDEX(P$35:P$37,MATCH(Work_Codes!$I$503,$D$35:$D$37,0)))</f>
        <v>0</v>
      </c>
      <c r="Q135" s="81">
        <f ca="1">Q115*(INDEX(Q$35:Q$37,MATCH(Work_Codes!$I$503,$D$35:$D$37,0)))</f>
        <v>0</v>
      </c>
      <c r="R135" s="81">
        <f ca="1">R115*(INDEX(R$35:R$37,MATCH(Work_Codes!$I$503,$D$35:$D$37,0)))</f>
        <v>0</v>
      </c>
      <c r="S135" s="81">
        <f ca="1">S115*(INDEX(S$35:S$37,MATCH(Work_Codes!$I$503,$D$35:$D$37,0)))</f>
        <v>0</v>
      </c>
      <c r="T135" s="81">
        <f ca="1">T115*(INDEX(T$35:T$37,MATCH(Work_Codes!$I$503,$D$35:$D$37,0)))</f>
        <v>0</v>
      </c>
    </row>
    <row r="136" spans="4:20" outlineLevel="2">
      <c r="E136" s="247" t="str">
        <f>GC!C51</f>
        <v>Capitalised Leases</v>
      </c>
      <c r="F136" s="247"/>
      <c r="G136" s="247"/>
      <c r="H136" s="247"/>
      <c r="I136" s="247"/>
      <c r="J136" s="81">
        <f ca="1">J116*(INDEX(J$35:J$37,MATCH(Work_Codes!$I$503,$D$35:$D$37,0)))</f>
        <v>0</v>
      </c>
      <c r="K136" s="81">
        <f ca="1">K116*(INDEX(K$35:K$37,MATCH(Work_Codes!$I$503,$D$35:$D$37,0)))</f>
        <v>0</v>
      </c>
      <c r="L136" s="81">
        <f ca="1">L116*(INDEX(L$35:L$37,MATCH(Work_Codes!$I$503,$D$35:$D$37,0)))</f>
        <v>0</v>
      </c>
      <c r="M136" s="81">
        <f ca="1">M116*(INDEX(M$35:M$37,MATCH(Work_Codes!$I$503,$D$35:$D$37,0)))</f>
        <v>0</v>
      </c>
      <c r="N136" s="81">
        <f ca="1">N116*(INDEX(N$35:N$37,MATCH(Work_Codes!$I$503,$D$35:$D$37,0)))</f>
        <v>0</v>
      </c>
      <c r="O136" s="81">
        <f ca="1">O116*(INDEX(O$35:O$37,MATCH(Work_Codes!$I$503,$D$35:$D$37,0)))</f>
        <v>0</v>
      </c>
      <c r="P136" s="81">
        <f ca="1">P116*(INDEX(P$35:P$37,MATCH(Work_Codes!$I$503,$D$35:$D$37,0)))</f>
        <v>0</v>
      </c>
      <c r="Q136" s="81">
        <f ca="1">Q116*(INDEX(Q$35:Q$37,MATCH(Work_Codes!$I$503,$D$35:$D$37,0)))</f>
        <v>0</v>
      </c>
      <c r="R136" s="81">
        <f ca="1">R116*(INDEX(R$35:R$37,MATCH(Work_Codes!$I$503,$D$35:$D$37,0)))</f>
        <v>0</v>
      </c>
      <c r="S136" s="81">
        <f ca="1">S116*(INDEX(S$35:S$37,MATCH(Work_Codes!$I$503,$D$35:$D$37,0)))</f>
        <v>0</v>
      </c>
      <c r="T136" s="81">
        <f ca="1">T116*(INDEX(T$35:T$37,MATCH(Work_Codes!$I$503,$D$35:$D$37,0)))</f>
        <v>0</v>
      </c>
    </row>
    <row r="137" spans="4:20" outlineLevel="2">
      <c r="E137" s="247" t="str">
        <f>GC!C52</f>
        <v>Transmission pipelines - post 1998</v>
      </c>
      <c r="F137" s="247"/>
      <c r="G137" s="247"/>
      <c r="H137" s="247"/>
      <c r="I137" s="247"/>
      <c r="J137" s="81">
        <f ca="1">J117*(INDEX(J$35:J$37,MATCH(Work_Codes!$I$503,$D$35:$D$37,0)))</f>
        <v>0</v>
      </c>
      <c r="K137" s="81">
        <f ca="1">K117*(INDEX(K$35:K$37,MATCH(Work_Codes!$I$503,$D$35:$D$37,0)))</f>
        <v>0</v>
      </c>
      <c r="L137" s="81">
        <f ca="1">L117*(INDEX(L$35:L$37,MATCH(Work_Codes!$I$503,$D$35:$D$37,0)))</f>
        <v>0</v>
      </c>
      <c r="M137" s="81">
        <f ca="1">M117*(INDEX(M$35:M$37,MATCH(Work_Codes!$I$503,$D$35:$D$37,0)))</f>
        <v>0</v>
      </c>
      <c r="N137" s="81">
        <f ca="1">N117*(INDEX(N$35:N$37,MATCH(Work_Codes!$I$503,$D$35:$D$37,0)))</f>
        <v>0</v>
      </c>
      <c r="O137" s="81">
        <f ca="1">O117*(INDEX(O$35:O$37,MATCH(Work_Codes!$I$503,$D$35:$D$37,0)))</f>
        <v>0</v>
      </c>
      <c r="P137" s="81">
        <f ca="1">P117*(INDEX(P$35:P$37,MATCH(Work_Codes!$I$503,$D$35:$D$37,0)))</f>
        <v>0</v>
      </c>
      <c r="Q137" s="81">
        <f ca="1">Q117*(INDEX(Q$35:Q$37,MATCH(Work_Codes!$I$503,$D$35:$D$37,0)))</f>
        <v>0</v>
      </c>
      <c r="R137" s="81">
        <f ca="1">R117*(INDEX(R$35:R$37,MATCH(Work_Codes!$I$503,$D$35:$D$37,0)))</f>
        <v>0</v>
      </c>
      <c r="S137" s="81">
        <f ca="1">S117*(INDEX(S$35:S$37,MATCH(Work_Codes!$I$503,$D$35:$D$37,0)))</f>
        <v>0</v>
      </c>
      <c r="T137" s="81">
        <f ca="1">T117*(INDEX(T$35:T$37,MATCH(Work_Codes!$I$503,$D$35:$D$37,0)))</f>
        <v>0</v>
      </c>
    </row>
    <row r="138" spans="4:20" outlineLevel="2">
      <c r="E138" s="247" t="str">
        <f>GC!C53</f>
        <v>Distribution pipelines - post 1998</v>
      </c>
      <c r="F138" s="247"/>
      <c r="G138" s="247"/>
      <c r="H138" s="247"/>
      <c r="I138" s="247"/>
      <c r="J138" s="81">
        <f ca="1">J118*(INDEX(J$35:J$37,MATCH(Work_Codes!$I$503,$D$35:$D$37,0)))</f>
        <v>0</v>
      </c>
      <c r="K138" s="81">
        <f ca="1">K118*(INDEX(K$35:K$37,MATCH(Work_Codes!$I$503,$D$35:$D$37,0)))</f>
        <v>0</v>
      </c>
      <c r="L138" s="81">
        <f ca="1">L118*(INDEX(L$35:L$37,MATCH(Work_Codes!$I$503,$D$35:$D$37,0)))</f>
        <v>0</v>
      </c>
      <c r="M138" s="81">
        <f ca="1">M118*(INDEX(M$35:M$37,MATCH(Work_Codes!$I$503,$D$35:$D$37,0)))</f>
        <v>0</v>
      </c>
      <c r="N138" s="81">
        <f ca="1">N118*(INDEX(N$35:N$37,MATCH(Work_Codes!$I$503,$D$35:$D$37,0)))</f>
        <v>0</v>
      </c>
      <c r="O138" s="81">
        <f ca="1">O118*(INDEX(O$35:O$37,MATCH(Work_Codes!$I$503,$D$35:$D$37,0)))</f>
        <v>0</v>
      </c>
      <c r="P138" s="81">
        <f ca="1">P118*(INDEX(P$35:P$37,MATCH(Work_Codes!$I$503,$D$35:$D$37,0)))</f>
        <v>0</v>
      </c>
      <c r="Q138" s="81">
        <f ca="1">Q118*(INDEX(Q$35:Q$37,MATCH(Work_Codes!$I$503,$D$35:$D$37,0)))</f>
        <v>0</v>
      </c>
      <c r="R138" s="81">
        <f ca="1">R118*(INDEX(R$35:R$37,MATCH(Work_Codes!$I$503,$D$35:$D$37,0)))</f>
        <v>0</v>
      </c>
      <c r="S138" s="81">
        <f ca="1">S118*(INDEX(S$35:S$37,MATCH(Work_Codes!$I$503,$D$35:$D$37,0)))</f>
        <v>0</v>
      </c>
      <c r="T138" s="81">
        <f ca="1">T118*(INDEX(T$35:T$37,MATCH(Work_Codes!$I$503,$D$35:$D$37,0)))</f>
        <v>0</v>
      </c>
    </row>
    <row r="139" spans="4:20" outlineLevel="2">
      <c r="E139" s="247" t="str">
        <f>GC!C54</f>
        <v>Service pipes - post 1998</v>
      </c>
      <c r="F139" s="247"/>
      <c r="G139" s="247"/>
      <c r="H139" s="247"/>
      <c r="I139" s="247"/>
      <c r="J139" s="81">
        <f ca="1">J119*(INDEX(J$35:J$37,MATCH(Work_Codes!$I$503,$D$35:$D$37,0)))</f>
        <v>0</v>
      </c>
      <c r="K139" s="81">
        <f ca="1">K119*(INDEX(K$35:K$37,MATCH(Work_Codes!$I$503,$D$35:$D$37,0)))</f>
        <v>0</v>
      </c>
      <c r="L139" s="81">
        <f ca="1">L119*(INDEX(L$35:L$37,MATCH(Work_Codes!$I$503,$D$35:$D$37,0)))</f>
        <v>0</v>
      </c>
      <c r="M139" s="81">
        <f ca="1">M119*(INDEX(M$35:M$37,MATCH(Work_Codes!$I$503,$D$35:$D$37,0)))</f>
        <v>0</v>
      </c>
      <c r="N139" s="81">
        <f ca="1">N119*(INDEX(N$35:N$37,MATCH(Work_Codes!$I$503,$D$35:$D$37,0)))</f>
        <v>0</v>
      </c>
      <c r="O139" s="81">
        <f ca="1">O119*(INDEX(O$35:O$37,MATCH(Work_Codes!$I$503,$D$35:$D$37,0)))</f>
        <v>0</v>
      </c>
      <c r="P139" s="81">
        <f ca="1">P119*(INDEX(P$35:P$37,MATCH(Work_Codes!$I$503,$D$35:$D$37,0)))</f>
        <v>0</v>
      </c>
      <c r="Q139" s="81">
        <f ca="1">Q119*(INDEX(Q$35:Q$37,MATCH(Work_Codes!$I$503,$D$35:$D$37,0)))</f>
        <v>0</v>
      </c>
      <c r="R139" s="81">
        <f ca="1">R119*(INDEX(R$35:R$37,MATCH(Work_Codes!$I$503,$D$35:$D$37,0)))</f>
        <v>0</v>
      </c>
      <c r="S139" s="81">
        <f ca="1">S119*(INDEX(S$35:S$37,MATCH(Work_Codes!$I$503,$D$35:$D$37,0)))</f>
        <v>0</v>
      </c>
      <c r="T139" s="81">
        <f ca="1">T119*(INDEX(T$35:T$37,MATCH(Work_Codes!$I$503,$D$35:$D$37,0)))</f>
        <v>0</v>
      </c>
    </row>
    <row r="140" spans="4:20" outlineLevel="2">
      <c r="E140" s="247" t="str">
        <f>GC!C55</f>
        <v>Cathodic protection - post 1998</v>
      </c>
      <c r="F140" s="247"/>
      <c r="G140" s="247"/>
      <c r="H140" s="247"/>
      <c r="I140" s="247"/>
      <c r="J140" s="81">
        <f ca="1">J120*(INDEX(J$35:J$37,MATCH(Work_Codes!$I$503,$D$35:$D$37,0)))</f>
        <v>0</v>
      </c>
      <c r="K140" s="81">
        <f ca="1">K120*(INDEX(K$35:K$37,MATCH(Work_Codes!$I$503,$D$35:$D$37,0)))</f>
        <v>0</v>
      </c>
      <c r="L140" s="81">
        <f ca="1">L120*(INDEX(L$35:L$37,MATCH(Work_Codes!$I$503,$D$35:$D$37,0)))</f>
        <v>0</v>
      </c>
      <c r="M140" s="81">
        <f ca="1">M120*(INDEX(M$35:M$37,MATCH(Work_Codes!$I$503,$D$35:$D$37,0)))</f>
        <v>0</v>
      </c>
      <c r="N140" s="81">
        <f ca="1">N120*(INDEX(N$35:N$37,MATCH(Work_Codes!$I$503,$D$35:$D$37,0)))</f>
        <v>0</v>
      </c>
      <c r="O140" s="81">
        <f ca="1">O120*(INDEX(O$35:O$37,MATCH(Work_Codes!$I$503,$D$35:$D$37,0)))</f>
        <v>0</v>
      </c>
      <c r="P140" s="81">
        <f ca="1">P120*(INDEX(P$35:P$37,MATCH(Work_Codes!$I$503,$D$35:$D$37,0)))</f>
        <v>0</v>
      </c>
      <c r="Q140" s="81">
        <f ca="1">Q120*(INDEX(Q$35:Q$37,MATCH(Work_Codes!$I$503,$D$35:$D$37,0)))</f>
        <v>0</v>
      </c>
      <c r="R140" s="81">
        <f ca="1">R120*(INDEX(R$35:R$37,MATCH(Work_Codes!$I$503,$D$35:$D$37,0)))</f>
        <v>0</v>
      </c>
      <c r="S140" s="81">
        <f ca="1">S120*(INDEX(S$35:S$37,MATCH(Work_Codes!$I$503,$D$35:$D$37,0)))</f>
        <v>0</v>
      </c>
      <c r="T140" s="81">
        <f ca="1">T120*(INDEX(T$35:T$37,MATCH(Work_Codes!$I$503,$D$35:$D$37,0)))</f>
        <v>0</v>
      </c>
    </row>
    <row r="141" spans="4:20" outlineLevel="2">
      <c r="E141" s="249" t="str">
        <f>"Total "&amp;D123</f>
        <v>Total Overheads</v>
      </c>
      <c r="F141" s="249"/>
      <c r="G141" s="249"/>
      <c r="H141" s="249"/>
      <c r="I141" s="249"/>
      <c r="J141" s="82">
        <f t="shared" ref="J141:T141" ca="1" si="19">SUM(J125:J140)</f>
        <v>0</v>
      </c>
      <c r="K141" s="82">
        <f t="shared" ca="1" si="19"/>
        <v>0</v>
      </c>
      <c r="L141" s="82">
        <f t="shared" ca="1" si="19"/>
        <v>0</v>
      </c>
      <c r="M141" s="82">
        <f t="shared" ca="1" si="19"/>
        <v>0</v>
      </c>
      <c r="N141" s="82">
        <f t="shared" ca="1" si="19"/>
        <v>0</v>
      </c>
      <c r="O141" s="82">
        <f t="shared" ca="1" si="19"/>
        <v>0</v>
      </c>
      <c r="P141" s="82">
        <f t="shared" ca="1" si="19"/>
        <v>0</v>
      </c>
      <c r="Q141" s="82">
        <f t="shared" ca="1" si="19"/>
        <v>0</v>
      </c>
      <c r="R141" s="82">
        <f t="shared" ca="1" si="19"/>
        <v>0</v>
      </c>
      <c r="S141" s="82">
        <f t="shared" ca="1" si="19"/>
        <v>0</v>
      </c>
      <c r="T141" s="82">
        <f t="shared" ca="1" si="19"/>
        <v>0</v>
      </c>
    </row>
    <row r="142" spans="4:20" outlineLevel="2"/>
    <row r="143" spans="4:20" outlineLevel="2">
      <c r="D143" s="37" t="s">
        <v>216</v>
      </c>
    </row>
    <row r="144" spans="4:20" ht="5.9" customHeight="1" outlineLevel="2"/>
    <row r="145" spans="5:20" ht="11.5" customHeight="1" outlineLevel="2">
      <c r="E145" s="247" t="str">
        <f>GC!C40</f>
        <v>Transmission pipelines</v>
      </c>
      <c r="F145" s="247"/>
      <c r="G145" s="247"/>
      <c r="H145" s="247"/>
      <c r="I145" s="247"/>
      <c r="J145" s="81">
        <f ca="1">J105*(1+INDEX(J$35:J$37,MATCH(Work_Codes!$I$503,$D$35:$D$37,0)))</f>
        <v>0</v>
      </c>
      <c r="K145" s="81">
        <f ca="1">K105*(1+INDEX(K$35:K$37,MATCH(Work_Codes!$I$503,$D$35:$D$37,0)))</f>
        <v>0</v>
      </c>
      <c r="L145" s="81">
        <f ca="1">L105*(1+INDEX(L$35:L$37,MATCH(Work_Codes!$I$503,$D$35:$D$37,0)))</f>
        <v>0</v>
      </c>
      <c r="M145" s="81">
        <f ca="1">M105*(1+INDEX(M$35:M$37,MATCH(Work_Codes!$I$503,$D$35:$D$37,0)))</f>
        <v>0</v>
      </c>
      <c r="N145" s="81">
        <f ca="1">N105*(1+INDEX(N$35:N$37,MATCH(Work_Codes!$I$503,$D$35:$D$37,0)))</f>
        <v>0</v>
      </c>
      <c r="O145" s="81">
        <f ca="1">O105*(1+INDEX(O$35:O$37,MATCH(Work_Codes!$I$503,$D$35:$D$37,0)))</f>
        <v>0</v>
      </c>
      <c r="P145" s="81">
        <f ca="1">P105*(1+INDEX(P$35:P$37,MATCH(Work_Codes!$I$503,$D$35:$D$37,0)))</f>
        <v>0</v>
      </c>
      <c r="Q145" s="81">
        <f ca="1">Q105*(1+INDEX(Q$35:Q$37,MATCH(Work_Codes!$I$503,$D$35:$D$37,0)))</f>
        <v>0</v>
      </c>
      <c r="R145" s="81">
        <f ca="1">R105*(1+INDEX(R$35:R$37,MATCH(Work_Codes!$I$503,$D$35:$D$37,0)))</f>
        <v>0</v>
      </c>
      <c r="S145" s="81">
        <f ca="1">S105*(1+INDEX(S$35:S$37,MATCH(Work_Codes!$I$503,$D$35:$D$37,0)))</f>
        <v>0</v>
      </c>
      <c r="T145" s="81">
        <f ca="1">T105*(1+INDEX(T$35:T$37,MATCH(Work_Codes!$I$503,$D$35:$D$37,0)))</f>
        <v>0</v>
      </c>
    </row>
    <row r="146" spans="5:20" ht="11.5" customHeight="1" outlineLevel="2">
      <c r="E146" s="247" t="str">
        <f>GC!C41</f>
        <v>Distribution pipelines</v>
      </c>
      <c r="F146" s="247"/>
      <c r="G146" s="247"/>
      <c r="H146" s="247"/>
      <c r="I146" s="247"/>
      <c r="J146" s="81">
        <f ca="1">J106*(1+INDEX(J$35:J$37,MATCH(Work_Codes!$I$503,$D$35:$D$37,0)))</f>
        <v>0</v>
      </c>
      <c r="K146" s="81">
        <f ca="1">K106*(1+INDEX(K$35:K$37,MATCH(Work_Codes!$I$503,$D$35:$D$37,0)))</f>
        <v>0</v>
      </c>
      <c r="L146" s="81">
        <f ca="1">L106*(1+INDEX(L$35:L$37,MATCH(Work_Codes!$I$503,$D$35:$D$37,0)))</f>
        <v>0</v>
      </c>
      <c r="M146" s="81">
        <f ca="1">M106*(1+INDEX(M$35:M$37,MATCH(Work_Codes!$I$503,$D$35:$D$37,0)))</f>
        <v>0</v>
      </c>
      <c r="N146" s="81">
        <f ca="1">N106*(1+INDEX(N$35:N$37,MATCH(Work_Codes!$I$503,$D$35:$D$37,0)))</f>
        <v>0</v>
      </c>
      <c r="O146" s="81">
        <f ca="1">O106*(1+INDEX(O$35:O$37,MATCH(Work_Codes!$I$503,$D$35:$D$37,0)))</f>
        <v>0</v>
      </c>
      <c r="P146" s="81">
        <f ca="1">P106*(1+INDEX(P$35:P$37,MATCH(Work_Codes!$I$503,$D$35:$D$37,0)))</f>
        <v>0</v>
      </c>
      <c r="Q146" s="81">
        <f ca="1">Q106*(1+INDEX(Q$35:Q$37,MATCH(Work_Codes!$I$503,$D$35:$D$37,0)))</f>
        <v>0</v>
      </c>
      <c r="R146" s="81">
        <f ca="1">R106*(1+INDEX(R$35:R$37,MATCH(Work_Codes!$I$503,$D$35:$D$37,0)))</f>
        <v>0</v>
      </c>
      <c r="S146" s="81">
        <f ca="1">S106*(1+INDEX(S$35:S$37,MATCH(Work_Codes!$I$503,$D$35:$D$37,0)))</f>
        <v>0</v>
      </c>
      <c r="T146" s="81">
        <f ca="1">T106*(1+INDEX(T$35:T$37,MATCH(Work_Codes!$I$503,$D$35:$D$37,0)))</f>
        <v>0</v>
      </c>
    </row>
    <row r="147" spans="5:20" ht="11.5" customHeight="1" outlineLevel="2">
      <c r="E147" s="247" t="str">
        <f>GC!C42</f>
        <v>Service pipes</v>
      </c>
      <c r="F147" s="247"/>
      <c r="G147" s="247"/>
      <c r="H147" s="247"/>
      <c r="I147" s="247"/>
      <c r="J147" s="81">
        <f ca="1">J107*(1+INDEX(J$35:J$37,MATCH(Work_Codes!$I$503,$D$35:$D$37,0)))</f>
        <v>0</v>
      </c>
      <c r="K147" s="81">
        <f ca="1">K107*(1+INDEX(K$35:K$37,MATCH(Work_Codes!$I$503,$D$35:$D$37,0)))</f>
        <v>0</v>
      </c>
      <c r="L147" s="81">
        <f ca="1">L107*(1+INDEX(L$35:L$37,MATCH(Work_Codes!$I$503,$D$35:$D$37,0)))</f>
        <v>0</v>
      </c>
      <c r="M147" s="81">
        <f ca="1">M107*(1+INDEX(M$35:M$37,MATCH(Work_Codes!$I$503,$D$35:$D$37,0)))</f>
        <v>0</v>
      </c>
      <c r="N147" s="81">
        <f ca="1">N107*(1+INDEX(N$35:N$37,MATCH(Work_Codes!$I$503,$D$35:$D$37,0)))</f>
        <v>0</v>
      </c>
      <c r="O147" s="81">
        <f ca="1">O107*(1+INDEX(O$35:O$37,MATCH(Work_Codes!$I$503,$D$35:$D$37,0)))</f>
        <v>0</v>
      </c>
      <c r="P147" s="81">
        <f ca="1">P107*(1+INDEX(P$35:P$37,MATCH(Work_Codes!$I$503,$D$35:$D$37,0)))</f>
        <v>0</v>
      </c>
      <c r="Q147" s="81">
        <f ca="1">Q107*(1+INDEX(Q$35:Q$37,MATCH(Work_Codes!$I$503,$D$35:$D$37,0)))</f>
        <v>0</v>
      </c>
      <c r="R147" s="81">
        <f ca="1">R107*(1+INDEX(R$35:R$37,MATCH(Work_Codes!$I$503,$D$35:$D$37,0)))</f>
        <v>0</v>
      </c>
      <c r="S147" s="81">
        <f ca="1">S107*(1+INDEX(S$35:S$37,MATCH(Work_Codes!$I$503,$D$35:$D$37,0)))</f>
        <v>0</v>
      </c>
      <c r="T147" s="81">
        <f ca="1">T107*(1+INDEX(T$35:T$37,MATCH(Work_Codes!$I$503,$D$35:$D$37,0)))</f>
        <v>0</v>
      </c>
    </row>
    <row r="148" spans="5:20" ht="11.5" customHeight="1" outlineLevel="2">
      <c r="E148" s="247" t="str">
        <f>GC!C43</f>
        <v>Cathodic protection</v>
      </c>
      <c r="F148" s="247"/>
      <c r="G148" s="247"/>
      <c r="H148" s="247"/>
      <c r="I148" s="247"/>
      <c r="J148" s="81">
        <f ca="1">J108*(1+INDEX(J$35:J$37,MATCH(Work_Codes!$I$503,$D$35:$D$37,0)))</f>
        <v>0</v>
      </c>
      <c r="K148" s="81">
        <f ca="1">K108*(1+INDEX(K$35:K$37,MATCH(Work_Codes!$I$503,$D$35:$D$37,0)))</f>
        <v>0</v>
      </c>
      <c r="L148" s="81">
        <f ca="1">L108*(1+INDEX(L$35:L$37,MATCH(Work_Codes!$I$503,$D$35:$D$37,0)))</f>
        <v>0</v>
      </c>
      <c r="M148" s="81">
        <f ca="1">M108*(1+INDEX(M$35:M$37,MATCH(Work_Codes!$I$503,$D$35:$D$37,0)))</f>
        <v>0</v>
      </c>
      <c r="N148" s="81">
        <f ca="1">N108*(1+INDEX(N$35:N$37,MATCH(Work_Codes!$I$503,$D$35:$D$37,0)))</f>
        <v>0</v>
      </c>
      <c r="O148" s="81">
        <f ca="1">O108*(1+INDEX(O$35:O$37,MATCH(Work_Codes!$I$503,$D$35:$D$37,0)))</f>
        <v>0</v>
      </c>
      <c r="P148" s="81">
        <f ca="1">P108*(1+INDEX(P$35:P$37,MATCH(Work_Codes!$I$503,$D$35:$D$37,0)))</f>
        <v>0</v>
      </c>
      <c r="Q148" s="81">
        <f ca="1">Q108*(1+INDEX(Q$35:Q$37,MATCH(Work_Codes!$I$503,$D$35:$D$37,0)))</f>
        <v>0</v>
      </c>
      <c r="R148" s="81">
        <f ca="1">R108*(1+INDEX(R$35:R$37,MATCH(Work_Codes!$I$503,$D$35:$D$37,0)))</f>
        <v>0</v>
      </c>
      <c r="S148" s="81">
        <f ca="1">S108*(1+INDEX(S$35:S$37,MATCH(Work_Codes!$I$503,$D$35:$D$37,0)))</f>
        <v>0</v>
      </c>
      <c r="T148" s="81">
        <f ca="1">T108*(1+INDEX(T$35:T$37,MATCH(Work_Codes!$I$503,$D$35:$D$37,0)))</f>
        <v>0</v>
      </c>
    </row>
    <row r="149" spans="5:20" ht="11.5" customHeight="1" outlineLevel="2">
      <c r="E149" s="247" t="str">
        <f>GC!C44</f>
        <v>Supply Regulators / Valve Stations</v>
      </c>
      <c r="F149" s="247"/>
      <c r="G149" s="247"/>
      <c r="H149" s="247"/>
      <c r="I149" s="247"/>
      <c r="J149" s="81">
        <f ca="1">J109*(1+INDEX(J$35:J$37,MATCH(Work_Codes!$I$503,$D$35:$D$37,0)))</f>
        <v>0</v>
      </c>
      <c r="K149" s="81">
        <f ca="1">K109*(1+INDEX(K$35:K$37,MATCH(Work_Codes!$I$503,$D$35:$D$37,0)))</f>
        <v>0</v>
      </c>
      <c r="L149" s="81">
        <f ca="1">L109*(1+INDEX(L$35:L$37,MATCH(Work_Codes!$I$503,$D$35:$D$37,0)))</f>
        <v>0</v>
      </c>
      <c r="M149" s="81">
        <f ca="1">M109*(1+INDEX(M$35:M$37,MATCH(Work_Codes!$I$503,$D$35:$D$37,0)))</f>
        <v>0</v>
      </c>
      <c r="N149" s="81">
        <f ca="1">N109*(1+INDEX(N$35:N$37,MATCH(Work_Codes!$I$503,$D$35:$D$37,0)))</f>
        <v>0</v>
      </c>
      <c r="O149" s="81">
        <f ca="1">O109*(1+INDEX(O$35:O$37,MATCH(Work_Codes!$I$503,$D$35:$D$37,0)))</f>
        <v>0</v>
      </c>
      <c r="P149" s="81">
        <f ca="1">P109*(1+INDEX(P$35:P$37,MATCH(Work_Codes!$I$503,$D$35:$D$37,0)))</f>
        <v>0</v>
      </c>
      <c r="Q149" s="81">
        <f ca="1">Q109*(1+INDEX(Q$35:Q$37,MATCH(Work_Codes!$I$503,$D$35:$D$37,0)))</f>
        <v>0</v>
      </c>
      <c r="R149" s="81">
        <f ca="1">R109*(1+INDEX(R$35:R$37,MATCH(Work_Codes!$I$503,$D$35:$D$37,0)))</f>
        <v>0</v>
      </c>
      <c r="S149" s="81">
        <f ca="1">S109*(1+INDEX(S$35:S$37,MATCH(Work_Codes!$I$503,$D$35:$D$37,0)))</f>
        <v>0</v>
      </c>
      <c r="T149" s="81">
        <f ca="1">T109*(1+INDEX(T$35:T$37,MATCH(Work_Codes!$I$503,$D$35:$D$37,0)))</f>
        <v>0</v>
      </c>
    </row>
    <row r="150" spans="5:20" ht="11.5" customHeight="1" outlineLevel="2">
      <c r="E150" s="247" t="str">
        <f>GC!C45</f>
        <v>Meters</v>
      </c>
      <c r="F150" s="247"/>
      <c r="G150" s="247"/>
      <c r="H150" s="247"/>
      <c r="I150" s="247"/>
      <c r="J150" s="81">
        <f ca="1">J110*(1+INDEX(J$35:J$37,MATCH(Work_Codes!$I$503,$D$35:$D$37,0)))</f>
        <v>0</v>
      </c>
      <c r="K150" s="81">
        <f ca="1">K110*(1+INDEX(K$35:K$37,MATCH(Work_Codes!$I$503,$D$35:$D$37,0)))</f>
        <v>0</v>
      </c>
      <c r="L150" s="81">
        <f ca="1">L110*(1+INDEX(L$35:L$37,MATCH(Work_Codes!$I$503,$D$35:$D$37,0)))</f>
        <v>0</v>
      </c>
      <c r="M150" s="81">
        <f ca="1">M110*(1+INDEX(M$35:M$37,MATCH(Work_Codes!$I$503,$D$35:$D$37,0)))</f>
        <v>0</v>
      </c>
      <c r="N150" s="81">
        <f ca="1">N110*(1+INDEX(N$35:N$37,MATCH(Work_Codes!$I$503,$D$35:$D$37,0)))</f>
        <v>0</v>
      </c>
      <c r="O150" s="81">
        <f ca="1">O110*(1+INDEX(O$35:O$37,MATCH(Work_Codes!$I$503,$D$35:$D$37,0)))</f>
        <v>0</v>
      </c>
      <c r="P150" s="81">
        <f ca="1">P110*(1+INDEX(P$35:P$37,MATCH(Work_Codes!$I$503,$D$35:$D$37,0)))</f>
        <v>0</v>
      </c>
      <c r="Q150" s="81">
        <f ca="1">Q110*(1+INDEX(Q$35:Q$37,MATCH(Work_Codes!$I$503,$D$35:$D$37,0)))</f>
        <v>0</v>
      </c>
      <c r="R150" s="81">
        <f ca="1">R110*(1+INDEX(R$35:R$37,MATCH(Work_Codes!$I$503,$D$35:$D$37,0)))</f>
        <v>0</v>
      </c>
      <c r="S150" s="81">
        <f ca="1">S110*(1+INDEX(S$35:S$37,MATCH(Work_Codes!$I$503,$D$35:$D$37,0)))</f>
        <v>0</v>
      </c>
      <c r="T150" s="81">
        <f ca="1">T110*(1+INDEX(T$35:T$37,MATCH(Work_Codes!$I$503,$D$35:$D$37,0)))</f>
        <v>0</v>
      </c>
    </row>
    <row r="151" spans="5:20" ht="11.5" customHeight="1" outlineLevel="2">
      <c r="E151" s="247" t="str">
        <f>GC!C46</f>
        <v>SCADA and remote control</v>
      </c>
      <c r="F151" s="247"/>
      <c r="G151" s="247"/>
      <c r="H151" s="247"/>
      <c r="I151" s="247"/>
      <c r="J151" s="81">
        <f ca="1">J111*(1+INDEX(J$35:J$37,MATCH(Work_Codes!$I$503,$D$35:$D$37,0)))</f>
        <v>0</v>
      </c>
      <c r="K151" s="81">
        <f ca="1">K111*(1+INDEX(K$35:K$37,MATCH(Work_Codes!$I$503,$D$35:$D$37,0)))</f>
        <v>0</v>
      </c>
      <c r="L151" s="81">
        <f ca="1">L111*(1+INDEX(L$35:L$37,MATCH(Work_Codes!$I$503,$D$35:$D$37,0)))</f>
        <v>0</v>
      </c>
      <c r="M151" s="81">
        <f ca="1">M111*(1+INDEX(M$35:M$37,MATCH(Work_Codes!$I$503,$D$35:$D$37,0)))</f>
        <v>0</v>
      </c>
      <c r="N151" s="81">
        <f ca="1">N111*(1+INDEX(N$35:N$37,MATCH(Work_Codes!$I$503,$D$35:$D$37,0)))</f>
        <v>0</v>
      </c>
      <c r="O151" s="81">
        <f ca="1">O111*(1+INDEX(O$35:O$37,MATCH(Work_Codes!$I$503,$D$35:$D$37,0)))</f>
        <v>0</v>
      </c>
      <c r="P151" s="81">
        <f ca="1">P111*(1+INDEX(P$35:P$37,MATCH(Work_Codes!$I$503,$D$35:$D$37,0)))</f>
        <v>0</v>
      </c>
      <c r="Q151" s="81">
        <f ca="1">Q111*(1+INDEX(Q$35:Q$37,MATCH(Work_Codes!$I$503,$D$35:$D$37,0)))</f>
        <v>0</v>
      </c>
      <c r="R151" s="81">
        <f ca="1">R111*(1+INDEX(R$35:R$37,MATCH(Work_Codes!$I$503,$D$35:$D$37,0)))</f>
        <v>0</v>
      </c>
      <c r="S151" s="81">
        <f ca="1">S111*(1+INDEX(S$35:S$37,MATCH(Work_Codes!$I$503,$D$35:$D$37,0)))</f>
        <v>0</v>
      </c>
      <c r="T151" s="81">
        <f ca="1">T111*(1+INDEX(T$35:T$37,MATCH(Work_Codes!$I$503,$D$35:$D$37,0)))</f>
        <v>0</v>
      </c>
    </row>
    <row r="152" spans="5:20" ht="11.5" customHeight="1" outlineLevel="2">
      <c r="E152" s="247" t="str">
        <f>GC!C47</f>
        <v>Buildings</v>
      </c>
      <c r="F152" s="247"/>
      <c r="G152" s="247"/>
      <c r="H152" s="247"/>
      <c r="I152" s="247"/>
      <c r="J152" s="81">
        <f ca="1">J112*(1+INDEX(J$35:J$37,MATCH(Work_Codes!$I$503,$D$35:$D$37,0)))</f>
        <v>0</v>
      </c>
      <c r="K152" s="81">
        <f ca="1">K112*(1+INDEX(K$35:K$37,MATCH(Work_Codes!$I$503,$D$35:$D$37,0)))</f>
        <v>0</v>
      </c>
      <c r="L152" s="81">
        <f ca="1">L112*(1+INDEX(L$35:L$37,MATCH(Work_Codes!$I$503,$D$35:$D$37,0)))</f>
        <v>0</v>
      </c>
      <c r="M152" s="81">
        <f ca="1">M112*(1+INDEX(M$35:M$37,MATCH(Work_Codes!$I$503,$D$35:$D$37,0)))</f>
        <v>0</v>
      </c>
      <c r="N152" s="81">
        <f ca="1">N112*(1+INDEX(N$35:N$37,MATCH(Work_Codes!$I$503,$D$35:$D$37,0)))</f>
        <v>0</v>
      </c>
      <c r="O152" s="81">
        <f ca="1">O112*(1+INDEX(O$35:O$37,MATCH(Work_Codes!$I$503,$D$35:$D$37,0)))</f>
        <v>0</v>
      </c>
      <c r="P152" s="81">
        <f ca="1">P112*(1+INDEX(P$35:P$37,MATCH(Work_Codes!$I$503,$D$35:$D$37,0)))</f>
        <v>0</v>
      </c>
      <c r="Q152" s="81">
        <f ca="1">Q112*(1+INDEX(Q$35:Q$37,MATCH(Work_Codes!$I$503,$D$35:$D$37,0)))</f>
        <v>0</v>
      </c>
      <c r="R152" s="81">
        <f ca="1">R112*(1+INDEX(R$35:R$37,MATCH(Work_Codes!$I$503,$D$35:$D$37,0)))</f>
        <v>0</v>
      </c>
      <c r="S152" s="81">
        <f ca="1">S112*(1+INDEX(S$35:S$37,MATCH(Work_Codes!$I$503,$D$35:$D$37,0)))</f>
        <v>0</v>
      </c>
      <c r="T152" s="81">
        <f ca="1">T112*(1+INDEX(T$35:T$37,MATCH(Work_Codes!$I$503,$D$35:$D$37,0)))</f>
        <v>0</v>
      </c>
    </row>
    <row r="153" spans="5:20" ht="11.5" customHeight="1" outlineLevel="2">
      <c r="E153" s="247" t="str">
        <f>GC!C48</f>
        <v>Other - IT</v>
      </c>
      <c r="F153" s="247"/>
      <c r="G153" s="247"/>
      <c r="H153" s="247"/>
      <c r="I153" s="247"/>
      <c r="J153" s="81">
        <f ca="1">J113*(1+INDEX(J$35:J$37,MATCH(Work_Codes!$I$503,$D$35:$D$37,0)))</f>
        <v>0</v>
      </c>
      <c r="K153" s="81">
        <f ca="1">K113*(1+INDEX(K$35:K$37,MATCH(Work_Codes!$I$503,$D$35:$D$37,0)))</f>
        <v>0</v>
      </c>
      <c r="L153" s="81">
        <f ca="1">L113*(1+INDEX(L$35:L$37,MATCH(Work_Codes!$I$503,$D$35:$D$37,0)))</f>
        <v>0</v>
      </c>
      <c r="M153" s="81">
        <f ca="1">M113*(1+INDEX(M$35:M$37,MATCH(Work_Codes!$I$503,$D$35:$D$37,0)))</f>
        <v>0</v>
      </c>
      <c r="N153" s="81">
        <f ca="1">N113*(1+INDEX(N$35:N$37,MATCH(Work_Codes!$I$503,$D$35:$D$37,0)))</f>
        <v>0</v>
      </c>
      <c r="O153" s="81">
        <f ca="1">O113*(1+INDEX(O$35:O$37,MATCH(Work_Codes!$I$503,$D$35:$D$37,0)))</f>
        <v>0</v>
      </c>
      <c r="P153" s="81">
        <f ca="1">P113*(1+INDEX(P$35:P$37,MATCH(Work_Codes!$I$503,$D$35:$D$37,0)))</f>
        <v>0</v>
      </c>
      <c r="Q153" s="81">
        <f ca="1">Q113*(1+INDEX(Q$35:Q$37,MATCH(Work_Codes!$I$503,$D$35:$D$37,0)))</f>
        <v>0</v>
      </c>
      <c r="R153" s="81">
        <f ca="1">R113*(1+INDEX(R$35:R$37,MATCH(Work_Codes!$I$503,$D$35:$D$37,0)))</f>
        <v>0</v>
      </c>
      <c r="S153" s="81">
        <f ca="1">S113*(1+INDEX(S$35:S$37,MATCH(Work_Codes!$I$503,$D$35:$D$37,0)))</f>
        <v>0</v>
      </c>
      <c r="T153" s="81">
        <f ca="1">T113*(1+INDEX(T$35:T$37,MATCH(Work_Codes!$I$503,$D$35:$D$37,0)))</f>
        <v>0</v>
      </c>
    </row>
    <row r="154" spans="5:20" ht="11.5" customHeight="1" outlineLevel="2">
      <c r="E154" s="247" t="str">
        <f>GC!C49</f>
        <v>Other - non IT</v>
      </c>
      <c r="F154" s="247"/>
      <c r="G154" s="247"/>
      <c r="H154" s="247"/>
      <c r="I154" s="247"/>
      <c r="J154" s="81">
        <f ca="1">J114*(1+INDEX(J$35:J$37,MATCH(Work_Codes!$I$503,$D$35:$D$37,0)))</f>
        <v>0</v>
      </c>
      <c r="K154" s="81">
        <f ca="1">K114*(1+INDEX(K$35:K$37,MATCH(Work_Codes!$I$503,$D$35:$D$37,0)))</f>
        <v>0</v>
      </c>
      <c r="L154" s="81">
        <f ca="1">L114*(1+INDEX(L$35:L$37,MATCH(Work_Codes!$I$503,$D$35:$D$37,0)))</f>
        <v>0</v>
      </c>
      <c r="M154" s="81">
        <f ca="1">M114*(1+INDEX(M$35:M$37,MATCH(Work_Codes!$I$503,$D$35:$D$37,0)))</f>
        <v>0</v>
      </c>
      <c r="N154" s="81">
        <f ca="1">N114*(1+INDEX(N$35:N$37,MATCH(Work_Codes!$I$503,$D$35:$D$37,0)))</f>
        <v>361092.5049599809</v>
      </c>
      <c r="O154" s="81">
        <f ca="1">O114*(1+INDEX(O$35:O$37,MATCH(Work_Codes!$I$503,$D$35:$D$37,0)))</f>
        <v>252284.62045122919</v>
      </c>
      <c r="P154" s="81">
        <f ca="1">P114*(1+INDEX(P$35:P$37,MATCH(Work_Codes!$I$503,$D$35:$D$37,0)))</f>
        <v>1009341.6498181245</v>
      </c>
      <c r="Q154" s="81">
        <f ca="1">Q114*(1+INDEX(Q$35:Q$37,MATCH(Work_Codes!$I$503,$D$35:$D$37,0)))</f>
        <v>1009659.5476695825</v>
      </c>
      <c r="R154" s="81">
        <f ca="1">R114*(1+INDEX(R$35:R$37,MATCH(Work_Codes!$I$503,$D$35:$D$37,0)))</f>
        <v>1010111.8617986788</v>
      </c>
      <c r="S154" s="81">
        <f ca="1">S114*(1+INDEX(S$35:S$37,MATCH(Work_Codes!$I$503,$D$35:$D$37,0)))</f>
        <v>1010569.1552044248</v>
      </c>
      <c r="T154" s="81">
        <f ca="1">T114*(1+INDEX(T$35:T$37,MATCH(Work_Codes!$I$503,$D$35:$D$37,0)))</f>
        <v>1011031.4827009297</v>
      </c>
    </row>
    <row r="155" spans="5:20" ht="11.5" customHeight="1" outlineLevel="2">
      <c r="E155" s="247" t="str">
        <f>GC!C50</f>
        <v>Land</v>
      </c>
      <c r="F155" s="247"/>
      <c r="G155" s="247"/>
      <c r="H155" s="247"/>
      <c r="I155" s="247"/>
      <c r="J155" s="81">
        <f ca="1">J115*(1+INDEX(J$35:J$37,MATCH(Work_Codes!$I$503,$D$35:$D$37,0)))</f>
        <v>0</v>
      </c>
      <c r="K155" s="81">
        <f ca="1">K115*(1+INDEX(K$35:K$37,MATCH(Work_Codes!$I$503,$D$35:$D$37,0)))</f>
        <v>0</v>
      </c>
      <c r="L155" s="81">
        <f ca="1">L115*(1+INDEX(L$35:L$37,MATCH(Work_Codes!$I$503,$D$35:$D$37,0)))</f>
        <v>0</v>
      </c>
      <c r="M155" s="81">
        <f ca="1">M115*(1+INDEX(M$35:M$37,MATCH(Work_Codes!$I$503,$D$35:$D$37,0)))</f>
        <v>0</v>
      </c>
      <c r="N155" s="81">
        <f ca="1">N115*(1+INDEX(N$35:N$37,MATCH(Work_Codes!$I$503,$D$35:$D$37,0)))</f>
        <v>0</v>
      </c>
      <c r="O155" s="81">
        <f ca="1">O115*(1+INDEX(O$35:O$37,MATCH(Work_Codes!$I$503,$D$35:$D$37,0)))</f>
        <v>0</v>
      </c>
      <c r="P155" s="81">
        <f ca="1">P115*(1+INDEX(P$35:P$37,MATCH(Work_Codes!$I$503,$D$35:$D$37,0)))</f>
        <v>0</v>
      </c>
      <c r="Q155" s="81">
        <f ca="1">Q115*(1+INDEX(Q$35:Q$37,MATCH(Work_Codes!$I$503,$D$35:$D$37,0)))</f>
        <v>0</v>
      </c>
      <c r="R155" s="81">
        <f ca="1">R115*(1+INDEX(R$35:R$37,MATCH(Work_Codes!$I$503,$D$35:$D$37,0)))</f>
        <v>0</v>
      </c>
      <c r="S155" s="81">
        <f ca="1">S115*(1+INDEX(S$35:S$37,MATCH(Work_Codes!$I$503,$D$35:$D$37,0)))</f>
        <v>0</v>
      </c>
      <c r="T155" s="81">
        <f ca="1">T115*(1+INDEX(T$35:T$37,MATCH(Work_Codes!$I$503,$D$35:$D$37,0)))</f>
        <v>0</v>
      </c>
    </row>
    <row r="156" spans="5:20" outlineLevel="2">
      <c r="E156" s="247" t="str">
        <f>GC!C51</f>
        <v>Capitalised Leases</v>
      </c>
      <c r="F156" s="247"/>
      <c r="G156" s="247"/>
      <c r="H156" s="247"/>
      <c r="I156" s="247"/>
      <c r="J156" s="81">
        <f ca="1">J116*(1+INDEX(J$35:J$37,MATCH(Work_Codes!$I$503,$D$35:$D$37,0)))</f>
        <v>0</v>
      </c>
      <c r="K156" s="81">
        <f ca="1">K116*(1+INDEX(K$35:K$37,MATCH(Work_Codes!$I$503,$D$35:$D$37,0)))</f>
        <v>0</v>
      </c>
      <c r="L156" s="81">
        <f ca="1">L116*(1+INDEX(L$35:L$37,MATCH(Work_Codes!$I$503,$D$35:$D$37,0)))</f>
        <v>0</v>
      </c>
      <c r="M156" s="81">
        <f ca="1">M116*(1+INDEX(M$35:M$37,MATCH(Work_Codes!$I$503,$D$35:$D$37,0)))</f>
        <v>0</v>
      </c>
      <c r="N156" s="81">
        <f ca="1">N116*(1+INDEX(N$35:N$37,MATCH(Work_Codes!$I$503,$D$35:$D$37,0)))</f>
        <v>0</v>
      </c>
      <c r="O156" s="81">
        <f ca="1">O116*(1+INDEX(O$35:O$37,MATCH(Work_Codes!$I$503,$D$35:$D$37,0)))</f>
        <v>0</v>
      </c>
      <c r="P156" s="81">
        <f ca="1">P116*(1+INDEX(P$35:P$37,MATCH(Work_Codes!$I$503,$D$35:$D$37,0)))</f>
        <v>0</v>
      </c>
      <c r="Q156" s="81">
        <f ca="1">Q116*(1+INDEX(Q$35:Q$37,MATCH(Work_Codes!$I$503,$D$35:$D$37,0)))</f>
        <v>0</v>
      </c>
      <c r="R156" s="81">
        <f ca="1">R116*(1+INDEX(R$35:R$37,MATCH(Work_Codes!$I$503,$D$35:$D$37,0)))</f>
        <v>0</v>
      </c>
      <c r="S156" s="81">
        <f ca="1">S116*(1+INDEX(S$35:S$37,MATCH(Work_Codes!$I$503,$D$35:$D$37,0)))</f>
        <v>0</v>
      </c>
      <c r="T156" s="81">
        <f ca="1">T116*(1+INDEX(T$35:T$37,MATCH(Work_Codes!$I$503,$D$35:$D$37,0)))</f>
        <v>0</v>
      </c>
    </row>
    <row r="157" spans="5:20" outlineLevel="2">
      <c r="E157" s="247" t="str">
        <f>GC!C52</f>
        <v>Transmission pipelines - post 1998</v>
      </c>
      <c r="F157" s="247"/>
      <c r="G157" s="247"/>
      <c r="H157" s="247"/>
      <c r="I157" s="247"/>
      <c r="J157" s="81">
        <f ca="1">J117*(1+INDEX(J$35:J$37,MATCH(Work_Codes!$I$503,$D$35:$D$37,0)))</f>
        <v>0</v>
      </c>
      <c r="K157" s="81">
        <f ca="1">K117*(1+INDEX(K$35:K$37,MATCH(Work_Codes!$I$503,$D$35:$D$37,0)))</f>
        <v>0</v>
      </c>
      <c r="L157" s="81">
        <f ca="1">L117*(1+INDEX(L$35:L$37,MATCH(Work_Codes!$I$503,$D$35:$D$37,0)))</f>
        <v>0</v>
      </c>
      <c r="M157" s="81">
        <f ca="1">M117*(1+INDEX(M$35:M$37,MATCH(Work_Codes!$I$503,$D$35:$D$37,0)))</f>
        <v>0</v>
      </c>
      <c r="N157" s="81">
        <f ca="1">N117*(1+INDEX(N$35:N$37,MATCH(Work_Codes!$I$503,$D$35:$D$37,0)))</f>
        <v>0</v>
      </c>
      <c r="O157" s="81">
        <f ca="1">O117*(1+INDEX(O$35:O$37,MATCH(Work_Codes!$I$503,$D$35:$D$37,0)))</f>
        <v>0</v>
      </c>
      <c r="P157" s="81">
        <f ca="1">P117*(1+INDEX(P$35:P$37,MATCH(Work_Codes!$I$503,$D$35:$D$37,0)))</f>
        <v>0</v>
      </c>
      <c r="Q157" s="81">
        <f ca="1">Q117*(1+INDEX(Q$35:Q$37,MATCH(Work_Codes!$I$503,$D$35:$D$37,0)))</f>
        <v>0</v>
      </c>
      <c r="R157" s="81">
        <f ca="1">R117*(1+INDEX(R$35:R$37,MATCH(Work_Codes!$I$503,$D$35:$D$37,0)))</f>
        <v>0</v>
      </c>
      <c r="S157" s="81">
        <f ca="1">S117*(1+INDEX(S$35:S$37,MATCH(Work_Codes!$I$503,$D$35:$D$37,0)))</f>
        <v>0</v>
      </c>
      <c r="T157" s="81">
        <f ca="1">T117*(1+INDEX(T$35:T$37,MATCH(Work_Codes!$I$503,$D$35:$D$37,0)))</f>
        <v>0</v>
      </c>
    </row>
    <row r="158" spans="5:20" outlineLevel="2">
      <c r="E158" s="247" t="str">
        <f>GC!C53</f>
        <v>Distribution pipelines - post 1998</v>
      </c>
      <c r="F158" s="247"/>
      <c r="G158" s="247"/>
      <c r="H158" s="247"/>
      <c r="I158" s="247"/>
      <c r="J158" s="81">
        <f ca="1">J118*(1+INDEX(J$35:J$37,MATCH(Work_Codes!$I$503,$D$35:$D$37,0)))</f>
        <v>0</v>
      </c>
      <c r="K158" s="81">
        <f ca="1">K118*(1+INDEX(K$35:K$37,MATCH(Work_Codes!$I$503,$D$35:$D$37,0)))</f>
        <v>0</v>
      </c>
      <c r="L158" s="81">
        <f ca="1">L118*(1+INDEX(L$35:L$37,MATCH(Work_Codes!$I$503,$D$35:$D$37,0)))</f>
        <v>0</v>
      </c>
      <c r="M158" s="81">
        <f ca="1">M118*(1+INDEX(M$35:M$37,MATCH(Work_Codes!$I$503,$D$35:$D$37,0)))</f>
        <v>0</v>
      </c>
      <c r="N158" s="81">
        <f ca="1">N118*(1+INDEX(N$35:N$37,MATCH(Work_Codes!$I$503,$D$35:$D$37,0)))</f>
        <v>0</v>
      </c>
      <c r="O158" s="81">
        <f ca="1">O118*(1+INDEX(O$35:O$37,MATCH(Work_Codes!$I$503,$D$35:$D$37,0)))</f>
        <v>0</v>
      </c>
      <c r="P158" s="81">
        <f ca="1">P118*(1+INDEX(P$35:P$37,MATCH(Work_Codes!$I$503,$D$35:$D$37,0)))</f>
        <v>0</v>
      </c>
      <c r="Q158" s="81">
        <f ca="1">Q118*(1+INDEX(Q$35:Q$37,MATCH(Work_Codes!$I$503,$D$35:$D$37,0)))</f>
        <v>0</v>
      </c>
      <c r="R158" s="81">
        <f ca="1">R118*(1+INDEX(R$35:R$37,MATCH(Work_Codes!$I$503,$D$35:$D$37,0)))</f>
        <v>0</v>
      </c>
      <c r="S158" s="81">
        <f ca="1">S118*(1+INDEX(S$35:S$37,MATCH(Work_Codes!$I$503,$D$35:$D$37,0)))</f>
        <v>0</v>
      </c>
      <c r="T158" s="81">
        <f ca="1">T118*(1+INDEX(T$35:T$37,MATCH(Work_Codes!$I$503,$D$35:$D$37,0)))</f>
        <v>0</v>
      </c>
    </row>
    <row r="159" spans="5:20" outlineLevel="2">
      <c r="E159" s="247" t="str">
        <f>GC!C54</f>
        <v>Service pipes - post 1998</v>
      </c>
      <c r="F159" s="247"/>
      <c r="G159" s="247"/>
      <c r="H159" s="247"/>
      <c r="I159" s="247"/>
      <c r="J159" s="81">
        <f ca="1">J119*(1+INDEX(J$35:J$37,MATCH(Work_Codes!$I$503,$D$35:$D$37,0)))</f>
        <v>0</v>
      </c>
      <c r="K159" s="81">
        <f ca="1">K119*(1+INDEX(K$35:K$37,MATCH(Work_Codes!$I$503,$D$35:$D$37,0)))</f>
        <v>0</v>
      </c>
      <c r="L159" s="81">
        <f ca="1">L119*(1+INDEX(L$35:L$37,MATCH(Work_Codes!$I$503,$D$35:$D$37,0)))</f>
        <v>0</v>
      </c>
      <c r="M159" s="81">
        <f ca="1">M119*(1+INDEX(M$35:M$37,MATCH(Work_Codes!$I$503,$D$35:$D$37,0)))</f>
        <v>0</v>
      </c>
      <c r="N159" s="81">
        <f ca="1">N119*(1+INDEX(N$35:N$37,MATCH(Work_Codes!$I$503,$D$35:$D$37,0)))</f>
        <v>0</v>
      </c>
      <c r="O159" s="81">
        <f ca="1">O119*(1+INDEX(O$35:O$37,MATCH(Work_Codes!$I$503,$D$35:$D$37,0)))</f>
        <v>0</v>
      </c>
      <c r="P159" s="81">
        <f ca="1">P119*(1+INDEX(P$35:P$37,MATCH(Work_Codes!$I$503,$D$35:$D$37,0)))</f>
        <v>0</v>
      </c>
      <c r="Q159" s="81">
        <f ca="1">Q119*(1+INDEX(Q$35:Q$37,MATCH(Work_Codes!$I$503,$D$35:$D$37,0)))</f>
        <v>0</v>
      </c>
      <c r="R159" s="81">
        <f ca="1">R119*(1+INDEX(R$35:R$37,MATCH(Work_Codes!$I$503,$D$35:$D$37,0)))</f>
        <v>0</v>
      </c>
      <c r="S159" s="81">
        <f ca="1">S119*(1+INDEX(S$35:S$37,MATCH(Work_Codes!$I$503,$D$35:$D$37,0)))</f>
        <v>0</v>
      </c>
      <c r="T159" s="81">
        <f ca="1">T119*(1+INDEX(T$35:T$37,MATCH(Work_Codes!$I$503,$D$35:$D$37,0)))</f>
        <v>0</v>
      </c>
    </row>
    <row r="160" spans="5:20" outlineLevel="2">
      <c r="E160" s="247" t="str">
        <f>GC!C55</f>
        <v>Cathodic protection - post 1998</v>
      </c>
      <c r="F160" s="247"/>
      <c r="G160" s="247"/>
      <c r="H160" s="247"/>
      <c r="I160" s="247"/>
      <c r="J160" s="81">
        <f ca="1">J120*(1+INDEX(J$35:J$37,MATCH(Work_Codes!$I$503,$D$35:$D$37,0)))</f>
        <v>0</v>
      </c>
      <c r="K160" s="81">
        <f ca="1">K120*(1+INDEX(K$35:K$37,MATCH(Work_Codes!$I$503,$D$35:$D$37,0)))</f>
        <v>0</v>
      </c>
      <c r="L160" s="81">
        <f ca="1">L120*(1+INDEX(L$35:L$37,MATCH(Work_Codes!$I$503,$D$35:$D$37,0)))</f>
        <v>0</v>
      </c>
      <c r="M160" s="81">
        <f ca="1">M120*(1+INDEX(M$35:M$37,MATCH(Work_Codes!$I$503,$D$35:$D$37,0)))</f>
        <v>0</v>
      </c>
      <c r="N160" s="81">
        <f ca="1">N120*(1+INDEX(N$35:N$37,MATCH(Work_Codes!$I$503,$D$35:$D$37,0)))</f>
        <v>0</v>
      </c>
      <c r="O160" s="81">
        <f ca="1">O120*(1+INDEX(O$35:O$37,MATCH(Work_Codes!$I$503,$D$35:$D$37,0)))</f>
        <v>0</v>
      </c>
      <c r="P160" s="81">
        <f ca="1">P120*(1+INDEX(P$35:P$37,MATCH(Work_Codes!$I$503,$D$35:$D$37,0)))</f>
        <v>0</v>
      </c>
      <c r="Q160" s="81">
        <f ca="1">Q120*(1+INDEX(Q$35:Q$37,MATCH(Work_Codes!$I$503,$D$35:$D$37,0)))</f>
        <v>0</v>
      </c>
      <c r="R160" s="81">
        <f ca="1">R120*(1+INDEX(R$35:R$37,MATCH(Work_Codes!$I$503,$D$35:$D$37,0)))</f>
        <v>0</v>
      </c>
      <c r="S160" s="81">
        <f ca="1">S120*(1+INDEX(S$35:S$37,MATCH(Work_Codes!$I$503,$D$35:$D$37,0)))</f>
        <v>0</v>
      </c>
      <c r="T160" s="81">
        <f ca="1">T120*(1+INDEX(T$35:T$37,MATCH(Work_Codes!$I$503,$D$35:$D$37,0)))</f>
        <v>0</v>
      </c>
    </row>
    <row r="161" spans="4:20" ht="12" customHeight="1" outlineLevel="2">
      <c r="E161" s="249" t="str">
        <f>"Total "&amp;D143</f>
        <v>Total Direct Costs + Overheads</v>
      </c>
      <c r="F161" s="249"/>
      <c r="G161" s="249"/>
      <c r="H161" s="249"/>
      <c r="I161" s="249"/>
      <c r="J161" s="82">
        <f t="shared" ref="J161:T161" ca="1" si="20">SUM(J145:J160)</f>
        <v>0</v>
      </c>
      <c r="K161" s="82">
        <f t="shared" ca="1" si="20"/>
        <v>0</v>
      </c>
      <c r="L161" s="82">
        <f t="shared" ca="1" si="20"/>
        <v>0</v>
      </c>
      <c r="M161" s="82">
        <f t="shared" ca="1" si="20"/>
        <v>0</v>
      </c>
      <c r="N161" s="82">
        <f t="shared" ca="1" si="20"/>
        <v>361092.5049599809</v>
      </c>
      <c r="O161" s="82">
        <f t="shared" ca="1" si="20"/>
        <v>252284.62045122919</v>
      </c>
      <c r="P161" s="82">
        <f t="shared" ca="1" si="20"/>
        <v>1009341.6498181245</v>
      </c>
      <c r="Q161" s="82">
        <f t="shared" ca="1" si="20"/>
        <v>1009659.5476695825</v>
      </c>
      <c r="R161" s="82">
        <f t="shared" ca="1" si="20"/>
        <v>1010111.8617986788</v>
      </c>
      <c r="S161" s="82">
        <f t="shared" ca="1" si="20"/>
        <v>1010569.1552044248</v>
      </c>
      <c r="T161" s="82">
        <f t="shared" ca="1" si="20"/>
        <v>1011031.4827009297</v>
      </c>
    </row>
    <row r="162" spans="4:20" outlineLevel="2"/>
    <row r="163" spans="4:20" outlineLevel="2">
      <c r="D163" s="37" t="s">
        <v>367</v>
      </c>
    </row>
    <row r="164" spans="4:20" ht="5.9" customHeight="1" outlineLevel="2"/>
    <row r="165" spans="4:20" outlineLevel="2">
      <c r="E165" s="247" t="str">
        <f>GC!C40</f>
        <v>Transmission pipelines</v>
      </c>
      <c r="F165" s="247"/>
      <c r="G165" s="247"/>
      <c r="H165" s="247"/>
      <c r="I165" s="247"/>
      <c r="J165" s="81">
        <f ca="1">SUMPRODUCT((Work_Codes!$N$506:$Y$506=$E165)*(Work_Codes!$N$514:$Y$514)*(J$65:J$65))</f>
        <v>0</v>
      </c>
      <c r="K165" s="81">
        <f ca="1">SUMPRODUCT((Work_Codes!$N$506:$Y$506=$E165)*(Work_Codes!$N$514:$Y$514)*(K$65:K$65))</f>
        <v>0</v>
      </c>
      <c r="L165" s="81">
        <f ca="1">SUMPRODUCT((Work_Codes!$N$506:$Y$506=$E165)*(Work_Codes!$N$514:$Y$514)*(L$65:L$65))</f>
        <v>0</v>
      </c>
      <c r="M165" s="81">
        <f ca="1">SUMPRODUCT((Work_Codes!$N$506:$Y$506=$E165)*(Work_Codes!$N$514:$Y$514)*(M$65:M$65))</f>
        <v>0</v>
      </c>
      <c r="N165" s="81">
        <f ca="1">SUMPRODUCT((Work_Codes!$N$506:$Y$506=$E165)*(Work_Codes!$N$514:$Y$514)*(N$65:N$65))</f>
        <v>0</v>
      </c>
      <c r="O165" s="81">
        <f ca="1">SUMPRODUCT((Work_Codes!$N$506:$Y$506=$E165)*(Work_Codes!$N$514:$Y$514)*(O$65:O$65))</f>
        <v>0</v>
      </c>
      <c r="P165" s="81">
        <f ca="1">SUMPRODUCT((Work_Codes!$N$506:$Y$506=$E165)*(Work_Codes!$N$514:$Y$514)*(P$65:P$65))</f>
        <v>0</v>
      </c>
      <c r="Q165" s="81">
        <f ca="1">SUMPRODUCT((Work_Codes!$N$506:$Y$506=$E165)*(Work_Codes!$N$514:$Y$514)*(Q$65:Q$65))</f>
        <v>0</v>
      </c>
      <c r="R165" s="81">
        <f ca="1">SUMPRODUCT((Work_Codes!$N$506:$Y$506=$E165)*(Work_Codes!$N$514:$Y$514)*(R$65:R$65))</f>
        <v>0</v>
      </c>
      <c r="S165" s="81">
        <f ca="1">SUMPRODUCT((Work_Codes!$N$506:$Y$506=$E165)*(Work_Codes!$N$514:$Y$514)*(S$65:S$65))</f>
        <v>0</v>
      </c>
      <c r="T165" s="81">
        <f ca="1">SUMPRODUCT((Work_Codes!$N$506:$Y$506=$E165)*(Work_Codes!$N$514:$Y$514)*(T$65:T$65))</f>
        <v>0</v>
      </c>
    </row>
    <row r="166" spans="4:20" outlineLevel="2">
      <c r="E166" s="247" t="str">
        <f>GC!C41</f>
        <v>Distribution pipelines</v>
      </c>
      <c r="F166" s="247"/>
      <c r="G166" s="247"/>
      <c r="H166" s="247"/>
      <c r="I166" s="247"/>
      <c r="J166" s="81">
        <f ca="1">SUMPRODUCT((Work_Codes!$N$506:$Y$506=$E166)*(Work_Codes!$N$514:$Y$514)*(J$65:J$65))</f>
        <v>0</v>
      </c>
      <c r="K166" s="81">
        <f ca="1">SUMPRODUCT((Work_Codes!$N$506:$Y$506=$E166)*(Work_Codes!$N$514:$Y$514)*(K$65:K$65))</f>
        <v>0</v>
      </c>
      <c r="L166" s="81">
        <f ca="1">SUMPRODUCT((Work_Codes!$N$506:$Y$506=$E166)*(Work_Codes!$N$514:$Y$514)*(L$65:L$65))</f>
        <v>0</v>
      </c>
      <c r="M166" s="81">
        <f ca="1">SUMPRODUCT((Work_Codes!$N$506:$Y$506=$E166)*(Work_Codes!$N$514:$Y$514)*(M$65:M$65))</f>
        <v>0</v>
      </c>
      <c r="N166" s="81">
        <f ca="1">SUMPRODUCT((Work_Codes!$N$506:$Y$506=$E166)*(Work_Codes!$N$514:$Y$514)*(N$65:N$65))</f>
        <v>0</v>
      </c>
      <c r="O166" s="81">
        <f ca="1">SUMPRODUCT((Work_Codes!$N$506:$Y$506=$E166)*(Work_Codes!$N$514:$Y$514)*(O$65:O$65))</f>
        <v>0</v>
      </c>
      <c r="P166" s="81">
        <f ca="1">SUMPRODUCT((Work_Codes!$N$506:$Y$506=$E166)*(Work_Codes!$N$514:$Y$514)*(P$65:P$65))</f>
        <v>0</v>
      </c>
      <c r="Q166" s="81">
        <f ca="1">SUMPRODUCT((Work_Codes!$N$506:$Y$506=$E166)*(Work_Codes!$N$514:$Y$514)*(Q$65:Q$65))</f>
        <v>0</v>
      </c>
      <c r="R166" s="81">
        <f ca="1">SUMPRODUCT((Work_Codes!$N$506:$Y$506=$E166)*(Work_Codes!$N$514:$Y$514)*(R$65:R$65))</f>
        <v>0</v>
      </c>
      <c r="S166" s="81">
        <f ca="1">SUMPRODUCT((Work_Codes!$N$506:$Y$506=$E166)*(Work_Codes!$N$514:$Y$514)*(S$65:S$65))</f>
        <v>0</v>
      </c>
      <c r="T166" s="81">
        <f ca="1">SUMPRODUCT((Work_Codes!$N$506:$Y$506=$E166)*(Work_Codes!$N$514:$Y$514)*(T$65:T$65))</f>
        <v>0</v>
      </c>
    </row>
    <row r="167" spans="4:20" outlineLevel="2">
      <c r="E167" s="247" t="str">
        <f>GC!C42</f>
        <v>Service pipes</v>
      </c>
      <c r="F167" s="247"/>
      <c r="G167" s="247"/>
      <c r="H167" s="247"/>
      <c r="I167" s="247"/>
      <c r="J167" s="81">
        <f ca="1">SUMPRODUCT((Work_Codes!$N$506:$Y$506=$E167)*(Work_Codes!$N$514:$Y$514)*(J$65:J$65))</f>
        <v>0</v>
      </c>
      <c r="K167" s="81">
        <f ca="1">SUMPRODUCT((Work_Codes!$N$506:$Y$506=$E167)*(Work_Codes!$N$514:$Y$514)*(K$65:K$65))</f>
        <v>0</v>
      </c>
      <c r="L167" s="81">
        <f ca="1">SUMPRODUCT((Work_Codes!$N$506:$Y$506=$E167)*(Work_Codes!$N$514:$Y$514)*(L$65:L$65))</f>
        <v>0</v>
      </c>
      <c r="M167" s="81">
        <f ca="1">SUMPRODUCT((Work_Codes!$N$506:$Y$506=$E167)*(Work_Codes!$N$514:$Y$514)*(M$65:M$65))</f>
        <v>0</v>
      </c>
      <c r="N167" s="81">
        <f ca="1">SUMPRODUCT((Work_Codes!$N$506:$Y$506=$E167)*(Work_Codes!$N$514:$Y$514)*(N$65:N$65))</f>
        <v>0</v>
      </c>
      <c r="O167" s="81">
        <f ca="1">SUMPRODUCT((Work_Codes!$N$506:$Y$506=$E167)*(Work_Codes!$N$514:$Y$514)*(O$65:O$65))</f>
        <v>0</v>
      </c>
      <c r="P167" s="81">
        <f ca="1">SUMPRODUCT((Work_Codes!$N$506:$Y$506=$E167)*(Work_Codes!$N$514:$Y$514)*(P$65:P$65))</f>
        <v>0</v>
      </c>
      <c r="Q167" s="81">
        <f ca="1">SUMPRODUCT((Work_Codes!$N$506:$Y$506=$E167)*(Work_Codes!$N$514:$Y$514)*(Q$65:Q$65))</f>
        <v>0</v>
      </c>
      <c r="R167" s="81">
        <f ca="1">SUMPRODUCT((Work_Codes!$N$506:$Y$506=$E167)*(Work_Codes!$N$514:$Y$514)*(R$65:R$65))</f>
        <v>0</v>
      </c>
      <c r="S167" s="81">
        <f ca="1">SUMPRODUCT((Work_Codes!$N$506:$Y$506=$E167)*(Work_Codes!$N$514:$Y$514)*(S$65:S$65))</f>
        <v>0</v>
      </c>
      <c r="T167" s="81">
        <f ca="1">SUMPRODUCT((Work_Codes!$N$506:$Y$506=$E167)*(Work_Codes!$N$514:$Y$514)*(T$65:T$65))</f>
        <v>0</v>
      </c>
    </row>
    <row r="168" spans="4:20" outlineLevel="2">
      <c r="E168" s="247" t="str">
        <f>GC!C43</f>
        <v>Cathodic protection</v>
      </c>
      <c r="F168" s="247"/>
      <c r="G168" s="247"/>
      <c r="H168" s="247"/>
      <c r="I168" s="247"/>
      <c r="J168" s="81">
        <f ca="1">SUMPRODUCT((Work_Codes!$N$506:$Y$506=$E168)*(Work_Codes!$N$514:$Y$514)*(J$65:J$65))</f>
        <v>0</v>
      </c>
      <c r="K168" s="81">
        <f ca="1">SUMPRODUCT((Work_Codes!$N$506:$Y$506=$E168)*(Work_Codes!$N$514:$Y$514)*(K$65:K$65))</f>
        <v>0</v>
      </c>
      <c r="L168" s="81">
        <f ca="1">SUMPRODUCT((Work_Codes!$N$506:$Y$506=$E168)*(Work_Codes!$N$514:$Y$514)*(L$65:L$65))</f>
        <v>0</v>
      </c>
      <c r="M168" s="81">
        <f ca="1">SUMPRODUCT((Work_Codes!$N$506:$Y$506=$E168)*(Work_Codes!$N$514:$Y$514)*(M$65:M$65))</f>
        <v>0</v>
      </c>
      <c r="N168" s="81">
        <f ca="1">SUMPRODUCT((Work_Codes!$N$506:$Y$506=$E168)*(Work_Codes!$N$514:$Y$514)*(N$65:N$65))</f>
        <v>0</v>
      </c>
      <c r="O168" s="81">
        <f ca="1">SUMPRODUCT((Work_Codes!$N$506:$Y$506=$E168)*(Work_Codes!$N$514:$Y$514)*(O$65:O$65))</f>
        <v>0</v>
      </c>
      <c r="P168" s="81">
        <f ca="1">SUMPRODUCT((Work_Codes!$N$506:$Y$506=$E168)*(Work_Codes!$N$514:$Y$514)*(P$65:P$65))</f>
        <v>0</v>
      </c>
      <c r="Q168" s="81">
        <f ca="1">SUMPRODUCT((Work_Codes!$N$506:$Y$506=$E168)*(Work_Codes!$N$514:$Y$514)*(Q$65:Q$65))</f>
        <v>0</v>
      </c>
      <c r="R168" s="81">
        <f ca="1">SUMPRODUCT((Work_Codes!$N$506:$Y$506=$E168)*(Work_Codes!$N$514:$Y$514)*(R$65:R$65))</f>
        <v>0</v>
      </c>
      <c r="S168" s="81">
        <f ca="1">SUMPRODUCT((Work_Codes!$N$506:$Y$506=$E168)*(Work_Codes!$N$514:$Y$514)*(S$65:S$65))</f>
        <v>0</v>
      </c>
      <c r="T168" s="81">
        <f ca="1">SUMPRODUCT((Work_Codes!$N$506:$Y$506=$E168)*(Work_Codes!$N$514:$Y$514)*(T$65:T$65))</f>
        <v>0</v>
      </c>
    </row>
    <row r="169" spans="4:20" outlineLevel="2">
      <c r="E169" s="247" t="str">
        <f>GC!C44</f>
        <v>Supply Regulators / Valve Stations</v>
      </c>
      <c r="F169" s="247"/>
      <c r="G169" s="247"/>
      <c r="H169" s="247"/>
      <c r="I169" s="247"/>
      <c r="J169" s="81">
        <f ca="1">SUMPRODUCT((Work_Codes!$N$506:$Y$506=$E169)*(Work_Codes!$N$514:$Y$514)*(J$65:J$65))</f>
        <v>0</v>
      </c>
      <c r="K169" s="81">
        <f ca="1">SUMPRODUCT((Work_Codes!$N$506:$Y$506=$E169)*(Work_Codes!$N$514:$Y$514)*(K$65:K$65))</f>
        <v>0</v>
      </c>
      <c r="L169" s="81">
        <f ca="1">SUMPRODUCT((Work_Codes!$N$506:$Y$506=$E169)*(Work_Codes!$N$514:$Y$514)*(L$65:L$65))</f>
        <v>0</v>
      </c>
      <c r="M169" s="81">
        <f ca="1">SUMPRODUCT((Work_Codes!$N$506:$Y$506=$E169)*(Work_Codes!$N$514:$Y$514)*(M$65:M$65))</f>
        <v>0</v>
      </c>
      <c r="N169" s="81">
        <f ca="1">SUMPRODUCT((Work_Codes!$N$506:$Y$506=$E169)*(Work_Codes!$N$514:$Y$514)*(N$65:N$65))</f>
        <v>0</v>
      </c>
      <c r="O169" s="81">
        <f ca="1">SUMPRODUCT((Work_Codes!$N$506:$Y$506=$E169)*(Work_Codes!$N$514:$Y$514)*(O$65:O$65))</f>
        <v>0</v>
      </c>
      <c r="P169" s="81">
        <f ca="1">SUMPRODUCT((Work_Codes!$N$506:$Y$506=$E169)*(Work_Codes!$N$514:$Y$514)*(P$65:P$65))</f>
        <v>0</v>
      </c>
      <c r="Q169" s="81">
        <f ca="1">SUMPRODUCT((Work_Codes!$N$506:$Y$506=$E169)*(Work_Codes!$N$514:$Y$514)*(Q$65:Q$65))</f>
        <v>0</v>
      </c>
      <c r="R169" s="81">
        <f ca="1">SUMPRODUCT((Work_Codes!$N$506:$Y$506=$E169)*(Work_Codes!$N$514:$Y$514)*(R$65:R$65))</f>
        <v>0</v>
      </c>
      <c r="S169" s="81">
        <f ca="1">SUMPRODUCT((Work_Codes!$N$506:$Y$506=$E169)*(Work_Codes!$N$514:$Y$514)*(S$65:S$65))</f>
        <v>0</v>
      </c>
      <c r="T169" s="81">
        <f ca="1">SUMPRODUCT((Work_Codes!$N$506:$Y$506=$E169)*(Work_Codes!$N$514:$Y$514)*(T$65:T$65))</f>
        <v>0</v>
      </c>
    </row>
    <row r="170" spans="4:20" outlineLevel="2">
      <c r="E170" s="247" t="str">
        <f>GC!C45</f>
        <v>Meters</v>
      </c>
      <c r="F170" s="247"/>
      <c r="G170" s="247"/>
      <c r="H170" s="247"/>
      <c r="I170" s="247"/>
      <c r="J170" s="81">
        <f ca="1">SUMPRODUCT((Work_Codes!$N$506:$Y$506=$E170)*(Work_Codes!$N$514:$Y$514)*(J$65:J$65))</f>
        <v>0</v>
      </c>
      <c r="K170" s="81">
        <f ca="1">SUMPRODUCT((Work_Codes!$N$506:$Y$506=$E170)*(Work_Codes!$N$514:$Y$514)*(K$65:K$65))</f>
        <v>0</v>
      </c>
      <c r="L170" s="81">
        <f ca="1">SUMPRODUCT((Work_Codes!$N$506:$Y$506=$E170)*(Work_Codes!$N$514:$Y$514)*(L$65:L$65))</f>
        <v>0</v>
      </c>
      <c r="M170" s="81">
        <f ca="1">SUMPRODUCT((Work_Codes!$N$506:$Y$506=$E170)*(Work_Codes!$N$514:$Y$514)*(M$65:M$65))</f>
        <v>0</v>
      </c>
      <c r="N170" s="81">
        <f ca="1">SUMPRODUCT((Work_Codes!$N$506:$Y$506=$E170)*(Work_Codes!$N$514:$Y$514)*(N$65:N$65))</f>
        <v>0</v>
      </c>
      <c r="O170" s="81">
        <f ca="1">SUMPRODUCT((Work_Codes!$N$506:$Y$506=$E170)*(Work_Codes!$N$514:$Y$514)*(O$65:O$65))</f>
        <v>0</v>
      </c>
      <c r="P170" s="81">
        <f ca="1">SUMPRODUCT((Work_Codes!$N$506:$Y$506=$E170)*(Work_Codes!$N$514:$Y$514)*(P$65:P$65))</f>
        <v>0</v>
      </c>
      <c r="Q170" s="81">
        <f ca="1">SUMPRODUCT((Work_Codes!$N$506:$Y$506=$E170)*(Work_Codes!$N$514:$Y$514)*(Q$65:Q$65))</f>
        <v>0</v>
      </c>
      <c r="R170" s="81">
        <f ca="1">SUMPRODUCT((Work_Codes!$N$506:$Y$506=$E170)*(Work_Codes!$N$514:$Y$514)*(R$65:R$65))</f>
        <v>0</v>
      </c>
      <c r="S170" s="81">
        <f ca="1">SUMPRODUCT((Work_Codes!$N$506:$Y$506=$E170)*(Work_Codes!$N$514:$Y$514)*(S$65:S$65))</f>
        <v>0</v>
      </c>
      <c r="T170" s="81">
        <f ca="1">SUMPRODUCT((Work_Codes!$N$506:$Y$506=$E170)*(Work_Codes!$N$514:$Y$514)*(T$65:T$65))</f>
        <v>0</v>
      </c>
    </row>
    <row r="171" spans="4:20" outlineLevel="2">
      <c r="E171" s="247" t="str">
        <f>GC!C46</f>
        <v>SCADA and remote control</v>
      </c>
      <c r="F171" s="247"/>
      <c r="G171" s="247"/>
      <c r="H171" s="247"/>
      <c r="I171" s="247"/>
      <c r="J171" s="81">
        <f ca="1">SUMPRODUCT((Work_Codes!$N$506:$Y$506=$E171)*(Work_Codes!$N$514:$Y$514)*(J$65:J$65))</f>
        <v>0</v>
      </c>
      <c r="K171" s="81">
        <f ca="1">SUMPRODUCT((Work_Codes!$N$506:$Y$506=$E171)*(Work_Codes!$N$514:$Y$514)*(K$65:K$65))</f>
        <v>0</v>
      </c>
      <c r="L171" s="81">
        <f ca="1">SUMPRODUCT((Work_Codes!$N$506:$Y$506=$E171)*(Work_Codes!$N$514:$Y$514)*(L$65:L$65))</f>
        <v>0</v>
      </c>
      <c r="M171" s="81">
        <f ca="1">SUMPRODUCT((Work_Codes!$N$506:$Y$506=$E171)*(Work_Codes!$N$514:$Y$514)*(M$65:M$65))</f>
        <v>0</v>
      </c>
      <c r="N171" s="81">
        <f ca="1">SUMPRODUCT((Work_Codes!$N$506:$Y$506=$E171)*(Work_Codes!$N$514:$Y$514)*(N$65:N$65))</f>
        <v>0</v>
      </c>
      <c r="O171" s="81">
        <f ca="1">SUMPRODUCT((Work_Codes!$N$506:$Y$506=$E171)*(Work_Codes!$N$514:$Y$514)*(O$65:O$65))</f>
        <v>0</v>
      </c>
      <c r="P171" s="81">
        <f ca="1">SUMPRODUCT((Work_Codes!$N$506:$Y$506=$E171)*(Work_Codes!$N$514:$Y$514)*(P$65:P$65))</f>
        <v>0</v>
      </c>
      <c r="Q171" s="81">
        <f ca="1">SUMPRODUCT((Work_Codes!$N$506:$Y$506=$E171)*(Work_Codes!$N$514:$Y$514)*(Q$65:Q$65))</f>
        <v>0</v>
      </c>
      <c r="R171" s="81">
        <f ca="1">SUMPRODUCT((Work_Codes!$N$506:$Y$506=$E171)*(Work_Codes!$N$514:$Y$514)*(R$65:R$65))</f>
        <v>0</v>
      </c>
      <c r="S171" s="81">
        <f ca="1">SUMPRODUCT((Work_Codes!$N$506:$Y$506=$E171)*(Work_Codes!$N$514:$Y$514)*(S$65:S$65))</f>
        <v>0</v>
      </c>
      <c r="T171" s="81">
        <f ca="1">SUMPRODUCT((Work_Codes!$N$506:$Y$506=$E171)*(Work_Codes!$N$514:$Y$514)*(T$65:T$65))</f>
        <v>0</v>
      </c>
    </row>
    <row r="172" spans="4:20" outlineLevel="2">
      <c r="E172" s="247" t="str">
        <f>GC!C47</f>
        <v>Buildings</v>
      </c>
      <c r="F172" s="247"/>
      <c r="G172" s="247"/>
      <c r="H172" s="247"/>
      <c r="I172" s="247"/>
      <c r="J172" s="81">
        <f ca="1">SUMPRODUCT((Work_Codes!$N$506:$Y$506=$E172)*(Work_Codes!$N$514:$Y$514)*(J$65:J$65))</f>
        <v>0</v>
      </c>
      <c r="K172" s="81">
        <f ca="1">SUMPRODUCT((Work_Codes!$N$506:$Y$506=$E172)*(Work_Codes!$N$514:$Y$514)*(K$65:K$65))</f>
        <v>0</v>
      </c>
      <c r="L172" s="81">
        <f ca="1">SUMPRODUCT((Work_Codes!$N$506:$Y$506=$E172)*(Work_Codes!$N$514:$Y$514)*(L$65:L$65))</f>
        <v>0</v>
      </c>
      <c r="M172" s="81">
        <f ca="1">SUMPRODUCT((Work_Codes!$N$506:$Y$506=$E172)*(Work_Codes!$N$514:$Y$514)*(M$65:M$65))</f>
        <v>0</v>
      </c>
      <c r="N172" s="81">
        <f ca="1">SUMPRODUCT((Work_Codes!$N$506:$Y$506=$E172)*(Work_Codes!$N$514:$Y$514)*(N$65:N$65))</f>
        <v>0</v>
      </c>
      <c r="O172" s="81">
        <f ca="1">SUMPRODUCT((Work_Codes!$N$506:$Y$506=$E172)*(Work_Codes!$N$514:$Y$514)*(O$65:O$65))</f>
        <v>0</v>
      </c>
      <c r="P172" s="81">
        <f ca="1">SUMPRODUCT((Work_Codes!$N$506:$Y$506=$E172)*(Work_Codes!$N$514:$Y$514)*(P$65:P$65))</f>
        <v>0</v>
      </c>
      <c r="Q172" s="81">
        <f ca="1">SUMPRODUCT((Work_Codes!$N$506:$Y$506=$E172)*(Work_Codes!$N$514:$Y$514)*(Q$65:Q$65))</f>
        <v>0</v>
      </c>
      <c r="R172" s="81">
        <f ca="1">SUMPRODUCT((Work_Codes!$N$506:$Y$506=$E172)*(Work_Codes!$N$514:$Y$514)*(R$65:R$65))</f>
        <v>0</v>
      </c>
      <c r="S172" s="81">
        <f ca="1">SUMPRODUCT((Work_Codes!$N$506:$Y$506=$E172)*(Work_Codes!$N$514:$Y$514)*(S$65:S$65))</f>
        <v>0</v>
      </c>
      <c r="T172" s="81">
        <f ca="1">SUMPRODUCT((Work_Codes!$N$506:$Y$506=$E172)*(Work_Codes!$N$514:$Y$514)*(T$65:T$65))</f>
        <v>0</v>
      </c>
    </row>
    <row r="173" spans="4:20" outlineLevel="2">
      <c r="E173" s="247" t="str">
        <f>GC!C48</f>
        <v>Other - IT</v>
      </c>
      <c r="F173" s="247"/>
      <c r="G173" s="247"/>
      <c r="H173" s="247"/>
      <c r="I173" s="247"/>
      <c r="J173" s="81">
        <f ca="1">SUMPRODUCT((Work_Codes!$N$506:$Y$506=$E173)*(Work_Codes!$N$514:$Y$514)*(J$65:J$65))</f>
        <v>0</v>
      </c>
      <c r="K173" s="81">
        <f ca="1">SUMPRODUCT((Work_Codes!$N$506:$Y$506=$E173)*(Work_Codes!$N$514:$Y$514)*(K$65:K$65))</f>
        <v>0</v>
      </c>
      <c r="L173" s="81">
        <f ca="1">SUMPRODUCT((Work_Codes!$N$506:$Y$506=$E173)*(Work_Codes!$N$514:$Y$514)*(L$65:L$65))</f>
        <v>0</v>
      </c>
      <c r="M173" s="81">
        <f ca="1">SUMPRODUCT((Work_Codes!$N$506:$Y$506=$E173)*(Work_Codes!$N$514:$Y$514)*(M$65:M$65))</f>
        <v>0</v>
      </c>
      <c r="N173" s="81">
        <f ca="1">SUMPRODUCT((Work_Codes!$N$506:$Y$506=$E173)*(Work_Codes!$N$514:$Y$514)*(N$65:N$65))</f>
        <v>0</v>
      </c>
      <c r="O173" s="81">
        <f ca="1">SUMPRODUCT((Work_Codes!$N$506:$Y$506=$E173)*(Work_Codes!$N$514:$Y$514)*(O$65:O$65))</f>
        <v>0</v>
      </c>
      <c r="P173" s="81">
        <f ca="1">SUMPRODUCT((Work_Codes!$N$506:$Y$506=$E173)*(Work_Codes!$N$514:$Y$514)*(P$65:P$65))</f>
        <v>0</v>
      </c>
      <c r="Q173" s="81">
        <f ca="1">SUMPRODUCT((Work_Codes!$N$506:$Y$506=$E173)*(Work_Codes!$N$514:$Y$514)*(Q$65:Q$65))</f>
        <v>0</v>
      </c>
      <c r="R173" s="81">
        <f ca="1">SUMPRODUCT((Work_Codes!$N$506:$Y$506=$E173)*(Work_Codes!$N$514:$Y$514)*(R$65:R$65))</f>
        <v>0</v>
      </c>
      <c r="S173" s="81">
        <f ca="1">SUMPRODUCT((Work_Codes!$N$506:$Y$506=$E173)*(Work_Codes!$N$514:$Y$514)*(S$65:S$65))</f>
        <v>0</v>
      </c>
      <c r="T173" s="81">
        <f ca="1">SUMPRODUCT((Work_Codes!$N$506:$Y$506=$E173)*(Work_Codes!$N$514:$Y$514)*(T$65:T$65))</f>
        <v>0</v>
      </c>
    </row>
    <row r="174" spans="4:20" outlineLevel="2">
      <c r="E174" s="247" t="str">
        <f>GC!C49</f>
        <v>Other - non IT</v>
      </c>
      <c r="F174" s="247"/>
      <c r="G174" s="247"/>
      <c r="H174" s="247"/>
      <c r="I174" s="247"/>
      <c r="J174" s="81">
        <f ca="1">SUMPRODUCT((Work_Codes!$N$506:$Y$506=$E174)*(Work_Codes!$N$514:$Y$514)*(J$65:J$65))</f>
        <v>0</v>
      </c>
      <c r="K174" s="81">
        <f ca="1">SUMPRODUCT((Work_Codes!$N$506:$Y$506=$E174)*(Work_Codes!$N$514:$Y$514)*(K$65:K$65))</f>
        <v>0</v>
      </c>
      <c r="L174" s="81">
        <f ca="1">SUMPRODUCT((Work_Codes!$N$506:$Y$506=$E174)*(Work_Codes!$N$514:$Y$514)*(L$65:L$65))</f>
        <v>0</v>
      </c>
      <c r="M174" s="81">
        <f ca="1">SUMPRODUCT((Work_Codes!$N$506:$Y$506=$E174)*(Work_Codes!$N$514:$Y$514)*(M$65:M$65))</f>
        <v>0</v>
      </c>
      <c r="N174" s="81">
        <f ca="1">SUMPRODUCT((Work_Codes!$N$506:$Y$506=$E174)*(Work_Codes!$N$514:$Y$514)*(N$65:N$65))</f>
        <v>0</v>
      </c>
      <c r="O174" s="81">
        <f ca="1">SUMPRODUCT((Work_Codes!$N$506:$Y$506=$E174)*(Work_Codes!$N$514:$Y$514)*(O$65:O$65))</f>
        <v>0</v>
      </c>
      <c r="P174" s="81">
        <f ca="1">SUMPRODUCT((Work_Codes!$N$506:$Y$506=$E174)*(Work_Codes!$N$514:$Y$514)*(P$65:P$65))</f>
        <v>0</v>
      </c>
      <c r="Q174" s="81">
        <f ca="1">SUMPRODUCT((Work_Codes!$N$506:$Y$506=$E174)*(Work_Codes!$N$514:$Y$514)*(Q$65:Q$65))</f>
        <v>0</v>
      </c>
      <c r="R174" s="81">
        <f ca="1">SUMPRODUCT((Work_Codes!$N$506:$Y$506=$E174)*(Work_Codes!$N$514:$Y$514)*(R$65:R$65))</f>
        <v>0</v>
      </c>
      <c r="S174" s="81">
        <f ca="1">SUMPRODUCT((Work_Codes!$N$506:$Y$506=$E174)*(Work_Codes!$N$514:$Y$514)*(S$65:S$65))</f>
        <v>0</v>
      </c>
      <c r="T174" s="81">
        <f ca="1">SUMPRODUCT((Work_Codes!$N$506:$Y$506=$E174)*(Work_Codes!$N$514:$Y$514)*(T$65:T$65))</f>
        <v>0</v>
      </c>
    </row>
    <row r="175" spans="4:20" outlineLevel="2">
      <c r="E175" s="247" t="str">
        <f>GC!C50</f>
        <v>Land</v>
      </c>
      <c r="F175" s="247"/>
      <c r="G175" s="247"/>
      <c r="H175" s="247"/>
      <c r="I175" s="247"/>
      <c r="J175" s="81">
        <f ca="1">SUMPRODUCT((Work_Codes!$N$506:$Y$506=$E175)*(Work_Codes!$N$514:$Y$514)*(J$65:J$65))</f>
        <v>0</v>
      </c>
      <c r="K175" s="81">
        <f ca="1">SUMPRODUCT((Work_Codes!$N$506:$Y$506=$E175)*(Work_Codes!$N$514:$Y$514)*(K$65:K$65))</f>
        <v>0</v>
      </c>
      <c r="L175" s="81">
        <f ca="1">SUMPRODUCT((Work_Codes!$N$506:$Y$506=$E175)*(Work_Codes!$N$514:$Y$514)*(L$65:L$65))</f>
        <v>0</v>
      </c>
      <c r="M175" s="81">
        <f ca="1">SUMPRODUCT((Work_Codes!$N$506:$Y$506=$E175)*(Work_Codes!$N$514:$Y$514)*(M$65:M$65))</f>
        <v>0</v>
      </c>
      <c r="N175" s="81">
        <f ca="1">SUMPRODUCT((Work_Codes!$N$506:$Y$506=$E175)*(Work_Codes!$N$514:$Y$514)*(N$65:N$65))</f>
        <v>0</v>
      </c>
      <c r="O175" s="81">
        <f ca="1">SUMPRODUCT((Work_Codes!$N$506:$Y$506=$E175)*(Work_Codes!$N$514:$Y$514)*(O$65:O$65))</f>
        <v>0</v>
      </c>
      <c r="P175" s="81">
        <f ca="1">SUMPRODUCT((Work_Codes!$N$506:$Y$506=$E175)*(Work_Codes!$N$514:$Y$514)*(P$65:P$65))</f>
        <v>0</v>
      </c>
      <c r="Q175" s="81">
        <f ca="1">SUMPRODUCT((Work_Codes!$N$506:$Y$506=$E175)*(Work_Codes!$N$514:$Y$514)*(Q$65:Q$65))</f>
        <v>0</v>
      </c>
      <c r="R175" s="81">
        <f ca="1">SUMPRODUCT((Work_Codes!$N$506:$Y$506=$E175)*(Work_Codes!$N$514:$Y$514)*(R$65:R$65))</f>
        <v>0</v>
      </c>
      <c r="S175" s="81">
        <f ca="1">SUMPRODUCT((Work_Codes!$N$506:$Y$506=$E175)*(Work_Codes!$N$514:$Y$514)*(S$65:S$65))</f>
        <v>0</v>
      </c>
      <c r="T175" s="81">
        <f ca="1">SUMPRODUCT((Work_Codes!$N$506:$Y$506=$E175)*(Work_Codes!$N$514:$Y$514)*(T$65:T$65))</f>
        <v>0</v>
      </c>
    </row>
    <row r="176" spans="4:20" outlineLevel="2">
      <c r="E176" s="247" t="str">
        <f>GC!C51</f>
        <v>Capitalised Leases</v>
      </c>
      <c r="F176" s="247"/>
      <c r="G176" s="247"/>
      <c r="H176" s="247"/>
      <c r="I176" s="247"/>
      <c r="J176" s="81">
        <f ca="1">SUMPRODUCT((Work_Codes!$N$506:$Y$506=$E176)*(Work_Codes!$N$514:$Y$514)*(J$65:J$65))</f>
        <v>0</v>
      </c>
      <c r="K176" s="81">
        <f ca="1">SUMPRODUCT((Work_Codes!$N$506:$Y$506=$E176)*(Work_Codes!$N$514:$Y$514)*(K$65:K$65))</f>
        <v>0</v>
      </c>
      <c r="L176" s="81">
        <f ca="1">SUMPRODUCT((Work_Codes!$N$506:$Y$506=$E176)*(Work_Codes!$N$514:$Y$514)*(L$65:L$65))</f>
        <v>0</v>
      </c>
      <c r="M176" s="81">
        <f ca="1">SUMPRODUCT((Work_Codes!$N$506:$Y$506=$E176)*(Work_Codes!$N$514:$Y$514)*(M$65:M$65))</f>
        <v>0</v>
      </c>
      <c r="N176" s="81">
        <f ca="1">SUMPRODUCT((Work_Codes!$N$506:$Y$506=$E176)*(Work_Codes!$N$514:$Y$514)*(N$65:N$65))</f>
        <v>0</v>
      </c>
      <c r="O176" s="81">
        <f ca="1">SUMPRODUCT((Work_Codes!$N$506:$Y$506=$E176)*(Work_Codes!$N$514:$Y$514)*(O$65:O$65))</f>
        <v>0</v>
      </c>
      <c r="P176" s="81">
        <f ca="1">SUMPRODUCT((Work_Codes!$N$506:$Y$506=$E176)*(Work_Codes!$N$514:$Y$514)*(P$65:P$65))</f>
        <v>0</v>
      </c>
      <c r="Q176" s="81">
        <f ca="1">SUMPRODUCT((Work_Codes!$N$506:$Y$506=$E176)*(Work_Codes!$N$514:$Y$514)*(Q$65:Q$65))</f>
        <v>0</v>
      </c>
      <c r="R176" s="81">
        <f ca="1">SUMPRODUCT((Work_Codes!$N$506:$Y$506=$E176)*(Work_Codes!$N$514:$Y$514)*(R$65:R$65))</f>
        <v>0</v>
      </c>
      <c r="S176" s="81">
        <f ca="1">SUMPRODUCT((Work_Codes!$N$506:$Y$506=$E176)*(Work_Codes!$N$514:$Y$514)*(S$65:S$65))</f>
        <v>0</v>
      </c>
      <c r="T176" s="81">
        <f ca="1">SUMPRODUCT((Work_Codes!$N$506:$Y$506=$E176)*(Work_Codes!$N$514:$Y$514)*(T$65:T$65))</f>
        <v>0</v>
      </c>
    </row>
    <row r="177" spans="2:20" outlineLevel="2">
      <c r="E177" s="247" t="str">
        <f>GC!C52</f>
        <v>Transmission pipelines - post 1998</v>
      </c>
      <c r="F177" s="247"/>
      <c r="G177" s="247"/>
      <c r="H177" s="247"/>
      <c r="I177" s="247"/>
      <c r="J177" s="81">
        <f ca="1">SUMPRODUCT((Work_Codes!$N$506:$Y$506=$E177)*(Work_Codes!$N$514:$Y$514)*(J$65:J$65))</f>
        <v>0</v>
      </c>
      <c r="K177" s="81">
        <f ca="1">SUMPRODUCT((Work_Codes!$N$506:$Y$506=$E177)*(Work_Codes!$N$514:$Y$514)*(K$65:K$65))</f>
        <v>0</v>
      </c>
      <c r="L177" s="81">
        <f ca="1">SUMPRODUCT((Work_Codes!$N$506:$Y$506=$E177)*(Work_Codes!$N$514:$Y$514)*(L$65:L$65))</f>
        <v>0</v>
      </c>
      <c r="M177" s="81">
        <f ca="1">SUMPRODUCT((Work_Codes!$N$506:$Y$506=$E177)*(Work_Codes!$N$514:$Y$514)*(M$65:M$65))</f>
        <v>0</v>
      </c>
      <c r="N177" s="81">
        <f ca="1">SUMPRODUCT((Work_Codes!$N$506:$Y$506=$E177)*(Work_Codes!$N$514:$Y$514)*(N$65:N$65))</f>
        <v>0</v>
      </c>
      <c r="O177" s="81">
        <f ca="1">SUMPRODUCT((Work_Codes!$N$506:$Y$506=$E177)*(Work_Codes!$N$514:$Y$514)*(O$65:O$65))</f>
        <v>0</v>
      </c>
      <c r="P177" s="81">
        <f ca="1">SUMPRODUCT((Work_Codes!$N$506:$Y$506=$E177)*(Work_Codes!$N$514:$Y$514)*(P$65:P$65))</f>
        <v>0</v>
      </c>
      <c r="Q177" s="81">
        <f ca="1">SUMPRODUCT((Work_Codes!$N$506:$Y$506=$E177)*(Work_Codes!$N$514:$Y$514)*(Q$65:Q$65))</f>
        <v>0</v>
      </c>
      <c r="R177" s="81">
        <f ca="1">SUMPRODUCT((Work_Codes!$N$506:$Y$506=$E177)*(Work_Codes!$N$514:$Y$514)*(R$65:R$65))</f>
        <v>0</v>
      </c>
      <c r="S177" s="81">
        <f ca="1">SUMPRODUCT((Work_Codes!$N$506:$Y$506=$E177)*(Work_Codes!$N$514:$Y$514)*(S$65:S$65))</f>
        <v>0</v>
      </c>
      <c r="T177" s="81">
        <f ca="1">SUMPRODUCT((Work_Codes!$N$506:$Y$506=$E177)*(Work_Codes!$N$514:$Y$514)*(T$65:T$65))</f>
        <v>0</v>
      </c>
    </row>
    <row r="178" spans="2:20" outlineLevel="2">
      <c r="E178" s="247" t="str">
        <f>GC!C53</f>
        <v>Distribution pipelines - post 1998</v>
      </c>
      <c r="F178" s="247"/>
      <c r="G178" s="247"/>
      <c r="H178" s="247"/>
      <c r="I178" s="247"/>
      <c r="J178" s="81">
        <f ca="1">SUMPRODUCT((Work_Codes!$N$506:$Y$506=$E178)*(Work_Codes!$N$514:$Y$514)*(J$65:J$65))</f>
        <v>0</v>
      </c>
      <c r="K178" s="81">
        <f ca="1">SUMPRODUCT((Work_Codes!$N$506:$Y$506=$E178)*(Work_Codes!$N$514:$Y$514)*(K$65:K$65))</f>
        <v>0</v>
      </c>
      <c r="L178" s="81">
        <f ca="1">SUMPRODUCT((Work_Codes!$N$506:$Y$506=$E178)*(Work_Codes!$N$514:$Y$514)*(L$65:L$65))</f>
        <v>0</v>
      </c>
      <c r="M178" s="81">
        <f ca="1">SUMPRODUCT((Work_Codes!$N$506:$Y$506=$E178)*(Work_Codes!$N$514:$Y$514)*(M$65:M$65))</f>
        <v>0</v>
      </c>
      <c r="N178" s="81">
        <f ca="1">SUMPRODUCT((Work_Codes!$N$506:$Y$506=$E178)*(Work_Codes!$N$514:$Y$514)*(N$65:N$65))</f>
        <v>0</v>
      </c>
      <c r="O178" s="81">
        <f ca="1">SUMPRODUCT((Work_Codes!$N$506:$Y$506=$E178)*(Work_Codes!$N$514:$Y$514)*(O$65:O$65))</f>
        <v>0</v>
      </c>
      <c r="P178" s="81">
        <f ca="1">SUMPRODUCT((Work_Codes!$N$506:$Y$506=$E178)*(Work_Codes!$N$514:$Y$514)*(P$65:P$65))</f>
        <v>0</v>
      </c>
      <c r="Q178" s="81">
        <f ca="1">SUMPRODUCT((Work_Codes!$N$506:$Y$506=$E178)*(Work_Codes!$N$514:$Y$514)*(Q$65:Q$65))</f>
        <v>0</v>
      </c>
      <c r="R178" s="81">
        <f ca="1">SUMPRODUCT((Work_Codes!$N$506:$Y$506=$E178)*(Work_Codes!$N$514:$Y$514)*(R$65:R$65))</f>
        <v>0</v>
      </c>
      <c r="S178" s="81">
        <f ca="1">SUMPRODUCT((Work_Codes!$N$506:$Y$506=$E178)*(Work_Codes!$N$514:$Y$514)*(S$65:S$65))</f>
        <v>0</v>
      </c>
      <c r="T178" s="81">
        <f ca="1">SUMPRODUCT((Work_Codes!$N$506:$Y$506=$E178)*(Work_Codes!$N$514:$Y$514)*(T$65:T$65))</f>
        <v>0</v>
      </c>
    </row>
    <row r="179" spans="2:20" outlineLevel="2">
      <c r="E179" s="247" t="str">
        <f>GC!C54</f>
        <v>Service pipes - post 1998</v>
      </c>
      <c r="F179" s="247"/>
      <c r="G179" s="247"/>
      <c r="H179" s="247"/>
      <c r="I179" s="247"/>
      <c r="J179" s="81">
        <f ca="1">SUMPRODUCT((Work_Codes!$N$506:$Y$506=$E179)*(Work_Codes!$N$514:$Y$514)*(J$65:J$65))</f>
        <v>0</v>
      </c>
      <c r="K179" s="81">
        <f ca="1">SUMPRODUCT((Work_Codes!$N$506:$Y$506=$E179)*(Work_Codes!$N$514:$Y$514)*(K$65:K$65))</f>
        <v>0</v>
      </c>
      <c r="L179" s="81">
        <f ca="1">SUMPRODUCT((Work_Codes!$N$506:$Y$506=$E179)*(Work_Codes!$N$514:$Y$514)*(L$65:L$65))</f>
        <v>0</v>
      </c>
      <c r="M179" s="81">
        <f ca="1">SUMPRODUCT((Work_Codes!$N$506:$Y$506=$E179)*(Work_Codes!$N$514:$Y$514)*(M$65:M$65))</f>
        <v>0</v>
      </c>
      <c r="N179" s="81">
        <f ca="1">SUMPRODUCT((Work_Codes!$N$506:$Y$506=$E179)*(Work_Codes!$N$514:$Y$514)*(N$65:N$65))</f>
        <v>0</v>
      </c>
      <c r="O179" s="81">
        <f ca="1">SUMPRODUCT((Work_Codes!$N$506:$Y$506=$E179)*(Work_Codes!$N$514:$Y$514)*(O$65:O$65))</f>
        <v>0</v>
      </c>
      <c r="P179" s="81">
        <f ca="1">SUMPRODUCT((Work_Codes!$N$506:$Y$506=$E179)*(Work_Codes!$N$514:$Y$514)*(P$65:P$65))</f>
        <v>0</v>
      </c>
      <c r="Q179" s="81">
        <f ca="1">SUMPRODUCT((Work_Codes!$N$506:$Y$506=$E179)*(Work_Codes!$N$514:$Y$514)*(Q$65:Q$65))</f>
        <v>0</v>
      </c>
      <c r="R179" s="81">
        <f ca="1">SUMPRODUCT((Work_Codes!$N$506:$Y$506=$E179)*(Work_Codes!$N$514:$Y$514)*(R$65:R$65))</f>
        <v>0</v>
      </c>
      <c r="S179" s="81">
        <f ca="1">SUMPRODUCT((Work_Codes!$N$506:$Y$506=$E179)*(Work_Codes!$N$514:$Y$514)*(S$65:S$65))</f>
        <v>0</v>
      </c>
      <c r="T179" s="81">
        <f ca="1">SUMPRODUCT((Work_Codes!$N$506:$Y$506=$E179)*(Work_Codes!$N$514:$Y$514)*(T$65:T$65))</f>
        <v>0</v>
      </c>
    </row>
    <row r="180" spans="2:20" outlineLevel="2">
      <c r="E180" s="247" t="str">
        <f>GC!C55</f>
        <v>Cathodic protection - post 1998</v>
      </c>
      <c r="F180" s="247"/>
      <c r="G180" s="247"/>
      <c r="H180" s="247"/>
      <c r="I180" s="247"/>
      <c r="J180" s="81">
        <f ca="1">SUMPRODUCT((Work_Codes!$N$506:$Y$506=$E180)*(Work_Codes!$N$514:$Y$514)*(J$65:J$65))</f>
        <v>0</v>
      </c>
      <c r="K180" s="81">
        <f ca="1">SUMPRODUCT((Work_Codes!$N$506:$Y$506=$E180)*(Work_Codes!$N$514:$Y$514)*(K$65:K$65))</f>
        <v>0</v>
      </c>
      <c r="L180" s="81">
        <f ca="1">SUMPRODUCT((Work_Codes!$N$506:$Y$506=$E180)*(Work_Codes!$N$514:$Y$514)*(L$65:L$65))</f>
        <v>0</v>
      </c>
      <c r="M180" s="81">
        <f ca="1">SUMPRODUCT((Work_Codes!$N$506:$Y$506=$E180)*(Work_Codes!$N$514:$Y$514)*(M$65:M$65))</f>
        <v>0</v>
      </c>
      <c r="N180" s="81">
        <f ca="1">SUMPRODUCT((Work_Codes!$N$506:$Y$506=$E180)*(Work_Codes!$N$514:$Y$514)*(N$65:N$65))</f>
        <v>0</v>
      </c>
      <c r="O180" s="81">
        <f ca="1">SUMPRODUCT((Work_Codes!$N$506:$Y$506=$E180)*(Work_Codes!$N$514:$Y$514)*(O$65:O$65))</f>
        <v>0</v>
      </c>
      <c r="P180" s="81">
        <f ca="1">SUMPRODUCT((Work_Codes!$N$506:$Y$506=$E180)*(Work_Codes!$N$514:$Y$514)*(P$65:P$65))</f>
        <v>0</v>
      </c>
      <c r="Q180" s="81">
        <f ca="1">SUMPRODUCT((Work_Codes!$N$506:$Y$506=$E180)*(Work_Codes!$N$514:$Y$514)*(Q$65:Q$65))</f>
        <v>0</v>
      </c>
      <c r="R180" s="81">
        <f ca="1">SUMPRODUCT((Work_Codes!$N$506:$Y$506=$E180)*(Work_Codes!$N$514:$Y$514)*(R$65:R$65))</f>
        <v>0</v>
      </c>
      <c r="S180" s="81">
        <f ca="1">SUMPRODUCT((Work_Codes!$N$506:$Y$506=$E180)*(Work_Codes!$N$514:$Y$514)*(S$65:S$65))</f>
        <v>0</v>
      </c>
      <c r="T180" s="81">
        <f ca="1">SUMPRODUCT((Work_Codes!$N$506:$Y$506=$E180)*(Work_Codes!$N$514:$Y$514)*(T$65:T$65))</f>
        <v>0</v>
      </c>
    </row>
    <row r="181" spans="2:20" outlineLevel="2">
      <c r="E181" s="249" t="str">
        <f>"Total "&amp;D163</f>
        <v>Total Customer Contributions</v>
      </c>
      <c r="F181" s="249"/>
      <c r="G181" s="249"/>
      <c r="H181" s="249"/>
      <c r="I181" s="249"/>
      <c r="J181" s="82">
        <f t="shared" ref="J181:T181" ca="1" si="21">SUM(J165:J180)</f>
        <v>0</v>
      </c>
      <c r="K181" s="82">
        <f t="shared" ca="1" si="21"/>
        <v>0</v>
      </c>
      <c r="L181" s="82">
        <f t="shared" ca="1" si="21"/>
        <v>0</v>
      </c>
      <c r="M181" s="82">
        <f t="shared" ca="1" si="21"/>
        <v>0</v>
      </c>
      <c r="N181" s="82">
        <f t="shared" ca="1" si="21"/>
        <v>0</v>
      </c>
      <c r="O181" s="82">
        <f t="shared" ca="1" si="21"/>
        <v>0</v>
      </c>
      <c r="P181" s="82">
        <f t="shared" ca="1" si="21"/>
        <v>0</v>
      </c>
      <c r="Q181" s="82">
        <f t="shared" ca="1" si="21"/>
        <v>0</v>
      </c>
      <c r="R181" s="82">
        <f t="shared" ca="1" si="21"/>
        <v>0</v>
      </c>
      <c r="S181" s="82">
        <f t="shared" ca="1" si="21"/>
        <v>0</v>
      </c>
      <c r="T181" s="82">
        <f t="shared" ca="1" si="21"/>
        <v>0</v>
      </c>
    </row>
    <row r="182" spans="2:20" outlineLevel="1">
      <c r="B182" s="12"/>
      <c r="C182" s="12"/>
      <c r="D182" s="12"/>
      <c r="E182" s="12"/>
      <c r="F182" s="12"/>
      <c r="G182" s="12"/>
      <c r="H182" s="12"/>
      <c r="I182" s="12"/>
      <c r="J182" s="12"/>
      <c r="K182" s="12"/>
      <c r="L182" s="12"/>
      <c r="M182" s="12"/>
      <c r="N182" s="12"/>
      <c r="O182" s="12"/>
      <c r="P182" s="12"/>
      <c r="Q182" s="12"/>
      <c r="R182" s="12"/>
      <c r="S182" s="12"/>
      <c r="T182" s="12"/>
    </row>
    <row r="183" spans="2:20" outlineLevel="1"/>
    <row r="184" spans="2:20" outlineLevel="1">
      <c r="C184" s="37" t="s">
        <v>196</v>
      </c>
    </row>
    <row r="185" spans="2:20" ht="5.9" customHeight="1" outlineLevel="2"/>
    <row r="186" spans="2:20" outlineLevel="2">
      <c r="D186" s="37" t="s">
        <v>215</v>
      </c>
    </row>
    <row r="187" spans="2:20" ht="5.9" customHeight="1" outlineLevel="2"/>
    <row r="188" spans="2:20" ht="12" customHeight="1" outlineLevel="2">
      <c r="E188" s="247" t="str">
        <f>GC!C60</f>
        <v>Mains replacement</v>
      </c>
      <c r="F188" s="247"/>
      <c r="G188" s="247"/>
      <c r="H188" s="247"/>
      <c r="I188" s="247"/>
      <c r="J188" s="81">
        <f ca="1">SUMPRODUCT((Work_Codes!$AC$506:$AO$506=$E188)*(Work_Codes!$AC$509:$AO$510)*(J$95:J$96))</f>
        <v>0</v>
      </c>
      <c r="K188" s="81">
        <f ca="1">SUMPRODUCT((Work_Codes!$AC$506:$AO$506=$E188)*(Work_Codes!$AC$509:$AO$510)*(K$95:K$96))</f>
        <v>0</v>
      </c>
      <c r="L188" s="81">
        <f ca="1">SUMPRODUCT((Work_Codes!$AC$506:$AO$506=$E188)*(Work_Codes!$AC$509:$AO$510)*(L$95:L$96))</f>
        <v>0</v>
      </c>
      <c r="M188" s="81">
        <f ca="1">SUMPRODUCT((Work_Codes!$AC$506:$AO$506=$E188)*(Work_Codes!$AC$509:$AO$510)*(M$95:M$96))</f>
        <v>0</v>
      </c>
      <c r="N188" s="81">
        <f ca="1">SUMPRODUCT((Work_Codes!$AC$506:$AO$506=$E188)*(Work_Codes!$AC$509:$AO$510)*(N$95:N$96))</f>
        <v>0</v>
      </c>
      <c r="O188" s="81">
        <f ca="1">SUMPRODUCT((Work_Codes!$AC$506:$AO$506=$E188)*(Work_Codes!$AC$509:$AO$510)*(O$95:O$96))</f>
        <v>0</v>
      </c>
      <c r="P188" s="81">
        <f ca="1">SUMPRODUCT((Work_Codes!$AC$506:$AO$506=$E188)*(Work_Codes!$AC$509:$AO$510)*(P$95:P$96))</f>
        <v>0</v>
      </c>
      <c r="Q188" s="81">
        <f ca="1">SUMPRODUCT((Work_Codes!$AC$506:$AO$506=$E188)*(Work_Codes!$AC$509:$AO$510)*(Q$95:Q$96))</f>
        <v>0</v>
      </c>
      <c r="R188" s="81">
        <f ca="1">SUMPRODUCT((Work_Codes!$AC$506:$AO$506=$E188)*(Work_Codes!$AC$509:$AO$510)*(R$95:R$96))</f>
        <v>0</v>
      </c>
      <c r="S188" s="81">
        <f ca="1">SUMPRODUCT((Work_Codes!$AC$506:$AO$506=$E188)*(Work_Codes!$AC$509:$AO$510)*(S$95:S$96))</f>
        <v>0</v>
      </c>
      <c r="T188" s="81">
        <f ca="1">SUMPRODUCT((Work_Codes!$AC$506:$AO$506=$E188)*(Work_Codes!$AC$509:$AO$510)*(T$95:T$96))</f>
        <v>0</v>
      </c>
    </row>
    <row r="189" spans="2:20" ht="12" customHeight="1" outlineLevel="2">
      <c r="E189" s="247" t="str">
        <f>GC!C61</f>
        <v>Residential new customer connections</v>
      </c>
      <c r="F189" s="247"/>
      <c r="G189" s="247"/>
      <c r="H189" s="247"/>
      <c r="I189" s="247"/>
      <c r="J189" s="81">
        <f ca="1">SUMPRODUCT((Work_Codes!$AC$506:$AO$506=$E189)*(Work_Codes!$AC$509:$AO$510)*(J$95:J$96))</f>
        <v>0</v>
      </c>
      <c r="K189" s="81">
        <f ca="1">SUMPRODUCT((Work_Codes!$AC$506:$AO$506=$E189)*(Work_Codes!$AC$509:$AO$510)*(K$95:K$96))</f>
        <v>0</v>
      </c>
      <c r="L189" s="81">
        <f ca="1">SUMPRODUCT((Work_Codes!$AC$506:$AO$506=$E189)*(Work_Codes!$AC$509:$AO$510)*(L$95:L$96))</f>
        <v>0</v>
      </c>
      <c r="M189" s="81">
        <f ca="1">SUMPRODUCT((Work_Codes!$AC$506:$AO$506=$E189)*(Work_Codes!$AC$509:$AO$510)*(M$95:M$96))</f>
        <v>0</v>
      </c>
      <c r="N189" s="81">
        <f ca="1">SUMPRODUCT((Work_Codes!$AC$506:$AO$506=$E189)*(Work_Codes!$AC$509:$AO$510)*(N$95:N$96))</f>
        <v>0</v>
      </c>
      <c r="O189" s="81">
        <f ca="1">SUMPRODUCT((Work_Codes!$AC$506:$AO$506=$E189)*(Work_Codes!$AC$509:$AO$510)*(O$95:O$96))</f>
        <v>0</v>
      </c>
      <c r="P189" s="81">
        <f ca="1">SUMPRODUCT((Work_Codes!$AC$506:$AO$506=$E189)*(Work_Codes!$AC$509:$AO$510)*(P$95:P$96))</f>
        <v>0</v>
      </c>
      <c r="Q189" s="81">
        <f ca="1">SUMPRODUCT((Work_Codes!$AC$506:$AO$506=$E189)*(Work_Codes!$AC$509:$AO$510)*(Q$95:Q$96))</f>
        <v>0</v>
      </c>
      <c r="R189" s="81">
        <f ca="1">SUMPRODUCT((Work_Codes!$AC$506:$AO$506=$E189)*(Work_Codes!$AC$509:$AO$510)*(R$95:R$96))</f>
        <v>0</v>
      </c>
      <c r="S189" s="81">
        <f ca="1">SUMPRODUCT((Work_Codes!$AC$506:$AO$506=$E189)*(Work_Codes!$AC$509:$AO$510)*(S$95:S$96))</f>
        <v>0</v>
      </c>
      <c r="T189" s="81">
        <f ca="1">SUMPRODUCT((Work_Codes!$AC$506:$AO$506=$E189)*(Work_Codes!$AC$509:$AO$510)*(T$95:T$96))</f>
        <v>0</v>
      </c>
    </row>
    <row r="190" spans="2:20" ht="12" customHeight="1" outlineLevel="2">
      <c r="E190" s="247" t="str">
        <f>GC!C62</f>
        <v>Commercial and industrial new customer connections</v>
      </c>
      <c r="F190" s="247"/>
      <c r="G190" s="247"/>
      <c r="H190" s="247"/>
      <c r="I190" s="247"/>
      <c r="J190" s="81">
        <f ca="1">SUMPRODUCT((Work_Codes!$AC$506:$AO$506=$E190)*(Work_Codes!$AC$509:$AO$510)*(J$95:J$96))</f>
        <v>0</v>
      </c>
      <c r="K190" s="81">
        <f ca="1">SUMPRODUCT((Work_Codes!$AC$506:$AO$506=$E190)*(Work_Codes!$AC$509:$AO$510)*(K$95:K$96))</f>
        <v>0</v>
      </c>
      <c r="L190" s="81">
        <f ca="1">SUMPRODUCT((Work_Codes!$AC$506:$AO$506=$E190)*(Work_Codes!$AC$509:$AO$510)*(L$95:L$96))</f>
        <v>0</v>
      </c>
      <c r="M190" s="81">
        <f ca="1">SUMPRODUCT((Work_Codes!$AC$506:$AO$506=$E190)*(Work_Codes!$AC$509:$AO$510)*(M$95:M$96))</f>
        <v>0</v>
      </c>
      <c r="N190" s="81">
        <f ca="1">SUMPRODUCT((Work_Codes!$AC$506:$AO$506=$E190)*(Work_Codes!$AC$509:$AO$510)*(N$95:N$96))</f>
        <v>0</v>
      </c>
      <c r="O190" s="81">
        <f ca="1">SUMPRODUCT((Work_Codes!$AC$506:$AO$506=$E190)*(Work_Codes!$AC$509:$AO$510)*(O$95:O$96))</f>
        <v>0</v>
      </c>
      <c r="P190" s="81">
        <f ca="1">SUMPRODUCT((Work_Codes!$AC$506:$AO$506=$E190)*(Work_Codes!$AC$509:$AO$510)*(P$95:P$96))</f>
        <v>0</v>
      </c>
      <c r="Q190" s="81">
        <f ca="1">SUMPRODUCT((Work_Codes!$AC$506:$AO$506=$E190)*(Work_Codes!$AC$509:$AO$510)*(Q$95:Q$96))</f>
        <v>0</v>
      </c>
      <c r="R190" s="81">
        <f ca="1">SUMPRODUCT((Work_Codes!$AC$506:$AO$506=$E190)*(Work_Codes!$AC$509:$AO$510)*(R$95:R$96))</f>
        <v>0</v>
      </c>
      <c r="S190" s="81">
        <f ca="1">SUMPRODUCT((Work_Codes!$AC$506:$AO$506=$E190)*(Work_Codes!$AC$509:$AO$510)*(S$95:S$96))</f>
        <v>0</v>
      </c>
      <c r="T190" s="81">
        <f ca="1">SUMPRODUCT((Work_Codes!$AC$506:$AO$506=$E190)*(Work_Codes!$AC$509:$AO$510)*(T$95:T$96))</f>
        <v>0</v>
      </c>
    </row>
    <row r="191" spans="2:20" ht="12" customHeight="1" outlineLevel="2">
      <c r="E191" s="247" t="str">
        <f>GC!C63</f>
        <v>Residential meter replacement</v>
      </c>
      <c r="F191" s="247"/>
      <c r="G191" s="247"/>
      <c r="H191" s="247"/>
      <c r="I191" s="247"/>
      <c r="J191" s="81">
        <f ca="1">SUMPRODUCT((Work_Codes!$AC$506:$AO$506=$E191)*(Work_Codes!$AC$509:$AO$510)*(J$95:J$96))</f>
        <v>0</v>
      </c>
      <c r="K191" s="81">
        <f ca="1">SUMPRODUCT((Work_Codes!$AC$506:$AO$506=$E191)*(Work_Codes!$AC$509:$AO$510)*(K$95:K$96))</f>
        <v>0</v>
      </c>
      <c r="L191" s="81">
        <f ca="1">SUMPRODUCT((Work_Codes!$AC$506:$AO$506=$E191)*(Work_Codes!$AC$509:$AO$510)*(L$95:L$96))</f>
        <v>0</v>
      </c>
      <c r="M191" s="81">
        <f ca="1">SUMPRODUCT((Work_Codes!$AC$506:$AO$506=$E191)*(Work_Codes!$AC$509:$AO$510)*(M$95:M$96))</f>
        <v>0</v>
      </c>
      <c r="N191" s="81">
        <f ca="1">SUMPRODUCT((Work_Codes!$AC$506:$AO$506=$E191)*(Work_Codes!$AC$509:$AO$510)*(N$95:N$96))</f>
        <v>0</v>
      </c>
      <c r="O191" s="81">
        <f ca="1">SUMPRODUCT((Work_Codes!$AC$506:$AO$506=$E191)*(Work_Codes!$AC$509:$AO$510)*(O$95:O$96))</f>
        <v>0</v>
      </c>
      <c r="P191" s="81">
        <f ca="1">SUMPRODUCT((Work_Codes!$AC$506:$AO$506=$E191)*(Work_Codes!$AC$509:$AO$510)*(P$95:P$96))</f>
        <v>0</v>
      </c>
      <c r="Q191" s="81">
        <f ca="1">SUMPRODUCT((Work_Codes!$AC$506:$AO$506=$E191)*(Work_Codes!$AC$509:$AO$510)*(Q$95:Q$96))</f>
        <v>0</v>
      </c>
      <c r="R191" s="81">
        <f ca="1">SUMPRODUCT((Work_Codes!$AC$506:$AO$506=$E191)*(Work_Codes!$AC$509:$AO$510)*(R$95:R$96))</f>
        <v>0</v>
      </c>
      <c r="S191" s="81">
        <f ca="1">SUMPRODUCT((Work_Codes!$AC$506:$AO$506=$E191)*(Work_Codes!$AC$509:$AO$510)*(S$95:S$96))</f>
        <v>0</v>
      </c>
      <c r="T191" s="81">
        <f ca="1">SUMPRODUCT((Work_Codes!$AC$506:$AO$506=$E191)*(Work_Codes!$AC$509:$AO$510)*(T$95:T$96))</f>
        <v>0</v>
      </c>
    </row>
    <row r="192" spans="2:20" ht="12" customHeight="1" outlineLevel="2">
      <c r="E192" s="247" t="str">
        <f>GC!C64</f>
        <v>Commercial and industrial meter replacement</v>
      </c>
      <c r="F192" s="247"/>
      <c r="G192" s="247"/>
      <c r="H192" s="247"/>
      <c r="I192" s="247"/>
      <c r="J192" s="81">
        <f ca="1">SUMPRODUCT((Work_Codes!$AC$506:$AO$506=$E192)*(Work_Codes!$AC$509:$AO$510)*(J$95:J$96))</f>
        <v>0</v>
      </c>
      <c r="K192" s="81">
        <f ca="1">SUMPRODUCT((Work_Codes!$AC$506:$AO$506=$E192)*(Work_Codes!$AC$509:$AO$510)*(K$95:K$96))</f>
        <v>0</v>
      </c>
      <c r="L192" s="81">
        <f ca="1">SUMPRODUCT((Work_Codes!$AC$506:$AO$506=$E192)*(Work_Codes!$AC$509:$AO$510)*(L$95:L$96))</f>
        <v>0</v>
      </c>
      <c r="M192" s="81">
        <f ca="1">SUMPRODUCT((Work_Codes!$AC$506:$AO$506=$E192)*(Work_Codes!$AC$509:$AO$510)*(M$95:M$96))</f>
        <v>0</v>
      </c>
      <c r="N192" s="81">
        <f ca="1">SUMPRODUCT((Work_Codes!$AC$506:$AO$506=$E192)*(Work_Codes!$AC$509:$AO$510)*(N$95:N$96))</f>
        <v>0</v>
      </c>
      <c r="O192" s="81">
        <f ca="1">SUMPRODUCT((Work_Codes!$AC$506:$AO$506=$E192)*(Work_Codes!$AC$509:$AO$510)*(O$95:O$96))</f>
        <v>0</v>
      </c>
      <c r="P192" s="81">
        <f ca="1">SUMPRODUCT((Work_Codes!$AC$506:$AO$506=$E192)*(Work_Codes!$AC$509:$AO$510)*(P$95:P$96))</f>
        <v>0</v>
      </c>
      <c r="Q192" s="81">
        <f ca="1">SUMPRODUCT((Work_Codes!$AC$506:$AO$506=$E192)*(Work_Codes!$AC$509:$AO$510)*(Q$95:Q$96))</f>
        <v>0</v>
      </c>
      <c r="R192" s="81">
        <f ca="1">SUMPRODUCT((Work_Codes!$AC$506:$AO$506=$E192)*(Work_Codes!$AC$509:$AO$510)*(R$95:R$96))</f>
        <v>0</v>
      </c>
      <c r="S192" s="81">
        <f ca="1">SUMPRODUCT((Work_Codes!$AC$506:$AO$506=$E192)*(Work_Codes!$AC$509:$AO$510)*(S$95:S$96))</f>
        <v>0</v>
      </c>
      <c r="T192" s="81">
        <f ca="1">SUMPRODUCT((Work_Codes!$AC$506:$AO$506=$E192)*(Work_Codes!$AC$509:$AO$510)*(T$95:T$96))</f>
        <v>0</v>
      </c>
    </row>
    <row r="193" spans="4:20" ht="12" customHeight="1" outlineLevel="2">
      <c r="E193" s="247" t="str">
        <f>GC!C65</f>
        <v>Augmentation</v>
      </c>
      <c r="F193" s="247"/>
      <c r="G193" s="247"/>
      <c r="H193" s="247"/>
      <c r="I193" s="247"/>
      <c r="J193" s="81">
        <f ca="1">SUMPRODUCT((Work_Codes!$AC$506:$AO$506=$E193)*(Work_Codes!$AC$509:$AO$510)*(J$95:J$96))</f>
        <v>0</v>
      </c>
      <c r="K193" s="81">
        <f ca="1">SUMPRODUCT((Work_Codes!$AC$506:$AO$506=$E193)*(Work_Codes!$AC$509:$AO$510)*(K$95:K$96))</f>
        <v>0</v>
      </c>
      <c r="L193" s="81">
        <f ca="1">SUMPRODUCT((Work_Codes!$AC$506:$AO$506=$E193)*(Work_Codes!$AC$509:$AO$510)*(L$95:L$96))</f>
        <v>0</v>
      </c>
      <c r="M193" s="81">
        <f ca="1">SUMPRODUCT((Work_Codes!$AC$506:$AO$506=$E193)*(Work_Codes!$AC$509:$AO$510)*(M$95:M$96))</f>
        <v>0</v>
      </c>
      <c r="N193" s="81">
        <f ca="1">SUMPRODUCT((Work_Codes!$AC$506:$AO$506=$E193)*(Work_Codes!$AC$509:$AO$510)*(N$95:N$96))</f>
        <v>0</v>
      </c>
      <c r="O193" s="81">
        <f ca="1">SUMPRODUCT((Work_Codes!$AC$506:$AO$506=$E193)*(Work_Codes!$AC$509:$AO$510)*(O$95:O$96))</f>
        <v>0</v>
      </c>
      <c r="P193" s="81">
        <f ca="1">SUMPRODUCT((Work_Codes!$AC$506:$AO$506=$E193)*(Work_Codes!$AC$509:$AO$510)*(P$95:P$96))</f>
        <v>0</v>
      </c>
      <c r="Q193" s="81">
        <f ca="1">SUMPRODUCT((Work_Codes!$AC$506:$AO$506=$E193)*(Work_Codes!$AC$509:$AO$510)*(Q$95:Q$96))</f>
        <v>0</v>
      </c>
      <c r="R193" s="81">
        <f ca="1">SUMPRODUCT((Work_Codes!$AC$506:$AO$506=$E193)*(Work_Codes!$AC$509:$AO$510)*(R$95:R$96))</f>
        <v>0</v>
      </c>
      <c r="S193" s="81">
        <f ca="1">SUMPRODUCT((Work_Codes!$AC$506:$AO$506=$E193)*(Work_Codes!$AC$509:$AO$510)*(S$95:S$96))</f>
        <v>0</v>
      </c>
      <c r="T193" s="81">
        <f ca="1">SUMPRODUCT((Work_Codes!$AC$506:$AO$506=$E193)*(Work_Codes!$AC$509:$AO$510)*(T$95:T$96))</f>
        <v>0</v>
      </c>
    </row>
    <row r="194" spans="4:20" ht="12" customHeight="1" outlineLevel="2">
      <c r="E194" s="247" t="str">
        <f>GC!C66</f>
        <v>IT capex</v>
      </c>
      <c r="F194" s="247"/>
      <c r="G194" s="247"/>
      <c r="H194" s="247"/>
      <c r="I194" s="247"/>
      <c r="J194" s="81">
        <f ca="1">SUMPRODUCT((Work_Codes!$AC$506:$AO$506=$E194)*(Work_Codes!$AC$509:$AO$510)*(J$95:J$96))</f>
        <v>0</v>
      </c>
      <c r="K194" s="81">
        <f ca="1">SUMPRODUCT((Work_Codes!$AC$506:$AO$506=$E194)*(Work_Codes!$AC$509:$AO$510)*(K$95:K$96))</f>
        <v>0</v>
      </c>
      <c r="L194" s="81">
        <f ca="1">SUMPRODUCT((Work_Codes!$AC$506:$AO$506=$E194)*(Work_Codes!$AC$509:$AO$510)*(L$95:L$96))</f>
        <v>0</v>
      </c>
      <c r="M194" s="81">
        <f ca="1">SUMPRODUCT((Work_Codes!$AC$506:$AO$506=$E194)*(Work_Codes!$AC$509:$AO$510)*(M$95:M$96))</f>
        <v>0</v>
      </c>
      <c r="N194" s="81">
        <f ca="1">SUMPRODUCT((Work_Codes!$AC$506:$AO$506=$E194)*(Work_Codes!$AC$509:$AO$510)*(N$95:N$96))</f>
        <v>0</v>
      </c>
      <c r="O194" s="81">
        <f ca="1">SUMPRODUCT((Work_Codes!$AC$506:$AO$506=$E194)*(Work_Codes!$AC$509:$AO$510)*(O$95:O$96))</f>
        <v>0</v>
      </c>
      <c r="P194" s="81">
        <f ca="1">SUMPRODUCT((Work_Codes!$AC$506:$AO$506=$E194)*(Work_Codes!$AC$509:$AO$510)*(P$95:P$96))</f>
        <v>0</v>
      </c>
      <c r="Q194" s="81">
        <f ca="1">SUMPRODUCT((Work_Codes!$AC$506:$AO$506=$E194)*(Work_Codes!$AC$509:$AO$510)*(Q$95:Q$96))</f>
        <v>0</v>
      </c>
      <c r="R194" s="81">
        <f ca="1">SUMPRODUCT((Work_Codes!$AC$506:$AO$506=$E194)*(Work_Codes!$AC$509:$AO$510)*(R$95:R$96))</f>
        <v>0</v>
      </c>
      <c r="S194" s="81">
        <f ca="1">SUMPRODUCT((Work_Codes!$AC$506:$AO$506=$E194)*(Work_Codes!$AC$509:$AO$510)*(S$95:S$96))</f>
        <v>0</v>
      </c>
      <c r="T194" s="81">
        <f ca="1">SUMPRODUCT((Work_Codes!$AC$506:$AO$506=$E194)*(Work_Codes!$AC$509:$AO$510)*(T$95:T$96))</f>
        <v>0</v>
      </c>
    </row>
    <row r="195" spans="4:20" ht="12" customHeight="1" outlineLevel="2">
      <c r="E195" s="247" t="str">
        <f>GC!C67</f>
        <v>SCADA</v>
      </c>
      <c r="F195" s="247"/>
      <c r="G195" s="247"/>
      <c r="H195" s="247"/>
      <c r="I195" s="247"/>
      <c r="J195" s="81">
        <f ca="1">SUMPRODUCT((Work_Codes!$AC$506:$AO$506=$E195)*(Work_Codes!$AC$509:$AO$510)*(J$95:J$96))</f>
        <v>0</v>
      </c>
      <c r="K195" s="81">
        <f ca="1">SUMPRODUCT((Work_Codes!$AC$506:$AO$506=$E195)*(Work_Codes!$AC$509:$AO$510)*(K$95:K$96))</f>
        <v>0</v>
      </c>
      <c r="L195" s="81">
        <f ca="1">SUMPRODUCT((Work_Codes!$AC$506:$AO$506=$E195)*(Work_Codes!$AC$509:$AO$510)*(L$95:L$96))</f>
        <v>0</v>
      </c>
      <c r="M195" s="81">
        <f ca="1">SUMPRODUCT((Work_Codes!$AC$506:$AO$506=$E195)*(Work_Codes!$AC$509:$AO$510)*(M$95:M$96))</f>
        <v>0</v>
      </c>
      <c r="N195" s="81">
        <f ca="1">SUMPRODUCT((Work_Codes!$AC$506:$AO$506=$E195)*(Work_Codes!$AC$509:$AO$510)*(N$95:N$96))</f>
        <v>0</v>
      </c>
      <c r="O195" s="81">
        <f ca="1">SUMPRODUCT((Work_Codes!$AC$506:$AO$506=$E195)*(Work_Codes!$AC$509:$AO$510)*(O$95:O$96))</f>
        <v>0</v>
      </c>
      <c r="P195" s="81">
        <f ca="1">SUMPRODUCT((Work_Codes!$AC$506:$AO$506=$E195)*(Work_Codes!$AC$509:$AO$510)*(P$95:P$96))</f>
        <v>0</v>
      </c>
      <c r="Q195" s="81">
        <f ca="1">SUMPRODUCT((Work_Codes!$AC$506:$AO$506=$E195)*(Work_Codes!$AC$509:$AO$510)*(Q$95:Q$96))</f>
        <v>0</v>
      </c>
      <c r="R195" s="81">
        <f ca="1">SUMPRODUCT((Work_Codes!$AC$506:$AO$506=$E195)*(Work_Codes!$AC$509:$AO$510)*(R$95:R$96))</f>
        <v>0</v>
      </c>
      <c r="S195" s="81">
        <f ca="1">SUMPRODUCT((Work_Codes!$AC$506:$AO$506=$E195)*(Work_Codes!$AC$509:$AO$510)*(S$95:S$96))</f>
        <v>0</v>
      </c>
      <c r="T195" s="81">
        <f ca="1">SUMPRODUCT((Work_Codes!$AC$506:$AO$506=$E195)*(Work_Codes!$AC$509:$AO$510)*(T$95:T$96))</f>
        <v>0</v>
      </c>
    </row>
    <row r="196" spans="4:20" ht="12" customHeight="1" outlineLevel="2">
      <c r="E196" s="247" t="str">
        <f>GC!C68</f>
        <v>Other</v>
      </c>
      <c r="F196" s="247"/>
      <c r="G196" s="247"/>
      <c r="H196" s="247"/>
      <c r="I196" s="247"/>
      <c r="J196" s="81">
        <f ca="1">SUMPRODUCT((Work_Codes!$AC$506:$AO$506=$E196)*(Work_Codes!$AC$509:$AO$510)*(J$95:J$96))</f>
        <v>0</v>
      </c>
      <c r="K196" s="81">
        <f ca="1">SUMPRODUCT((Work_Codes!$AC$506:$AO$506=$E196)*(Work_Codes!$AC$509:$AO$510)*(K$95:K$96))</f>
        <v>0</v>
      </c>
      <c r="L196" s="81">
        <f ca="1">SUMPRODUCT((Work_Codes!$AC$506:$AO$506=$E196)*(Work_Codes!$AC$509:$AO$510)*(L$95:L$96))</f>
        <v>0</v>
      </c>
      <c r="M196" s="81">
        <f ca="1">SUMPRODUCT((Work_Codes!$AC$506:$AO$506=$E196)*(Work_Codes!$AC$509:$AO$510)*(M$95:M$96))</f>
        <v>0</v>
      </c>
      <c r="N196" s="81">
        <f ca="1">SUMPRODUCT((Work_Codes!$AC$506:$AO$506=$E196)*(Work_Codes!$AC$509:$AO$510)*(N$95:N$96))</f>
        <v>361092.5049599809</v>
      </c>
      <c r="O196" s="81">
        <f ca="1">SUMPRODUCT((Work_Codes!$AC$506:$AO$506=$E196)*(Work_Codes!$AC$509:$AO$510)*(O$95:O$96))</f>
        <v>252284.62045122919</v>
      </c>
      <c r="P196" s="81">
        <f ca="1">SUMPRODUCT((Work_Codes!$AC$506:$AO$506=$E196)*(Work_Codes!$AC$509:$AO$510)*(P$95:P$96))</f>
        <v>1009341.6498181245</v>
      </c>
      <c r="Q196" s="81">
        <f ca="1">SUMPRODUCT((Work_Codes!$AC$506:$AO$506=$E196)*(Work_Codes!$AC$509:$AO$510)*(Q$95:Q$96))</f>
        <v>1009659.5476695825</v>
      </c>
      <c r="R196" s="81">
        <f ca="1">SUMPRODUCT((Work_Codes!$AC$506:$AO$506=$E196)*(Work_Codes!$AC$509:$AO$510)*(R$95:R$96))</f>
        <v>1010111.8617986788</v>
      </c>
      <c r="S196" s="81">
        <f ca="1">SUMPRODUCT((Work_Codes!$AC$506:$AO$506=$E196)*(Work_Codes!$AC$509:$AO$510)*(S$95:S$96))</f>
        <v>1010569.1552044248</v>
      </c>
      <c r="T196" s="81">
        <f ca="1">SUMPRODUCT((Work_Codes!$AC$506:$AO$506=$E196)*(Work_Codes!$AC$509:$AO$510)*(T$95:T$96))</f>
        <v>1011031.4827009297</v>
      </c>
    </row>
    <row r="197" spans="4:20" outlineLevel="2">
      <c r="E197" s="247" t="str">
        <f>GC!C69</f>
        <v>Capitalised Leases</v>
      </c>
      <c r="F197" s="247"/>
      <c r="G197" s="247"/>
      <c r="H197" s="247"/>
      <c r="I197" s="247"/>
      <c r="J197" s="81">
        <f ca="1">SUMPRODUCT((Work_Codes!$AC$506:$AO$506=$E197)*(Work_Codes!$AC$509:$AO$510)*(J$95:J$96))</f>
        <v>0</v>
      </c>
      <c r="K197" s="81">
        <f ca="1">SUMPRODUCT((Work_Codes!$AC$506:$AO$506=$E197)*(Work_Codes!$AC$509:$AO$510)*(K$95:K$96))</f>
        <v>0</v>
      </c>
      <c r="L197" s="81">
        <f ca="1">SUMPRODUCT((Work_Codes!$AC$506:$AO$506=$E197)*(Work_Codes!$AC$509:$AO$510)*(L$95:L$96))</f>
        <v>0</v>
      </c>
      <c r="M197" s="81">
        <f ca="1">SUMPRODUCT((Work_Codes!$AC$506:$AO$506=$E197)*(Work_Codes!$AC$509:$AO$510)*(M$95:M$96))</f>
        <v>0</v>
      </c>
      <c r="N197" s="81">
        <f ca="1">SUMPRODUCT((Work_Codes!$AC$506:$AO$506=$E197)*(Work_Codes!$AC$509:$AO$510)*(N$95:N$96))</f>
        <v>0</v>
      </c>
      <c r="O197" s="81">
        <f ca="1">SUMPRODUCT((Work_Codes!$AC$506:$AO$506=$E197)*(Work_Codes!$AC$509:$AO$510)*(O$95:O$96))</f>
        <v>0</v>
      </c>
      <c r="P197" s="81">
        <f ca="1">SUMPRODUCT((Work_Codes!$AC$506:$AO$506=$E197)*(Work_Codes!$AC$509:$AO$510)*(P$95:P$96))</f>
        <v>0</v>
      </c>
      <c r="Q197" s="81">
        <f ca="1">SUMPRODUCT((Work_Codes!$AC$506:$AO$506=$E197)*(Work_Codes!$AC$509:$AO$510)*(Q$95:Q$96))</f>
        <v>0</v>
      </c>
      <c r="R197" s="81">
        <f ca="1">SUMPRODUCT((Work_Codes!$AC$506:$AO$506=$E197)*(Work_Codes!$AC$509:$AO$510)*(R$95:R$96))</f>
        <v>0</v>
      </c>
      <c r="S197" s="81">
        <f ca="1">SUMPRODUCT((Work_Codes!$AC$506:$AO$506=$E197)*(Work_Codes!$AC$509:$AO$510)*(S$95:S$96))</f>
        <v>0</v>
      </c>
      <c r="T197" s="81">
        <f ca="1">SUMPRODUCT((Work_Codes!$AC$506:$AO$506=$E197)*(Work_Codes!$AC$509:$AO$510)*(T$95:T$96))</f>
        <v>0</v>
      </c>
    </row>
    <row r="198" spans="4:20" ht="12" customHeight="1" outlineLevel="2">
      <c r="E198" s="247" t="str">
        <f>GC!C70</f>
        <v>Gas Extensions - Energy for the Regions</v>
      </c>
      <c r="F198" s="247"/>
      <c r="G198" s="247"/>
      <c r="H198" s="247"/>
      <c r="I198" s="247"/>
      <c r="J198" s="81">
        <f ca="1">SUMPRODUCT((Work_Codes!$AC$506:$AO$506=$E198)*(Work_Codes!$AC$509:$AO$510)*(J$95:J$96))</f>
        <v>0</v>
      </c>
      <c r="K198" s="81">
        <f ca="1">SUMPRODUCT((Work_Codes!$AC$506:$AO$506=$E198)*(Work_Codes!$AC$509:$AO$510)*(K$95:K$96))</f>
        <v>0</v>
      </c>
      <c r="L198" s="81">
        <f ca="1">SUMPRODUCT((Work_Codes!$AC$506:$AO$506=$E198)*(Work_Codes!$AC$509:$AO$510)*(L$95:L$96))</f>
        <v>0</v>
      </c>
      <c r="M198" s="81">
        <f ca="1">SUMPRODUCT((Work_Codes!$AC$506:$AO$506=$E198)*(Work_Codes!$AC$509:$AO$510)*(M$95:M$96))</f>
        <v>0</v>
      </c>
      <c r="N198" s="81">
        <f ca="1">SUMPRODUCT((Work_Codes!$AC$506:$AO$506=$E198)*(Work_Codes!$AC$509:$AO$510)*(N$95:N$96))</f>
        <v>0</v>
      </c>
      <c r="O198" s="81">
        <f ca="1">SUMPRODUCT((Work_Codes!$AC$506:$AO$506=$E198)*(Work_Codes!$AC$509:$AO$510)*(O$95:O$96))</f>
        <v>0</v>
      </c>
      <c r="P198" s="81">
        <f ca="1">SUMPRODUCT((Work_Codes!$AC$506:$AO$506=$E198)*(Work_Codes!$AC$509:$AO$510)*(P$95:P$96))</f>
        <v>0</v>
      </c>
      <c r="Q198" s="81">
        <f ca="1">SUMPRODUCT((Work_Codes!$AC$506:$AO$506=$E198)*(Work_Codes!$AC$509:$AO$510)*(Q$95:Q$96))</f>
        <v>0</v>
      </c>
      <c r="R198" s="81">
        <f ca="1">SUMPRODUCT((Work_Codes!$AC$506:$AO$506=$E198)*(Work_Codes!$AC$509:$AO$510)*(R$95:R$96))</f>
        <v>0</v>
      </c>
      <c r="S198" s="81">
        <f ca="1">SUMPRODUCT((Work_Codes!$AC$506:$AO$506=$E198)*(Work_Codes!$AC$509:$AO$510)*(S$95:S$96))</f>
        <v>0</v>
      </c>
      <c r="T198" s="81">
        <f ca="1">SUMPRODUCT((Work_Codes!$AC$506:$AO$506=$E198)*(Work_Codes!$AC$509:$AO$510)*(T$95:T$96))</f>
        <v>0</v>
      </c>
    </row>
    <row r="199" spans="4:20" ht="12" customHeight="1" outlineLevel="2">
      <c r="E199" s="247" t="str">
        <f>GC!C71</f>
        <v>Gas Extensions - Other</v>
      </c>
      <c r="F199" s="247"/>
      <c r="G199" s="247"/>
      <c r="H199" s="247"/>
      <c r="I199" s="247"/>
      <c r="J199" s="81">
        <f ca="1">SUMPRODUCT((Work_Codes!$AC$506:$AO$506=$E199)*(Work_Codes!$AC$509:$AO$510)*(J$95:J$96))</f>
        <v>0</v>
      </c>
      <c r="K199" s="81">
        <f ca="1">SUMPRODUCT((Work_Codes!$AC$506:$AO$506=$E199)*(Work_Codes!$AC$509:$AO$510)*(K$95:K$96))</f>
        <v>0</v>
      </c>
      <c r="L199" s="81">
        <f ca="1">SUMPRODUCT((Work_Codes!$AC$506:$AO$506=$E199)*(Work_Codes!$AC$509:$AO$510)*(L$95:L$96))</f>
        <v>0</v>
      </c>
      <c r="M199" s="81">
        <f ca="1">SUMPRODUCT((Work_Codes!$AC$506:$AO$506=$E199)*(Work_Codes!$AC$509:$AO$510)*(M$95:M$96))</f>
        <v>0</v>
      </c>
      <c r="N199" s="81">
        <f ca="1">SUMPRODUCT((Work_Codes!$AC$506:$AO$506=$E199)*(Work_Codes!$AC$509:$AO$510)*(N$95:N$96))</f>
        <v>0</v>
      </c>
      <c r="O199" s="81">
        <f ca="1">SUMPRODUCT((Work_Codes!$AC$506:$AO$506=$E199)*(Work_Codes!$AC$509:$AO$510)*(O$95:O$96))</f>
        <v>0</v>
      </c>
      <c r="P199" s="81">
        <f ca="1">SUMPRODUCT((Work_Codes!$AC$506:$AO$506=$E199)*(Work_Codes!$AC$509:$AO$510)*(P$95:P$96))</f>
        <v>0</v>
      </c>
      <c r="Q199" s="81">
        <f ca="1">SUMPRODUCT((Work_Codes!$AC$506:$AO$506=$E199)*(Work_Codes!$AC$509:$AO$510)*(Q$95:Q$96))</f>
        <v>0</v>
      </c>
      <c r="R199" s="81">
        <f ca="1">SUMPRODUCT((Work_Codes!$AC$506:$AO$506=$E199)*(Work_Codes!$AC$509:$AO$510)*(R$95:R$96))</f>
        <v>0</v>
      </c>
      <c r="S199" s="81">
        <f ca="1">SUMPRODUCT((Work_Codes!$AC$506:$AO$506=$E199)*(Work_Codes!$AC$509:$AO$510)*(S$95:S$96))</f>
        <v>0</v>
      </c>
      <c r="T199" s="81">
        <f ca="1">SUMPRODUCT((Work_Codes!$AC$506:$AO$506=$E199)*(Work_Codes!$AC$509:$AO$510)*(T$95:T$96))</f>
        <v>0</v>
      </c>
    </row>
    <row r="200" spans="4:20" ht="12" customHeight="1" outlineLevel="2">
      <c r="E200" s="247" t="str">
        <f>GC!C72</f>
        <v>Customer contributions</v>
      </c>
      <c r="F200" s="247"/>
      <c r="G200" s="247"/>
      <c r="H200" s="247"/>
      <c r="I200" s="247"/>
      <c r="J200" s="81">
        <f ca="1">SUMPRODUCT((Work_Codes!$AC$506:$AO$506=$E200)*(Work_Codes!$AC$509:$AO$510)*(J$95:J$96))</f>
        <v>0</v>
      </c>
      <c r="K200" s="81">
        <f ca="1">SUMPRODUCT((Work_Codes!$AC$506:$AO$506=$E200)*(Work_Codes!$AC$509:$AO$510)*(K$95:K$96))</f>
        <v>0</v>
      </c>
      <c r="L200" s="81">
        <f ca="1">SUMPRODUCT((Work_Codes!$AC$506:$AO$506=$E200)*(Work_Codes!$AC$509:$AO$510)*(L$95:L$96))</f>
        <v>0</v>
      </c>
      <c r="M200" s="81">
        <f ca="1">SUMPRODUCT((Work_Codes!$AC$506:$AO$506=$E200)*(Work_Codes!$AC$509:$AO$510)*(M$95:M$96))</f>
        <v>0</v>
      </c>
      <c r="N200" s="81">
        <f ca="1">SUMPRODUCT((Work_Codes!$AC$506:$AO$506=$E200)*(Work_Codes!$AC$509:$AO$510)*(N$95:N$96))</f>
        <v>0</v>
      </c>
      <c r="O200" s="81">
        <f ca="1">SUMPRODUCT((Work_Codes!$AC$506:$AO$506=$E200)*(Work_Codes!$AC$509:$AO$510)*(O$95:O$96))</f>
        <v>0</v>
      </c>
      <c r="P200" s="81">
        <f ca="1">SUMPRODUCT((Work_Codes!$AC$506:$AO$506=$E200)*(Work_Codes!$AC$509:$AO$510)*(P$95:P$96))</f>
        <v>0</v>
      </c>
      <c r="Q200" s="81">
        <f ca="1">SUMPRODUCT((Work_Codes!$AC$506:$AO$506=$E200)*(Work_Codes!$AC$509:$AO$510)*(Q$95:Q$96))</f>
        <v>0</v>
      </c>
      <c r="R200" s="81">
        <f ca="1">SUMPRODUCT((Work_Codes!$AC$506:$AO$506=$E200)*(Work_Codes!$AC$509:$AO$510)*(R$95:R$96))</f>
        <v>0</v>
      </c>
      <c r="S200" s="81">
        <f ca="1">SUMPRODUCT((Work_Codes!$AC$506:$AO$506=$E200)*(Work_Codes!$AC$509:$AO$510)*(S$95:S$96))</f>
        <v>0</v>
      </c>
      <c r="T200" s="81">
        <f ca="1">SUMPRODUCT((Work_Codes!$AC$506:$AO$506=$E200)*(Work_Codes!$AC$509:$AO$510)*(T$95:T$96))</f>
        <v>0</v>
      </c>
    </row>
    <row r="201" spans="4:20" ht="12" customHeight="1" outlineLevel="2">
      <c r="E201" s="247" t="str">
        <f>GC!C73</f>
        <v>Government contributions</v>
      </c>
      <c r="F201" s="247"/>
      <c r="G201" s="247"/>
      <c r="H201" s="247"/>
      <c r="I201" s="247"/>
      <c r="J201" s="81">
        <f ca="1">SUMPRODUCT((Work_Codes!$AC$506:$AO$506=$E201)*(Work_Codes!$AC$509:$AO$510)*(J$95:J$96))</f>
        <v>0</v>
      </c>
      <c r="K201" s="81">
        <f ca="1">SUMPRODUCT((Work_Codes!$AC$506:$AO$506=$E201)*(Work_Codes!$AC$509:$AO$510)*(K$95:K$96))</f>
        <v>0</v>
      </c>
      <c r="L201" s="81">
        <f ca="1">SUMPRODUCT((Work_Codes!$AC$506:$AO$506=$E201)*(Work_Codes!$AC$509:$AO$510)*(L$95:L$96))</f>
        <v>0</v>
      </c>
      <c r="M201" s="81">
        <f ca="1">SUMPRODUCT((Work_Codes!$AC$506:$AO$506=$E201)*(Work_Codes!$AC$509:$AO$510)*(M$95:M$96))</f>
        <v>0</v>
      </c>
      <c r="N201" s="81">
        <f ca="1">SUMPRODUCT((Work_Codes!$AC$506:$AO$506=$E201)*(Work_Codes!$AC$509:$AO$510)*(N$95:N$96))</f>
        <v>0</v>
      </c>
      <c r="O201" s="81">
        <f ca="1">SUMPRODUCT((Work_Codes!$AC$506:$AO$506=$E201)*(Work_Codes!$AC$509:$AO$510)*(O$95:O$96))</f>
        <v>0</v>
      </c>
      <c r="P201" s="81">
        <f ca="1">SUMPRODUCT((Work_Codes!$AC$506:$AO$506=$E201)*(Work_Codes!$AC$509:$AO$510)*(P$95:P$96))</f>
        <v>0</v>
      </c>
      <c r="Q201" s="81">
        <f ca="1">SUMPRODUCT((Work_Codes!$AC$506:$AO$506=$E201)*(Work_Codes!$AC$509:$AO$510)*(Q$95:Q$96))</f>
        <v>0</v>
      </c>
      <c r="R201" s="81">
        <f ca="1">SUMPRODUCT((Work_Codes!$AC$506:$AO$506=$E201)*(Work_Codes!$AC$509:$AO$510)*(R$95:R$96))</f>
        <v>0</v>
      </c>
      <c r="S201" s="81">
        <f ca="1">SUMPRODUCT((Work_Codes!$AC$506:$AO$506=$E201)*(Work_Codes!$AC$509:$AO$510)*(S$95:S$96))</f>
        <v>0</v>
      </c>
      <c r="T201" s="81">
        <f ca="1">SUMPRODUCT((Work_Codes!$AC$506:$AO$506=$E201)*(Work_Codes!$AC$509:$AO$510)*(T$95:T$96))</f>
        <v>0</v>
      </c>
    </row>
    <row r="202" spans="4:20" ht="12" customHeight="1" outlineLevel="2">
      <c r="E202" s="249" t="str">
        <f>"Total "&amp;D186</f>
        <v>Total Direct Costs</v>
      </c>
      <c r="F202" s="249"/>
      <c r="G202" s="249"/>
      <c r="H202" s="249"/>
      <c r="I202" s="249"/>
      <c r="J202" s="82">
        <f t="shared" ref="J202:T202" ca="1" si="22">SUM(J188:J201)</f>
        <v>0</v>
      </c>
      <c r="K202" s="82">
        <f t="shared" ca="1" si="22"/>
        <v>0</v>
      </c>
      <c r="L202" s="82">
        <f t="shared" ca="1" si="22"/>
        <v>0</v>
      </c>
      <c r="M202" s="82">
        <f t="shared" ca="1" si="22"/>
        <v>0</v>
      </c>
      <c r="N202" s="82">
        <f t="shared" ca="1" si="22"/>
        <v>361092.5049599809</v>
      </c>
      <c r="O202" s="82">
        <f t="shared" ca="1" si="22"/>
        <v>252284.62045122919</v>
      </c>
      <c r="P202" s="82">
        <f t="shared" ca="1" si="22"/>
        <v>1009341.6498181245</v>
      </c>
      <c r="Q202" s="82">
        <f t="shared" ca="1" si="22"/>
        <v>1009659.5476695825</v>
      </c>
      <c r="R202" s="82">
        <f t="shared" ca="1" si="22"/>
        <v>1010111.8617986788</v>
      </c>
      <c r="S202" s="82">
        <f t="shared" ca="1" si="22"/>
        <v>1010569.1552044248</v>
      </c>
      <c r="T202" s="82">
        <f t="shared" ca="1" si="22"/>
        <v>1011031.4827009297</v>
      </c>
    </row>
    <row r="203" spans="4:20" outlineLevel="2"/>
    <row r="204" spans="4:20" outlineLevel="2">
      <c r="D204" s="37" t="s">
        <v>216</v>
      </c>
    </row>
    <row r="205" spans="4:20" ht="5.9" customHeight="1" outlineLevel="2"/>
    <row r="206" spans="4:20" ht="12" customHeight="1" outlineLevel="2">
      <c r="E206" s="247" t="str">
        <f>GC!C60</f>
        <v>Mains replacement</v>
      </c>
      <c r="F206" s="247"/>
      <c r="G206" s="247"/>
      <c r="H206" s="247"/>
      <c r="I206" s="247"/>
      <c r="J206" s="81">
        <f ca="1">J188*(1+INDEX(J$35:J$37,MATCH(Work_Codes!$I$503,$D$35:$D$37,0)))</f>
        <v>0</v>
      </c>
      <c r="K206" s="81">
        <f ca="1">K188*(1+INDEX(K$35:K$37,MATCH(Work_Codes!$I$503,$D$35:$D$37,0)))</f>
        <v>0</v>
      </c>
      <c r="L206" s="81">
        <f ca="1">L188*(1+INDEX(L$35:L$37,MATCH(Work_Codes!$I$503,$D$35:$D$37,0)))</f>
        <v>0</v>
      </c>
      <c r="M206" s="81">
        <f ca="1">M188*(1+INDEX(M$35:M$37,MATCH(Work_Codes!$I$503,$D$35:$D$37,0)))</f>
        <v>0</v>
      </c>
      <c r="N206" s="81">
        <f ca="1">N188*(1+INDEX(N$35:N$37,MATCH(Work_Codes!$I$503,$D$35:$D$37,0)))</f>
        <v>0</v>
      </c>
      <c r="O206" s="81">
        <f ca="1">O188*(1+INDEX(O$35:O$37,MATCH(Work_Codes!$I$503,$D$35:$D$37,0)))</f>
        <v>0</v>
      </c>
      <c r="P206" s="81">
        <f ca="1">P188*(1+INDEX(P$35:P$37,MATCH(Work_Codes!$I$503,$D$35:$D$37,0)))</f>
        <v>0</v>
      </c>
      <c r="Q206" s="81">
        <f ca="1">Q188*(1+INDEX(Q$35:Q$37,MATCH(Work_Codes!$I$503,$D$35:$D$37,0)))</f>
        <v>0</v>
      </c>
      <c r="R206" s="81">
        <f ca="1">R188*(1+INDEX(R$35:R$37,MATCH(Work_Codes!$I$503,$D$35:$D$37,0)))</f>
        <v>0</v>
      </c>
      <c r="S206" s="81">
        <f ca="1">S188*(1+INDEX(S$35:S$37,MATCH(Work_Codes!$I$503,$D$35:$D$37,0)))</f>
        <v>0</v>
      </c>
      <c r="T206" s="81">
        <f ca="1">T188*(1+INDEX(T$35:T$37,MATCH(Work_Codes!$I$503,$D$35:$D$37,0)))</f>
        <v>0</v>
      </c>
    </row>
    <row r="207" spans="4:20" ht="12" customHeight="1" outlineLevel="2">
      <c r="E207" s="247" t="str">
        <f>GC!C61</f>
        <v>Residential new customer connections</v>
      </c>
      <c r="F207" s="247"/>
      <c r="G207" s="247"/>
      <c r="H207" s="247"/>
      <c r="I207" s="247"/>
      <c r="J207" s="81">
        <f ca="1">J189*(1+INDEX(J$35:J$37,MATCH(Work_Codes!$I$503,$D$35:$D$37,0)))</f>
        <v>0</v>
      </c>
      <c r="K207" s="81">
        <f ca="1">K189*(1+INDEX(K$35:K$37,MATCH(Work_Codes!$I$503,$D$35:$D$37,0)))</f>
        <v>0</v>
      </c>
      <c r="L207" s="81">
        <f ca="1">L189*(1+INDEX(L$35:L$37,MATCH(Work_Codes!$I$503,$D$35:$D$37,0)))</f>
        <v>0</v>
      </c>
      <c r="M207" s="81">
        <f ca="1">M189*(1+INDEX(M$35:M$37,MATCH(Work_Codes!$I$503,$D$35:$D$37,0)))</f>
        <v>0</v>
      </c>
      <c r="N207" s="81">
        <f ca="1">N189*(1+INDEX(N$35:N$37,MATCH(Work_Codes!$I$503,$D$35:$D$37,0)))</f>
        <v>0</v>
      </c>
      <c r="O207" s="81">
        <f ca="1">O189*(1+INDEX(O$35:O$37,MATCH(Work_Codes!$I$503,$D$35:$D$37,0)))</f>
        <v>0</v>
      </c>
      <c r="P207" s="81">
        <f ca="1">P189*(1+INDEX(P$35:P$37,MATCH(Work_Codes!$I$503,$D$35:$D$37,0)))</f>
        <v>0</v>
      </c>
      <c r="Q207" s="81">
        <f ca="1">Q189*(1+INDEX(Q$35:Q$37,MATCH(Work_Codes!$I$503,$D$35:$D$37,0)))</f>
        <v>0</v>
      </c>
      <c r="R207" s="81">
        <f ca="1">R189*(1+INDEX(R$35:R$37,MATCH(Work_Codes!$I$503,$D$35:$D$37,0)))</f>
        <v>0</v>
      </c>
      <c r="S207" s="81">
        <f ca="1">S189*(1+INDEX(S$35:S$37,MATCH(Work_Codes!$I$503,$D$35:$D$37,0)))</f>
        <v>0</v>
      </c>
      <c r="T207" s="81">
        <f ca="1">T189*(1+INDEX(T$35:T$37,MATCH(Work_Codes!$I$503,$D$35:$D$37,0)))</f>
        <v>0</v>
      </c>
    </row>
    <row r="208" spans="4:20" ht="12" customHeight="1" outlineLevel="2">
      <c r="E208" s="247" t="str">
        <f>GC!C62</f>
        <v>Commercial and industrial new customer connections</v>
      </c>
      <c r="F208" s="247"/>
      <c r="G208" s="247"/>
      <c r="H208" s="247"/>
      <c r="I208" s="247"/>
      <c r="J208" s="81">
        <f ca="1">J190*(1+INDEX(J$35:J$37,MATCH(Work_Codes!$I$503,$D$35:$D$37,0)))</f>
        <v>0</v>
      </c>
      <c r="K208" s="81">
        <f ca="1">K190*(1+INDEX(K$35:K$37,MATCH(Work_Codes!$I$503,$D$35:$D$37,0)))</f>
        <v>0</v>
      </c>
      <c r="L208" s="81">
        <f ca="1">L190*(1+INDEX(L$35:L$37,MATCH(Work_Codes!$I$503,$D$35:$D$37,0)))</f>
        <v>0</v>
      </c>
      <c r="M208" s="81">
        <f ca="1">M190*(1+INDEX(M$35:M$37,MATCH(Work_Codes!$I$503,$D$35:$D$37,0)))</f>
        <v>0</v>
      </c>
      <c r="N208" s="81">
        <f ca="1">N190*(1+INDEX(N$35:N$37,MATCH(Work_Codes!$I$503,$D$35:$D$37,0)))</f>
        <v>0</v>
      </c>
      <c r="O208" s="81">
        <f ca="1">O190*(1+INDEX(O$35:O$37,MATCH(Work_Codes!$I$503,$D$35:$D$37,0)))</f>
        <v>0</v>
      </c>
      <c r="P208" s="81">
        <f ca="1">P190*(1+INDEX(P$35:P$37,MATCH(Work_Codes!$I$503,$D$35:$D$37,0)))</f>
        <v>0</v>
      </c>
      <c r="Q208" s="81">
        <f ca="1">Q190*(1+INDEX(Q$35:Q$37,MATCH(Work_Codes!$I$503,$D$35:$D$37,0)))</f>
        <v>0</v>
      </c>
      <c r="R208" s="81">
        <f ca="1">R190*(1+INDEX(R$35:R$37,MATCH(Work_Codes!$I$503,$D$35:$D$37,0)))</f>
        <v>0</v>
      </c>
      <c r="S208" s="81">
        <f ca="1">S190*(1+INDEX(S$35:S$37,MATCH(Work_Codes!$I$503,$D$35:$D$37,0)))</f>
        <v>0</v>
      </c>
      <c r="T208" s="81">
        <f ca="1">T190*(1+INDEX(T$35:T$37,MATCH(Work_Codes!$I$503,$D$35:$D$37,0)))</f>
        <v>0</v>
      </c>
    </row>
    <row r="209" spans="4:20" ht="12" customHeight="1" outlineLevel="2">
      <c r="E209" s="247" t="str">
        <f>GC!C63</f>
        <v>Residential meter replacement</v>
      </c>
      <c r="F209" s="247"/>
      <c r="G209" s="247"/>
      <c r="H209" s="247"/>
      <c r="I209" s="247"/>
      <c r="J209" s="81">
        <f ca="1">J191*(1+INDEX(J$35:J$37,MATCH(Work_Codes!$I$503,$D$35:$D$37,0)))</f>
        <v>0</v>
      </c>
      <c r="K209" s="81">
        <f ca="1">K191*(1+INDEX(K$35:K$37,MATCH(Work_Codes!$I$503,$D$35:$D$37,0)))</f>
        <v>0</v>
      </c>
      <c r="L209" s="81">
        <f ca="1">L191*(1+INDEX(L$35:L$37,MATCH(Work_Codes!$I$503,$D$35:$D$37,0)))</f>
        <v>0</v>
      </c>
      <c r="M209" s="81">
        <f ca="1">M191*(1+INDEX(M$35:M$37,MATCH(Work_Codes!$I$503,$D$35:$D$37,0)))</f>
        <v>0</v>
      </c>
      <c r="N209" s="81">
        <f ca="1">N191*(1+INDEX(N$35:N$37,MATCH(Work_Codes!$I$503,$D$35:$D$37,0)))</f>
        <v>0</v>
      </c>
      <c r="O209" s="81">
        <f ca="1">O191*(1+INDEX(O$35:O$37,MATCH(Work_Codes!$I$503,$D$35:$D$37,0)))</f>
        <v>0</v>
      </c>
      <c r="P209" s="81">
        <f ca="1">P191*(1+INDEX(P$35:P$37,MATCH(Work_Codes!$I$503,$D$35:$D$37,0)))</f>
        <v>0</v>
      </c>
      <c r="Q209" s="81">
        <f ca="1">Q191*(1+INDEX(Q$35:Q$37,MATCH(Work_Codes!$I$503,$D$35:$D$37,0)))</f>
        <v>0</v>
      </c>
      <c r="R209" s="81">
        <f ca="1">R191*(1+INDEX(R$35:R$37,MATCH(Work_Codes!$I$503,$D$35:$D$37,0)))</f>
        <v>0</v>
      </c>
      <c r="S209" s="81">
        <f ca="1">S191*(1+INDEX(S$35:S$37,MATCH(Work_Codes!$I$503,$D$35:$D$37,0)))</f>
        <v>0</v>
      </c>
      <c r="T209" s="81">
        <f ca="1">T191*(1+INDEX(T$35:T$37,MATCH(Work_Codes!$I$503,$D$35:$D$37,0)))</f>
        <v>0</v>
      </c>
    </row>
    <row r="210" spans="4:20" ht="12" customHeight="1" outlineLevel="2">
      <c r="E210" s="247" t="str">
        <f>GC!C64</f>
        <v>Commercial and industrial meter replacement</v>
      </c>
      <c r="F210" s="247"/>
      <c r="G210" s="247"/>
      <c r="H210" s="247"/>
      <c r="I210" s="247"/>
      <c r="J210" s="81">
        <f ca="1">J192*(1+INDEX(J$35:J$37,MATCH(Work_Codes!$I$503,$D$35:$D$37,0)))</f>
        <v>0</v>
      </c>
      <c r="K210" s="81">
        <f ca="1">K192*(1+INDEX(K$35:K$37,MATCH(Work_Codes!$I$503,$D$35:$D$37,0)))</f>
        <v>0</v>
      </c>
      <c r="L210" s="81">
        <f ca="1">L192*(1+INDEX(L$35:L$37,MATCH(Work_Codes!$I$503,$D$35:$D$37,0)))</f>
        <v>0</v>
      </c>
      <c r="M210" s="81">
        <f ca="1">M192*(1+INDEX(M$35:M$37,MATCH(Work_Codes!$I$503,$D$35:$D$37,0)))</f>
        <v>0</v>
      </c>
      <c r="N210" s="81">
        <f ca="1">N192*(1+INDEX(N$35:N$37,MATCH(Work_Codes!$I$503,$D$35:$D$37,0)))</f>
        <v>0</v>
      </c>
      <c r="O210" s="81">
        <f ca="1">O192*(1+INDEX(O$35:O$37,MATCH(Work_Codes!$I$503,$D$35:$D$37,0)))</f>
        <v>0</v>
      </c>
      <c r="P210" s="81">
        <f ca="1">P192*(1+INDEX(P$35:P$37,MATCH(Work_Codes!$I$503,$D$35:$D$37,0)))</f>
        <v>0</v>
      </c>
      <c r="Q210" s="81">
        <f ca="1">Q192*(1+INDEX(Q$35:Q$37,MATCH(Work_Codes!$I$503,$D$35:$D$37,0)))</f>
        <v>0</v>
      </c>
      <c r="R210" s="81">
        <f ca="1">R192*(1+INDEX(R$35:R$37,MATCH(Work_Codes!$I$503,$D$35:$D$37,0)))</f>
        <v>0</v>
      </c>
      <c r="S210" s="81">
        <f ca="1">S192*(1+INDEX(S$35:S$37,MATCH(Work_Codes!$I$503,$D$35:$D$37,0)))</f>
        <v>0</v>
      </c>
      <c r="T210" s="81">
        <f ca="1">T192*(1+INDEX(T$35:T$37,MATCH(Work_Codes!$I$503,$D$35:$D$37,0)))</f>
        <v>0</v>
      </c>
    </row>
    <row r="211" spans="4:20" ht="12" customHeight="1" outlineLevel="2">
      <c r="E211" s="247" t="str">
        <f>GC!C65</f>
        <v>Augmentation</v>
      </c>
      <c r="F211" s="247"/>
      <c r="G211" s="247"/>
      <c r="H211" s="247"/>
      <c r="I211" s="247"/>
      <c r="J211" s="81">
        <f ca="1">J193*(1+INDEX(J$35:J$37,MATCH(Work_Codes!$I$503,$D$35:$D$37,0)))</f>
        <v>0</v>
      </c>
      <c r="K211" s="81">
        <f ca="1">K193*(1+INDEX(K$35:K$37,MATCH(Work_Codes!$I$503,$D$35:$D$37,0)))</f>
        <v>0</v>
      </c>
      <c r="L211" s="81">
        <f ca="1">L193*(1+INDEX(L$35:L$37,MATCH(Work_Codes!$I$503,$D$35:$D$37,0)))</f>
        <v>0</v>
      </c>
      <c r="M211" s="81">
        <f ca="1">M193*(1+INDEX(M$35:M$37,MATCH(Work_Codes!$I$503,$D$35:$D$37,0)))</f>
        <v>0</v>
      </c>
      <c r="N211" s="81">
        <f ca="1">N193*(1+INDEX(N$35:N$37,MATCH(Work_Codes!$I$503,$D$35:$D$37,0)))</f>
        <v>0</v>
      </c>
      <c r="O211" s="81">
        <f ca="1">O193*(1+INDEX(O$35:O$37,MATCH(Work_Codes!$I$503,$D$35:$D$37,0)))</f>
        <v>0</v>
      </c>
      <c r="P211" s="81">
        <f ca="1">P193*(1+INDEX(P$35:P$37,MATCH(Work_Codes!$I$503,$D$35:$D$37,0)))</f>
        <v>0</v>
      </c>
      <c r="Q211" s="81">
        <f ca="1">Q193*(1+INDEX(Q$35:Q$37,MATCH(Work_Codes!$I$503,$D$35:$D$37,0)))</f>
        <v>0</v>
      </c>
      <c r="R211" s="81">
        <f ca="1">R193*(1+INDEX(R$35:R$37,MATCH(Work_Codes!$I$503,$D$35:$D$37,0)))</f>
        <v>0</v>
      </c>
      <c r="S211" s="81">
        <f ca="1">S193*(1+INDEX(S$35:S$37,MATCH(Work_Codes!$I$503,$D$35:$D$37,0)))</f>
        <v>0</v>
      </c>
      <c r="T211" s="81">
        <f ca="1">T193*(1+INDEX(T$35:T$37,MATCH(Work_Codes!$I$503,$D$35:$D$37,0)))</f>
        <v>0</v>
      </c>
    </row>
    <row r="212" spans="4:20" ht="12" customHeight="1" outlineLevel="2">
      <c r="E212" s="247" t="str">
        <f>GC!C66</f>
        <v>IT capex</v>
      </c>
      <c r="F212" s="247"/>
      <c r="G212" s="247"/>
      <c r="H212" s="247"/>
      <c r="I212" s="247"/>
      <c r="J212" s="81">
        <f ca="1">J194*(1+INDEX(J$35:J$37,MATCH(Work_Codes!$I$503,$D$35:$D$37,0)))</f>
        <v>0</v>
      </c>
      <c r="K212" s="81">
        <f ca="1">K194*(1+INDEX(K$35:K$37,MATCH(Work_Codes!$I$503,$D$35:$D$37,0)))</f>
        <v>0</v>
      </c>
      <c r="L212" s="81">
        <f ca="1">L194*(1+INDEX(L$35:L$37,MATCH(Work_Codes!$I$503,$D$35:$D$37,0)))</f>
        <v>0</v>
      </c>
      <c r="M212" s="81">
        <f ca="1">M194*(1+INDEX(M$35:M$37,MATCH(Work_Codes!$I$503,$D$35:$D$37,0)))</f>
        <v>0</v>
      </c>
      <c r="N212" s="81">
        <f ca="1">N194*(1+INDEX(N$35:N$37,MATCH(Work_Codes!$I$503,$D$35:$D$37,0)))</f>
        <v>0</v>
      </c>
      <c r="O212" s="81">
        <f ca="1">O194*(1+INDEX(O$35:O$37,MATCH(Work_Codes!$I$503,$D$35:$D$37,0)))</f>
        <v>0</v>
      </c>
      <c r="P212" s="81">
        <f ca="1">P194*(1+INDEX(P$35:P$37,MATCH(Work_Codes!$I$503,$D$35:$D$37,0)))</f>
        <v>0</v>
      </c>
      <c r="Q212" s="81">
        <f ca="1">Q194*(1+INDEX(Q$35:Q$37,MATCH(Work_Codes!$I$503,$D$35:$D$37,0)))</f>
        <v>0</v>
      </c>
      <c r="R212" s="81">
        <f ca="1">R194*(1+INDEX(R$35:R$37,MATCH(Work_Codes!$I$503,$D$35:$D$37,0)))</f>
        <v>0</v>
      </c>
      <c r="S212" s="81">
        <f ca="1">S194*(1+INDEX(S$35:S$37,MATCH(Work_Codes!$I$503,$D$35:$D$37,0)))</f>
        <v>0</v>
      </c>
      <c r="T212" s="81">
        <f ca="1">T194*(1+INDEX(T$35:T$37,MATCH(Work_Codes!$I$503,$D$35:$D$37,0)))</f>
        <v>0</v>
      </c>
    </row>
    <row r="213" spans="4:20" ht="12" customHeight="1" outlineLevel="2">
      <c r="E213" s="247" t="str">
        <f>GC!C67</f>
        <v>SCADA</v>
      </c>
      <c r="F213" s="247"/>
      <c r="G213" s="247"/>
      <c r="H213" s="247"/>
      <c r="I213" s="247"/>
      <c r="J213" s="81">
        <f ca="1">J195*(1+INDEX(J$35:J$37,MATCH(Work_Codes!$I$503,$D$35:$D$37,0)))</f>
        <v>0</v>
      </c>
      <c r="K213" s="81">
        <f ca="1">K195*(1+INDEX(K$35:K$37,MATCH(Work_Codes!$I$503,$D$35:$D$37,0)))</f>
        <v>0</v>
      </c>
      <c r="L213" s="81">
        <f ca="1">L195*(1+INDEX(L$35:L$37,MATCH(Work_Codes!$I$503,$D$35:$D$37,0)))</f>
        <v>0</v>
      </c>
      <c r="M213" s="81">
        <f ca="1">M195*(1+INDEX(M$35:M$37,MATCH(Work_Codes!$I$503,$D$35:$D$37,0)))</f>
        <v>0</v>
      </c>
      <c r="N213" s="81">
        <f ca="1">N195*(1+INDEX(N$35:N$37,MATCH(Work_Codes!$I$503,$D$35:$D$37,0)))</f>
        <v>0</v>
      </c>
      <c r="O213" s="81">
        <f ca="1">O195*(1+INDEX(O$35:O$37,MATCH(Work_Codes!$I$503,$D$35:$D$37,0)))</f>
        <v>0</v>
      </c>
      <c r="P213" s="81">
        <f ca="1">P195*(1+INDEX(P$35:P$37,MATCH(Work_Codes!$I$503,$D$35:$D$37,0)))</f>
        <v>0</v>
      </c>
      <c r="Q213" s="81">
        <f ca="1">Q195*(1+INDEX(Q$35:Q$37,MATCH(Work_Codes!$I$503,$D$35:$D$37,0)))</f>
        <v>0</v>
      </c>
      <c r="R213" s="81">
        <f ca="1">R195*(1+INDEX(R$35:R$37,MATCH(Work_Codes!$I$503,$D$35:$D$37,0)))</f>
        <v>0</v>
      </c>
      <c r="S213" s="81">
        <f ca="1">S195*(1+INDEX(S$35:S$37,MATCH(Work_Codes!$I$503,$D$35:$D$37,0)))</f>
        <v>0</v>
      </c>
      <c r="T213" s="81">
        <f ca="1">T195*(1+INDEX(T$35:T$37,MATCH(Work_Codes!$I$503,$D$35:$D$37,0)))</f>
        <v>0</v>
      </c>
    </row>
    <row r="214" spans="4:20" ht="12" customHeight="1" outlineLevel="2">
      <c r="E214" s="247" t="str">
        <f>GC!C68</f>
        <v>Other</v>
      </c>
      <c r="F214" s="247"/>
      <c r="G214" s="247"/>
      <c r="H214" s="247"/>
      <c r="I214" s="247"/>
      <c r="J214" s="81">
        <f ca="1">J196*(1+INDEX(J$35:J$37,MATCH(Work_Codes!$I$503,$D$35:$D$37,0)))</f>
        <v>0</v>
      </c>
      <c r="K214" s="81">
        <f ca="1">K196*(1+INDEX(K$35:K$37,MATCH(Work_Codes!$I$503,$D$35:$D$37,0)))</f>
        <v>0</v>
      </c>
      <c r="L214" s="81">
        <f ca="1">L196*(1+INDEX(L$35:L$37,MATCH(Work_Codes!$I$503,$D$35:$D$37,0)))</f>
        <v>0</v>
      </c>
      <c r="M214" s="81">
        <f ca="1">M196*(1+INDEX(M$35:M$37,MATCH(Work_Codes!$I$503,$D$35:$D$37,0)))</f>
        <v>0</v>
      </c>
      <c r="N214" s="81">
        <f ca="1">N196*(1+INDEX(N$35:N$37,MATCH(Work_Codes!$I$503,$D$35:$D$37,0)))</f>
        <v>361092.5049599809</v>
      </c>
      <c r="O214" s="81">
        <f ca="1">O196*(1+INDEX(O$35:O$37,MATCH(Work_Codes!$I$503,$D$35:$D$37,0)))</f>
        <v>252284.62045122919</v>
      </c>
      <c r="P214" s="81">
        <f ca="1">P196*(1+INDEX(P$35:P$37,MATCH(Work_Codes!$I$503,$D$35:$D$37,0)))</f>
        <v>1009341.6498181245</v>
      </c>
      <c r="Q214" s="81">
        <f ca="1">Q196*(1+INDEX(Q$35:Q$37,MATCH(Work_Codes!$I$503,$D$35:$D$37,0)))</f>
        <v>1009659.5476695825</v>
      </c>
      <c r="R214" s="81">
        <f ca="1">R196*(1+INDEX(R$35:R$37,MATCH(Work_Codes!$I$503,$D$35:$D$37,0)))</f>
        <v>1010111.8617986788</v>
      </c>
      <c r="S214" s="81">
        <f ca="1">S196*(1+INDEX(S$35:S$37,MATCH(Work_Codes!$I$503,$D$35:$D$37,0)))</f>
        <v>1010569.1552044248</v>
      </c>
      <c r="T214" s="81">
        <f ca="1">T196*(1+INDEX(T$35:T$37,MATCH(Work_Codes!$I$503,$D$35:$D$37,0)))</f>
        <v>1011031.4827009297</v>
      </c>
    </row>
    <row r="215" spans="4:20" outlineLevel="2">
      <c r="E215" s="247" t="str">
        <f>GC!C69</f>
        <v>Capitalised Leases</v>
      </c>
      <c r="F215" s="247"/>
      <c r="G215" s="247"/>
      <c r="H215" s="247"/>
      <c r="I215" s="247"/>
      <c r="J215" s="81">
        <f ca="1">J197*(1+INDEX(J$35:J$37,MATCH(Work_Codes!$I$503,$D$35:$D$37,0)))</f>
        <v>0</v>
      </c>
      <c r="K215" s="81">
        <f ca="1">K197*(1+INDEX(K$35:K$37,MATCH(Work_Codes!$I$503,$D$35:$D$37,0)))</f>
        <v>0</v>
      </c>
      <c r="L215" s="81">
        <f ca="1">L197*(1+INDEX(L$35:L$37,MATCH(Work_Codes!$I$503,$D$35:$D$37,0)))</f>
        <v>0</v>
      </c>
      <c r="M215" s="81">
        <f ca="1">M197*(1+INDEX(M$35:M$37,MATCH(Work_Codes!$I$503,$D$35:$D$37,0)))</f>
        <v>0</v>
      </c>
      <c r="N215" s="81">
        <f ca="1">N197*(1+INDEX(N$35:N$37,MATCH(Work_Codes!$I$503,$D$35:$D$37,0)))</f>
        <v>0</v>
      </c>
      <c r="O215" s="81">
        <f ca="1">O197*(1+INDEX(O$35:O$37,MATCH(Work_Codes!$I$503,$D$35:$D$37,0)))</f>
        <v>0</v>
      </c>
      <c r="P215" s="81">
        <f ca="1">P197*(1+INDEX(P$35:P$37,MATCH(Work_Codes!$I$503,$D$35:$D$37,0)))</f>
        <v>0</v>
      </c>
      <c r="Q215" s="81">
        <f ca="1">Q197*(1+INDEX(Q$35:Q$37,MATCH(Work_Codes!$I$503,$D$35:$D$37,0)))</f>
        <v>0</v>
      </c>
      <c r="R215" s="81">
        <f ca="1">R197*(1+INDEX(R$35:R$37,MATCH(Work_Codes!$I$503,$D$35:$D$37,0)))</f>
        <v>0</v>
      </c>
      <c r="S215" s="81">
        <f ca="1">S197*(1+INDEX(S$35:S$37,MATCH(Work_Codes!$I$503,$D$35:$D$37,0)))</f>
        <v>0</v>
      </c>
      <c r="T215" s="81">
        <f ca="1">T197*(1+INDEX(T$35:T$37,MATCH(Work_Codes!$I$503,$D$35:$D$37,0)))</f>
        <v>0</v>
      </c>
    </row>
    <row r="216" spans="4:20" ht="12" customHeight="1" outlineLevel="2">
      <c r="E216" s="247" t="str">
        <f>GC!C70</f>
        <v>Gas Extensions - Energy for the Regions</v>
      </c>
      <c r="F216" s="247"/>
      <c r="G216" s="247"/>
      <c r="H216" s="247"/>
      <c r="I216" s="247"/>
      <c r="J216" s="81">
        <f ca="1">J198*(1+INDEX(J$35:J$37,MATCH(Work_Codes!$I$503,$D$35:$D$37,0)))</f>
        <v>0</v>
      </c>
      <c r="K216" s="81">
        <f ca="1">K198*(1+INDEX(K$35:K$37,MATCH(Work_Codes!$I$503,$D$35:$D$37,0)))</f>
        <v>0</v>
      </c>
      <c r="L216" s="81">
        <f ca="1">L198*(1+INDEX(L$35:L$37,MATCH(Work_Codes!$I$503,$D$35:$D$37,0)))</f>
        <v>0</v>
      </c>
      <c r="M216" s="81">
        <f ca="1">M198*(1+INDEX(M$35:M$37,MATCH(Work_Codes!$I$503,$D$35:$D$37,0)))</f>
        <v>0</v>
      </c>
      <c r="N216" s="81">
        <f ca="1">N198*(1+INDEX(N$35:N$37,MATCH(Work_Codes!$I$503,$D$35:$D$37,0)))</f>
        <v>0</v>
      </c>
      <c r="O216" s="81">
        <f ca="1">O198*(1+INDEX(O$35:O$37,MATCH(Work_Codes!$I$503,$D$35:$D$37,0)))</f>
        <v>0</v>
      </c>
      <c r="P216" s="81">
        <f ca="1">P198*(1+INDEX(P$35:P$37,MATCH(Work_Codes!$I$503,$D$35:$D$37,0)))</f>
        <v>0</v>
      </c>
      <c r="Q216" s="81">
        <f ca="1">Q198*(1+INDEX(Q$35:Q$37,MATCH(Work_Codes!$I$503,$D$35:$D$37,0)))</f>
        <v>0</v>
      </c>
      <c r="R216" s="81">
        <f ca="1">R198*(1+INDEX(R$35:R$37,MATCH(Work_Codes!$I$503,$D$35:$D$37,0)))</f>
        <v>0</v>
      </c>
      <c r="S216" s="81">
        <f ca="1">S198*(1+INDEX(S$35:S$37,MATCH(Work_Codes!$I$503,$D$35:$D$37,0)))</f>
        <v>0</v>
      </c>
      <c r="T216" s="81">
        <f ca="1">T198*(1+INDEX(T$35:T$37,MATCH(Work_Codes!$I$503,$D$35:$D$37,0)))</f>
        <v>0</v>
      </c>
    </row>
    <row r="217" spans="4:20" ht="12" customHeight="1" outlineLevel="2">
      <c r="E217" s="247" t="str">
        <f>GC!C71</f>
        <v>Gas Extensions - Other</v>
      </c>
      <c r="F217" s="247"/>
      <c r="G217" s="247"/>
      <c r="H217" s="247"/>
      <c r="I217" s="247"/>
      <c r="J217" s="81">
        <f ca="1">J199*(1+INDEX(J$35:J$37,MATCH(Work_Codes!$I$503,$D$35:$D$37,0)))</f>
        <v>0</v>
      </c>
      <c r="K217" s="81">
        <f ca="1">K199*(1+INDEX(K$35:K$37,MATCH(Work_Codes!$I$503,$D$35:$D$37,0)))</f>
        <v>0</v>
      </c>
      <c r="L217" s="81">
        <f ca="1">L199*(1+INDEX(L$35:L$37,MATCH(Work_Codes!$I$503,$D$35:$D$37,0)))</f>
        <v>0</v>
      </c>
      <c r="M217" s="81">
        <f ca="1">M199*(1+INDEX(M$35:M$37,MATCH(Work_Codes!$I$503,$D$35:$D$37,0)))</f>
        <v>0</v>
      </c>
      <c r="N217" s="81">
        <f ca="1">N199*(1+INDEX(N$35:N$37,MATCH(Work_Codes!$I$503,$D$35:$D$37,0)))</f>
        <v>0</v>
      </c>
      <c r="O217" s="81">
        <f ca="1">O199*(1+INDEX(O$35:O$37,MATCH(Work_Codes!$I$503,$D$35:$D$37,0)))</f>
        <v>0</v>
      </c>
      <c r="P217" s="81">
        <f ca="1">P199*(1+INDEX(P$35:P$37,MATCH(Work_Codes!$I$503,$D$35:$D$37,0)))</f>
        <v>0</v>
      </c>
      <c r="Q217" s="81">
        <f ca="1">Q199*(1+INDEX(Q$35:Q$37,MATCH(Work_Codes!$I$503,$D$35:$D$37,0)))</f>
        <v>0</v>
      </c>
      <c r="R217" s="81">
        <f ca="1">R199*(1+INDEX(R$35:R$37,MATCH(Work_Codes!$I$503,$D$35:$D$37,0)))</f>
        <v>0</v>
      </c>
      <c r="S217" s="81">
        <f ca="1">S199*(1+INDEX(S$35:S$37,MATCH(Work_Codes!$I$503,$D$35:$D$37,0)))</f>
        <v>0</v>
      </c>
      <c r="T217" s="81">
        <f ca="1">T199*(1+INDEX(T$35:T$37,MATCH(Work_Codes!$I$503,$D$35:$D$37,0)))</f>
        <v>0</v>
      </c>
    </row>
    <row r="218" spans="4:20" ht="12" customHeight="1" outlineLevel="2">
      <c r="E218" s="247" t="str">
        <f>GC!C72</f>
        <v>Customer contributions</v>
      </c>
      <c r="F218" s="247"/>
      <c r="G218" s="247"/>
      <c r="H218" s="247"/>
      <c r="I218" s="247"/>
      <c r="J218" s="81">
        <f ca="1">J200*(1+INDEX(J$35:J$37,MATCH(Work_Codes!$I$503,$D$35:$D$37,0)))</f>
        <v>0</v>
      </c>
      <c r="K218" s="81">
        <f ca="1">K200*(1+INDEX(K$35:K$37,MATCH(Work_Codes!$I$503,$D$35:$D$37,0)))</f>
        <v>0</v>
      </c>
      <c r="L218" s="81">
        <f ca="1">L200*(1+INDEX(L$35:L$37,MATCH(Work_Codes!$I$503,$D$35:$D$37,0)))</f>
        <v>0</v>
      </c>
      <c r="M218" s="81">
        <f ca="1">M200*(1+INDEX(M$35:M$37,MATCH(Work_Codes!$I$503,$D$35:$D$37,0)))</f>
        <v>0</v>
      </c>
      <c r="N218" s="81">
        <f ca="1">N200*(1+INDEX(N$35:N$37,MATCH(Work_Codes!$I$503,$D$35:$D$37,0)))</f>
        <v>0</v>
      </c>
      <c r="O218" s="81">
        <f ca="1">O200*(1+INDEX(O$35:O$37,MATCH(Work_Codes!$I$503,$D$35:$D$37,0)))</f>
        <v>0</v>
      </c>
      <c r="P218" s="81">
        <f ca="1">P200*(1+INDEX(P$35:P$37,MATCH(Work_Codes!$I$503,$D$35:$D$37,0)))</f>
        <v>0</v>
      </c>
      <c r="Q218" s="81">
        <f ca="1">Q200*(1+INDEX(Q$35:Q$37,MATCH(Work_Codes!$I$503,$D$35:$D$37,0)))</f>
        <v>0</v>
      </c>
      <c r="R218" s="81">
        <f ca="1">R200*(1+INDEX(R$35:R$37,MATCH(Work_Codes!$I$503,$D$35:$D$37,0)))</f>
        <v>0</v>
      </c>
      <c r="S218" s="81">
        <f ca="1">S200*(1+INDEX(S$35:S$37,MATCH(Work_Codes!$I$503,$D$35:$D$37,0)))</f>
        <v>0</v>
      </c>
      <c r="T218" s="81">
        <f ca="1">T200*(1+INDEX(T$35:T$37,MATCH(Work_Codes!$I$503,$D$35:$D$37,0)))</f>
        <v>0</v>
      </c>
    </row>
    <row r="219" spans="4:20" ht="12" customHeight="1" outlineLevel="2">
      <c r="E219" s="247" t="str">
        <f>GC!C73</f>
        <v>Government contributions</v>
      </c>
      <c r="F219" s="247"/>
      <c r="G219" s="247"/>
      <c r="H219" s="247"/>
      <c r="I219" s="247"/>
      <c r="J219" s="81">
        <f ca="1">J201*(1+INDEX(J$35:J$37,MATCH(Work_Codes!$I$503,$D$35:$D$37,0)))</f>
        <v>0</v>
      </c>
      <c r="K219" s="81">
        <f ca="1">K201*(1+INDEX(K$35:K$37,MATCH(Work_Codes!$I$503,$D$35:$D$37,0)))</f>
        <v>0</v>
      </c>
      <c r="L219" s="81">
        <f ca="1">L201*(1+INDEX(L$35:L$37,MATCH(Work_Codes!$I$503,$D$35:$D$37,0)))</f>
        <v>0</v>
      </c>
      <c r="M219" s="81">
        <f ca="1">M201*(1+INDEX(M$35:M$37,MATCH(Work_Codes!$I$503,$D$35:$D$37,0)))</f>
        <v>0</v>
      </c>
      <c r="N219" s="81">
        <f ca="1">N201*(1+INDEX(N$35:N$37,MATCH(Work_Codes!$I$503,$D$35:$D$37,0)))</f>
        <v>0</v>
      </c>
      <c r="O219" s="81">
        <f ca="1">O201*(1+INDEX(O$35:O$37,MATCH(Work_Codes!$I$503,$D$35:$D$37,0)))</f>
        <v>0</v>
      </c>
      <c r="P219" s="81">
        <f ca="1">P201*(1+INDEX(P$35:P$37,MATCH(Work_Codes!$I$503,$D$35:$D$37,0)))</f>
        <v>0</v>
      </c>
      <c r="Q219" s="81">
        <f ca="1">Q201*(1+INDEX(Q$35:Q$37,MATCH(Work_Codes!$I$503,$D$35:$D$37,0)))</f>
        <v>0</v>
      </c>
      <c r="R219" s="81">
        <f ca="1">R201*(1+INDEX(R$35:R$37,MATCH(Work_Codes!$I$503,$D$35:$D$37,0)))</f>
        <v>0</v>
      </c>
      <c r="S219" s="81">
        <f ca="1">S201*(1+INDEX(S$35:S$37,MATCH(Work_Codes!$I$503,$D$35:$D$37,0)))</f>
        <v>0</v>
      </c>
      <c r="T219" s="81">
        <f ca="1">T201*(1+INDEX(T$35:T$37,MATCH(Work_Codes!$I$503,$D$35:$D$37,0)))</f>
        <v>0</v>
      </c>
    </row>
    <row r="220" spans="4:20" ht="12" customHeight="1" outlineLevel="2">
      <c r="E220" s="249" t="str">
        <f>"Total "&amp;D204</f>
        <v>Total Direct Costs + Overheads</v>
      </c>
      <c r="F220" s="249"/>
      <c r="G220" s="249"/>
      <c r="H220" s="249"/>
      <c r="I220" s="249"/>
      <c r="J220" s="82">
        <f t="shared" ref="J220:T220" ca="1" si="23">SUM(J206:J219)</f>
        <v>0</v>
      </c>
      <c r="K220" s="82">
        <f t="shared" ca="1" si="23"/>
        <v>0</v>
      </c>
      <c r="L220" s="82">
        <f t="shared" ca="1" si="23"/>
        <v>0</v>
      </c>
      <c r="M220" s="82">
        <f t="shared" ca="1" si="23"/>
        <v>0</v>
      </c>
      <c r="N220" s="82">
        <f t="shared" ca="1" si="23"/>
        <v>361092.5049599809</v>
      </c>
      <c r="O220" s="82">
        <f t="shared" ca="1" si="23"/>
        <v>252284.62045122919</v>
      </c>
      <c r="P220" s="82">
        <f t="shared" ca="1" si="23"/>
        <v>1009341.6498181245</v>
      </c>
      <c r="Q220" s="82">
        <f t="shared" ca="1" si="23"/>
        <v>1009659.5476695825</v>
      </c>
      <c r="R220" s="82">
        <f t="shared" ca="1" si="23"/>
        <v>1010111.8617986788</v>
      </c>
      <c r="S220" s="82">
        <f t="shared" ca="1" si="23"/>
        <v>1010569.1552044248</v>
      </c>
      <c r="T220" s="82">
        <f t="shared" ca="1" si="23"/>
        <v>1011031.4827009297</v>
      </c>
    </row>
    <row r="221" spans="4:20" outlineLevel="2"/>
    <row r="222" spans="4:20" outlineLevel="2">
      <c r="D222" s="37" t="s">
        <v>367</v>
      </c>
    </row>
    <row r="223" spans="4:20" ht="5.75" customHeight="1" outlineLevel="2"/>
    <row r="224" spans="4:20" outlineLevel="2">
      <c r="E224" s="247" t="str">
        <f>GC!C60</f>
        <v>Mains replacement</v>
      </c>
      <c r="F224" s="247"/>
      <c r="G224" s="247"/>
      <c r="H224" s="247"/>
      <c r="I224" s="247"/>
      <c r="J224" s="81">
        <f ca="1">SUMPRODUCT((Work_Codes!$AC$506:$AO$506=$E224)*(Work_Codes!$AC$514:$AO$514)*(J$65:J$65))</f>
        <v>0</v>
      </c>
      <c r="K224" s="81">
        <f ca="1">SUMPRODUCT((Work_Codes!$AC$506:$AO$506=$E224)*(Work_Codes!$AC$514:$AO$514)*(K$65:K$65))</f>
        <v>0</v>
      </c>
      <c r="L224" s="81">
        <f ca="1">SUMPRODUCT((Work_Codes!$AC$506:$AO$506=$E224)*(Work_Codes!$AC$514:$AO$514)*(L$65:L$65))</f>
        <v>0</v>
      </c>
      <c r="M224" s="81">
        <f ca="1">SUMPRODUCT((Work_Codes!$AC$506:$AO$506=$E224)*(Work_Codes!$AC$514:$AO$514)*(M$65:M$65))</f>
        <v>0</v>
      </c>
      <c r="N224" s="81">
        <f ca="1">SUMPRODUCT((Work_Codes!$AC$506:$AO$506=$E224)*(Work_Codes!$AC$514:$AO$514)*(N$65:N$65))</f>
        <v>0</v>
      </c>
      <c r="O224" s="81">
        <f ca="1">SUMPRODUCT((Work_Codes!$AC$506:$AO$506=$E224)*(Work_Codes!$AC$514:$AO$514)*(O$65:O$65))</f>
        <v>0</v>
      </c>
      <c r="P224" s="81">
        <f ca="1">SUMPRODUCT((Work_Codes!$AC$506:$AO$506=$E224)*(Work_Codes!$AC$514:$AO$514)*(P$65:P$65))</f>
        <v>0</v>
      </c>
      <c r="Q224" s="81">
        <f ca="1">SUMPRODUCT((Work_Codes!$AC$506:$AO$506=$E224)*(Work_Codes!$AC$514:$AO$514)*(Q$65:Q$65))</f>
        <v>0</v>
      </c>
      <c r="R224" s="81">
        <f ca="1">SUMPRODUCT((Work_Codes!$AC$506:$AO$506=$E224)*(Work_Codes!$AC$514:$AO$514)*(R$65:R$65))</f>
        <v>0</v>
      </c>
      <c r="S224" s="81">
        <f ca="1">SUMPRODUCT((Work_Codes!$AC$506:$AO$506=$E224)*(Work_Codes!$AC$514:$AO$514)*(S$65:S$65))</f>
        <v>0</v>
      </c>
      <c r="T224" s="81">
        <f ca="1">SUMPRODUCT((Work_Codes!$AC$506:$AO$506=$E224)*(Work_Codes!$AC$514:$AO$514)*(T$65:T$65))</f>
        <v>0</v>
      </c>
    </row>
    <row r="225" spans="2:20" outlineLevel="2">
      <c r="E225" s="247" t="str">
        <f>GC!C61</f>
        <v>Residential new customer connections</v>
      </c>
      <c r="F225" s="247"/>
      <c r="G225" s="247"/>
      <c r="H225" s="247"/>
      <c r="I225" s="247"/>
      <c r="J225" s="81">
        <f ca="1">SUMPRODUCT((Work_Codes!$AC$506:$AO$506=$E225)*(Work_Codes!$AC$514:$AO$514)*(J$65:J$65))</f>
        <v>0</v>
      </c>
      <c r="K225" s="81">
        <f ca="1">SUMPRODUCT((Work_Codes!$AC$506:$AO$506=$E225)*(Work_Codes!$AC$514:$AO$514)*(K$65:K$65))</f>
        <v>0</v>
      </c>
      <c r="L225" s="81">
        <f ca="1">SUMPRODUCT((Work_Codes!$AC$506:$AO$506=$E225)*(Work_Codes!$AC$514:$AO$514)*(L$65:L$65))</f>
        <v>0</v>
      </c>
      <c r="M225" s="81">
        <f ca="1">SUMPRODUCT((Work_Codes!$AC$506:$AO$506=$E225)*(Work_Codes!$AC$514:$AO$514)*(M$65:M$65))</f>
        <v>0</v>
      </c>
      <c r="N225" s="81">
        <f ca="1">SUMPRODUCT((Work_Codes!$AC$506:$AO$506=$E225)*(Work_Codes!$AC$514:$AO$514)*(N$65:N$65))</f>
        <v>0</v>
      </c>
      <c r="O225" s="81">
        <f ca="1">SUMPRODUCT((Work_Codes!$AC$506:$AO$506=$E225)*(Work_Codes!$AC$514:$AO$514)*(O$65:O$65))</f>
        <v>0</v>
      </c>
      <c r="P225" s="81">
        <f ca="1">SUMPRODUCT((Work_Codes!$AC$506:$AO$506=$E225)*(Work_Codes!$AC$514:$AO$514)*(P$65:P$65))</f>
        <v>0</v>
      </c>
      <c r="Q225" s="81">
        <f ca="1">SUMPRODUCT((Work_Codes!$AC$506:$AO$506=$E225)*(Work_Codes!$AC$514:$AO$514)*(Q$65:Q$65))</f>
        <v>0</v>
      </c>
      <c r="R225" s="81">
        <f ca="1">SUMPRODUCT((Work_Codes!$AC$506:$AO$506=$E225)*(Work_Codes!$AC$514:$AO$514)*(R$65:R$65))</f>
        <v>0</v>
      </c>
      <c r="S225" s="81">
        <f ca="1">SUMPRODUCT((Work_Codes!$AC$506:$AO$506=$E225)*(Work_Codes!$AC$514:$AO$514)*(S$65:S$65))</f>
        <v>0</v>
      </c>
      <c r="T225" s="81">
        <f ca="1">SUMPRODUCT((Work_Codes!$AC$506:$AO$506=$E225)*(Work_Codes!$AC$514:$AO$514)*(T$65:T$65))</f>
        <v>0</v>
      </c>
    </row>
    <row r="226" spans="2:20" outlineLevel="2">
      <c r="E226" s="247" t="str">
        <f>GC!C62</f>
        <v>Commercial and industrial new customer connections</v>
      </c>
      <c r="F226" s="247"/>
      <c r="G226" s="247"/>
      <c r="H226" s="247"/>
      <c r="I226" s="247"/>
      <c r="J226" s="81">
        <f ca="1">SUMPRODUCT((Work_Codes!$AC$506:$AO$506=$E226)*(Work_Codes!$AC$514:$AO$514)*(J$65:J$65))</f>
        <v>0</v>
      </c>
      <c r="K226" s="81">
        <f ca="1">SUMPRODUCT((Work_Codes!$AC$506:$AO$506=$E226)*(Work_Codes!$AC$514:$AO$514)*(K$65:K$65))</f>
        <v>0</v>
      </c>
      <c r="L226" s="81">
        <f ca="1">SUMPRODUCT((Work_Codes!$AC$506:$AO$506=$E226)*(Work_Codes!$AC$514:$AO$514)*(L$65:L$65))</f>
        <v>0</v>
      </c>
      <c r="M226" s="81">
        <f ca="1">SUMPRODUCT((Work_Codes!$AC$506:$AO$506=$E226)*(Work_Codes!$AC$514:$AO$514)*(M$65:M$65))</f>
        <v>0</v>
      </c>
      <c r="N226" s="81">
        <f ca="1">SUMPRODUCT((Work_Codes!$AC$506:$AO$506=$E226)*(Work_Codes!$AC$514:$AO$514)*(N$65:N$65))</f>
        <v>0</v>
      </c>
      <c r="O226" s="81">
        <f ca="1">SUMPRODUCT((Work_Codes!$AC$506:$AO$506=$E226)*(Work_Codes!$AC$514:$AO$514)*(O$65:O$65))</f>
        <v>0</v>
      </c>
      <c r="P226" s="81">
        <f ca="1">SUMPRODUCT((Work_Codes!$AC$506:$AO$506=$E226)*(Work_Codes!$AC$514:$AO$514)*(P$65:P$65))</f>
        <v>0</v>
      </c>
      <c r="Q226" s="81">
        <f ca="1">SUMPRODUCT((Work_Codes!$AC$506:$AO$506=$E226)*(Work_Codes!$AC$514:$AO$514)*(Q$65:Q$65))</f>
        <v>0</v>
      </c>
      <c r="R226" s="81">
        <f ca="1">SUMPRODUCT((Work_Codes!$AC$506:$AO$506=$E226)*(Work_Codes!$AC$514:$AO$514)*(R$65:R$65))</f>
        <v>0</v>
      </c>
      <c r="S226" s="81">
        <f ca="1">SUMPRODUCT((Work_Codes!$AC$506:$AO$506=$E226)*(Work_Codes!$AC$514:$AO$514)*(S$65:S$65))</f>
        <v>0</v>
      </c>
      <c r="T226" s="81">
        <f ca="1">SUMPRODUCT((Work_Codes!$AC$506:$AO$506=$E226)*(Work_Codes!$AC$514:$AO$514)*(T$65:T$65))</f>
        <v>0</v>
      </c>
    </row>
    <row r="227" spans="2:20" outlineLevel="2">
      <c r="E227" s="247" t="str">
        <f>GC!C63</f>
        <v>Residential meter replacement</v>
      </c>
      <c r="F227" s="247"/>
      <c r="G227" s="247"/>
      <c r="H227" s="247"/>
      <c r="I227" s="247"/>
      <c r="J227" s="81">
        <f ca="1">SUMPRODUCT((Work_Codes!$AC$506:$AO$506=$E227)*(Work_Codes!$AC$514:$AO$514)*(J$65:J$65))</f>
        <v>0</v>
      </c>
      <c r="K227" s="81">
        <f ca="1">SUMPRODUCT((Work_Codes!$AC$506:$AO$506=$E227)*(Work_Codes!$AC$514:$AO$514)*(K$65:K$65))</f>
        <v>0</v>
      </c>
      <c r="L227" s="81">
        <f ca="1">SUMPRODUCT((Work_Codes!$AC$506:$AO$506=$E227)*(Work_Codes!$AC$514:$AO$514)*(L$65:L$65))</f>
        <v>0</v>
      </c>
      <c r="M227" s="81">
        <f ca="1">SUMPRODUCT((Work_Codes!$AC$506:$AO$506=$E227)*(Work_Codes!$AC$514:$AO$514)*(M$65:M$65))</f>
        <v>0</v>
      </c>
      <c r="N227" s="81">
        <f ca="1">SUMPRODUCT((Work_Codes!$AC$506:$AO$506=$E227)*(Work_Codes!$AC$514:$AO$514)*(N$65:N$65))</f>
        <v>0</v>
      </c>
      <c r="O227" s="81">
        <f ca="1">SUMPRODUCT((Work_Codes!$AC$506:$AO$506=$E227)*(Work_Codes!$AC$514:$AO$514)*(O$65:O$65))</f>
        <v>0</v>
      </c>
      <c r="P227" s="81">
        <f ca="1">SUMPRODUCT((Work_Codes!$AC$506:$AO$506=$E227)*(Work_Codes!$AC$514:$AO$514)*(P$65:P$65))</f>
        <v>0</v>
      </c>
      <c r="Q227" s="81">
        <f ca="1">SUMPRODUCT((Work_Codes!$AC$506:$AO$506=$E227)*(Work_Codes!$AC$514:$AO$514)*(Q$65:Q$65))</f>
        <v>0</v>
      </c>
      <c r="R227" s="81">
        <f ca="1">SUMPRODUCT((Work_Codes!$AC$506:$AO$506=$E227)*(Work_Codes!$AC$514:$AO$514)*(R$65:R$65))</f>
        <v>0</v>
      </c>
      <c r="S227" s="81">
        <f ca="1">SUMPRODUCT((Work_Codes!$AC$506:$AO$506=$E227)*(Work_Codes!$AC$514:$AO$514)*(S$65:S$65))</f>
        <v>0</v>
      </c>
      <c r="T227" s="81">
        <f ca="1">SUMPRODUCT((Work_Codes!$AC$506:$AO$506=$E227)*(Work_Codes!$AC$514:$AO$514)*(T$65:T$65))</f>
        <v>0</v>
      </c>
    </row>
    <row r="228" spans="2:20" outlineLevel="2">
      <c r="E228" s="247" t="str">
        <f>GC!C64</f>
        <v>Commercial and industrial meter replacement</v>
      </c>
      <c r="F228" s="247"/>
      <c r="G228" s="247"/>
      <c r="H228" s="247"/>
      <c r="I228" s="247"/>
      <c r="J228" s="81">
        <f ca="1">SUMPRODUCT((Work_Codes!$AC$506:$AO$506=$E228)*(Work_Codes!$AC$514:$AO$514)*(J$65:J$65))</f>
        <v>0</v>
      </c>
      <c r="K228" s="81">
        <f ca="1">SUMPRODUCT((Work_Codes!$AC$506:$AO$506=$E228)*(Work_Codes!$AC$514:$AO$514)*(K$65:K$65))</f>
        <v>0</v>
      </c>
      <c r="L228" s="81">
        <f ca="1">SUMPRODUCT((Work_Codes!$AC$506:$AO$506=$E228)*(Work_Codes!$AC$514:$AO$514)*(L$65:L$65))</f>
        <v>0</v>
      </c>
      <c r="M228" s="81">
        <f ca="1">SUMPRODUCT((Work_Codes!$AC$506:$AO$506=$E228)*(Work_Codes!$AC$514:$AO$514)*(M$65:M$65))</f>
        <v>0</v>
      </c>
      <c r="N228" s="81">
        <f ca="1">SUMPRODUCT((Work_Codes!$AC$506:$AO$506=$E228)*(Work_Codes!$AC$514:$AO$514)*(N$65:N$65))</f>
        <v>0</v>
      </c>
      <c r="O228" s="81">
        <f ca="1">SUMPRODUCT((Work_Codes!$AC$506:$AO$506=$E228)*(Work_Codes!$AC$514:$AO$514)*(O$65:O$65))</f>
        <v>0</v>
      </c>
      <c r="P228" s="81">
        <f ca="1">SUMPRODUCT((Work_Codes!$AC$506:$AO$506=$E228)*(Work_Codes!$AC$514:$AO$514)*(P$65:P$65))</f>
        <v>0</v>
      </c>
      <c r="Q228" s="81">
        <f ca="1">SUMPRODUCT((Work_Codes!$AC$506:$AO$506=$E228)*(Work_Codes!$AC$514:$AO$514)*(Q$65:Q$65))</f>
        <v>0</v>
      </c>
      <c r="R228" s="81">
        <f ca="1">SUMPRODUCT((Work_Codes!$AC$506:$AO$506=$E228)*(Work_Codes!$AC$514:$AO$514)*(R$65:R$65))</f>
        <v>0</v>
      </c>
      <c r="S228" s="81">
        <f ca="1">SUMPRODUCT((Work_Codes!$AC$506:$AO$506=$E228)*(Work_Codes!$AC$514:$AO$514)*(S$65:S$65))</f>
        <v>0</v>
      </c>
      <c r="T228" s="81">
        <f ca="1">SUMPRODUCT((Work_Codes!$AC$506:$AO$506=$E228)*(Work_Codes!$AC$514:$AO$514)*(T$65:T$65))</f>
        <v>0</v>
      </c>
    </row>
    <row r="229" spans="2:20" outlineLevel="2">
      <c r="E229" s="247" t="str">
        <f>GC!C65</f>
        <v>Augmentation</v>
      </c>
      <c r="F229" s="247"/>
      <c r="G229" s="247"/>
      <c r="H229" s="247"/>
      <c r="I229" s="247"/>
      <c r="J229" s="81">
        <f ca="1">SUMPRODUCT((Work_Codes!$AC$506:$AO$506=$E229)*(Work_Codes!$AC$514:$AO$514)*(J$65:J$65))</f>
        <v>0</v>
      </c>
      <c r="K229" s="81">
        <f ca="1">SUMPRODUCT((Work_Codes!$AC$506:$AO$506=$E229)*(Work_Codes!$AC$514:$AO$514)*(K$65:K$65))</f>
        <v>0</v>
      </c>
      <c r="L229" s="81">
        <f ca="1">SUMPRODUCT((Work_Codes!$AC$506:$AO$506=$E229)*(Work_Codes!$AC$514:$AO$514)*(L$65:L$65))</f>
        <v>0</v>
      </c>
      <c r="M229" s="81">
        <f ca="1">SUMPRODUCT((Work_Codes!$AC$506:$AO$506=$E229)*(Work_Codes!$AC$514:$AO$514)*(M$65:M$65))</f>
        <v>0</v>
      </c>
      <c r="N229" s="81">
        <f ca="1">SUMPRODUCT((Work_Codes!$AC$506:$AO$506=$E229)*(Work_Codes!$AC$514:$AO$514)*(N$65:N$65))</f>
        <v>0</v>
      </c>
      <c r="O229" s="81">
        <f ca="1">SUMPRODUCT((Work_Codes!$AC$506:$AO$506=$E229)*(Work_Codes!$AC$514:$AO$514)*(O$65:O$65))</f>
        <v>0</v>
      </c>
      <c r="P229" s="81">
        <f ca="1">SUMPRODUCT((Work_Codes!$AC$506:$AO$506=$E229)*(Work_Codes!$AC$514:$AO$514)*(P$65:P$65))</f>
        <v>0</v>
      </c>
      <c r="Q229" s="81">
        <f ca="1">SUMPRODUCT((Work_Codes!$AC$506:$AO$506=$E229)*(Work_Codes!$AC$514:$AO$514)*(Q$65:Q$65))</f>
        <v>0</v>
      </c>
      <c r="R229" s="81">
        <f ca="1">SUMPRODUCT((Work_Codes!$AC$506:$AO$506=$E229)*(Work_Codes!$AC$514:$AO$514)*(R$65:R$65))</f>
        <v>0</v>
      </c>
      <c r="S229" s="81">
        <f ca="1">SUMPRODUCT((Work_Codes!$AC$506:$AO$506=$E229)*(Work_Codes!$AC$514:$AO$514)*(S$65:S$65))</f>
        <v>0</v>
      </c>
      <c r="T229" s="81">
        <f ca="1">SUMPRODUCT((Work_Codes!$AC$506:$AO$506=$E229)*(Work_Codes!$AC$514:$AO$514)*(T$65:T$65))</f>
        <v>0</v>
      </c>
    </row>
    <row r="230" spans="2:20" outlineLevel="2">
      <c r="E230" s="247" t="str">
        <f>GC!C66</f>
        <v>IT capex</v>
      </c>
      <c r="F230" s="247"/>
      <c r="G230" s="247"/>
      <c r="H230" s="247"/>
      <c r="I230" s="247"/>
      <c r="J230" s="81">
        <f ca="1">SUMPRODUCT((Work_Codes!$AC$506:$AO$506=$E230)*(Work_Codes!$AC$514:$AO$514)*(J$65:J$65))</f>
        <v>0</v>
      </c>
      <c r="K230" s="81">
        <f ca="1">SUMPRODUCT((Work_Codes!$AC$506:$AO$506=$E230)*(Work_Codes!$AC$514:$AO$514)*(K$65:K$65))</f>
        <v>0</v>
      </c>
      <c r="L230" s="81">
        <f ca="1">SUMPRODUCT((Work_Codes!$AC$506:$AO$506=$E230)*(Work_Codes!$AC$514:$AO$514)*(L$65:L$65))</f>
        <v>0</v>
      </c>
      <c r="M230" s="81">
        <f ca="1">SUMPRODUCT((Work_Codes!$AC$506:$AO$506=$E230)*(Work_Codes!$AC$514:$AO$514)*(M$65:M$65))</f>
        <v>0</v>
      </c>
      <c r="N230" s="81">
        <f ca="1">SUMPRODUCT((Work_Codes!$AC$506:$AO$506=$E230)*(Work_Codes!$AC$514:$AO$514)*(N$65:N$65))</f>
        <v>0</v>
      </c>
      <c r="O230" s="81">
        <f ca="1">SUMPRODUCT((Work_Codes!$AC$506:$AO$506=$E230)*(Work_Codes!$AC$514:$AO$514)*(O$65:O$65))</f>
        <v>0</v>
      </c>
      <c r="P230" s="81">
        <f ca="1">SUMPRODUCT((Work_Codes!$AC$506:$AO$506=$E230)*(Work_Codes!$AC$514:$AO$514)*(P$65:P$65))</f>
        <v>0</v>
      </c>
      <c r="Q230" s="81">
        <f ca="1">SUMPRODUCT((Work_Codes!$AC$506:$AO$506=$E230)*(Work_Codes!$AC$514:$AO$514)*(Q$65:Q$65))</f>
        <v>0</v>
      </c>
      <c r="R230" s="81">
        <f ca="1">SUMPRODUCT((Work_Codes!$AC$506:$AO$506=$E230)*(Work_Codes!$AC$514:$AO$514)*(R$65:R$65))</f>
        <v>0</v>
      </c>
      <c r="S230" s="81">
        <f ca="1">SUMPRODUCT((Work_Codes!$AC$506:$AO$506=$E230)*(Work_Codes!$AC$514:$AO$514)*(S$65:S$65))</f>
        <v>0</v>
      </c>
      <c r="T230" s="81">
        <f ca="1">SUMPRODUCT((Work_Codes!$AC$506:$AO$506=$E230)*(Work_Codes!$AC$514:$AO$514)*(T$65:T$65))</f>
        <v>0</v>
      </c>
    </row>
    <row r="231" spans="2:20" outlineLevel="2">
      <c r="E231" s="247" t="str">
        <f>GC!C67</f>
        <v>SCADA</v>
      </c>
      <c r="F231" s="247"/>
      <c r="G231" s="247"/>
      <c r="H231" s="247"/>
      <c r="I231" s="247"/>
      <c r="J231" s="81">
        <f ca="1">SUMPRODUCT((Work_Codes!$AC$506:$AO$506=$E231)*(Work_Codes!$AC$514:$AO$514)*(J$65:J$65))</f>
        <v>0</v>
      </c>
      <c r="K231" s="81">
        <f ca="1">SUMPRODUCT((Work_Codes!$AC$506:$AO$506=$E231)*(Work_Codes!$AC$514:$AO$514)*(K$65:K$65))</f>
        <v>0</v>
      </c>
      <c r="L231" s="81">
        <f ca="1">SUMPRODUCT((Work_Codes!$AC$506:$AO$506=$E231)*(Work_Codes!$AC$514:$AO$514)*(L$65:L$65))</f>
        <v>0</v>
      </c>
      <c r="M231" s="81">
        <f ca="1">SUMPRODUCT((Work_Codes!$AC$506:$AO$506=$E231)*(Work_Codes!$AC$514:$AO$514)*(M$65:M$65))</f>
        <v>0</v>
      </c>
      <c r="N231" s="81">
        <f ca="1">SUMPRODUCT((Work_Codes!$AC$506:$AO$506=$E231)*(Work_Codes!$AC$514:$AO$514)*(N$65:N$65))</f>
        <v>0</v>
      </c>
      <c r="O231" s="81">
        <f ca="1">SUMPRODUCT((Work_Codes!$AC$506:$AO$506=$E231)*(Work_Codes!$AC$514:$AO$514)*(O$65:O$65))</f>
        <v>0</v>
      </c>
      <c r="P231" s="81">
        <f ca="1">SUMPRODUCT((Work_Codes!$AC$506:$AO$506=$E231)*(Work_Codes!$AC$514:$AO$514)*(P$65:P$65))</f>
        <v>0</v>
      </c>
      <c r="Q231" s="81">
        <f ca="1">SUMPRODUCT((Work_Codes!$AC$506:$AO$506=$E231)*(Work_Codes!$AC$514:$AO$514)*(Q$65:Q$65))</f>
        <v>0</v>
      </c>
      <c r="R231" s="81">
        <f ca="1">SUMPRODUCT((Work_Codes!$AC$506:$AO$506=$E231)*(Work_Codes!$AC$514:$AO$514)*(R$65:R$65))</f>
        <v>0</v>
      </c>
      <c r="S231" s="81">
        <f ca="1">SUMPRODUCT((Work_Codes!$AC$506:$AO$506=$E231)*(Work_Codes!$AC$514:$AO$514)*(S$65:S$65))</f>
        <v>0</v>
      </c>
      <c r="T231" s="81">
        <f ca="1">SUMPRODUCT((Work_Codes!$AC$506:$AO$506=$E231)*(Work_Codes!$AC$514:$AO$514)*(T$65:T$65))</f>
        <v>0</v>
      </c>
    </row>
    <row r="232" spans="2:20" outlineLevel="2">
      <c r="E232" s="247" t="str">
        <f>GC!C68</f>
        <v>Other</v>
      </c>
      <c r="F232" s="247"/>
      <c r="G232" s="247"/>
      <c r="H232" s="247"/>
      <c r="I232" s="247"/>
      <c r="J232" s="81">
        <f ca="1">SUMPRODUCT((Work_Codes!$AC$506:$AO$506=$E232)*(Work_Codes!$AC$514:$AO$514)*(J$65:J$65))</f>
        <v>0</v>
      </c>
      <c r="K232" s="81">
        <f ca="1">SUMPRODUCT((Work_Codes!$AC$506:$AO$506=$E232)*(Work_Codes!$AC$514:$AO$514)*(K$65:K$65))</f>
        <v>0</v>
      </c>
      <c r="L232" s="81">
        <f ca="1">SUMPRODUCT((Work_Codes!$AC$506:$AO$506=$E232)*(Work_Codes!$AC$514:$AO$514)*(L$65:L$65))</f>
        <v>0</v>
      </c>
      <c r="M232" s="81">
        <f ca="1">SUMPRODUCT((Work_Codes!$AC$506:$AO$506=$E232)*(Work_Codes!$AC$514:$AO$514)*(M$65:M$65))</f>
        <v>0</v>
      </c>
      <c r="N232" s="81">
        <f ca="1">SUMPRODUCT((Work_Codes!$AC$506:$AO$506=$E232)*(Work_Codes!$AC$514:$AO$514)*(N$65:N$65))</f>
        <v>0</v>
      </c>
      <c r="O232" s="81">
        <f ca="1">SUMPRODUCT((Work_Codes!$AC$506:$AO$506=$E232)*(Work_Codes!$AC$514:$AO$514)*(O$65:O$65))</f>
        <v>0</v>
      </c>
      <c r="P232" s="81">
        <f ca="1">SUMPRODUCT((Work_Codes!$AC$506:$AO$506=$E232)*(Work_Codes!$AC$514:$AO$514)*(P$65:P$65))</f>
        <v>0</v>
      </c>
      <c r="Q232" s="81">
        <f ca="1">SUMPRODUCT((Work_Codes!$AC$506:$AO$506=$E232)*(Work_Codes!$AC$514:$AO$514)*(Q$65:Q$65))</f>
        <v>0</v>
      </c>
      <c r="R232" s="81">
        <f ca="1">SUMPRODUCT((Work_Codes!$AC$506:$AO$506=$E232)*(Work_Codes!$AC$514:$AO$514)*(R$65:R$65))</f>
        <v>0</v>
      </c>
      <c r="S232" s="81">
        <f ca="1">SUMPRODUCT((Work_Codes!$AC$506:$AO$506=$E232)*(Work_Codes!$AC$514:$AO$514)*(S$65:S$65))</f>
        <v>0</v>
      </c>
      <c r="T232" s="81">
        <f ca="1">SUMPRODUCT((Work_Codes!$AC$506:$AO$506=$E232)*(Work_Codes!$AC$514:$AO$514)*(T$65:T$65))</f>
        <v>0</v>
      </c>
    </row>
    <row r="233" spans="2:20" outlineLevel="2">
      <c r="E233" s="247" t="str">
        <f>GC!C69</f>
        <v>Capitalised Leases</v>
      </c>
      <c r="F233" s="247"/>
      <c r="G233" s="247"/>
      <c r="H233" s="247"/>
      <c r="I233" s="247"/>
      <c r="J233" s="81">
        <f ca="1">SUMPRODUCT((Work_Codes!$AC$506:$AO$506=$E233)*(Work_Codes!$AC$514:$AO$514)*(J$65:J$65))</f>
        <v>0</v>
      </c>
      <c r="K233" s="81">
        <f ca="1">SUMPRODUCT((Work_Codes!$AC$506:$AO$506=$E233)*(Work_Codes!$AC$514:$AO$514)*(K$65:K$65))</f>
        <v>0</v>
      </c>
      <c r="L233" s="81">
        <f ca="1">SUMPRODUCT((Work_Codes!$AC$506:$AO$506=$E233)*(Work_Codes!$AC$514:$AO$514)*(L$65:L$65))</f>
        <v>0</v>
      </c>
      <c r="M233" s="81">
        <f ca="1">SUMPRODUCT((Work_Codes!$AC$506:$AO$506=$E233)*(Work_Codes!$AC$514:$AO$514)*(M$65:M$65))</f>
        <v>0</v>
      </c>
      <c r="N233" s="81">
        <f ca="1">SUMPRODUCT((Work_Codes!$AC$506:$AO$506=$E233)*(Work_Codes!$AC$514:$AO$514)*(N$65:N$65))</f>
        <v>0</v>
      </c>
      <c r="O233" s="81">
        <f ca="1">SUMPRODUCT((Work_Codes!$AC$506:$AO$506=$E233)*(Work_Codes!$AC$514:$AO$514)*(O$65:O$65))</f>
        <v>0</v>
      </c>
      <c r="P233" s="81">
        <f ca="1">SUMPRODUCT((Work_Codes!$AC$506:$AO$506=$E233)*(Work_Codes!$AC$514:$AO$514)*(P$65:P$65))</f>
        <v>0</v>
      </c>
      <c r="Q233" s="81">
        <f ca="1">SUMPRODUCT((Work_Codes!$AC$506:$AO$506=$E233)*(Work_Codes!$AC$514:$AO$514)*(Q$65:Q$65))</f>
        <v>0</v>
      </c>
      <c r="R233" s="81">
        <f ca="1">SUMPRODUCT((Work_Codes!$AC$506:$AO$506=$E233)*(Work_Codes!$AC$514:$AO$514)*(R$65:R$65))</f>
        <v>0</v>
      </c>
      <c r="S233" s="81">
        <f ca="1">SUMPRODUCT((Work_Codes!$AC$506:$AO$506=$E233)*(Work_Codes!$AC$514:$AO$514)*(S$65:S$65))</f>
        <v>0</v>
      </c>
      <c r="T233" s="81">
        <f ca="1">SUMPRODUCT((Work_Codes!$AC$506:$AO$506=$E233)*(Work_Codes!$AC$514:$AO$514)*(T$65:T$65))</f>
        <v>0</v>
      </c>
    </row>
    <row r="234" spans="2:20" outlineLevel="2">
      <c r="E234" s="247" t="str">
        <f>GC!C70</f>
        <v>Gas Extensions - Energy for the Regions</v>
      </c>
      <c r="F234" s="247"/>
      <c r="G234" s="247"/>
      <c r="H234" s="247"/>
      <c r="I234" s="247"/>
      <c r="J234" s="81">
        <f ca="1">SUMPRODUCT((Work_Codes!$AC$506:$AO$506=$E234)*(Work_Codes!$AC$514:$AO$514)*(J$65:J$65))</f>
        <v>0</v>
      </c>
      <c r="K234" s="81">
        <f ca="1">SUMPRODUCT((Work_Codes!$AC$506:$AO$506=$E234)*(Work_Codes!$AC$514:$AO$514)*(K$65:K$65))</f>
        <v>0</v>
      </c>
      <c r="L234" s="81">
        <f ca="1">SUMPRODUCT((Work_Codes!$AC$506:$AO$506=$E234)*(Work_Codes!$AC$514:$AO$514)*(L$65:L$65))</f>
        <v>0</v>
      </c>
      <c r="M234" s="81">
        <f ca="1">SUMPRODUCT((Work_Codes!$AC$506:$AO$506=$E234)*(Work_Codes!$AC$514:$AO$514)*(M$65:M$65))</f>
        <v>0</v>
      </c>
      <c r="N234" s="81">
        <f ca="1">SUMPRODUCT((Work_Codes!$AC$506:$AO$506=$E234)*(Work_Codes!$AC$514:$AO$514)*(N$65:N$65))</f>
        <v>0</v>
      </c>
      <c r="O234" s="81">
        <f ca="1">SUMPRODUCT((Work_Codes!$AC$506:$AO$506=$E234)*(Work_Codes!$AC$514:$AO$514)*(O$65:O$65))</f>
        <v>0</v>
      </c>
      <c r="P234" s="81">
        <f ca="1">SUMPRODUCT((Work_Codes!$AC$506:$AO$506=$E234)*(Work_Codes!$AC$514:$AO$514)*(P$65:P$65))</f>
        <v>0</v>
      </c>
      <c r="Q234" s="81">
        <f ca="1">SUMPRODUCT((Work_Codes!$AC$506:$AO$506=$E234)*(Work_Codes!$AC$514:$AO$514)*(Q$65:Q$65))</f>
        <v>0</v>
      </c>
      <c r="R234" s="81">
        <f ca="1">SUMPRODUCT((Work_Codes!$AC$506:$AO$506=$E234)*(Work_Codes!$AC$514:$AO$514)*(R$65:R$65))</f>
        <v>0</v>
      </c>
      <c r="S234" s="81">
        <f ca="1">SUMPRODUCT((Work_Codes!$AC$506:$AO$506=$E234)*(Work_Codes!$AC$514:$AO$514)*(S$65:S$65))</f>
        <v>0</v>
      </c>
      <c r="T234" s="81">
        <f ca="1">SUMPRODUCT((Work_Codes!$AC$506:$AO$506=$E234)*(Work_Codes!$AC$514:$AO$514)*(T$65:T$65))</f>
        <v>0</v>
      </c>
    </row>
    <row r="235" spans="2:20" outlineLevel="2">
      <c r="E235" s="247" t="str">
        <f>GC!C71</f>
        <v>Gas Extensions - Other</v>
      </c>
      <c r="F235" s="247"/>
      <c r="G235" s="247"/>
      <c r="H235" s="247"/>
      <c r="I235" s="247"/>
      <c r="J235" s="81">
        <f ca="1">SUMPRODUCT((Work_Codes!$AC$506:$AO$506=$E235)*(Work_Codes!$AC$514:$AO$514)*(J$65:J$65))</f>
        <v>0</v>
      </c>
      <c r="K235" s="81">
        <f ca="1">SUMPRODUCT((Work_Codes!$AC$506:$AO$506=$E235)*(Work_Codes!$AC$514:$AO$514)*(K$65:K$65))</f>
        <v>0</v>
      </c>
      <c r="L235" s="81">
        <f ca="1">SUMPRODUCT((Work_Codes!$AC$506:$AO$506=$E235)*(Work_Codes!$AC$514:$AO$514)*(L$65:L$65))</f>
        <v>0</v>
      </c>
      <c r="M235" s="81">
        <f ca="1">SUMPRODUCT((Work_Codes!$AC$506:$AO$506=$E235)*(Work_Codes!$AC$514:$AO$514)*(M$65:M$65))</f>
        <v>0</v>
      </c>
      <c r="N235" s="81">
        <f ca="1">SUMPRODUCT((Work_Codes!$AC$506:$AO$506=$E235)*(Work_Codes!$AC$514:$AO$514)*(N$65:N$65))</f>
        <v>0</v>
      </c>
      <c r="O235" s="81">
        <f ca="1">SUMPRODUCT((Work_Codes!$AC$506:$AO$506=$E235)*(Work_Codes!$AC$514:$AO$514)*(O$65:O$65))</f>
        <v>0</v>
      </c>
      <c r="P235" s="81">
        <f ca="1">SUMPRODUCT((Work_Codes!$AC$506:$AO$506=$E235)*(Work_Codes!$AC$514:$AO$514)*(P$65:P$65))</f>
        <v>0</v>
      </c>
      <c r="Q235" s="81">
        <f ca="1">SUMPRODUCT((Work_Codes!$AC$506:$AO$506=$E235)*(Work_Codes!$AC$514:$AO$514)*(Q$65:Q$65))</f>
        <v>0</v>
      </c>
      <c r="R235" s="81">
        <f ca="1">SUMPRODUCT((Work_Codes!$AC$506:$AO$506=$E235)*(Work_Codes!$AC$514:$AO$514)*(R$65:R$65))</f>
        <v>0</v>
      </c>
      <c r="S235" s="81">
        <f ca="1">SUMPRODUCT((Work_Codes!$AC$506:$AO$506=$E235)*(Work_Codes!$AC$514:$AO$514)*(S$65:S$65))</f>
        <v>0</v>
      </c>
      <c r="T235" s="81">
        <f ca="1">SUMPRODUCT((Work_Codes!$AC$506:$AO$506=$E235)*(Work_Codes!$AC$514:$AO$514)*(T$65:T$65))</f>
        <v>0</v>
      </c>
    </row>
    <row r="236" spans="2:20" outlineLevel="2">
      <c r="E236" s="247" t="str">
        <f>GC!C72</f>
        <v>Customer contributions</v>
      </c>
      <c r="F236" s="247"/>
      <c r="G236" s="247"/>
      <c r="H236" s="247"/>
      <c r="I236" s="247"/>
      <c r="J236" s="81">
        <f ca="1">SUMPRODUCT((Work_Codes!$AC$506:$AO$506=$E236)*(Work_Codes!$AC$514:$AO$514)*(J$65:J$65))</f>
        <v>0</v>
      </c>
      <c r="K236" s="81">
        <f ca="1">SUMPRODUCT((Work_Codes!$AC$506:$AO$506=$E236)*(Work_Codes!$AC$514:$AO$514)*(K$65:K$65))</f>
        <v>0</v>
      </c>
      <c r="L236" s="81">
        <f ca="1">SUMPRODUCT((Work_Codes!$AC$506:$AO$506=$E236)*(Work_Codes!$AC$514:$AO$514)*(L$65:L$65))</f>
        <v>0</v>
      </c>
      <c r="M236" s="81">
        <f ca="1">SUMPRODUCT((Work_Codes!$AC$506:$AO$506=$E236)*(Work_Codes!$AC$514:$AO$514)*(M$65:M$65))</f>
        <v>0</v>
      </c>
      <c r="N236" s="81">
        <f ca="1">SUMPRODUCT((Work_Codes!$AC$506:$AO$506=$E236)*(Work_Codes!$AC$514:$AO$514)*(N$65:N$65))</f>
        <v>0</v>
      </c>
      <c r="O236" s="81">
        <f ca="1">SUMPRODUCT((Work_Codes!$AC$506:$AO$506=$E236)*(Work_Codes!$AC$514:$AO$514)*(O$65:O$65))</f>
        <v>0</v>
      </c>
      <c r="P236" s="81">
        <f ca="1">SUMPRODUCT((Work_Codes!$AC$506:$AO$506=$E236)*(Work_Codes!$AC$514:$AO$514)*(P$65:P$65))</f>
        <v>0</v>
      </c>
      <c r="Q236" s="81">
        <f ca="1">SUMPRODUCT((Work_Codes!$AC$506:$AO$506=$E236)*(Work_Codes!$AC$514:$AO$514)*(Q$65:Q$65))</f>
        <v>0</v>
      </c>
      <c r="R236" s="81">
        <f ca="1">SUMPRODUCT((Work_Codes!$AC$506:$AO$506=$E236)*(Work_Codes!$AC$514:$AO$514)*(R$65:R$65))</f>
        <v>0</v>
      </c>
      <c r="S236" s="81">
        <f ca="1">SUMPRODUCT((Work_Codes!$AC$506:$AO$506=$E236)*(Work_Codes!$AC$514:$AO$514)*(S$65:S$65))</f>
        <v>0</v>
      </c>
      <c r="T236" s="81">
        <f ca="1">SUMPRODUCT((Work_Codes!$AC$506:$AO$506=$E236)*(Work_Codes!$AC$514:$AO$514)*(T$65:T$65))</f>
        <v>0</v>
      </c>
    </row>
    <row r="237" spans="2:20" outlineLevel="2">
      <c r="E237" s="247" t="str">
        <f>GC!C73</f>
        <v>Government contributions</v>
      </c>
      <c r="F237" s="247"/>
      <c r="G237" s="247"/>
      <c r="H237" s="247"/>
      <c r="I237" s="247"/>
      <c r="J237" s="81">
        <f ca="1">SUMPRODUCT((Work_Codes!$AC$506:$AO$506=$E237)*(Work_Codes!$AC$514:$AO$514)*(J$65:J$65))</f>
        <v>0</v>
      </c>
      <c r="K237" s="81">
        <f ca="1">SUMPRODUCT((Work_Codes!$AC$506:$AO$506=$E237)*(Work_Codes!$AC$514:$AO$514)*(K$65:K$65))</f>
        <v>0</v>
      </c>
      <c r="L237" s="81">
        <f ca="1">SUMPRODUCT((Work_Codes!$AC$506:$AO$506=$E237)*(Work_Codes!$AC$514:$AO$514)*(L$65:L$65))</f>
        <v>0</v>
      </c>
      <c r="M237" s="81">
        <f ca="1">SUMPRODUCT((Work_Codes!$AC$506:$AO$506=$E237)*(Work_Codes!$AC$514:$AO$514)*(M$65:M$65))</f>
        <v>0</v>
      </c>
      <c r="N237" s="81">
        <f ca="1">SUMPRODUCT((Work_Codes!$AC$506:$AO$506=$E237)*(Work_Codes!$AC$514:$AO$514)*(N$65:N$65))</f>
        <v>0</v>
      </c>
      <c r="O237" s="81">
        <f ca="1">SUMPRODUCT((Work_Codes!$AC$506:$AO$506=$E237)*(Work_Codes!$AC$514:$AO$514)*(O$65:O$65))</f>
        <v>0</v>
      </c>
      <c r="P237" s="81">
        <f ca="1">SUMPRODUCT((Work_Codes!$AC$506:$AO$506=$E237)*(Work_Codes!$AC$514:$AO$514)*(P$65:P$65))</f>
        <v>0</v>
      </c>
      <c r="Q237" s="81">
        <f ca="1">SUMPRODUCT((Work_Codes!$AC$506:$AO$506=$E237)*(Work_Codes!$AC$514:$AO$514)*(Q$65:Q$65))</f>
        <v>0</v>
      </c>
      <c r="R237" s="81">
        <f ca="1">SUMPRODUCT((Work_Codes!$AC$506:$AO$506=$E237)*(Work_Codes!$AC$514:$AO$514)*(R$65:R$65))</f>
        <v>0</v>
      </c>
      <c r="S237" s="81">
        <f ca="1">SUMPRODUCT((Work_Codes!$AC$506:$AO$506=$E237)*(Work_Codes!$AC$514:$AO$514)*(S$65:S$65))</f>
        <v>0</v>
      </c>
      <c r="T237" s="81">
        <f ca="1">SUMPRODUCT((Work_Codes!$AC$506:$AO$506=$E237)*(Work_Codes!$AC$514:$AO$514)*(T$65:T$65))</f>
        <v>0</v>
      </c>
    </row>
    <row r="238" spans="2:20" outlineLevel="2">
      <c r="E238" s="249" t="str">
        <f t="shared" ref="E238" si="24">"Total "&amp;D222</f>
        <v>Total Customer Contributions</v>
      </c>
      <c r="F238" s="249"/>
      <c r="G238" s="249"/>
      <c r="H238" s="249"/>
      <c r="I238" s="249"/>
      <c r="J238" s="82">
        <f t="shared" ref="J238:T238" ca="1" si="25">SUM(J224:J237)</f>
        <v>0</v>
      </c>
      <c r="K238" s="82">
        <f t="shared" ca="1" si="25"/>
        <v>0</v>
      </c>
      <c r="L238" s="82">
        <f t="shared" ca="1" si="25"/>
        <v>0</v>
      </c>
      <c r="M238" s="82">
        <f t="shared" ca="1" si="25"/>
        <v>0</v>
      </c>
      <c r="N238" s="82">
        <f t="shared" ca="1" si="25"/>
        <v>0</v>
      </c>
      <c r="O238" s="82">
        <f t="shared" ca="1" si="25"/>
        <v>0</v>
      </c>
      <c r="P238" s="82">
        <f t="shared" ca="1" si="25"/>
        <v>0</v>
      </c>
      <c r="Q238" s="82">
        <f t="shared" ca="1" si="25"/>
        <v>0</v>
      </c>
      <c r="R238" s="82">
        <f t="shared" ca="1" si="25"/>
        <v>0</v>
      </c>
      <c r="S238" s="82">
        <f t="shared" ca="1" si="25"/>
        <v>0</v>
      </c>
      <c r="T238" s="82">
        <f t="shared" ca="1" si="25"/>
        <v>0</v>
      </c>
    </row>
    <row r="239" spans="2:20" outlineLevel="2">
      <c r="B239" s="12"/>
      <c r="C239" s="12"/>
      <c r="D239" s="12"/>
      <c r="E239" s="12"/>
      <c r="F239" s="12"/>
      <c r="G239" s="12"/>
      <c r="H239" s="12"/>
      <c r="I239" s="12"/>
      <c r="J239" s="12"/>
      <c r="K239" s="12"/>
      <c r="L239" s="12"/>
      <c r="M239" s="12"/>
      <c r="N239" s="12"/>
      <c r="O239" s="12"/>
      <c r="P239" s="12"/>
      <c r="Q239" s="12"/>
      <c r="R239" s="12"/>
      <c r="S239" s="12"/>
      <c r="T239" s="12"/>
    </row>
    <row r="240" spans="2:20" outlineLevel="2"/>
    <row r="241" spans="3:20" outlineLevel="2">
      <c r="C241" s="37" t="s">
        <v>311</v>
      </c>
    </row>
    <row r="242" spans="3:20" ht="5.9" customHeight="1" outlineLevel="2"/>
    <row r="243" spans="3:20" outlineLevel="2">
      <c r="D243" s="37" t="s">
        <v>215</v>
      </c>
    </row>
    <row r="244" spans="3:20" ht="5.9" customHeight="1" outlineLevel="2"/>
    <row r="245" spans="3:20" outlineLevel="2">
      <c r="E245" s="247" t="str">
        <f>GC!C78</f>
        <v>Mains &amp; Services</v>
      </c>
      <c r="F245" s="247"/>
      <c r="G245" s="247"/>
      <c r="H245" s="247"/>
      <c r="I245" s="247"/>
      <c r="J245" s="81">
        <f ca="1">SUMPRODUCT((Work_Codes!$AR$506:$AX$506=$E245)*(Work_Codes!$AR$509:$AX$510)*(J$95:J$96))</f>
        <v>0</v>
      </c>
      <c r="K245" s="81">
        <f ca="1">SUMPRODUCT((Work_Codes!$AR$506:$AX$506=$E245)*(Work_Codes!$AR$509:$AX$510)*(K$95:K$96))</f>
        <v>0</v>
      </c>
      <c r="L245" s="81">
        <f ca="1">SUMPRODUCT((Work_Codes!$AR$506:$AX$506=$E245)*(Work_Codes!$AR$509:$AX$510)*(L$95:L$96))</f>
        <v>0</v>
      </c>
      <c r="M245" s="81">
        <f ca="1">SUMPRODUCT((Work_Codes!$AR$506:$AX$506=$E245)*(Work_Codes!$AR$509:$AX$510)*(M$95:M$96))</f>
        <v>0</v>
      </c>
      <c r="N245" s="81">
        <f ca="1">SUMPRODUCT((Work_Codes!$AR$506:$AX$506=$E245)*(Work_Codes!$AR$509:$AX$510)*(N$95:N$96))</f>
        <v>0</v>
      </c>
      <c r="O245" s="81">
        <f ca="1">SUMPRODUCT((Work_Codes!$AR$506:$AX$506=$E245)*(Work_Codes!$AR$509:$AX$510)*(O$95:O$96))</f>
        <v>0</v>
      </c>
      <c r="P245" s="81">
        <f ca="1">SUMPRODUCT((Work_Codes!$AR$506:$AX$506=$E245)*(Work_Codes!$AR$509:$AX$510)*(P$95:P$96))</f>
        <v>0</v>
      </c>
      <c r="Q245" s="81">
        <f ca="1">SUMPRODUCT((Work_Codes!$AR$506:$AX$506=$E245)*(Work_Codes!$AR$509:$AX$510)*(Q$95:Q$96))</f>
        <v>0</v>
      </c>
      <c r="R245" s="81">
        <f ca="1">SUMPRODUCT((Work_Codes!$AR$506:$AX$506=$E245)*(Work_Codes!$AR$509:$AX$510)*(R$95:R$96))</f>
        <v>0</v>
      </c>
      <c r="S245" s="81">
        <f ca="1">SUMPRODUCT((Work_Codes!$AR$506:$AX$506=$E245)*(Work_Codes!$AR$509:$AX$510)*(S$95:S$96))</f>
        <v>0</v>
      </c>
      <c r="T245" s="81">
        <f ca="1">SUMPRODUCT((Work_Codes!$AR$506:$AX$506=$E245)*(Work_Codes!$AR$509:$AX$510)*(T$95:T$96))</f>
        <v>0</v>
      </c>
    </row>
    <row r="246" spans="3:20" outlineLevel="2">
      <c r="E246" s="247" t="str">
        <f>GC!C79</f>
        <v>Meters Domestic</v>
      </c>
      <c r="F246" s="247"/>
      <c r="G246" s="247"/>
      <c r="H246" s="247"/>
      <c r="I246" s="247"/>
      <c r="J246" s="81">
        <f ca="1">SUMPRODUCT((Work_Codes!$AR$506:$AX$506=$E246)*(Work_Codes!$AR$509:$AX$510)*(J$95:J$96))</f>
        <v>0</v>
      </c>
      <c r="K246" s="81">
        <f ca="1">SUMPRODUCT((Work_Codes!$AR$506:$AX$506=$E246)*(Work_Codes!$AR$509:$AX$510)*(K$95:K$96))</f>
        <v>0</v>
      </c>
      <c r="L246" s="81">
        <f ca="1">SUMPRODUCT((Work_Codes!$AR$506:$AX$506=$E246)*(Work_Codes!$AR$509:$AX$510)*(L$95:L$96))</f>
        <v>0</v>
      </c>
      <c r="M246" s="81">
        <f ca="1">SUMPRODUCT((Work_Codes!$AR$506:$AX$506=$E246)*(Work_Codes!$AR$509:$AX$510)*(M$95:M$96))</f>
        <v>0</v>
      </c>
      <c r="N246" s="81">
        <f ca="1">SUMPRODUCT((Work_Codes!$AR$506:$AX$506=$E246)*(Work_Codes!$AR$509:$AX$510)*(N$95:N$96))</f>
        <v>0</v>
      </c>
      <c r="O246" s="81">
        <f ca="1">SUMPRODUCT((Work_Codes!$AR$506:$AX$506=$E246)*(Work_Codes!$AR$509:$AX$510)*(O$95:O$96))</f>
        <v>0</v>
      </c>
      <c r="P246" s="81">
        <f ca="1">SUMPRODUCT((Work_Codes!$AR$506:$AX$506=$E246)*(Work_Codes!$AR$509:$AX$510)*(P$95:P$96))</f>
        <v>0</v>
      </c>
      <c r="Q246" s="81">
        <f ca="1">SUMPRODUCT((Work_Codes!$AR$506:$AX$506=$E246)*(Work_Codes!$AR$509:$AX$510)*(Q$95:Q$96))</f>
        <v>0</v>
      </c>
      <c r="R246" s="81">
        <f ca="1">SUMPRODUCT((Work_Codes!$AR$506:$AX$506=$E246)*(Work_Codes!$AR$509:$AX$510)*(R$95:R$96))</f>
        <v>0</v>
      </c>
      <c r="S246" s="81">
        <f ca="1">SUMPRODUCT((Work_Codes!$AR$506:$AX$506=$E246)*(Work_Codes!$AR$509:$AX$510)*(S$95:S$96))</f>
        <v>0</v>
      </c>
      <c r="T246" s="81">
        <f ca="1">SUMPRODUCT((Work_Codes!$AR$506:$AX$506=$E246)*(Work_Codes!$AR$509:$AX$510)*(T$95:T$96))</f>
        <v>0</v>
      </c>
    </row>
    <row r="247" spans="3:20" outlineLevel="2">
      <c r="E247" s="247" t="str">
        <f>GC!C80</f>
        <v>Meters Industrial &amp; Commercial</v>
      </c>
      <c r="F247" s="247"/>
      <c r="G247" s="247"/>
      <c r="H247" s="247"/>
      <c r="I247" s="247"/>
      <c r="J247" s="81">
        <f ca="1">SUMPRODUCT((Work_Codes!$AR$506:$AX$506=$E247)*(Work_Codes!$AR$509:$AX$510)*(J$95:J$96))</f>
        <v>0</v>
      </c>
      <c r="K247" s="81">
        <f ca="1">SUMPRODUCT((Work_Codes!$AR$506:$AX$506=$E247)*(Work_Codes!$AR$509:$AX$510)*(K$95:K$96))</f>
        <v>0</v>
      </c>
      <c r="L247" s="81">
        <f ca="1">SUMPRODUCT((Work_Codes!$AR$506:$AX$506=$E247)*(Work_Codes!$AR$509:$AX$510)*(L$95:L$96))</f>
        <v>0</v>
      </c>
      <c r="M247" s="81">
        <f ca="1">SUMPRODUCT((Work_Codes!$AR$506:$AX$506=$E247)*(Work_Codes!$AR$509:$AX$510)*(M$95:M$96))</f>
        <v>0</v>
      </c>
      <c r="N247" s="81">
        <f ca="1">SUMPRODUCT((Work_Codes!$AR$506:$AX$506=$E247)*(Work_Codes!$AR$509:$AX$510)*(N$95:N$96))</f>
        <v>0</v>
      </c>
      <c r="O247" s="81">
        <f ca="1">SUMPRODUCT((Work_Codes!$AR$506:$AX$506=$E247)*(Work_Codes!$AR$509:$AX$510)*(O$95:O$96))</f>
        <v>0</v>
      </c>
      <c r="P247" s="81">
        <f ca="1">SUMPRODUCT((Work_Codes!$AR$506:$AX$506=$E247)*(Work_Codes!$AR$509:$AX$510)*(P$95:P$96))</f>
        <v>0</v>
      </c>
      <c r="Q247" s="81">
        <f ca="1">SUMPRODUCT((Work_Codes!$AR$506:$AX$506=$E247)*(Work_Codes!$AR$509:$AX$510)*(Q$95:Q$96))</f>
        <v>0</v>
      </c>
      <c r="R247" s="81">
        <f ca="1">SUMPRODUCT((Work_Codes!$AR$506:$AX$506=$E247)*(Work_Codes!$AR$509:$AX$510)*(R$95:R$96))</f>
        <v>0</v>
      </c>
      <c r="S247" s="81">
        <f ca="1">SUMPRODUCT((Work_Codes!$AR$506:$AX$506=$E247)*(Work_Codes!$AR$509:$AX$510)*(S$95:S$96))</f>
        <v>0</v>
      </c>
      <c r="T247" s="81">
        <f ca="1">SUMPRODUCT((Work_Codes!$AR$506:$AX$506=$E247)*(Work_Codes!$AR$509:$AX$510)*(T$95:T$96))</f>
        <v>0</v>
      </c>
    </row>
    <row r="248" spans="3:20" outlineLevel="2">
      <c r="E248" s="247" t="str">
        <f>GC!C81</f>
        <v>Buildings</v>
      </c>
      <c r="F248" s="247"/>
      <c r="G248" s="247"/>
      <c r="H248" s="247"/>
      <c r="I248" s="247"/>
      <c r="J248" s="81">
        <f ca="1">SUMPRODUCT((Work_Codes!$AR$506:$AX$506=$E248)*(Work_Codes!$AR$509:$AX$510)*(J$95:J$96))</f>
        <v>0</v>
      </c>
      <c r="K248" s="81">
        <f ca="1">SUMPRODUCT((Work_Codes!$AR$506:$AX$506=$E248)*(Work_Codes!$AR$509:$AX$510)*(K$95:K$96))</f>
        <v>0</v>
      </c>
      <c r="L248" s="81">
        <f ca="1">SUMPRODUCT((Work_Codes!$AR$506:$AX$506=$E248)*(Work_Codes!$AR$509:$AX$510)*(L$95:L$96))</f>
        <v>0</v>
      </c>
      <c r="M248" s="81">
        <f ca="1">SUMPRODUCT((Work_Codes!$AR$506:$AX$506=$E248)*(Work_Codes!$AR$509:$AX$510)*(M$95:M$96))</f>
        <v>0</v>
      </c>
      <c r="N248" s="81">
        <f ca="1">SUMPRODUCT((Work_Codes!$AR$506:$AX$506=$E248)*(Work_Codes!$AR$509:$AX$510)*(N$95:N$96))</f>
        <v>0</v>
      </c>
      <c r="O248" s="81">
        <f ca="1">SUMPRODUCT((Work_Codes!$AR$506:$AX$506=$E248)*(Work_Codes!$AR$509:$AX$510)*(O$95:O$96))</f>
        <v>0</v>
      </c>
      <c r="P248" s="81">
        <f ca="1">SUMPRODUCT((Work_Codes!$AR$506:$AX$506=$E248)*(Work_Codes!$AR$509:$AX$510)*(P$95:P$96))</f>
        <v>0</v>
      </c>
      <c r="Q248" s="81">
        <f ca="1">SUMPRODUCT((Work_Codes!$AR$506:$AX$506=$E248)*(Work_Codes!$AR$509:$AX$510)*(Q$95:Q$96))</f>
        <v>0</v>
      </c>
      <c r="R248" s="81">
        <f ca="1">SUMPRODUCT((Work_Codes!$AR$506:$AX$506=$E248)*(Work_Codes!$AR$509:$AX$510)*(R$95:R$96))</f>
        <v>0</v>
      </c>
      <c r="S248" s="81">
        <f ca="1">SUMPRODUCT((Work_Codes!$AR$506:$AX$506=$E248)*(Work_Codes!$AR$509:$AX$510)*(S$95:S$96))</f>
        <v>0</v>
      </c>
      <c r="T248" s="81">
        <f ca="1">SUMPRODUCT((Work_Codes!$AR$506:$AX$506=$E248)*(Work_Codes!$AR$509:$AX$510)*(T$95:T$96))</f>
        <v>0</v>
      </c>
    </row>
    <row r="249" spans="3:20" outlineLevel="2">
      <c r="E249" s="247" t="str">
        <f>GC!C82</f>
        <v>Other Assets</v>
      </c>
      <c r="F249" s="247"/>
      <c r="G249" s="247"/>
      <c r="H249" s="247"/>
      <c r="I249" s="247"/>
      <c r="J249" s="81">
        <f ca="1">SUMPRODUCT((Work_Codes!$AR$506:$AX$506=$E249)*(Work_Codes!$AR$509:$AX$510)*(J$95:J$96))</f>
        <v>0</v>
      </c>
      <c r="K249" s="81">
        <f ca="1">SUMPRODUCT((Work_Codes!$AR$506:$AX$506=$E249)*(Work_Codes!$AR$509:$AX$510)*(K$95:K$96))</f>
        <v>0</v>
      </c>
      <c r="L249" s="81">
        <f ca="1">SUMPRODUCT((Work_Codes!$AR$506:$AX$506=$E249)*(Work_Codes!$AR$509:$AX$510)*(L$95:L$96))</f>
        <v>0</v>
      </c>
      <c r="M249" s="81">
        <f ca="1">SUMPRODUCT((Work_Codes!$AR$506:$AX$506=$E249)*(Work_Codes!$AR$509:$AX$510)*(M$95:M$96))</f>
        <v>0</v>
      </c>
      <c r="N249" s="81">
        <f ca="1">SUMPRODUCT((Work_Codes!$AR$506:$AX$506=$E249)*(Work_Codes!$AR$509:$AX$510)*(N$95:N$96))</f>
        <v>361092.5049599809</v>
      </c>
      <c r="O249" s="81">
        <f ca="1">SUMPRODUCT((Work_Codes!$AR$506:$AX$506=$E249)*(Work_Codes!$AR$509:$AX$510)*(O$95:O$96))</f>
        <v>252284.62045122919</v>
      </c>
      <c r="P249" s="81">
        <f ca="1">SUMPRODUCT((Work_Codes!$AR$506:$AX$506=$E249)*(Work_Codes!$AR$509:$AX$510)*(P$95:P$96))</f>
        <v>1009341.6498181245</v>
      </c>
      <c r="Q249" s="81">
        <f ca="1">SUMPRODUCT((Work_Codes!$AR$506:$AX$506=$E249)*(Work_Codes!$AR$509:$AX$510)*(Q$95:Q$96))</f>
        <v>1009659.5476695825</v>
      </c>
      <c r="R249" s="81">
        <f ca="1">SUMPRODUCT((Work_Codes!$AR$506:$AX$506=$E249)*(Work_Codes!$AR$509:$AX$510)*(R$95:R$96))</f>
        <v>1010111.8617986788</v>
      </c>
      <c r="S249" s="81">
        <f ca="1">SUMPRODUCT((Work_Codes!$AR$506:$AX$506=$E249)*(Work_Codes!$AR$509:$AX$510)*(S$95:S$96))</f>
        <v>1010569.1552044248</v>
      </c>
      <c r="T249" s="81">
        <f ca="1">SUMPRODUCT((Work_Codes!$AR$506:$AX$506=$E249)*(Work_Codes!$AR$509:$AX$510)*(T$95:T$96))</f>
        <v>1011031.4827009297</v>
      </c>
    </row>
    <row r="250" spans="3:20" outlineLevel="2">
      <c r="E250" s="247" t="str">
        <f>GC!C83</f>
        <v>Repairs</v>
      </c>
      <c r="F250" s="247"/>
      <c r="G250" s="247"/>
      <c r="H250" s="247"/>
      <c r="I250" s="247"/>
      <c r="J250" s="81">
        <f ca="1">SUMPRODUCT((Work_Codes!$AR$506:$AX$506=$E250)*(Work_Codes!$AR$509:$AX$510)*(J$95:J$96))</f>
        <v>0</v>
      </c>
      <c r="K250" s="81">
        <f ca="1">SUMPRODUCT((Work_Codes!$AR$506:$AX$506=$E250)*(Work_Codes!$AR$509:$AX$510)*(K$95:K$96))</f>
        <v>0</v>
      </c>
      <c r="L250" s="81">
        <f ca="1">SUMPRODUCT((Work_Codes!$AR$506:$AX$506=$E250)*(Work_Codes!$AR$509:$AX$510)*(L$95:L$96))</f>
        <v>0</v>
      </c>
      <c r="M250" s="81">
        <f ca="1">SUMPRODUCT((Work_Codes!$AR$506:$AX$506=$E250)*(Work_Codes!$AR$509:$AX$510)*(M$95:M$96))</f>
        <v>0</v>
      </c>
      <c r="N250" s="81">
        <f ca="1">SUMPRODUCT((Work_Codes!$AR$506:$AX$506=$E250)*(Work_Codes!$AR$509:$AX$510)*(N$95:N$96))</f>
        <v>0</v>
      </c>
      <c r="O250" s="81">
        <f ca="1">SUMPRODUCT((Work_Codes!$AR$506:$AX$506=$E250)*(Work_Codes!$AR$509:$AX$510)*(O$95:O$96))</f>
        <v>0</v>
      </c>
      <c r="P250" s="81">
        <f ca="1">SUMPRODUCT((Work_Codes!$AR$506:$AX$506=$E250)*(Work_Codes!$AR$509:$AX$510)*(P$95:P$96))</f>
        <v>0</v>
      </c>
      <c r="Q250" s="81">
        <f ca="1">SUMPRODUCT((Work_Codes!$AR$506:$AX$506=$E250)*(Work_Codes!$AR$509:$AX$510)*(Q$95:Q$96))</f>
        <v>0</v>
      </c>
      <c r="R250" s="81">
        <f ca="1">SUMPRODUCT((Work_Codes!$AR$506:$AX$506=$E250)*(Work_Codes!$AR$509:$AX$510)*(R$95:R$96))</f>
        <v>0</v>
      </c>
      <c r="S250" s="81">
        <f ca="1">SUMPRODUCT((Work_Codes!$AR$506:$AX$506=$E250)*(Work_Codes!$AR$509:$AX$510)*(S$95:S$96))</f>
        <v>0</v>
      </c>
      <c r="T250" s="81">
        <f ca="1">SUMPRODUCT((Work_Codes!$AR$506:$AX$506=$E250)*(Work_Codes!$AR$509:$AX$510)*(T$95:T$96))</f>
        <v>0</v>
      </c>
    </row>
    <row r="251" spans="3:20" outlineLevel="2">
      <c r="E251" s="247" t="str">
        <f>GC!C84</f>
        <v>Land</v>
      </c>
      <c r="F251" s="247"/>
      <c r="G251" s="247"/>
      <c r="H251" s="247"/>
      <c r="I251" s="247"/>
      <c r="J251" s="81">
        <f ca="1">SUMPRODUCT((Work_Codes!$AR$506:$AX$506=$E251)*(Work_Codes!$AR$509:$AX$510)*(J$95:J$96))</f>
        <v>0</v>
      </c>
      <c r="K251" s="81">
        <f ca="1">SUMPRODUCT((Work_Codes!$AR$506:$AX$506=$E251)*(Work_Codes!$AR$509:$AX$510)*(K$95:K$96))</f>
        <v>0</v>
      </c>
      <c r="L251" s="81">
        <f ca="1">SUMPRODUCT((Work_Codes!$AR$506:$AX$506=$E251)*(Work_Codes!$AR$509:$AX$510)*(L$95:L$96))</f>
        <v>0</v>
      </c>
      <c r="M251" s="81">
        <f ca="1">SUMPRODUCT((Work_Codes!$AR$506:$AX$506=$E251)*(Work_Codes!$AR$509:$AX$510)*(M$95:M$96))</f>
        <v>0</v>
      </c>
      <c r="N251" s="81">
        <f ca="1">SUMPRODUCT((Work_Codes!$AR$506:$AX$506=$E251)*(Work_Codes!$AR$509:$AX$510)*(N$95:N$96))</f>
        <v>0</v>
      </c>
      <c r="O251" s="81">
        <f ca="1">SUMPRODUCT((Work_Codes!$AR$506:$AX$506=$E251)*(Work_Codes!$AR$509:$AX$510)*(O$95:O$96))</f>
        <v>0</v>
      </c>
      <c r="P251" s="81">
        <f ca="1">SUMPRODUCT((Work_Codes!$AR$506:$AX$506=$E251)*(Work_Codes!$AR$509:$AX$510)*(P$95:P$96))</f>
        <v>0</v>
      </c>
      <c r="Q251" s="81">
        <f ca="1">SUMPRODUCT((Work_Codes!$AR$506:$AX$506=$E251)*(Work_Codes!$AR$509:$AX$510)*(Q$95:Q$96))</f>
        <v>0</v>
      </c>
      <c r="R251" s="81">
        <f ca="1">SUMPRODUCT((Work_Codes!$AR$506:$AX$506=$E251)*(Work_Codes!$AR$509:$AX$510)*(R$95:R$96))</f>
        <v>0</v>
      </c>
      <c r="S251" s="81">
        <f ca="1">SUMPRODUCT((Work_Codes!$AR$506:$AX$506=$E251)*(Work_Codes!$AR$509:$AX$510)*(S$95:S$96))</f>
        <v>0</v>
      </c>
      <c r="T251" s="81">
        <f ca="1">SUMPRODUCT((Work_Codes!$AR$506:$AX$506=$E251)*(Work_Codes!$AR$509:$AX$510)*(T$95:T$96))</f>
        <v>0</v>
      </c>
    </row>
    <row r="252" spans="3:20" outlineLevel="2">
      <c r="E252" s="249" t="str">
        <f>"Total "&amp;D243</f>
        <v>Total Direct Costs</v>
      </c>
      <c r="F252" s="249"/>
      <c r="G252" s="249"/>
      <c r="H252" s="249"/>
      <c r="I252" s="249"/>
      <c r="J252" s="82">
        <f t="shared" ref="J252:T252" ca="1" si="26">SUM(J245:J251)</f>
        <v>0</v>
      </c>
      <c r="K252" s="82">
        <f t="shared" ca="1" si="26"/>
        <v>0</v>
      </c>
      <c r="L252" s="82">
        <f t="shared" ca="1" si="26"/>
        <v>0</v>
      </c>
      <c r="M252" s="82">
        <f t="shared" ca="1" si="26"/>
        <v>0</v>
      </c>
      <c r="N252" s="82">
        <f t="shared" ca="1" si="26"/>
        <v>361092.5049599809</v>
      </c>
      <c r="O252" s="82">
        <f t="shared" ca="1" si="26"/>
        <v>252284.62045122919</v>
      </c>
      <c r="P252" s="82">
        <f t="shared" ca="1" si="26"/>
        <v>1009341.6498181245</v>
      </c>
      <c r="Q252" s="82">
        <f t="shared" ca="1" si="26"/>
        <v>1009659.5476695825</v>
      </c>
      <c r="R252" s="82">
        <f t="shared" ca="1" si="26"/>
        <v>1010111.8617986788</v>
      </c>
      <c r="S252" s="82">
        <f t="shared" ca="1" si="26"/>
        <v>1010569.1552044248</v>
      </c>
      <c r="T252" s="82">
        <f t="shared" ca="1" si="26"/>
        <v>1011031.4827009297</v>
      </c>
    </row>
    <row r="253" spans="3:20" outlineLevel="2"/>
    <row r="254" spans="3:20" outlineLevel="2">
      <c r="D254" s="37" t="s">
        <v>313</v>
      </c>
    </row>
    <row r="255" spans="3:20" ht="5.9" customHeight="1" outlineLevel="2"/>
    <row r="256" spans="3:20" outlineLevel="2">
      <c r="E256" s="247" t="str">
        <f>GC!C78</f>
        <v>Mains &amp; Services</v>
      </c>
      <c r="F256" s="247"/>
      <c r="G256" s="247"/>
      <c r="H256" s="247"/>
      <c r="I256" s="247"/>
      <c r="J256" s="81">
        <f ca="1">J245*(1+INDEX(J$35:J$37,MATCH(Work_Codes!$I$503,$D$35:$D$37,0)))</f>
        <v>0</v>
      </c>
      <c r="K256" s="81">
        <f ca="1">K245*(1+INDEX(K$35:K$37,MATCH(Work_Codes!$I$503,$D$35:$D$37,0)))</f>
        <v>0</v>
      </c>
      <c r="L256" s="81">
        <f ca="1">L245*(1+INDEX(L$35:L$37,MATCH(Work_Codes!$I$503,$D$35:$D$37,0)))</f>
        <v>0</v>
      </c>
      <c r="M256" s="81">
        <f ca="1">M245*(1+INDEX(M$35:M$37,MATCH(Work_Codes!$I$503,$D$35:$D$37,0)))</f>
        <v>0</v>
      </c>
      <c r="N256" s="81">
        <f ca="1">N245*(1+INDEX(N$35:N$37,MATCH(Work_Codes!$I$503,$D$35:$D$37,0)))</f>
        <v>0</v>
      </c>
      <c r="O256" s="81">
        <f ca="1">O245*(1+INDEX(O$35:O$37,MATCH(Work_Codes!$I$503,$D$35:$D$37,0)))</f>
        <v>0</v>
      </c>
      <c r="P256" s="81">
        <f ca="1">P245*(1+INDEX(P$35:P$37,MATCH(Work_Codes!$I$503,$D$35:$D$37,0)))</f>
        <v>0</v>
      </c>
      <c r="Q256" s="81">
        <f ca="1">Q245*(1+INDEX(Q$35:Q$37,MATCH(Work_Codes!$I$503,$D$35:$D$37,0)))</f>
        <v>0</v>
      </c>
      <c r="R256" s="81">
        <f ca="1">R245*(1+INDEX(R$35:R$37,MATCH(Work_Codes!$I$503,$D$35:$D$37,0)))</f>
        <v>0</v>
      </c>
      <c r="S256" s="81">
        <f ca="1">S245*(1+INDEX(S$35:S$37,MATCH(Work_Codes!$I$503,$D$35:$D$37,0)))</f>
        <v>0</v>
      </c>
      <c r="T256" s="81">
        <f ca="1">T245*(1+INDEX(T$35:T$37,MATCH(Work_Codes!$I$503,$D$35:$D$37,0)))</f>
        <v>0</v>
      </c>
    </row>
    <row r="257" spans="2:20" outlineLevel="2">
      <c r="E257" s="247" t="str">
        <f>GC!C79</f>
        <v>Meters Domestic</v>
      </c>
      <c r="F257" s="247"/>
      <c r="G257" s="247"/>
      <c r="H257" s="247"/>
      <c r="I257" s="247"/>
      <c r="J257" s="81">
        <f ca="1">J246*(1+INDEX(J$35:J$37,MATCH(Work_Codes!$I$503,$D$35:$D$37,0)))</f>
        <v>0</v>
      </c>
      <c r="K257" s="81">
        <f ca="1">K246*(1+INDEX(K$35:K$37,MATCH(Work_Codes!$I$503,$D$35:$D$37,0)))</f>
        <v>0</v>
      </c>
      <c r="L257" s="81">
        <f ca="1">L246*(1+INDEX(L$35:L$37,MATCH(Work_Codes!$I$503,$D$35:$D$37,0)))</f>
        <v>0</v>
      </c>
      <c r="M257" s="81">
        <f ca="1">M246*(1+INDEX(M$35:M$37,MATCH(Work_Codes!$I$503,$D$35:$D$37,0)))</f>
        <v>0</v>
      </c>
      <c r="N257" s="81">
        <f ca="1">N246*(1+INDEX(N$35:N$37,MATCH(Work_Codes!$I$503,$D$35:$D$37,0)))</f>
        <v>0</v>
      </c>
      <c r="O257" s="81">
        <f ca="1">O246*(1+INDEX(O$35:O$37,MATCH(Work_Codes!$I$503,$D$35:$D$37,0)))</f>
        <v>0</v>
      </c>
      <c r="P257" s="81">
        <f ca="1">P246*(1+INDEX(P$35:P$37,MATCH(Work_Codes!$I$503,$D$35:$D$37,0)))</f>
        <v>0</v>
      </c>
      <c r="Q257" s="81">
        <f ca="1">Q246*(1+INDEX(Q$35:Q$37,MATCH(Work_Codes!$I$503,$D$35:$D$37,0)))</f>
        <v>0</v>
      </c>
      <c r="R257" s="81">
        <f ca="1">R246*(1+INDEX(R$35:R$37,MATCH(Work_Codes!$I$503,$D$35:$D$37,0)))</f>
        <v>0</v>
      </c>
      <c r="S257" s="81">
        <f ca="1">S246*(1+INDEX(S$35:S$37,MATCH(Work_Codes!$I$503,$D$35:$D$37,0)))</f>
        <v>0</v>
      </c>
      <c r="T257" s="81">
        <f ca="1">T246*(1+INDEX(T$35:T$37,MATCH(Work_Codes!$I$503,$D$35:$D$37,0)))</f>
        <v>0</v>
      </c>
    </row>
    <row r="258" spans="2:20" outlineLevel="2">
      <c r="E258" s="247" t="str">
        <f>GC!C80</f>
        <v>Meters Industrial &amp; Commercial</v>
      </c>
      <c r="F258" s="247"/>
      <c r="G258" s="247"/>
      <c r="H258" s="247"/>
      <c r="I258" s="247"/>
      <c r="J258" s="81">
        <f ca="1">J247*(1+INDEX(J$35:J$37,MATCH(Work_Codes!$I$503,$D$35:$D$37,0)))</f>
        <v>0</v>
      </c>
      <c r="K258" s="81">
        <f ca="1">K247*(1+INDEX(K$35:K$37,MATCH(Work_Codes!$I$503,$D$35:$D$37,0)))</f>
        <v>0</v>
      </c>
      <c r="L258" s="81">
        <f ca="1">L247*(1+INDEX(L$35:L$37,MATCH(Work_Codes!$I$503,$D$35:$D$37,0)))</f>
        <v>0</v>
      </c>
      <c r="M258" s="81">
        <f ca="1">M247*(1+INDEX(M$35:M$37,MATCH(Work_Codes!$I$503,$D$35:$D$37,0)))</f>
        <v>0</v>
      </c>
      <c r="N258" s="81">
        <f ca="1">N247*(1+INDEX(N$35:N$37,MATCH(Work_Codes!$I$503,$D$35:$D$37,0)))</f>
        <v>0</v>
      </c>
      <c r="O258" s="81">
        <f ca="1">O247*(1+INDEX(O$35:O$37,MATCH(Work_Codes!$I$503,$D$35:$D$37,0)))</f>
        <v>0</v>
      </c>
      <c r="P258" s="81">
        <f ca="1">P247*(1+INDEX(P$35:P$37,MATCH(Work_Codes!$I$503,$D$35:$D$37,0)))</f>
        <v>0</v>
      </c>
      <c r="Q258" s="81">
        <f ca="1">Q247*(1+INDEX(Q$35:Q$37,MATCH(Work_Codes!$I$503,$D$35:$D$37,0)))</f>
        <v>0</v>
      </c>
      <c r="R258" s="81">
        <f ca="1">R247*(1+INDEX(R$35:R$37,MATCH(Work_Codes!$I$503,$D$35:$D$37,0)))</f>
        <v>0</v>
      </c>
      <c r="S258" s="81">
        <f ca="1">S247*(1+INDEX(S$35:S$37,MATCH(Work_Codes!$I$503,$D$35:$D$37,0)))</f>
        <v>0</v>
      </c>
      <c r="T258" s="81">
        <f ca="1">T247*(1+INDEX(T$35:T$37,MATCH(Work_Codes!$I$503,$D$35:$D$37,0)))</f>
        <v>0</v>
      </c>
    </row>
    <row r="259" spans="2:20" outlineLevel="2">
      <c r="E259" s="247" t="str">
        <f>GC!C81</f>
        <v>Buildings</v>
      </c>
      <c r="F259" s="247"/>
      <c r="G259" s="247"/>
      <c r="H259" s="247"/>
      <c r="I259" s="247"/>
      <c r="J259" s="81">
        <f ca="1">J248*(1+INDEX(J$35:J$37,MATCH(Work_Codes!$I$503,$D$35:$D$37,0)))</f>
        <v>0</v>
      </c>
      <c r="K259" s="81">
        <f ca="1">K248*(1+INDEX(K$35:K$37,MATCH(Work_Codes!$I$503,$D$35:$D$37,0)))</f>
        <v>0</v>
      </c>
      <c r="L259" s="81">
        <f ca="1">L248*(1+INDEX(L$35:L$37,MATCH(Work_Codes!$I$503,$D$35:$D$37,0)))</f>
        <v>0</v>
      </c>
      <c r="M259" s="81">
        <f ca="1">M248*(1+INDEX(M$35:M$37,MATCH(Work_Codes!$I$503,$D$35:$D$37,0)))</f>
        <v>0</v>
      </c>
      <c r="N259" s="81">
        <f ca="1">N248*(1+INDEX(N$35:N$37,MATCH(Work_Codes!$I$503,$D$35:$D$37,0)))</f>
        <v>0</v>
      </c>
      <c r="O259" s="81">
        <f ca="1">O248*(1+INDEX(O$35:O$37,MATCH(Work_Codes!$I$503,$D$35:$D$37,0)))</f>
        <v>0</v>
      </c>
      <c r="P259" s="81">
        <f ca="1">P248*(1+INDEX(P$35:P$37,MATCH(Work_Codes!$I$503,$D$35:$D$37,0)))</f>
        <v>0</v>
      </c>
      <c r="Q259" s="81">
        <f ca="1">Q248*(1+INDEX(Q$35:Q$37,MATCH(Work_Codes!$I$503,$D$35:$D$37,0)))</f>
        <v>0</v>
      </c>
      <c r="R259" s="81">
        <f ca="1">R248*(1+INDEX(R$35:R$37,MATCH(Work_Codes!$I$503,$D$35:$D$37,0)))</f>
        <v>0</v>
      </c>
      <c r="S259" s="81">
        <f ca="1">S248*(1+INDEX(S$35:S$37,MATCH(Work_Codes!$I$503,$D$35:$D$37,0)))</f>
        <v>0</v>
      </c>
      <c r="T259" s="81">
        <f ca="1">T248*(1+INDEX(T$35:T$37,MATCH(Work_Codes!$I$503,$D$35:$D$37,0)))</f>
        <v>0</v>
      </c>
    </row>
    <row r="260" spans="2:20" outlineLevel="2">
      <c r="E260" s="247" t="str">
        <f>GC!C82</f>
        <v>Other Assets</v>
      </c>
      <c r="F260" s="247"/>
      <c r="G260" s="247"/>
      <c r="H260" s="247"/>
      <c r="I260" s="247"/>
      <c r="J260" s="81">
        <f ca="1">J249*(1+INDEX(J$35:J$37,MATCH(Work_Codes!$I$503,$D$35:$D$37,0)))</f>
        <v>0</v>
      </c>
      <c r="K260" s="81">
        <f ca="1">K249*(1+INDEX(K$35:K$37,MATCH(Work_Codes!$I$503,$D$35:$D$37,0)))</f>
        <v>0</v>
      </c>
      <c r="L260" s="81">
        <f ca="1">L249*(1+INDEX(L$35:L$37,MATCH(Work_Codes!$I$503,$D$35:$D$37,0)))</f>
        <v>0</v>
      </c>
      <c r="M260" s="81">
        <f ca="1">M249*(1+INDEX(M$35:M$37,MATCH(Work_Codes!$I$503,$D$35:$D$37,0)))</f>
        <v>0</v>
      </c>
      <c r="N260" s="81">
        <f ca="1">N249*(1+INDEX(N$35:N$37,MATCH(Work_Codes!$I$503,$D$35:$D$37,0)))</f>
        <v>361092.5049599809</v>
      </c>
      <c r="O260" s="81">
        <f ca="1">O249*(1+INDEX(O$35:O$37,MATCH(Work_Codes!$I$503,$D$35:$D$37,0)))</f>
        <v>252284.62045122919</v>
      </c>
      <c r="P260" s="81">
        <f ca="1">P249*(1+INDEX(P$35:P$37,MATCH(Work_Codes!$I$503,$D$35:$D$37,0)))</f>
        <v>1009341.6498181245</v>
      </c>
      <c r="Q260" s="81">
        <f ca="1">Q249*(1+INDEX(Q$35:Q$37,MATCH(Work_Codes!$I$503,$D$35:$D$37,0)))</f>
        <v>1009659.5476695825</v>
      </c>
      <c r="R260" s="81">
        <f ca="1">R249*(1+INDEX(R$35:R$37,MATCH(Work_Codes!$I$503,$D$35:$D$37,0)))</f>
        <v>1010111.8617986788</v>
      </c>
      <c r="S260" s="81">
        <f ca="1">S249*(1+INDEX(S$35:S$37,MATCH(Work_Codes!$I$503,$D$35:$D$37,0)))</f>
        <v>1010569.1552044248</v>
      </c>
      <c r="T260" s="81">
        <f ca="1">T249*(1+INDEX(T$35:T$37,MATCH(Work_Codes!$I$503,$D$35:$D$37,0)))</f>
        <v>1011031.4827009297</v>
      </c>
    </row>
    <row r="261" spans="2:20" outlineLevel="2">
      <c r="E261" s="247" t="str">
        <f>GC!C83</f>
        <v>Repairs</v>
      </c>
      <c r="F261" s="247"/>
      <c r="G261" s="247"/>
      <c r="H261" s="247"/>
      <c r="I261" s="247"/>
      <c r="J261" s="81">
        <f ca="1">J250*(1+INDEX(J$35:J$37,MATCH(Work_Codes!$I$503,$D$35:$D$37,0)))</f>
        <v>0</v>
      </c>
      <c r="K261" s="81">
        <f ca="1">K250*(1+INDEX(K$35:K$37,MATCH(Work_Codes!$I$503,$D$35:$D$37,0)))</f>
        <v>0</v>
      </c>
      <c r="L261" s="81">
        <f ca="1">L250*(1+INDEX(L$35:L$37,MATCH(Work_Codes!$I$503,$D$35:$D$37,0)))</f>
        <v>0</v>
      </c>
      <c r="M261" s="81">
        <f ca="1">M250*(1+INDEX(M$35:M$37,MATCH(Work_Codes!$I$503,$D$35:$D$37,0)))</f>
        <v>0</v>
      </c>
      <c r="N261" s="81">
        <f ca="1">N250*(1+INDEX(N$35:N$37,MATCH(Work_Codes!$I$503,$D$35:$D$37,0)))</f>
        <v>0</v>
      </c>
      <c r="O261" s="81">
        <f ca="1">O250*(1+INDEX(O$35:O$37,MATCH(Work_Codes!$I$503,$D$35:$D$37,0)))</f>
        <v>0</v>
      </c>
      <c r="P261" s="81">
        <f ca="1">P250*(1+INDEX(P$35:P$37,MATCH(Work_Codes!$I$503,$D$35:$D$37,0)))</f>
        <v>0</v>
      </c>
      <c r="Q261" s="81">
        <f ca="1">Q250*(1+INDEX(Q$35:Q$37,MATCH(Work_Codes!$I$503,$D$35:$D$37,0)))</f>
        <v>0</v>
      </c>
      <c r="R261" s="81">
        <f ca="1">R250*(1+INDEX(R$35:R$37,MATCH(Work_Codes!$I$503,$D$35:$D$37,0)))</f>
        <v>0</v>
      </c>
      <c r="S261" s="81">
        <f ca="1">S250*(1+INDEX(S$35:S$37,MATCH(Work_Codes!$I$503,$D$35:$D$37,0)))</f>
        <v>0</v>
      </c>
      <c r="T261" s="81">
        <f ca="1">T250*(1+INDEX(T$35:T$37,MATCH(Work_Codes!$I$503,$D$35:$D$37,0)))</f>
        <v>0</v>
      </c>
    </row>
    <row r="262" spans="2:20" outlineLevel="2">
      <c r="E262" s="247" t="str">
        <f>GC!C84</f>
        <v>Land</v>
      </c>
      <c r="F262" s="247"/>
      <c r="G262" s="247"/>
      <c r="H262" s="247"/>
      <c r="I262" s="247"/>
      <c r="J262" s="81">
        <f ca="1">J251*(1+INDEX(J$35:J$37,MATCH(Work_Codes!$I$503,$D$35:$D$37,0)))</f>
        <v>0</v>
      </c>
      <c r="K262" s="81">
        <f ca="1">K251*(1+INDEX(K$35:K$37,MATCH(Work_Codes!$I$503,$D$35:$D$37,0)))</f>
        <v>0</v>
      </c>
      <c r="L262" s="81">
        <f ca="1">L251*(1+INDEX(L$35:L$37,MATCH(Work_Codes!$I$503,$D$35:$D$37,0)))</f>
        <v>0</v>
      </c>
      <c r="M262" s="81">
        <f ca="1">M251*(1+INDEX(M$35:M$37,MATCH(Work_Codes!$I$503,$D$35:$D$37,0)))</f>
        <v>0</v>
      </c>
      <c r="N262" s="81">
        <f ca="1">N251*(1+INDEX(N$35:N$37,MATCH(Work_Codes!$I$503,$D$35:$D$37,0)))</f>
        <v>0</v>
      </c>
      <c r="O262" s="81">
        <f ca="1">O251*(1+INDEX(O$35:O$37,MATCH(Work_Codes!$I$503,$D$35:$D$37,0)))</f>
        <v>0</v>
      </c>
      <c r="P262" s="81">
        <f ca="1">P251*(1+INDEX(P$35:P$37,MATCH(Work_Codes!$I$503,$D$35:$D$37,0)))</f>
        <v>0</v>
      </c>
      <c r="Q262" s="81">
        <f ca="1">Q251*(1+INDEX(Q$35:Q$37,MATCH(Work_Codes!$I$503,$D$35:$D$37,0)))</f>
        <v>0</v>
      </c>
      <c r="R262" s="81">
        <f ca="1">R251*(1+INDEX(R$35:R$37,MATCH(Work_Codes!$I$503,$D$35:$D$37,0)))</f>
        <v>0</v>
      </c>
      <c r="S262" s="81">
        <f ca="1">S251*(1+INDEX(S$35:S$37,MATCH(Work_Codes!$I$503,$D$35:$D$37,0)))</f>
        <v>0</v>
      </c>
      <c r="T262" s="81">
        <f ca="1">T251*(1+INDEX(T$35:T$37,MATCH(Work_Codes!$I$503,$D$35:$D$37,0)))</f>
        <v>0</v>
      </c>
    </row>
    <row r="263" spans="2:20" outlineLevel="2">
      <c r="E263" s="249" t="str">
        <f>"Total "&amp;D254</f>
        <v>Total Direct Costs +  Overheads</v>
      </c>
      <c r="F263" s="249"/>
      <c r="G263" s="249"/>
      <c r="H263" s="249"/>
      <c r="I263" s="249"/>
      <c r="J263" s="82">
        <f t="shared" ref="J263:T263" ca="1" si="27">SUM(J256:J262)</f>
        <v>0</v>
      </c>
      <c r="K263" s="82">
        <f t="shared" ca="1" si="27"/>
        <v>0</v>
      </c>
      <c r="L263" s="82">
        <f t="shared" ca="1" si="27"/>
        <v>0</v>
      </c>
      <c r="M263" s="82">
        <f t="shared" ca="1" si="27"/>
        <v>0</v>
      </c>
      <c r="N263" s="82">
        <f t="shared" ca="1" si="27"/>
        <v>361092.5049599809</v>
      </c>
      <c r="O263" s="82">
        <f t="shared" ca="1" si="27"/>
        <v>252284.62045122919</v>
      </c>
      <c r="P263" s="82">
        <f t="shared" ca="1" si="27"/>
        <v>1009341.6498181245</v>
      </c>
      <c r="Q263" s="82">
        <f t="shared" ca="1" si="27"/>
        <v>1009659.5476695825</v>
      </c>
      <c r="R263" s="82">
        <f t="shared" ca="1" si="27"/>
        <v>1010111.8617986788</v>
      </c>
      <c r="S263" s="82">
        <f t="shared" ca="1" si="27"/>
        <v>1010569.1552044248</v>
      </c>
      <c r="T263" s="82">
        <f t="shared" ca="1" si="27"/>
        <v>1011031.4827009297</v>
      </c>
    </row>
    <row r="264" spans="2:20" outlineLevel="1">
      <c r="B264" s="12"/>
      <c r="C264" s="12"/>
      <c r="D264" s="12"/>
      <c r="E264" s="12"/>
      <c r="F264" s="12"/>
      <c r="G264" s="12"/>
      <c r="H264" s="12"/>
      <c r="I264" s="12"/>
      <c r="J264" s="12"/>
      <c r="K264" s="12"/>
      <c r="L264" s="12"/>
      <c r="M264" s="12"/>
      <c r="N264" s="12"/>
      <c r="O264" s="12"/>
      <c r="P264" s="12"/>
      <c r="Q264" s="12"/>
      <c r="R264" s="12"/>
      <c r="S264" s="12"/>
      <c r="T264" s="12"/>
    </row>
    <row r="265" spans="2:20" outlineLevel="1"/>
    <row r="266" spans="2:20" outlineLevel="1">
      <c r="C266" s="37" t="s">
        <v>19</v>
      </c>
    </row>
    <row r="267" spans="2:20" ht="5.9" customHeight="1" outlineLevel="1"/>
    <row r="268" spans="2:20" outlineLevel="1">
      <c r="F268" s="51" t="str">
        <f>$B$23&amp;" Work Code v RAB Category Direct Check"</f>
        <v>3031 - Inputs Work Code v RAB Category Direct Check</v>
      </c>
      <c r="I268" s="130">
        <f ca="1">IF(ISERROR(SUM(J268:T268)),1,MIN(SUM(J268:T268),1))</f>
        <v>0</v>
      </c>
      <c r="J268" s="81">
        <f t="shared" ref="J268:T268" ca="1" si="28">J98-J121</f>
        <v>0</v>
      </c>
      <c r="K268" s="81">
        <f t="shared" ca="1" si="28"/>
        <v>0</v>
      </c>
      <c r="L268" s="81">
        <f t="shared" ca="1" si="28"/>
        <v>0</v>
      </c>
      <c r="M268" s="81">
        <f t="shared" ca="1" si="28"/>
        <v>0</v>
      </c>
      <c r="N268" s="81">
        <f t="shared" ca="1" si="28"/>
        <v>0</v>
      </c>
      <c r="O268" s="81">
        <f t="shared" ca="1" si="28"/>
        <v>0</v>
      </c>
      <c r="P268" s="81">
        <f t="shared" ca="1" si="28"/>
        <v>0</v>
      </c>
      <c r="Q268" s="81">
        <f t="shared" ca="1" si="28"/>
        <v>0</v>
      </c>
      <c r="R268" s="81">
        <f t="shared" ca="1" si="28"/>
        <v>0</v>
      </c>
      <c r="S268" s="81">
        <f t="shared" ca="1" si="28"/>
        <v>0</v>
      </c>
      <c r="T268" s="81">
        <f t="shared" ca="1" si="28"/>
        <v>0</v>
      </c>
    </row>
    <row r="269" spans="2:20" outlineLevel="1">
      <c r="F269" s="51" t="str">
        <f>$B$23&amp;" Work Code v RIN Category Direct Check"</f>
        <v>3031 - Inputs Work Code v RIN Category Direct Check</v>
      </c>
      <c r="I269" s="130">
        <f ca="1">IF(ISERROR(SUM(J269:T269)),1,MIN(SUM(J269:T269),1))</f>
        <v>0</v>
      </c>
      <c r="J269" s="81">
        <f t="shared" ref="J269:T269" ca="1" si="29">J98-J202</f>
        <v>0</v>
      </c>
      <c r="K269" s="81">
        <f t="shared" ca="1" si="29"/>
        <v>0</v>
      </c>
      <c r="L269" s="81">
        <f t="shared" ca="1" si="29"/>
        <v>0</v>
      </c>
      <c r="M269" s="81">
        <f t="shared" ca="1" si="29"/>
        <v>0</v>
      </c>
      <c r="N269" s="81">
        <f t="shared" ca="1" si="29"/>
        <v>0</v>
      </c>
      <c r="O269" s="81">
        <f t="shared" ca="1" si="29"/>
        <v>0</v>
      </c>
      <c r="P269" s="81">
        <f t="shared" ca="1" si="29"/>
        <v>0</v>
      </c>
      <c r="Q269" s="81">
        <f t="shared" ca="1" si="29"/>
        <v>0</v>
      </c>
      <c r="R269" s="81">
        <f t="shared" ca="1" si="29"/>
        <v>0</v>
      </c>
      <c r="S269" s="81">
        <f t="shared" ca="1" si="29"/>
        <v>0</v>
      </c>
      <c r="T269" s="81">
        <f t="shared" ca="1" si="29"/>
        <v>0</v>
      </c>
    </row>
    <row r="270" spans="2:20" outlineLevel="1">
      <c r="F270" s="51" t="str">
        <f>$B$23&amp;" Work Code v Tax Category Direct Check"</f>
        <v>3031 - Inputs Work Code v Tax Category Direct Check</v>
      </c>
      <c r="I270" s="130">
        <f ca="1">IF(ISERROR(SUM(J270:T270)),1,MIN(SUM(J270:T270),1))</f>
        <v>0</v>
      </c>
      <c r="J270" s="81">
        <f t="shared" ref="J270:T270" ca="1" si="30">J98-J252</f>
        <v>0</v>
      </c>
      <c r="K270" s="81">
        <f t="shared" ca="1" si="30"/>
        <v>0</v>
      </c>
      <c r="L270" s="81">
        <f t="shared" ca="1" si="30"/>
        <v>0</v>
      </c>
      <c r="M270" s="81">
        <f t="shared" ca="1" si="30"/>
        <v>0</v>
      </c>
      <c r="N270" s="81">
        <f t="shared" ca="1" si="30"/>
        <v>0</v>
      </c>
      <c r="O270" s="81">
        <f t="shared" ca="1" si="30"/>
        <v>0</v>
      </c>
      <c r="P270" s="81">
        <f t="shared" ca="1" si="30"/>
        <v>0</v>
      </c>
      <c r="Q270" s="81">
        <f t="shared" ca="1" si="30"/>
        <v>0</v>
      </c>
      <c r="R270" s="81">
        <f t="shared" ca="1" si="30"/>
        <v>0</v>
      </c>
      <c r="S270" s="81">
        <f t="shared" ca="1" si="30"/>
        <v>0</v>
      </c>
      <c r="T270" s="81">
        <f t="shared" ca="1" si="30"/>
        <v>0</v>
      </c>
    </row>
    <row r="271" spans="2:20" outlineLevel="1">
      <c r="F271" s="51" t="str">
        <f>$B$23&amp;" Customer Contributions v RAB Category Direct Check"</f>
        <v>3031 - Inputs Customer Contributions v RAB Category Direct Check</v>
      </c>
      <c r="I271" s="130">
        <f ca="1">IF(ISERROR(SUM(J271:T271)),1,MIN(SUM(J271:T271),1))</f>
        <v>0</v>
      </c>
      <c r="J271" s="81">
        <f t="shared" ref="J271:T271" ca="1" si="31">J67-J181</f>
        <v>0</v>
      </c>
      <c r="K271" s="81">
        <f t="shared" ca="1" si="31"/>
        <v>0</v>
      </c>
      <c r="L271" s="81">
        <f t="shared" ca="1" si="31"/>
        <v>0</v>
      </c>
      <c r="M271" s="81">
        <f t="shared" ca="1" si="31"/>
        <v>0</v>
      </c>
      <c r="N271" s="81">
        <f t="shared" ca="1" si="31"/>
        <v>0</v>
      </c>
      <c r="O271" s="81">
        <f t="shared" ca="1" si="31"/>
        <v>0</v>
      </c>
      <c r="P271" s="81">
        <f t="shared" ca="1" si="31"/>
        <v>0</v>
      </c>
      <c r="Q271" s="81">
        <f t="shared" ca="1" si="31"/>
        <v>0</v>
      </c>
      <c r="R271" s="81">
        <f t="shared" ca="1" si="31"/>
        <v>0</v>
      </c>
      <c r="S271" s="81">
        <f t="shared" ca="1" si="31"/>
        <v>0</v>
      </c>
      <c r="T271" s="81">
        <f t="shared" ca="1" si="31"/>
        <v>0</v>
      </c>
    </row>
    <row r="272" spans="2:20" ht="5.9" customHeight="1" outlineLevel="1"/>
    <row r="273" spans="2:20" outlineLevel="1">
      <c r="F273" s="51" t="str">
        <f>$B$23&amp;" RAB v RIN Direct + Overhead Check"</f>
        <v>3031 - Inputs RAB v RIN Direct + Overhead Check</v>
      </c>
      <c r="I273" s="130">
        <f ca="1">IF(ISERROR(SUM(J273:T273)),1,MIN(SUM(J273:T273),1))</f>
        <v>0</v>
      </c>
      <c r="J273" s="81">
        <f t="shared" ref="J273:T273" ca="1" si="32">J161-J220</f>
        <v>0</v>
      </c>
      <c r="K273" s="81">
        <f t="shared" ca="1" si="32"/>
        <v>0</v>
      </c>
      <c r="L273" s="81">
        <f t="shared" ca="1" si="32"/>
        <v>0</v>
      </c>
      <c r="M273" s="81">
        <f t="shared" ca="1" si="32"/>
        <v>0</v>
      </c>
      <c r="N273" s="81">
        <f t="shared" ca="1" si="32"/>
        <v>0</v>
      </c>
      <c r="O273" s="81">
        <f t="shared" ca="1" si="32"/>
        <v>0</v>
      </c>
      <c r="P273" s="81">
        <f t="shared" ca="1" si="32"/>
        <v>0</v>
      </c>
      <c r="Q273" s="81">
        <f t="shared" ca="1" si="32"/>
        <v>0</v>
      </c>
      <c r="R273" s="81">
        <f t="shared" ca="1" si="32"/>
        <v>0</v>
      </c>
      <c r="S273" s="81">
        <f t="shared" ca="1" si="32"/>
        <v>0</v>
      </c>
      <c r="T273" s="81">
        <f t="shared" ca="1" si="32"/>
        <v>0</v>
      </c>
    </row>
    <row r="274" spans="2:20" outlineLevel="1">
      <c r="F274" s="51" t="str">
        <f>$B$23&amp;" RAB v Tax Direct + Overhead Check"</f>
        <v>3031 - Inputs RAB v Tax Direct + Overhead Check</v>
      </c>
      <c r="I274" s="130">
        <f ca="1">IF(ISERROR(SUM(J274:T274)),1,MIN(SUM(J274:T274),1))</f>
        <v>0</v>
      </c>
      <c r="J274" s="81">
        <f t="shared" ref="J274:T274" ca="1" si="33">J161-J263</f>
        <v>0</v>
      </c>
      <c r="K274" s="81">
        <f t="shared" ca="1" si="33"/>
        <v>0</v>
      </c>
      <c r="L274" s="81">
        <f t="shared" ca="1" si="33"/>
        <v>0</v>
      </c>
      <c r="M274" s="81">
        <f t="shared" ca="1" si="33"/>
        <v>0</v>
      </c>
      <c r="N274" s="81">
        <f t="shared" ca="1" si="33"/>
        <v>0</v>
      </c>
      <c r="O274" s="81">
        <f t="shared" ca="1" si="33"/>
        <v>0</v>
      </c>
      <c r="P274" s="81">
        <f t="shared" ca="1" si="33"/>
        <v>0</v>
      </c>
      <c r="Q274" s="81">
        <f t="shared" ca="1" si="33"/>
        <v>0</v>
      </c>
      <c r="R274" s="81">
        <f t="shared" ca="1" si="33"/>
        <v>0</v>
      </c>
      <c r="S274" s="81">
        <f t="shared" ca="1" si="33"/>
        <v>0</v>
      </c>
      <c r="T274" s="81">
        <f t="shared" ca="1" si="33"/>
        <v>0</v>
      </c>
    </row>
    <row r="275" spans="2:20" ht="12" outlineLevel="1" thickBot="1">
      <c r="B275" s="94"/>
      <c r="C275" s="94"/>
      <c r="D275" s="94"/>
      <c r="E275" s="94"/>
      <c r="F275" s="94"/>
      <c r="G275" s="94"/>
      <c r="H275" s="94"/>
      <c r="I275" s="94"/>
      <c r="J275" s="94"/>
      <c r="K275" s="94"/>
      <c r="L275" s="94"/>
      <c r="M275" s="94"/>
      <c r="N275" s="94"/>
      <c r="O275" s="94"/>
      <c r="P275" s="94"/>
      <c r="Q275" s="94"/>
      <c r="R275" s="94"/>
      <c r="S275" s="94"/>
      <c r="T275" s="94"/>
    </row>
  </sheetData>
  <sheetProtection formatColumns="0" formatRows="0"/>
  <mergeCells count="135">
    <mergeCell ref="E238:I238"/>
    <mergeCell ref="E224:I224"/>
    <mergeCell ref="E225:I225"/>
    <mergeCell ref="E226:I226"/>
    <mergeCell ref="E227:I227"/>
    <mergeCell ref="E228:I228"/>
    <mergeCell ref="E229:I229"/>
    <mergeCell ref="E230:I230"/>
    <mergeCell ref="E231:I231"/>
    <mergeCell ref="E232:I232"/>
    <mergeCell ref="E233:I233"/>
    <mergeCell ref="E234:I234"/>
    <mergeCell ref="E235:I235"/>
    <mergeCell ref="E236:I236"/>
    <mergeCell ref="E237:I237"/>
    <mergeCell ref="E180:I180"/>
    <mergeCell ref="E136:I136"/>
    <mergeCell ref="E188:I188"/>
    <mergeCell ref="E189:I189"/>
    <mergeCell ref="E190:I190"/>
    <mergeCell ref="E191:I191"/>
    <mergeCell ref="E197:I197"/>
    <mergeCell ref="E215:I215"/>
    <mergeCell ref="E201:I201"/>
    <mergeCell ref="E181:I181"/>
    <mergeCell ref="E165:I165"/>
    <mergeCell ref="E166:I166"/>
    <mergeCell ref="E167:I167"/>
    <mergeCell ref="E168:I168"/>
    <mergeCell ref="E169:I169"/>
    <mergeCell ref="E170:I170"/>
    <mergeCell ref="E171:I171"/>
    <mergeCell ref="E172:I172"/>
    <mergeCell ref="E173:I173"/>
    <mergeCell ref="E174:I174"/>
    <mergeCell ref="E175:I175"/>
    <mergeCell ref="E176:I176"/>
    <mergeCell ref="E177:I177"/>
    <mergeCell ref="E178:I178"/>
    <mergeCell ref="E179:I179"/>
    <mergeCell ref="D61:I61"/>
    <mergeCell ref="D77:I77"/>
    <mergeCell ref="D84:I84"/>
    <mergeCell ref="D91:I91"/>
    <mergeCell ref="D98:I98"/>
    <mergeCell ref="E129:I129"/>
    <mergeCell ref="E130:I130"/>
    <mergeCell ref="E131:I131"/>
    <mergeCell ref="D67:I67"/>
    <mergeCell ref="E105:I105"/>
    <mergeCell ref="E106:I106"/>
    <mergeCell ref="E107:I107"/>
    <mergeCell ref="E108:I108"/>
    <mergeCell ref="E109:I109"/>
    <mergeCell ref="E110:I110"/>
    <mergeCell ref="E111:I111"/>
    <mergeCell ref="E112:I112"/>
    <mergeCell ref="E113:I113"/>
    <mergeCell ref="E114:I114"/>
    <mergeCell ref="E116:I116"/>
    <mergeCell ref="E121:I121"/>
    <mergeCell ref="E117:I117"/>
    <mergeCell ref="E118:I118"/>
    <mergeCell ref="E119:I119"/>
    <mergeCell ref="E263:I263"/>
    <mergeCell ref="E256:I256"/>
    <mergeCell ref="E257:I257"/>
    <mergeCell ref="E258:I258"/>
    <mergeCell ref="E259:I259"/>
    <mergeCell ref="E260:I260"/>
    <mergeCell ref="E261:I261"/>
    <mergeCell ref="E262:I262"/>
    <mergeCell ref="E252:I252"/>
    <mergeCell ref="E249:I249"/>
    <mergeCell ref="E250:I250"/>
    <mergeCell ref="E251:I251"/>
    <mergeCell ref="E220:I220"/>
    <mergeCell ref="E245:I245"/>
    <mergeCell ref="E246:I246"/>
    <mergeCell ref="E202:I202"/>
    <mergeCell ref="E206:I206"/>
    <mergeCell ref="E207:I207"/>
    <mergeCell ref="E208:I208"/>
    <mergeCell ref="E209:I209"/>
    <mergeCell ref="E210:I210"/>
    <mergeCell ref="E211:I211"/>
    <mergeCell ref="E212:I212"/>
    <mergeCell ref="E115:I115"/>
    <mergeCell ref="E154:I154"/>
    <mergeCell ref="E155:I155"/>
    <mergeCell ref="E199:I199"/>
    <mergeCell ref="E200:I200"/>
    <mergeCell ref="E161:I161"/>
    <mergeCell ref="E192:I192"/>
    <mergeCell ref="E193:I193"/>
    <mergeCell ref="E194:I194"/>
    <mergeCell ref="E195:I195"/>
    <mergeCell ref="E196:I196"/>
    <mergeCell ref="E198:I198"/>
    <mergeCell ref="E141:I141"/>
    <mergeCell ref="E125:I125"/>
    <mergeCell ref="E126:I126"/>
    <mergeCell ref="E127:I127"/>
    <mergeCell ref="E135:I135"/>
    <mergeCell ref="E146:I146"/>
    <mergeCell ref="E147:I147"/>
    <mergeCell ref="E148:I148"/>
    <mergeCell ref="E151:I151"/>
    <mergeCell ref="E152:I152"/>
    <mergeCell ref="E153:I153"/>
    <mergeCell ref="E145:I145"/>
    <mergeCell ref="E213:I213"/>
    <mergeCell ref="E214:I214"/>
    <mergeCell ref="E216:I216"/>
    <mergeCell ref="E217:I217"/>
    <mergeCell ref="E247:I247"/>
    <mergeCell ref="E248:I248"/>
    <mergeCell ref="E219:I219"/>
    <mergeCell ref="E218:I218"/>
    <mergeCell ref="E120:I120"/>
    <mergeCell ref="E137:I137"/>
    <mergeCell ref="E138:I138"/>
    <mergeCell ref="E139:I139"/>
    <mergeCell ref="E140:I140"/>
    <mergeCell ref="E157:I157"/>
    <mergeCell ref="E158:I158"/>
    <mergeCell ref="E159:I159"/>
    <mergeCell ref="E160:I160"/>
    <mergeCell ref="E156:I156"/>
    <mergeCell ref="E149:I149"/>
    <mergeCell ref="E150:I150"/>
    <mergeCell ref="E128:I128"/>
    <mergeCell ref="E132:I132"/>
    <mergeCell ref="E133:I133"/>
    <mergeCell ref="E134:I134"/>
  </mergeCells>
  <conditionalFormatting sqref="I268">
    <cfRule type="cellIs" dxfId="671" priority="1" operator="notEqual">
      <formula>0</formula>
    </cfRule>
  </conditionalFormatting>
  <conditionalFormatting sqref="J268:T268">
    <cfRule type="cellIs" dxfId="670" priority="3" operator="notEqual">
      <formula>0</formula>
    </cfRule>
  </conditionalFormatting>
  <conditionalFormatting sqref="I269">
    <cfRule type="cellIs" dxfId="669" priority="5" operator="notEqual">
      <formula>0</formula>
    </cfRule>
  </conditionalFormatting>
  <conditionalFormatting sqref="J269:T269">
    <cfRule type="cellIs" dxfId="668" priority="7" operator="notEqual">
      <formula>0</formula>
    </cfRule>
  </conditionalFormatting>
  <conditionalFormatting sqref="I270">
    <cfRule type="cellIs" dxfId="667" priority="9" operator="notEqual">
      <formula>0</formula>
    </cfRule>
  </conditionalFormatting>
  <conditionalFormatting sqref="J270:T270">
    <cfRule type="cellIs" dxfId="666" priority="11" operator="notEqual">
      <formula>0</formula>
    </cfRule>
  </conditionalFormatting>
  <conditionalFormatting sqref="I273">
    <cfRule type="cellIs" dxfId="665" priority="13" operator="notEqual">
      <formula>0</formula>
    </cfRule>
  </conditionalFormatting>
  <conditionalFormatting sqref="J273:T273">
    <cfRule type="cellIs" dxfId="664" priority="15" operator="notEqual">
      <formula>0</formula>
    </cfRule>
  </conditionalFormatting>
  <conditionalFormatting sqref="I274">
    <cfRule type="cellIs" dxfId="663" priority="17" operator="notEqual">
      <formula>0</formula>
    </cfRule>
  </conditionalFormatting>
  <conditionalFormatting sqref="J274:T274">
    <cfRule type="cellIs" dxfId="662" priority="19" operator="notEqual">
      <formula>0</formula>
    </cfRule>
  </conditionalFormatting>
  <conditionalFormatting sqref="I271">
    <cfRule type="cellIs" dxfId="661" priority="21" operator="notEqual">
      <formula>0</formula>
    </cfRule>
  </conditionalFormatting>
  <conditionalFormatting sqref="J271:T271">
    <cfRule type="cellIs" dxfId="660" priority="23" operator="notEqual">
      <formula>0</formula>
    </cfRule>
  </conditionalFormatting>
  <dataValidations count="1">
    <dataValidation type="custom" showErrorMessage="1" errorTitle="Invalid Assumption" error="Assumption must be a number." sqref="J51:T52 J44:T45 J65:T65" xr:uid="{FBB2D7B0-A9EA-4CB9-B00D-1EDA9167F6CE}">
      <formula1>NOT(ISERROR(J44/1))</formula1>
    </dataValidation>
  </dataValidations>
  <hyperlinks>
    <hyperlink ref="A1" location="HL_Home" tooltip="Go to Table of Contents" display="HL_Home" xr:uid="{380F3FC5-9CC3-4C3B-BD62-D93F33EE2F7D}"/>
    <hyperlink ref="A2" location="HL_Err_Chk" tooltip="Go to Error Checks" display="HL_Err_Chk" xr:uid="{B1D68D53-AE87-472A-9C7A-F5DA66A47FA5}"/>
  </hyperlinks>
  <pageMargins left="0.39370078740157499" right="0.39370078740157499" top="0.59055118110236204" bottom="0.98425196850393704" header="0" footer="0.31496062992126"/>
  <pageSetup paperSize="9" orientation="landscape" r:id="rId1"/>
  <headerFooter>
    <oddFooter>&amp;L&amp;F
&amp;A
Printed: &amp;T on &amp;D&amp;CPage &amp;P of &amp;N</oddFooter>
  </headerFooter>
  <customProperties>
    <customPr name="EpmWorksheetKeyString_GUID" r:id="rId2"/>
  </customProperties>
  <legacyDrawing r:id="rId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0494C8-C2F0-44CF-9776-20C9FA0408EC}">
  <sheetPr>
    <pageSetUpPr autoPageBreaks="0" fitToPage="1"/>
  </sheetPr>
  <dimension ref="C9:G20"/>
  <sheetViews>
    <sheetView showGridLines="0" topLeftCell="A4" zoomScaleNormal="100" workbookViewId="0">
      <selection activeCell="I248" sqref="I248"/>
    </sheetView>
  </sheetViews>
  <sheetFormatPr defaultColWidth="11.59765625" defaultRowHeight="11.5"/>
  <cols>
    <col min="3" max="6" width="3.59765625" customWidth="1"/>
  </cols>
  <sheetData>
    <row r="9" spans="3:7" ht="14">
      <c r="C9" s="6" t="s">
        <v>126</v>
      </c>
    </row>
    <row r="10" spans="3:7" ht="13">
      <c r="C10" s="9" t="s">
        <v>68</v>
      </c>
    </row>
    <row r="11" spans="3:7" ht="13">
      <c r="C11" s="7" t="str">
        <f ca="1">Model_Name</f>
        <v>GAAR Capex Forecast</v>
      </c>
    </row>
    <row r="12" spans="3:7">
      <c r="C12" s="224" t="s">
        <v>8</v>
      </c>
      <c r="D12" s="224"/>
      <c r="E12" s="224"/>
      <c r="F12" s="224"/>
      <c r="G12" s="224"/>
    </row>
    <row r="13" spans="3:7">
      <c r="C13" s="8" t="s">
        <v>9</v>
      </c>
      <c r="D13" s="22" t="s">
        <v>24</v>
      </c>
    </row>
    <row r="17" spans="3:3">
      <c r="C17" s="1" t="s">
        <v>4</v>
      </c>
    </row>
    <row r="18" spans="3:3">
      <c r="C18" s="5" t="s">
        <v>5</v>
      </c>
    </row>
    <row r="19" spans="3:3">
      <c r="C19" s="5" t="s">
        <v>6</v>
      </c>
    </row>
    <row r="20" spans="3:3">
      <c r="C20" s="5" t="s">
        <v>7</v>
      </c>
    </row>
  </sheetData>
  <mergeCells count="1">
    <mergeCell ref="C12:G12"/>
  </mergeCells>
  <hyperlinks>
    <hyperlink ref="D13" location="HL_Sheet_Main_7" tooltip="Go to Next Sheet" display="HL_Sheet_Main_7" xr:uid="{4C8670E4-A93F-481A-8FB9-FFC03234C8F2}"/>
    <hyperlink ref="C13" location="HL_Sheet_Main_67" tooltip="Go to Previous Sheet" display="HL_Sheet_Main_67" xr:uid="{6D5A2E5D-3AE1-4F38-9283-C4A97A68DFFE}"/>
    <hyperlink ref="C12" location="HL_Home" tooltip="Go to Table of Contents" display="HL_Home" xr:uid="{E983E671-0623-4474-84F9-43E59C1F51B9}"/>
  </hyperlinks>
  <pageMargins left="0.39370078740157499" right="0.39370078740157499" top="0.59055118110236204" bottom="0.98425196850393704" header="0" footer="0.31496062992126"/>
  <pageSetup paperSize="9" orientation="landscape" r:id="rId1"/>
  <headerFooter>
    <oddFooter>&amp;L&amp;F
&amp;A
Printed: &amp;T on &amp;D&amp;CPage &amp;P of &amp;N</oddFooter>
  </headerFooter>
  <customProperties>
    <customPr name="EpmWorksheetKeyString_GUID" r:id="rId2"/>
  </customProperties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841FD9-3A6A-4AEA-806A-5F9722EA3C2A}">
  <sheetPr>
    <pageSetUpPr autoPageBreaks="0"/>
  </sheetPr>
  <dimension ref="A1:V269"/>
  <sheetViews>
    <sheetView showGridLines="0" zoomScaleNormal="100" workbookViewId="0">
      <pane xSplit="9" ySplit="21" topLeftCell="J177" activePane="bottomRight" state="frozen"/>
      <selection activeCell="I248" sqref="I248"/>
      <selection pane="topRight" activeCell="I248" sqref="I248"/>
      <selection pane="bottomLeft" activeCell="I248" sqref="I248"/>
      <selection pane="bottomRight" activeCell="N177" sqref="N177:T177"/>
    </sheetView>
  </sheetViews>
  <sheetFormatPr defaultColWidth="11.59765625" defaultRowHeight="11.5" outlineLevelRow="3"/>
  <cols>
    <col min="1" max="5" width="3.59765625" customWidth="1"/>
    <col min="6" max="7" width="15.59765625" customWidth="1"/>
    <col min="10" max="13" width="13.09765625" bestFit="1" customWidth="1"/>
    <col min="14" max="15" width="13.69921875" bestFit="1" customWidth="1"/>
    <col min="16" max="20" width="13.8984375" bestFit="1" customWidth="1"/>
  </cols>
  <sheetData>
    <row r="1" spans="1:20" ht="14">
      <c r="A1" s="10" t="s">
        <v>11</v>
      </c>
      <c r="B1" s="6" t="s">
        <v>459</v>
      </c>
    </row>
    <row r="2" spans="1:20" ht="13">
      <c r="A2" s="23" t="s">
        <v>26</v>
      </c>
      <c r="B2" s="7" t="str">
        <f ca="1">Model_Name</f>
        <v>GAAR Capex Forecast</v>
      </c>
    </row>
    <row r="3" spans="1:20">
      <c r="B3" s="30"/>
      <c r="C3" s="30"/>
      <c r="D3" s="30"/>
      <c r="E3" s="30"/>
      <c r="F3" s="30"/>
      <c r="G3" s="30"/>
      <c r="H3" s="30"/>
      <c r="I3" s="30"/>
      <c r="J3" s="30"/>
      <c r="K3" s="30"/>
      <c r="L3" s="30"/>
      <c r="M3" s="30"/>
      <c r="N3" s="30"/>
      <c r="O3" s="30"/>
      <c r="P3" s="30"/>
      <c r="Q3" s="30"/>
      <c r="R3" s="30"/>
      <c r="S3" s="30"/>
      <c r="T3" s="30"/>
    </row>
    <row r="4" spans="1:20">
      <c r="B4" s="116" t="s">
        <v>74</v>
      </c>
      <c r="C4" s="118"/>
      <c r="D4" s="118"/>
      <c r="E4" s="118"/>
      <c r="F4" s="118"/>
      <c r="G4" s="118"/>
      <c r="H4" s="118"/>
      <c r="I4" s="118"/>
      <c r="J4" s="119">
        <f t="shared" ref="J4:T4" si="0">J8</f>
        <v>43465</v>
      </c>
      <c r="K4" s="119">
        <f t="shared" si="0"/>
        <v>43830</v>
      </c>
      <c r="L4" s="119">
        <f t="shared" si="0"/>
        <v>44196</v>
      </c>
      <c r="M4" s="119">
        <f t="shared" si="0"/>
        <v>44561</v>
      </c>
      <c r="N4" s="119">
        <f t="shared" si="0"/>
        <v>44926</v>
      </c>
      <c r="O4" s="121">
        <f t="shared" si="0"/>
        <v>45107</v>
      </c>
      <c r="P4" s="121">
        <f t="shared" si="0"/>
        <v>45473</v>
      </c>
      <c r="Q4" s="121">
        <f t="shared" si="0"/>
        <v>45838</v>
      </c>
      <c r="R4" s="121">
        <f t="shared" si="0"/>
        <v>46203</v>
      </c>
      <c r="S4" s="121">
        <f t="shared" si="0"/>
        <v>46568</v>
      </c>
      <c r="T4" s="121">
        <f t="shared" si="0"/>
        <v>46934</v>
      </c>
    </row>
    <row r="5" spans="1:20">
      <c r="B5" s="117" t="s">
        <v>100</v>
      </c>
      <c r="C5" s="117"/>
      <c r="D5" s="117"/>
      <c r="E5" s="117"/>
      <c r="F5" s="117"/>
      <c r="G5" s="117"/>
      <c r="H5" s="117"/>
      <c r="I5" s="117"/>
      <c r="J5" s="120">
        <f t="shared" ref="J5:T5" si="1">YEAR(J8)</f>
        <v>2018</v>
      </c>
      <c r="K5" s="120">
        <f t="shared" si="1"/>
        <v>2019</v>
      </c>
      <c r="L5" s="120">
        <f t="shared" si="1"/>
        <v>2020</v>
      </c>
      <c r="M5" s="120">
        <f t="shared" si="1"/>
        <v>2021</v>
      </c>
      <c r="N5" s="120">
        <f t="shared" si="1"/>
        <v>2022</v>
      </c>
      <c r="O5" s="120">
        <f t="shared" si="1"/>
        <v>2023</v>
      </c>
      <c r="P5" s="120">
        <f t="shared" si="1"/>
        <v>2024</v>
      </c>
      <c r="Q5" s="120">
        <f t="shared" si="1"/>
        <v>2025</v>
      </c>
      <c r="R5" s="120">
        <f t="shared" si="1"/>
        <v>2026</v>
      </c>
      <c r="S5" s="120">
        <f t="shared" si="1"/>
        <v>2027</v>
      </c>
      <c r="T5" s="120">
        <f t="shared" si="1"/>
        <v>2028</v>
      </c>
    </row>
    <row r="6" spans="1:20">
      <c r="B6" s="113" t="s">
        <v>91</v>
      </c>
      <c r="C6" s="113"/>
      <c r="D6" s="113"/>
      <c r="E6" s="113"/>
      <c r="F6" s="113"/>
      <c r="G6" s="113"/>
      <c r="H6" s="113"/>
      <c r="I6" s="113"/>
      <c r="J6" s="115" t="str">
        <f t="shared" ref="J6:T6" si="2">IF(J$17,"Actual","Forecast")</f>
        <v>Actual</v>
      </c>
      <c r="K6" s="115" t="str">
        <f t="shared" si="2"/>
        <v>Actual</v>
      </c>
      <c r="L6" s="115" t="str">
        <f t="shared" si="2"/>
        <v>Actual</v>
      </c>
      <c r="M6" s="115" t="str">
        <f t="shared" si="2"/>
        <v>Actual</v>
      </c>
      <c r="N6" s="115" t="str">
        <f t="shared" si="2"/>
        <v>Forecast</v>
      </c>
      <c r="O6" s="114" t="str">
        <f t="shared" si="2"/>
        <v>Forecast</v>
      </c>
      <c r="P6" s="114" t="str">
        <f t="shared" si="2"/>
        <v>Forecast</v>
      </c>
      <c r="Q6" s="114" t="str">
        <f t="shared" si="2"/>
        <v>Forecast</v>
      </c>
      <c r="R6" s="114" t="str">
        <f t="shared" si="2"/>
        <v>Forecast</v>
      </c>
      <c r="S6" s="114" t="str">
        <f t="shared" si="2"/>
        <v>Forecast</v>
      </c>
      <c r="T6" s="114" t="str">
        <f t="shared" si="2"/>
        <v>Forecast</v>
      </c>
    </row>
    <row r="7" spans="1:20" hidden="1" outlineLevel="3">
      <c r="B7" s="30" t="s">
        <v>101</v>
      </c>
      <c r="C7" s="30"/>
      <c r="D7" s="30"/>
      <c r="E7" s="30"/>
      <c r="F7" s="30"/>
      <c r="G7" s="30"/>
      <c r="H7" s="30"/>
      <c r="I7" s="30"/>
      <c r="J7" s="36">
        <f>EDATE(Ts_Start_Date,(J10-1)*Ts_Mths_In_Yr)</f>
        <v>43101</v>
      </c>
      <c r="K7" s="36">
        <f>EDATE(Ts_Start_Date,(K10-1)*Ts_Mths_In_Yr)</f>
        <v>43466</v>
      </c>
      <c r="L7" s="36">
        <f>EDATE(Ts_Start_Date,(L10-1)*Ts_Mths_In_Yr)</f>
        <v>43831</v>
      </c>
      <c r="M7" s="36">
        <f>EDATE(Ts_Start_Date,(M10-1)*Ts_Mths_In_Yr)</f>
        <v>44197</v>
      </c>
      <c r="N7" s="36">
        <f>EDATE(Ts_Start_Date,(N10-1)*Ts_Mths_In_Yr)</f>
        <v>44562</v>
      </c>
      <c r="O7" s="36">
        <f>Ts_Stub_Start_Date</f>
        <v>44927</v>
      </c>
      <c r="P7" s="36">
        <f>EDATE(Ts_Forecast_Reg_Start_Date,(P16-1)*Ts_Mths_In_Yr)</f>
        <v>45108</v>
      </c>
      <c r="Q7" s="36">
        <f>EDATE(Ts_Forecast_Reg_Start_Date,(Q16-1)*Ts_Mths_In_Yr)</f>
        <v>45474</v>
      </c>
      <c r="R7" s="36">
        <f>EDATE(Ts_Forecast_Reg_Start_Date,(R16-1)*Ts_Mths_In_Yr)</f>
        <v>45839</v>
      </c>
      <c r="S7" s="36">
        <f>EDATE(Ts_Forecast_Reg_Start_Date,(S16-1)*Ts_Mths_In_Yr)</f>
        <v>46204</v>
      </c>
      <c r="T7" s="36">
        <f>EDATE(Ts_Forecast_Reg_Start_Date,(T16-1)*Ts_Mths_In_Yr)</f>
        <v>46569</v>
      </c>
    </row>
    <row r="8" spans="1:20" hidden="1" outlineLevel="3">
      <c r="B8" s="30" t="s">
        <v>102</v>
      </c>
      <c r="C8" s="30"/>
      <c r="D8" s="30"/>
      <c r="E8" s="30"/>
      <c r="F8" s="30"/>
      <c r="G8" s="30"/>
      <c r="H8" s="30"/>
      <c r="I8" s="30"/>
      <c r="J8" s="36">
        <f>EOMONTH(J7,Ts_Mths_In_Yr-1)</f>
        <v>43465</v>
      </c>
      <c r="K8" s="36">
        <f>EOMONTH(K7,Ts_Mths_In_Yr-1)</f>
        <v>43830</v>
      </c>
      <c r="L8" s="36">
        <f>EOMONTH(L7,Ts_Mths_In_Yr-1)</f>
        <v>44196</v>
      </c>
      <c r="M8" s="36">
        <f>EOMONTH(M7,Ts_Mths_In_Yr-1)</f>
        <v>44561</v>
      </c>
      <c r="N8" s="36">
        <f>EOMONTH(N7,Ts_Mths_In_Yr-1)</f>
        <v>44926</v>
      </c>
      <c r="O8" s="36">
        <f>EOMONTH(O7,Ts_Stub_Length-1)</f>
        <v>45107</v>
      </c>
      <c r="P8" s="36">
        <f>EOMONTH(P7,Ts_Mths_In_Yr-1)</f>
        <v>45473</v>
      </c>
      <c r="Q8" s="36">
        <f>EOMONTH(Q7,Ts_Mths_In_Yr-1)</f>
        <v>45838</v>
      </c>
      <c r="R8" s="36">
        <f>EOMONTH(R7,Ts_Mths_In_Yr-1)</f>
        <v>46203</v>
      </c>
      <c r="S8" s="36">
        <f>EOMONTH(S7,Ts_Mths_In_Yr-1)</f>
        <v>46568</v>
      </c>
      <c r="T8" s="36">
        <f>EOMONTH(T7,Ts_Mths_In_Yr-1)</f>
        <v>46934</v>
      </c>
    </row>
    <row r="9" spans="1:20" hidden="1" outlineLevel="3">
      <c r="B9" s="30" t="s">
        <v>87</v>
      </c>
      <c r="C9" s="30"/>
      <c r="D9" s="30"/>
      <c r="E9" s="30"/>
      <c r="F9" s="30"/>
      <c r="G9" s="30"/>
      <c r="H9" s="30"/>
      <c r="I9" s="30"/>
      <c r="J9" s="14">
        <f t="shared" ref="J9:T9" si="3">DATEDIF(J7,J8,"m")+1</f>
        <v>12</v>
      </c>
      <c r="K9" s="14">
        <f t="shared" si="3"/>
        <v>12</v>
      </c>
      <c r="L9" s="14">
        <f t="shared" si="3"/>
        <v>12</v>
      </c>
      <c r="M9" s="14">
        <f t="shared" si="3"/>
        <v>12</v>
      </c>
      <c r="N9" s="14">
        <f t="shared" si="3"/>
        <v>12</v>
      </c>
      <c r="O9" s="14">
        <f t="shared" si="3"/>
        <v>6</v>
      </c>
      <c r="P9" s="38">
        <f t="shared" si="3"/>
        <v>12</v>
      </c>
      <c r="Q9" s="38">
        <f t="shared" si="3"/>
        <v>12</v>
      </c>
      <c r="R9" s="38">
        <f t="shared" si="3"/>
        <v>12</v>
      </c>
      <c r="S9" s="38">
        <f t="shared" si="3"/>
        <v>12</v>
      </c>
      <c r="T9" s="38">
        <f t="shared" si="3"/>
        <v>12</v>
      </c>
    </row>
    <row r="10" spans="1:20" hidden="1" outlineLevel="3">
      <c r="B10" s="30" t="s">
        <v>72</v>
      </c>
      <c r="C10" s="30"/>
      <c r="D10" s="30"/>
      <c r="E10" s="30"/>
      <c r="F10" s="30"/>
      <c r="G10" s="30"/>
      <c r="H10" s="30"/>
      <c r="I10" s="30"/>
      <c r="J10" s="40">
        <f>COLUMNS($J$10:J10)</f>
        <v>1</v>
      </c>
      <c r="K10" s="40">
        <f>COLUMNS($J$10:K10)</f>
        <v>2</v>
      </c>
      <c r="L10" s="40">
        <f>COLUMNS($J$10:L10)</f>
        <v>3</v>
      </c>
      <c r="M10" s="40">
        <f>COLUMNS($J$10:M10)</f>
        <v>4</v>
      </c>
      <c r="N10" s="40">
        <f>COLUMNS($J$10:N10)</f>
        <v>5</v>
      </c>
      <c r="O10" s="40">
        <f>COLUMNS($J$10:O10)</f>
        <v>6</v>
      </c>
      <c r="P10" s="40">
        <f>COLUMNS($J$10:P10)</f>
        <v>7</v>
      </c>
      <c r="Q10" s="40">
        <f>COLUMNS($J$10:Q10)</f>
        <v>8</v>
      </c>
      <c r="R10" s="40">
        <f>COLUMNS($J$10:R10)</f>
        <v>9</v>
      </c>
      <c r="S10" s="40">
        <f>COLUMNS($J$10:S10)</f>
        <v>10</v>
      </c>
      <c r="T10" s="40">
        <f>COLUMNS($J$10:T10)</f>
        <v>11</v>
      </c>
    </row>
    <row r="11" spans="1:20" hidden="1" outlineLevel="3">
      <c r="B11" s="30" t="s">
        <v>76</v>
      </c>
      <c r="C11" s="30"/>
      <c r="D11" s="30"/>
      <c r="E11" s="30"/>
      <c r="F11" s="30"/>
      <c r="G11" s="30"/>
      <c r="H11" s="30"/>
      <c r="I11" s="30"/>
      <c r="J11" s="40">
        <f>(J12&lt;&gt;0)*1</f>
        <v>1</v>
      </c>
      <c r="K11" s="40">
        <f>(K12&lt;&gt;0)*1</f>
        <v>1</v>
      </c>
      <c r="L11" s="40">
        <f>(L12&lt;&gt;0)*1</f>
        <v>1</v>
      </c>
      <c r="M11" s="40">
        <f>(M12&lt;&gt;0)*1</f>
        <v>1</v>
      </c>
      <c r="N11" s="40">
        <f>(N12&lt;&gt;0)*1</f>
        <v>1</v>
      </c>
      <c r="O11" s="45">
        <v>0</v>
      </c>
      <c r="P11" s="45">
        <v>0</v>
      </c>
      <c r="Q11" s="45">
        <v>0</v>
      </c>
      <c r="R11" s="45">
        <v>0</v>
      </c>
      <c r="S11" s="45">
        <v>0</v>
      </c>
      <c r="T11" s="45">
        <v>0</v>
      </c>
    </row>
    <row r="12" spans="1:20" hidden="1" outlineLevel="3">
      <c r="B12" s="30" t="s">
        <v>96</v>
      </c>
      <c r="C12" s="30"/>
      <c r="D12" s="30"/>
      <c r="E12" s="30"/>
      <c r="F12" s="30"/>
      <c r="G12" s="30"/>
      <c r="H12" s="30"/>
      <c r="I12" s="30"/>
      <c r="J12" s="40">
        <f>COLUMNS($J$10:J10)</f>
        <v>1</v>
      </c>
      <c r="K12" s="40">
        <f>COLUMNS($J$10:K10)</f>
        <v>2</v>
      </c>
      <c r="L12" s="40">
        <f>COLUMNS($J$10:L10)</f>
        <v>3</v>
      </c>
      <c r="M12" s="40">
        <f>COLUMNS($J$10:M10)</f>
        <v>4</v>
      </c>
      <c r="N12" s="40">
        <f>COLUMNS($J$10:N10)</f>
        <v>5</v>
      </c>
      <c r="O12" s="45">
        <v>0</v>
      </c>
      <c r="P12" s="45">
        <v>0</v>
      </c>
      <c r="Q12" s="45">
        <v>0</v>
      </c>
      <c r="R12" s="45">
        <v>0</v>
      </c>
      <c r="S12" s="45">
        <v>0</v>
      </c>
      <c r="T12" s="45">
        <v>0</v>
      </c>
    </row>
    <row r="13" spans="1:20" hidden="1" outlineLevel="3">
      <c r="B13" s="30" t="s">
        <v>79</v>
      </c>
      <c r="C13" s="30"/>
      <c r="D13" s="30"/>
      <c r="E13" s="30"/>
      <c r="F13" s="30"/>
      <c r="G13" s="30"/>
      <c r="H13" s="30"/>
      <c r="I13" s="30"/>
      <c r="J13" s="45">
        <v>0</v>
      </c>
      <c r="K13" s="45">
        <v>0</v>
      </c>
      <c r="L13" s="45">
        <v>0</v>
      </c>
      <c r="M13" s="45">
        <v>0</v>
      </c>
      <c r="N13" s="45">
        <v>0</v>
      </c>
      <c r="O13" s="40">
        <f>(O14&lt;&gt;0)*1</f>
        <v>1</v>
      </c>
      <c r="P13" s="45">
        <v>0</v>
      </c>
      <c r="Q13" s="45">
        <v>0</v>
      </c>
      <c r="R13" s="45">
        <v>0</v>
      </c>
      <c r="S13" s="45">
        <v>0</v>
      </c>
      <c r="T13" s="45">
        <v>0</v>
      </c>
    </row>
    <row r="14" spans="1:20" hidden="1" outlineLevel="3">
      <c r="B14" s="30" t="s">
        <v>97</v>
      </c>
      <c r="C14" s="30"/>
      <c r="D14" s="30"/>
      <c r="E14" s="30"/>
      <c r="F14" s="30"/>
      <c r="G14" s="30"/>
      <c r="H14" s="30"/>
      <c r="I14" s="30"/>
      <c r="J14" s="45">
        <v>0</v>
      </c>
      <c r="K14" s="45">
        <v>0</v>
      </c>
      <c r="L14" s="45">
        <v>0</v>
      </c>
      <c r="M14" s="45">
        <v>0</v>
      </c>
      <c r="N14" s="45">
        <v>0</v>
      </c>
      <c r="O14" s="40">
        <f>COLUMNS($O$14:O14)</f>
        <v>1</v>
      </c>
      <c r="P14" s="45">
        <v>0</v>
      </c>
      <c r="Q14" s="45">
        <v>0</v>
      </c>
      <c r="R14" s="45">
        <v>0</v>
      </c>
      <c r="S14" s="45">
        <v>0</v>
      </c>
      <c r="T14" s="45">
        <v>0</v>
      </c>
    </row>
    <row r="15" spans="1:20" hidden="1" outlineLevel="3">
      <c r="B15" s="30" t="s">
        <v>82</v>
      </c>
      <c r="C15" s="30"/>
      <c r="D15" s="30"/>
      <c r="E15" s="30"/>
      <c r="F15" s="30"/>
      <c r="G15" s="30"/>
      <c r="H15" s="30"/>
      <c r="I15" s="30"/>
      <c r="J15" s="45">
        <v>0</v>
      </c>
      <c r="K15" s="45">
        <v>0</v>
      </c>
      <c r="L15" s="45">
        <v>0</v>
      </c>
      <c r="M15" s="45">
        <v>0</v>
      </c>
      <c r="N15" s="45">
        <v>0</v>
      </c>
      <c r="O15" s="45">
        <v>0</v>
      </c>
      <c r="P15" s="39">
        <f>(P16&lt;&gt;0)*1</f>
        <v>1</v>
      </c>
      <c r="Q15" s="39">
        <f>(Q16&lt;&gt;0)*1</f>
        <v>1</v>
      </c>
      <c r="R15" s="39">
        <f>(R16&lt;&gt;0)*1</f>
        <v>1</v>
      </c>
      <c r="S15" s="39">
        <f>(S16&lt;&gt;0)*1</f>
        <v>1</v>
      </c>
      <c r="T15" s="39">
        <f>(T16&lt;&gt;0)*1</f>
        <v>1</v>
      </c>
    </row>
    <row r="16" spans="1:20" hidden="1" outlineLevel="3">
      <c r="B16" s="30" t="s">
        <v>98</v>
      </c>
      <c r="C16" s="30"/>
      <c r="D16" s="30"/>
      <c r="E16" s="30"/>
      <c r="F16" s="30"/>
      <c r="G16" s="30"/>
      <c r="H16" s="30"/>
      <c r="I16" s="30"/>
      <c r="J16" s="45">
        <v>0</v>
      </c>
      <c r="K16" s="45">
        <v>0</v>
      </c>
      <c r="L16" s="45">
        <v>0</v>
      </c>
      <c r="M16" s="45">
        <v>0</v>
      </c>
      <c r="N16" s="45">
        <v>0</v>
      </c>
      <c r="O16" s="45">
        <v>0</v>
      </c>
      <c r="P16" s="39">
        <f>COLUMNS($P$16:P16)</f>
        <v>1</v>
      </c>
      <c r="Q16" s="39">
        <f>COLUMNS($P$16:Q16)</f>
        <v>2</v>
      </c>
      <c r="R16" s="39">
        <f>COLUMNS($P$16:R16)</f>
        <v>3</v>
      </c>
      <c r="S16" s="39">
        <f>COLUMNS($P$16:S16)</f>
        <v>4</v>
      </c>
      <c r="T16" s="39">
        <f>COLUMNS($P$16:T16)</f>
        <v>5</v>
      </c>
    </row>
    <row r="17" spans="2:20" hidden="1" outlineLevel="3">
      <c r="B17" s="30" t="s">
        <v>206</v>
      </c>
      <c r="C17" s="30"/>
      <c r="D17" s="30"/>
      <c r="E17" s="30"/>
      <c r="F17" s="30"/>
      <c r="G17" s="30"/>
      <c r="H17" s="30"/>
      <c r="I17" s="30"/>
      <c r="J17" s="39">
        <f t="shared" ref="J17:T17" si="4">IF(J$5&lt;=Ts_Last_Actual_Year,1,0)</f>
        <v>1</v>
      </c>
      <c r="K17" s="39">
        <f t="shared" si="4"/>
        <v>1</v>
      </c>
      <c r="L17" s="39">
        <f t="shared" si="4"/>
        <v>1</v>
      </c>
      <c r="M17" s="39">
        <f t="shared" si="4"/>
        <v>1</v>
      </c>
      <c r="N17" s="39">
        <f t="shared" si="4"/>
        <v>0</v>
      </c>
      <c r="O17" s="39">
        <f t="shared" si="4"/>
        <v>0</v>
      </c>
      <c r="P17" s="39">
        <f t="shared" si="4"/>
        <v>0</v>
      </c>
      <c r="Q17" s="39">
        <f t="shared" si="4"/>
        <v>0</v>
      </c>
      <c r="R17" s="39">
        <f t="shared" si="4"/>
        <v>0</v>
      </c>
      <c r="S17" s="39">
        <f t="shared" si="4"/>
        <v>0</v>
      </c>
      <c r="T17" s="39">
        <f t="shared" si="4"/>
        <v>0</v>
      </c>
    </row>
    <row r="18" spans="2:20" hidden="1" outlineLevel="3">
      <c r="B18" s="30" t="s">
        <v>207</v>
      </c>
      <c r="C18" s="30"/>
      <c r="D18" s="30"/>
      <c r="E18" s="30"/>
      <c r="F18" s="30"/>
      <c r="G18" s="30"/>
      <c r="H18" s="30"/>
      <c r="I18" s="30"/>
      <c r="J18" s="39">
        <f t="shared" ref="J18:T18" si="5">IF(J$5&gt;Ts_Last_Actual_Year,1,0)</f>
        <v>0</v>
      </c>
      <c r="K18" s="39">
        <f t="shared" si="5"/>
        <v>0</v>
      </c>
      <c r="L18" s="39">
        <f t="shared" si="5"/>
        <v>0</v>
      </c>
      <c r="M18" s="39">
        <f t="shared" si="5"/>
        <v>0</v>
      </c>
      <c r="N18" s="39">
        <f t="shared" si="5"/>
        <v>1</v>
      </c>
      <c r="O18" s="40">
        <f t="shared" si="5"/>
        <v>1</v>
      </c>
      <c r="P18" s="40">
        <f t="shared" si="5"/>
        <v>1</v>
      </c>
      <c r="Q18" s="40">
        <f t="shared" si="5"/>
        <v>1</v>
      </c>
      <c r="R18" s="40">
        <f t="shared" si="5"/>
        <v>1</v>
      </c>
      <c r="S18" s="40">
        <f t="shared" si="5"/>
        <v>1</v>
      </c>
      <c r="T18" s="40">
        <f t="shared" si="5"/>
        <v>1</v>
      </c>
    </row>
    <row r="19" spans="2:20" hidden="1" outlineLevel="3">
      <c r="B19" s="30" t="s">
        <v>208</v>
      </c>
      <c r="C19" s="30"/>
      <c r="D19" s="30"/>
      <c r="E19" s="30"/>
      <c r="F19" s="30"/>
      <c r="G19" s="30"/>
      <c r="H19" s="30"/>
      <c r="I19" s="30"/>
      <c r="J19" s="39">
        <f>SUM($J18:J18)</f>
        <v>0</v>
      </c>
      <c r="K19" s="39">
        <f>SUM($J18:K18)</f>
        <v>0</v>
      </c>
      <c r="L19" s="39">
        <f>SUM($J18:L18)</f>
        <v>0</v>
      </c>
      <c r="M19" s="39">
        <f>SUM($J18:M18)</f>
        <v>0</v>
      </c>
      <c r="N19" s="39">
        <f>SUM($J18:N18)</f>
        <v>1</v>
      </c>
      <c r="O19" s="40">
        <f>SUM($J18:O18)</f>
        <v>2</v>
      </c>
      <c r="P19" s="40">
        <f>SUM($J18:P18)</f>
        <v>3</v>
      </c>
      <c r="Q19" s="40">
        <f>SUM($J18:Q18)</f>
        <v>4</v>
      </c>
      <c r="R19" s="40">
        <f>SUM($J18:R18)</f>
        <v>5</v>
      </c>
      <c r="S19" s="40">
        <f>SUM($J18:S18)</f>
        <v>6</v>
      </c>
      <c r="T19" s="40">
        <f>SUM($J18:T18)</f>
        <v>7</v>
      </c>
    </row>
    <row r="20" spans="2:20" hidden="1" outlineLevel="3">
      <c r="B20" s="30" t="s">
        <v>481</v>
      </c>
      <c r="C20" s="30"/>
      <c r="D20" s="30"/>
      <c r="E20" s="30"/>
      <c r="F20" s="30"/>
      <c r="G20" s="30"/>
      <c r="H20" s="30"/>
      <c r="I20" s="30"/>
      <c r="J20" s="38">
        <f t="shared" ref="J20:N20" si="6">J9/12</f>
        <v>1</v>
      </c>
      <c r="K20" s="38">
        <f t="shared" si="6"/>
        <v>1</v>
      </c>
      <c r="L20" s="38">
        <f t="shared" si="6"/>
        <v>1</v>
      </c>
      <c r="M20" s="38">
        <f t="shared" si="6"/>
        <v>1</v>
      </c>
      <c r="N20" s="38">
        <f t="shared" si="6"/>
        <v>1</v>
      </c>
      <c r="O20" s="38">
        <f>O9/12</f>
        <v>0.5</v>
      </c>
      <c r="P20" s="38">
        <f t="shared" ref="P20:T20" si="7">P9/12</f>
        <v>1</v>
      </c>
      <c r="Q20" s="38">
        <f t="shared" si="7"/>
        <v>1</v>
      </c>
      <c r="R20" s="38">
        <f t="shared" si="7"/>
        <v>1</v>
      </c>
      <c r="S20" s="38">
        <f t="shared" si="7"/>
        <v>1</v>
      </c>
      <c r="T20" s="38">
        <f t="shared" si="7"/>
        <v>1</v>
      </c>
    </row>
    <row r="21" spans="2:20" hidden="1" outlineLevel="3">
      <c r="B21" s="30"/>
      <c r="C21" s="30"/>
      <c r="D21" s="30"/>
      <c r="E21" s="30"/>
      <c r="F21" s="30"/>
      <c r="G21" s="30"/>
      <c r="H21" s="30"/>
      <c r="I21" s="30"/>
      <c r="J21" s="30"/>
      <c r="K21" s="30"/>
      <c r="L21" s="30"/>
      <c r="M21" s="30"/>
      <c r="N21" s="30"/>
      <c r="O21" s="30"/>
      <c r="P21" s="30"/>
      <c r="Q21" s="30"/>
      <c r="R21" s="30"/>
      <c r="S21" s="30"/>
      <c r="T21" s="30"/>
    </row>
    <row r="22" spans="2:20" collapsed="1"/>
    <row r="23" spans="2:20">
      <c r="B23" s="2" t="s">
        <v>460</v>
      </c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</row>
    <row r="24" spans="2:20" outlineLevel="1"/>
    <row r="25" spans="2:20" outlineLevel="1">
      <c r="D25" s="37" t="s">
        <v>360</v>
      </c>
    </row>
    <row r="26" spans="2:20" outlineLevel="1"/>
    <row r="27" spans="2:20" outlineLevel="1"/>
    <row r="28" spans="2:20" outlineLevel="1"/>
    <row r="29" spans="2:20" outlineLevel="1"/>
    <row r="30" spans="2:20" outlineLevel="1">
      <c r="D30" s="37" t="s">
        <v>361</v>
      </c>
    </row>
    <row r="31" spans="2:20" ht="5.9" customHeight="1" outlineLevel="1"/>
    <row r="32" spans="2:20" outlineLevel="1">
      <c r="E32" s="37" t="s">
        <v>354</v>
      </c>
    </row>
    <row r="33" spans="5:22" ht="5.9" customHeight="1" outlineLevel="1"/>
    <row r="34" spans="5:22" s="41" customFormat="1" outlineLevel="1">
      <c r="E34" s="52"/>
      <c r="F34" s="112">
        <f>GC!C8</f>
        <v>3001</v>
      </c>
      <c r="G34" s="103" t="str">
        <f>GC!F8</f>
        <v>Low Pressure Replacement - Planned</v>
      </c>
      <c r="J34" s="80">
        <f>Low_Press!J94</f>
        <v>0</v>
      </c>
      <c r="K34" s="80">
        <f>Low_Press!K94</f>
        <v>0</v>
      </c>
      <c r="L34" s="80">
        <f>Low_Press!L94</f>
        <v>0</v>
      </c>
      <c r="M34" s="80">
        <f>Low_Press!M94</f>
        <v>0</v>
      </c>
      <c r="N34" s="80">
        <f>Low_Press!N94</f>
        <v>17340833.066654302</v>
      </c>
      <c r="O34" s="80">
        <f>Low_Press!O94</f>
        <v>17298570.129999999</v>
      </c>
      <c r="P34" s="80">
        <f>Low_Press!P94</f>
        <v>21850382.666000001</v>
      </c>
      <c r="Q34" s="80">
        <f>Low_Press!Q94</f>
        <v>18340555</v>
      </c>
      <c r="R34" s="80">
        <f>Low_Press!R94</f>
        <v>13022180</v>
      </c>
      <c r="S34" s="80">
        <f>Low_Press!S94</f>
        <v>13726850</v>
      </c>
      <c r="T34" s="80">
        <f>Low_Press!T94</f>
        <v>8110700</v>
      </c>
      <c r="V34" s="133"/>
    </row>
    <row r="35" spans="5:22" s="41" customFormat="1" outlineLevel="1">
      <c r="E35" s="52"/>
      <c r="F35" s="112">
        <f>GC!C9</f>
        <v>3002</v>
      </c>
      <c r="G35" s="103" t="str">
        <f>GC!F9</f>
        <v>Low Pressure Replacement - Ad Hoc</v>
      </c>
      <c r="J35" s="80">
        <f>AdHoc!J70</f>
        <v>0</v>
      </c>
      <c r="K35" s="80">
        <f>AdHoc!K70</f>
        <v>0</v>
      </c>
      <c r="L35" s="80">
        <f>AdHoc!L70</f>
        <v>0</v>
      </c>
      <c r="M35" s="80">
        <f>AdHoc!M70</f>
        <v>0</v>
      </c>
      <c r="N35" s="80">
        <f>AdHoc!N70</f>
        <v>491696.03074271942</v>
      </c>
      <c r="O35" s="80">
        <f>AdHoc!O70</f>
        <v>258320</v>
      </c>
      <c r="P35" s="80">
        <f>AdHoc!P70</f>
        <v>516640</v>
      </c>
      <c r="Q35" s="80">
        <f>AdHoc!Q70</f>
        <v>413310</v>
      </c>
      <c r="R35" s="80">
        <f>AdHoc!R70</f>
        <v>309980</v>
      </c>
      <c r="S35" s="80">
        <f>AdHoc!S70</f>
        <v>206660</v>
      </c>
      <c r="T35" s="80">
        <f>AdHoc!T70</f>
        <v>103330</v>
      </c>
    </row>
    <row r="36" spans="5:22" s="41" customFormat="1" outlineLevel="1">
      <c r="E36" s="52"/>
      <c r="F36" s="112">
        <f>GC!C10</f>
        <v>3003</v>
      </c>
      <c r="G36" s="103" t="str">
        <f>GC!F10</f>
        <v>Medium Pressure Replacement - Planned</v>
      </c>
      <c r="J36" s="80">
        <f>Medium_Press!J91</f>
        <v>0</v>
      </c>
      <c r="K36" s="80">
        <f>Medium_Press!K91</f>
        <v>0</v>
      </c>
      <c r="L36" s="80">
        <f>Medium_Press!L91</f>
        <v>0</v>
      </c>
      <c r="M36" s="80">
        <f>Medium_Press!M91</f>
        <v>0</v>
      </c>
      <c r="N36" s="80">
        <f>Medium_Press!N91</f>
        <v>396906.43742264062</v>
      </c>
      <c r="O36" s="80">
        <f>Medium_Press!O91</f>
        <v>2000000</v>
      </c>
      <c r="P36" s="80">
        <f>Medium_Press!P91</f>
        <v>1880000</v>
      </c>
      <c r="Q36" s="80">
        <f>Medium_Press!Q91</f>
        <v>3150000</v>
      </c>
      <c r="R36" s="80">
        <f>Medium_Press!R91</f>
        <v>6225000</v>
      </c>
      <c r="S36" s="80">
        <f>Medium_Press!S91</f>
        <v>8908000</v>
      </c>
      <c r="T36" s="80">
        <f>Medium_Press!T91</f>
        <v>6622000</v>
      </c>
    </row>
    <row r="37" spans="5:22" s="41" customFormat="1" outlineLevel="1">
      <c r="E37" s="52"/>
      <c r="F37" s="112">
        <f>GC!C11</f>
        <v>3004</v>
      </c>
      <c r="G37" s="103" t="str">
        <f>GC!F11</f>
        <v>Medium Pressure Replacement - Ad Hoc</v>
      </c>
      <c r="J37" s="80">
        <f>AdHoc!J345</f>
        <v>0</v>
      </c>
      <c r="K37" s="80">
        <f>AdHoc!K345</f>
        <v>0</v>
      </c>
      <c r="L37" s="80">
        <f>AdHoc!L345</f>
        <v>0</v>
      </c>
      <c r="M37" s="80">
        <f>AdHoc!M345</f>
        <v>0</v>
      </c>
      <c r="N37" s="80">
        <f>AdHoc!N345</f>
        <v>281780.374862617</v>
      </c>
      <c r="O37" s="80">
        <f>AdHoc!O345</f>
        <v>139148.69333333327</v>
      </c>
      <c r="P37" s="80">
        <f>AdHoc!P345</f>
        <v>358500</v>
      </c>
      <c r="Q37" s="80">
        <f>AdHoc!Q345</f>
        <v>358500</v>
      </c>
      <c r="R37" s="80">
        <f>AdHoc!R345</f>
        <v>358500</v>
      </c>
      <c r="S37" s="80">
        <f>AdHoc!S345</f>
        <v>358500</v>
      </c>
      <c r="T37" s="80">
        <f>AdHoc!T345</f>
        <v>358500</v>
      </c>
    </row>
    <row r="38" spans="5:22" s="41" customFormat="1" outlineLevel="1">
      <c r="E38" s="52"/>
      <c r="F38" s="112">
        <f>GC!C12</f>
        <v>3005</v>
      </c>
      <c r="G38" s="103" t="str">
        <f>GC!F12</f>
        <v>High Pressure Replacement - Planned</v>
      </c>
      <c r="J38" s="80">
        <f>High_Press!J61</f>
        <v>0</v>
      </c>
      <c r="K38" s="80">
        <f>High_Press!K61</f>
        <v>0</v>
      </c>
      <c r="L38" s="80">
        <f>High_Press!L61</f>
        <v>0</v>
      </c>
      <c r="M38" s="80">
        <f>High_Press!M61</f>
        <v>0</v>
      </c>
      <c r="N38" s="80">
        <f>High_Press!N61</f>
        <v>0</v>
      </c>
      <c r="O38" s="80">
        <f>High_Press!O61</f>
        <v>0</v>
      </c>
      <c r="P38" s="80">
        <f>High_Press!P61</f>
        <v>2030000</v>
      </c>
      <c r="Q38" s="80">
        <f>High_Press!Q61</f>
        <v>2030000</v>
      </c>
      <c r="R38" s="80">
        <f>High_Press!R61</f>
        <v>2030000</v>
      </c>
      <c r="S38" s="80">
        <f>High_Press!S61</f>
        <v>2030000</v>
      </c>
      <c r="T38" s="80">
        <f>High_Press!T61</f>
        <v>2030000</v>
      </c>
    </row>
    <row r="39" spans="5:22" s="41" customFormat="1" outlineLevel="1">
      <c r="E39" s="52"/>
      <c r="F39" s="112">
        <f>GC!C13</f>
        <v>3006</v>
      </c>
      <c r="G39" s="103" t="str">
        <f>GC!F13</f>
        <v>High Pressure Replacement - Ad Hoc</v>
      </c>
      <c r="J39" s="80">
        <f>AdHoc!J620</f>
        <v>0</v>
      </c>
      <c r="K39" s="80">
        <f>AdHoc!K620</f>
        <v>0</v>
      </c>
      <c r="L39" s="80">
        <f>AdHoc!L620</f>
        <v>0</v>
      </c>
      <c r="M39" s="80">
        <f>AdHoc!M620</f>
        <v>0</v>
      </c>
      <c r="N39" s="80">
        <f>AdHoc!N620</f>
        <v>2214168.0266666687</v>
      </c>
      <c r="O39" s="80">
        <f>AdHoc!O620</f>
        <v>1011795</v>
      </c>
      <c r="P39" s="80">
        <f>AdHoc!P620</f>
        <v>2023590</v>
      </c>
      <c r="Q39" s="80">
        <f>AdHoc!Q620</f>
        <v>1821230</v>
      </c>
      <c r="R39" s="80">
        <f>AdHoc!R620</f>
        <v>1639110</v>
      </c>
      <c r="S39" s="80">
        <f>AdHoc!S620</f>
        <v>1475200</v>
      </c>
      <c r="T39" s="80">
        <f>AdHoc!T620</f>
        <v>1327680</v>
      </c>
    </row>
    <row r="40" spans="5:22" s="41" customFormat="1" outlineLevel="1">
      <c r="E40" s="52"/>
      <c r="F40" s="112">
        <f>GC!C14</f>
        <v>3007</v>
      </c>
      <c r="G40" s="103" t="str">
        <f>GC!F14</f>
        <v>Domestic Meters - Planned</v>
      </c>
      <c r="J40" s="80">
        <f>Dom_Meters!J70</f>
        <v>0</v>
      </c>
      <c r="K40" s="80">
        <f>Dom_Meters!K70</f>
        <v>0</v>
      </c>
      <c r="L40" s="80">
        <f>Dom_Meters!L70</f>
        <v>0</v>
      </c>
      <c r="M40" s="80">
        <f>Dom_Meters!M70</f>
        <v>0</v>
      </c>
      <c r="N40" s="80">
        <f>Dom_Meters!N70</f>
        <v>3204350.2706936467</v>
      </c>
      <c r="O40" s="80">
        <f>Dom_Meters!O70</f>
        <v>1888337.6608</v>
      </c>
      <c r="P40" s="80">
        <f>Dom_Meters!P70</f>
        <v>3776675.3215999999</v>
      </c>
      <c r="Q40" s="80">
        <f>Dom_Meters!Q70</f>
        <v>4632889.8459999999</v>
      </c>
      <c r="R40" s="80">
        <f>Dom_Meters!R70</f>
        <v>4906473.3442000002</v>
      </c>
      <c r="S40" s="80">
        <f>Dom_Meters!S70</f>
        <v>3586477.1268000002</v>
      </c>
      <c r="T40" s="80">
        <f>Dom_Meters!T70</f>
        <v>3247066.7172000003</v>
      </c>
    </row>
    <row r="41" spans="5:22" s="41" customFormat="1" outlineLevel="1">
      <c r="E41" s="52"/>
      <c r="F41" s="112">
        <f>GC!C15</f>
        <v>3008</v>
      </c>
      <c r="G41" s="103" t="str">
        <f>GC!F15</f>
        <v>Domestic Meters - Ad Hoc</v>
      </c>
      <c r="J41" s="80">
        <f>Dom_Meters!J336</f>
        <v>0</v>
      </c>
      <c r="K41" s="80">
        <f>Dom_Meters!K336</f>
        <v>0</v>
      </c>
      <c r="L41" s="80">
        <f>Dom_Meters!L336</f>
        <v>0</v>
      </c>
      <c r="M41" s="80">
        <f>Dom_Meters!M336</f>
        <v>0</v>
      </c>
      <c r="N41" s="80">
        <f>Dom_Meters!N336</f>
        <v>765787.0358946413</v>
      </c>
      <c r="O41" s="80">
        <f>Dom_Meters!O336</f>
        <v>378960</v>
      </c>
      <c r="P41" s="80">
        <f>Dom_Meters!P336</f>
        <v>757920</v>
      </c>
      <c r="Q41" s="80">
        <f>Dom_Meters!Q336</f>
        <v>757920</v>
      </c>
      <c r="R41" s="80">
        <f>Dom_Meters!R336</f>
        <v>757920</v>
      </c>
      <c r="S41" s="80">
        <f>Dom_Meters!S336</f>
        <v>757920</v>
      </c>
      <c r="T41" s="80">
        <f>Dom_Meters!T336</f>
        <v>757920</v>
      </c>
    </row>
    <row r="42" spans="5:22" s="41" customFormat="1" outlineLevel="1">
      <c r="E42" s="52"/>
      <c r="F42" s="112">
        <f>GC!C16</f>
        <v>3009</v>
      </c>
      <c r="G42" s="103" t="str">
        <f>GC!F16</f>
        <v>Industrial &amp; Commercial Meters - Planned</v>
      </c>
      <c r="J42" s="80">
        <f>Com_Meters!J70</f>
        <v>0</v>
      </c>
      <c r="K42" s="80">
        <f>Com_Meters!K70</f>
        <v>0</v>
      </c>
      <c r="L42" s="80">
        <f>Com_Meters!L70</f>
        <v>0</v>
      </c>
      <c r="M42" s="80">
        <f>Com_Meters!M70</f>
        <v>0</v>
      </c>
      <c r="N42" s="80">
        <f>Com_Meters!N70</f>
        <v>843199.11110906955</v>
      </c>
      <c r="O42" s="80">
        <f>Com_Meters!O70</f>
        <v>472398</v>
      </c>
      <c r="P42" s="80">
        <f>Com_Meters!P70</f>
        <v>1049083</v>
      </c>
      <c r="Q42" s="80">
        <f>Com_Meters!Q70</f>
        <v>1226533</v>
      </c>
      <c r="R42" s="80">
        <f>Com_Meters!R70</f>
        <v>1210754</v>
      </c>
      <c r="S42" s="80">
        <f>Com_Meters!S70</f>
        <v>1399914</v>
      </c>
      <c r="T42" s="80">
        <f>Com_Meters!T70</f>
        <v>1001817</v>
      </c>
    </row>
    <row r="43" spans="5:22" s="41" customFormat="1" outlineLevel="1">
      <c r="E43" s="52"/>
      <c r="F43" s="112">
        <f>GC!C17</f>
        <v>3010</v>
      </c>
      <c r="G43" s="103" t="str">
        <f>GC!F17</f>
        <v>Industrial &amp; Commercial Meters - Ad Hoc</v>
      </c>
      <c r="J43" s="80">
        <f>Com_Meters!J351</f>
        <v>0</v>
      </c>
      <c r="K43" s="80">
        <f>Com_Meters!K351</f>
        <v>0</v>
      </c>
      <c r="L43" s="80">
        <f>Com_Meters!L351</f>
        <v>0</v>
      </c>
      <c r="M43" s="80">
        <f>Com_Meters!M351</f>
        <v>0</v>
      </c>
      <c r="N43" s="80">
        <f>Com_Meters!N351</f>
        <v>0</v>
      </c>
      <c r="O43" s="80">
        <f>Com_Meters!O351</f>
        <v>146155</v>
      </c>
      <c r="P43" s="80">
        <f>Com_Meters!P351</f>
        <v>313310</v>
      </c>
      <c r="Q43" s="80">
        <f>Com_Meters!Q351</f>
        <v>299425</v>
      </c>
      <c r="R43" s="80">
        <f>Com_Meters!R351</f>
        <v>565540</v>
      </c>
      <c r="S43" s="80">
        <f>Com_Meters!S351</f>
        <v>271655</v>
      </c>
      <c r="T43" s="80">
        <f>Com_Meters!T351</f>
        <v>261285</v>
      </c>
    </row>
    <row r="44" spans="5:22" s="41" customFormat="1" outlineLevel="1">
      <c r="E44" s="52"/>
      <c r="F44" s="112">
        <f>GC!C18</f>
        <v>3011</v>
      </c>
      <c r="G44" s="103" t="str">
        <f>GC!F18</f>
        <v>Network Regulators - Planned</v>
      </c>
      <c r="J44" s="80">
        <f>Net_Reg!J79</f>
        <v>0</v>
      </c>
      <c r="K44" s="80">
        <f>Net_Reg!K79</f>
        <v>0</v>
      </c>
      <c r="L44" s="80">
        <f>Net_Reg!L79</f>
        <v>0</v>
      </c>
      <c r="M44" s="80">
        <f>Net_Reg!M79</f>
        <v>0</v>
      </c>
      <c r="N44" s="80">
        <f>Net_Reg!N79</f>
        <v>503129.992728554</v>
      </c>
      <c r="O44" s="80">
        <f>Net_Reg!O79</f>
        <v>540000</v>
      </c>
      <c r="P44" s="80">
        <f>Net_Reg!P79</f>
        <v>2170000</v>
      </c>
      <c r="Q44" s="80">
        <f>Net_Reg!Q79</f>
        <v>1760000</v>
      </c>
      <c r="R44" s="80">
        <f>Net_Reg!R79</f>
        <v>1510000</v>
      </c>
      <c r="S44" s="80">
        <f>Net_Reg!S79</f>
        <v>1620000</v>
      </c>
      <c r="T44" s="80">
        <f>Net_Reg!T79</f>
        <v>1900000</v>
      </c>
    </row>
    <row r="45" spans="5:22" s="41" customFormat="1" outlineLevel="1">
      <c r="E45" s="52"/>
      <c r="F45" s="112">
        <f>GC!C19</f>
        <v>3012</v>
      </c>
      <c r="G45" s="103" t="str">
        <f>GC!F19</f>
        <v>Network Regulators - Ad Hoc</v>
      </c>
      <c r="J45" s="80">
        <f>Net_Reg!J357</f>
        <v>0</v>
      </c>
      <c r="K45" s="80">
        <f>Net_Reg!K357</f>
        <v>0</v>
      </c>
      <c r="L45" s="80">
        <f>Net_Reg!L357</f>
        <v>0</v>
      </c>
      <c r="M45" s="80">
        <f>Net_Reg!M357</f>
        <v>0</v>
      </c>
      <c r="N45" s="80">
        <f>Net_Reg!N357</f>
        <v>100625.9985457108</v>
      </c>
      <c r="O45" s="80">
        <f>Net_Reg!O357</f>
        <v>50000</v>
      </c>
      <c r="P45" s="80">
        <f>Net_Reg!P357</f>
        <v>100000</v>
      </c>
      <c r="Q45" s="80">
        <f>Net_Reg!Q357</f>
        <v>100000</v>
      </c>
      <c r="R45" s="80">
        <f>Net_Reg!R357</f>
        <v>100000</v>
      </c>
      <c r="S45" s="80">
        <f>Net_Reg!S357</f>
        <v>100000</v>
      </c>
      <c r="T45" s="80">
        <f>Net_Reg!T357</f>
        <v>100000</v>
      </c>
    </row>
    <row r="46" spans="5:22" s="41" customFormat="1" outlineLevel="1">
      <c r="E46" s="52"/>
      <c r="F46" s="112">
        <f>GC!C20</f>
        <v>3013</v>
      </c>
      <c r="G46" s="103" t="str">
        <f>GC!F20</f>
        <v>Customer Regulators - Planned</v>
      </c>
      <c r="J46" s="80">
        <f>Cust_Reg!J70</f>
        <v>0</v>
      </c>
      <c r="K46" s="80">
        <f>Cust_Reg!K70</f>
        <v>0</v>
      </c>
      <c r="L46" s="80">
        <f>Cust_Reg!L70</f>
        <v>0</v>
      </c>
      <c r="M46" s="80">
        <f>Cust_Reg!M70</f>
        <v>0</v>
      </c>
      <c r="N46" s="80">
        <f>Cust_Reg!N70</f>
        <v>0</v>
      </c>
      <c r="O46" s="80">
        <f>Cust_Reg!O70</f>
        <v>554000</v>
      </c>
      <c r="P46" s="80">
        <f>Cust_Reg!P70</f>
        <v>1149975</v>
      </c>
      <c r="Q46" s="80">
        <f>Cust_Reg!Q70</f>
        <v>1005550</v>
      </c>
      <c r="R46" s="80">
        <f>Cust_Reg!R70</f>
        <v>714250</v>
      </c>
      <c r="S46" s="80">
        <f>Cust_Reg!S70</f>
        <v>656550</v>
      </c>
      <c r="T46" s="80">
        <f>Cust_Reg!T70</f>
        <v>696775</v>
      </c>
    </row>
    <row r="47" spans="5:22" s="41" customFormat="1" outlineLevel="1">
      <c r="E47" s="52"/>
      <c r="F47" s="112">
        <f>GC!C21</f>
        <v>3014</v>
      </c>
      <c r="G47" s="103" t="str">
        <f>GC!F21</f>
        <v>Customer Regulators - Ad Hoc</v>
      </c>
      <c r="J47" s="80">
        <f>Cust_Reg!J345</f>
        <v>0</v>
      </c>
      <c r="K47" s="80">
        <f>Cust_Reg!K345</f>
        <v>0</v>
      </c>
      <c r="L47" s="80">
        <f>Cust_Reg!L345</f>
        <v>0</v>
      </c>
      <c r="M47" s="80">
        <f>Cust_Reg!M345</f>
        <v>0</v>
      </c>
      <c r="N47" s="80">
        <f>Cust_Reg!N345</f>
        <v>0</v>
      </c>
      <c r="O47" s="80">
        <f>Cust_Reg!O345</f>
        <v>875600</v>
      </c>
      <c r="P47" s="80">
        <f>Cust_Reg!P345</f>
        <v>1751200</v>
      </c>
      <c r="Q47" s="80">
        <f>Cust_Reg!Q345</f>
        <v>1751200</v>
      </c>
      <c r="R47" s="80">
        <f>Cust_Reg!R345</f>
        <v>1751200</v>
      </c>
      <c r="S47" s="80">
        <f>Cust_Reg!S345</f>
        <v>1751200</v>
      </c>
      <c r="T47" s="80">
        <f>Cust_Reg!T345</f>
        <v>1751200</v>
      </c>
    </row>
    <row r="48" spans="5:22" s="41" customFormat="1" outlineLevel="1">
      <c r="E48" s="52"/>
      <c r="F48" s="112">
        <f>GC!C22</f>
        <v>3015</v>
      </c>
      <c r="G48" s="103" t="str">
        <f>GC!F22</f>
        <v>Cathodic Protection</v>
      </c>
      <c r="J48" s="80">
        <f>CP_SCADA!J82</f>
        <v>0</v>
      </c>
      <c r="K48" s="80">
        <f>CP_SCADA!K82</f>
        <v>0</v>
      </c>
      <c r="L48" s="80">
        <f>CP_SCADA!L82</f>
        <v>0</v>
      </c>
      <c r="M48" s="80">
        <f>CP_SCADA!M82</f>
        <v>0</v>
      </c>
      <c r="N48" s="80">
        <f>CP_SCADA!N82</f>
        <v>202503.22321251826</v>
      </c>
      <c r="O48" s="80">
        <f>CP_SCADA!O82</f>
        <v>192000</v>
      </c>
      <c r="P48" s="80">
        <f>CP_SCADA!P82</f>
        <v>384000</v>
      </c>
      <c r="Q48" s="80">
        <f>CP_SCADA!Q82</f>
        <v>404000</v>
      </c>
      <c r="R48" s="80">
        <f>CP_SCADA!R82</f>
        <v>391000</v>
      </c>
      <c r="S48" s="80">
        <f>CP_SCADA!S82</f>
        <v>391000</v>
      </c>
      <c r="T48" s="80">
        <f>CP_SCADA!T82</f>
        <v>391000</v>
      </c>
    </row>
    <row r="49" spans="5:20" s="41" customFormat="1" outlineLevel="1">
      <c r="E49" s="52"/>
      <c r="F49" s="112">
        <f>GC!C23</f>
        <v>3016</v>
      </c>
      <c r="G49" s="103" t="str">
        <f>GC!F23</f>
        <v>SCADA</v>
      </c>
      <c r="J49" s="80">
        <f>CP_SCADA!J385</f>
        <v>0</v>
      </c>
      <c r="K49" s="80">
        <f>CP_SCADA!K385</f>
        <v>0</v>
      </c>
      <c r="L49" s="80">
        <f>CP_SCADA!L385</f>
        <v>0</v>
      </c>
      <c r="M49" s="80">
        <f>CP_SCADA!M385</f>
        <v>0</v>
      </c>
      <c r="N49" s="80">
        <f>CP_SCADA!N385</f>
        <v>1261735.9153766783</v>
      </c>
      <c r="O49" s="80">
        <f>CP_SCADA!O385</f>
        <v>140000</v>
      </c>
      <c r="P49" s="80">
        <f>CP_SCADA!P385</f>
        <v>1155000</v>
      </c>
      <c r="Q49" s="80">
        <f>CP_SCADA!Q385</f>
        <v>1105000</v>
      </c>
      <c r="R49" s="80">
        <f>CP_SCADA!R385</f>
        <v>255000</v>
      </c>
      <c r="S49" s="80">
        <f>CP_SCADA!S385</f>
        <v>232500</v>
      </c>
      <c r="T49" s="80">
        <f>CP_SCADA!T385</f>
        <v>255000</v>
      </c>
    </row>
    <row r="50" spans="5:20" s="41" customFormat="1" outlineLevel="1">
      <c r="E50" s="52"/>
      <c r="F50" s="112">
        <f>GC!C24</f>
        <v>3017</v>
      </c>
      <c r="G50" s="103" t="str">
        <f>GC!F24</f>
        <v>Augmentation</v>
      </c>
      <c r="J50" s="80">
        <f>Aug!J76</f>
        <v>0</v>
      </c>
      <c r="K50" s="80">
        <f>Aug!K76</f>
        <v>0</v>
      </c>
      <c r="L50" s="80">
        <f>Aug!L76</f>
        <v>0</v>
      </c>
      <c r="M50" s="80">
        <f>Aug!M76</f>
        <v>0</v>
      </c>
      <c r="N50" s="80">
        <f>Aug!N76</f>
        <v>3589875.6988584171</v>
      </c>
      <c r="O50" s="80">
        <f>Aug!O76</f>
        <v>2497500</v>
      </c>
      <c r="P50" s="80">
        <f>Aug!P76</f>
        <v>4627000</v>
      </c>
      <c r="Q50" s="80">
        <f>Aug!Q76</f>
        <v>6105000</v>
      </c>
      <c r="R50" s="80">
        <f>Aug!R76</f>
        <v>3386000</v>
      </c>
      <c r="S50" s="80">
        <f>Aug!S76</f>
        <v>1980000</v>
      </c>
      <c r="T50" s="80">
        <f>Aug!T76</f>
        <v>5385000</v>
      </c>
    </row>
    <row r="51" spans="5:20" s="41" customFormat="1" outlineLevel="1">
      <c r="E51" s="52"/>
      <c r="F51" s="112">
        <f>GC!C25</f>
        <v>3018</v>
      </c>
      <c r="G51" s="103" t="str">
        <f>GC!F25</f>
        <v>Other Non-Demand</v>
      </c>
      <c r="J51" s="80">
        <f>Aug!J362</f>
        <v>0</v>
      </c>
      <c r="K51" s="80">
        <f>Aug!K362</f>
        <v>0</v>
      </c>
      <c r="L51" s="80">
        <f>Aug!L362</f>
        <v>0</v>
      </c>
      <c r="M51" s="80">
        <f>Aug!M362</f>
        <v>0</v>
      </c>
      <c r="N51" s="80">
        <f>Aug!N362</f>
        <v>0</v>
      </c>
      <c r="O51" s="80">
        <f>Aug!O362</f>
        <v>0</v>
      </c>
      <c r="P51" s="80">
        <f>Aug!P362</f>
        <v>544100</v>
      </c>
      <c r="Q51" s="80">
        <f>Aug!Q362</f>
        <v>1679305</v>
      </c>
      <c r="R51" s="80">
        <f>Aug!R362</f>
        <v>2545400</v>
      </c>
      <c r="S51" s="80">
        <f>Aug!S362</f>
        <v>715432</v>
      </c>
      <c r="T51" s="80">
        <f>Aug!T362</f>
        <v>120</v>
      </c>
    </row>
    <row r="52" spans="5:20" s="41" customFormat="1" outlineLevel="1">
      <c r="E52" s="52"/>
      <c r="F52" s="112">
        <f>GC!C26</f>
        <v>3019</v>
      </c>
      <c r="G52" s="103" t="str">
        <f>GC!F26</f>
        <v>Residential Connections</v>
      </c>
      <c r="J52" s="80">
        <f>Cust_Conn!J61</f>
        <v>0</v>
      </c>
      <c r="K52" s="80">
        <f>Cust_Conn!K61</f>
        <v>0</v>
      </c>
      <c r="L52" s="80">
        <f>Cust_Conn!L61</f>
        <v>0</v>
      </c>
      <c r="M52" s="80">
        <f>Cust_Conn!M61</f>
        <v>0</v>
      </c>
      <c r="N52" s="80">
        <f>Cust_Conn!N61</f>
        <v>47697854.9240655</v>
      </c>
      <c r="O52" s="80">
        <f>Cust_Conn!O61</f>
        <v>19768212.493932165</v>
      </c>
      <c r="P52" s="80">
        <f>Cust_Conn!P61</f>
        <v>36331050.561231665</v>
      </c>
      <c r="Q52" s="80">
        <f>Cust_Conn!Q61</f>
        <v>37465109.860921636</v>
      </c>
      <c r="R52" s="80">
        <f>Cust_Conn!R61</f>
        <v>38571940.11369738</v>
      </c>
      <c r="S52" s="80">
        <f>Cust_Conn!S61</f>
        <v>37627090.462959029</v>
      </c>
      <c r="T52" s="80">
        <f>Cust_Conn!T61</f>
        <v>36646713.541460358</v>
      </c>
    </row>
    <row r="53" spans="5:20" s="41" customFormat="1" outlineLevel="1">
      <c r="E53" s="52"/>
      <c r="F53" s="112">
        <f>GC!C27</f>
        <v>3020</v>
      </c>
      <c r="G53" s="103" t="str">
        <f>GC!F27</f>
        <v>Industrial &amp; Commercial Connections</v>
      </c>
      <c r="J53" s="80">
        <f>Cust_Conn!J320</f>
        <v>0</v>
      </c>
      <c r="K53" s="80">
        <f>Cust_Conn!K320</f>
        <v>0</v>
      </c>
      <c r="L53" s="80">
        <f>Cust_Conn!L320</f>
        <v>0</v>
      </c>
      <c r="M53" s="80">
        <f>Cust_Conn!M320</f>
        <v>0</v>
      </c>
      <c r="N53" s="80">
        <f>Cust_Conn!N320</f>
        <v>2699784.4687852166</v>
      </c>
      <c r="O53" s="80">
        <f>Cust_Conn!O320</f>
        <v>3577586.61</v>
      </c>
      <c r="P53" s="80">
        <f>Cust_Conn!P320</f>
        <v>4808330.7</v>
      </c>
      <c r="Q53" s="80">
        <f>Cust_Conn!Q320</f>
        <v>4896418.38</v>
      </c>
      <c r="R53" s="80">
        <f>Cust_Conn!R320</f>
        <v>4982616.4000000004</v>
      </c>
      <c r="S53" s="80">
        <f>Cust_Conn!S320</f>
        <v>4916719.18</v>
      </c>
      <c r="T53" s="80">
        <f>Cust_Conn!T320</f>
        <v>4848055.43</v>
      </c>
    </row>
    <row r="54" spans="5:20" s="41" customFormat="1" outlineLevel="1">
      <c r="E54" s="52"/>
      <c r="F54" s="112">
        <f>GC!C28</f>
        <v>3021</v>
      </c>
      <c r="G54" s="103" t="str">
        <f>GC!F28</f>
        <v>Industrial &amp; Commercial (Tariff D)</v>
      </c>
      <c r="J54" s="80">
        <f>Cust_Conn!J577</f>
        <v>0</v>
      </c>
      <c r="K54" s="80">
        <f>Cust_Conn!K577</f>
        <v>0</v>
      </c>
      <c r="L54" s="80">
        <f>Cust_Conn!L577</f>
        <v>0</v>
      </c>
      <c r="M54" s="80">
        <f>Cust_Conn!M577</f>
        <v>0</v>
      </c>
      <c r="N54" s="80">
        <f>Cust_Conn!N577</f>
        <v>802199.70711525122</v>
      </c>
      <c r="O54" s="80">
        <f>Cust_Conn!O577</f>
        <v>835435.34</v>
      </c>
      <c r="P54" s="80">
        <f>Cust_Conn!P577</f>
        <v>1599640.14</v>
      </c>
      <c r="Q54" s="80">
        <f>Cust_Conn!Q577</f>
        <v>1624841.46</v>
      </c>
      <c r="R54" s="80">
        <f>Cust_Conn!R577</f>
        <v>1649437.68</v>
      </c>
      <c r="S54" s="80">
        <f>Cust_Conn!S577</f>
        <v>1628441.03</v>
      </c>
      <c r="T54" s="80">
        <f>Cust_Conn!T577</f>
        <v>1606654.87</v>
      </c>
    </row>
    <row r="55" spans="5:20" s="41" customFormat="1" outlineLevel="1">
      <c r="E55" s="52"/>
      <c r="F55" s="112">
        <f>GC!C29</f>
        <v>3022</v>
      </c>
      <c r="G55" s="103" t="str">
        <f>GC!F29</f>
        <v>Major Alterations</v>
      </c>
      <c r="J55" s="80">
        <f>Cust_Conn!J832</f>
        <v>0</v>
      </c>
      <c r="K55" s="80">
        <f>Cust_Conn!K832</f>
        <v>0</v>
      </c>
      <c r="L55" s="80">
        <f>Cust_Conn!L832</f>
        <v>0</v>
      </c>
      <c r="M55" s="80">
        <f>Cust_Conn!M832</f>
        <v>0</v>
      </c>
      <c r="N55" s="80">
        <f>Cust_Conn!N832</f>
        <v>953684.54962736613</v>
      </c>
      <c r="O55" s="80">
        <f>Cust_Conn!O832</f>
        <v>1570874.64</v>
      </c>
      <c r="P55" s="80">
        <f>Cust_Conn!P832</f>
        <v>2963672.92</v>
      </c>
      <c r="Q55" s="80">
        <f>Cust_Conn!Q832</f>
        <v>3026676.22</v>
      </c>
      <c r="R55" s="80">
        <f>Cust_Conn!R832</f>
        <v>3088166.79</v>
      </c>
      <c r="S55" s="80">
        <f>Cust_Conn!S832</f>
        <v>3035675.14</v>
      </c>
      <c r="T55" s="80">
        <f>Cust_Conn!T832</f>
        <v>2981209.76</v>
      </c>
    </row>
    <row r="56" spans="5:20" s="41" customFormat="1" outlineLevel="1">
      <c r="E56" s="52"/>
      <c r="F56" s="112">
        <f>GC!C30</f>
        <v>3023</v>
      </c>
      <c r="G56" s="103" t="str">
        <f>GC!F30</f>
        <v>Extensions - New Towns</v>
      </c>
      <c r="J56" s="80">
        <f>New_Towns!J61</f>
        <v>0</v>
      </c>
      <c r="K56" s="80">
        <f>New_Towns!K61</f>
        <v>0</v>
      </c>
      <c r="L56" s="80">
        <f>New_Towns!L61</f>
        <v>0</v>
      </c>
      <c r="M56" s="80">
        <f>New_Towns!M61</f>
        <v>0</v>
      </c>
      <c r="N56" s="80">
        <f>New_Towns!N61</f>
        <v>0</v>
      </c>
      <c r="O56" s="80">
        <f>New_Towns!O61</f>
        <v>0</v>
      </c>
      <c r="P56" s="80">
        <f>New_Towns!P61</f>
        <v>0</v>
      </c>
      <c r="Q56" s="80">
        <f>New_Towns!Q61</f>
        <v>0</v>
      </c>
      <c r="R56" s="80">
        <f>New_Towns!R61</f>
        <v>0</v>
      </c>
      <c r="S56" s="80">
        <f>New_Towns!S61</f>
        <v>0</v>
      </c>
      <c r="T56" s="80">
        <f>New_Towns!T61</f>
        <v>0</v>
      </c>
    </row>
    <row r="57" spans="5:20" s="41" customFormat="1" outlineLevel="1">
      <c r="E57" s="52"/>
      <c r="F57" s="112">
        <f>GC!C31</f>
        <v>3024</v>
      </c>
      <c r="G57" s="103" t="str">
        <f>GC!F31</f>
        <v>Extensions - Other</v>
      </c>
      <c r="J57" s="80">
        <f>New_Towns!J315</f>
        <v>0</v>
      </c>
      <c r="K57" s="80">
        <f>New_Towns!K315</f>
        <v>0</v>
      </c>
      <c r="L57" s="80">
        <f>New_Towns!L315</f>
        <v>0</v>
      </c>
      <c r="M57" s="80">
        <f>New_Towns!M315</f>
        <v>0</v>
      </c>
      <c r="N57" s="80">
        <f>New_Towns!N315</f>
        <v>8226516.2891243435</v>
      </c>
      <c r="O57" s="80">
        <f>New_Towns!O315</f>
        <v>423000</v>
      </c>
      <c r="P57" s="80">
        <f>New_Towns!P315</f>
        <v>0</v>
      </c>
      <c r="Q57" s="80">
        <f>New_Towns!Q315</f>
        <v>0</v>
      </c>
      <c r="R57" s="80">
        <f>New_Towns!R315</f>
        <v>0</v>
      </c>
      <c r="S57" s="80">
        <f>New_Towns!S315</f>
        <v>0</v>
      </c>
      <c r="T57" s="80">
        <f>New_Towns!T315</f>
        <v>0</v>
      </c>
    </row>
    <row r="58" spans="5:20" s="41" customFormat="1" outlineLevel="1">
      <c r="E58" s="52"/>
      <c r="F58" s="112">
        <f>GC!C32</f>
        <v>3025</v>
      </c>
      <c r="G58" s="103" t="str">
        <f>GC!F32</f>
        <v xml:space="preserve">City Gate Security Fence Upgrades </v>
      </c>
      <c r="J58" s="80">
        <f>New_Towns!J576</f>
        <v>0</v>
      </c>
      <c r="K58" s="80">
        <f>New_Towns!K576</f>
        <v>0</v>
      </c>
      <c r="L58" s="80">
        <f>New_Towns!L576</f>
        <v>0</v>
      </c>
      <c r="M58" s="80">
        <f>New_Towns!M576</f>
        <v>0</v>
      </c>
      <c r="N58" s="80">
        <f>New_Towns!N576</f>
        <v>0</v>
      </c>
      <c r="O58" s="80">
        <f>New_Towns!O576</f>
        <v>0</v>
      </c>
      <c r="P58" s="80">
        <f>New_Towns!P576</f>
        <v>555000</v>
      </c>
      <c r="Q58" s="80">
        <f>New_Towns!Q576</f>
        <v>555000</v>
      </c>
      <c r="R58" s="80">
        <f>New_Towns!R576</f>
        <v>555000</v>
      </c>
      <c r="S58" s="80">
        <f>New_Towns!S576</f>
        <v>555000</v>
      </c>
      <c r="T58" s="80">
        <f>New_Towns!T576</f>
        <v>495000</v>
      </c>
    </row>
    <row r="59" spans="5:20" s="41" customFormat="1" outlineLevel="1">
      <c r="E59" s="52"/>
      <c r="F59" s="112">
        <f>GC!C33</f>
        <v>3027</v>
      </c>
      <c r="G59" s="103" t="str">
        <f>GC!F33</f>
        <v>IT</v>
      </c>
      <c r="J59" s="80">
        <f>IT!J115</f>
        <v>0</v>
      </c>
      <c r="K59" s="80">
        <f>IT!K115</f>
        <v>0</v>
      </c>
      <c r="L59" s="80">
        <f>IT!L115</f>
        <v>0</v>
      </c>
      <c r="M59" s="80">
        <f>IT!M115</f>
        <v>0</v>
      </c>
      <c r="N59" s="80">
        <f>IT!N115</f>
        <v>6495387.0956881428</v>
      </c>
      <c r="O59" s="80">
        <f>IT!O115</f>
        <v>3240000</v>
      </c>
      <c r="P59" s="80">
        <f>IT!P115</f>
        <v>15019411.41156842</v>
      </c>
      <c r="Q59" s="80">
        <f>IT!Q115</f>
        <v>17238633.935635723</v>
      </c>
      <c r="R59" s="80">
        <f>IT!R115</f>
        <v>18633661.958235547</v>
      </c>
      <c r="S59" s="80">
        <f>IT!S115</f>
        <v>9118019.3892831709</v>
      </c>
      <c r="T59" s="80">
        <f>IT!T115</f>
        <v>6649494.0338485725</v>
      </c>
    </row>
    <row r="60" spans="5:20" s="41" customFormat="1" outlineLevel="1">
      <c r="E60" s="52"/>
      <c r="F60" s="112">
        <f>GC!C34</f>
        <v>3031</v>
      </c>
      <c r="G60" s="103" t="str">
        <f>GC!F34</f>
        <v>Other Non-IT</v>
      </c>
      <c r="J60" s="80">
        <f>Other!J61</f>
        <v>0</v>
      </c>
      <c r="K60" s="80">
        <f>Other!K61</f>
        <v>0</v>
      </c>
      <c r="L60" s="80">
        <f>Other!L61</f>
        <v>0</v>
      </c>
      <c r="M60" s="80">
        <f>Other!M61</f>
        <v>0</v>
      </c>
      <c r="N60" s="80">
        <f>Other!N61</f>
        <v>361092.5049599809</v>
      </c>
      <c r="O60" s="80">
        <f>Other!O61</f>
        <v>252232.1972824487</v>
      </c>
      <c r="P60" s="80">
        <f>Other!P61</f>
        <v>1008928.7891297948</v>
      </c>
      <c r="Q60" s="80">
        <f>Other!Q61</f>
        <v>1008928.7891297948</v>
      </c>
      <c r="R60" s="80">
        <f>Other!R61</f>
        <v>1008928.7891297948</v>
      </c>
      <c r="S60" s="80">
        <f>Other!S61</f>
        <v>1008928.7891297948</v>
      </c>
      <c r="T60" s="80">
        <f>Other!T61</f>
        <v>1008928.7891297948</v>
      </c>
    </row>
    <row r="61" spans="5:20" s="41" customFormat="1" ht="5.9" customHeight="1" outlineLevel="1"/>
    <row r="62" spans="5:20" s="41" customFormat="1" outlineLevel="1">
      <c r="F62" s="250" t="str">
        <f>"Total "&amp;E32</f>
        <v>Total Direct Capex (Unescalated)</v>
      </c>
      <c r="G62" s="250"/>
      <c r="H62" s="250"/>
      <c r="I62" s="250"/>
      <c r="J62" s="101">
        <f t="shared" ref="J62:T62" si="8">SUM(J34:J61)</f>
        <v>0</v>
      </c>
      <c r="K62" s="101">
        <f t="shared" si="8"/>
        <v>0</v>
      </c>
      <c r="L62" s="101">
        <f t="shared" si="8"/>
        <v>0</v>
      </c>
      <c r="M62" s="101">
        <f t="shared" si="8"/>
        <v>0</v>
      </c>
      <c r="N62" s="101">
        <f t="shared" si="8"/>
        <v>98433110.722133979</v>
      </c>
      <c r="O62" s="101">
        <f t="shared" si="8"/>
        <v>58110125.765347943</v>
      </c>
      <c r="P62" s="101">
        <f t="shared" si="8"/>
        <v>108723410.50952989</v>
      </c>
      <c r="Q62" s="101">
        <f t="shared" si="8"/>
        <v>112756026.49168715</v>
      </c>
      <c r="R62" s="101">
        <f t="shared" si="8"/>
        <v>110168059.07526274</v>
      </c>
      <c r="S62" s="101">
        <f t="shared" si="8"/>
        <v>98057732.11817199</v>
      </c>
      <c r="T62" s="101">
        <f t="shared" si="8"/>
        <v>88535450.141638726</v>
      </c>
    </row>
    <row r="63" spans="5:20" outlineLevel="1"/>
    <row r="64" spans="5:20" outlineLevel="1">
      <c r="E64" s="37" t="s">
        <v>291</v>
      </c>
    </row>
    <row r="65" spans="6:20" ht="5.9" customHeight="1" outlineLevel="1"/>
    <row r="66" spans="6:20" s="41" customFormat="1" outlineLevel="1">
      <c r="F66" s="134">
        <f>GC!C8</f>
        <v>3001</v>
      </c>
      <c r="G66" s="205" t="str">
        <f>GC!F8</f>
        <v>Low Pressure Replacement - Planned</v>
      </c>
      <c r="J66" s="80">
        <f>Low_Press!J175</f>
        <v>0</v>
      </c>
      <c r="K66" s="80">
        <f>Low_Press!K175</f>
        <v>0</v>
      </c>
      <c r="L66" s="80">
        <f>Low_Press!L175</f>
        <v>0</v>
      </c>
      <c r="M66" s="80">
        <f>Low_Press!M175</f>
        <v>0</v>
      </c>
      <c r="N66" s="80">
        <f>Low_Press!N175</f>
        <v>17340833.066654302</v>
      </c>
      <c r="O66" s="80">
        <f>Low_Press!O175</f>
        <v>17302165.411932107</v>
      </c>
      <c r="P66" s="80">
        <f>Low_Press!P175</f>
        <v>21859323.99478846</v>
      </c>
      <c r="Q66" s="80">
        <f>Low_Press!Q175</f>
        <v>18353838.907977544</v>
      </c>
      <c r="R66" s="80">
        <f>Low_Press!R175</f>
        <v>13037449.844029896</v>
      </c>
      <c r="S66" s="80">
        <f>Low_Press!S175</f>
        <v>13749167.788226614</v>
      </c>
      <c r="T66" s="80">
        <f>Low_Press!T175</f>
        <v>8127603.3899430232</v>
      </c>
    </row>
    <row r="67" spans="6:20" s="41" customFormat="1" outlineLevel="1">
      <c r="F67" s="134">
        <f>GC!C9</f>
        <v>3002</v>
      </c>
      <c r="G67" s="205" t="str">
        <f>GC!F9</f>
        <v>Low Pressure Replacement - Ad Hoc</v>
      </c>
      <c r="J67" s="80">
        <f>AdHoc!J119</f>
        <v>0</v>
      </c>
      <c r="K67" s="80">
        <f>AdHoc!K119</f>
        <v>0</v>
      </c>
      <c r="L67" s="80">
        <f>AdHoc!L119</f>
        <v>0</v>
      </c>
      <c r="M67" s="80">
        <f>AdHoc!M119</f>
        <v>0</v>
      </c>
      <c r="N67" s="80">
        <f>AdHoc!N119</f>
        <v>491696.03074271942</v>
      </c>
      <c r="O67" s="80">
        <f>AdHoc!O119</f>
        <v>258373.68843908614</v>
      </c>
      <c r="P67" s="80">
        <f>AdHoc!P119</f>
        <v>516851.41268671944</v>
      </c>
      <c r="Q67" s="80">
        <f>AdHoc!Q119</f>
        <v>413609.3569172906</v>
      </c>
      <c r="R67" s="80">
        <f>AdHoc!R119</f>
        <v>310343.48339927621</v>
      </c>
      <c r="S67" s="80">
        <f>AdHoc!S119</f>
        <v>206995.99799771339</v>
      </c>
      <c r="T67" s="80">
        <f>AdHoc!T119</f>
        <v>103545.34852513502</v>
      </c>
    </row>
    <row r="68" spans="6:20" s="41" customFormat="1" outlineLevel="1">
      <c r="F68" s="134">
        <f>GC!C10</f>
        <v>3003</v>
      </c>
      <c r="G68" s="205" t="str">
        <f>GC!F10</f>
        <v>Medium Pressure Replacement - Planned</v>
      </c>
      <c r="J68" s="80">
        <f>Medium_Press!J168</f>
        <v>0</v>
      </c>
      <c r="K68" s="80">
        <f>Medium_Press!K168</f>
        <v>0</v>
      </c>
      <c r="L68" s="80">
        <f>Medium_Press!L168</f>
        <v>0</v>
      </c>
      <c r="M68" s="80">
        <f>Medium_Press!M168</f>
        <v>0</v>
      </c>
      <c r="N68" s="80">
        <f>Medium_Press!N168</f>
        <v>396906.43742264062</v>
      </c>
      <c r="O68" s="80">
        <f>Medium_Press!O168</f>
        <v>2000415.6738857706</v>
      </c>
      <c r="P68" s="80">
        <f>Medium_Press!P168</f>
        <v>1880769.3090953713</v>
      </c>
      <c r="Q68" s="80">
        <f>Medium_Press!Q168</f>
        <v>3152281.5182053791</v>
      </c>
      <c r="R68" s="80">
        <f>Medium_Press!R168</f>
        <v>6232299.4520952795</v>
      </c>
      <c r="S68" s="80">
        <f>Medium_Press!S168</f>
        <v>8922483.0647615939</v>
      </c>
      <c r="T68" s="80">
        <f>Medium_Press!T168</f>
        <v>6635800.8122853395</v>
      </c>
    </row>
    <row r="69" spans="6:20" s="41" customFormat="1" outlineLevel="1">
      <c r="F69" s="134">
        <f>GC!C11</f>
        <v>3004</v>
      </c>
      <c r="G69" s="205" t="str">
        <f>GC!F11</f>
        <v>Medium Pressure Replacement - Ad Hoc</v>
      </c>
      <c r="J69" s="80">
        <f>AdHoc!J394</f>
        <v>0</v>
      </c>
      <c r="K69" s="80">
        <f>AdHoc!K394</f>
        <v>0</v>
      </c>
      <c r="L69" s="80">
        <f>AdHoc!L394</f>
        <v>0</v>
      </c>
      <c r="M69" s="80">
        <f>AdHoc!M394</f>
        <v>0</v>
      </c>
      <c r="N69" s="80">
        <f>AdHoc!N394</f>
        <v>281780.374862617</v>
      </c>
      <c r="O69" s="80">
        <f>AdHoc!O394</f>
        <v>139177.61357236217</v>
      </c>
      <c r="P69" s="80">
        <f>AdHoc!P394</f>
        <v>358646.70069717587</v>
      </c>
      <c r="Q69" s="80">
        <f>AdHoc!Q394</f>
        <v>358759.65850051696</v>
      </c>
      <c r="R69" s="80">
        <f>AdHoc!R394</f>
        <v>358920.37808452331</v>
      </c>
      <c r="S69" s="80">
        <f>AdHoc!S394</f>
        <v>359082.86694174126</v>
      </c>
      <c r="T69" s="80">
        <f>AdHoc!T394</f>
        <v>359247.14454912324</v>
      </c>
    </row>
    <row r="70" spans="6:20" s="41" customFormat="1" outlineLevel="1">
      <c r="F70" s="134">
        <f>GC!C12</f>
        <v>3005</v>
      </c>
      <c r="G70" s="205" t="str">
        <f>GC!F12</f>
        <v>High Pressure Replacement - Planned</v>
      </c>
      <c r="J70" s="80">
        <f>High_Press!J98</f>
        <v>0</v>
      </c>
      <c r="K70" s="80">
        <f>High_Press!K98</f>
        <v>0</v>
      </c>
      <c r="L70" s="80">
        <f>High_Press!L98</f>
        <v>0</v>
      </c>
      <c r="M70" s="80">
        <f>High_Press!M98</f>
        <v>0</v>
      </c>
      <c r="N70" s="80">
        <f>High_Press!N98</f>
        <v>0</v>
      </c>
      <c r="O70" s="80">
        <f>High_Press!O98</f>
        <v>0</v>
      </c>
      <c r="P70" s="80">
        <f>High_Press!P98</f>
        <v>2030830.6901402147</v>
      </c>
      <c r="Q70" s="80">
        <f>High_Press!Q98</f>
        <v>2031470.3117323555</v>
      </c>
      <c r="R70" s="80">
        <f>High_Press!R98</f>
        <v>2032380.3835748462</v>
      </c>
      <c r="S70" s="80">
        <f>High_Press!S98</f>
        <v>2033300.4738960522</v>
      </c>
      <c r="T70" s="80">
        <f>High_Press!T98</f>
        <v>2034230.6929838778</v>
      </c>
    </row>
    <row r="71" spans="6:20" s="41" customFormat="1" outlineLevel="1">
      <c r="F71" s="134">
        <f>GC!C13</f>
        <v>3006</v>
      </c>
      <c r="G71" s="205" t="str">
        <f>GC!F13</f>
        <v>High Pressure Replacement - Ad Hoc</v>
      </c>
      <c r="J71" s="80">
        <f>AdHoc!J669</f>
        <v>0</v>
      </c>
      <c r="K71" s="80">
        <f>AdHoc!K669</f>
        <v>0</v>
      </c>
      <c r="L71" s="80">
        <f>AdHoc!L669</f>
        <v>0</v>
      </c>
      <c r="M71" s="80">
        <f>AdHoc!M669</f>
        <v>0</v>
      </c>
      <c r="N71" s="80">
        <f>AdHoc!N669</f>
        <v>2214168.0266666687</v>
      </c>
      <c r="O71" s="80">
        <f>AdHoc!O669</f>
        <v>1011795</v>
      </c>
      <c r="P71" s="80">
        <f>AdHoc!P669</f>
        <v>2023652.7519431994</v>
      </c>
      <c r="Q71" s="80">
        <f>AdHoc!Q669</f>
        <v>1821342.736250926</v>
      </c>
      <c r="R71" s="80">
        <f>AdHoc!R669</f>
        <v>1639295.2538116919</v>
      </c>
      <c r="S71" s="80">
        <f>AdHoc!S669</f>
        <v>1475460.7129190168</v>
      </c>
      <c r="T71" s="80">
        <f>AdHoc!T669</f>
        <v>1328019.2062162312</v>
      </c>
    </row>
    <row r="72" spans="6:20" s="41" customFormat="1" outlineLevel="1">
      <c r="F72" s="134">
        <f>GC!C14</f>
        <v>3007</v>
      </c>
      <c r="G72" s="205" t="str">
        <f>GC!F14</f>
        <v>Domestic Meters - Planned</v>
      </c>
      <c r="J72" s="80">
        <f>Dom_Meters!J119</f>
        <v>0</v>
      </c>
      <c r="K72" s="80">
        <f>Dom_Meters!K119</f>
        <v>0</v>
      </c>
      <c r="L72" s="80">
        <f>Dom_Meters!L119</f>
        <v>0</v>
      </c>
      <c r="M72" s="80">
        <f>Dom_Meters!M119</f>
        <v>0</v>
      </c>
      <c r="N72" s="80">
        <f>Dom_Meters!N119</f>
        <v>3204350.2706936467</v>
      </c>
      <c r="O72" s="80">
        <f>Dom_Meters!O119</f>
        <v>1888644.1649879646</v>
      </c>
      <c r="P72" s="80">
        <f>Dom_Meters!P119</f>
        <v>3777882.2643789533</v>
      </c>
      <c r="Q72" s="80">
        <f>Dom_Meters!Q119</f>
        <v>4636757.4773725364</v>
      </c>
      <c r="R72" s="80">
        <f>Dom_Meters!R119</f>
        <v>4912673.4644640796</v>
      </c>
      <c r="S72" s="80">
        <f>Dom_Meters!S119</f>
        <v>3590553.6342371097</v>
      </c>
      <c r="T72" s="80">
        <f>Dom_Meters!T119</f>
        <v>3252157.7122829542</v>
      </c>
    </row>
    <row r="73" spans="6:20" s="41" customFormat="1" outlineLevel="1">
      <c r="F73" s="134">
        <f>GC!C15</f>
        <v>3008</v>
      </c>
      <c r="G73" s="205" t="str">
        <f>GC!F15</f>
        <v>Domestic Meters - Ad Hoc</v>
      </c>
      <c r="J73" s="80">
        <f>Dom_Meters!J373</f>
        <v>0</v>
      </c>
      <c r="K73" s="80">
        <f>Dom_Meters!K373</f>
        <v>0</v>
      </c>
      <c r="L73" s="80">
        <f>Dom_Meters!L373</f>
        <v>0</v>
      </c>
      <c r="M73" s="80">
        <f>Dom_Meters!M373</f>
        <v>0</v>
      </c>
      <c r="N73" s="80">
        <f>Dom_Meters!N373</f>
        <v>765787.0358946413</v>
      </c>
      <c r="O73" s="80">
        <f>Dom_Meters!O373</f>
        <v>378979.69047196896</v>
      </c>
      <c r="P73" s="80">
        <f>Dom_Meters!P373</f>
        <v>757997.5365358463</v>
      </c>
      <c r="Q73" s="80">
        <f>Dom_Meters!Q373</f>
        <v>758057.23875223985</v>
      </c>
      <c r="R73" s="80">
        <f>Dom_Meters!R373</f>
        <v>758142.18476835557</v>
      </c>
      <c r="S73" s="80">
        <f>Dom_Meters!S373</f>
        <v>758228.06590828765</v>
      </c>
      <c r="T73" s="80">
        <f>Dom_Meters!T373</f>
        <v>758314.89246629807</v>
      </c>
    </row>
    <row r="74" spans="6:20" s="41" customFormat="1" outlineLevel="1">
      <c r="F74" s="134">
        <f>GC!C16</f>
        <v>3009</v>
      </c>
      <c r="G74" s="205" t="str">
        <f>GC!F16</f>
        <v>Industrial &amp; Commercial Meters - Planned</v>
      </c>
      <c r="J74" s="80">
        <f>Com_Meters!J119</f>
        <v>0</v>
      </c>
      <c r="K74" s="80">
        <f>Com_Meters!K119</f>
        <v>0</v>
      </c>
      <c r="L74" s="80">
        <f>Com_Meters!L119</f>
        <v>0</v>
      </c>
      <c r="M74" s="80">
        <f>Com_Meters!M119</f>
        <v>0</v>
      </c>
      <c r="N74" s="80">
        <f>Com_Meters!N119</f>
        <v>843199.11110906955</v>
      </c>
      <c r="O74" s="80">
        <f>Com_Meters!O119</f>
        <v>472422.54543903633</v>
      </c>
      <c r="P74" s="80">
        <f>Com_Meters!P119</f>
        <v>1049190.323017779</v>
      </c>
      <c r="Q74" s="80">
        <f>Com_Meters!Q119</f>
        <v>1226755.0918546824</v>
      </c>
      <c r="R74" s="80">
        <f>Com_Meters!R119</f>
        <v>1211108.933366352</v>
      </c>
      <c r="S74" s="80">
        <f>Com_Meters!S119</f>
        <v>1400483.0122676992</v>
      </c>
      <c r="T74" s="80">
        <f>Com_Meters!T119</f>
        <v>1002338.9679991415</v>
      </c>
    </row>
    <row r="75" spans="6:20" s="41" customFormat="1" outlineLevel="1">
      <c r="F75" s="134">
        <f>GC!C17</f>
        <v>3010</v>
      </c>
      <c r="G75" s="205" t="str">
        <f>GC!F17</f>
        <v>Industrial &amp; Commercial Meters - Ad Hoc</v>
      </c>
      <c r="J75" s="80">
        <f>Com_Meters!J408</f>
        <v>0</v>
      </c>
      <c r="K75" s="80">
        <f>Com_Meters!K408</f>
        <v>0</v>
      </c>
      <c r="L75" s="80">
        <f>Com_Meters!L408</f>
        <v>0</v>
      </c>
      <c r="M75" s="80">
        <f>Com_Meters!M408</f>
        <v>0</v>
      </c>
      <c r="N75" s="80">
        <f>Com_Meters!N408</f>
        <v>0</v>
      </c>
      <c r="O75" s="80">
        <f>Com_Meters!O408</f>
        <v>146162.59410209686</v>
      </c>
      <c r="P75" s="80">
        <f>Com_Meters!P408</f>
        <v>313342.05215859984</v>
      </c>
      <c r="Q75" s="80">
        <f>Com_Meters!Q408</f>
        <v>299479.21774513059</v>
      </c>
      <c r="R75" s="80">
        <f>Com_Meters!R408</f>
        <v>565705.7884392757</v>
      </c>
      <c r="S75" s="80">
        <f>Com_Meters!S408</f>
        <v>271765.41751677735</v>
      </c>
      <c r="T75" s="80">
        <f>Com_Meters!T408</f>
        <v>261421.13505126754</v>
      </c>
    </row>
    <row r="76" spans="6:20" s="41" customFormat="1" outlineLevel="1">
      <c r="F76" s="134">
        <f>GC!C18</f>
        <v>3011</v>
      </c>
      <c r="G76" s="205" t="str">
        <f>GC!F18</f>
        <v>Network Regulators - Planned</v>
      </c>
      <c r="J76" s="80">
        <f>Net_Reg!J140</f>
        <v>0</v>
      </c>
      <c r="K76" s="80">
        <f>Net_Reg!K140</f>
        <v>0</v>
      </c>
      <c r="L76" s="80">
        <f>Net_Reg!L140</f>
        <v>0</v>
      </c>
      <c r="M76" s="80">
        <f>Net_Reg!M140</f>
        <v>0</v>
      </c>
      <c r="N76" s="80">
        <f>Net_Reg!N140</f>
        <v>503129.99272855395</v>
      </c>
      <c r="O76" s="80">
        <f>Net_Reg!O140</f>
        <v>540056.11597457912</v>
      </c>
      <c r="P76" s="80">
        <f>Net_Reg!P140</f>
        <v>2170443.9895577012</v>
      </c>
      <c r="Q76" s="80">
        <f>Net_Reg!Q140</f>
        <v>1760637.3765145189</v>
      </c>
      <c r="R76" s="80">
        <f>Net_Reg!R140</f>
        <v>1510885.3150734035</v>
      </c>
      <c r="S76" s="80">
        <f>Net_Reg!S140</f>
        <v>1621316.9378600011</v>
      </c>
      <c r="T76" s="80">
        <f>Net_Reg!T140</f>
        <v>1901979.8809530465</v>
      </c>
    </row>
    <row r="77" spans="6:20" s="41" customFormat="1" outlineLevel="1">
      <c r="F77" s="134">
        <f>GC!C19</f>
        <v>3012</v>
      </c>
      <c r="G77" s="205" t="str">
        <f>GC!F19</f>
        <v>Network Regulators - Ad Hoc</v>
      </c>
      <c r="J77" s="80">
        <f>Net_Reg!J394</f>
        <v>0</v>
      </c>
      <c r="K77" s="80">
        <f>Net_Reg!K394</f>
        <v>0</v>
      </c>
      <c r="L77" s="80">
        <f>Net_Reg!L394</f>
        <v>0</v>
      </c>
      <c r="M77" s="80">
        <f>Net_Reg!M394</f>
        <v>0</v>
      </c>
      <c r="N77" s="80">
        <f>Net_Reg!N394</f>
        <v>100625.9985457108</v>
      </c>
      <c r="O77" s="80">
        <f>Net_Reg!O394</f>
        <v>50005.195923572137</v>
      </c>
      <c r="P77" s="80">
        <f>Net_Reg!P394</f>
        <v>100020.46034828115</v>
      </c>
      <c r="Q77" s="80">
        <f>Net_Reg!Q394</f>
        <v>100036.21457468857</v>
      </c>
      <c r="R77" s="80">
        <f>Net_Reg!R394</f>
        <v>100058.63013731148</v>
      </c>
      <c r="S77" s="80">
        <f>Net_Reg!S394</f>
        <v>100081.2924604939</v>
      </c>
      <c r="T77" s="80">
        <f>Net_Reg!T394</f>
        <v>100104.20426068665</v>
      </c>
    </row>
    <row r="78" spans="6:20" s="41" customFormat="1" outlineLevel="1">
      <c r="F78" s="134">
        <f>GC!C20</f>
        <v>3013</v>
      </c>
      <c r="G78" s="205" t="str">
        <f>GC!F20</f>
        <v>Customer Regulators - Planned</v>
      </c>
      <c r="J78" s="80">
        <f>Cust_Reg!J119</f>
        <v>0</v>
      </c>
      <c r="K78" s="80">
        <f>Cust_Reg!K119</f>
        <v>0</v>
      </c>
      <c r="L78" s="80">
        <f>Cust_Reg!L119</f>
        <v>0</v>
      </c>
      <c r="M78" s="80">
        <f>Cust_Reg!M119</f>
        <v>0</v>
      </c>
      <c r="N78" s="80">
        <f>Cust_Reg!N119</f>
        <v>0</v>
      </c>
      <c r="O78" s="80">
        <f>Cust_Reg!O119</f>
        <v>554057.57083317928</v>
      </c>
      <c r="P78" s="80">
        <f>Cust_Reg!P119</f>
        <v>1150210.2888901462</v>
      </c>
      <c r="Q78" s="80">
        <f>Cust_Reg!Q119</f>
        <v>1005914.1556557808</v>
      </c>
      <c r="R78" s="80">
        <f>Cust_Reg!R119</f>
        <v>714668.76575574721</v>
      </c>
      <c r="S78" s="80">
        <f>Cust_Reg!S119</f>
        <v>657083.72564937267</v>
      </c>
      <c r="T78" s="80">
        <f>Cust_Reg!T119</f>
        <v>697501.0692373995</v>
      </c>
    </row>
    <row r="79" spans="6:20" s="41" customFormat="1" outlineLevel="1">
      <c r="F79" s="134">
        <f>GC!C21</f>
        <v>3014</v>
      </c>
      <c r="G79" s="205" t="str">
        <f>GC!F21</f>
        <v>Customer Regulators - Ad Hoc</v>
      </c>
      <c r="J79" s="80">
        <f>Cust_Reg!J394</f>
        <v>0</v>
      </c>
      <c r="K79" s="80">
        <f>Cust_Reg!K394</f>
        <v>0</v>
      </c>
      <c r="L79" s="80">
        <f>Cust_Reg!L394</f>
        <v>0</v>
      </c>
      <c r="M79" s="80">
        <f>Cust_Reg!M394</f>
        <v>0</v>
      </c>
      <c r="N79" s="80">
        <f>Cust_Reg!N394</f>
        <v>0</v>
      </c>
      <c r="O79" s="80">
        <f>Cust_Reg!O394</f>
        <v>875690.99101359525</v>
      </c>
      <c r="P79" s="80">
        <f>Cust_Reg!P394</f>
        <v>1751558.3016190997</v>
      </c>
      <c r="Q79" s="80">
        <f>Cust_Reg!Q394</f>
        <v>1751834.1896319462</v>
      </c>
      <c r="R79" s="80">
        <f>Cust_Reg!R394</f>
        <v>1752226.7309645989</v>
      </c>
      <c r="S79" s="80">
        <f>Cust_Reg!S394</f>
        <v>1752623.5935681693</v>
      </c>
      <c r="T79" s="80">
        <f>Cust_Reg!T394</f>
        <v>1753024.8250131444</v>
      </c>
    </row>
    <row r="80" spans="6:20" s="41" customFormat="1" outlineLevel="1">
      <c r="F80" s="134">
        <f>GC!C22</f>
        <v>3015</v>
      </c>
      <c r="G80" s="205" t="str">
        <f>GC!F22</f>
        <v>Cathodic Protection</v>
      </c>
      <c r="J80" s="80">
        <f>CP_SCADA!J147</f>
        <v>0</v>
      </c>
      <c r="K80" s="80">
        <f>CP_SCADA!K147</f>
        <v>0</v>
      </c>
      <c r="L80" s="80">
        <f>CP_SCADA!L147</f>
        <v>0</v>
      </c>
      <c r="M80" s="80">
        <f>CP_SCADA!M147</f>
        <v>0</v>
      </c>
      <c r="N80" s="80">
        <f>CP_SCADA!N147</f>
        <v>202503.22321251823</v>
      </c>
      <c r="O80" s="80">
        <f>CP_SCADA!O147</f>
        <v>192039.90469303401</v>
      </c>
      <c r="P80" s="80">
        <f>CP_SCADA!P147</f>
        <v>384157.1354747992</v>
      </c>
      <c r="Q80" s="80">
        <f>CP_SCADA!Q147</f>
        <v>404292.61376348359</v>
      </c>
      <c r="R80" s="80">
        <f>CP_SCADA!R147</f>
        <v>391458.48767377576</v>
      </c>
      <c r="S80" s="80">
        <f>CP_SCADA!S147</f>
        <v>391635.7070410623</v>
      </c>
      <c r="T80" s="80">
        <f>CP_SCADA!T147</f>
        <v>391814.87731856958</v>
      </c>
    </row>
    <row r="81" spans="3:20" s="41" customFormat="1" outlineLevel="1">
      <c r="F81" s="134">
        <f>GC!C23</f>
        <v>3016</v>
      </c>
      <c r="G81" s="205" t="str">
        <f>GC!F23</f>
        <v>SCADA</v>
      </c>
      <c r="J81" s="80">
        <f>CP_SCADA!J450</f>
        <v>0</v>
      </c>
      <c r="K81" s="80">
        <f>CP_SCADA!K450</f>
        <v>0</v>
      </c>
      <c r="L81" s="80">
        <f>CP_SCADA!L450</f>
        <v>0</v>
      </c>
      <c r="M81" s="80">
        <f>CP_SCADA!M450</f>
        <v>0</v>
      </c>
      <c r="N81" s="80">
        <f>CP_SCADA!N450</f>
        <v>1261735.9153766781</v>
      </c>
      <c r="O81" s="80">
        <f>CP_SCADA!O450</f>
        <v>140021.82287900295</v>
      </c>
      <c r="P81" s="80">
        <f>CP_SCADA!P450</f>
        <v>1155354.4755339709</v>
      </c>
      <c r="Q81" s="80">
        <f>CP_SCADA!Q450</f>
        <v>1105600.2565754629</v>
      </c>
      <c r="R81" s="80">
        <f>CP_SCADA!R450</f>
        <v>255224.26027521645</v>
      </c>
      <c r="S81" s="80">
        <f>CP_SCADA!S450</f>
        <v>232783.50745597249</v>
      </c>
      <c r="T81" s="80">
        <f>CP_SCADA!T450</f>
        <v>255398.58129712642</v>
      </c>
    </row>
    <row r="82" spans="3:20" s="41" customFormat="1" outlineLevel="1">
      <c r="F82" s="134">
        <f>GC!C24</f>
        <v>3017</v>
      </c>
      <c r="G82" s="205" t="str">
        <f>GC!F24</f>
        <v>Augmentation</v>
      </c>
      <c r="J82" s="80">
        <f>Aug!J133</f>
        <v>0</v>
      </c>
      <c r="K82" s="80">
        <f>Aug!K133</f>
        <v>0</v>
      </c>
      <c r="L82" s="80">
        <f>Aug!L133</f>
        <v>0</v>
      </c>
      <c r="M82" s="80">
        <f>Aug!M133</f>
        <v>0</v>
      </c>
      <c r="N82" s="80">
        <f>Aug!N133</f>
        <v>3589875.6988584171</v>
      </c>
      <c r="O82" s="80">
        <f>Aug!O133</f>
        <v>2498006.2128540152</v>
      </c>
      <c r="P82" s="80">
        <f>Aug!P133</f>
        <v>4628766.5464705946</v>
      </c>
      <c r="Q82" s="80">
        <f>Aug!Q133</f>
        <v>6108881.2970422469</v>
      </c>
      <c r="R82" s="80">
        <f>Aug!R133</f>
        <v>3389970.4328987338</v>
      </c>
      <c r="S82" s="80">
        <f>Aug!S133</f>
        <v>1983219.1814355585</v>
      </c>
      <c r="T82" s="80">
        <f>Aug!T133</f>
        <v>5394667.5502852034</v>
      </c>
    </row>
    <row r="83" spans="3:20" s="41" customFormat="1" outlineLevel="1">
      <c r="F83" s="134">
        <f>GC!C25</f>
        <v>3018</v>
      </c>
      <c r="G83" s="205" t="str">
        <f>GC!F25</f>
        <v>Other Non-Demand</v>
      </c>
      <c r="J83" s="80">
        <f>Aug!J415</f>
        <v>0</v>
      </c>
      <c r="K83" s="80">
        <f>Aug!K415</f>
        <v>0</v>
      </c>
      <c r="L83" s="80">
        <f>Aug!L415</f>
        <v>0</v>
      </c>
      <c r="M83" s="80">
        <f>Aug!M415</f>
        <v>0</v>
      </c>
      <c r="N83" s="80">
        <f>Aug!N415</f>
        <v>0</v>
      </c>
      <c r="O83" s="80">
        <f>Aug!O415</f>
        <v>0</v>
      </c>
      <c r="P83" s="80">
        <f>Aug!P415</f>
        <v>544322.64950999548</v>
      </c>
      <c r="Q83" s="80">
        <f>Aug!Q415</f>
        <v>1680521.3063269476</v>
      </c>
      <c r="R83" s="80">
        <f>Aug!R415</f>
        <v>2548384.7430302529</v>
      </c>
      <c r="S83" s="80">
        <f>Aug!S415</f>
        <v>716595.18455192144</v>
      </c>
      <c r="T83" s="80">
        <f>Aug!T415</f>
        <v>120.25009022564794</v>
      </c>
    </row>
    <row r="84" spans="3:20" s="41" customFormat="1" outlineLevel="1">
      <c r="F84" s="134">
        <f>GC!C26</f>
        <v>3019</v>
      </c>
      <c r="G84" s="205" t="str">
        <f>GC!F26</f>
        <v>Residential Connections</v>
      </c>
      <c r="J84" s="80">
        <f>Cust_Conn!J103</f>
        <v>0</v>
      </c>
      <c r="K84" s="80">
        <f>Cust_Conn!K103</f>
        <v>0</v>
      </c>
      <c r="L84" s="80">
        <f>Cust_Conn!L103</f>
        <v>0</v>
      </c>
      <c r="M84" s="80">
        <f>Cust_Conn!M103</f>
        <v>0</v>
      </c>
      <c r="N84" s="80">
        <f>Cust_Conn!N103</f>
        <v>47697854.9240655</v>
      </c>
      <c r="O84" s="80">
        <f>Cust_Conn!O103</f>
        <v>19772321.058783215</v>
      </c>
      <c r="P84" s="80">
        <f>Cust_Conn!P103</f>
        <v>36345917.480189726</v>
      </c>
      <c r="Q84" s="80">
        <f>Cust_Conn!Q103</f>
        <v>37492245.521307103</v>
      </c>
      <c r="R84" s="80">
        <f>Cust_Conn!R103</f>
        <v>38617169.67660211</v>
      </c>
      <c r="S84" s="80">
        <f>Cust_Conn!S103</f>
        <v>37688266.438258238</v>
      </c>
      <c r="T84" s="80">
        <f>Cust_Conn!T103</f>
        <v>36723088.415284015</v>
      </c>
    </row>
    <row r="85" spans="3:20" s="41" customFormat="1" outlineLevel="1">
      <c r="F85" s="134">
        <f>GC!C27</f>
        <v>3020</v>
      </c>
      <c r="G85" s="205" t="str">
        <f>GC!F27</f>
        <v>Industrial &amp; Commercial Connections</v>
      </c>
      <c r="J85" s="80">
        <f>Cust_Conn!J360</f>
        <v>0</v>
      </c>
      <c r="K85" s="80">
        <f>Cust_Conn!K360</f>
        <v>0</v>
      </c>
      <c r="L85" s="80">
        <f>Cust_Conn!L360</f>
        <v>0</v>
      </c>
      <c r="M85" s="80">
        <f>Cust_Conn!M360</f>
        <v>0</v>
      </c>
      <c r="N85" s="80">
        <f>Cust_Conn!N360</f>
        <v>2699784.4687852161</v>
      </c>
      <c r="O85" s="80">
        <f>Cust_Conn!O360</f>
        <v>3578330.1646639295</v>
      </c>
      <c r="P85" s="80">
        <f>Cust_Conn!P360</f>
        <v>4810298.3024154594</v>
      </c>
      <c r="Q85" s="80">
        <f>Cust_Conn!Q360</f>
        <v>4899964.8141825786</v>
      </c>
      <c r="R85" s="80">
        <f>Cust_Conn!R360</f>
        <v>4988459.0296740495</v>
      </c>
      <c r="S85" s="80">
        <f>Cust_Conn!S360</f>
        <v>4924713.023993995</v>
      </c>
      <c r="T85" s="80">
        <f>Cust_Conn!T360</f>
        <v>4858159.1906370204</v>
      </c>
    </row>
    <row r="86" spans="3:20" s="41" customFormat="1" outlineLevel="1">
      <c r="F86" s="134">
        <f>GC!C28</f>
        <v>3021</v>
      </c>
      <c r="G86" s="205" t="str">
        <f>GC!F28</f>
        <v>Industrial &amp; Commercial (Tariff D)</v>
      </c>
      <c r="J86" s="80">
        <f>Cust_Conn!J615</f>
        <v>0</v>
      </c>
      <c r="K86" s="80">
        <f>Cust_Conn!K615</f>
        <v>0</v>
      </c>
      <c r="L86" s="80">
        <f>Cust_Conn!L615</f>
        <v>0</v>
      </c>
      <c r="M86" s="80">
        <f>Cust_Conn!M615</f>
        <v>0</v>
      </c>
      <c r="N86" s="80">
        <f>Cust_Conn!N615</f>
        <v>802199.70711525122</v>
      </c>
      <c r="O86" s="80">
        <f>Cust_Conn!O615</f>
        <v>835608.97432704398</v>
      </c>
      <c r="P86" s="80">
        <f>Cust_Conn!P615</f>
        <v>1600294.7238877779</v>
      </c>
      <c r="Q86" s="80">
        <f>Cust_Conn!Q615</f>
        <v>1626018.3188482048</v>
      </c>
      <c r="R86" s="80">
        <f>Cust_Conn!R615</f>
        <v>1651371.8151533026</v>
      </c>
      <c r="S86" s="80">
        <f>Cust_Conn!S615</f>
        <v>1631088.6295619586</v>
      </c>
      <c r="T86" s="80">
        <f>Cust_Conn!T615</f>
        <v>1610003.275658139</v>
      </c>
    </row>
    <row r="87" spans="3:20" s="41" customFormat="1" outlineLevel="1">
      <c r="F87" s="134">
        <f>GC!C29</f>
        <v>3022</v>
      </c>
      <c r="G87" s="205" t="str">
        <f>GC!F29</f>
        <v>Major Alterations</v>
      </c>
      <c r="J87" s="80">
        <f>Cust_Conn!J870</f>
        <v>0</v>
      </c>
      <c r="K87" s="80">
        <f>Cust_Conn!K870</f>
        <v>0</v>
      </c>
      <c r="L87" s="80">
        <f>Cust_Conn!L870</f>
        <v>0</v>
      </c>
      <c r="M87" s="80">
        <f>Cust_Conn!M870</f>
        <v>0</v>
      </c>
      <c r="N87" s="80">
        <f>Cust_Conn!N870</f>
        <v>953684.54962736601</v>
      </c>
      <c r="O87" s="80">
        <f>Cust_Conn!O870</f>
        <v>1571364.3686742503</v>
      </c>
      <c r="P87" s="80">
        <f>Cust_Conn!P870</f>
        <v>2965492.0534040378</v>
      </c>
      <c r="Q87" s="80">
        <f>Cust_Conn!Q870</f>
        <v>3029964.5137608186</v>
      </c>
      <c r="R87" s="80">
        <f>Cust_Conn!R870</f>
        <v>3093598.5792881539</v>
      </c>
      <c r="S87" s="80">
        <f>Cust_Conn!S870</f>
        <v>3043078.4650417231</v>
      </c>
      <c r="T87" s="80">
        <f>Cust_Conn!T870</f>
        <v>2990529.4027697779</v>
      </c>
    </row>
    <row r="88" spans="3:20" s="41" customFormat="1" outlineLevel="1">
      <c r="F88" s="134">
        <f>GC!C30</f>
        <v>3023</v>
      </c>
      <c r="G88" s="205" t="str">
        <f>GC!F30</f>
        <v>Extensions - New Towns</v>
      </c>
      <c r="J88" s="80">
        <f>New_Towns!J98</f>
        <v>0</v>
      </c>
      <c r="K88" s="80">
        <f>New_Towns!K98</f>
        <v>0</v>
      </c>
      <c r="L88" s="80">
        <f>New_Towns!L98</f>
        <v>0</v>
      </c>
      <c r="M88" s="80">
        <f>New_Towns!M98</f>
        <v>0</v>
      </c>
      <c r="N88" s="80">
        <f>New_Towns!N98</f>
        <v>0</v>
      </c>
      <c r="O88" s="80">
        <f>New_Towns!O98</f>
        <v>0</v>
      </c>
      <c r="P88" s="80">
        <f>New_Towns!P98</f>
        <v>0</v>
      </c>
      <c r="Q88" s="80">
        <f>New_Towns!Q98</f>
        <v>0</v>
      </c>
      <c r="R88" s="80">
        <f>New_Towns!R98</f>
        <v>0</v>
      </c>
      <c r="S88" s="80">
        <f>New_Towns!S98</f>
        <v>0</v>
      </c>
      <c r="T88" s="80">
        <f>New_Towns!T98</f>
        <v>0</v>
      </c>
    </row>
    <row r="89" spans="3:20" s="41" customFormat="1" outlineLevel="1">
      <c r="F89" s="134">
        <f>GC!C31</f>
        <v>3024</v>
      </c>
      <c r="G89" s="205" t="str">
        <f>GC!F31</f>
        <v>Extensions - Other</v>
      </c>
      <c r="J89" s="80">
        <f>New_Towns!J353</f>
        <v>0</v>
      </c>
      <c r="K89" s="80">
        <f>New_Towns!K353</f>
        <v>0</v>
      </c>
      <c r="L89" s="80">
        <f>New_Towns!L353</f>
        <v>0</v>
      </c>
      <c r="M89" s="80">
        <f>New_Towns!M353</f>
        <v>0</v>
      </c>
      <c r="N89" s="80">
        <f>New_Towns!N353</f>
        <v>8226516.2891243435</v>
      </c>
      <c r="O89" s="80">
        <f>New_Towns!O353</f>
        <v>423065.93627013033</v>
      </c>
      <c r="P89" s="80">
        <f>New_Towns!P353</f>
        <v>0</v>
      </c>
      <c r="Q89" s="80">
        <f>New_Towns!Q353</f>
        <v>0</v>
      </c>
      <c r="R89" s="80">
        <f>New_Towns!R353</f>
        <v>0</v>
      </c>
      <c r="S89" s="80">
        <f>New_Towns!S353</f>
        <v>0</v>
      </c>
      <c r="T89" s="80">
        <f>New_Towns!T353</f>
        <v>0</v>
      </c>
    </row>
    <row r="90" spans="3:20" s="41" customFormat="1" outlineLevel="1">
      <c r="F90" s="134">
        <f>GC!C32</f>
        <v>3025</v>
      </c>
      <c r="G90" s="205" t="str">
        <f>GC!F32</f>
        <v xml:space="preserve">City Gate Security Fence Upgrades </v>
      </c>
      <c r="J90" s="80">
        <f>New_Towns!J621</f>
        <v>0</v>
      </c>
      <c r="K90" s="80">
        <f>New_Towns!K621</f>
        <v>0</v>
      </c>
      <c r="L90" s="80">
        <f>New_Towns!L621</f>
        <v>0</v>
      </c>
      <c r="M90" s="80">
        <f>New_Towns!M621</f>
        <v>0</v>
      </c>
      <c r="N90" s="80">
        <f>New_Towns!N621</f>
        <v>0</v>
      </c>
      <c r="O90" s="80">
        <f>New_Towns!O621</f>
        <v>0</v>
      </c>
      <c r="P90" s="80">
        <f>New_Towns!P621</f>
        <v>555170.33239944058</v>
      </c>
      <c r="Q90" s="80">
        <f>New_Towns!Q621</f>
        <v>555301.48633428232</v>
      </c>
      <c r="R90" s="80">
        <f>New_Towns!R621</f>
        <v>555488.09589311818</v>
      </c>
      <c r="S90" s="80">
        <f>New_Towns!S621</f>
        <v>555676.75973361172</v>
      </c>
      <c r="T90" s="80">
        <f>New_Towns!T621</f>
        <v>495773.71663559834</v>
      </c>
    </row>
    <row r="91" spans="3:20" s="41" customFormat="1" outlineLevel="1">
      <c r="F91" s="134">
        <f>GC!C33</f>
        <v>3027</v>
      </c>
      <c r="G91" s="205" t="str">
        <f>GC!F33</f>
        <v>IT</v>
      </c>
      <c r="J91" s="80">
        <f>IT!J224</f>
        <v>0</v>
      </c>
      <c r="K91" s="80">
        <f>IT!K224</f>
        <v>0</v>
      </c>
      <c r="L91" s="80">
        <f>IT!L224</f>
        <v>0</v>
      </c>
      <c r="M91" s="80">
        <f>IT!M224</f>
        <v>0</v>
      </c>
      <c r="N91" s="80">
        <f>IT!N224</f>
        <v>6495387.0956881428</v>
      </c>
      <c r="O91" s="80">
        <f>IT!O224</f>
        <v>3247663.2930309507</v>
      </c>
      <c r="P91" s="80">
        <f>IT!P224</f>
        <v>15082408.401202435</v>
      </c>
      <c r="Q91" s="80">
        <f>IT!Q224</f>
        <v>17366613.343854845</v>
      </c>
      <c r="R91" s="80">
        <f>IT!R224</f>
        <v>18857623.260877103</v>
      </c>
      <c r="S91" s="80">
        <f>IT!S224</f>
        <v>9269970.7666352876</v>
      </c>
      <c r="T91" s="80">
        <f>IT!T224</f>
        <v>6791539.6838447517</v>
      </c>
    </row>
    <row r="92" spans="3:20" s="41" customFormat="1" outlineLevel="1">
      <c r="F92" s="134">
        <f>GC!C34</f>
        <v>3031</v>
      </c>
      <c r="G92" s="205" t="str">
        <f>GC!F34</f>
        <v>Other Non-IT</v>
      </c>
      <c r="J92" s="80">
        <f>Other!J98</f>
        <v>0</v>
      </c>
      <c r="K92" s="80">
        <f>Other!K98</f>
        <v>0</v>
      </c>
      <c r="L92" s="80">
        <f>Other!L98</f>
        <v>0</v>
      </c>
      <c r="M92" s="80">
        <f>Other!M98</f>
        <v>0</v>
      </c>
      <c r="N92" s="80">
        <f>Other!N98</f>
        <v>361092.5049599809</v>
      </c>
      <c r="O92" s="80">
        <f>Other!O98</f>
        <v>252284.62045122919</v>
      </c>
      <c r="P92" s="80">
        <f>Other!P98</f>
        <v>1009341.6498181245</v>
      </c>
      <c r="Q92" s="80">
        <f>Other!Q98</f>
        <v>1009659.5476695825</v>
      </c>
      <c r="R92" s="80">
        <f>Other!R98</f>
        <v>1010111.8617986788</v>
      </c>
      <c r="S92" s="80">
        <f>Other!S98</f>
        <v>1010569.1552044248</v>
      </c>
      <c r="T92" s="80">
        <f>Other!T98</f>
        <v>1011031.4827009297</v>
      </c>
    </row>
    <row r="93" spans="3:20" s="41" customFormat="1" ht="5.9" customHeight="1" outlineLevel="1"/>
    <row r="94" spans="3:20" s="41" customFormat="1" outlineLevel="1">
      <c r="F94" s="250" t="str">
        <f>"Total "&amp;E64</f>
        <v>Total Direct Capex including Non-CPI Escalation</v>
      </c>
      <c r="G94" s="250"/>
      <c r="H94" s="250"/>
      <c r="I94" s="250"/>
      <c r="J94" s="101">
        <f t="shared" ref="J94:T94" si="9">SUM(J66:J93)</f>
        <v>0</v>
      </c>
      <c r="K94" s="101">
        <f t="shared" si="9"/>
        <v>0</v>
      </c>
      <c r="L94" s="101">
        <f t="shared" si="9"/>
        <v>0</v>
      </c>
      <c r="M94" s="101">
        <f t="shared" si="9"/>
        <v>0</v>
      </c>
      <c r="N94" s="101">
        <f t="shared" si="9"/>
        <v>98433110.722133979</v>
      </c>
      <c r="O94" s="101">
        <f t="shared" si="9"/>
        <v>58128652.61320211</v>
      </c>
      <c r="P94" s="101">
        <f t="shared" si="9"/>
        <v>108822243.8261639</v>
      </c>
      <c r="Q94" s="101">
        <f t="shared" si="9"/>
        <v>112949836.4713511</v>
      </c>
      <c r="R94" s="101">
        <f t="shared" si="9"/>
        <v>110495018.85112911</v>
      </c>
      <c r="S94" s="101">
        <f t="shared" si="9"/>
        <v>98346223.403124422</v>
      </c>
      <c r="T94" s="101">
        <f t="shared" si="9"/>
        <v>88837415.708288029</v>
      </c>
    </row>
    <row r="95" spans="3:20" s="41" customFormat="1" outlineLevel="1">
      <c r="C95" s="109"/>
      <c r="D95" s="109"/>
      <c r="E95" s="109"/>
      <c r="F95" s="109"/>
      <c r="G95" s="109"/>
      <c r="H95" s="109"/>
      <c r="I95" s="109"/>
      <c r="J95" s="109"/>
      <c r="K95" s="109"/>
      <c r="L95" s="109"/>
      <c r="M95" s="109"/>
      <c r="N95" s="109"/>
      <c r="O95" s="109"/>
      <c r="P95" s="109"/>
      <c r="Q95" s="109"/>
      <c r="R95" s="109"/>
      <c r="S95" s="109"/>
      <c r="T95" s="109"/>
    </row>
    <row r="96" spans="3:20" s="41" customFormat="1" outlineLevel="1"/>
    <row r="97" spans="4:20" s="41" customFormat="1" outlineLevel="1">
      <c r="D97" s="50" t="s">
        <v>195</v>
      </c>
    </row>
    <row r="98" spans="4:20" s="41" customFormat="1" ht="5.9" customHeight="1" outlineLevel="1"/>
    <row r="99" spans="4:20" s="41" customFormat="1" outlineLevel="1">
      <c r="E99" s="50" t="s">
        <v>215</v>
      </c>
    </row>
    <row r="100" spans="4:20" s="41" customFormat="1" ht="5.9" customHeight="1" outlineLevel="1"/>
    <row r="101" spans="4:20" s="41" customFormat="1" outlineLevel="1">
      <c r="F101" s="251" t="str">
        <f>GC!C40</f>
        <v>Transmission pipelines</v>
      </c>
      <c r="G101" s="251"/>
      <c r="H101" s="251"/>
      <c r="I101" s="251"/>
      <c r="J101" s="80">
        <f ca="1">Low_Press!J182+AdHoc!J126+AdHoc!J401+AdHoc!J676+Medium_Press!J175+High_Press!J105+Dom_Meters!J126+Dom_Meters!J380+Com_Meters!J126+Com_Meters!J415+Net_Reg!J147+Net_Reg!J401+Cust_Reg!J126+Cust_Reg!J401+CP_SCADA!J154+CP_SCADA!J457+Aug!J140+Aug!J422+Cust_Conn!J110+Cust_Conn!J367+Cust_Conn!J622+Cust_Conn!J877+New_Towns!J105+New_Towns!J360+New_Towns!J628+IT!J231+Other!J105</f>
        <v>0</v>
      </c>
      <c r="K101" s="80">
        <f ca="1">Low_Press!K182+AdHoc!K126+AdHoc!K401+AdHoc!K676+Medium_Press!K175+High_Press!K105+Dom_Meters!K126+Dom_Meters!K380+Com_Meters!K126+Com_Meters!K415+Net_Reg!K147+Net_Reg!K401+Cust_Reg!K126+Cust_Reg!K401+CP_SCADA!K154+CP_SCADA!K457+Aug!K140+Aug!K422+Cust_Conn!K110+Cust_Conn!K367+Cust_Conn!K622+Cust_Conn!K877+New_Towns!K105+New_Towns!K360+New_Towns!K628+IT!K231+Other!K105</f>
        <v>0</v>
      </c>
      <c r="L101" s="80">
        <f ca="1">Low_Press!L182+AdHoc!L126+AdHoc!L401+AdHoc!L676+Medium_Press!L175+High_Press!L105+Dom_Meters!L126+Dom_Meters!L380+Com_Meters!L126+Com_Meters!L415+Net_Reg!L147+Net_Reg!L401+Cust_Reg!L126+Cust_Reg!L401+CP_SCADA!L154+CP_SCADA!L457+Aug!L140+Aug!L422+Cust_Conn!L110+Cust_Conn!L367+Cust_Conn!L622+Cust_Conn!L877+New_Towns!L105+New_Towns!L360+New_Towns!L628+IT!L231+Other!L105</f>
        <v>0</v>
      </c>
      <c r="M101" s="80">
        <f ca="1">Low_Press!M182+AdHoc!M126+AdHoc!M401+AdHoc!M676+Medium_Press!M175+High_Press!M105+Dom_Meters!M126+Dom_Meters!M380+Com_Meters!M126+Com_Meters!M415+Net_Reg!M147+Net_Reg!M401+Cust_Reg!M126+Cust_Reg!M401+CP_SCADA!M154+CP_SCADA!M457+Aug!M140+Aug!M422+Cust_Conn!M110+Cust_Conn!M367+Cust_Conn!M622+Cust_Conn!M877+New_Towns!M105+New_Towns!M360+New_Towns!M628+IT!M231+Other!M105</f>
        <v>0</v>
      </c>
      <c r="N101" s="80">
        <f ca="1">Low_Press!N182+AdHoc!N126+AdHoc!N401+AdHoc!N676+Medium_Press!N175+High_Press!N105+Dom_Meters!N126+Dom_Meters!N380+Com_Meters!N126+Com_Meters!N415+Net_Reg!N147+Net_Reg!N401+Cust_Reg!N126+Cust_Reg!N401+CP_SCADA!N154+CP_SCADA!N457+Aug!N140+Aug!N422+Cust_Conn!N110+Cust_Conn!N367+Cust_Conn!N622+Cust_Conn!N877+New_Towns!N105+New_Towns!N360+New_Towns!N628+IT!N231+Other!N105</f>
        <v>0</v>
      </c>
      <c r="O101" s="80">
        <f ca="1">Low_Press!O182+AdHoc!O126+AdHoc!O401+AdHoc!O676+Medium_Press!O175+High_Press!O105+Dom_Meters!O126+Dom_Meters!O380+Com_Meters!O126+Com_Meters!O415+Net_Reg!O147+Net_Reg!O401+Cust_Reg!O126+Cust_Reg!O401+CP_SCADA!O154+CP_SCADA!O457+Aug!O140+Aug!O422+Cust_Conn!O110+Cust_Conn!O367+Cust_Conn!O622+Cust_Conn!O877+New_Towns!O105+New_Towns!O360+New_Towns!O628+IT!O231+Other!O105</f>
        <v>0</v>
      </c>
      <c r="P101" s="80">
        <f ca="1">Low_Press!P182+AdHoc!P126+AdHoc!P401+AdHoc!P676+Medium_Press!P175+High_Press!P105+Dom_Meters!P126+Dom_Meters!P380+Com_Meters!P126+Com_Meters!P415+Net_Reg!P147+Net_Reg!P401+Cust_Reg!P126+Cust_Reg!P401+CP_SCADA!P154+CP_SCADA!P457+Aug!P140+Aug!P422+Cust_Conn!P110+Cust_Conn!P367+Cust_Conn!P622+Cust_Conn!P877+New_Towns!P105+New_Towns!P360+New_Towns!P628+IT!P231+Other!P105</f>
        <v>0</v>
      </c>
      <c r="Q101" s="80">
        <f ca="1">Low_Press!Q182+AdHoc!Q126+AdHoc!Q401+AdHoc!Q676+Medium_Press!Q175+High_Press!Q105+Dom_Meters!Q126+Dom_Meters!Q380+Com_Meters!Q126+Com_Meters!Q415+Net_Reg!Q147+Net_Reg!Q401+Cust_Reg!Q126+Cust_Reg!Q401+CP_SCADA!Q154+CP_SCADA!Q457+Aug!Q140+Aug!Q422+Cust_Conn!Q110+Cust_Conn!Q367+Cust_Conn!Q622+Cust_Conn!Q877+New_Towns!Q105+New_Towns!Q360+New_Towns!Q628+IT!Q231+Other!Q105</f>
        <v>0</v>
      </c>
      <c r="R101" s="80">
        <f ca="1">Low_Press!R182+AdHoc!R126+AdHoc!R401+AdHoc!R676+Medium_Press!R175+High_Press!R105+Dom_Meters!R126+Dom_Meters!R380+Com_Meters!R126+Com_Meters!R415+Net_Reg!R147+Net_Reg!R401+Cust_Reg!R126+Cust_Reg!R401+CP_SCADA!R154+CP_SCADA!R457+Aug!R140+Aug!R422+Cust_Conn!R110+Cust_Conn!R367+Cust_Conn!R622+Cust_Conn!R877+New_Towns!R105+New_Towns!R360+New_Towns!R628+IT!R231+Other!R105</f>
        <v>0</v>
      </c>
      <c r="S101" s="80">
        <f ca="1">Low_Press!S182+AdHoc!S126+AdHoc!S401+AdHoc!S676+Medium_Press!S175+High_Press!S105+Dom_Meters!S126+Dom_Meters!S380+Com_Meters!S126+Com_Meters!S415+Net_Reg!S147+Net_Reg!S401+Cust_Reg!S126+Cust_Reg!S401+CP_SCADA!S154+CP_SCADA!S457+Aug!S140+Aug!S422+Cust_Conn!S110+Cust_Conn!S367+Cust_Conn!S622+Cust_Conn!S877+New_Towns!S105+New_Towns!S360+New_Towns!S628+IT!S231+Other!S105</f>
        <v>0</v>
      </c>
      <c r="T101" s="80">
        <f ca="1">Low_Press!T182+AdHoc!T126+AdHoc!T401+AdHoc!T676+Medium_Press!T175+High_Press!T105+Dom_Meters!T126+Dom_Meters!T380+Com_Meters!T126+Com_Meters!T415+Net_Reg!T147+Net_Reg!T401+Cust_Reg!T126+Cust_Reg!T401+CP_SCADA!T154+CP_SCADA!T457+Aug!T140+Aug!T422+Cust_Conn!T110+Cust_Conn!T367+Cust_Conn!T622+Cust_Conn!T877+New_Towns!T105+New_Towns!T360+New_Towns!T628+IT!T231+Other!T105</f>
        <v>0</v>
      </c>
    </row>
    <row r="102" spans="4:20" s="41" customFormat="1" outlineLevel="1">
      <c r="F102" s="251" t="str">
        <f>GC!C41</f>
        <v>Distribution pipelines</v>
      </c>
      <c r="G102" s="251"/>
      <c r="H102" s="251"/>
      <c r="I102" s="251"/>
      <c r="J102" s="80">
        <f ca="1">Low_Press!J183+AdHoc!J127+AdHoc!J402+AdHoc!J677+Medium_Press!J176+High_Press!J106+Dom_Meters!J127+Dom_Meters!J381+Com_Meters!J127+Com_Meters!J416+Net_Reg!J148+Net_Reg!J402+Cust_Reg!J127+Cust_Reg!J402+CP_SCADA!J155+CP_SCADA!J458+Aug!J141+Aug!J423+Cust_Conn!J111+Cust_Conn!J368+Cust_Conn!J623+Cust_Conn!J878+New_Towns!J106+New_Towns!J361+New_Towns!J629+IT!J232+Other!J106</f>
        <v>0</v>
      </c>
      <c r="K102" s="80">
        <f ca="1">Low_Press!K183+AdHoc!K127+AdHoc!K402+AdHoc!K677+Medium_Press!K176+High_Press!K106+Dom_Meters!K127+Dom_Meters!K381+Com_Meters!K127+Com_Meters!K416+Net_Reg!K148+Net_Reg!K402+Cust_Reg!K127+Cust_Reg!K402+CP_SCADA!K155+CP_SCADA!K458+Aug!K141+Aug!K423+Cust_Conn!K111+Cust_Conn!K368+Cust_Conn!K623+Cust_Conn!K878+New_Towns!K106+New_Towns!K361+New_Towns!K629+IT!K232+Other!K106</f>
        <v>0</v>
      </c>
      <c r="L102" s="80">
        <f ca="1">Low_Press!L183+AdHoc!L127+AdHoc!L402+AdHoc!L677+Medium_Press!L176+High_Press!L106+Dom_Meters!L127+Dom_Meters!L381+Com_Meters!L127+Com_Meters!L416+Net_Reg!L148+Net_Reg!L402+Cust_Reg!L127+Cust_Reg!L402+CP_SCADA!L155+CP_SCADA!L458+Aug!L141+Aug!L423+Cust_Conn!L111+Cust_Conn!L368+Cust_Conn!L623+Cust_Conn!L878+New_Towns!L106+New_Towns!L361+New_Towns!L629+IT!L232+Other!L106</f>
        <v>0</v>
      </c>
      <c r="M102" s="80">
        <f ca="1">Low_Press!M183+AdHoc!M127+AdHoc!M402+AdHoc!M677+Medium_Press!M176+High_Press!M106+Dom_Meters!M127+Dom_Meters!M381+Com_Meters!M127+Com_Meters!M416+Net_Reg!M148+Net_Reg!M402+Cust_Reg!M127+Cust_Reg!M402+CP_SCADA!M155+CP_SCADA!M458+Aug!M141+Aug!M423+Cust_Conn!M111+Cust_Conn!M368+Cust_Conn!M623+Cust_Conn!M878+New_Towns!M106+New_Towns!M361+New_Towns!M629+IT!M232+Other!M106</f>
        <v>0</v>
      </c>
      <c r="N102" s="80">
        <f ca="1">Low_Press!N183+AdHoc!N127+AdHoc!N402+AdHoc!N677+Medium_Press!N176+High_Press!N106+Dom_Meters!N127+Dom_Meters!N381+Com_Meters!N127+Com_Meters!N416+Net_Reg!N148+Net_Reg!N402+Cust_Reg!N127+Cust_Reg!N402+CP_SCADA!N155+CP_SCADA!N458+Aug!N141+Aug!N423+Cust_Conn!N111+Cust_Conn!N368+Cust_Conn!N623+Cust_Conn!N878+New_Towns!N106+New_Towns!N361+New_Towns!N629+IT!N232+Other!N106</f>
        <v>0</v>
      </c>
      <c r="O102" s="80">
        <f ca="1">Low_Press!O183+AdHoc!O127+AdHoc!O402+AdHoc!O677+Medium_Press!O176+High_Press!O106+Dom_Meters!O127+Dom_Meters!O381+Com_Meters!O127+Com_Meters!O416+Net_Reg!O148+Net_Reg!O402+Cust_Reg!O127+Cust_Reg!O402+CP_SCADA!O155+CP_SCADA!O458+Aug!O141+Aug!O423+Cust_Conn!O111+Cust_Conn!O368+Cust_Conn!O623+Cust_Conn!O878+New_Towns!O106+New_Towns!O361+New_Towns!O629+IT!O232+Other!O106</f>
        <v>0</v>
      </c>
      <c r="P102" s="80">
        <f ca="1">Low_Press!P183+AdHoc!P127+AdHoc!P402+AdHoc!P677+Medium_Press!P176+High_Press!P106+Dom_Meters!P127+Dom_Meters!P381+Com_Meters!P127+Com_Meters!P416+Net_Reg!P148+Net_Reg!P402+Cust_Reg!P127+Cust_Reg!P402+CP_SCADA!P155+CP_SCADA!P458+Aug!P141+Aug!P423+Cust_Conn!P111+Cust_Conn!P368+Cust_Conn!P623+Cust_Conn!P878+New_Towns!P106+New_Towns!P361+New_Towns!P629+IT!P232+Other!P106</f>
        <v>0</v>
      </c>
      <c r="Q102" s="80">
        <f ca="1">Low_Press!Q183+AdHoc!Q127+AdHoc!Q402+AdHoc!Q677+Medium_Press!Q176+High_Press!Q106+Dom_Meters!Q127+Dom_Meters!Q381+Com_Meters!Q127+Com_Meters!Q416+Net_Reg!Q148+Net_Reg!Q402+Cust_Reg!Q127+Cust_Reg!Q402+CP_SCADA!Q155+CP_SCADA!Q458+Aug!Q141+Aug!Q423+Cust_Conn!Q111+Cust_Conn!Q368+Cust_Conn!Q623+Cust_Conn!Q878+New_Towns!Q106+New_Towns!Q361+New_Towns!Q629+IT!Q232+Other!Q106</f>
        <v>0</v>
      </c>
      <c r="R102" s="80">
        <f ca="1">Low_Press!R183+AdHoc!R127+AdHoc!R402+AdHoc!R677+Medium_Press!R176+High_Press!R106+Dom_Meters!R127+Dom_Meters!R381+Com_Meters!R127+Com_Meters!R416+Net_Reg!R148+Net_Reg!R402+Cust_Reg!R127+Cust_Reg!R402+CP_SCADA!R155+CP_SCADA!R458+Aug!R141+Aug!R423+Cust_Conn!R111+Cust_Conn!R368+Cust_Conn!R623+Cust_Conn!R878+New_Towns!R106+New_Towns!R361+New_Towns!R629+IT!R232+Other!R106</f>
        <v>0</v>
      </c>
      <c r="S102" s="80">
        <f ca="1">Low_Press!S183+AdHoc!S127+AdHoc!S402+AdHoc!S677+Medium_Press!S176+High_Press!S106+Dom_Meters!S127+Dom_Meters!S381+Com_Meters!S127+Com_Meters!S416+Net_Reg!S148+Net_Reg!S402+Cust_Reg!S127+Cust_Reg!S402+CP_SCADA!S155+CP_SCADA!S458+Aug!S141+Aug!S423+Cust_Conn!S111+Cust_Conn!S368+Cust_Conn!S623+Cust_Conn!S878+New_Towns!S106+New_Towns!S361+New_Towns!S629+IT!S232+Other!S106</f>
        <v>0</v>
      </c>
      <c r="T102" s="80">
        <f ca="1">Low_Press!T183+AdHoc!T127+AdHoc!T402+AdHoc!T677+Medium_Press!T176+High_Press!T106+Dom_Meters!T127+Dom_Meters!T381+Com_Meters!T127+Com_Meters!T416+Net_Reg!T148+Net_Reg!T402+Cust_Reg!T127+Cust_Reg!T402+CP_SCADA!T155+CP_SCADA!T458+Aug!T141+Aug!T423+Cust_Conn!T111+Cust_Conn!T368+Cust_Conn!T623+Cust_Conn!T878+New_Towns!T106+New_Towns!T361+New_Towns!T629+IT!T232+Other!T106</f>
        <v>0</v>
      </c>
    </row>
    <row r="103" spans="4:20" s="41" customFormat="1" outlineLevel="1">
      <c r="F103" s="251" t="str">
        <f>GC!C42</f>
        <v>Service pipes</v>
      </c>
      <c r="G103" s="251"/>
      <c r="H103" s="251"/>
      <c r="I103" s="251"/>
      <c r="J103" s="80">
        <f ca="1">Low_Press!J184+AdHoc!J128+AdHoc!J403+AdHoc!J678+Medium_Press!J177+High_Press!J107+Dom_Meters!J128+Dom_Meters!J382+Com_Meters!J128+Com_Meters!J417+Net_Reg!J149+Net_Reg!J403+Cust_Reg!J128+Cust_Reg!J403+CP_SCADA!J156+CP_SCADA!J459+Aug!J142+Aug!J424+Cust_Conn!J112+Cust_Conn!J369+Cust_Conn!J624+Cust_Conn!J879+New_Towns!J107+New_Towns!J362+New_Towns!J630+IT!J233+Other!J107</f>
        <v>0</v>
      </c>
      <c r="K103" s="80">
        <f ca="1">Low_Press!K184+AdHoc!K128+AdHoc!K403+AdHoc!K678+Medium_Press!K177+High_Press!K107+Dom_Meters!K128+Dom_Meters!K382+Com_Meters!K128+Com_Meters!K417+Net_Reg!K149+Net_Reg!K403+Cust_Reg!K128+Cust_Reg!K403+CP_SCADA!K156+CP_SCADA!K459+Aug!K142+Aug!K424+Cust_Conn!K112+Cust_Conn!K369+Cust_Conn!K624+Cust_Conn!K879+New_Towns!K107+New_Towns!K362+New_Towns!K630+IT!K233+Other!K107</f>
        <v>0</v>
      </c>
      <c r="L103" s="80">
        <f ca="1">Low_Press!L184+AdHoc!L128+AdHoc!L403+AdHoc!L678+Medium_Press!L177+High_Press!L107+Dom_Meters!L128+Dom_Meters!L382+Com_Meters!L128+Com_Meters!L417+Net_Reg!L149+Net_Reg!L403+Cust_Reg!L128+Cust_Reg!L403+CP_SCADA!L156+CP_SCADA!L459+Aug!L142+Aug!L424+Cust_Conn!L112+Cust_Conn!L369+Cust_Conn!L624+Cust_Conn!L879+New_Towns!L107+New_Towns!L362+New_Towns!L630+IT!L233+Other!L107</f>
        <v>0</v>
      </c>
      <c r="M103" s="80">
        <f ca="1">Low_Press!M184+AdHoc!M128+AdHoc!M403+AdHoc!M678+Medium_Press!M177+High_Press!M107+Dom_Meters!M128+Dom_Meters!M382+Com_Meters!M128+Com_Meters!M417+Net_Reg!M149+Net_Reg!M403+Cust_Reg!M128+Cust_Reg!M403+CP_SCADA!M156+CP_SCADA!M459+Aug!M142+Aug!M424+Cust_Conn!M112+Cust_Conn!M369+Cust_Conn!M624+Cust_Conn!M879+New_Towns!M107+New_Towns!M362+New_Towns!M630+IT!M233+Other!M107</f>
        <v>0</v>
      </c>
      <c r="N103" s="80">
        <f ca="1">Low_Press!N184+AdHoc!N128+AdHoc!N403+AdHoc!N678+Medium_Press!N177+High_Press!N107+Dom_Meters!N128+Dom_Meters!N382+Com_Meters!N128+Com_Meters!N417+Net_Reg!N149+Net_Reg!N403+Cust_Reg!N128+Cust_Reg!N403+CP_SCADA!N156+CP_SCADA!N459+Aug!N142+Aug!N424+Cust_Conn!N112+Cust_Conn!N369+Cust_Conn!N624+Cust_Conn!N879+New_Towns!N107+New_Towns!N362+New_Towns!N630+IT!N233+Other!N107</f>
        <v>0</v>
      </c>
      <c r="O103" s="80">
        <f ca="1">Low_Press!O184+AdHoc!O128+AdHoc!O403+AdHoc!O678+Medium_Press!O177+High_Press!O107+Dom_Meters!O128+Dom_Meters!O382+Com_Meters!O128+Com_Meters!O417+Net_Reg!O149+Net_Reg!O403+Cust_Reg!O128+Cust_Reg!O403+CP_SCADA!O156+CP_SCADA!O459+Aug!O142+Aug!O424+Cust_Conn!O112+Cust_Conn!O369+Cust_Conn!O624+Cust_Conn!O879+New_Towns!O107+New_Towns!O362+New_Towns!O630+IT!O233+Other!O107</f>
        <v>0</v>
      </c>
      <c r="P103" s="80">
        <f ca="1">Low_Press!P184+AdHoc!P128+AdHoc!P403+AdHoc!P678+Medium_Press!P177+High_Press!P107+Dom_Meters!P128+Dom_Meters!P382+Com_Meters!P128+Com_Meters!P417+Net_Reg!P149+Net_Reg!P403+Cust_Reg!P128+Cust_Reg!P403+CP_SCADA!P156+CP_SCADA!P459+Aug!P142+Aug!P424+Cust_Conn!P112+Cust_Conn!P369+Cust_Conn!P624+Cust_Conn!P879+New_Towns!P107+New_Towns!P362+New_Towns!P630+IT!P233+Other!P107</f>
        <v>0</v>
      </c>
      <c r="Q103" s="80">
        <f ca="1">Low_Press!Q184+AdHoc!Q128+AdHoc!Q403+AdHoc!Q678+Medium_Press!Q177+High_Press!Q107+Dom_Meters!Q128+Dom_Meters!Q382+Com_Meters!Q128+Com_Meters!Q417+Net_Reg!Q149+Net_Reg!Q403+Cust_Reg!Q128+Cust_Reg!Q403+CP_SCADA!Q156+CP_SCADA!Q459+Aug!Q142+Aug!Q424+Cust_Conn!Q112+Cust_Conn!Q369+Cust_Conn!Q624+Cust_Conn!Q879+New_Towns!Q107+New_Towns!Q362+New_Towns!Q630+IT!Q233+Other!Q107</f>
        <v>0</v>
      </c>
      <c r="R103" s="80">
        <f ca="1">Low_Press!R184+AdHoc!R128+AdHoc!R403+AdHoc!R678+Medium_Press!R177+High_Press!R107+Dom_Meters!R128+Dom_Meters!R382+Com_Meters!R128+Com_Meters!R417+Net_Reg!R149+Net_Reg!R403+Cust_Reg!R128+Cust_Reg!R403+CP_SCADA!R156+CP_SCADA!R459+Aug!R142+Aug!R424+Cust_Conn!R112+Cust_Conn!R369+Cust_Conn!R624+Cust_Conn!R879+New_Towns!R107+New_Towns!R362+New_Towns!R630+IT!R233+Other!R107</f>
        <v>0</v>
      </c>
      <c r="S103" s="80">
        <f ca="1">Low_Press!S184+AdHoc!S128+AdHoc!S403+AdHoc!S678+Medium_Press!S177+High_Press!S107+Dom_Meters!S128+Dom_Meters!S382+Com_Meters!S128+Com_Meters!S417+Net_Reg!S149+Net_Reg!S403+Cust_Reg!S128+Cust_Reg!S403+CP_SCADA!S156+CP_SCADA!S459+Aug!S142+Aug!S424+Cust_Conn!S112+Cust_Conn!S369+Cust_Conn!S624+Cust_Conn!S879+New_Towns!S107+New_Towns!S362+New_Towns!S630+IT!S233+Other!S107</f>
        <v>0</v>
      </c>
      <c r="T103" s="80">
        <f ca="1">Low_Press!T184+AdHoc!T128+AdHoc!T403+AdHoc!T678+Medium_Press!T177+High_Press!T107+Dom_Meters!T128+Dom_Meters!T382+Com_Meters!T128+Com_Meters!T417+Net_Reg!T149+Net_Reg!T403+Cust_Reg!T128+Cust_Reg!T403+CP_SCADA!T156+CP_SCADA!T459+Aug!T142+Aug!T424+Cust_Conn!T112+Cust_Conn!T369+Cust_Conn!T624+Cust_Conn!T879+New_Towns!T107+New_Towns!T362+New_Towns!T630+IT!T233+Other!T107</f>
        <v>0</v>
      </c>
    </row>
    <row r="104" spans="4:20" s="41" customFormat="1" outlineLevel="1">
      <c r="F104" s="251" t="str">
        <f>GC!C43</f>
        <v>Cathodic protection</v>
      </c>
      <c r="G104" s="251"/>
      <c r="H104" s="251"/>
      <c r="I104" s="251"/>
      <c r="J104" s="80">
        <f ca="1">Low_Press!J185+AdHoc!J129+AdHoc!J404+AdHoc!J679+Medium_Press!J178+High_Press!J108+Dom_Meters!J129+Dom_Meters!J383+Com_Meters!J129+Com_Meters!J418+Net_Reg!J150+Net_Reg!J404+Cust_Reg!J129+Cust_Reg!J404+CP_SCADA!J157+CP_SCADA!J460+Aug!J143+Aug!J425+Cust_Conn!J113+Cust_Conn!J370+Cust_Conn!J625+Cust_Conn!J880+New_Towns!J108+New_Towns!J363+New_Towns!J631+IT!J234+Other!J108</f>
        <v>0</v>
      </c>
      <c r="K104" s="80">
        <f ca="1">Low_Press!K185+AdHoc!K129+AdHoc!K404+AdHoc!K679+Medium_Press!K178+High_Press!K108+Dom_Meters!K129+Dom_Meters!K383+Com_Meters!K129+Com_Meters!K418+Net_Reg!K150+Net_Reg!K404+Cust_Reg!K129+Cust_Reg!K404+CP_SCADA!K157+CP_SCADA!K460+Aug!K143+Aug!K425+Cust_Conn!K113+Cust_Conn!K370+Cust_Conn!K625+Cust_Conn!K880+New_Towns!K108+New_Towns!K363+New_Towns!K631+IT!K234+Other!K108</f>
        <v>0</v>
      </c>
      <c r="L104" s="80">
        <f ca="1">Low_Press!L185+AdHoc!L129+AdHoc!L404+AdHoc!L679+Medium_Press!L178+High_Press!L108+Dom_Meters!L129+Dom_Meters!L383+Com_Meters!L129+Com_Meters!L418+Net_Reg!L150+Net_Reg!L404+Cust_Reg!L129+Cust_Reg!L404+CP_SCADA!L157+CP_SCADA!L460+Aug!L143+Aug!L425+Cust_Conn!L113+Cust_Conn!L370+Cust_Conn!L625+Cust_Conn!L880+New_Towns!L108+New_Towns!L363+New_Towns!L631+IT!L234+Other!L108</f>
        <v>0</v>
      </c>
      <c r="M104" s="80">
        <f ca="1">Low_Press!M185+AdHoc!M129+AdHoc!M404+AdHoc!M679+Medium_Press!M178+High_Press!M108+Dom_Meters!M129+Dom_Meters!M383+Com_Meters!M129+Com_Meters!M418+Net_Reg!M150+Net_Reg!M404+Cust_Reg!M129+Cust_Reg!M404+CP_SCADA!M157+CP_SCADA!M460+Aug!M143+Aug!M425+Cust_Conn!M113+Cust_Conn!M370+Cust_Conn!M625+Cust_Conn!M880+New_Towns!M108+New_Towns!M363+New_Towns!M631+IT!M234+Other!M108</f>
        <v>0</v>
      </c>
      <c r="N104" s="80">
        <f ca="1">Low_Press!N185+AdHoc!N129+AdHoc!N404+AdHoc!N679+Medium_Press!N178+High_Press!N108+Dom_Meters!N129+Dom_Meters!N383+Com_Meters!N129+Com_Meters!N418+Net_Reg!N150+Net_Reg!N404+Cust_Reg!N129+Cust_Reg!N404+CP_SCADA!N157+CP_SCADA!N460+Aug!N143+Aug!N425+Cust_Conn!N113+Cust_Conn!N370+Cust_Conn!N625+Cust_Conn!N880+New_Towns!N108+New_Towns!N363+New_Towns!N631+IT!N234+Other!N108</f>
        <v>0</v>
      </c>
      <c r="O104" s="80">
        <f ca="1">Low_Press!O185+AdHoc!O129+AdHoc!O404+AdHoc!O679+Medium_Press!O178+High_Press!O108+Dom_Meters!O129+Dom_Meters!O383+Com_Meters!O129+Com_Meters!O418+Net_Reg!O150+Net_Reg!O404+Cust_Reg!O129+Cust_Reg!O404+CP_SCADA!O157+CP_SCADA!O460+Aug!O143+Aug!O425+Cust_Conn!O113+Cust_Conn!O370+Cust_Conn!O625+Cust_Conn!O880+New_Towns!O108+New_Towns!O363+New_Towns!O631+IT!O234+Other!O108</f>
        <v>0</v>
      </c>
      <c r="P104" s="80">
        <f ca="1">Low_Press!P185+AdHoc!P129+AdHoc!P404+AdHoc!P679+Medium_Press!P178+High_Press!P108+Dom_Meters!P129+Dom_Meters!P383+Com_Meters!P129+Com_Meters!P418+Net_Reg!P150+Net_Reg!P404+Cust_Reg!P129+Cust_Reg!P404+CP_SCADA!P157+CP_SCADA!P460+Aug!P143+Aug!P425+Cust_Conn!P113+Cust_Conn!P370+Cust_Conn!P625+Cust_Conn!P880+New_Towns!P108+New_Towns!P363+New_Towns!P631+IT!P234+Other!P108</f>
        <v>0</v>
      </c>
      <c r="Q104" s="80">
        <f ca="1">Low_Press!Q185+AdHoc!Q129+AdHoc!Q404+AdHoc!Q679+Medium_Press!Q178+High_Press!Q108+Dom_Meters!Q129+Dom_Meters!Q383+Com_Meters!Q129+Com_Meters!Q418+Net_Reg!Q150+Net_Reg!Q404+Cust_Reg!Q129+Cust_Reg!Q404+CP_SCADA!Q157+CP_SCADA!Q460+Aug!Q143+Aug!Q425+Cust_Conn!Q113+Cust_Conn!Q370+Cust_Conn!Q625+Cust_Conn!Q880+New_Towns!Q108+New_Towns!Q363+New_Towns!Q631+IT!Q234+Other!Q108</f>
        <v>0</v>
      </c>
      <c r="R104" s="80">
        <f ca="1">Low_Press!R185+AdHoc!R129+AdHoc!R404+AdHoc!R679+Medium_Press!R178+High_Press!R108+Dom_Meters!R129+Dom_Meters!R383+Com_Meters!R129+Com_Meters!R418+Net_Reg!R150+Net_Reg!R404+Cust_Reg!R129+Cust_Reg!R404+CP_SCADA!R157+CP_SCADA!R460+Aug!R143+Aug!R425+Cust_Conn!R113+Cust_Conn!R370+Cust_Conn!R625+Cust_Conn!R880+New_Towns!R108+New_Towns!R363+New_Towns!R631+IT!R234+Other!R108</f>
        <v>0</v>
      </c>
      <c r="S104" s="80">
        <f ca="1">Low_Press!S185+AdHoc!S129+AdHoc!S404+AdHoc!S679+Medium_Press!S178+High_Press!S108+Dom_Meters!S129+Dom_Meters!S383+Com_Meters!S129+Com_Meters!S418+Net_Reg!S150+Net_Reg!S404+Cust_Reg!S129+Cust_Reg!S404+CP_SCADA!S157+CP_SCADA!S460+Aug!S143+Aug!S425+Cust_Conn!S113+Cust_Conn!S370+Cust_Conn!S625+Cust_Conn!S880+New_Towns!S108+New_Towns!S363+New_Towns!S631+IT!S234+Other!S108</f>
        <v>0</v>
      </c>
      <c r="T104" s="80">
        <f ca="1">Low_Press!T185+AdHoc!T129+AdHoc!T404+AdHoc!T679+Medium_Press!T178+High_Press!T108+Dom_Meters!T129+Dom_Meters!T383+Com_Meters!T129+Com_Meters!T418+Net_Reg!T150+Net_Reg!T404+Cust_Reg!T129+Cust_Reg!T404+CP_SCADA!T157+CP_SCADA!T460+Aug!T143+Aug!T425+Cust_Conn!T113+Cust_Conn!T370+Cust_Conn!T625+Cust_Conn!T880+New_Towns!T108+New_Towns!T363+New_Towns!T631+IT!T234+Other!T108</f>
        <v>0</v>
      </c>
    </row>
    <row r="105" spans="4:20" s="41" customFormat="1" outlineLevel="1">
      <c r="F105" s="251" t="str">
        <f>GC!C44</f>
        <v>Supply Regulators / Valve Stations</v>
      </c>
      <c r="G105" s="251"/>
      <c r="H105" s="251"/>
      <c r="I105" s="251"/>
      <c r="J105" s="80">
        <f ca="1">Low_Press!J186+AdHoc!J130+AdHoc!J405+AdHoc!J680+Medium_Press!J179+High_Press!J109+Dom_Meters!J130+Dom_Meters!J384+Com_Meters!J130+Com_Meters!J419+Net_Reg!J151+Net_Reg!J405+Cust_Reg!J130+Cust_Reg!J405+CP_SCADA!J158+CP_SCADA!J461+Aug!J144+Aug!J426+Cust_Conn!J114+Cust_Conn!J371+Cust_Conn!J626+Cust_Conn!J881+New_Towns!J109+New_Towns!J364+New_Towns!J632+IT!J235+Other!J109</f>
        <v>0</v>
      </c>
      <c r="K105" s="80">
        <f ca="1">Low_Press!K186+AdHoc!K130+AdHoc!K405+AdHoc!K680+Medium_Press!K179+High_Press!K109+Dom_Meters!K130+Dom_Meters!K384+Com_Meters!K130+Com_Meters!K419+Net_Reg!K151+Net_Reg!K405+Cust_Reg!K130+Cust_Reg!K405+CP_SCADA!K158+CP_SCADA!K461+Aug!K144+Aug!K426+Cust_Conn!K114+Cust_Conn!K371+Cust_Conn!K626+Cust_Conn!K881+New_Towns!K109+New_Towns!K364+New_Towns!K632+IT!K235+Other!K109</f>
        <v>0</v>
      </c>
      <c r="L105" s="80">
        <f ca="1">Low_Press!L186+AdHoc!L130+AdHoc!L405+AdHoc!L680+Medium_Press!L179+High_Press!L109+Dom_Meters!L130+Dom_Meters!L384+Com_Meters!L130+Com_Meters!L419+Net_Reg!L151+Net_Reg!L405+Cust_Reg!L130+Cust_Reg!L405+CP_SCADA!L158+CP_SCADA!L461+Aug!L144+Aug!L426+Cust_Conn!L114+Cust_Conn!L371+Cust_Conn!L626+Cust_Conn!L881+New_Towns!L109+New_Towns!L364+New_Towns!L632+IT!L235+Other!L109</f>
        <v>0</v>
      </c>
      <c r="M105" s="80">
        <f ca="1">Low_Press!M186+AdHoc!M130+AdHoc!M405+AdHoc!M680+Medium_Press!M179+High_Press!M109+Dom_Meters!M130+Dom_Meters!M384+Com_Meters!M130+Com_Meters!M419+Net_Reg!M151+Net_Reg!M405+Cust_Reg!M130+Cust_Reg!M405+CP_SCADA!M158+CP_SCADA!M461+Aug!M144+Aug!M426+Cust_Conn!M114+Cust_Conn!M371+Cust_Conn!M626+Cust_Conn!M881+New_Towns!M109+New_Towns!M364+New_Towns!M632+IT!M235+Other!M109</f>
        <v>0</v>
      </c>
      <c r="N105" s="80">
        <f ca="1">Low_Press!N186+AdHoc!N130+AdHoc!N405+AdHoc!N680+Medium_Press!N179+High_Press!N109+Dom_Meters!N130+Dom_Meters!N384+Com_Meters!N130+Com_Meters!N419+Net_Reg!N151+Net_Reg!N405+Cust_Reg!N130+Cust_Reg!N405+CP_SCADA!N158+CP_SCADA!N461+Aug!N144+Aug!N426+Cust_Conn!N114+Cust_Conn!N371+Cust_Conn!N626+Cust_Conn!N881+New_Towns!N109+New_Towns!N364+New_Towns!N632+IT!N235+Other!N109</f>
        <v>8249873.7993068593</v>
      </c>
      <c r="O105" s="80">
        <f ca="1">Low_Press!O186+AdHoc!O130+AdHoc!O405+AdHoc!O680+Medium_Press!O179+High_Press!O109+Dom_Meters!O130+Dom_Meters!O384+Com_Meters!O130+Com_Meters!O419+Net_Reg!O151+Net_Reg!O405+Cust_Reg!O130+Cust_Reg!O405+CP_SCADA!O158+CP_SCADA!O461+Aug!O144+Aug!O426+Cust_Conn!O114+Cust_Conn!O371+Cust_Conn!O626+Cust_Conn!O881+New_Towns!O109+New_Towns!O364+New_Towns!O632+IT!O235+Other!O109</f>
        <v>2626954.4993070601</v>
      </c>
      <c r="P105" s="80">
        <f ca="1">Low_Press!P186+AdHoc!P130+AdHoc!P405+AdHoc!P680+Medium_Press!P179+High_Press!P109+Dom_Meters!P130+Dom_Meters!P384+Com_Meters!P130+Com_Meters!P419+Net_Reg!P151+Net_Reg!P405+Cust_Reg!P130+Cust_Reg!P405+CP_SCADA!P158+CP_SCADA!P461+Aug!P144+Aug!P426+Cust_Conn!P114+Cust_Conn!P371+Cust_Conn!P626+Cust_Conn!P881+New_Towns!P109+New_Towns!P364+New_Towns!P632+IT!P235+Other!P109</f>
        <v>6412613.6028932575</v>
      </c>
      <c r="Q105" s="80">
        <f ca="1">Low_Press!Q186+AdHoc!Q130+AdHoc!Q405+AdHoc!Q680+Medium_Press!Q179+High_Press!Q109+Dom_Meters!Q130+Dom_Meters!Q384+Com_Meters!Q130+Com_Meters!Q419+Net_Reg!Q151+Net_Reg!Q405+Cust_Reg!Q130+Cust_Reg!Q405+CP_SCADA!Q158+CP_SCADA!Q461+Aug!Q144+Aug!Q426+Cust_Conn!Q114+Cust_Conn!Q371+Cust_Conn!Q626+Cust_Conn!Q881+New_Towns!Q109+New_Towns!Q364+New_Towns!Q632+IT!Q235+Other!Q109</f>
        <v>7605043.443958615</v>
      </c>
      <c r="R105" s="80">
        <f ca="1">Low_Press!R186+AdHoc!R130+AdHoc!R405+AdHoc!R680+Medium_Press!R179+High_Press!R109+Dom_Meters!R130+Dom_Meters!R384+Com_Meters!R130+Com_Meters!R419+Net_Reg!R151+Net_Reg!R405+Cust_Reg!R130+Cust_Reg!R405+CP_SCADA!R158+CP_SCADA!R461+Aug!R144+Aug!R426+Cust_Conn!R114+Cust_Conn!R371+Cust_Conn!R626+Cust_Conn!R881+New_Towns!R109+New_Towns!R364+New_Towns!R632+IT!R235+Other!R109</f>
        <v>4077839.4419310614</v>
      </c>
      <c r="S105" s="80">
        <f ca="1">Low_Press!S186+AdHoc!S130+AdHoc!S405+AdHoc!S680+Medium_Press!S179+High_Press!S109+Dom_Meters!S130+Dom_Meters!S384+Com_Meters!S130+Com_Meters!S419+Net_Reg!S151+Net_Reg!S405+Cust_Reg!S130+Cust_Reg!S405+CP_SCADA!S158+CP_SCADA!S461+Aug!S144+Aug!S426+Cust_Conn!S114+Cust_Conn!S371+Cust_Conn!S626+Cust_Conn!S881+New_Towns!S109+New_Towns!S364+New_Towns!S632+IT!S235+Other!S109</f>
        <v>4131105.5495380368</v>
      </c>
      <c r="T105" s="80">
        <f ca="1">Low_Press!T186+AdHoc!T130+AdHoc!T405+AdHoc!T680+Medium_Press!T179+High_Press!T109+Dom_Meters!T130+Dom_Meters!T384+Com_Meters!T130+Com_Meters!T419+Net_Reg!T151+Net_Reg!T405+Cust_Reg!T130+Cust_Reg!T405+CP_SCADA!T158+CP_SCADA!T461+Aug!T144+Aug!T426+Cust_Conn!T114+Cust_Conn!T371+Cust_Conn!T626+Cust_Conn!T881+New_Towns!T109+New_Towns!T364+New_Towns!T632+IT!T235+Other!T109</f>
        <v>7442275.725236522</v>
      </c>
    </row>
    <row r="106" spans="4:20" s="41" customFormat="1" outlineLevel="1">
      <c r="F106" s="251" t="str">
        <f>GC!C45</f>
        <v>Meters</v>
      </c>
      <c r="G106" s="251"/>
      <c r="H106" s="251"/>
      <c r="I106" s="251"/>
      <c r="J106" s="80">
        <f ca="1">Low_Press!J187+AdHoc!J131+AdHoc!J406+AdHoc!J681+Medium_Press!J180+High_Press!J110+Dom_Meters!J131+Dom_Meters!J385+Com_Meters!J131+Com_Meters!J420+Net_Reg!J152+Net_Reg!J406+Cust_Reg!J131+Cust_Reg!J406+CP_SCADA!J159+CP_SCADA!J462+Aug!J145+Aug!J427+Cust_Conn!J115+Cust_Conn!J372+Cust_Conn!J627+Cust_Conn!J882+New_Towns!J110+New_Towns!J365+New_Towns!J633+IT!J236+Other!J110</f>
        <v>0</v>
      </c>
      <c r="K106" s="80">
        <f ca="1">Low_Press!K187+AdHoc!K131+AdHoc!K406+AdHoc!K681+Medium_Press!K180+High_Press!K110+Dom_Meters!K131+Dom_Meters!K385+Com_Meters!K131+Com_Meters!K420+Net_Reg!K152+Net_Reg!K406+Cust_Reg!K131+Cust_Reg!K406+CP_SCADA!K159+CP_SCADA!K462+Aug!K145+Aug!K427+Cust_Conn!K115+Cust_Conn!K372+Cust_Conn!K627+Cust_Conn!K882+New_Towns!K110+New_Towns!K365+New_Towns!K633+IT!K236+Other!K110</f>
        <v>0</v>
      </c>
      <c r="L106" s="80">
        <f ca="1">Low_Press!L187+AdHoc!L131+AdHoc!L406+AdHoc!L681+Medium_Press!L180+High_Press!L110+Dom_Meters!L131+Dom_Meters!L385+Com_Meters!L131+Com_Meters!L420+Net_Reg!L152+Net_Reg!L406+Cust_Reg!L131+Cust_Reg!L406+CP_SCADA!L159+CP_SCADA!L462+Aug!L145+Aug!L427+Cust_Conn!L115+Cust_Conn!L372+Cust_Conn!L627+Cust_Conn!L882+New_Towns!L110+New_Towns!L365+New_Towns!L633+IT!L236+Other!L110</f>
        <v>0</v>
      </c>
      <c r="M106" s="80">
        <f ca="1">Low_Press!M187+AdHoc!M131+AdHoc!M406+AdHoc!M681+Medium_Press!M180+High_Press!M110+Dom_Meters!M131+Dom_Meters!M385+Com_Meters!M131+Com_Meters!M420+Net_Reg!M152+Net_Reg!M406+Cust_Reg!M131+Cust_Reg!M406+CP_SCADA!M159+CP_SCADA!M462+Aug!M145+Aug!M427+Cust_Conn!M115+Cust_Conn!M372+Cust_Conn!M627+Cust_Conn!M882+New_Towns!M110+New_Towns!M365+New_Towns!M633+IT!M236+Other!M110</f>
        <v>0</v>
      </c>
      <c r="N106" s="80">
        <f ca="1">Low_Press!N187+AdHoc!N131+AdHoc!N406+AdHoc!N681+Medium_Press!N180+High_Press!N110+Dom_Meters!N131+Dom_Meters!N385+Com_Meters!N131+Com_Meters!N420+Net_Reg!N152+Net_Reg!N406+Cust_Reg!N131+Cust_Reg!N406+CP_SCADA!N159+CP_SCADA!N462+Aug!N145+Aug!N427+Cust_Conn!N115+Cust_Conn!N372+Cust_Conn!N627+Cust_Conn!N882+New_Towns!N110+New_Towns!N365+New_Towns!N633+IT!N236+Other!N110</f>
        <v>15188293.461129813</v>
      </c>
      <c r="O106" s="80">
        <f ca="1">Low_Press!O187+AdHoc!O131+AdHoc!O406+AdHoc!O681+Medium_Press!O180+High_Press!O110+Dom_Meters!O131+Dom_Meters!O385+Com_Meters!O131+Com_Meters!O420+Net_Reg!O152+Net_Reg!O406+Cust_Reg!O131+Cust_Reg!O406+CP_SCADA!O159+CP_SCADA!O462+Aug!O145+Aug!O427+Cust_Conn!O115+Cust_Conn!O372+Cust_Conn!O627+Cust_Conn!O882+New_Towns!O110+New_Towns!O365+New_Towns!O633+IT!O236+Other!O110</f>
        <v>7902377.5427891007</v>
      </c>
      <c r="P106" s="80">
        <f ca="1">Low_Press!P187+AdHoc!P131+AdHoc!P406+AdHoc!P681+Medium_Press!P180+High_Press!P110+Dom_Meters!P131+Dom_Meters!P385+Com_Meters!P131+Com_Meters!P420+Net_Reg!P152+Net_Reg!P406+Cust_Reg!P131+Cust_Reg!P406+CP_SCADA!P159+CP_SCADA!P462+Aug!P145+Aug!P427+Cust_Conn!P115+Cust_Conn!P372+Cust_Conn!P627+Cust_Conn!P882+New_Towns!P110+New_Towns!P365+New_Towns!P633+IT!P236+Other!P110</f>
        <v>14690229.192510545</v>
      </c>
      <c r="Q106" s="80">
        <f ca="1">Low_Press!Q187+AdHoc!Q131+AdHoc!Q406+AdHoc!Q681+Medium_Press!Q180+High_Press!Q110+Dom_Meters!Q131+Dom_Meters!Q385+Com_Meters!Q131+Com_Meters!Q420+Net_Reg!Q152+Net_Reg!Q406+Cust_Reg!Q131+Cust_Reg!Q406+CP_SCADA!Q159+CP_SCADA!Q462+Aug!Q145+Aug!Q427+Cust_Conn!Q115+Cust_Conn!Q372+Cust_Conn!Q627+Cust_Conn!Q882+New_Towns!Q110+New_Towns!Q365+New_Towns!Q633+IT!Q236+Other!Q110</f>
        <v>15969692.997301295</v>
      </c>
      <c r="R106" s="80">
        <f ca="1">Low_Press!R187+AdHoc!R131+AdHoc!R406+AdHoc!R681+Medium_Press!R180+High_Press!R110+Dom_Meters!R131+Dom_Meters!R385+Com_Meters!R131+Com_Meters!R420+Net_Reg!R152+Net_Reg!R406+Cust_Reg!R131+Cust_Reg!R406+CP_SCADA!R159+CP_SCADA!R462+Aug!R145+Aug!R427+Cust_Conn!R115+Cust_Conn!R372+Cust_Conn!R627+Cust_Conn!R882+New_Towns!R110+New_Towns!R365+New_Towns!R633+IT!R236+Other!R110</f>
        <v>16748453.426807657</v>
      </c>
      <c r="S106" s="80">
        <f ca="1">Low_Press!S187+AdHoc!S131+AdHoc!S406+AdHoc!S681+Medium_Press!S180+High_Press!S110+Dom_Meters!S131+Dom_Meters!S385+Com_Meters!S131+Com_Meters!S420+Net_Reg!S152+Net_Reg!S406+Cust_Reg!S131+Cust_Reg!S406+CP_SCADA!S159+CP_SCADA!S462+Aug!S145+Aug!S427+Cust_Conn!S115+Cust_Conn!S372+Cust_Conn!S627+Cust_Conn!S882+New_Towns!S110+New_Towns!S365+New_Towns!S633+IT!S236+Other!S110</f>
        <v>15116079.399492413</v>
      </c>
      <c r="T106" s="80">
        <f ca="1">Low_Press!T187+AdHoc!T131+AdHoc!T406+AdHoc!T681+Medium_Press!T180+High_Press!T110+Dom_Meters!T131+Dom_Meters!T385+Com_Meters!T131+Com_Meters!T420+Net_Reg!T152+Net_Reg!T406+Cust_Reg!T131+Cust_Reg!T406+CP_SCADA!T159+CP_SCADA!T462+Aug!T145+Aug!T427+Cust_Conn!T115+Cust_Conn!T372+Cust_Conn!T627+Cust_Conn!T882+New_Towns!T110+New_Towns!T365+New_Towns!T633+IT!T236+Other!T110</f>
        <v>14155390.843647346</v>
      </c>
    </row>
    <row r="107" spans="4:20" s="41" customFormat="1" outlineLevel="1">
      <c r="F107" s="251" t="str">
        <f>GC!C46</f>
        <v>SCADA and remote control</v>
      </c>
      <c r="G107" s="251"/>
      <c r="H107" s="251"/>
      <c r="I107" s="251"/>
      <c r="J107" s="80">
        <f ca="1">Low_Press!J188+AdHoc!J132+AdHoc!J407+AdHoc!J682+Medium_Press!J181+High_Press!J111+Dom_Meters!J132+Dom_Meters!J386+Com_Meters!J132+Com_Meters!J421+Net_Reg!J153+Net_Reg!J407+Cust_Reg!J132+Cust_Reg!J407+CP_SCADA!J160+CP_SCADA!J463+Aug!J146+Aug!J428+Cust_Conn!J116+Cust_Conn!J373+Cust_Conn!J628+Cust_Conn!J883+New_Towns!J111+New_Towns!J366+New_Towns!J634+IT!J237+Other!J111</f>
        <v>0</v>
      </c>
      <c r="K107" s="80">
        <f ca="1">Low_Press!K188+AdHoc!K132+AdHoc!K407+AdHoc!K682+Medium_Press!K181+High_Press!K111+Dom_Meters!K132+Dom_Meters!K386+Com_Meters!K132+Com_Meters!K421+Net_Reg!K153+Net_Reg!K407+Cust_Reg!K132+Cust_Reg!K407+CP_SCADA!K160+CP_SCADA!K463+Aug!K146+Aug!K428+Cust_Conn!K116+Cust_Conn!K373+Cust_Conn!K628+Cust_Conn!K883+New_Towns!K111+New_Towns!K366+New_Towns!K634+IT!K237+Other!K111</f>
        <v>0</v>
      </c>
      <c r="L107" s="80">
        <f ca="1">Low_Press!L188+AdHoc!L132+AdHoc!L407+AdHoc!L682+Medium_Press!L181+High_Press!L111+Dom_Meters!L132+Dom_Meters!L386+Com_Meters!L132+Com_Meters!L421+Net_Reg!L153+Net_Reg!L407+Cust_Reg!L132+Cust_Reg!L407+CP_SCADA!L160+CP_SCADA!L463+Aug!L146+Aug!L428+Cust_Conn!L116+Cust_Conn!L373+Cust_Conn!L628+Cust_Conn!L883+New_Towns!L111+New_Towns!L366+New_Towns!L634+IT!L237+Other!L111</f>
        <v>0</v>
      </c>
      <c r="M107" s="80">
        <f ca="1">Low_Press!M188+AdHoc!M132+AdHoc!M407+AdHoc!M682+Medium_Press!M181+High_Press!M111+Dom_Meters!M132+Dom_Meters!M386+Com_Meters!M132+Com_Meters!M421+Net_Reg!M153+Net_Reg!M407+Cust_Reg!M132+Cust_Reg!M407+CP_SCADA!M160+CP_SCADA!M463+Aug!M146+Aug!M428+Cust_Conn!M116+Cust_Conn!M373+Cust_Conn!M628+Cust_Conn!M883+New_Towns!M111+New_Towns!M366+New_Towns!M634+IT!M237+Other!M111</f>
        <v>0</v>
      </c>
      <c r="N107" s="80">
        <f ca="1">Low_Press!N188+AdHoc!N132+AdHoc!N407+AdHoc!N682+Medium_Press!N181+High_Press!N111+Dom_Meters!N132+Dom_Meters!N386+Com_Meters!N132+Com_Meters!N421+Net_Reg!N153+Net_Reg!N407+Cust_Reg!N132+Cust_Reg!N407+CP_SCADA!N160+CP_SCADA!N463+Aug!N146+Aug!N428+Cust_Conn!N116+Cust_Conn!N373+Cust_Conn!N628+Cust_Conn!N883+New_Towns!N111+New_Towns!N366+New_Towns!N634+IT!N237+Other!N111</f>
        <v>1261735.9153766781</v>
      </c>
      <c r="O107" s="80">
        <f ca="1">Low_Press!O188+AdHoc!O132+AdHoc!O407+AdHoc!O682+Medium_Press!O181+High_Press!O111+Dom_Meters!O132+Dom_Meters!O386+Com_Meters!O132+Com_Meters!O421+Net_Reg!O153+Net_Reg!O407+Cust_Reg!O132+Cust_Reg!O407+CP_SCADA!O160+CP_SCADA!O463+Aug!O146+Aug!O428+Cust_Conn!O116+Cust_Conn!O373+Cust_Conn!O628+Cust_Conn!O883+New_Towns!O111+New_Towns!O366+New_Towns!O634+IT!O237+Other!O111</f>
        <v>140021.82287900295</v>
      </c>
      <c r="P107" s="80">
        <f ca="1">Low_Press!P188+AdHoc!P132+AdHoc!P407+AdHoc!P682+Medium_Press!P181+High_Press!P111+Dom_Meters!P132+Dom_Meters!P386+Com_Meters!P132+Com_Meters!P421+Net_Reg!P153+Net_Reg!P407+Cust_Reg!P132+Cust_Reg!P407+CP_SCADA!P160+CP_SCADA!P463+Aug!P146+Aug!P428+Cust_Conn!P116+Cust_Conn!P373+Cust_Conn!P628+Cust_Conn!P883+New_Towns!P111+New_Towns!P366+New_Towns!P634+IT!P237+Other!P111</f>
        <v>1155354.4755339709</v>
      </c>
      <c r="Q107" s="80">
        <f ca="1">Low_Press!Q188+AdHoc!Q132+AdHoc!Q407+AdHoc!Q682+Medium_Press!Q181+High_Press!Q111+Dom_Meters!Q132+Dom_Meters!Q386+Com_Meters!Q132+Com_Meters!Q421+Net_Reg!Q153+Net_Reg!Q407+Cust_Reg!Q132+Cust_Reg!Q407+CP_SCADA!Q160+CP_SCADA!Q463+Aug!Q146+Aug!Q428+Cust_Conn!Q116+Cust_Conn!Q373+Cust_Conn!Q628+Cust_Conn!Q883+New_Towns!Q111+New_Towns!Q366+New_Towns!Q634+IT!Q237+Other!Q111</f>
        <v>1105600.2565754629</v>
      </c>
      <c r="R107" s="80">
        <f ca="1">Low_Press!R188+AdHoc!R132+AdHoc!R407+AdHoc!R682+Medium_Press!R181+High_Press!R111+Dom_Meters!R132+Dom_Meters!R386+Com_Meters!R132+Com_Meters!R421+Net_Reg!R153+Net_Reg!R407+Cust_Reg!R132+Cust_Reg!R407+CP_SCADA!R160+CP_SCADA!R463+Aug!R146+Aug!R428+Cust_Conn!R116+Cust_Conn!R373+Cust_Conn!R628+Cust_Conn!R883+New_Towns!R111+New_Towns!R366+New_Towns!R634+IT!R237+Other!R111</f>
        <v>255224.26027521645</v>
      </c>
      <c r="S107" s="80">
        <f ca="1">Low_Press!S188+AdHoc!S132+AdHoc!S407+AdHoc!S682+Medium_Press!S181+High_Press!S111+Dom_Meters!S132+Dom_Meters!S386+Com_Meters!S132+Com_Meters!S421+Net_Reg!S153+Net_Reg!S407+Cust_Reg!S132+Cust_Reg!S407+CP_SCADA!S160+CP_SCADA!S463+Aug!S146+Aug!S428+Cust_Conn!S116+Cust_Conn!S373+Cust_Conn!S628+Cust_Conn!S883+New_Towns!S111+New_Towns!S366+New_Towns!S634+IT!S237+Other!S111</f>
        <v>232783.50745597249</v>
      </c>
      <c r="T107" s="80">
        <f ca="1">Low_Press!T188+AdHoc!T132+AdHoc!T407+AdHoc!T682+Medium_Press!T181+High_Press!T111+Dom_Meters!T132+Dom_Meters!T386+Com_Meters!T132+Com_Meters!T421+Net_Reg!T153+Net_Reg!T407+Cust_Reg!T132+Cust_Reg!T407+CP_SCADA!T160+CP_SCADA!T463+Aug!T146+Aug!T428+Cust_Conn!T116+Cust_Conn!T373+Cust_Conn!T628+Cust_Conn!T883+New_Towns!T111+New_Towns!T366+New_Towns!T634+IT!T237+Other!T111</f>
        <v>255398.58129712642</v>
      </c>
    </row>
    <row r="108" spans="4:20" s="41" customFormat="1" outlineLevel="1">
      <c r="F108" s="251" t="str">
        <f>GC!C47</f>
        <v>Buildings</v>
      </c>
      <c r="G108" s="251"/>
      <c r="H108" s="251"/>
      <c r="I108" s="251"/>
      <c r="J108" s="80">
        <f ca="1">Low_Press!J189+AdHoc!J133+AdHoc!J408+AdHoc!J683+Medium_Press!J182+High_Press!J112+Dom_Meters!J133+Dom_Meters!J387+Com_Meters!J133+Com_Meters!J422+Net_Reg!J154+Net_Reg!J408+Cust_Reg!J133+Cust_Reg!J408+CP_SCADA!J161+CP_SCADA!J464+Aug!J147+Aug!J429+Cust_Conn!J117+Cust_Conn!J374+Cust_Conn!J629+Cust_Conn!J884+New_Towns!J112+New_Towns!J367+New_Towns!J635+IT!J238+Other!J112</f>
        <v>0</v>
      </c>
      <c r="K108" s="80">
        <f ca="1">Low_Press!K189+AdHoc!K133+AdHoc!K408+AdHoc!K683+Medium_Press!K182+High_Press!K112+Dom_Meters!K133+Dom_Meters!K387+Com_Meters!K133+Com_Meters!K422+Net_Reg!K154+Net_Reg!K408+Cust_Reg!K133+Cust_Reg!K408+CP_SCADA!K161+CP_SCADA!K464+Aug!K147+Aug!K429+Cust_Conn!K117+Cust_Conn!K374+Cust_Conn!K629+Cust_Conn!K884+New_Towns!K112+New_Towns!K367+New_Towns!K635+IT!K238+Other!K112</f>
        <v>0</v>
      </c>
      <c r="L108" s="80">
        <f ca="1">Low_Press!L189+AdHoc!L133+AdHoc!L408+AdHoc!L683+Medium_Press!L182+High_Press!L112+Dom_Meters!L133+Dom_Meters!L387+Com_Meters!L133+Com_Meters!L422+Net_Reg!L154+Net_Reg!L408+Cust_Reg!L133+Cust_Reg!L408+CP_SCADA!L161+CP_SCADA!L464+Aug!L147+Aug!L429+Cust_Conn!L117+Cust_Conn!L374+Cust_Conn!L629+Cust_Conn!L884+New_Towns!L112+New_Towns!L367+New_Towns!L635+IT!L238+Other!L112</f>
        <v>0</v>
      </c>
      <c r="M108" s="80">
        <f ca="1">Low_Press!M189+AdHoc!M133+AdHoc!M408+AdHoc!M683+Medium_Press!M182+High_Press!M112+Dom_Meters!M133+Dom_Meters!M387+Com_Meters!M133+Com_Meters!M422+Net_Reg!M154+Net_Reg!M408+Cust_Reg!M133+Cust_Reg!M408+CP_SCADA!M161+CP_SCADA!M464+Aug!M147+Aug!M429+Cust_Conn!M117+Cust_Conn!M374+Cust_Conn!M629+Cust_Conn!M884+New_Towns!M112+New_Towns!M367+New_Towns!M635+IT!M238+Other!M112</f>
        <v>0</v>
      </c>
      <c r="N108" s="80">
        <f ca="1">Low_Press!N189+AdHoc!N133+AdHoc!N408+AdHoc!N683+Medium_Press!N182+High_Press!N112+Dom_Meters!N133+Dom_Meters!N387+Com_Meters!N133+Com_Meters!N422+Net_Reg!N154+Net_Reg!N408+Cust_Reg!N133+Cust_Reg!N408+CP_SCADA!N161+CP_SCADA!N464+Aug!N147+Aug!N429+Cust_Conn!N117+Cust_Conn!N374+Cust_Conn!N629+Cust_Conn!N884+New_Towns!N112+New_Towns!N367+New_Towns!N635+IT!N238+Other!N112</f>
        <v>0</v>
      </c>
      <c r="O108" s="80">
        <f ca="1">Low_Press!O189+AdHoc!O133+AdHoc!O408+AdHoc!O683+Medium_Press!O182+High_Press!O112+Dom_Meters!O133+Dom_Meters!O387+Com_Meters!O133+Com_Meters!O422+Net_Reg!O154+Net_Reg!O408+Cust_Reg!O133+Cust_Reg!O408+CP_SCADA!O161+CP_SCADA!O464+Aug!O147+Aug!O429+Cust_Conn!O117+Cust_Conn!O374+Cust_Conn!O629+Cust_Conn!O884+New_Towns!O112+New_Towns!O367+New_Towns!O635+IT!O238+Other!O112</f>
        <v>0</v>
      </c>
      <c r="P108" s="80">
        <f ca="1">Low_Press!P189+AdHoc!P133+AdHoc!P408+AdHoc!P683+Medium_Press!P182+High_Press!P112+Dom_Meters!P133+Dom_Meters!P387+Com_Meters!P133+Com_Meters!P422+Net_Reg!P154+Net_Reg!P408+Cust_Reg!P133+Cust_Reg!P408+CP_SCADA!P161+CP_SCADA!P464+Aug!P147+Aug!P429+Cust_Conn!P117+Cust_Conn!P374+Cust_Conn!P629+Cust_Conn!P884+New_Towns!P112+New_Towns!P367+New_Towns!P635+IT!P238+Other!P112</f>
        <v>0</v>
      </c>
      <c r="Q108" s="80">
        <f ca="1">Low_Press!Q189+AdHoc!Q133+AdHoc!Q408+AdHoc!Q683+Medium_Press!Q182+High_Press!Q112+Dom_Meters!Q133+Dom_Meters!Q387+Com_Meters!Q133+Com_Meters!Q422+Net_Reg!Q154+Net_Reg!Q408+Cust_Reg!Q133+Cust_Reg!Q408+CP_SCADA!Q161+CP_SCADA!Q464+Aug!Q147+Aug!Q429+Cust_Conn!Q117+Cust_Conn!Q374+Cust_Conn!Q629+Cust_Conn!Q884+New_Towns!Q112+New_Towns!Q367+New_Towns!Q635+IT!Q238+Other!Q112</f>
        <v>0</v>
      </c>
      <c r="R108" s="80">
        <f ca="1">Low_Press!R189+AdHoc!R133+AdHoc!R408+AdHoc!R683+Medium_Press!R182+High_Press!R112+Dom_Meters!R133+Dom_Meters!R387+Com_Meters!R133+Com_Meters!R422+Net_Reg!R154+Net_Reg!R408+Cust_Reg!R133+Cust_Reg!R408+CP_SCADA!R161+CP_SCADA!R464+Aug!R147+Aug!R429+Cust_Conn!R117+Cust_Conn!R374+Cust_Conn!R629+Cust_Conn!R884+New_Towns!R112+New_Towns!R367+New_Towns!R635+IT!R238+Other!R112</f>
        <v>0</v>
      </c>
      <c r="S108" s="80">
        <f ca="1">Low_Press!S189+AdHoc!S133+AdHoc!S408+AdHoc!S683+Medium_Press!S182+High_Press!S112+Dom_Meters!S133+Dom_Meters!S387+Com_Meters!S133+Com_Meters!S422+Net_Reg!S154+Net_Reg!S408+Cust_Reg!S133+Cust_Reg!S408+CP_SCADA!S161+CP_SCADA!S464+Aug!S147+Aug!S429+Cust_Conn!S117+Cust_Conn!S374+Cust_Conn!S629+Cust_Conn!S884+New_Towns!S112+New_Towns!S367+New_Towns!S635+IT!S238+Other!S112</f>
        <v>0</v>
      </c>
      <c r="T108" s="80">
        <f ca="1">Low_Press!T189+AdHoc!T133+AdHoc!T408+AdHoc!T683+Medium_Press!T182+High_Press!T112+Dom_Meters!T133+Dom_Meters!T387+Com_Meters!T133+Com_Meters!T422+Net_Reg!T154+Net_Reg!T408+Cust_Reg!T133+Cust_Reg!T408+CP_SCADA!T161+CP_SCADA!T464+Aug!T147+Aug!T429+Cust_Conn!T117+Cust_Conn!T374+Cust_Conn!T629+Cust_Conn!T884+New_Towns!T112+New_Towns!T367+New_Towns!T635+IT!T238+Other!T112</f>
        <v>0</v>
      </c>
    </row>
    <row r="109" spans="4:20" s="41" customFormat="1" outlineLevel="1">
      <c r="F109" s="251" t="str">
        <f>GC!C48</f>
        <v>Other - IT</v>
      </c>
      <c r="G109" s="251"/>
      <c r="H109" s="251"/>
      <c r="I109" s="251"/>
      <c r="J109" s="80">
        <f ca="1">Low_Press!J190+AdHoc!J134+AdHoc!J409+AdHoc!J684+Medium_Press!J183+High_Press!J113+Dom_Meters!J134+Dom_Meters!J388+Com_Meters!J134+Com_Meters!J423+Net_Reg!J155+Net_Reg!J409+Cust_Reg!J134+Cust_Reg!J409+CP_SCADA!J162+CP_SCADA!J465+Aug!J148+Aug!J430+Cust_Conn!J118+Cust_Conn!J375+Cust_Conn!J630+Cust_Conn!J885+New_Towns!J113+New_Towns!J368+New_Towns!J636+IT!J239+Other!J113</f>
        <v>0</v>
      </c>
      <c r="K109" s="80">
        <f ca="1">Low_Press!K190+AdHoc!K134+AdHoc!K409+AdHoc!K684+Medium_Press!K183+High_Press!K113+Dom_Meters!K134+Dom_Meters!K388+Com_Meters!K134+Com_Meters!K423+Net_Reg!K155+Net_Reg!K409+Cust_Reg!K134+Cust_Reg!K409+CP_SCADA!K162+CP_SCADA!K465+Aug!K148+Aug!K430+Cust_Conn!K118+Cust_Conn!K375+Cust_Conn!K630+Cust_Conn!K885+New_Towns!K113+New_Towns!K368+New_Towns!K636+IT!K239+Other!K113</f>
        <v>0</v>
      </c>
      <c r="L109" s="80">
        <f ca="1">Low_Press!L190+AdHoc!L134+AdHoc!L409+AdHoc!L684+Medium_Press!L183+High_Press!L113+Dom_Meters!L134+Dom_Meters!L388+Com_Meters!L134+Com_Meters!L423+Net_Reg!L155+Net_Reg!L409+Cust_Reg!L134+Cust_Reg!L409+CP_SCADA!L162+CP_SCADA!L465+Aug!L148+Aug!L430+Cust_Conn!L118+Cust_Conn!L375+Cust_Conn!L630+Cust_Conn!L885+New_Towns!L113+New_Towns!L368+New_Towns!L636+IT!L239+Other!L113</f>
        <v>0</v>
      </c>
      <c r="M109" s="80">
        <f ca="1">Low_Press!M190+AdHoc!M134+AdHoc!M409+AdHoc!M684+Medium_Press!M183+High_Press!M113+Dom_Meters!M134+Dom_Meters!M388+Com_Meters!M134+Com_Meters!M423+Net_Reg!M155+Net_Reg!M409+Cust_Reg!M134+Cust_Reg!M409+CP_SCADA!M162+CP_SCADA!M465+Aug!M148+Aug!M430+Cust_Conn!M118+Cust_Conn!M375+Cust_Conn!M630+Cust_Conn!M885+New_Towns!M113+New_Towns!M368+New_Towns!M636+IT!M239+Other!M113</f>
        <v>0</v>
      </c>
      <c r="N109" s="80">
        <f ca="1">Low_Press!N190+AdHoc!N134+AdHoc!N409+AdHoc!N684+Medium_Press!N183+High_Press!N113+Dom_Meters!N134+Dom_Meters!N388+Com_Meters!N134+Com_Meters!N423+Net_Reg!N155+Net_Reg!N409+Cust_Reg!N134+Cust_Reg!N409+CP_SCADA!N162+CP_SCADA!N465+Aug!N148+Aug!N430+Cust_Conn!N118+Cust_Conn!N375+Cust_Conn!N630+Cust_Conn!N885+New_Towns!N113+New_Towns!N368+New_Towns!N636+IT!N239+Other!N113</f>
        <v>6495387.0956881428</v>
      </c>
      <c r="O109" s="80">
        <f ca="1">Low_Press!O190+AdHoc!O134+AdHoc!O409+AdHoc!O684+Medium_Press!O183+High_Press!O113+Dom_Meters!O134+Dom_Meters!O388+Com_Meters!O134+Com_Meters!O423+Net_Reg!O155+Net_Reg!O409+Cust_Reg!O134+Cust_Reg!O409+CP_SCADA!O162+CP_SCADA!O465+Aug!O148+Aug!O430+Cust_Conn!O118+Cust_Conn!O375+Cust_Conn!O630+Cust_Conn!O885+New_Towns!O113+New_Towns!O368+New_Towns!O636+IT!O239+Other!O113</f>
        <v>3247663.2930309507</v>
      </c>
      <c r="P109" s="80">
        <f ca="1">Low_Press!P190+AdHoc!P134+AdHoc!P409+AdHoc!P684+Medium_Press!P183+High_Press!P113+Dom_Meters!P134+Dom_Meters!P388+Com_Meters!P134+Com_Meters!P423+Net_Reg!P155+Net_Reg!P409+Cust_Reg!P134+Cust_Reg!P409+CP_SCADA!P162+CP_SCADA!P465+Aug!P148+Aug!P430+Cust_Conn!P118+Cust_Conn!P375+Cust_Conn!P630+Cust_Conn!P885+New_Towns!P113+New_Towns!P368+New_Towns!P636+IT!P239+Other!P113</f>
        <v>15082408.401202435</v>
      </c>
      <c r="Q109" s="80">
        <f ca="1">Low_Press!Q190+AdHoc!Q134+AdHoc!Q409+AdHoc!Q684+Medium_Press!Q183+High_Press!Q113+Dom_Meters!Q134+Dom_Meters!Q388+Com_Meters!Q134+Com_Meters!Q423+Net_Reg!Q155+Net_Reg!Q409+Cust_Reg!Q134+Cust_Reg!Q409+CP_SCADA!Q162+CP_SCADA!Q465+Aug!Q148+Aug!Q430+Cust_Conn!Q118+Cust_Conn!Q375+Cust_Conn!Q630+Cust_Conn!Q885+New_Towns!Q113+New_Towns!Q368+New_Towns!Q636+IT!Q239+Other!Q113</f>
        <v>17366613.343854845</v>
      </c>
      <c r="R109" s="80">
        <f ca="1">Low_Press!R190+AdHoc!R134+AdHoc!R409+AdHoc!R684+Medium_Press!R183+High_Press!R113+Dom_Meters!R134+Dom_Meters!R388+Com_Meters!R134+Com_Meters!R423+Net_Reg!R155+Net_Reg!R409+Cust_Reg!R134+Cust_Reg!R409+CP_SCADA!R162+CP_SCADA!R465+Aug!R148+Aug!R430+Cust_Conn!R118+Cust_Conn!R375+Cust_Conn!R630+Cust_Conn!R885+New_Towns!R113+New_Towns!R368+New_Towns!R636+IT!R239+Other!R113</f>
        <v>18857623.260877103</v>
      </c>
      <c r="S109" s="80">
        <f ca="1">Low_Press!S190+AdHoc!S134+AdHoc!S409+AdHoc!S684+Medium_Press!S183+High_Press!S113+Dom_Meters!S134+Dom_Meters!S388+Com_Meters!S134+Com_Meters!S423+Net_Reg!S155+Net_Reg!S409+Cust_Reg!S134+Cust_Reg!S409+CP_SCADA!S162+CP_SCADA!S465+Aug!S148+Aug!S430+Cust_Conn!S118+Cust_Conn!S375+Cust_Conn!S630+Cust_Conn!S885+New_Towns!S113+New_Towns!S368+New_Towns!S636+IT!S239+Other!S113</f>
        <v>9269970.7666352876</v>
      </c>
      <c r="T109" s="80">
        <f ca="1">Low_Press!T190+AdHoc!T134+AdHoc!T409+AdHoc!T684+Medium_Press!T183+High_Press!T113+Dom_Meters!T134+Dom_Meters!T388+Com_Meters!T134+Com_Meters!T423+Net_Reg!T155+Net_Reg!T409+Cust_Reg!T134+Cust_Reg!T409+CP_SCADA!T162+CP_SCADA!T465+Aug!T148+Aug!T430+Cust_Conn!T118+Cust_Conn!T375+Cust_Conn!T630+Cust_Conn!T885+New_Towns!T113+New_Towns!T368+New_Towns!T636+IT!T239+Other!T113</f>
        <v>6791539.6838447517</v>
      </c>
    </row>
    <row r="110" spans="4:20" s="41" customFormat="1" outlineLevel="1">
      <c r="F110" s="251" t="str">
        <f>GC!C49</f>
        <v>Other - non IT</v>
      </c>
      <c r="G110" s="251"/>
      <c r="H110" s="251"/>
      <c r="I110" s="251"/>
      <c r="J110" s="80">
        <f ca="1">Low_Press!J191+AdHoc!J135+AdHoc!J410+AdHoc!J685+Medium_Press!J184+High_Press!J114+Dom_Meters!J135+Dom_Meters!J389+Com_Meters!J135+Com_Meters!J424+Net_Reg!J156+Net_Reg!J410+Cust_Reg!J135+Cust_Reg!J410+CP_SCADA!J163+CP_SCADA!J466+Aug!J149+Aug!J431+Cust_Conn!J119+Cust_Conn!J376+Cust_Conn!J631+Cust_Conn!J886+New_Towns!J114+New_Towns!J369+New_Towns!J637+IT!J240+Other!J114</f>
        <v>0</v>
      </c>
      <c r="K110" s="80">
        <f ca="1">Low_Press!K191+AdHoc!K135+AdHoc!K410+AdHoc!K685+Medium_Press!K184+High_Press!K114+Dom_Meters!K135+Dom_Meters!K389+Com_Meters!K135+Com_Meters!K424+Net_Reg!K156+Net_Reg!K410+Cust_Reg!K135+Cust_Reg!K410+CP_SCADA!K163+CP_SCADA!K466+Aug!K149+Aug!K431+Cust_Conn!K119+Cust_Conn!K376+Cust_Conn!K631+Cust_Conn!K886+New_Towns!K114+New_Towns!K369+New_Towns!K637+IT!K240+Other!K114</f>
        <v>0</v>
      </c>
      <c r="L110" s="80">
        <f ca="1">Low_Press!L191+AdHoc!L135+AdHoc!L410+AdHoc!L685+Medium_Press!L184+High_Press!L114+Dom_Meters!L135+Dom_Meters!L389+Com_Meters!L135+Com_Meters!L424+Net_Reg!L156+Net_Reg!L410+Cust_Reg!L135+Cust_Reg!L410+CP_SCADA!L163+CP_SCADA!L466+Aug!L149+Aug!L431+Cust_Conn!L119+Cust_Conn!L376+Cust_Conn!L631+Cust_Conn!L886+New_Towns!L114+New_Towns!L369+New_Towns!L637+IT!L240+Other!L114</f>
        <v>0</v>
      </c>
      <c r="M110" s="80">
        <f ca="1">Low_Press!M191+AdHoc!M135+AdHoc!M410+AdHoc!M685+Medium_Press!M184+High_Press!M114+Dom_Meters!M135+Dom_Meters!M389+Com_Meters!M135+Com_Meters!M424+Net_Reg!M156+Net_Reg!M410+Cust_Reg!M135+Cust_Reg!M410+CP_SCADA!M163+CP_SCADA!M466+Aug!M149+Aug!M431+Cust_Conn!M119+Cust_Conn!M376+Cust_Conn!M631+Cust_Conn!M886+New_Towns!M114+New_Towns!M369+New_Towns!M637+IT!M240+Other!M114</f>
        <v>0</v>
      </c>
      <c r="N110" s="80">
        <f ca="1">Low_Press!N191+AdHoc!N135+AdHoc!N410+AdHoc!N685+Medium_Press!N184+High_Press!N114+Dom_Meters!N135+Dom_Meters!N389+Com_Meters!N135+Com_Meters!N424+Net_Reg!N156+Net_Reg!N410+Cust_Reg!N135+Cust_Reg!N410+CP_SCADA!N163+CP_SCADA!N466+Aug!N149+Aug!N431+Cust_Conn!N119+Cust_Conn!N376+Cust_Conn!N631+Cust_Conn!N886+New_Towns!N114+New_Towns!N369+New_Towns!N637+IT!N240+Other!N114</f>
        <v>361092.5049599809</v>
      </c>
      <c r="O110" s="80">
        <f ca="1">Low_Press!O191+AdHoc!O135+AdHoc!O410+AdHoc!O685+Medium_Press!O184+High_Press!O114+Dom_Meters!O135+Dom_Meters!O389+Com_Meters!O135+Com_Meters!O424+Net_Reg!O156+Net_Reg!O410+Cust_Reg!O135+Cust_Reg!O410+CP_SCADA!O163+CP_SCADA!O466+Aug!O149+Aug!O431+Cust_Conn!O119+Cust_Conn!O376+Cust_Conn!O631+Cust_Conn!O886+New_Towns!O114+New_Towns!O369+New_Towns!O637+IT!O240+Other!O114</f>
        <v>252284.62045122919</v>
      </c>
      <c r="P110" s="80">
        <f ca="1">Low_Press!P191+AdHoc!P135+AdHoc!P410+AdHoc!P685+Medium_Press!P184+High_Press!P114+Dom_Meters!P135+Dom_Meters!P389+Com_Meters!P135+Com_Meters!P424+Net_Reg!P156+Net_Reg!P410+Cust_Reg!P135+Cust_Reg!P410+CP_SCADA!P163+CP_SCADA!P466+Aug!P149+Aug!P431+Cust_Conn!P119+Cust_Conn!P376+Cust_Conn!P631+Cust_Conn!P886+New_Towns!P114+New_Towns!P369+New_Towns!P637+IT!P240+Other!P114</f>
        <v>1564511.9822175652</v>
      </c>
      <c r="Q110" s="80">
        <f ca="1">Low_Press!Q191+AdHoc!Q135+AdHoc!Q410+AdHoc!Q685+Medium_Press!Q184+High_Press!Q114+Dom_Meters!Q135+Dom_Meters!Q389+Com_Meters!Q135+Com_Meters!Q424+Net_Reg!Q156+Net_Reg!Q410+Cust_Reg!Q135+Cust_Reg!Q410+CP_SCADA!Q163+CP_SCADA!Q466+Aug!Q149+Aug!Q431+Cust_Conn!Q119+Cust_Conn!Q376+Cust_Conn!Q631+Cust_Conn!Q886+New_Towns!Q114+New_Towns!Q369+New_Towns!Q637+IT!Q240+Other!Q114</f>
        <v>1564961.034003865</v>
      </c>
      <c r="R110" s="80">
        <f ca="1">Low_Press!R191+AdHoc!R135+AdHoc!R410+AdHoc!R685+Medium_Press!R184+High_Press!R114+Dom_Meters!R135+Dom_Meters!R389+Com_Meters!R135+Com_Meters!R424+Net_Reg!R156+Net_Reg!R410+Cust_Reg!R135+Cust_Reg!R410+CP_SCADA!R163+CP_SCADA!R466+Aug!R149+Aug!R431+Cust_Conn!R119+Cust_Conn!R376+Cust_Conn!R631+Cust_Conn!R886+New_Towns!R114+New_Towns!R369+New_Towns!R637+IT!R240+Other!R114</f>
        <v>1565599.9576917971</v>
      </c>
      <c r="S110" s="80">
        <f ca="1">Low_Press!S191+AdHoc!S135+AdHoc!S410+AdHoc!S685+Medium_Press!S184+High_Press!S114+Dom_Meters!S135+Dom_Meters!S389+Com_Meters!S135+Com_Meters!S424+Net_Reg!S156+Net_Reg!S410+Cust_Reg!S135+Cust_Reg!S410+CP_SCADA!S163+CP_SCADA!S466+Aug!S149+Aug!S431+Cust_Conn!S119+Cust_Conn!S376+Cust_Conn!S631+Cust_Conn!S886+New_Towns!S114+New_Towns!S369+New_Towns!S637+IT!S240+Other!S114</f>
        <v>1566245.9149380364</v>
      </c>
      <c r="T110" s="80">
        <f ca="1">Low_Press!T191+AdHoc!T135+AdHoc!T410+AdHoc!T685+Medium_Press!T184+High_Press!T114+Dom_Meters!T135+Dom_Meters!T389+Com_Meters!T135+Com_Meters!T424+Net_Reg!T156+Net_Reg!T410+Cust_Reg!T135+Cust_Reg!T410+CP_SCADA!T163+CP_SCADA!T466+Aug!T149+Aug!T431+Cust_Conn!T119+Cust_Conn!T376+Cust_Conn!T631+Cust_Conn!T886+New_Towns!T114+New_Towns!T369+New_Towns!T637+IT!T240+Other!T114</f>
        <v>1506805.1993365281</v>
      </c>
    </row>
    <row r="111" spans="4:20" s="41" customFormat="1" outlineLevel="1">
      <c r="F111" s="251" t="str">
        <f>GC!C50</f>
        <v>Land</v>
      </c>
      <c r="G111" s="251"/>
      <c r="H111" s="251"/>
      <c r="I111" s="251"/>
      <c r="J111" s="80">
        <f ca="1">Low_Press!J192+AdHoc!J136+AdHoc!J411+AdHoc!J686+Medium_Press!J185+High_Press!J115+Dom_Meters!J136+Dom_Meters!J390+Com_Meters!J136+Com_Meters!J425+Net_Reg!J157+Net_Reg!J411+Cust_Reg!J136+Cust_Reg!J411+CP_SCADA!J164+CP_SCADA!J467+Aug!J150+Aug!J432+Cust_Conn!J120+Cust_Conn!J377+Cust_Conn!J632+Cust_Conn!J887+New_Towns!J115+New_Towns!J370+New_Towns!J638+IT!J241+Other!J115</f>
        <v>0</v>
      </c>
      <c r="K111" s="80">
        <f ca="1">Low_Press!K192+AdHoc!K136+AdHoc!K411+AdHoc!K686+Medium_Press!K185+High_Press!K115+Dom_Meters!K136+Dom_Meters!K390+Com_Meters!K136+Com_Meters!K425+Net_Reg!K157+Net_Reg!K411+Cust_Reg!K136+Cust_Reg!K411+CP_SCADA!K164+CP_SCADA!K467+Aug!K150+Aug!K432+Cust_Conn!K120+Cust_Conn!K377+Cust_Conn!K632+Cust_Conn!K887+New_Towns!K115+New_Towns!K370+New_Towns!K638+IT!K241+Other!K115</f>
        <v>0</v>
      </c>
      <c r="L111" s="80">
        <f ca="1">Low_Press!L192+AdHoc!L136+AdHoc!L411+AdHoc!L686+Medium_Press!L185+High_Press!L115+Dom_Meters!L136+Dom_Meters!L390+Com_Meters!L136+Com_Meters!L425+Net_Reg!L157+Net_Reg!L411+Cust_Reg!L136+Cust_Reg!L411+CP_SCADA!L164+CP_SCADA!L467+Aug!L150+Aug!L432+Cust_Conn!L120+Cust_Conn!L377+Cust_Conn!L632+Cust_Conn!L887+New_Towns!L115+New_Towns!L370+New_Towns!L638+IT!L241+Other!L115</f>
        <v>0</v>
      </c>
      <c r="M111" s="80">
        <f ca="1">Low_Press!M192+AdHoc!M136+AdHoc!M411+AdHoc!M686+Medium_Press!M185+High_Press!M115+Dom_Meters!M136+Dom_Meters!M390+Com_Meters!M136+Com_Meters!M425+Net_Reg!M157+Net_Reg!M411+Cust_Reg!M136+Cust_Reg!M411+CP_SCADA!M164+CP_SCADA!M467+Aug!M150+Aug!M432+Cust_Conn!M120+Cust_Conn!M377+Cust_Conn!M632+Cust_Conn!M887+New_Towns!M115+New_Towns!M370+New_Towns!M638+IT!M241+Other!M115</f>
        <v>0</v>
      </c>
      <c r="N111" s="80">
        <f ca="1">Low_Press!N192+AdHoc!N136+AdHoc!N411+AdHoc!N686+Medium_Press!N185+High_Press!N115+Dom_Meters!N136+Dom_Meters!N390+Com_Meters!N136+Com_Meters!N425+Net_Reg!N157+Net_Reg!N411+Cust_Reg!N136+Cust_Reg!N411+CP_SCADA!N164+CP_SCADA!N467+Aug!N150+Aug!N432+Cust_Conn!N120+Cust_Conn!N377+Cust_Conn!N632+Cust_Conn!N887+New_Towns!N115+New_Towns!N370+New_Towns!N638+IT!N241+Other!N115</f>
        <v>0</v>
      </c>
      <c r="O111" s="80">
        <f ca="1">Low_Press!O192+AdHoc!O136+AdHoc!O411+AdHoc!O686+Medium_Press!O185+High_Press!O115+Dom_Meters!O136+Dom_Meters!O390+Com_Meters!O136+Com_Meters!O425+Net_Reg!O157+Net_Reg!O411+Cust_Reg!O136+Cust_Reg!O411+CP_SCADA!O164+CP_SCADA!O467+Aug!O150+Aug!O432+Cust_Conn!O120+Cust_Conn!O377+Cust_Conn!O632+Cust_Conn!O887+New_Towns!O115+New_Towns!O370+New_Towns!O638+IT!O241+Other!O115</f>
        <v>0</v>
      </c>
      <c r="P111" s="80">
        <f ca="1">Low_Press!P192+AdHoc!P136+AdHoc!P411+AdHoc!P686+Medium_Press!P185+High_Press!P115+Dom_Meters!P136+Dom_Meters!P390+Com_Meters!P136+Com_Meters!P425+Net_Reg!P157+Net_Reg!P411+Cust_Reg!P136+Cust_Reg!P411+CP_SCADA!P164+CP_SCADA!P467+Aug!P150+Aug!P432+Cust_Conn!P120+Cust_Conn!P377+Cust_Conn!P632+Cust_Conn!P887+New_Towns!P115+New_Towns!P370+New_Towns!P638+IT!P241+Other!P115</f>
        <v>0</v>
      </c>
      <c r="Q111" s="80">
        <f ca="1">Low_Press!Q192+AdHoc!Q136+AdHoc!Q411+AdHoc!Q686+Medium_Press!Q185+High_Press!Q115+Dom_Meters!Q136+Dom_Meters!Q390+Com_Meters!Q136+Com_Meters!Q425+Net_Reg!Q157+Net_Reg!Q411+Cust_Reg!Q136+Cust_Reg!Q411+CP_SCADA!Q164+CP_SCADA!Q467+Aug!Q150+Aug!Q432+Cust_Conn!Q120+Cust_Conn!Q377+Cust_Conn!Q632+Cust_Conn!Q887+New_Towns!Q115+New_Towns!Q370+New_Towns!Q638+IT!Q241+Other!Q115</f>
        <v>0</v>
      </c>
      <c r="R111" s="80">
        <f ca="1">Low_Press!R192+AdHoc!R136+AdHoc!R411+AdHoc!R686+Medium_Press!R185+High_Press!R115+Dom_Meters!R136+Dom_Meters!R390+Com_Meters!R136+Com_Meters!R425+Net_Reg!R157+Net_Reg!R411+Cust_Reg!R136+Cust_Reg!R411+CP_SCADA!R164+CP_SCADA!R467+Aug!R150+Aug!R432+Cust_Conn!R120+Cust_Conn!R377+Cust_Conn!R632+Cust_Conn!R887+New_Towns!R115+New_Towns!R370+New_Towns!R638+IT!R241+Other!R115</f>
        <v>0</v>
      </c>
      <c r="S111" s="80">
        <f ca="1">Low_Press!S192+AdHoc!S136+AdHoc!S411+AdHoc!S686+Medium_Press!S185+High_Press!S115+Dom_Meters!S136+Dom_Meters!S390+Com_Meters!S136+Com_Meters!S425+Net_Reg!S157+Net_Reg!S411+Cust_Reg!S136+Cust_Reg!S411+CP_SCADA!S164+CP_SCADA!S467+Aug!S150+Aug!S432+Cust_Conn!S120+Cust_Conn!S377+Cust_Conn!S632+Cust_Conn!S887+New_Towns!S115+New_Towns!S370+New_Towns!S638+IT!S241+Other!S115</f>
        <v>0</v>
      </c>
      <c r="T111" s="80">
        <f ca="1">Low_Press!T192+AdHoc!T136+AdHoc!T411+AdHoc!T686+Medium_Press!T185+High_Press!T115+Dom_Meters!T136+Dom_Meters!T390+Com_Meters!T136+Com_Meters!T425+Net_Reg!T157+Net_Reg!T411+Cust_Reg!T136+Cust_Reg!T411+CP_SCADA!T164+CP_SCADA!T467+Aug!T150+Aug!T432+Cust_Conn!T120+Cust_Conn!T377+Cust_Conn!T632+Cust_Conn!T887+New_Towns!T115+New_Towns!T370+New_Towns!T638+IT!T241+Other!T115</f>
        <v>0</v>
      </c>
    </row>
    <row r="112" spans="4:20" s="41" customFormat="1" outlineLevel="1">
      <c r="F112" s="251" t="str">
        <f>GC!C51</f>
        <v>Capitalised Leases</v>
      </c>
      <c r="G112" s="251"/>
      <c r="H112" s="251"/>
      <c r="I112" s="251"/>
      <c r="J112" s="80">
        <f ca="1">Low_Press!J193+AdHoc!J137+AdHoc!J412+AdHoc!J687+Medium_Press!J186+High_Press!J116+Dom_Meters!J137+Dom_Meters!J391+Com_Meters!J137+Com_Meters!J426+Net_Reg!J158+Net_Reg!J412+Cust_Reg!J137+Cust_Reg!J412+CP_SCADA!J165+CP_SCADA!J468+Aug!J151+Aug!J433+Cust_Conn!J121+Cust_Conn!J378+Cust_Conn!J633+Cust_Conn!J888+New_Towns!J116+New_Towns!J371+New_Towns!J639+IT!J242+Other!J116</f>
        <v>0</v>
      </c>
      <c r="K112" s="80">
        <f ca="1">Low_Press!K193+AdHoc!K137+AdHoc!K412+AdHoc!K687+Medium_Press!K186+High_Press!K116+Dom_Meters!K137+Dom_Meters!K391+Com_Meters!K137+Com_Meters!K426+Net_Reg!K158+Net_Reg!K412+Cust_Reg!K137+Cust_Reg!K412+CP_SCADA!K165+CP_SCADA!K468+Aug!K151+Aug!K433+Cust_Conn!K121+Cust_Conn!K378+Cust_Conn!K633+Cust_Conn!K888+New_Towns!K116+New_Towns!K371+New_Towns!K639+IT!K242+Other!K116</f>
        <v>0</v>
      </c>
      <c r="L112" s="80">
        <f ca="1">Low_Press!L193+AdHoc!L137+AdHoc!L412+AdHoc!L687+Medium_Press!L186+High_Press!L116+Dom_Meters!L137+Dom_Meters!L391+Com_Meters!L137+Com_Meters!L426+Net_Reg!L158+Net_Reg!L412+Cust_Reg!L137+Cust_Reg!L412+CP_SCADA!L165+CP_SCADA!L468+Aug!L151+Aug!L433+Cust_Conn!L121+Cust_Conn!L378+Cust_Conn!L633+Cust_Conn!L888+New_Towns!L116+New_Towns!L371+New_Towns!L639+IT!L242+Other!L116</f>
        <v>0</v>
      </c>
      <c r="M112" s="80">
        <f ca="1">Low_Press!M193+AdHoc!M137+AdHoc!M412+AdHoc!M687+Medium_Press!M186+High_Press!M116+Dom_Meters!M137+Dom_Meters!M391+Com_Meters!M137+Com_Meters!M426+Net_Reg!M158+Net_Reg!M412+Cust_Reg!M137+Cust_Reg!M412+CP_SCADA!M165+CP_SCADA!M468+Aug!M151+Aug!M433+Cust_Conn!M121+Cust_Conn!M378+Cust_Conn!M633+Cust_Conn!M888+New_Towns!M116+New_Towns!M371+New_Towns!M639+IT!M242+Other!M116</f>
        <v>0</v>
      </c>
      <c r="N112" s="80">
        <f ca="1">Low_Press!N193+AdHoc!N137+AdHoc!N412+AdHoc!N687+Medium_Press!N186+High_Press!N116+Dom_Meters!N137+Dom_Meters!N391+Com_Meters!N137+Com_Meters!N426+Net_Reg!N158+Net_Reg!N412+Cust_Reg!N137+Cust_Reg!N412+CP_SCADA!N165+CP_SCADA!N468+Aug!N151+Aug!N433+Cust_Conn!N121+Cust_Conn!N378+Cust_Conn!N633+Cust_Conn!N888+New_Towns!N116+New_Towns!N371+New_Towns!N639+IT!N242+Other!N116</f>
        <v>0</v>
      </c>
      <c r="O112" s="80">
        <f ca="1">Low_Press!O193+AdHoc!O137+AdHoc!O412+AdHoc!O687+Medium_Press!O186+High_Press!O116+Dom_Meters!O137+Dom_Meters!O391+Com_Meters!O137+Com_Meters!O426+Net_Reg!O158+Net_Reg!O412+Cust_Reg!O137+Cust_Reg!O412+CP_SCADA!O165+CP_SCADA!O468+Aug!O151+Aug!O433+Cust_Conn!O121+Cust_Conn!O378+Cust_Conn!O633+Cust_Conn!O888+New_Towns!O116+New_Towns!O371+New_Towns!O639+IT!O242+Other!O116</f>
        <v>0</v>
      </c>
      <c r="P112" s="80">
        <f ca="1">Low_Press!P193+AdHoc!P137+AdHoc!P412+AdHoc!P687+Medium_Press!P186+High_Press!P116+Dom_Meters!P137+Dom_Meters!P391+Com_Meters!P137+Com_Meters!P426+Net_Reg!P158+Net_Reg!P412+Cust_Reg!P137+Cust_Reg!P412+CP_SCADA!P165+CP_SCADA!P468+Aug!P151+Aug!P433+Cust_Conn!P121+Cust_Conn!P378+Cust_Conn!P633+Cust_Conn!P888+New_Towns!P116+New_Towns!P371+New_Towns!P639+IT!P242+Other!P116</f>
        <v>0</v>
      </c>
      <c r="Q112" s="80">
        <f ca="1">Low_Press!Q193+AdHoc!Q137+AdHoc!Q412+AdHoc!Q687+Medium_Press!Q186+High_Press!Q116+Dom_Meters!Q137+Dom_Meters!Q391+Com_Meters!Q137+Com_Meters!Q426+Net_Reg!Q158+Net_Reg!Q412+Cust_Reg!Q137+Cust_Reg!Q412+CP_SCADA!Q165+CP_SCADA!Q468+Aug!Q151+Aug!Q433+Cust_Conn!Q121+Cust_Conn!Q378+Cust_Conn!Q633+Cust_Conn!Q888+New_Towns!Q116+New_Towns!Q371+New_Towns!Q639+IT!Q242+Other!Q116</f>
        <v>0</v>
      </c>
      <c r="R112" s="80">
        <f ca="1">Low_Press!R193+AdHoc!R137+AdHoc!R412+AdHoc!R687+Medium_Press!R186+High_Press!R116+Dom_Meters!R137+Dom_Meters!R391+Com_Meters!R137+Com_Meters!R426+Net_Reg!R158+Net_Reg!R412+Cust_Reg!R137+Cust_Reg!R412+CP_SCADA!R165+CP_SCADA!R468+Aug!R151+Aug!R433+Cust_Conn!R121+Cust_Conn!R378+Cust_Conn!R633+Cust_Conn!R888+New_Towns!R116+New_Towns!R371+New_Towns!R639+IT!R242+Other!R116</f>
        <v>0</v>
      </c>
      <c r="S112" s="80">
        <f ca="1">Low_Press!S193+AdHoc!S137+AdHoc!S412+AdHoc!S687+Medium_Press!S186+High_Press!S116+Dom_Meters!S137+Dom_Meters!S391+Com_Meters!S137+Com_Meters!S426+Net_Reg!S158+Net_Reg!S412+Cust_Reg!S137+Cust_Reg!S412+CP_SCADA!S165+CP_SCADA!S468+Aug!S151+Aug!S433+Cust_Conn!S121+Cust_Conn!S378+Cust_Conn!S633+Cust_Conn!S888+New_Towns!S116+New_Towns!S371+New_Towns!S639+IT!S242+Other!S116</f>
        <v>0</v>
      </c>
      <c r="T112" s="80">
        <f ca="1">Low_Press!T193+AdHoc!T137+AdHoc!T412+AdHoc!T687+Medium_Press!T186+High_Press!T116+Dom_Meters!T137+Dom_Meters!T391+Com_Meters!T137+Com_Meters!T426+Net_Reg!T158+Net_Reg!T412+Cust_Reg!T137+Cust_Reg!T412+CP_SCADA!T165+CP_SCADA!T468+Aug!T151+Aug!T433+Cust_Conn!T121+Cust_Conn!T378+Cust_Conn!T633+Cust_Conn!T888+New_Towns!T116+New_Towns!T371+New_Towns!T639+IT!T242+Other!T116</f>
        <v>0</v>
      </c>
    </row>
    <row r="113" spans="5:20" s="41" customFormat="1" outlineLevel="1">
      <c r="F113" s="251" t="str">
        <f>GC!C52</f>
        <v>Transmission pipelines - post 1998</v>
      </c>
      <c r="G113" s="251"/>
      <c r="H113" s="251"/>
      <c r="I113" s="251"/>
      <c r="J113" s="80">
        <f ca="1">Low_Press!J194+AdHoc!J138+AdHoc!J413+AdHoc!J688+Medium_Press!J187+High_Press!J117+Dom_Meters!J138+Dom_Meters!J392+Com_Meters!J138+Com_Meters!J427+Net_Reg!J159+Net_Reg!J413+Cust_Reg!J138+Cust_Reg!J413+CP_SCADA!J166+CP_SCADA!J469+Aug!J152+Aug!J434+Cust_Conn!J122+Cust_Conn!J379+Cust_Conn!J634+Cust_Conn!J889+New_Towns!J117+New_Towns!J372+New_Towns!J640+IT!J243+Other!J117</f>
        <v>0</v>
      </c>
      <c r="K113" s="80">
        <f ca="1">Low_Press!K194+AdHoc!K138+AdHoc!K413+AdHoc!K688+Medium_Press!K187+High_Press!K117+Dom_Meters!K138+Dom_Meters!K392+Com_Meters!K138+Com_Meters!K427+Net_Reg!K159+Net_Reg!K413+Cust_Reg!K138+Cust_Reg!K413+CP_SCADA!K166+CP_SCADA!K469+Aug!K152+Aug!K434+Cust_Conn!K122+Cust_Conn!K379+Cust_Conn!K634+Cust_Conn!K889+New_Towns!K117+New_Towns!K372+New_Towns!K640+IT!K243+Other!K117</f>
        <v>0</v>
      </c>
      <c r="L113" s="80">
        <f ca="1">Low_Press!L194+AdHoc!L138+AdHoc!L413+AdHoc!L688+Medium_Press!L187+High_Press!L117+Dom_Meters!L138+Dom_Meters!L392+Com_Meters!L138+Com_Meters!L427+Net_Reg!L159+Net_Reg!L413+Cust_Reg!L138+Cust_Reg!L413+CP_SCADA!L166+CP_SCADA!L469+Aug!L152+Aug!L434+Cust_Conn!L122+Cust_Conn!L379+Cust_Conn!L634+Cust_Conn!L889+New_Towns!L117+New_Towns!L372+New_Towns!L640+IT!L243+Other!L117</f>
        <v>0</v>
      </c>
      <c r="M113" s="80">
        <f ca="1">Low_Press!M194+AdHoc!M138+AdHoc!M413+AdHoc!M688+Medium_Press!M187+High_Press!M117+Dom_Meters!M138+Dom_Meters!M392+Com_Meters!M138+Com_Meters!M427+Net_Reg!M159+Net_Reg!M413+Cust_Reg!M138+Cust_Reg!M413+CP_SCADA!M166+CP_SCADA!M469+Aug!M152+Aug!M434+Cust_Conn!M122+Cust_Conn!M379+Cust_Conn!M634+Cust_Conn!M889+New_Towns!M117+New_Towns!M372+New_Towns!M640+IT!M243+Other!M117</f>
        <v>0</v>
      </c>
      <c r="N113" s="80">
        <f ca="1">Low_Press!N194+AdHoc!N138+AdHoc!N413+AdHoc!N688+Medium_Press!N187+High_Press!N117+Dom_Meters!N138+Dom_Meters!N392+Com_Meters!N138+Com_Meters!N427+Net_Reg!N159+Net_Reg!N413+Cust_Reg!N138+Cust_Reg!N413+CP_SCADA!N166+CP_SCADA!N469+Aug!N152+Aug!N434+Cust_Conn!N122+Cust_Conn!N379+Cust_Conn!N634+Cust_Conn!N889+New_Towns!N117+New_Towns!N372+New_Towns!N640+IT!N243+Other!N117</f>
        <v>658135.47544068424</v>
      </c>
      <c r="O113" s="80">
        <f ca="1">Low_Press!O194+AdHoc!O138+AdHoc!O413+AdHoc!O688+Medium_Press!O187+High_Press!O117+Dom_Meters!O138+Dom_Meters!O392+Com_Meters!O138+Com_Meters!O427+Net_Reg!O159+Net_Reg!O413+Cust_Reg!O138+Cust_Reg!O413+CP_SCADA!O166+CP_SCADA!O469+Aug!O152+Aug!O434+Cust_Conn!O122+Cust_Conn!O379+Cust_Conn!O634+Cust_Conn!O889+New_Towns!O117+New_Towns!O372+New_Towns!O640+IT!O243+Other!O117</f>
        <v>250051.95923572133</v>
      </c>
      <c r="P113" s="80">
        <f ca="1">Low_Press!P194+AdHoc!P138+AdHoc!P413+AdHoc!P688+Medium_Press!P187+High_Press!P117+Dom_Meters!P138+Dom_Meters!P392+Com_Meters!P138+Com_Meters!P427+Net_Reg!P159+Net_Reg!P413+Cust_Reg!P138+Cust_Reg!P413+CP_SCADA!P166+CP_SCADA!P469+Aug!P152+Aug!P434+Cust_Conn!P122+Cust_Conn!P379+Cust_Conn!P634+Cust_Conn!P889+New_Towns!P117+New_Towns!P372+New_Towns!P640+IT!P243+Other!P117</f>
        <v>544322.64950999548</v>
      </c>
      <c r="Q113" s="80">
        <f ca="1">Low_Press!Q194+AdHoc!Q138+AdHoc!Q413+AdHoc!Q688+Medium_Press!Q187+High_Press!Q117+Dom_Meters!Q138+Dom_Meters!Q392+Com_Meters!Q138+Com_Meters!Q427+Net_Reg!Q159+Net_Reg!Q413+Cust_Reg!Q138+Cust_Reg!Q413+CP_SCADA!Q166+CP_SCADA!Q469+Aug!Q152+Aug!Q434+Cust_Conn!Q122+Cust_Conn!Q379+Cust_Conn!Q634+Cust_Conn!Q889+New_Towns!Q117+New_Towns!Q372+New_Towns!Q640+IT!Q243+Other!Q117</f>
        <v>1680521.3063269476</v>
      </c>
      <c r="R113" s="80">
        <f ca="1">Low_Press!R194+AdHoc!R138+AdHoc!R413+AdHoc!R688+Medium_Press!R187+High_Press!R117+Dom_Meters!R138+Dom_Meters!R392+Com_Meters!R138+Com_Meters!R427+Net_Reg!R159+Net_Reg!R413+Cust_Reg!R138+Cust_Reg!R413+CP_SCADA!R166+CP_SCADA!R469+Aug!R152+Aug!R434+Cust_Conn!R122+Cust_Conn!R379+Cust_Conn!R634+Cust_Conn!R889+New_Towns!R117+New_Towns!R372+New_Towns!R640+IT!R243+Other!R117</f>
        <v>4901140.3594838921</v>
      </c>
      <c r="S113" s="80">
        <f ca="1">Low_Press!S194+AdHoc!S138+AdHoc!S413+AdHoc!S688+Medium_Press!S187+High_Press!S117+Dom_Meters!S138+Dom_Meters!S392+Com_Meters!S138+Com_Meters!S427+Net_Reg!S159+Net_Reg!S413+Cust_Reg!S138+Cust_Reg!S413+CP_SCADA!S166+CP_SCADA!S469+Aug!S152+Aug!S434+Cust_Conn!S122+Cust_Conn!S379+Cust_Conn!S634+Cust_Conn!S889+New_Towns!S117+New_Towns!S372+New_Towns!S640+IT!S243+Other!S117</f>
        <v>716595.18455192144</v>
      </c>
      <c r="T113" s="80">
        <f ca="1">Low_Press!T194+AdHoc!T138+AdHoc!T413+AdHoc!T688+Medium_Press!T187+High_Press!T117+Dom_Meters!T138+Dom_Meters!T392+Com_Meters!T138+Com_Meters!T427+Net_Reg!T159+Net_Reg!T413+Cust_Reg!T138+Cust_Reg!T413+CP_SCADA!T166+CP_SCADA!T469+Aug!T152+Aug!T434+Cust_Conn!T122+Cust_Conn!T379+Cust_Conn!T634+Cust_Conn!T889+New_Towns!T117+New_Towns!T372+New_Towns!T640+IT!T243+Other!T117</f>
        <v>120.25009022564794</v>
      </c>
    </row>
    <row r="114" spans="5:20" s="41" customFormat="1" outlineLevel="1">
      <c r="F114" s="251" t="str">
        <f>GC!C53</f>
        <v>Distribution pipelines - post 1998</v>
      </c>
      <c r="G114" s="251"/>
      <c r="H114" s="251"/>
      <c r="I114" s="251"/>
      <c r="J114" s="80">
        <f ca="1">Low_Press!J195+AdHoc!J139+AdHoc!J414+AdHoc!J689+Medium_Press!J188+High_Press!J118+Dom_Meters!J139+Dom_Meters!J393+Com_Meters!J139+Com_Meters!J428+Net_Reg!J160+Net_Reg!J414+Cust_Reg!J139+Cust_Reg!J414+CP_SCADA!J167+CP_SCADA!J470+Aug!J153+Aug!J435+Cust_Conn!J123+Cust_Conn!J380+Cust_Conn!J635+Cust_Conn!J890+New_Towns!J118+New_Towns!J373+New_Towns!J641+IT!J244+Other!J118</f>
        <v>0</v>
      </c>
      <c r="K114" s="80">
        <f ca="1">Low_Press!K195+AdHoc!K139+AdHoc!K414+AdHoc!K689+Medium_Press!K188+High_Press!K118+Dom_Meters!K139+Dom_Meters!K393+Com_Meters!K139+Com_Meters!K428+Net_Reg!K160+Net_Reg!K414+Cust_Reg!K139+Cust_Reg!K414+CP_SCADA!K167+CP_SCADA!K470+Aug!K153+Aug!K435+Cust_Conn!K123+Cust_Conn!K380+Cust_Conn!K635+Cust_Conn!K890+New_Towns!K118+New_Towns!K373+New_Towns!K641+IT!K244+Other!K118</f>
        <v>0</v>
      </c>
      <c r="L114" s="80">
        <f ca="1">Low_Press!L195+AdHoc!L139+AdHoc!L414+AdHoc!L689+Medium_Press!L188+High_Press!L118+Dom_Meters!L139+Dom_Meters!L393+Com_Meters!L139+Com_Meters!L428+Net_Reg!L160+Net_Reg!L414+Cust_Reg!L139+Cust_Reg!L414+CP_SCADA!L167+CP_SCADA!L470+Aug!L153+Aug!L435+Cust_Conn!L123+Cust_Conn!L380+Cust_Conn!L635+Cust_Conn!L890+New_Towns!L118+New_Towns!L373+New_Towns!L641+IT!L244+Other!L118</f>
        <v>0</v>
      </c>
      <c r="M114" s="80">
        <f ca="1">Low_Press!M195+AdHoc!M139+AdHoc!M414+AdHoc!M689+Medium_Press!M188+High_Press!M118+Dom_Meters!M139+Dom_Meters!M393+Com_Meters!M139+Com_Meters!M428+Net_Reg!M160+Net_Reg!M414+Cust_Reg!M139+Cust_Reg!M414+CP_SCADA!M167+CP_SCADA!M470+Aug!M153+Aug!M435+Cust_Conn!M123+Cust_Conn!M380+Cust_Conn!M635+Cust_Conn!M890+New_Towns!M118+New_Towns!M373+New_Towns!M641+IT!M244+Other!M118</f>
        <v>0</v>
      </c>
      <c r="N114" s="80">
        <f ca="1">Low_Press!N195+AdHoc!N139+AdHoc!N414+AdHoc!N689+Medium_Press!N188+High_Press!N118+Dom_Meters!N139+Dom_Meters!N393+Com_Meters!N139+Com_Meters!N428+Net_Reg!N160+Net_Reg!N414+Cust_Reg!N139+Cust_Reg!N414+CP_SCADA!N167+CP_SCADA!N470+Aug!N153+Aug!N435+Cust_Conn!N123+Cust_Conn!N380+Cust_Conn!N635+Cust_Conn!N890+New_Towns!N118+New_Towns!N373+New_Towns!N641+IT!N244+Other!N118</f>
        <v>25684302.873133689</v>
      </c>
      <c r="O114" s="80">
        <f ca="1">Low_Press!O195+AdHoc!O139+AdHoc!O414+AdHoc!O689+Medium_Press!O188+High_Press!O118+Dom_Meters!O139+Dom_Meters!O393+Com_Meters!O139+Com_Meters!O428+Net_Reg!O160+Net_Reg!O414+Cust_Reg!O139+Cust_Reg!O414+CP_SCADA!O167+CP_SCADA!O470+Aug!O153+Aug!O435+Cust_Conn!O123+Cust_Conn!O380+Cust_Conn!O635+Cust_Conn!O890+New_Towns!O118+New_Towns!O373+New_Towns!O641+IT!O244+Other!O118</f>
        <v>19488737.181948882</v>
      </c>
      <c r="P114" s="80">
        <f ca="1">Low_Press!P195+AdHoc!P139+AdHoc!P414+AdHoc!P689+Medium_Press!P188+High_Press!P118+Dom_Meters!P139+Dom_Meters!P393+Com_Meters!P139+Com_Meters!P428+Net_Reg!P160+Net_Reg!P414+Cust_Reg!P139+Cust_Reg!P414+CP_SCADA!P167+CP_SCADA!P470+Aug!P153+Aug!P435+Cust_Conn!P123+Cust_Conn!P380+Cust_Conn!P635+Cust_Conn!P890+New_Towns!P118+New_Towns!P373+New_Towns!P641+IT!P244+Other!P118</f>
        <v>30282002.850589987</v>
      </c>
      <c r="Q114" s="80">
        <f ca="1">Low_Press!Q195+AdHoc!Q139+AdHoc!Q414+AdHoc!Q689+Medium_Press!Q188+High_Press!Q118+Dom_Meters!Q139+Dom_Meters!Q393+Com_Meters!Q139+Com_Meters!Q428+Net_Reg!Q160+Net_Reg!Q414+Cust_Reg!Q139+Cust_Reg!Q414+CP_SCADA!Q167+CP_SCADA!Q470+Aug!Q153+Aug!Q435+Cust_Conn!Q123+Cust_Conn!Q380+Cust_Conn!Q635+Cust_Conn!Q890+New_Towns!Q118+New_Towns!Q373+New_Towns!Q641+IT!Q244+Other!Q118</f>
        <v>29071419.275057994</v>
      </c>
      <c r="R114" s="80">
        <f ca="1">Low_Press!R195+AdHoc!R139+AdHoc!R414+AdHoc!R689+Medium_Press!R188+High_Press!R118+Dom_Meters!R139+Dom_Meters!R393+Com_Meters!R139+Com_Meters!R428+Net_Reg!R160+Net_Reg!R414+Cust_Reg!R139+Cust_Reg!R414+CP_SCADA!R167+CP_SCADA!R470+Aug!R153+Aug!R435+Cust_Conn!R123+Cust_Conn!R380+Cust_Conn!R635+Cust_Conn!R890+New_Towns!R118+New_Towns!R373+New_Towns!R641+IT!R244+Other!R118</f>
        <v>26045069.568857938</v>
      </c>
      <c r="S114" s="80">
        <f ca="1">Low_Press!S195+AdHoc!S139+AdHoc!S414+AdHoc!S689+Medium_Press!S188+High_Press!S118+Dom_Meters!S139+Dom_Meters!S393+Com_Meters!S139+Com_Meters!S428+Net_Reg!S160+Net_Reg!S414+Cust_Reg!S139+Cust_Reg!S414+CP_SCADA!S167+CP_SCADA!S470+Aug!S153+Aug!S435+Cust_Conn!S123+Cust_Conn!S380+Cust_Conn!S635+Cust_Conn!S890+New_Towns!S118+New_Towns!S373+New_Towns!S641+IT!S244+Other!S118</f>
        <v>28284308.033210441</v>
      </c>
      <c r="T114" s="80">
        <f ca="1">Low_Press!T195+AdHoc!T139+AdHoc!T414+AdHoc!T689+Medium_Press!T188+High_Press!T118+Dom_Meters!T139+Dom_Meters!T393+Com_Meters!T139+Com_Meters!T428+Net_Reg!T160+Net_Reg!T414+Cust_Reg!T139+Cust_Reg!T414+CP_SCADA!T167+CP_SCADA!T470+Aug!T153+Aug!T435+Cust_Conn!T123+Cust_Conn!T380+Cust_Conn!T635+Cust_Conn!T890+New_Towns!T118+New_Towns!T373+New_Towns!T641+IT!T244+Other!T118</f>
        <v>24341605.088525869</v>
      </c>
    </row>
    <row r="115" spans="5:20" s="41" customFormat="1" outlineLevel="1">
      <c r="F115" s="251" t="str">
        <f>GC!C54</f>
        <v>Service pipes - post 1998</v>
      </c>
      <c r="G115" s="251"/>
      <c r="H115" s="251"/>
      <c r="I115" s="251"/>
      <c r="J115" s="80">
        <f ca="1">Low_Press!J196+AdHoc!J140+AdHoc!J415+AdHoc!J690+Medium_Press!J189+High_Press!J119+Dom_Meters!J140+Dom_Meters!J394+Com_Meters!J140+Com_Meters!J429+Net_Reg!J161+Net_Reg!J415+Cust_Reg!J140+Cust_Reg!J415+CP_SCADA!J168+CP_SCADA!J471+Aug!J154+Aug!J436+Cust_Conn!J124+Cust_Conn!J381+Cust_Conn!J636+Cust_Conn!J891+New_Towns!J119+New_Towns!J374+New_Towns!J642+IT!J245+Other!J119</f>
        <v>0</v>
      </c>
      <c r="K115" s="80">
        <f ca="1">Low_Press!K196+AdHoc!K140+AdHoc!K415+AdHoc!K690+Medium_Press!K189+High_Press!K119+Dom_Meters!K140+Dom_Meters!K394+Com_Meters!K140+Com_Meters!K429+Net_Reg!K161+Net_Reg!K415+Cust_Reg!K140+Cust_Reg!K415+CP_SCADA!K168+CP_SCADA!K471+Aug!K154+Aug!K436+Cust_Conn!K124+Cust_Conn!K381+Cust_Conn!K636+Cust_Conn!K891+New_Towns!K119+New_Towns!K374+New_Towns!K642+IT!K245+Other!K119</f>
        <v>0</v>
      </c>
      <c r="L115" s="80">
        <f ca="1">Low_Press!L196+AdHoc!L140+AdHoc!L415+AdHoc!L690+Medium_Press!L189+High_Press!L119+Dom_Meters!L140+Dom_Meters!L394+Com_Meters!L140+Com_Meters!L429+Net_Reg!L161+Net_Reg!L415+Cust_Reg!L140+Cust_Reg!L415+CP_SCADA!L168+CP_SCADA!L471+Aug!L154+Aug!L436+Cust_Conn!L124+Cust_Conn!L381+Cust_Conn!L636+Cust_Conn!L891+New_Towns!L119+New_Towns!L374+New_Towns!L642+IT!L245+Other!L119</f>
        <v>0</v>
      </c>
      <c r="M115" s="80">
        <f ca="1">Low_Press!M196+AdHoc!M140+AdHoc!M415+AdHoc!M690+Medium_Press!M189+High_Press!M119+Dom_Meters!M140+Dom_Meters!M394+Com_Meters!M140+Com_Meters!M429+Net_Reg!M161+Net_Reg!M415+Cust_Reg!M140+Cust_Reg!M415+CP_SCADA!M168+CP_SCADA!M471+Aug!M154+Aug!M436+Cust_Conn!M124+Cust_Conn!M381+Cust_Conn!M636+Cust_Conn!M891+New_Towns!M119+New_Towns!M374+New_Towns!M642+IT!M245+Other!M119</f>
        <v>0</v>
      </c>
      <c r="N115" s="80">
        <f ca="1">Low_Press!N196+AdHoc!N140+AdHoc!N415+AdHoc!N690+Medium_Press!N189+High_Press!N119+Dom_Meters!N140+Dom_Meters!N394+Com_Meters!N140+Com_Meters!N429+Net_Reg!N161+Net_Reg!N415+Cust_Reg!N140+Cust_Reg!N415+CP_SCADA!N168+CP_SCADA!N471+Aug!N154+Aug!N436+Cust_Conn!N124+Cust_Conn!N381+Cust_Conn!N636+Cust_Conn!N891+New_Towns!N119+New_Towns!N374+New_Towns!N642+IT!N245+Other!N119</f>
        <v>40331786.373885624</v>
      </c>
      <c r="O115" s="80">
        <f ca="1">Low_Press!O196+AdHoc!O140+AdHoc!O415+AdHoc!O690+Medium_Press!O189+High_Press!O119+Dom_Meters!O140+Dom_Meters!O394+Com_Meters!O140+Com_Meters!O429+Net_Reg!O161+Net_Reg!O415+Cust_Reg!O140+Cust_Reg!O415+CP_SCADA!O168+CP_SCADA!O471+Aug!O154+Aug!O436+Cust_Conn!O124+Cust_Conn!O381+Cust_Conn!O636+Cust_Conn!O891+New_Towns!O119+New_Towns!O374+New_Towns!O642+IT!O245+Other!O119</f>
        <v>24028521.788867138</v>
      </c>
      <c r="P115" s="80">
        <f ca="1">Low_Press!P196+AdHoc!P140+AdHoc!P415+AdHoc!P690+Medium_Press!P189+High_Press!P119+Dom_Meters!P140+Dom_Meters!P394+Com_Meters!P140+Com_Meters!P429+Net_Reg!P161+Net_Reg!P415+Cust_Reg!P140+Cust_Reg!P415+CP_SCADA!P168+CP_SCADA!P471+Aug!P154+Aug!P436+Cust_Conn!P124+Cust_Conn!P381+Cust_Conn!P636+Cust_Conn!P891+New_Towns!P119+New_Towns!P374+New_Towns!P642+IT!P245+Other!P119</f>
        <v>38706643.536231354</v>
      </c>
      <c r="Q115" s="80">
        <f ca="1">Low_Press!Q196+AdHoc!Q140+AdHoc!Q415+AdHoc!Q690+Medium_Press!Q189+High_Press!Q119+Dom_Meters!Q140+Dom_Meters!Q394+Com_Meters!Q140+Com_Meters!Q429+Net_Reg!Q161+Net_Reg!Q415+Cust_Reg!Q140+Cust_Reg!Q415+CP_SCADA!Q168+CP_SCADA!Q471+Aug!Q154+Aug!Q436+Cust_Conn!Q124+Cust_Conn!Q381+Cust_Conn!Q636+Cust_Conn!Q891+New_Towns!Q119+New_Towns!Q374+New_Towns!Q642+IT!Q245+Other!Q119</f>
        <v>38181692.20050858</v>
      </c>
      <c r="R115" s="80">
        <f ca="1">Low_Press!R196+AdHoc!R140+AdHoc!R415+AdHoc!R690+Medium_Press!R189+High_Press!R119+Dom_Meters!R140+Dom_Meters!R394+Com_Meters!R140+Com_Meters!R429+Net_Reg!R161+Net_Reg!R415+Cust_Reg!R140+Cust_Reg!R415+CP_SCADA!R168+CP_SCADA!R471+Aug!R154+Aug!R436+Cust_Conn!R124+Cust_Conn!R381+Cust_Conn!R636+Cust_Conn!R891+New_Towns!R119+New_Towns!R374+New_Towns!R642+IT!R245+Other!R119</f>
        <v>37652610.087530687</v>
      </c>
      <c r="S115" s="80">
        <f ca="1">Low_Press!S196+AdHoc!S140+AdHoc!S415+AdHoc!S690+Medium_Press!S189+High_Press!S119+Dom_Meters!S140+Dom_Meters!S394+Com_Meters!S140+Com_Meters!S429+Net_Reg!S161+Net_Reg!S415+Cust_Reg!S140+Cust_Reg!S415+CP_SCADA!S168+CP_SCADA!S471+Aug!S154+Aug!S436+Cust_Conn!S124+Cust_Conn!S381+Cust_Conn!S636+Cust_Conn!S891+New_Towns!S119+New_Towns!S374+New_Towns!S642+IT!S245+Other!S119</f>
        <v>38637499.340261228</v>
      </c>
      <c r="T115" s="80">
        <f ca="1">Low_Press!T196+AdHoc!T140+AdHoc!T415+AdHoc!T690+Medium_Press!T189+High_Press!T119+Dom_Meters!T140+Dom_Meters!T394+Com_Meters!T140+Com_Meters!T429+Net_Reg!T161+Net_Reg!T415+Cust_Reg!T140+Cust_Reg!T415+CP_SCADA!T168+CP_SCADA!T471+Aug!T154+Aug!T436+Cust_Conn!T124+Cust_Conn!T381+Cust_Conn!T636+Cust_Conn!T891+New_Towns!T119+New_Towns!T374+New_Towns!T642+IT!T245+Other!T119</f>
        <v>33952465.458991095</v>
      </c>
    </row>
    <row r="116" spans="5:20" s="41" customFormat="1" outlineLevel="1">
      <c r="F116" s="251" t="str">
        <f>GC!C55</f>
        <v>Cathodic protection - post 1998</v>
      </c>
      <c r="G116" s="251"/>
      <c r="H116" s="251"/>
      <c r="I116" s="251"/>
      <c r="J116" s="80">
        <f ca="1">Low_Press!J197+AdHoc!J141+AdHoc!J416+AdHoc!J691+Medium_Press!J190+High_Press!J120+Dom_Meters!J141+Dom_Meters!J395+Com_Meters!J141+Com_Meters!J430+Net_Reg!J162+Net_Reg!J416+Cust_Reg!J141+Cust_Reg!J416+CP_SCADA!J169+CP_SCADA!J472+Aug!J155+Aug!J437+Cust_Conn!J125+Cust_Conn!J382+Cust_Conn!J637+Cust_Conn!J892+New_Towns!J120+New_Towns!J375+New_Towns!J643+IT!J246+Other!J120</f>
        <v>0</v>
      </c>
      <c r="K116" s="80">
        <f ca="1">Low_Press!K197+AdHoc!K141+AdHoc!K416+AdHoc!K691+Medium_Press!K190+High_Press!K120+Dom_Meters!K141+Dom_Meters!K395+Com_Meters!K141+Com_Meters!K430+Net_Reg!K162+Net_Reg!K416+Cust_Reg!K141+Cust_Reg!K416+CP_SCADA!K169+CP_SCADA!K472+Aug!K155+Aug!K437+Cust_Conn!K125+Cust_Conn!K382+Cust_Conn!K637+Cust_Conn!K892+New_Towns!K120+New_Towns!K375+New_Towns!K643+IT!K246+Other!K120</f>
        <v>0</v>
      </c>
      <c r="L116" s="80">
        <f ca="1">Low_Press!L197+AdHoc!L141+AdHoc!L416+AdHoc!L691+Medium_Press!L190+High_Press!L120+Dom_Meters!L141+Dom_Meters!L395+Com_Meters!L141+Com_Meters!L430+Net_Reg!L162+Net_Reg!L416+Cust_Reg!L141+Cust_Reg!L416+CP_SCADA!L169+CP_SCADA!L472+Aug!L155+Aug!L437+Cust_Conn!L125+Cust_Conn!L382+Cust_Conn!L637+Cust_Conn!L892+New_Towns!L120+New_Towns!L375+New_Towns!L643+IT!L246+Other!L120</f>
        <v>0</v>
      </c>
      <c r="M116" s="80">
        <f ca="1">Low_Press!M197+AdHoc!M141+AdHoc!M416+AdHoc!M691+Medium_Press!M190+High_Press!M120+Dom_Meters!M141+Dom_Meters!M395+Com_Meters!M141+Com_Meters!M430+Net_Reg!M162+Net_Reg!M416+Cust_Reg!M141+Cust_Reg!M416+CP_SCADA!M169+CP_SCADA!M472+Aug!M155+Aug!M437+Cust_Conn!M125+Cust_Conn!M382+Cust_Conn!M637+Cust_Conn!M892+New_Towns!M120+New_Towns!M375+New_Towns!M643+IT!M246+Other!M120</f>
        <v>0</v>
      </c>
      <c r="N116" s="80">
        <f ca="1">Low_Press!N197+AdHoc!N141+AdHoc!N416+AdHoc!N691+Medium_Press!N190+High_Press!N120+Dom_Meters!N141+Dom_Meters!N395+Com_Meters!N141+Com_Meters!N430+Net_Reg!N162+Net_Reg!N416+Cust_Reg!N141+Cust_Reg!N416+CP_SCADA!N169+CP_SCADA!N472+Aug!N155+Aug!N437+Cust_Conn!N125+Cust_Conn!N382+Cust_Conn!N637+Cust_Conn!N892+New_Towns!N120+New_Towns!N375+New_Towns!N643+IT!N246+Other!N120</f>
        <v>202503.22321251823</v>
      </c>
      <c r="O116" s="80">
        <f ca="1">Low_Press!O197+AdHoc!O141+AdHoc!O416+AdHoc!O691+Medium_Press!O190+High_Press!O120+Dom_Meters!O141+Dom_Meters!O395+Com_Meters!O141+Com_Meters!O430+Net_Reg!O162+Net_Reg!O416+Cust_Reg!O141+Cust_Reg!O416+CP_SCADA!O169+CP_SCADA!O472+Aug!O155+Aug!O437+Cust_Conn!O125+Cust_Conn!O382+Cust_Conn!O637+Cust_Conn!O892+New_Towns!O120+New_Towns!O375+New_Towns!O643+IT!O246+Other!O120</f>
        <v>192039.90469303401</v>
      </c>
      <c r="P116" s="80">
        <f ca="1">Low_Press!P197+AdHoc!P141+AdHoc!P416+AdHoc!P691+Medium_Press!P190+High_Press!P120+Dom_Meters!P141+Dom_Meters!P395+Com_Meters!P141+Com_Meters!P430+Net_Reg!P162+Net_Reg!P416+Cust_Reg!P141+Cust_Reg!P416+CP_SCADA!P169+CP_SCADA!P472+Aug!P155+Aug!P437+Cust_Conn!P125+Cust_Conn!P382+Cust_Conn!P637+Cust_Conn!P892+New_Towns!P120+New_Towns!P375+New_Towns!P643+IT!P246+Other!P120</f>
        <v>384157.1354747992</v>
      </c>
      <c r="Q116" s="80">
        <f ca="1">Low_Press!Q197+AdHoc!Q141+AdHoc!Q416+AdHoc!Q691+Medium_Press!Q190+High_Press!Q120+Dom_Meters!Q141+Dom_Meters!Q395+Com_Meters!Q141+Com_Meters!Q430+Net_Reg!Q162+Net_Reg!Q416+Cust_Reg!Q141+Cust_Reg!Q416+CP_SCADA!Q169+CP_SCADA!Q472+Aug!Q155+Aug!Q437+Cust_Conn!Q125+Cust_Conn!Q382+Cust_Conn!Q637+Cust_Conn!Q892+New_Towns!Q120+New_Towns!Q375+New_Towns!Q643+IT!Q246+Other!Q120</f>
        <v>404292.61376348359</v>
      </c>
      <c r="R116" s="80">
        <f ca="1">Low_Press!R197+AdHoc!R141+AdHoc!R416+AdHoc!R691+Medium_Press!R190+High_Press!R120+Dom_Meters!R141+Dom_Meters!R395+Com_Meters!R141+Com_Meters!R430+Net_Reg!R162+Net_Reg!R416+Cust_Reg!R141+Cust_Reg!R416+CP_SCADA!R169+CP_SCADA!R472+Aug!R155+Aug!R437+Cust_Conn!R125+Cust_Conn!R382+Cust_Conn!R637+Cust_Conn!R892+New_Towns!R120+New_Towns!R375+New_Towns!R643+IT!R246+Other!R120</f>
        <v>391458.48767377576</v>
      </c>
      <c r="S116" s="80">
        <f ca="1">Low_Press!S197+AdHoc!S141+AdHoc!S416+AdHoc!S691+Medium_Press!S190+High_Press!S120+Dom_Meters!S141+Dom_Meters!S395+Com_Meters!S141+Com_Meters!S430+Net_Reg!S162+Net_Reg!S416+Cust_Reg!S141+Cust_Reg!S416+CP_SCADA!S169+CP_SCADA!S472+Aug!S155+Aug!S437+Cust_Conn!S125+Cust_Conn!S382+Cust_Conn!S637+Cust_Conn!S892+New_Towns!S120+New_Towns!S375+New_Towns!S643+IT!S246+Other!S120</f>
        <v>391635.7070410623</v>
      </c>
      <c r="T116" s="80">
        <f ca="1">Low_Press!T197+AdHoc!T141+AdHoc!T416+AdHoc!T691+Medium_Press!T190+High_Press!T120+Dom_Meters!T141+Dom_Meters!T395+Com_Meters!T141+Com_Meters!T430+Net_Reg!T162+Net_Reg!T416+Cust_Reg!T141+Cust_Reg!T416+CP_SCADA!T169+CP_SCADA!T472+Aug!T155+Aug!T437+Cust_Conn!T125+Cust_Conn!T382+Cust_Conn!T637+Cust_Conn!T892+New_Towns!T120+New_Towns!T375+New_Towns!T643+IT!T246+Other!T120</f>
        <v>391814.87731856958</v>
      </c>
    </row>
    <row r="117" spans="5:20" s="41" customFormat="1" outlineLevel="1">
      <c r="F117" s="250" t="str">
        <f>"Total "&amp;E99</f>
        <v>Total Direct Costs</v>
      </c>
      <c r="G117" s="250"/>
      <c r="H117" s="250"/>
      <c r="I117" s="250"/>
      <c r="J117" s="101">
        <f t="shared" ref="J117:T117" ca="1" si="10">SUM(J101:J116)</f>
        <v>0</v>
      </c>
      <c r="K117" s="101">
        <f t="shared" ca="1" si="10"/>
        <v>0</v>
      </c>
      <c r="L117" s="101">
        <f t="shared" ca="1" si="10"/>
        <v>0</v>
      </c>
      <c r="M117" s="101">
        <f t="shared" ca="1" si="10"/>
        <v>0</v>
      </c>
      <c r="N117" s="101">
        <f t="shared" ca="1" si="10"/>
        <v>98433110.722134009</v>
      </c>
      <c r="O117" s="101">
        <f t="shared" ca="1" si="10"/>
        <v>58128652.613202125</v>
      </c>
      <c r="P117" s="101">
        <f t="shared" ca="1" si="10"/>
        <v>108822243.8261639</v>
      </c>
      <c r="Q117" s="101">
        <f t="shared" ca="1" si="10"/>
        <v>112949836.47135109</v>
      </c>
      <c r="R117" s="101">
        <f t="shared" ca="1" si="10"/>
        <v>110495018.85112911</v>
      </c>
      <c r="S117" s="101">
        <f t="shared" ca="1" si="10"/>
        <v>98346223.403124392</v>
      </c>
      <c r="T117" s="101">
        <f t="shared" ca="1" si="10"/>
        <v>88837415.708288044</v>
      </c>
    </row>
    <row r="118" spans="5:20" s="41" customFormat="1" outlineLevel="1"/>
    <row r="119" spans="5:20" s="41" customFormat="1" outlineLevel="1">
      <c r="E119" s="50" t="s">
        <v>364</v>
      </c>
    </row>
    <row r="120" spans="5:20" s="41" customFormat="1" ht="5.9" customHeight="1" outlineLevel="1"/>
    <row r="121" spans="5:20" s="41" customFormat="1" outlineLevel="1">
      <c r="F121" s="251" t="str">
        <f>GC!C40</f>
        <v>Transmission pipelines</v>
      </c>
      <c r="G121" s="251"/>
      <c r="H121" s="251"/>
      <c r="I121" s="251"/>
      <c r="J121" s="80">
        <f ca="1">Low_Press!J202+AdHoc!J146+AdHoc!J421+AdHoc!J696+Medium_Press!J195+High_Press!J125+Dom_Meters!J146+Dom_Meters!J400+Com_Meters!J146+Com_Meters!J435+Net_Reg!J167+Net_Reg!J421+Cust_Reg!J146+Cust_Reg!J421+CP_SCADA!J174+CP_SCADA!J477+Aug!J160+Aug!J442+Cust_Conn!J130+Cust_Conn!J387+Cust_Conn!J642+Cust_Conn!J897+New_Towns!J125+New_Towns!J380+New_Towns!J648+IT!J251+Other!J125</f>
        <v>0</v>
      </c>
      <c r="K121" s="80">
        <f ca="1">Low_Press!K202+AdHoc!K146+AdHoc!K421+AdHoc!K696+Medium_Press!K195+High_Press!K125+Dom_Meters!K146+Dom_Meters!K400+Com_Meters!K146+Com_Meters!K435+Net_Reg!K167+Net_Reg!K421+Cust_Reg!K146+Cust_Reg!K421+CP_SCADA!K174+CP_SCADA!K477+Aug!K160+Aug!K442+Cust_Conn!K130+Cust_Conn!K387+Cust_Conn!K642+Cust_Conn!K897+New_Towns!K125+New_Towns!K380+New_Towns!K648+IT!K251+Other!K125</f>
        <v>0</v>
      </c>
      <c r="L121" s="80">
        <f ca="1">Low_Press!L202+AdHoc!L146+AdHoc!L421+AdHoc!L696+Medium_Press!L195+High_Press!L125+Dom_Meters!L146+Dom_Meters!L400+Com_Meters!L146+Com_Meters!L435+Net_Reg!L167+Net_Reg!L421+Cust_Reg!L146+Cust_Reg!L421+CP_SCADA!L174+CP_SCADA!L477+Aug!L160+Aug!L442+Cust_Conn!L130+Cust_Conn!L387+Cust_Conn!L642+Cust_Conn!L897+New_Towns!L125+New_Towns!L380+New_Towns!L648+IT!L251+Other!L125</f>
        <v>0</v>
      </c>
      <c r="M121" s="80">
        <f ca="1">Low_Press!M202+AdHoc!M146+AdHoc!M421+AdHoc!M696+Medium_Press!M195+High_Press!M125+Dom_Meters!M146+Dom_Meters!M400+Com_Meters!M146+Com_Meters!M435+Net_Reg!M167+Net_Reg!M421+Cust_Reg!M146+Cust_Reg!M421+CP_SCADA!M174+CP_SCADA!M477+Aug!M160+Aug!M442+Cust_Conn!M130+Cust_Conn!M387+Cust_Conn!M642+Cust_Conn!M897+New_Towns!M125+New_Towns!M380+New_Towns!M648+IT!M251+Other!M125</f>
        <v>0</v>
      </c>
      <c r="N121" s="80">
        <f ca="1">Low_Press!N202+AdHoc!N146+AdHoc!N421+AdHoc!N696+Medium_Press!N195+High_Press!N125+Dom_Meters!N146+Dom_Meters!N400+Com_Meters!N146+Com_Meters!N435+Net_Reg!N167+Net_Reg!N421+Cust_Reg!N146+Cust_Reg!N421+CP_SCADA!N174+CP_SCADA!N477+Aug!N160+Aug!N442+Cust_Conn!N130+Cust_Conn!N387+Cust_Conn!N642+Cust_Conn!N897+New_Towns!N125+New_Towns!N380+New_Towns!N648+IT!N251+Other!N125</f>
        <v>0</v>
      </c>
      <c r="O121" s="80">
        <f ca="1">Low_Press!O202+AdHoc!O146+AdHoc!O421+AdHoc!O696+Medium_Press!O195+High_Press!O125+Dom_Meters!O146+Dom_Meters!O400+Com_Meters!O146+Com_Meters!O435+Net_Reg!O167+Net_Reg!O421+Cust_Reg!O146+Cust_Reg!O421+CP_SCADA!O174+CP_SCADA!O477+Aug!O160+Aug!O442+Cust_Conn!O130+Cust_Conn!O387+Cust_Conn!O642+Cust_Conn!O897+New_Towns!O125+New_Towns!O380+New_Towns!O648+IT!O251+Other!O125</f>
        <v>0</v>
      </c>
      <c r="P121" s="80">
        <f ca="1">Low_Press!P202+AdHoc!P146+AdHoc!P421+AdHoc!P696+Medium_Press!P195+High_Press!P125+Dom_Meters!P146+Dom_Meters!P400+Com_Meters!P146+Com_Meters!P435+Net_Reg!P167+Net_Reg!P421+Cust_Reg!P146+Cust_Reg!P421+CP_SCADA!P174+CP_SCADA!P477+Aug!P160+Aug!P442+Cust_Conn!P130+Cust_Conn!P387+Cust_Conn!P642+Cust_Conn!P897+New_Towns!P125+New_Towns!P380+New_Towns!P648+IT!P251+Other!P125</f>
        <v>0</v>
      </c>
      <c r="Q121" s="80">
        <f ca="1">Low_Press!Q202+AdHoc!Q146+AdHoc!Q421+AdHoc!Q696+Medium_Press!Q195+High_Press!Q125+Dom_Meters!Q146+Dom_Meters!Q400+Com_Meters!Q146+Com_Meters!Q435+Net_Reg!Q167+Net_Reg!Q421+Cust_Reg!Q146+Cust_Reg!Q421+CP_SCADA!Q174+CP_SCADA!Q477+Aug!Q160+Aug!Q442+Cust_Conn!Q130+Cust_Conn!Q387+Cust_Conn!Q642+Cust_Conn!Q897+New_Towns!Q125+New_Towns!Q380+New_Towns!Q648+IT!Q251+Other!Q125</f>
        <v>0</v>
      </c>
      <c r="R121" s="80">
        <f ca="1">Low_Press!R202+AdHoc!R146+AdHoc!R421+AdHoc!R696+Medium_Press!R195+High_Press!R125+Dom_Meters!R146+Dom_Meters!R400+Com_Meters!R146+Com_Meters!R435+Net_Reg!R167+Net_Reg!R421+Cust_Reg!R146+Cust_Reg!R421+CP_SCADA!R174+CP_SCADA!R477+Aug!R160+Aug!R442+Cust_Conn!R130+Cust_Conn!R387+Cust_Conn!R642+Cust_Conn!R897+New_Towns!R125+New_Towns!R380+New_Towns!R648+IT!R251+Other!R125</f>
        <v>0</v>
      </c>
      <c r="S121" s="80">
        <f ca="1">Low_Press!S202+AdHoc!S146+AdHoc!S421+AdHoc!S696+Medium_Press!S195+High_Press!S125+Dom_Meters!S146+Dom_Meters!S400+Com_Meters!S146+Com_Meters!S435+Net_Reg!S167+Net_Reg!S421+Cust_Reg!S146+Cust_Reg!S421+CP_SCADA!S174+CP_SCADA!S477+Aug!S160+Aug!S442+Cust_Conn!S130+Cust_Conn!S387+Cust_Conn!S642+Cust_Conn!S897+New_Towns!S125+New_Towns!S380+New_Towns!S648+IT!S251+Other!S125</f>
        <v>0</v>
      </c>
      <c r="T121" s="80">
        <f ca="1">Low_Press!T202+AdHoc!T146+AdHoc!T421+AdHoc!T696+Medium_Press!T195+High_Press!T125+Dom_Meters!T146+Dom_Meters!T400+Com_Meters!T146+Com_Meters!T435+Net_Reg!T167+Net_Reg!T421+Cust_Reg!T146+Cust_Reg!T421+CP_SCADA!T174+CP_SCADA!T477+Aug!T160+Aug!T442+Cust_Conn!T130+Cust_Conn!T387+Cust_Conn!T642+Cust_Conn!T897+New_Towns!T125+New_Towns!T380+New_Towns!T648+IT!T251+Other!T125</f>
        <v>0</v>
      </c>
    </row>
    <row r="122" spans="5:20" s="41" customFormat="1" outlineLevel="1">
      <c r="F122" s="251" t="str">
        <f>GC!C41</f>
        <v>Distribution pipelines</v>
      </c>
      <c r="G122" s="251"/>
      <c r="H122" s="251"/>
      <c r="I122" s="251"/>
      <c r="J122" s="80">
        <f ca="1">Low_Press!J203+AdHoc!J147+AdHoc!J422+AdHoc!J697+Medium_Press!J196+High_Press!J126+Dom_Meters!J147+Dom_Meters!J401+Com_Meters!J147+Com_Meters!J436+Net_Reg!J168+Net_Reg!J422+Cust_Reg!J147+Cust_Reg!J422+CP_SCADA!J175+CP_SCADA!J478+Aug!J161+Aug!J443+Cust_Conn!J131+Cust_Conn!J388+Cust_Conn!J643+Cust_Conn!J898+New_Towns!J126+New_Towns!J381+New_Towns!J649+IT!J252+Other!J126</f>
        <v>0</v>
      </c>
      <c r="K122" s="80">
        <f ca="1">Low_Press!K203+AdHoc!K147+AdHoc!K422+AdHoc!K697+Medium_Press!K196+High_Press!K126+Dom_Meters!K147+Dom_Meters!K401+Com_Meters!K147+Com_Meters!K436+Net_Reg!K168+Net_Reg!K422+Cust_Reg!K147+Cust_Reg!K422+CP_SCADA!K175+CP_SCADA!K478+Aug!K161+Aug!K443+Cust_Conn!K131+Cust_Conn!K388+Cust_Conn!K643+Cust_Conn!K898+New_Towns!K126+New_Towns!K381+New_Towns!K649+IT!K252+Other!K126</f>
        <v>0</v>
      </c>
      <c r="L122" s="80">
        <f ca="1">Low_Press!L203+AdHoc!L147+AdHoc!L422+AdHoc!L697+Medium_Press!L196+High_Press!L126+Dom_Meters!L147+Dom_Meters!L401+Com_Meters!L147+Com_Meters!L436+Net_Reg!L168+Net_Reg!L422+Cust_Reg!L147+Cust_Reg!L422+CP_SCADA!L175+CP_SCADA!L478+Aug!L161+Aug!L443+Cust_Conn!L131+Cust_Conn!L388+Cust_Conn!L643+Cust_Conn!L898+New_Towns!L126+New_Towns!L381+New_Towns!L649+IT!L252+Other!L126</f>
        <v>0</v>
      </c>
      <c r="M122" s="80">
        <f ca="1">Low_Press!M203+AdHoc!M147+AdHoc!M422+AdHoc!M697+Medium_Press!M196+High_Press!M126+Dom_Meters!M147+Dom_Meters!M401+Com_Meters!M147+Com_Meters!M436+Net_Reg!M168+Net_Reg!M422+Cust_Reg!M147+Cust_Reg!M422+CP_SCADA!M175+CP_SCADA!M478+Aug!M161+Aug!M443+Cust_Conn!M131+Cust_Conn!M388+Cust_Conn!M643+Cust_Conn!M898+New_Towns!M126+New_Towns!M381+New_Towns!M649+IT!M252+Other!M126</f>
        <v>0</v>
      </c>
      <c r="N122" s="80">
        <f ca="1">Low_Press!N203+AdHoc!N147+AdHoc!N422+AdHoc!N697+Medium_Press!N196+High_Press!N126+Dom_Meters!N147+Dom_Meters!N401+Com_Meters!N147+Com_Meters!N436+Net_Reg!N168+Net_Reg!N422+Cust_Reg!N147+Cust_Reg!N422+CP_SCADA!N175+CP_SCADA!N478+Aug!N161+Aug!N443+Cust_Conn!N131+Cust_Conn!N388+Cust_Conn!N643+Cust_Conn!N898+New_Towns!N126+New_Towns!N381+New_Towns!N649+IT!N252+Other!N126</f>
        <v>0</v>
      </c>
      <c r="O122" s="80">
        <f ca="1">Low_Press!O203+AdHoc!O147+AdHoc!O422+AdHoc!O697+Medium_Press!O196+High_Press!O126+Dom_Meters!O147+Dom_Meters!O401+Com_Meters!O147+Com_Meters!O436+Net_Reg!O168+Net_Reg!O422+Cust_Reg!O147+Cust_Reg!O422+CP_SCADA!O175+CP_SCADA!O478+Aug!O161+Aug!O443+Cust_Conn!O131+Cust_Conn!O388+Cust_Conn!O643+Cust_Conn!O898+New_Towns!O126+New_Towns!O381+New_Towns!O649+IT!O252+Other!O126</f>
        <v>0</v>
      </c>
      <c r="P122" s="80">
        <f ca="1">Low_Press!P203+AdHoc!P147+AdHoc!P422+AdHoc!P697+Medium_Press!P196+High_Press!P126+Dom_Meters!P147+Dom_Meters!P401+Com_Meters!P147+Com_Meters!P436+Net_Reg!P168+Net_Reg!P422+Cust_Reg!P147+Cust_Reg!P422+CP_SCADA!P175+CP_SCADA!P478+Aug!P161+Aug!P443+Cust_Conn!P131+Cust_Conn!P388+Cust_Conn!P643+Cust_Conn!P898+New_Towns!P126+New_Towns!P381+New_Towns!P649+IT!P252+Other!P126</f>
        <v>0</v>
      </c>
      <c r="Q122" s="80">
        <f ca="1">Low_Press!Q203+AdHoc!Q147+AdHoc!Q422+AdHoc!Q697+Medium_Press!Q196+High_Press!Q126+Dom_Meters!Q147+Dom_Meters!Q401+Com_Meters!Q147+Com_Meters!Q436+Net_Reg!Q168+Net_Reg!Q422+Cust_Reg!Q147+Cust_Reg!Q422+CP_SCADA!Q175+CP_SCADA!Q478+Aug!Q161+Aug!Q443+Cust_Conn!Q131+Cust_Conn!Q388+Cust_Conn!Q643+Cust_Conn!Q898+New_Towns!Q126+New_Towns!Q381+New_Towns!Q649+IT!Q252+Other!Q126</f>
        <v>0</v>
      </c>
      <c r="R122" s="80">
        <f ca="1">Low_Press!R203+AdHoc!R147+AdHoc!R422+AdHoc!R697+Medium_Press!R196+High_Press!R126+Dom_Meters!R147+Dom_Meters!R401+Com_Meters!R147+Com_Meters!R436+Net_Reg!R168+Net_Reg!R422+Cust_Reg!R147+Cust_Reg!R422+CP_SCADA!R175+CP_SCADA!R478+Aug!R161+Aug!R443+Cust_Conn!R131+Cust_Conn!R388+Cust_Conn!R643+Cust_Conn!R898+New_Towns!R126+New_Towns!R381+New_Towns!R649+IT!R252+Other!R126</f>
        <v>0</v>
      </c>
      <c r="S122" s="80">
        <f ca="1">Low_Press!S203+AdHoc!S147+AdHoc!S422+AdHoc!S697+Medium_Press!S196+High_Press!S126+Dom_Meters!S147+Dom_Meters!S401+Com_Meters!S147+Com_Meters!S436+Net_Reg!S168+Net_Reg!S422+Cust_Reg!S147+Cust_Reg!S422+CP_SCADA!S175+CP_SCADA!S478+Aug!S161+Aug!S443+Cust_Conn!S131+Cust_Conn!S388+Cust_Conn!S643+Cust_Conn!S898+New_Towns!S126+New_Towns!S381+New_Towns!S649+IT!S252+Other!S126</f>
        <v>0</v>
      </c>
      <c r="T122" s="80">
        <f ca="1">Low_Press!T203+AdHoc!T147+AdHoc!T422+AdHoc!T697+Medium_Press!T196+High_Press!T126+Dom_Meters!T147+Dom_Meters!T401+Com_Meters!T147+Com_Meters!T436+Net_Reg!T168+Net_Reg!T422+Cust_Reg!T147+Cust_Reg!T422+CP_SCADA!T175+CP_SCADA!T478+Aug!T161+Aug!T443+Cust_Conn!T131+Cust_Conn!T388+Cust_Conn!T643+Cust_Conn!T898+New_Towns!T126+New_Towns!T381+New_Towns!T649+IT!T252+Other!T126</f>
        <v>0</v>
      </c>
    </row>
    <row r="123" spans="5:20" s="41" customFormat="1" outlineLevel="1">
      <c r="F123" s="251" t="str">
        <f>GC!C42</f>
        <v>Service pipes</v>
      </c>
      <c r="G123" s="251"/>
      <c r="H123" s="251"/>
      <c r="I123" s="251"/>
      <c r="J123" s="80">
        <f ca="1">Low_Press!J204+AdHoc!J148+AdHoc!J423+AdHoc!J698+Medium_Press!J197+High_Press!J127+Dom_Meters!J148+Dom_Meters!J402+Com_Meters!J148+Com_Meters!J437+Net_Reg!J169+Net_Reg!J423+Cust_Reg!J148+Cust_Reg!J423+CP_SCADA!J176+CP_SCADA!J479+Aug!J162+Aug!J444+Cust_Conn!J132+Cust_Conn!J389+Cust_Conn!J644+Cust_Conn!J899+New_Towns!J127+New_Towns!J382+New_Towns!J650+IT!J253+Other!J127</f>
        <v>0</v>
      </c>
      <c r="K123" s="80">
        <f ca="1">Low_Press!K204+AdHoc!K148+AdHoc!K423+AdHoc!K698+Medium_Press!K197+High_Press!K127+Dom_Meters!K148+Dom_Meters!K402+Com_Meters!K148+Com_Meters!K437+Net_Reg!K169+Net_Reg!K423+Cust_Reg!K148+Cust_Reg!K423+CP_SCADA!K176+CP_SCADA!K479+Aug!K162+Aug!K444+Cust_Conn!K132+Cust_Conn!K389+Cust_Conn!K644+Cust_Conn!K899+New_Towns!K127+New_Towns!K382+New_Towns!K650+IT!K253+Other!K127</f>
        <v>0</v>
      </c>
      <c r="L123" s="80">
        <f ca="1">Low_Press!L204+AdHoc!L148+AdHoc!L423+AdHoc!L698+Medium_Press!L197+High_Press!L127+Dom_Meters!L148+Dom_Meters!L402+Com_Meters!L148+Com_Meters!L437+Net_Reg!L169+Net_Reg!L423+Cust_Reg!L148+Cust_Reg!L423+CP_SCADA!L176+CP_SCADA!L479+Aug!L162+Aug!L444+Cust_Conn!L132+Cust_Conn!L389+Cust_Conn!L644+Cust_Conn!L899+New_Towns!L127+New_Towns!L382+New_Towns!L650+IT!L253+Other!L127</f>
        <v>0</v>
      </c>
      <c r="M123" s="80">
        <f ca="1">Low_Press!M204+AdHoc!M148+AdHoc!M423+AdHoc!M698+Medium_Press!M197+High_Press!M127+Dom_Meters!M148+Dom_Meters!M402+Com_Meters!M148+Com_Meters!M437+Net_Reg!M169+Net_Reg!M423+Cust_Reg!M148+Cust_Reg!M423+CP_SCADA!M176+CP_SCADA!M479+Aug!M162+Aug!M444+Cust_Conn!M132+Cust_Conn!M389+Cust_Conn!M644+Cust_Conn!M899+New_Towns!M127+New_Towns!M382+New_Towns!M650+IT!M253+Other!M127</f>
        <v>0</v>
      </c>
      <c r="N123" s="80">
        <f ca="1">Low_Press!N204+AdHoc!N148+AdHoc!N423+AdHoc!N698+Medium_Press!N197+High_Press!N127+Dom_Meters!N148+Dom_Meters!N402+Com_Meters!N148+Com_Meters!N437+Net_Reg!N169+Net_Reg!N423+Cust_Reg!N148+Cust_Reg!N423+CP_SCADA!N176+CP_SCADA!N479+Aug!N162+Aug!N444+Cust_Conn!N132+Cust_Conn!N389+Cust_Conn!N644+Cust_Conn!N899+New_Towns!N127+New_Towns!N382+New_Towns!N650+IT!N253+Other!N127</f>
        <v>0</v>
      </c>
      <c r="O123" s="80">
        <f ca="1">Low_Press!O204+AdHoc!O148+AdHoc!O423+AdHoc!O698+Medium_Press!O197+High_Press!O127+Dom_Meters!O148+Dom_Meters!O402+Com_Meters!O148+Com_Meters!O437+Net_Reg!O169+Net_Reg!O423+Cust_Reg!O148+Cust_Reg!O423+CP_SCADA!O176+CP_SCADA!O479+Aug!O162+Aug!O444+Cust_Conn!O132+Cust_Conn!O389+Cust_Conn!O644+Cust_Conn!O899+New_Towns!O127+New_Towns!O382+New_Towns!O650+IT!O253+Other!O127</f>
        <v>0</v>
      </c>
      <c r="P123" s="80">
        <f ca="1">Low_Press!P204+AdHoc!P148+AdHoc!P423+AdHoc!P698+Medium_Press!P197+High_Press!P127+Dom_Meters!P148+Dom_Meters!P402+Com_Meters!P148+Com_Meters!P437+Net_Reg!P169+Net_Reg!P423+Cust_Reg!P148+Cust_Reg!P423+CP_SCADA!P176+CP_SCADA!P479+Aug!P162+Aug!P444+Cust_Conn!P132+Cust_Conn!P389+Cust_Conn!P644+Cust_Conn!P899+New_Towns!P127+New_Towns!P382+New_Towns!P650+IT!P253+Other!P127</f>
        <v>0</v>
      </c>
      <c r="Q123" s="80">
        <f ca="1">Low_Press!Q204+AdHoc!Q148+AdHoc!Q423+AdHoc!Q698+Medium_Press!Q197+High_Press!Q127+Dom_Meters!Q148+Dom_Meters!Q402+Com_Meters!Q148+Com_Meters!Q437+Net_Reg!Q169+Net_Reg!Q423+Cust_Reg!Q148+Cust_Reg!Q423+CP_SCADA!Q176+CP_SCADA!Q479+Aug!Q162+Aug!Q444+Cust_Conn!Q132+Cust_Conn!Q389+Cust_Conn!Q644+Cust_Conn!Q899+New_Towns!Q127+New_Towns!Q382+New_Towns!Q650+IT!Q253+Other!Q127</f>
        <v>0</v>
      </c>
      <c r="R123" s="80">
        <f ca="1">Low_Press!R204+AdHoc!R148+AdHoc!R423+AdHoc!R698+Medium_Press!R197+High_Press!R127+Dom_Meters!R148+Dom_Meters!R402+Com_Meters!R148+Com_Meters!R437+Net_Reg!R169+Net_Reg!R423+Cust_Reg!R148+Cust_Reg!R423+CP_SCADA!R176+CP_SCADA!R479+Aug!R162+Aug!R444+Cust_Conn!R132+Cust_Conn!R389+Cust_Conn!R644+Cust_Conn!R899+New_Towns!R127+New_Towns!R382+New_Towns!R650+IT!R253+Other!R127</f>
        <v>0</v>
      </c>
      <c r="S123" s="80">
        <f ca="1">Low_Press!S204+AdHoc!S148+AdHoc!S423+AdHoc!S698+Medium_Press!S197+High_Press!S127+Dom_Meters!S148+Dom_Meters!S402+Com_Meters!S148+Com_Meters!S437+Net_Reg!S169+Net_Reg!S423+Cust_Reg!S148+Cust_Reg!S423+CP_SCADA!S176+CP_SCADA!S479+Aug!S162+Aug!S444+Cust_Conn!S132+Cust_Conn!S389+Cust_Conn!S644+Cust_Conn!S899+New_Towns!S127+New_Towns!S382+New_Towns!S650+IT!S253+Other!S127</f>
        <v>0</v>
      </c>
      <c r="T123" s="80">
        <f ca="1">Low_Press!T204+AdHoc!T148+AdHoc!T423+AdHoc!T698+Medium_Press!T197+High_Press!T127+Dom_Meters!T148+Dom_Meters!T402+Com_Meters!T148+Com_Meters!T437+Net_Reg!T169+Net_Reg!T423+Cust_Reg!T148+Cust_Reg!T423+CP_SCADA!T176+CP_SCADA!T479+Aug!T162+Aug!T444+Cust_Conn!T132+Cust_Conn!T389+Cust_Conn!T644+Cust_Conn!T899+New_Towns!T127+New_Towns!T382+New_Towns!T650+IT!T253+Other!T127</f>
        <v>0</v>
      </c>
    </row>
    <row r="124" spans="5:20" s="41" customFormat="1" outlineLevel="1">
      <c r="F124" s="251" t="str">
        <f>GC!C43</f>
        <v>Cathodic protection</v>
      </c>
      <c r="G124" s="251"/>
      <c r="H124" s="251"/>
      <c r="I124" s="251"/>
      <c r="J124" s="80">
        <f ca="1">Low_Press!J205+AdHoc!J149+AdHoc!J424+AdHoc!J699+Medium_Press!J198+High_Press!J128+Dom_Meters!J149+Dom_Meters!J403+Com_Meters!J149+Com_Meters!J438+Net_Reg!J170+Net_Reg!J424+Cust_Reg!J149+Cust_Reg!J424+CP_SCADA!J177+CP_SCADA!J480+Aug!J163+Aug!J445+Cust_Conn!J133+Cust_Conn!J390+Cust_Conn!J645+Cust_Conn!J900+New_Towns!J128+New_Towns!J383+New_Towns!J651+IT!J254+Other!J128</f>
        <v>0</v>
      </c>
      <c r="K124" s="80">
        <f ca="1">Low_Press!K205+AdHoc!K149+AdHoc!K424+AdHoc!K699+Medium_Press!K198+High_Press!K128+Dom_Meters!K149+Dom_Meters!K403+Com_Meters!K149+Com_Meters!K438+Net_Reg!K170+Net_Reg!K424+Cust_Reg!K149+Cust_Reg!K424+CP_SCADA!K177+CP_SCADA!K480+Aug!K163+Aug!K445+Cust_Conn!K133+Cust_Conn!K390+Cust_Conn!K645+Cust_Conn!K900+New_Towns!K128+New_Towns!K383+New_Towns!K651+IT!K254+Other!K128</f>
        <v>0</v>
      </c>
      <c r="L124" s="80">
        <f ca="1">Low_Press!L205+AdHoc!L149+AdHoc!L424+AdHoc!L699+Medium_Press!L198+High_Press!L128+Dom_Meters!L149+Dom_Meters!L403+Com_Meters!L149+Com_Meters!L438+Net_Reg!L170+Net_Reg!L424+Cust_Reg!L149+Cust_Reg!L424+CP_SCADA!L177+CP_SCADA!L480+Aug!L163+Aug!L445+Cust_Conn!L133+Cust_Conn!L390+Cust_Conn!L645+Cust_Conn!L900+New_Towns!L128+New_Towns!L383+New_Towns!L651+IT!L254+Other!L128</f>
        <v>0</v>
      </c>
      <c r="M124" s="80">
        <f ca="1">Low_Press!M205+AdHoc!M149+AdHoc!M424+AdHoc!M699+Medium_Press!M198+High_Press!M128+Dom_Meters!M149+Dom_Meters!M403+Com_Meters!M149+Com_Meters!M438+Net_Reg!M170+Net_Reg!M424+Cust_Reg!M149+Cust_Reg!M424+CP_SCADA!M177+CP_SCADA!M480+Aug!M163+Aug!M445+Cust_Conn!M133+Cust_Conn!M390+Cust_Conn!M645+Cust_Conn!M900+New_Towns!M128+New_Towns!M383+New_Towns!M651+IT!M254+Other!M128</f>
        <v>0</v>
      </c>
      <c r="N124" s="80">
        <f ca="1">Low_Press!N205+AdHoc!N149+AdHoc!N424+AdHoc!N699+Medium_Press!N198+High_Press!N128+Dom_Meters!N149+Dom_Meters!N403+Com_Meters!N149+Com_Meters!N438+Net_Reg!N170+Net_Reg!N424+Cust_Reg!N149+Cust_Reg!N424+CP_SCADA!N177+CP_SCADA!N480+Aug!N163+Aug!N445+Cust_Conn!N133+Cust_Conn!N390+Cust_Conn!N645+Cust_Conn!N900+New_Towns!N128+New_Towns!N383+New_Towns!N651+IT!N254+Other!N128</f>
        <v>0</v>
      </c>
      <c r="O124" s="80">
        <f ca="1">Low_Press!O205+AdHoc!O149+AdHoc!O424+AdHoc!O699+Medium_Press!O198+High_Press!O128+Dom_Meters!O149+Dom_Meters!O403+Com_Meters!O149+Com_Meters!O438+Net_Reg!O170+Net_Reg!O424+Cust_Reg!O149+Cust_Reg!O424+CP_SCADA!O177+CP_SCADA!O480+Aug!O163+Aug!O445+Cust_Conn!O133+Cust_Conn!O390+Cust_Conn!O645+Cust_Conn!O900+New_Towns!O128+New_Towns!O383+New_Towns!O651+IT!O254+Other!O128</f>
        <v>0</v>
      </c>
      <c r="P124" s="80">
        <f ca="1">Low_Press!P205+AdHoc!P149+AdHoc!P424+AdHoc!P699+Medium_Press!P198+High_Press!P128+Dom_Meters!P149+Dom_Meters!P403+Com_Meters!P149+Com_Meters!P438+Net_Reg!P170+Net_Reg!P424+Cust_Reg!P149+Cust_Reg!P424+CP_SCADA!P177+CP_SCADA!P480+Aug!P163+Aug!P445+Cust_Conn!P133+Cust_Conn!P390+Cust_Conn!P645+Cust_Conn!P900+New_Towns!P128+New_Towns!P383+New_Towns!P651+IT!P254+Other!P128</f>
        <v>0</v>
      </c>
      <c r="Q124" s="80">
        <f ca="1">Low_Press!Q205+AdHoc!Q149+AdHoc!Q424+AdHoc!Q699+Medium_Press!Q198+High_Press!Q128+Dom_Meters!Q149+Dom_Meters!Q403+Com_Meters!Q149+Com_Meters!Q438+Net_Reg!Q170+Net_Reg!Q424+Cust_Reg!Q149+Cust_Reg!Q424+CP_SCADA!Q177+CP_SCADA!Q480+Aug!Q163+Aug!Q445+Cust_Conn!Q133+Cust_Conn!Q390+Cust_Conn!Q645+Cust_Conn!Q900+New_Towns!Q128+New_Towns!Q383+New_Towns!Q651+IT!Q254+Other!Q128</f>
        <v>0</v>
      </c>
      <c r="R124" s="80">
        <f ca="1">Low_Press!R205+AdHoc!R149+AdHoc!R424+AdHoc!R699+Medium_Press!R198+High_Press!R128+Dom_Meters!R149+Dom_Meters!R403+Com_Meters!R149+Com_Meters!R438+Net_Reg!R170+Net_Reg!R424+Cust_Reg!R149+Cust_Reg!R424+CP_SCADA!R177+CP_SCADA!R480+Aug!R163+Aug!R445+Cust_Conn!R133+Cust_Conn!R390+Cust_Conn!R645+Cust_Conn!R900+New_Towns!R128+New_Towns!R383+New_Towns!R651+IT!R254+Other!R128</f>
        <v>0</v>
      </c>
      <c r="S124" s="80">
        <f ca="1">Low_Press!S205+AdHoc!S149+AdHoc!S424+AdHoc!S699+Medium_Press!S198+High_Press!S128+Dom_Meters!S149+Dom_Meters!S403+Com_Meters!S149+Com_Meters!S438+Net_Reg!S170+Net_Reg!S424+Cust_Reg!S149+Cust_Reg!S424+CP_SCADA!S177+CP_SCADA!S480+Aug!S163+Aug!S445+Cust_Conn!S133+Cust_Conn!S390+Cust_Conn!S645+Cust_Conn!S900+New_Towns!S128+New_Towns!S383+New_Towns!S651+IT!S254+Other!S128</f>
        <v>0</v>
      </c>
      <c r="T124" s="80">
        <f ca="1">Low_Press!T205+AdHoc!T149+AdHoc!T424+AdHoc!T699+Medium_Press!T198+High_Press!T128+Dom_Meters!T149+Dom_Meters!T403+Com_Meters!T149+Com_Meters!T438+Net_Reg!T170+Net_Reg!T424+Cust_Reg!T149+Cust_Reg!T424+CP_SCADA!T177+CP_SCADA!T480+Aug!T163+Aug!T445+Cust_Conn!T133+Cust_Conn!T390+Cust_Conn!T645+Cust_Conn!T900+New_Towns!T128+New_Towns!T383+New_Towns!T651+IT!T254+Other!T128</f>
        <v>0</v>
      </c>
    </row>
    <row r="125" spans="5:20" s="41" customFormat="1" outlineLevel="1">
      <c r="F125" s="251" t="str">
        <f>GC!C44</f>
        <v>Supply Regulators / Valve Stations</v>
      </c>
      <c r="G125" s="251"/>
      <c r="H125" s="251"/>
      <c r="I125" s="251"/>
      <c r="J125" s="80">
        <f ca="1">Low_Press!J206+AdHoc!J150+AdHoc!J425+AdHoc!J700+Medium_Press!J199+High_Press!J129+Dom_Meters!J150+Dom_Meters!J404+Com_Meters!J150+Com_Meters!J439+Net_Reg!J171+Net_Reg!J425+Cust_Reg!J150+Cust_Reg!J425+CP_SCADA!J178+CP_SCADA!J481+Aug!J164+Aug!J446+Cust_Conn!J134+Cust_Conn!J391+Cust_Conn!J646+Cust_Conn!J901+New_Towns!J129+New_Towns!J384+New_Towns!J652+IT!J255+Other!J129</f>
        <v>0</v>
      </c>
      <c r="K125" s="80">
        <f ca="1">Low_Press!K206+AdHoc!K150+AdHoc!K425+AdHoc!K700+Medium_Press!K199+High_Press!K129+Dom_Meters!K150+Dom_Meters!K404+Com_Meters!K150+Com_Meters!K439+Net_Reg!K171+Net_Reg!K425+Cust_Reg!K150+Cust_Reg!K425+CP_SCADA!K178+CP_SCADA!K481+Aug!K164+Aug!K446+Cust_Conn!K134+Cust_Conn!K391+Cust_Conn!K646+Cust_Conn!K901+New_Towns!K129+New_Towns!K384+New_Towns!K652+IT!K255+Other!K129</f>
        <v>0</v>
      </c>
      <c r="L125" s="80">
        <f ca="1">Low_Press!L206+AdHoc!L150+AdHoc!L425+AdHoc!L700+Medium_Press!L199+High_Press!L129+Dom_Meters!L150+Dom_Meters!L404+Com_Meters!L150+Com_Meters!L439+Net_Reg!L171+Net_Reg!L425+Cust_Reg!L150+Cust_Reg!L425+CP_SCADA!L178+CP_SCADA!L481+Aug!L164+Aug!L446+Cust_Conn!L134+Cust_Conn!L391+Cust_Conn!L646+Cust_Conn!L901+New_Towns!L129+New_Towns!L384+New_Towns!L652+IT!L255+Other!L129</f>
        <v>0</v>
      </c>
      <c r="M125" s="80">
        <f ca="1">Low_Press!M206+AdHoc!M150+AdHoc!M425+AdHoc!M700+Medium_Press!M199+High_Press!M129+Dom_Meters!M150+Dom_Meters!M404+Com_Meters!M150+Com_Meters!M439+Net_Reg!M171+Net_Reg!M425+Cust_Reg!M150+Cust_Reg!M425+CP_SCADA!M178+CP_SCADA!M481+Aug!M164+Aug!M446+Cust_Conn!M134+Cust_Conn!M391+Cust_Conn!M646+Cust_Conn!M901+New_Towns!M129+New_Towns!M384+New_Towns!M652+IT!M255+Other!M129</f>
        <v>0</v>
      </c>
      <c r="N125" s="80">
        <f ca="1">Low_Press!N206+AdHoc!N150+AdHoc!N425+AdHoc!N700+Medium_Press!N199+High_Press!N129+Dom_Meters!N150+Dom_Meters!N404+Com_Meters!N150+Com_Meters!N439+Net_Reg!N171+Net_Reg!N425+Cust_Reg!N150+Cust_Reg!N425+CP_SCADA!N178+CP_SCADA!N481+Aug!N164+Aug!N446+Cust_Conn!N134+Cust_Conn!N391+Cust_Conn!N646+Cust_Conn!N901+New_Towns!N129+New_Towns!N384+New_Towns!N652+IT!N255+Other!N129</f>
        <v>311111.05175395997</v>
      </c>
      <c r="O125" s="80">
        <f ca="1">Low_Press!O206+AdHoc!O150+AdHoc!O425+AdHoc!O700+Medium_Press!O199+High_Press!O129+Dom_Meters!O150+Dom_Meters!O404+Com_Meters!O150+Com_Meters!O439+Net_Reg!O171+Net_Reg!O425+Cust_Reg!O150+Cust_Reg!O425+CP_SCADA!O178+CP_SCADA!O481+Aug!O164+Aug!O446+Cust_Conn!O134+Cust_Conn!O391+Cust_Conn!O646+Cust_Conn!O901+New_Towns!O129+New_Towns!O384+New_Towns!O652+IT!O255+Other!O129</f>
        <v>87435.472263058909</v>
      </c>
      <c r="P125" s="80">
        <f ca="1">Low_Press!P206+AdHoc!P150+AdHoc!P425+AdHoc!P700+Medium_Press!P199+High_Press!P129+Dom_Meters!P150+Dom_Meters!P404+Com_Meters!P150+Com_Meters!P439+Net_Reg!P171+Net_Reg!P425+Cust_Reg!P150+Cust_Reg!P425+CP_SCADA!P178+CP_SCADA!P481+Aug!P164+Aug!P446+Cust_Conn!P134+Cust_Conn!P391+Cust_Conn!P646+Cust_Conn!P901+New_Towns!P129+New_Towns!P384+New_Towns!P652+IT!P255+Other!P129</f>
        <v>171554.47472210572</v>
      </c>
      <c r="Q125" s="80">
        <f ca="1">Low_Press!Q206+AdHoc!Q150+AdHoc!Q425+AdHoc!Q700+Medium_Press!Q199+High_Press!Q129+Dom_Meters!Q150+Dom_Meters!Q404+Com_Meters!Q150+Com_Meters!Q439+Net_Reg!Q171+Net_Reg!Q425+Cust_Reg!Q150+Cust_Reg!Q425+CP_SCADA!Q178+CP_SCADA!Q481+Aug!Q164+Aug!Q446+Cust_Conn!Q134+Cust_Conn!Q391+Cust_Conn!Q646+Cust_Conn!Q901+New_Towns!Q129+New_Towns!Q384+New_Towns!Q652+IT!Q255+Other!Q129</f>
        <v>198191.89896417593</v>
      </c>
      <c r="R125" s="80">
        <f ca="1">Low_Press!R206+AdHoc!R150+AdHoc!R425+AdHoc!R700+Medium_Press!R199+High_Press!R129+Dom_Meters!R150+Dom_Meters!R404+Com_Meters!R150+Com_Meters!R439+Net_Reg!R171+Net_Reg!R425+Cust_Reg!R150+Cust_Reg!R425+CP_SCADA!R178+CP_SCADA!R481+Aug!R164+Aug!R446+Cust_Conn!R134+Cust_Conn!R391+Cust_Conn!R646+Cust_Conn!R901+New_Towns!R129+New_Towns!R384+New_Towns!R652+IT!R255+Other!R129</f>
        <v>109583.80373943242</v>
      </c>
      <c r="S125" s="80">
        <f ca="1">Low_Press!S206+AdHoc!S150+AdHoc!S425+AdHoc!S700+Medium_Press!S199+High_Press!S129+Dom_Meters!S150+Dom_Meters!S404+Com_Meters!S150+Com_Meters!S439+Net_Reg!S171+Net_Reg!S425+Cust_Reg!S150+Cust_Reg!S425+CP_SCADA!S178+CP_SCADA!S481+Aug!S164+Aug!S446+Cust_Conn!S134+Cust_Conn!S391+Cust_Conn!S646+Cust_Conn!S901+New_Towns!S129+New_Towns!S384+New_Towns!S652+IT!S255+Other!S129</f>
        <v>117927.27818799627</v>
      </c>
      <c r="T125" s="80">
        <f ca="1">Low_Press!T206+AdHoc!T150+AdHoc!T425+AdHoc!T700+Medium_Press!T199+High_Press!T129+Dom_Meters!T150+Dom_Meters!T404+Com_Meters!T150+Com_Meters!T439+Net_Reg!T171+Net_Reg!T425+Cust_Reg!T150+Cust_Reg!T425+CP_SCADA!T178+CP_SCADA!T481+Aug!T164+Aug!T446+Cust_Conn!T134+Cust_Conn!T391+Cust_Conn!T646+Cust_Conn!T901+New_Towns!T129+New_Towns!T384+New_Towns!T652+IT!T255+Other!T129</f>
        <v>222675.70439519221</v>
      </c>
    </row>
    <row r="126" spans="5:20" s="41" customFormat="1" outlineLevel="1">
      <c r="F126" s="251" t="str">
        <f>GC!C45</f>
        <v>Meters</v>
      </c>
      <c r="G126" s="251"/>
      <c r="H126" s="251"/>
      <c r="I126" s="251"/>
      <c r="J126" s="80">
        <f ca="1">Low_Press!J207+AdHoc!J151+AdHoc!J426+AdHoc!J701+Medium_Press!J200+High_Press!J130+Dom_Meters!J151+Dom_Meters!J405+Com_Meters!J151+Com_Meters!J440+Net_Reg!J172+Net_Reg!J426+Cust_Reg!J151+Cust_Reg!J426+CP_SCADA!J179+CP_SCADA!J482+Aug!J165+Aug!J447+Cust_Conn!J135+Cust_Conn!J392+Cust_Conn!J647+Cust_Conn!J902+New_Towns!J130+New_Towns!J385+New_Towns!J653+IT!J256+Other!J130</f>
        <v>0</v>
      </c>
      <c r="K126" s="80">
        <f ca="1">Low_Press!K207+AdHoc!K151+AdHoc!K426+AdHoc!K701+Medium_Press!K200+High_Press!K130+Dom_Meters!K151+Dom_Meters!K405+Com_Meters!K151+Com_Meters!K440+Net_Reg!K172+Net_Reg!K426+Cust_Reg!K151+Cust_Reg!K426+CP_SCADA!K179+CP_SCADA!K482+Aug!K165+Aug!K447+Cust_Conn!K135+Cust_Conn!K392+Cust_Conn!K647+Cust_Conn!K902+New_Towns!K130+New_Towns!K385+New_Towns!K653+IT!K256+Other!K130</f>
        <v>0</v>
      </c>
      <c r="L126" s="80">
        <f ca="1">Low_Press!L207+AdHoc!L151+AdHoc!L426+AdHoc!L701+Medium_Press!L200+High_Press!L130+Dom_Meters!L151+Dom_Meters!L405+Com_Meters!L151+Com_Meters!L440+Net_Reg!L172+Net_Reg!L426+Cust_Reg!L151+Cust_Reg!L426+CP_SCADA!L179+CP_SCADA!L482+Aug!L165+Aug!L447+Cust_Conn!L135+Cust_Conn!L392+Cust_Conn!L647+Cust_Conn!L902+New_Towns!L130+New_Towns!L385+New_Towns!L653+IT!L256+Other!L130</f>
        <v>0</v>
      </c>
      <c r="M126" s="80">
        <f ca="1">Low_Press!M207+AdHoc!M151+AdHoc!M426+AdHoc!M701+Medium_Press!M200+High_Press!M130+Dom_Meters!M151+Dom_Meters!M405+Com_Meters!M151+Com_Meters!M440+Net_Reg!M172+Net_Reg!M426+Cust_Reg!M151+Cust_Reg!M426+CP_SCADA!M179+CP_SCADA!M482+Aug!M165+Aug!M447+Cust_Conn!M135+Cust_Conn!M392+Cust_Conn!M647+Cust_Conn!M902+New_Towns!M130+New_Towns!M385+New_Towns!M653+IT!M256+Other!M130</f>
        <v>0</v>
      </c>
      <c r="N126" s="80">
        <f ca="1">Low_Press!N207+AdHoc!N151+AdHoc!N426+AdHoc!N701+Medium_Press!N200+High_Press!N130+Dom_Meters!N151+Dom_Meters!N405+Com_Meters!N151+Com_Meters!N440+Net_Reg!N172+Net_Reg!N426+Cust_Reg!N151+Cust_Reg!N426+CP_SCADA!N179+CP_SCADA!N482+Aug!N165+Aug!N447+Cust_Conn!N135+Cust_Conn!N392+Cust_Conn!N647+Cust_Conn!N902+New_Towns!N130+New_Towns!N385+New_Towns!N653+IT!N256+Other!N130</f>
        <v>572765.84684688097</v>
      </c>
      <c r="O126" s="80">
        <f ca="1">Low_Press!O207+AdHoc!O151+AdHoc!O426+AdHoc!O701+Medium_Press!O200+High_Press!O130+Dom_Meters!O151+Dom_Meters!O405+Com_Meters!O151+Com_Meters!O440+Net_Reg!O172+Net_Reg!O426+Cust_Reg!O151+Cust_Reg!O426+CP_SCADA!O179+CP_SCADA!O482+Aug!O165+Aug!O447+Cust_Conn!O135+Cust_Conn!O392+Cust_Conn!O647+Cust_Conn!O902+New_Towns!O130+New_Towns!O385+New_Towns!O653+IT!O256+Other!O130</f>
        <v>263022.48959280219</v>
      </c>
      <c r="P126" s="80">
        <f ca="1">Low_Press!P207+AdHoc!P151+AdHoc!P426+AdHoc!P701+Medium_Press!P200+High_Press!P130+Dom_Meters!P151+Dom_Meters!P405+Com_Meters!P151+Com_Meters!P440+Net_Reg!P172+Net_Reg!P426+Cust_Reg!P151+Cust_Reg!P426+CP_SCADA!P179+CP_SCADA!P482+Aug!P165+Aug!P447+Cust_Conn!P135+Cust_Conn!P392+Cust_Conn!P647+Cust_Conn!P902+New_Towns!P130+New_Towns!P385+New_Towns!P653+IT!P256+Other!P130</f>
        <v>393002.71445194067</v>
      </c>
      <c r="Q126" s="80">
        <f ca="1">Low_Press!Q207+AdHoc!Q151+AdHoc!Q426+AdHoc!Q701+Medium_Press!Q200+High_Press!Q130+Dom_Meters!Q151+Dom_Meters!Q405+Com_Meters!Q151+Com_Meters!Q440+Net_Reg!Q172+Net_Reg!Q426+Cust_Reg!Q151+Cust_Reg!Q426+CP_SCADA!Q179+CP_SCADA!Q482+Aug!Q165+Aug!Q447+Cust_Conn!Q135+Cust_Conn!Q392+Cust_Conn!Q647+Cust_Conn!Q902+New_Towns!Q130+New_Towns!Q385+New_Towns!Q653+IT!Q256+Other!Q130</f>
        <v>416179.57929278462</v>
      </c>
      <c r="R126" s="80">
        <f ca="1">Low_Press!R207+AdHoc!R151+AdHoc!R426+AdHoc!R701+Medium_Press!R200+High_Press!R130+Dom_Meters!R151+Dom_Meters!R405+Com_Meters!R151+Com_Meters!R440+Net_Reg!R172+Net_Reg!R426+Cust_Reg!R151+Cust_Reg!R426+CP_SCADA!R179+CP_SCADA!R482+Aug!R165+Aug!R447+Cust_Conn!R135+Cust_Conn!R392+Cust_Conn!R647+Cust_Conn!R902+New_Towns!R130+New_Towns!R385+New_Towns!R653+IT!R256+Other!R130</f>
        <v>450081.28922142647</v>
      </c>
      <c r="S126" s="80">
        <f ca="1">Low_Press!S207+AdHoc!S151+AdHoc!S426+AdHoc!S701+Medium_Press!S200+High_Press!S130+Dom_Meters!S151+Dom_Meters!S405+Com_Meters!S151+Com_Meters!S440+Net_Reg!S172+Net_Reg!S426+Cust_Reg!S151+Cust_Reg!S426+CP_SCADA!S179+CP_SCADA!S482+Aug!S165+Aug!S447+Cust_Conn!S135+Cust_Conn!S392+Cust_Conn!S647+Cust_Conn!S902+New_Towns!S130+New_Towns!S385+New_Towns!S653+IT!S256+Other!S130</f>
        <v>431506.3072293374</v>
      </c>
      <c r="T126" s="80">
        <f ca="1">Low_Press!T207+AdHoc!T151+AdHoc!T426+AdHoc!T701+Medium_Press!T200+High_Press!T130+Dom_Meters!T151+Dom_Meters!T405+Com_Meters!T151+Com_Meters!T440+Net_Reg!T172+Net_Reg!T426+Cust_Reg!T151+Cust_Reg!T426+CP_SCADA!T179+CP_SCADA!T482+Aug!T165+Aug!T447+Cust_Conn!T135+Cust_Conn!T392+Cust_Conn!T647+Cust_Conn!T902+New_Towns!T130+New_Towns!T385+New_Towns!T653+IT!T256+Other!T130</f>
        <v>423534.64766293007</v>
      </c>
    </row>
    <row r="127" spans="5:20" s="41" customFormat="1" outlineLevel="1">
      <c r="F127" s="251" t="str">
        <f>GC!C46</f>
        <v>SCADA and remote control</v>
      </c>
      <c r="G127" s="251"/>
      <c r="H127" s="251"/>
      <c r="I127" s="251"/>
      <c r="J127" s="80">
        <f ca="1">Low_Press!J208+AdHoc!J152+AdHoc!J427+AdHoc!J702+Medium_Press!J201+High_Press!J131+Dom_Meters!J152+Dom_Meters!J406+Com_Meters!J152+Com_Meters!J441+Net_Reg!J173+Net_Reg!J427+Cust_Reg!J152+Cust_Reg!J427+CP_SCADA!J180+CP_SCADA!J483+Aug!J166+Aug!J448+Cust_Conn!J136+Cust_Conn!J393+Cust_Conn!J648+Cust_Conn!J903+New_Towns!J131+New_Towns!J386+New_Towns!J654+IT!J257+Other!J131</f>
        <v>0</v>
      </c>
      <c r="K127" s="80">
        <f ca="1">Low_Press!K208+AdHoc!K152+AdHoc!K427+AdHoc!K702+Medium_Press!K201+High_Press!K131+Dom_Meters!K152+Dom_Meters!K406+Com_Meters!K152+Com_Meters!K441+Net_Reg!K173+Net_Reg!K427+Cust_Reg!K152+Cust_Reg!K427+CP_SCADA!K180+CP_SCADA!K483+Aug!K166+Aug!K448+Cust_Conn!K136+Cust_Conn!K393+Cust_Conn!K648+Cust_Conn!K903+New_Towns!K131+New_Towns!K386+New_Towns!K654+IT!K257+Other!K131</f>
        <v>0</v>
      </c>
      <c r="L127" s="80">
        <f ca="1">Low_Press!L208+AdHoc!L152+AdHoc!L427+AdHoc!L702+Medium_Press!L201+High_Press!L131+Dom_Meters!L152+Dom_Meters!L406+Com_Meters!L152+Com_Meters!L441+Net_Reg!L173+Net_Reg!L427+Cust_Reg!L152+Cust_Reg!L427+CP_SCADA!L180+CP_SCADA!L483+Aug!L166+Aug!L448+Cust_Conn!L136+Cust_Conn!L393+Cust_Conn!L648+Cust_Conn!L903+New_Towns!L131+New_Towns!L386+New_Towns!L654+IT!L257+Other!L131</f>
        <v>0</v>
      </c>
      <c r="M127" s="80">
        <f ca="1">Low_Press!M208+AdHoc!M152+AdHoc!M427+AdHoc!M702+Medium_Press!M201+High_Press!M131+Dom_Meters!M152+Dom_Meters!M406+Com_Meters!M152+Com_Meters!M441+Net_Reg!M173+Net_Reg!M427+Cust_Reg!M152+Cust_Reg!M427+CP_SCADA!M180+CP_SCADA!M483+Aug!M166+Aug!M448+Cust_Conn!M136+Cust_Conn!M393+Cust_Conn!M648+Cust_Conn!M903+New_Towns!M131+New_Towns!M386+New_Towns!M654+IT!M257+Other!M131</f>
        <v>0</v>
      </c>
      <c r="N127" s="80">
        <f ca="1">Low_Press!N208+AdHoc!N152+AdHoc!N427+AdHoc!N702+Medium_Press!N201+High_Press!N131+Dom_Meters!N152+Dom_Meters!N406+Com_Meters!N152+Com_Meters!N441+Net_Reg!N173+Net_Reg!N427+Cust_Reg!N152+Cust_Reg!N427+CP_SCADA!N180+CP_SCADA!N483+Aug!N166+Aug!N448+Cust_Conn!N136+Cust_Conn!N393+Cust_Conn!N648+Cust_Conn!N903+New_Towns!N131+New_Towns!N386+New_Towns!N654+IT!N257+Other!N131</f>
        <v>47581.33242008675</v>
      </c>
      <c r="O127" s="80">
        <f ca="1">Low_Press!O208+AdHoc!O152+AdHoc!O427+AdHoc!O702+Medium_Press!O201+High_Press!O131+Dom_Meters!O152+Dom_Meters!O406+Com_Meters!O152+Com_Meters!O441+Net_Reg!O173+Net_Reg!O427+Cust_Reg!O152+Cust_Reg!O427+CP_SCADA!O180+CP_SCADA!O483+Aug!O166+Aug!O448+Cust_Conn!O136+Cust_Conn!O393+Cust_Conn!O648+Cust_Conn!O903+New_Towns!O131+New_Towns!O386+New_Towns!O654+IT!O257+Other!O131</f>
        <v>4660.4820196883675</v>
      </c>
      <c r="P127" s="80">
        <f ca="1">Low_Press!P208+AdHoc!P152+AdHoc!P427+AdHoc!P702+Medium_Press!P201+High_Press!P131+Dom_Meters!P152+Dom_Meters!P406+Com_Meters!P152+Com_Meters!P441+Net_Reg!P173+Net_Reg!P427+Cust_Reg!P152+Cust_Reg!P427+CP_SCADA!P180+CP_SCADA!P483+Aug!P166+Aug!P448+Cust_Conn!P136+Cust_Conn!P393+Cust_Conn!P648+Cust_Conn!P903+New_Towns!P131+New_Towns!P386+New_Towns!P654+IT!P257+Other!P131</f>
        <v>30908.806056650155</v>
      </c>
      <c r="Q127" s="80">
        <f ca="1">Low_Press!Q208+AdHoc!Q152+AdHoc!Q427+AdHoc!Q702+Medium_Press!Q201+High_Press!Q131+Dom_Meters!Q152+Dom_Meters!Q406+Com_Meters!Q152+Com_Meters!Q441+Net_Reg!Q173+Net_Reg!Q427+Cust_Reg!Q152+Cust_Reg!Q427+CP_SCADA!Q180+CP_SCADA!Q483+Aug!Q166+Aug!Q448+Cust_Conn!Q136+Cust_Conn!Q393+Cust_Conn!Q648+Cust_Conn!Q903+New_Towns!Q131+New_Towns!Q386+New_Towns!Q654+IT!Q257+Other!Q131</f>
        <v>28812.59205955478</v>
      </c>
      <c r="R127" s="80">
        <f ca="1">Low_Press!R208+AdHoc!R152+AdHoc!R427+AdHoc!R702+Medium_Press!R201+High_Press!R131+Dom_Meters!R152+Dom_Meters!R406+Com_Meters!R152+Com_Meters!R441+Net_Reg!R173+Net_Reg!R427+Cust_Reg!R152+Cust_Reg!R427+CP_SCADA!R180+CP_SCADA!R483+Aug!R166+Aug!R448+Cust_Conn!R136+Cust_Conn!R393+Cust_Conn!R648+Cust_Conn!R903+New_Towns!R131+New_Towns!R386+New_Towns!R654+IT!R257+Other!R131</f>
        <v>6858.6430745533899</v>
      </c>
      <c r="S127" s="80">
        <f ca="1">Low_Press!S208+AdHoc!S152+AdHoc!S427+AdHoc!S702+Medium_Press!S201+High_Press!S131+Dom_Meters!S152+Dom_Meters!S406+Com_Meters!S152+Com_Meters!S441+Net_Reg!S173+Net_Reg!S427+Cust_Reg!S152+Cust_Reg!S427+CP_SCADA!S180+CP_SCADA!S483+Aug!S166+Aug!S448+Cust_Conn!S136+Cust_Conn!S393+Cust_Conn!S648+Cust_Conn!S903+New_Towns!S131+New_Towns!S386+New_Towns!S654+IT!S257+Other!S131</f>
        <v>6645.0796553498249</v>
      </c>
      <c r="T127" s="80">
        <f ca="1">Low_Press!T208+AdHoc!T152+AdHoc!T427+AdHoc!T702+Medium_Press!T201+High_Press!T131+Dom_Meters!T152+Dom_Meters!T406+Com_Meters!T152+Com_Meters!T441+Net_Reg!T173+Net_Reg!T427+Cust_Reg!T152+Cust_Reg!T427+CP_SCADA!T180+CP_SCADA!T483+Aug!T166+Aug!T448+Cust_Conn!T136+Cust_Conn!T393+Cust_Conn!T648+Cust_Conn!T903+New_Towns!T131+New_Towns!T386+New_Towns!T654+IT!T257+Other!T131</f>
        <v>7641.6221450950043</v>
      </c>
    </row>
    <row r="128" spans="5:20" s="41" customFormat="1" outlineLevel="1">
      <c r="F128" s="251" t="str">
        <f>GC!C47</f>
        <v>Buildings</v>
      </c>
      <c r="G128" s="251"/>
      <c r="H128" s="251"/>
      <c r="I128" s="251"/>
      <c r="J128" s="80">
        <f ca="1">Low_Press!J209+AdHoc!J153+AdHoc!J428+AdHoc!J703+Medium_Press!J202+High_Press!J132+Dom_Meters!J153+Dom_Meters!J407+Com_Meters!J153+Com_Meters!J442+Net_Reg!J174+Net_Reg!J428+Cust_Reg!J153+Cust_Reg!J428+CP_SCADA!J181+CP_SCADA!J484+Aug!J167+Aug!J449+Cust_Conn!J137+Cust_Conn!J394+Cust_Conn!J649+Cust_Conn!J904+New_Towns!J132+New_Towns!J387+New_Towns!J655+IT!J258+Other!J132</f>
        <v>0</v>
      </c>
      <c r="K128" s="80">
        <f ca="1">Low_Press!K209+AdHoc!K153+AdHoc!K428+AdHoc!K703+Medium_Press!K202+High_Press!K132+Dom_Meters!K153+Dom_Meters!K407+Com_Meters!K153+Com_Meters!K442+Net_Reg!K174+Net_Reg!K428+Cust_Reg!K153+Cust_Reg!K428+CP_SCADA!K181+CP_SCADA!K484+Aug!K167+Aug!K449+Cust_Conn!K137+Cust_Conn!K394+Cust_Conn!K649+Cust_Conn!K904+New_Towns!K132+New_Towns!K387+New_Towns!K655+IT!K258+Other!K132</f>
        <v>0</v>
      </c>
      <c r="L128" s="80">
        <f ca="1">Low_Press!L209+AdHoc!L153+AdHoc!L428+AdHoc!L703+Medium_Press!L202+High_Press!L132+Dom_Meters!L153+Dom_Meters!L407+Com_Meters!L153+Com_Meters!L442+Net_Reg!L174+Net_Reg!L428+Cust_Reg!L153+Cust_Reg!L428+CP_SCADA!L181+CP_SCADA!L484+Aug!L167+Aug!L449+Cust_Conn!L137+Cust_Conn!L394+Cust_Conn!L649+Cust_Conn!L904+New_Towns!L132+New_Towns!L387+New_Towns!L655+IT!L258+Other!L132</f>
        <v>0</v>
      </c>
      <c r="M128" s="80">
        <f ca="1">Low_Press!M209+AdHoc!M153+AdHoc!M428+AdHoc!M703+Medium_Press!M202+High_Press!M132+Dom_Meters!M153+Dom_Meters!M407+Com_Meters!M153+Com_Meters!M442+Net_Reg!M174+Net_Reg!M428+Cust_Reg!M153+Cust_Reg!M428+CP_SCADA!M181+CP_SCADA!M484+Aug!M167+Aug!M449+Cust_Conn!M137+Cust_Conn!M394+Cust_Conn!M649+Cust_Conn!M904+New_Towns!M132+New_Towns!M387+New_Towns!M655+IT!M258+Other!M132</f>
        <v>0</v>
      </c>
      <c r="N128" s="80">
        <f ca="1">Low_Press!N209+AdHoc!N153+AdHoc!N428+AdHoc!N703+Medium_Press!N202+High_Press!N132+Dom_Meters!N153+Dom_Meters!N407+Com_Meters!N153+Com_Meters!N442+Net_Reg!N174+Net_Reg!N428+Cust_Reg!N153+Cust_Reg!N428+CP_SCADA!N181+CP_SCADA!N484+Aug!N167+Aug!N449+Cust_Conn!N137+Cust_Conn!N394+Cust_Conn!N649+Cust_Conn!N904+New_Towns!N132+New_Towns!N387+New_Towns!N655+IT!N258+Other!N132</f>
        <v>0</v>
      </c>
      <c r="O128" s="80">
        <f ca="1">Low_Press!O209+AdHoc!O153+AdHoc!O428+AdHoc!O703+Medium_Press!O202+High_Press!O132+Dom_Meters!O153+Dom_Meters!O407+Com_Meters!O153+Com_Meters!O442+Net_Reg!O174+Net_Reg!O428+Cust_Reg!O153+Cust_Reg!O428+CP_SCADA!O181+CP_SCADA!O484+Aug!O167+Aug!O449+Cust_Conn!O137+Cust_Conn!O394+Cust_Conn!O649+Cust_Conn!O904+New_Towns!O132+New_Towns!O387+New_Towns!O655+IT!O258+Other!O132</f>
        <v>0</v>
      </c>
      <c r="P128" s="80">
        <f ca="1">Low_Press!P209+AdHoc!P153+AdHoc!P428+AdHoc!P703+Medium_Press!P202+High_Press!P132+Dom_Meters!P153+Dom_Meters!P407+Com_Meters!P153+Com_Meters!P442+Net_Reg!P174+Net_Reg!P428+Cust_Reg!P153+Cust_Reg!P428+CP_SCADA!P181+CP_SCADA!P484+Aug!P167+Aug!P449+Cust_Conn!P137+Cust_Conn!P394+Cust_Conn!P649+Cust_Conn!P904+New_Towns!P132+New_Towns!P387+New_Towns!P655+IT!P258+Other!P132</f>
        <v>0</v>
      </c>
      <c r="Q128" s="80">
        <f ca="1">Low_Press!Q209+AdHoc!Q153+AdHoc!Q428+AdHoc!Q703+Medium_Press!Q202+High_Press!Q132+Dom_Meters!Q153+Dom_Meters!Q407+Com_Meters!Q153+Com_Meters!Q442+Net_Reg!Q174+Net_Reg!Q428+Cust_Reg!Q153+Cust_Reg!Q428+CP_SCADA!Q181+CP_SCADA!Q484+Aug!Q167+Aug!Q449+Cust_Conn!Q137+Cust_Conn!Q394+Cust_Conn!Q649+Cust_Conn!Q904+New_Towns!Q132+New_Towns!Q387+New_Towns!Q655+IT!Q258+Other!Q132</f>
        <v>0</v>
      </c>
      <c r="R128" s="80">
        <f ca="1">Low_Press!R209+AdHoc!R153+AdHoc!R428+AdHoc!R703+Medium_Press!R202+High_Press!R132+Dom_Meters!R153+Dom_Meters!R407+Com_Meters!R153+Com_Meters!R442+Net_Reg!R174+Net_Reg!R428+Cust_Reg!R153+Cust_Reg!R428+CP_SCADA!R181+CP_SCADA!R484+Aug!R167+Aug!R449+Cust_Conn!R137+Cust_Conn!R394+Cust_Conn!R649+Cust_Conn!R904+New_Towns!R132+New_Towns!R387+New_Towns!R655+IT!R258+Other!R132</f>
        <v>0</v>
      </c>
      <c r="S128" s="80">
        <f ca="1">Low_Press!S209+AdHoc!S153+AdHoc!S428+AdHoc!S703+Medium_Press!S202+High_Press!S132+Dom_Meters!S153+Dom_Meters!S407+Com_Meters!S153+Com_Meters!S442+Net_Reg!S174+Net_Reg!S428+Cust_Reg!S153+Cust_Reg!S428+CP_SCADA!S181+CP_SCADA!S484+Aug!S167+Aug!S449+Cust_Conn!S137+Cust_Conn!S394+Cust_Conn!S649+Cust_Conn!S904+New_Towns!S132+New_Towns!S387+New_Towns!S655+IT!S258+Other!S132</f>
        <v>0</v>
      </c>
      <c r="T128" s="80">
        <f ca="1">Low_Press!T209+AdHoc!T153+AdHoc!T428+AdHoc!T703+Medium_Press!T202+High_Press!T132+Dom_Meters!T153+Dom_Meters!T407+Com_Meters!T153+Com_Meters!T442+Net_Reg!T174+Net_Reg!T428+Cust_Reg!T153+Cust_Reg!T428+CP_SCADA!T181+CP_SCADA!T484+Aug!T167+Aug!T449+Cust_Conn!T137+Cust_Conn!T394+Cust_Conn!T649+Cust_Conn!T904+New_Towns!T132+New_Towns!T387+New_Towns!T655+IT!T258+Other!T132</f>
        <v>0</v>
      </c>
    </row>
    <row r="129" spans="5:20" s="41" customFormat="1" outlineLevel="1">
      <c r="F129" s="251" t="str">
        <f>GC!C48</f>
        <v>Other - IT</v>
      </c>
      <c r="G129" s="251"/>
      <c r="H129" s="251"/>
      <c r="I129" s="251"/>
      <c r="J129" s="80">
        <f ca="1">Low_Press!J210+AdHoc!J154+AdHoc!J429+AdHoc!J704+Medium_Press!J203+High_Press!J133+Dom_Meters!J154+Dom_Meters!J408+Com_Meters!J154+Com_Meters!J443+Net_Reg!J175+Net_Reg!J429+Cust_Reg!J154+Cust_Reg!J429+CP_SCADA!J182+CP_SCADA!J485+Aug!J168+Aug!J450+Cust_Conn!J138+Cust_Conn!J395+Cust_Conn!J650+Cust_Conn!J905+New_Towns!J133+New_Towns!J388+New_Towns!J656+IT!J259+Other!J133</f>
        <v>0</v>
      </c>
      <c r="K129" s="80">
        <f ca="1">Low_Press!K210+AdHoc!K154+AdHoc!K429+AdHoc!K704+Medium_Press!K203+High_Press!K133+Dom_Meters!K154+Dom_Meters!K408+Com_Meters!K154+Com_Meters!K443+Net_Reg!K175+Net_Reg!K429+Cust_Reg!K154+Cust_Reg!K429+CP_SCADA!K182+CP_SCADA!K485+Aug!K168+Aug!K450+Cust_Conn!K138+Cust_Conn!K395+Cust_Conn!K650+Cust_Conn!K905+New_Towns!K133+New_Towns!K388+New_Towns!K656+IT!K259+Other!K133</f>
        <v>0</v>
      </c>
      <c r="L129" s="80">
        <f ca="1">Low_Press!L210+AdHoc!L154+AdHoc!L429+AdHoc!L704+Medium_Press!L203+High_Press!L133+Dom_Meters!L154+Dom_Meters!L408+Com_Meters!L154+Com_Meters!L443+Net_Reg!L175+Net_Reg!L429+Cust_Reg!L154+Cust_Reg!L429+CP_SCADA!L182+CP_SCADA!L485+Aug!L168+Aug!L450+Cust_Conn!L138+Cust_Conn!L395+Cust_Conn!L650+Cust_Conn!L905+New_Towns!L133+New_Towns!L388+New_Towns!L656+IT!L259+Other!L133</f>
        <v>0</v>
      </c>
      <c r="M129" s="80">
        <f ca="1">Low_Press!M210+AdHoc!M154+AdHoc!M429+AdHoc!M704+Medium_Press!M203+High_Press!M133+Dom_Meters!M154+Dom_Meters!M408+Com_Meters!M154+Com_Meters!M443+Net_Reg!M175+Net_Reg!M429+Cust_Reg!M154+Cust_Reg!M429+CP_SCADA!M182+CP_SCADA!M485+Aug!M168+Aug!M450+Cust_Conn!M138+Cust_Conn!M395+Cust_Conn!M650+Cust_Conn!M905+New_Towns!M133+New_Towns!M388+New_Towns!M656+IT!M259+Other!M133</f>
        <v>0</v>
      </c>
      <c r="N129" s="80">
        <f ca="1">Low_Press!N210+AdHoc!N154+AdHoc!N429+AdHoc!N704+Medium_Press!N203+High_Press!N133+Dom_Meters!N154+Dom_Meters!N408+Com_Meters!N154+Com_Meters!N443+Net_Reg!N175+Net_Reg!N429+Cust_Reg!N154+Cust_Reg!N429+CP_SCADA!N182+CP_SCADA!N485+Aug!N168+Aug!N450+Cust_Conn!N138+Cust_Conn!N395+Cust_Conn!N650+Cust_Conn!N905+New_Towns!N133+New_Towns!N388+New_Towns!N656+IT!N259+Other!N133</f>
        <v>482892.13671703276</v>
      </c>
      <c r="O129" s="80">
        <f ca="1">Low_Press!O210+AdHoc!O154+AdHoc!O429+AdHoc!O704+Medium_Press!O203+High_Press!O133+Dom_Meters!O154+Dom_Meters!O408+Com_Meters!O154+Com_Meters!O443+Net_Reg!O175+Net_Reg!O429+Cust_Reg!O154+Cust_Reg!O429+CP_SCADA!O182+CP_SCADA!O485+Aug!O168+Aug!O450+Cust_Conn!O138+Cust_Conn!O395+Cust_Conn!O650+Cust_Conn!O905+New_Towns!O133+New_Towns!O388+New_Towns!O656+IT!O259+Other!O133</f>
        <v>240518.96307125362</v>
      </c>
      <c r="P129" s="80">
        <f ca="1">Low_Press!P210+AdHoc!P154+AdHoc!P429+AdHoc!P704+Medium_Press!P203+High_Press!P133+Dom_Meters!P154+Dom_Meters!P408+Com_Meters!P154+Com_Meters!P443+Net_Reg!P175+Net_Reg!P429+Cust_Reg!P154+Cust_Reg!P429+CP_SCADA!P182+CP_SCADA!P485+Aug!P168+Aug!P450+Cust_Conn!P138+Cust_Conn!P395+Cust_Conn!P650+Cust_Conn!P905+New_Towns!P133+New_Towns!P388+New_Towns!P656+IT!P259+Other!P133</f>
        <v>367837.92001283634</v>
      </c>
      <c r="Q129" s="80">
        <f ca="1">Low_Press!Q210+AdHoc!Q154+AdHoc!Q429+AdHoc!Q704+Medium_Press!Q203+High_Press!Q133+Dom_Meters!Q154+Dom_Meters!Q408+Com_Meters!Q154+Com_Meters!Q443+Net_Reg!Q175+Net_Reg!Q429+Cust_Reg!Q154+Cust_Reg!Q429+CP_SCADA!Q182+CP_SCADA!Q485+Aug!Q168+Aug!Q450+Cust_Conn!Q138+Cust_Conn!Q395+Cust_Conn!Q650+Cust_Conn!Q905+New_Towns!Q133+New_Towns!Q388+New_Towns!Q656+IT!Q259+Other!Q133</f>
        <v>367673.96792037977</v>
      </c>
      <c r="R129" s="80">
        <f ca="1">Low_Press!R210+AdHoc!R154+AdHoc!R429+AdHoc!R704+Medium_Press!R203+High_Press!R133+Dom_Meters!R154+Dom_Meters!R408+Com_Meters!R154+Com_Meters!R443+Net_Reg!R175+Net_Reg!R429+Cust_Reg!R154+Cust_Reg!R429+CP_SCADA!R182+CP_SCADA!R485+Aug!R168+Aug!R450+Cust_Conn!R138+Cust_Conn!R395+Cust_Conn!R650+Cust_Conn!R905+New_Towns!R133+New_Towns!R388+New_Towns!R656+IT!R259+Other!R133</f>
        <v>377607.76509437058</v>
      </c>
      <c r="S129" s="80">
        <f ca="1">Low_Press!S210+AdHoc!S154+AdHoc!S429+AdHoc!S704+Medium_Press!S203+High_Press!S133+Dom_Meters!S154+Dom_Meters!S408+Com_Meters!S154+Com_Meters!S443+Net_Reg!S175+Net_Reg!S429+Cust_Reg!S154+Cust_Reg!S429+CP_SCADA!S182+CP_SCADA!S485+Aug!S168+Aug!S450+Cust_Conn!S138+Cust_Conn!S395+Cust_Conn!S650+Cust_Conn!S905+New_Towns!S133+New_Towns!S388+New_Towns!S656+IT!S259+Other!S133</f>
        <v>367276.33089167107</v>
      </c>
      <c r="T129" s="80">
        <f ca="1">Low_Press!T210+AdHoc!T154+AdHoc!T429+AdHoc!T704+Medium_Press!T203+High_Press!T133+Dom_Meters!T154+Dom_Meters!T408+Com_Meters!T154+Com_Meters!T443+Net_Reg!T175+Net_Reg!T429+Cust_Reg!T154+Cust_Reg!T429+CP_SCADA!T182+CP_SCADA!T485+Aug!T168+Aug!T450+Cust_Conn!T138+Cust_Conn!T395+Cust_Conn!T650+Cust_Conn!T905+New_Towns!T133+New_Towns!T388+New_Towns!T656+IT!T259+Other!T133</f>
        <v>367076.9021378468</v>
      </c>
    </row>
    <row r="130" spans="5:20" s="41" customFormat="1" outlineLevel="1">
      <c r="F130" s="251" t="str">
        <f>GC!C49</f>
        <v>Other - non IT</v>
      </c>
      <c r="G130" s="251"/>
      <c r="H130" s="251"/>
      <c r="I130" s="251"/>
      <c r="J130" s="80">
        <f ca="1">Low_Press!J211+AdHoc!J155+AdHoc!J430+AdHoc!J705+Medium_Press!J204+High_Press!J134+Dom_Meters!J155+Dom_Meters!J409+Com_Meters!J155+Com_Meters!J444+Net_Reg!J176+Net_Reg!J430+Cust_Reg!J155+Cust_Reg!J430+CP_SCADA!J183+CP_SCADA!J486+Aug!J169+Aug!J451+Cust_Conn!J139+Cust_Conn!J396+Cust_Conn!J651+Cust_Conn!J906+New_Towns!J134+New_Towns!J389+New_Towns!J657+IT!J260+Other!J134</f>
        <v>0</v>
      </c>
      <c r="K130" s="80">
        <f ca="1">Low_Press!K211+AdHoc!K155+AdHoc!K430+AdHoc!K705+Medium_Press!K204+High_Press!K134+Dom_Meters!K155+Dom_Meters!K409+Com_Meters!K155+Com_Meters!K444+Net_Reg!K176+Net_Reg!K430+Cust_Reg!K155+Cust_Reg!K430+CP_SCADA!K183+CP_SCADA!K486+Aug!K169+Aug!K451+Cust_Conn!K139+Cust_Conn!K396+Cust_Conn!K651+Cust_Conn!K906+New_Towns!K134+New_Towns!K389+New_Towns!K657+IT!K260+Other!K134</f>
        <v>0</v>
      </c>
      <c r="L130" s="80">
        <f ca="1">Low_Press!L211+AdHoc!L155+AdHoc!L430+AdHoc!L705+Medium_Press!L204+High_Press!L134+Dom_Meters!L155+Dom_Meters!L409+Com_Meters!L155+Com_Meters!L444+Net_Reg!L176+Net_Reg!L430+Cust_Reg!L155+Cust_Reg!L430+CP_SCADA!L183+CP_SCADA!L486+Aug!L169+Aug!L451+Cust_Conn!L139+Cust_Conn!L396+Cust_Conn!L651+Cust_Conn!L906+New_Towns!L134+New_Towns!L389+New_Towns!L657+IT!L260+Other!L134</f>
        <v>0</v>
      </c>
      <c r="M130" s="80">
        <f ca="1">Low_Press!M211+AdHoc!M155+AdHoc!M430+AdHoc!M705+Medium_Press!M204+High_Press!M134+Dom_Meters!M155+Dom_Meters!M409+Com_Meters!M155+Com_Meters!M444+Net_Reg!M176+Net_Reg!M430+Cust_Reg!M155+Cust_Reg!M430+CP_SCADA!M183+CP_SCADA!M486+Aug!M169+Aug!M451+Cust_Conn!M139+Cust_Conn!M396+Cust_Conn!M651+Cust_Conn!M906+New_Towns!M134+New_Towns!M389+New_Towns!M657+IT!M260+Other!M134</f>
        <v>0</v>
      </c>
      <c r="N130" s="80">
        <f ca="1">Low_Press!N211+AdHoc!N155+AdHoc!N430+AdHoc!N705+Medium_Press!N204+High_Press!N134+Dom_Meters!N155+Dom_Meters!N409+Com_Meters!N155+Com_Meters!N444+Net_Reg!N176+Net_Reg!N430+Cust_Reg!N155+Cust_Reg!N430+CP_SCADA!N183+CP_SCADA!N486+Aug!N169+Aug!N451+Cust_Conn!N139+Cust_Conn!N396+Cust_Conn!N651+Cust_Conn!N906+New_Towns!N134+New_Towns!N389+New_Towns!N657+IT!N260+Other!N134</f>
        <v>0</v>
      </c>
      <c r="O130" s="80">
        <f ca="1">Low_Press!O211+AdHoc!O155+AdHoc!O430+AdHoc!O705+Medium_Press!O204+High_Press!O134+Dom_Meters!O155+Dom_Meters!O409+Com_Meters!O155+Com_Meters!O444+Net_Reg!O176+Net_Reg!O430+Cust_Reg!O155+Cust_Reg!O430+CP_SCADA!O183+CP_SCADA!O486+Aug!O169+Aug!O451+Cust_Conn!O139+Cust_Conn!O396+Cust_Conn!O651+Cust_Conn!O906+New_Towns!O134+New_Towns!O389+New_Towns!O657+IT!O260+Other!O134</f>
        <v>0</v>
      </c>
      <c r="P130" s="80">
        <f ca="1">Low_Press!P211+AdHoc!P155+AdHoc!P430+AdHoc!P705+Medium_Press!P204+High_Press!P134+Dom_Meters!P155+Dom_Meters!P409+Com_Meters!P155+Com_Meters!P444+Net_Reg!P176+Net_Reg!P430+Cust_Reg!P155+Cust_Reg!P430+CP_SCADA!P183+CP_SCADA!P486+Aug!P169+Aug!P451+Cust_Conn!P139+Cust_Conn!P396+Cust_Conn!P651+Cust_Conn!P906+New_Towns!P134+New_Towns!P389+New_Towns!P657+IT!P260+Other!P134</f>
        <v>14852.283429818906</v>
      </c>
      <c r="Q130" s="80">
        <f ca="1">Low_Press!Q211+AdHoc!Q155+AdHoc!Q430+AdHoc!Q705+Medium_Press!Q204+High_Press!Q134+Dom_Meters!Q155+Dom_Meters!Q409+Com_Meters!Q155+Com_Meters!Q444+Net_Reg!Q176+Net_Reg!Q430+Cust_Reg!Q155+Cust_Reg!Q430+CP_SCADA!Q183+CP_SCADA!Q486+Aug!Q169+Aug!Q451+Cust_Conn!Q139+Cust_Conn!Q396+Cust_Conn!Q651+Cust_Conn!Q906+New_Towns!Q134+New_Towns!Q389+New_Towns!Q657+IT!Q260+Other!Q134</f>
        <v>14471.482889640638</v>
      </c>
      <c r="R130" s="80">
        <f ca="1">Low_Press!R211+AdHoc!R155+AdHoc!R430+AdHoc!R705+Medium_Press!R204+High_Press!R134+Dom_Meters!R155+Dom_Meters!R409+Com_Meters!R155+Com_Meters!R444+Net_Reg!R176+Net_Reg!R430+Cust_Reg!R155+Cust_Reg!R430+CP_SCADA!R183+CP_SCADA!R486+Aug!R169+Aug!R451+Cust_Conn!R139+Cust_Conn!R396+Cust_Conn!R651+Cust_Conn!R906+New_Towns!R134+New_Towns!R389+New_Towns!R657+IT!R260+Other!R134</f>
        <v>14927.634926969144</v>
      </c>
      <c r="S130" s="80">
        <f ca="1">Low_Press!S211+AdHoc!S155+AdHoc!S430+AdHoc!S705+Medium_Press!S204+High_Press!S134+Dom_Meters!S155+Dom_Meters!S409+Com_Meters!S155+Com_Meters!S444+Net_Reg!S176+Net_Reg!S430+Cust_Reg!S155+Cust_Reg!S430+CP_SCADA!S183+CP_SCADA!S486+Aug!S169+Aug!S451+Cust_Conn!S139+Cust_Conn!S396+Cust_Conn!S651+Cust_Conn!S906+New_Towns!S134+New_Towns!S389+New_Towns!S657+IT!S260+Other!S134</f>
        <v>15862.448209544742</v>
      </c>
      <c r="T130" s="80">
        <f ca="1">Low_Press!T211+AdHoc!T155+AdHoc!T430+AdHoc!T705+Medium_Press!T204+High_Press!T134+Dom_Meters!T155+Dom_Meters!T409+Com_Meters!T155+Com_Meters!T444+Net_Reg!T176+Net_Reg!T430+Cust_Reg!T155+Cust_Reg!T430+CP_SCADA!T183+CP_SCADA!T486+Aug!T169+Aug!T451+Cust_Conn!T139+Cust_Conn!T396+Cust_Conn!T651+Cust_Conn!T906+New_Towns!T134+New_Towns!T389+New_Towns!T657+IT!T260+Other!T134</f>
        <v>14833.73710518442</v>
      </c>
    </row>
    <row r="131" spans="5:20" s="41" customFormat="1" outlineLevel="1">
      <c r="F131" s="251" t="str">
        <f>GC!C50</f>
        <v>Land</v>
      </c>
      <c r="G131" s="251"/>
      <c r="H131" s="251"/>
      <c r="I131" s="251"/>
      <c r="J131" s="80">
        <f ca="1">Low_Press!J212+AdHoc!J156+AdHoc!J431+AdHoc!J706+Medium_Press!J205+High_Press!J135+Dom_Meters!J156+Dom_Meters!J410+Com_Meters!J156+Com_Meters!J445+Net_Reg!J177+Net_Reg!J431+Cust_Reg!J156+Cust_Reg!J431+CP_SCADA!J184+CP_SCADA!J487+Aug!J170+Aug!J452+Cust_Conn!J140+Cust_Conn!J397+Cust_Conn!J652+Cust_Conn!J907+New_Towns!J135+New_Towns!J390+New_Towns!J658+IT!J261+Other!J135</f>
        <v>0</v>
      </c>
      <c r="K131" s="80">
        <f ca="1">Low_Press!K212+AdHoc!K156+AdHoc!K431+AdHoc!K706+Medium_Press!K205+High_Press!K135+Dom_Meters!K156+Dom_Meters!K410+Com_Meters!K156+Com_Meters!K445+Net_Reg!K177+Net_Reg!K431+Cust_Reg!K156+Cust_Reg!K431+CP_SCADA!K184+CP_SCADA!K487+Aug!K170+Aug!K452+Cust_Conn!K140+Cust_Conn!K397+Cust_Conn!K652+Cust_Conn!K907+New_Towns!K135+New_Towns!K390+New_Towns!K658+IT!K261+Other!K135</f>
        <v>0</v>
      </c>
      <c r="L131" s="80">
        <f ca="1">Low_Press!L212+AdHoc!L156+AdHoc!L431+AdHoc!L706+Medium_Press!L205+High_Press!L135+Dom_Meters!L156+Dom_Meters!L410+Com_Meters!L156+Com_Meters!L445+Net_Reg!L177+Net_Reg!L431+Cust_Reg!L156+Cust_Reg!L431+CP_SCADA!L184+CP_SCADA!L487+Aug!L170+Aug!L452+Cust_Conn!L140+Cust_Conn!L397+Cust_Conn!L652+Cust_Conn!L907+New_Towns!L135+New_Towns!L390+New_Towns!L658+IT!L261+Other!L135</f>
        <v>0</v>
      </c>
      <c r="M131" s="80">
        <f ca="1">Low_Press!M212+AdHoc!M156+AdHoc!M431+AdHoc!M706+Medium_Press!M205+High_Press!M135+Dom_Meters!M156+Dom_Meters!M410+Com_Meters!M156+Com_Meters!M445+Net_Reg!M177+Net_Reg!M431+Cust_Reg!M156+Cust_Reg!M431+CP_SCADA!M184+CP_SCADA!M487+Aug!M170+Aug!M452+Cust_Conn!M140+Cust_Conn!M397+Cust_Conn!M652+Cust_Conn!M907+New_Towns!M135+New_Towns!M390+New_Towns!M658+IT!M261+Other!M135</f>
        <v>0</v>
      </c>
      <c r="N131" s="80">
        <f ca="1">Low_Press!N212+AdHoc!N156+AdHoc!N431+AdHoc!N706+Medium_Press!N205+High_Press!N135+Dom_Meters!N156+Dom_Meters!N410+Com_Meters!N156+Com_Meters!N445+Net_Reg!N177+Net_Reg!N431+Cust_Reg!N156+Cust_Reg!N431+CP_SCADA!N184+CP_SCADA!N487+Aug!N170+Aug!N452+Cust_Conn!N140+Cust_Conn!N397+Cust_Conn!N652+Cust_Conn!N907+New_Towns!N135+New_Towns!N390+New_Towns!N658+IT!N261+Other!N135</f>
        <v>0</v>
      </c>
      <c r="O131" s="80">
        <f ca="1">Low_Press!O212+AdHoc!O156+AdHoc!O431+AdHoc!O706+Medium_Press!O205+High_Press!O135+Dom_Meters!O156+Dom_Meters!O410+Com_Meters!O156+Com_Meters!O445+Net_Reg!O177+Net_Reg!O431+Cust_Reg!O156+Cust_Reg!O431+CP_SCADA!O184+CP_SCADA!O487+Aug!O170+Aug!O452+Cust_Conn!O140+Cust_Conn!O397+Cust_Conn!O652+Cust_Conn!O907+New_Towns!O135+New_Towns!O390+New_Towns!O658+IT!O261+Other!O135</f>
        <v>0</v>
      </c>
      <c r="P131" s="80">
        <f ca="1">Low_Press!P212+AdHoc!P156+AdHoc!P431+AdHoc!P706+Medium_Press!P205+High_Press!P135+Dom_Meters!P156+Dom_Meters!P410+Com_Meters!P156+Com_Meters!P445+Net_Reg!P177+Net_Reg!P431+Cust_Reg!P156+Cust_Reg!P431+CP_SCADA!P184+CP_SCADA!P487+Aug!P170+Aug!P452+Cust_Conn!P140+Cust_Conn!P397+Cust_Conn!P652+Cust_Conn!P907+New_Towns!P135+New_Towns!P390+New_Towns!P658+IT!P261+Other!P135</f>
        <v>0</v>
      </c>
      <c r="Q131" s="80">
        <f ca="1">Low_Press!Q212+AdHoc!Q156+AdHoc!Q431+AdHoc!Q706+Medium_Press!Q205+High_Press!Q135+Dom_Meters!Q156+Dom_Meters!Q410+Com_Meters!Q156+Com_Meters!Q445+Net_Reg!Q177+Net_Reg!Q431+Cust_Reg!Q156+Cust_Reg!Q431+CP_SCADA!Q184+CP_SCADA!Q487+Aug!Q170+Aug!Q452+Cust_Conn!Q140+Cust_Conn!Q397+Cust_Conn!Q652+Cust_Conn!Q907+New_Towns!Q135+New_Towns!Q390+New_Towns!Q658+IT!Q261+Other!Q135</f>
        <v>0</v>
      </c>
      <c r="R131" s="80">
        <f ca="1">Low_Press!R212+AdHoc!R156+AdHoc!R431+AdHoc!R706+Medium_Press!R205+High_Press!R135+Dom_Meters!R156+Dom_Meters!R410+Com_Meters!R156+Com_Meters!R445+Net_Reg!R177+Net_Reg!R431+Cust_Reg!R156+Cust_Reg!R431+CP_SCADA!R184+CP_SCADA!R487+Aug!R170+Aug!R452+Cust_Conn!R140+Cust_Conn!R397+Cust_Conn!R652+Cust_Conn!R907+New_Towns!R135+New_Towns!R390+New_Towns!R658+IT!R261+Other!R135</f>
        <v>0</v>
      </c>
      <c r="S131" s="80">
        <f ca="1">Low_Press!S212+AdHoc!S156+AdHoc!S431+AdHoc!S706+Medium_Press!S205+High_Press!S135+Dom_Meters!S156+Dom_Meters!S410+Com_Meters!S156+Com_Meters!S445+Net_Reg!S177+Net_Reg!S431+Cust_Reg!S156+Cust_Reg!S431+CP_SCADA!S184+CP_SCADA!S487+Aug!S170+Aug!S452+Cust_Conn!S140+Cust_Conn!S397+Cust_Conn!S652+Cust_Conn!S907+New_Towns!S135+New_Towns!S390+New_Towns!S658+IT!S261+Other!S135</f>
        <v>0</v>
      </c>
      <c r="T131" s="80">
        <f ca="1">Low_Press!T212+AdHoc!T156+AdHoc!T431+AdHoc!T706+Medium_Press!T205+High_Press!T135+Dom_Meters!T156+Dom_Meters!T410+Com_Meters!T156+Com_Meters!T445+Net_Reg!T177+Net_Reg!T431+Cust_Reg!T156+Cust_Reg!T431+CP_SCADA!T184+CP_SCADA!T487+Aug!T170+Aug!T452+Cust_Conn!T140+Cust_Conn!T397+Cust_Conn!T652+Cust_Conn!T907+New_Towns!T135+New_Towns!T390+New_Towns!T658+IT!T261+Other!T135</f>
        <v>0</v>
      </c>
    </row>
    <row r="132" spans="5:20" s="41" customFormat="1" outlineLevel="1">
      <c r="F132" s="251" t="str">
        <f>GC!C51</f>
        <v>Capitalised Leases</v>
      </c>
      <c r="G132" s="251"/>
      <c r="H132" s="251"/>
      <c r="I132" s="251"/>
      <c r="J132" s="80">
        <f ca="1">Low_Press!J213+AdHoc!J157+AdHoc!J432+AdHoc!J707+Medium_Press!J206+High_Press!J136+Dom_Meters!J157+Dom_Meters!J411+Com_Meters!J157+Com_Meters!J446+Net_Reg!J178+Net_Reg!J432+Cust_Reg!J157+Cust_Reg!J432+CP_SCADA!J185+CP_SCADA!J488+Aug!J171+Aug!J453+Cust_Conn!J141+Cust_Conn!J398+Cust_Conn!J653+Cust_Conn!J908+New_Towns!J136+New_Towns!J391+New_Towns!J659+IT!J262+Other!J136</f>
        <v>0</v>
      </c>
      <c r="K132" s="80">
        <f ca="1">Low_Press!K213+AdHoc!K157+AdHoc!K432+AdHoc!K707+Medium_Press!K206+High_Press!K136+Dom_Meters!K157+Dom_Meters!K411+Com_Meters!K157+Com_Meters!K446+Net_Reg!K178+Net_Reg!K432+Cust_Reg!K157+Cust_Reg!K432+CP_SCADA!K185+CP_SCADA!K488+Aug!K171+Aug!K453+Cust_Conn!K141+Cust_Conn!K398+Cust_Conn!K653+Cust_Conn!K908+New_Towns!K136+New_Towns!K391+New_Towns!K659+IT!K262+Other!K136</f>
        <v>0</v>
      </c>
      <c r="L132" s="80">
        <f ca="1">Low_Press!L213+AdHoc!L157+AdHoc!L432+AdHoc!L707+Medium_Press!L206+High_Press!L136+Dom_Meters!L157+Dom_Meters!L411+Com_Meters!L157+Com_Meters!L446+Net_Reg!L178+Net_Reg!L432+Cust_Reg!L157+Cust_Reg!L432+CP_SCADA!L185+CP_SCADA!L488+Aug!L171+Aug!L453+Cust_Conn!L141+Cust_Conn!L398+Cust_Conn!L653+Cust_Conn!L908+New_Towns!L136+New_Towns!L391+New_Towns!L659+IT!L262+Other!L136</f>
        <v>0</v>
      </c>
      <c r="M132" s="80">
        <f ca="1">Low_Press!M213+AdHoc!M157+AdHoc!M432+AdHoc!M707+Medium_Press!M206+High_Press!M136+Dom_Meters!M157+Dom_Meters!M411+Com_Meters!M157+Com_Meters!M446+Net_Reg!M178+Net_Reg!M432+Cust_Reg!M157+Cust_Reg!M432+CP_SCADA!M185+CP_SCADA!M488+Aug!M171+Aug!M453+Cust_Conn!M141+Cust_Conn!M398+Cust_Conn!M653+Cust_Conn!M908+New_Towns!M136+New_Towns!M391+New_Towns!M659+IT!M262+Other!M136</f>
        <v>0</v>
      </c>
      <c r="N132" s="80">
        <f ca="1">Low_Press!N213+AdHoc!N157+AdHoc!N432+AdHoc!N707+Medium_Press!N206+High_Press!N136+Dom_Meters!N157+Dom_Meters!N411+Com_Meters!N157+Com_Meters!N446+Net_Reg!N178+Net_Reg!N432+Cust_Reg!N157+Cust_Reg!N432+CP_SCADA!N185+CP_SCADA!N488+Aug!N171+Aug!N453+Cust_Conn!N141+Cust_Conn!N398+Cust_Conn!N653+Cust_Conn!N908+New_Towns!N136+New_Towns!N391+New_Towns!N659+IT!N262+Other!N136</f>
        <v>0</v>
      </c>
      <c r="O132" s="80">
        <f ca="1">Low_Press!O213+AdHoc!O157+AdHoc!O432+AdHoc!O707+Medium_Press!O206+High_Press!O136+Dom_Meters!O157+Dom_Meters!O411+Com_Meters!O157+Com_Meters!O446+Net_Reg!O178+Net_Reg!O432+Cust_Reg!O157+Cust_Reg!O432+CP_SCADA!O185+CP_SCADA!O488+Aug!O171+Aug!O453+Cust_Conn!O141+Cust_Conn!O398+Cust_Conn!O653+Cust_Conn!O908+New_Towns!O136+New_Towns!O391+New_Towns!O659+IT!O262+Other!O136</f>
        <v>0</v>
      </c>
      <c r="P132" s="80">
        <f ca="1">Low_Press!P213+AdHoc!P157+AdHoc!P432+AdHoc!P707+Medium_Press!P206+High_Press!P136+Dom_Meters!P157+Dom_Meters!P411+Com_Meters!P157+Com_Meters!P446+Net_Reg!P178+Net_Reg!P432+Cust_Reg!P157+Cust_Reg!P432+CP_SCADA!P185+CP_SCADA!P488+Aug!P171+Aug!P453+Cust_Conn!P141+Cust_Conn!P398+Cust_Conn!P653+Cust_Conn!P908+New_Towns!P136+New_Towns!P391+New_Towns!P659+IT!P262+Other!P136</f>
        <v>0</v>
      </c>
      <c r="Q132" s="80">
        <f ca="1">Low_Press!Q213+AdHoc!Q157+AdHoc!Q432+AdHoc!Q707+Medium_Press!Q206+High_Press!Q136+Dom_Meters!Q157+Dom_Meters!Q411+Com_Meters!Q157+Com_Meters!Q446+Net_Reg!Q178+Net_Reg!Q432+Cust_Reg!Q157+Cust_Reg!Q432+CP_SCADA!Q185+CP_SCADA!Q488+Aug!Q171+Aug!Q453+Cust_Conn!Q141+Cust_Conn!Q398+Cust_Conn!Q653+Cust_Conn!Q908+New_Towns!Q136+New_Towns!Q391+New_Towns!Q659+IT!Q262+Other!Q136</f>
        <v>0</v>
      </c>
      <c r="R132" s="80">
        <f ca="1">Low_Press!R213+AdHoc!R157+AdHoc!R432+AdHoc!R707+Medium_Press!R206+High_Press!R136+Dom_Meters!R157+Dom_Meters!R411+Com_Meters!R157+Com_Meters!R446+Net_Reg!R178+Net_Reg!R432+Cust_Reg!R157+Cust_Reg!R432+CP_SCADA!R185+CP_SCADA!R488+Aug!R171+Aug!R453+Cust_Conn!R141+Cust_Conn!R398+Cust_Conn!R653+Cust_Conn!R908+New_Towns!R136+New_Towns!R391+New_Towns!R659+IT!R262+Other!R136</f>
        <v>0</v>
      </c>
      <c r="S132" s="80">
        <f ca="1">Low_Press!S213+AdHoc!S157+AdHoc!S432+AdHoc!S707+Medium_Press!S206+High_Press!S136+Dom_Meters!S157+Dom_Meters!S411+Com_Meters!S157+Com_Meters!S446+Net_Reg!S178+Net_Reg!S432+Cust_Reg!S157+Cust_Reg!S432+CP_SCADA!S185+CP_SCADA!S488+Aug!S171+Aug!S453+Cust_Conn!S141+Cust_Conn!S398+Cust_Conn!S653+Cust_Conn!S908+New_Towns!S136+New_Towns!S391+New_Towns!S659+IT!S262+Other!S136</f>
        <v>0</v>
      </c>
      <c r="T132" s="80">
        <f ca="1">Low_Press!T213+AdHoc!T157+AdHoc!T432+AdHoc!T707+Medium_Press!T206+High_Press!T136+Dom_Meters!T157+Dom_Meters!T411+Com_Meters!T157+Com_Meters!T446+Net_Reg!T178+Net_Reg!T432+Cust_Reg!T157+Cust_Reg!T432+CP_SCADA!T185+CP_SCADA!T488+Aug!T171+Aug!T453+Cust_Conn!T141+Cust_Conn!T398+Cust_Conn!T653+Cust_Conn!T908+New_Towns!T136+New_Towns!T391+New_Towns!T659+IT!T262+Other!T136</f>
        <v>0</v>
      </c>
    </row>
    <row r="133" spans="5:20" s="41" customFormat="1" outlineLevel="1">
      <c r="F133" s="251" t="str">
        <f>GC!C52</f>
        <v>Transmission pipelines - post 1998</v>
      </c>
      <c r="G133" s="251"/>
      <c r="H133" s="251"/>
      <c r="I133" s="251"/>
      <c r="J133" s="80">
        <f ca="1">Low_Press!J214+AdHoc!J158+AdHoc!J433+AdHoc!J708+Medium_Press!J207+High_Press!J137+Dom_Meters!J158+Dom_Meters!J412+Com_Meters!J158+Com_Meters!J447+Net_Reg!J179+Net_Reg!J433+Cust_Reg!J158+Cust_Reg!J433+CP_SCADA!J186+CP_SCADA!J489+Aug!J172+Aug!J454+Cust_Conn!J142+Cust_Conn!J399+Cust_Conn!J654+Cust_Conn!J909+New_Towns!J137+New_Towns!J392+New_Towns!J660+IT!J263+Other!J137</f>
        <v>0</v>
      </c>
      <c r="K133" s="80">
        <f ca="1">Low_Press!K214+AdHoc!K158+AdHoc!K433+AdHoc!K708+Medium_Press!K207+High_Press!K137+Dom_Meters!K158+Dom_Meters!K412+Com_Meters!K158+Com_Meters!K447+Net_Reg!K179+Net_Reg!K433+Cust_Reg!K158+Cust_Reg!K433+CP_SCADA!K186+CP_SCADA!K489+Aug!K172+Aug!K454+Cust_Conn!K142+Cust_Conn!K399+Cust_Conn!K654+Cust_Conn!K909+New_Towns!K137+New_Towns!K392+New_Towns!K660+IT!K263+Other!K137</f>
        <v>0</v>
      </c>
      <c r="L133" s="80">
        <f ca="1">Low_Press!L214+AdHoc!L158+AdHoc!L433+AdHoc!L708+Medium_Press!L207+High_Press!L137+Dom_Meters!L158+Dom_Meters!L412+Com_Meters!L158+Com_Meters!L447+Net_Reg!L179+Net_Reg!L433+Cust_Reg!L158+Cust_Reg!L433+CP_SCADA!L186+CP_SCADA!L489+Aug!L172+Aug!L454+Cust_Conn!L142+Cust_Conn!L399+Cust_Conn!L654+Cust_Conn!L909+New_Towns!L137+New_Towns!L392+New_Towns!L660+IT!L263+Other!L137</f>
        <v>0</v>
      </c>
      <c r="M133" s="80">
        <f ca="1">Low_Press!M214+AdHoc!M158+AdHoc!M433+AdHoc!M708+Medium_Press!M207+High_Press!M137+Dom_Meters!M158+Dom_Meters!M412+Com_Meters!M158+Com_Meters!M447+Net_Reg!M179+Net_Reg!M433+Cust_Reg!M158+Cust_Reg!M433+CP_SCADA!M186+CP_SCADA!M489+Aug!M172+Aug!M454+Cust_Conn!M142+Cust_Conn!M399+Cust_Conn!M654+Cust_Conn!M909+New_Towns!M137+New_Towns!M392+New_Towns!M660+IT!M263+Other!M137</f>
        <v>0</v>
      </c>
      <c r="N133" s="80">
        <f ca="1">Low_Press!N214+AdHoc!N158+AdHoc!N433+AdHoc!N708+Medium_Press!N207+High_Press!N137+Dom_Meters!N158+Dom_Meters!N412+Com_Meters!N158+Com_Meters!N447+Net_Reg!N179+Net_Reg!N433+Cust_Reg!N158+Cust_Reg!N433+CP_SCADA!N186+CP_SCADA!N489+Aug!N172+Aug!N454+Cust_Conn!N142+Cust_Conn!N399+Cust_Conn!N654+Cust_Conn!N909+New_Towns!N137+New_Towns!N392+New_Towns!N660+IT!N263+Other!N137</f>
        <v>24818.951773316432</v>
      </c>
      <c r="O133" s="80">
        <f ca="1">Low_Press!O214+AdHoc!O158+AdHoc!O433+AdHoc!O708+Medium_Press!O207+High_Press!O137+Dom_Meters!O158+Dom_Meters!O412+Com_Meters!O158+Com_Meters!O447+Net_Reg!O179+Net_Reg!O433+Cust_Reg!O158+Cust_Reg!O433+CP_SCADA!O186+CP_SCADA!O489+Aug!O172+Aug!O454+Cust_Conn!O142+Cust_Conn!O399+Cust_Conn!O654+Cust_Conn!O909+New_Towns!O137+New_Towns!O392+New_Towns!O660+IT!O263+Other!O137</f>
        <v>8322.7216732705492</v>
      </c>
      <c r="P133" s="80">
        <f ca="1">Low_Press!P214+AdHoc!P158+AdHoc!P433+AdHoc!P708+Medium_Press!P207+High_Press!P137+Dom_Meters!P158+Dom_Meters!P412+Com_Meters!P158+Com_Meters!P447+Net_Reg!P179+Net_Reg!P433+Cust_Reg!P158+Cust_Reg!P433+CP_SCADA!P186+CP_SCADA!P489+Aug!P172+Aug!P454+Cust_Conn!P142+Cust_Conn!P399+Cust_Conn!P654+Cust_Conn!P909+New_Towns!P137+New_Towns!P392+New_Towns!P660+IT!P263+Other!P137</f>
        <v>14562.079052120071</v>
      </c>
      <c r="Q133" s="80">
        <f ca="1">Low_Press!Q214+AdHoc!Q158+AdHoc!Q433+AdHoc!Q708+Medium_Press!Q207+High_Press!Q137+Dom_Meters!Q158+Dom_Meters!Q412+Com_Meters!Q158+Com_Meters!Q447+Net_Reg!Q179+Net_Reg!Q433+Cust_Reg!Q158+Cust_Reg!Q433+CP_SCADA!Q186+CP_SCADA!Q489+Aug!Q172+Aug!Q454+Cust_Conn!Q142+Cust_Conn!Q399+Cust_Conn!Q654+Cust_Conn!Q909+New_Towns!Q137+New_Towns!Q392+New_Towns!Q660+IT!Q263+Other!Q137</f>
        <v>43795.37229537854</v>
      </c>
      <c r="R133" s="80">
        <f ca="1">Low_Press!R214+AdHoc!R158+AdHoc!R433+AdHoc!R708+Medium_Press!R207+High_Press!R137+Dom_Meters!R158+Dom_Meters!R412+Com_Meters!R158+Com_Meters!R447+Net_Reg!R179+Net_Reg!R433+Cust_Reg!R158+Cust_Reg!R433+CP_SCADA!R186+CP_SCADA!R489+Aug!R172+Aug!R454+Cust_Conn!R142+Cust_Conn!R399+Cust_Conn!R654+Cust_Conn!R909+New_Towns!R137+New_Towns!R392+New_Towns!R660+IT!R263+Other!R137</f>
        <v>131708.37422641565</v>
      </c>
      <c r="S133" s="80">
        <f ca="1">Low_Press!S214+AdHoc!S158+AdHoc!S433+AdHoc!S708+Medium_Press!S207+High_Press!S137+Dom_Meters!S158+Dom_Meters!S412+Com_Meters!S158+Com_Meters!S447+Net_Reg!S179+Net_Reg!S433+Cust_Reg!S158+Cust_Reg!S433+CP_SCADA!S186+CP_SCADA!S489+Aug!S172+Aug!S454+Cust_Conn!S142+Cust_Conn!S399+Cust_Conn!S654+Cust_Conn!S909+New_Towns!S137+New_Towns!S392+New_Towns!S660+IT!S263+Other!S137</f>
        <v>20456.054357236866</v>
      </c>
      <c r="T133" s="80">
        <f ca="1">Low_Press!T214+AdHoc!T158+AdHoc!T433+AdHoc!T708+Medium_Press!T207+High_Press!T137+Dom_Meters!T158+Dom_Meters!T412+Com_Meters!T158+Com_Meters!T447+Net_Reg!T179+Net_Reg!T433+Cust_Reg!T158+Cust_Reg!T433+CP_SCADA!T186+CP_SCADA!T489+Aug!T172+Aug!T454+Cust_Conn!T142+Cust_Conn!T399+Cust_Conn!T654+Cust_Conn!T909+New_Towns!T137+New_Towns!T392+New_Towns!T660+IT!T263+Other!T137</f>
        <v>3.5979281785788157</v>
      </c>
    </row>
    <row r="134" spans="5:20" s="41" customFormat="1" outlineLevel="1">
      <c r="F134" s="251" t="str">
        <f>GC!C53</f>
        <v>Distribution pipelines - post 1998</v>
      </c>
      <c r="G134" s="251"/>
      <c r="H134" s="251"/>
      <c r="I134" s="251"/>
      <c r="J134" s="80">
        <f ca="1">Low_Press!J215+AdHoc!J159+AdHoc!J434+AdHoc!J709+Medium_Press!J208+High_Press!J138+Dom_Meters!J159+Dom_Meters!J413+Com_Meters!J159+Com_Meters!J448+Net_Reg!J180+Net_Reg!J434+Cust_Reg!J159+Cust_Reg!J434+CP_SCADA!J187+CP_SCADA!J490+Aug!J173+Aug!J455+Cust_Conn!J143+Cust_Conn!J400+Cust_Conn!J655+Cust_Conn!J910+New_Towns!J138+New_Towns!J393+New_Towns!J661+IT!J264+Other!J138</f>
        <v>0</v>
      </c>
      <c r="K134" s="80">
        <f ca="1">Low_Press!K215+AdHoc!K159+AdHoc!K434+AdHoc!K709+Medium_Press!K208+High_Press!K138+Dom_Meters!K159+Dom_Meters!K413+Com_Meters!K159+Com_Meters!K448+Net_Reg!K180+Net_Reg!K434+Cust_Reg!K159+Cust_Reg!K434+CP_SCADA!K187+CP_SCADA!K490+Aug!K173+Aug!K455+Cust_Conn!K143+Cust_Conn!K400+Cust_Conn!K655+Cust_Conn!K910+New_Towns!K138+New_Towns!K393+New_Towns!K661+IT!K264+Other!K138</f>
        <v>0</v>
      </c>
      <c r="L134" s="80">
        <f ca="1">Low_Press!L215+AdHoc!L159+AdHoc!L434+AdHoc!L709+Medium_Press!L208+High_Press!L138+Dom_Meters!L159+Dom_Meters!L413+Com_Meters!L159+Com_Meters!L448+Net_Reg!L180+Net_Reg!L434+Cust_Reg!L159+Cust_Reg!L434+CP_SCADA!L187+CP_SCADA!L490+Aug!L173+Aug!L455+Cust_Conn!L143+Cust_Conn!L400+Cust_Conn!L655+Cust_Conn!L910+New_Towns!L138+New_Towns!L393+New_Towns!L661+IT!L264+Other!L138</f>
        <v>0</v>
      </c>
      <c r="M134" s="80">
        <f ca="1">Low_Press!M215+AdHoc!M159+AdHoc!M434+AdHoc!M709+Medium_Press!M208+High_Press!M138+Dom_Meters!M159+Dom_Meters!M413+Com_Meters!M159+Com_Meters!M448+Net_Reg!M180+Net_Reg!M434+Cust_Reg!M159+Cust_Reg!M434+CP_SCADA!M187+CP_SCADA!M490+Aug!M173+Aug!M455+Cust_Conn!M143+Cust_Conn!M400+Cust_Conn!M655+Cust_Conn!M910+New_Towns!M138+New_Towns!M393+New_Towns!M661+IT!M264+Other!M138</f>
        <v>0</v>
      </c>
      <c r="N134" s="80">
        <f ca="1">Low_Press!N215+AdHoc!N159+AdHoc!N434+AdHoc!N709+Medium_Press!N208+High_Press!N138+Dom_Meters!N159+Dom_Meters!N413+Com_Meters!N159+Com_Meters!N448+Net_Reg!N180+Net_Reg!N434+Cust_Reg!N159+Cust_Reg!N434+CP_SCADA!N187+CP_SCADA!N490+Aug!N173+Aug!N455+Cust_Conn!N143+Cust_Conn!N400+Cust_Conn!N655+Cust_Conn!N910+New_Towns!N138+New_Towns!N393+New_Towns!N661+IT!N264+Other!N138</f>
        <v>968580.9352743359</v>
      </c>
      <c r="O134" s="80">
        <f ca="1">Low_Press!O215+AdHoc!O159+AdHoc!O434+AdHoc!O709+Medium_Press!O208+High_Press!O138+Dom_Meters!O159+Dom_Meters!O413+Com_Meters!O159+Com_Meters!O448+Net_Reg!O180+Net_Reg!O434+Cust_Reg!O159+Cust_Reg!O434+CP_SCADA!O187+CP_SCADA!O490+Aug!O173+Aug!O455+Cust_Conn!O143+Cust_Conn!O400+Cust_Conn!O655+Cust_Conn!O910+New_Towns!O138+New_Towns!O393+New_Towns!O661+IT!O264+Other!O138</f>
        <v>648662.52527929994</v>
      </c>
      <c r="P134" s="80">
        <f ca="1">Low_Press!P215+AdHoc!P159+AdHoc!P434+AdHoc!P709+Medium_Press!P208+High_Press!P138+Dom_Meters!P159+Dom_Meters!P413+Com_Meters!P159+Com_Meters!P448+Net_Reg!P180+Net_Reg!P434+Cust_Reg!P159+Cust_Reg!P434+CP_SCADA!P187+CP_SCADA!P490+Aug!P173+Aug!P455+Cust_Conn!P143+Cust_Conn!P400+Cust_Conn!P655+Cust_Conn!P910+New_Towns!P138+New_Towns!P393+New_Towns!P661+IT!P264+Other!P138</f>
        <v>810124.14192902157</v>
      </c>
      <c r="Q134" s="80">
        <f ca="1">Low_Press!Q215+AdHoc!Q159+AdHoc!Q434+AdHoc!Q709+Medium_Press!Q208+High_Press!Q138+Dom_Meters!Q159+Dom_Meters!Q413+Com_Meters!Q159+Com_Meters!Q448+Net_Reg!Q180+Net_Reg!Q434+Cust_Reg!Q159+Cust_Reg!Q434+CP_SCADA!Q187+CP_SCADA!Q490+Aug!Q173+Aug!Q455+Cust_Conn!Q143+Cust_Conn!Q400+Cust_Conn!Q655+Cust_Conn!Q910+New_Towns!Q138+New_Towns!Q393+New_Towns!Q661+IT!Q264+Other!Q138</f>
        <v>757618.2613768701</v>
      </c>
      <c r="R134" s="80">
        <f ca="1">Low_Press!R215+AdHoc!R159+AdHoc!R434+AdHoc!R709+Medium_Press!R208+High_Press!R138+Dom_Meters!R159+Dom_Meters!R413+Com_Meters!R159+Com_Meters!R448+Net_Reg!R180+Net_Reg!R434+Cust_Reg!R159+Cust_Reg!R434+CP_SCADA!R187+CP_SCADA!R490+Aug!R173+Aug!R455+Cust_Conn!R143+Cust_Conn!R400+Cust_Conn!R655+Cust_Conn!R910+New_Towns!R138+New_Towns!R393+New_Towns!R661+IT!R264+Other!R138</f>
        <v>699909.31047104311</v>
      </c>
      <c r="S134" s="80">
        <f ca="1">Low_Press!S215+AdHoc!S159+AdHoc!S434+AdHoc!S709+Medium_Press!S208+High_Press!S138+Dom_Meters!S159+Dom_Meters!S413+Com_Meters!S159+Com_Meters!S448+Net_Reg!S180+Net_Reg!S434+Cust_Reg!S159+Cust_Reg!S434+CP_SCADA!S187+CP_SCADA!S490+Aug!S173+Aug!S455+Cust_Conn!S143+Cust_Conn!S400+Cust_Conn!S655+Cust_Conn!S910+New_Towns!S138+New_Towns!S393+New_Towns!S661+IT!S264+Other!S138</f>
        <v>807408.9179736349</v>
      </c>
      <c r="T134" s="80">
        <f ca="1">Low_Press!T215+AdHoc!T159+AdHoc!T434+AdHoc!T709+Medium_Press!T208+High_Press!T138+Dom_Meters!T159+Dom_Meters!T413+Com_Meters!T159+Com_Meters!T448+Net_Reg!T180+Net_Reg!T434+Cust_Reg!T159+Cust_Reg!T434+CP_SCADA!T187+CP_SCADA!T490+Aug!T173+Aug!T455+Cust_Conn!T143+Cust_Conn!T400+Cust_Conn!T655+Cust_Conn!T910+New_Towns!T138+New_Towns!T393+New_Towns!T661+IT!T264+Other!T138</f>
        <v>728310.03033347451</v>
      </c>
    </row>
    <row r="135" spans="5:20" s="41" customFormat="1" outlineLevel="1">
      <c r="F135" s="251" t="str">
        <f>GC!C54</f>
        <v>Service pipes - post 1998</v>
      </c>
      <c r="G135" s="251"/>
      <c r="H135" s="251"/>
      <c r="I135" s="251"/>
      <c r="J135" s="80">
        <f ca="1">Low_Press!J216+AdHoc!J160+AdHoc!J435+AdHoc!J710+Medium_Press!J209+High_Press!J139+Dom_Meters!J160+Dom_Meters!J414+Com_Meters!J160+Com_Meters!J449+Net_Reg!J181+Net_Reg!J435+Cust_Reg!J160+Cust_Reg!J435+CP_SCADA!J188+CP_SCADA!J491+Aug!J174+Aug!J456+Cust_Conn!J144+Cust_Conn!J401+Cust_Conn!J656+Cust_Conn!J911+New_Towns!J139+New_Towns!J394+New_Towns!J662+IT!J265+Other!J139</f>
        <v>0</v>
      </c>
      <c r="K135" s="80">
        <f ca="1">Low_Press!K216+AdHoc!K160+AdHoc!K435+AdHoc!K710+Medium_Press!K209+High_Press!K139+Dom_Meters!K160+Dom_Meters!K414+Com_Meters!K160+Com_Meters!K449+Net_Reg!K181+Net_Reg!K435+Cust_Reg!K160+Cust_Reg!K435+CP_SCADA!K188+CP_SCADA!K491+Aug!K174+Aug!K456+Cust_Conn!K144+Cust_Conn!K401+Cust_Conn!K656+Cust_Conn!K911+New_Towns!K139+New_Towns!K394+New_Towns!K662+IT!K265+Other!K139</f>
        <v>0</v>
      </c>
      <c r="L135" s="80">
        <f ca="1">Low_Press!L216+AdHoc!L160+AdHoc!L435+AdHoc!L710+Medium_Press!L209+High_Press!L139+Dom_Meters!L160+Dom_Meters!L414+Com_Meters!L160+Com_Meters!L449+Net_Reg!L181+Net_Reg!L435+Cust_Reg!L160+Cust_Reg!L435+CP_SCADA!L188+CP_SCADA!L491+Aug!L174+Aug!L456+Cust_Conn!L144+Cust_Conn!L401+Cust_Conn!L656+Cust_Conn!L911+New_Towns!L139+New_Towns!L394+New_Towns!L662+IT!L265+Other!L139</f>
        <v>0</v>
      </c>
      <c r="M135" s="80">
        <f ca="1">Low_Press!M216+AdHoc!M160+AdHoc!M435+AdHoc!M710+Medium_Press!M209+High_Press!M139+Dom_Meters!M160+Dom_Meters!M414+Com_Meters!M160+Com_Meters!M449+Net_Reg!M181+Net_Reg!M435+Cust_Reg!M160+Cust_Reg!M435+CP_SCADA!M188+CP_SCADA!M491+Aug!M174+Aug!M456+Cust_Conn!M144+Cust_Conn!M401+Cust_Conn!M656+Cust_Conn!M911+New_Towns!M139+New_Towns!M394+New_Towns!M662+IT!M265+Other!M139</f>
        <v>0</v>
      </c>
      <c r="N135" s="80">
        <f ca="1">Low_Press!N216+AdHoc!N160+AdHoc!N435+AdHoc!N710+Medium_Press!N209+High_Press!N139+Dom_Meters!N160+Dom_Meters!N414+Com_Meters!N160+Com_Meters!N449+Net_Reg!N181+Net_Reg!N435+Cust_Reg!N160+Cust_Reg!N435+CP_SCADA!N188+CP_SCADA!N491+Aug!N174+Aug!N456+Cust_Conn!N144+Cust_Conn!N401+Cust_Conn!N656+Cust_Conn!N911+New_Towns!N139+New_Towns!N394+New_Towns!N662+IT!N265+Other!N139</f>
        <v>1520952.2937126409</v>
      </c>
      <c r="O135" s="80">
        <f ca="1">Low_Press!O216+AdHoc!O160+AdHoc!O435+AdHoc!O710+Medium_Press!O209+High_Press!O139+Dom_Meters!O160+Dom_Meters!O414+Com_Meters!O160+Com_Meters!O449+Net_Reg!O181+Net_Reg!O435+Cust_Reg!O160+Cust_Reg!O435+CP_SCADA!O188+CP_SCADA!O491+Aug!O174+Aug!O456+Cust_Conn!O144+Cust_Conn!O401+Cust_Conn!O656+Cust_Conn!O911+New_Towns!O139+New_Towns!O394+New_Towns!O662+IT!O265+Other!O139</f>
        <v>799764.57565100119</v>
      </c>
      <c r="P135" s="80">
        <f ca="1">Low_Press!P216+AdHoc!P160+AdHoc!P435+AdHoc!P710+Medium_Press!P209+High_Press!P139+Dom_Meters!P160+Dom_Meters!P414+Com_Meters!P160+Com_Meters!P449+Net_Reg!P181+Net_Reg!P435+Cust_Reg!P160+Cust_Reg!P435+CP_SCADA!P188+CP_SCADA!P491+Aug!P174+Aug!P456+Cust_Conn!P144+Cust_Conn!P401+Cust_Conn!P656+Cust_Conn!P911+New_Towns!P139+New_Towns!P394+New_Towns!P662+IT!P265+Other!P139</f>
        <v>1035505.6941397458</v>
      </c>
      <c r="Q135" s="80">
        <f ca="1">Low_Press!Q216+AdHoc!Q160+AdHoc!Q435+AdHoc!Q710+Medium_Press!Q209+High_Press!Q139+Dom_Meters!Q160+Dom_Meters!Q414+Com_Meters!Q160+Com_Meters!Q449+Net_Reg!Q181+Net_Reg!Q435+Cust_Reg!Q160+Cust_Reg!Q435+CP_SCADA!Q188+CP_SCADA!Q491+Aug!Q174+Aug!Q456+Cust_Conn!Q144+Cust_Conn!Q401+Cust_Conn!Q656+Cust_Conn!Q911+New_Towns!Q139+New_Towns!Q394+New_Towns!Q662+IT!Q265+Other!Q139</f>
        <v>995037.32472374814</v>
      </c>
      <c r="R135" s="80">
        <f ca="1">Low_Press!R216+AdHoc!R160+AdHoc!R435+AdHoc!R710+Medium_Press!R209+High_Press!R139+Dom_Meters!R160+Dom_Meters!R414+Com_Meters!R160+Com_Meters!R449+Net_Reg!R181+Net_Reg!R435+Cust_Reg!R160+Cust_Reg!R435+CP_SCADA!R188+CP_SCADA!R491+Aug!R174+Aug!R456+Cust_Conn!R144+Cust_Conn!R401+Cust_Conn!R656+Cust_Conn!R911+New_Towns!R139+New_Towns!R394+New_Towns!R662+IT!R265+Other!R139</f>
        <v>1011838.8163304961</v>
      </c>
      <c r="S135" s="80">
        <f ca="1">Low_Press!S216+AdHoc!S160+AdHoc!S435+AdHoc!S710+Medium_Press!S209+High_Press!S139+Dom_Meters!S160+Dom_Meters!S414+Com_Meters!S160+Com_Meters!S449+Net_Reg!S181+Net_Reg!S435+Cust_Reg!S160+Cust_Reg!S435+CP_SCADA!S188+CP_SCADA!S491+Aug!S174+Aug!S456+Cust_Conn!S144+Cust_Conn!S401+Cust_Conn!S656+Cust_Conn!S911+New_Towns!S139+New_Towns!S394+New_Towns!S662+IT!S265+Other!S139</f>
        <v>1102952.9695015978</v>
      </c>
      <c r="T135" s="80">
        <f ca="1">Low_Press!T216+AdHoc!T160+AdHoc!T435+AdHoc!T710+Medium_Press!T209+High_Press!T139+Dom_Meters!T160+Dom_Meters!T414+Com_Meters!T160+Com_Meters!T449+Net_Reg!T181+Net_Reg!T435+Cust_Reg!T160+Cust_Reg!T435+CP_SCADA!T188+CP_SCADA!T491+Aug!T174+Aug!T456+Cust_Conn!T144+Cust_Conn!T401+Cust_Conn!T656+Cust_Conn!T911+New_Towns!T139+New_Towns!T394+New_Towns!T662+IT!T265+Other!T139</f>
        <v>1015870.6074806168</v>
      </c>
    </row>
    <row r="136" spans="5:20" s="41" customFormat="1" outlineLevel="1">
      <c r="F136" s="251" t="str">
        <f>GC!C55</f>
        <v>Cathodic protection - post 1998</v>
      </c>
      <c r="G136" s="251"/>
      <c r="H136" s="251"/>
      <c r="I136" s="251"/>
      <c r="J136" s="80">
        <f ca="1">Low_Press!J217+AdHoc!J161+AdHoc!J436+AdHoc!J711+Medium_Press!J210+High_Press!J140+Dom_Meters!J161+Dom_Meters!J415+Com_Meters!J161+Com_Meters!J450+Net_Reg!J182+Net_Reg!J436+Cust_Reg!J161+Cust_Reg!J436+CP_SCADA!J189+CP_SCADA!J492+Aug!J175+Aug!J457+Cust_Conn!J145+Cust_Conn!J402+Cust_Conn!J657+Cust_Conn!J912+New_Towns!J140+New_Towns!J395+New_Towns!J663+IT!J266+Other!J140</f>
        <v>0</v>
      </c>
      <c r="K136" s="80">
        <f ca="1">Low_Press!K217+AdHoc!K161+AdHoc!K436+AdHoc!K711+Medium_Press!K210+High_Press!K140+Dom_Meters!K161+Dom_Meters!K415+Com_Meters!K161+Com_Meters!K450+Net_Reg!K182+Net_Reg!K436+Cust_Reg!K161+Cust_Reg!K436+CP_SCADA!K189+CP_SCADA!K492+Aug!K175+Aug!K457+Cust_Conn!K145+Cust_Conn!K402+Cust_Conn!K657+Cust_Conn!K912+New_Towns!K140+New_Towns!K395+New_Towns!K663+IT!K266+Other!K140</f>
        <v>0</v>
      </c>
      <c r="L136" s="80">
        <f ca="1">Low_Press!L217+AdHoc!L161+AdHoc!L436+AdHoc!L711+Medium_Press!L210+High_Press!L140+Dom_Meters!L161+Dom_Meters!L415+Com_Meters!L161+Com_Meters!L450+Net_Reg!L182+Net_Reg!L436+Cust_Reg!L161+Cust_Reg!L436+CP_SCADA!L189+CP_SCADA!L492+Aug!L175+Aug!L457+Cust_Conn!L145+Cust_Conn!L402+Cust_Conn!L657+Cust_Conn!L912+New_Towns!L140+New_Towns!L395+New_Towns!L663+IT!L266+Other!L140</f>
        <v>0</v>
      </c>
      <c r="M136" s="80">
        <f ca="1">Low_Press!M217+AdHoc!M161+AdHoc!M436+AdHoc!M711+Medium_Press!M210+High_Press!M140+Dom_Meters!M161+Dom_Meters!M415+Com_Meters!M161+Com_Meters!M450+Net_Reg!M182+Net_Reg!M436+Cust_Reg!M161+Cust_Reg!M436+CP_SCADA!M189+CP_SCADA!M492+Aug!M175+Aug!M457+Cust_Conn!M145+Cust_Conn!M402+Cust_Conn!M657+Cust_Conn!M912+New_Towns!M140+New_Towns!M395+New_Towns!M663+IT!M266+Other!M140</f>
        <v>0</v>
      </c>
      <c r="N136" s="80">
        <f ca="1">Low_Press!N217+AdHoc!N161+AdHoc!N436+AdHoc!N711+Medium_Press!N210+High_Press!N140+Dom_Meters!N161+Dom_Meters!N415+Com_Meters!N161+Com_Meters!N450+Net_Reg!N182+Net_Reg!N436+Cust_Reg!N161+Cust_Reg!N436+CP_SCADA!N189+CP_SCADA!N492+Aug!N175+Aug!N457+Cust_Conn!N145+Cust_Conn!N402+Cust_Conn!N657+Cust_Conn!N912+New_Towns!N140+New_Towns!N395+New_Towns!N663+IT!N266+Other!N140</f>
        <v>7636.6005456358253</v>
      </c>
      <c r="O136" s="80">
        <f ca="1">Low_Press!O217+AdHoc!O161+AdHoc!O436+AdHoc!O711+Medium_Press!O210+High_Press!O140+Dom_Meters!O161+Dom_Meters!O415+Com_Meters!O161+Com_Meters!O450+Net_Reg!O182+Net_Reg!O436+Cust_Reg!O161+Cust_Reg!O436+CP_SCADA!O189+CP_SCADA!O492+Aug!O175+Aug!O457+Cust_Conn!O145+Cust_Conn!O402+Cust_Conn!O657+Cust_Conn!O912+New_Towns!O140+New_Towns!O395+New_Towns!O663+IT!O266+Other!O140</f>
        <v>6391.8502450717833</v>
      </c>
      <c r="P136" s="80">
        <f ca="1">Low_Press!P217+AdHoc!P161+AdHoc!P436+AdHoc!P711+Medium_Press!P210+High_Press!P140+Dom_Meters!P161+Dom_Meters!P415+Com_Meters!P161+Com_Meters!P450+Net_Reg!P182+Net_Reg!P436+Cust_Reg!P161+Cust_Reg!P436+CP_SCADA!P189+CP_SCADA!P492+Aug!P175+Aug!P457+Cust_Conn!P145+Cust_Conn!P402+Cust_Conn!P657+Cust_Conn!P912+New_Towns!P140+New_Towns!P395+New_Towns!P663+IT!P266+Other!P140</f>
        <v>10277.22542917498</v>
      </c>
      <c r="Q136" s="80">
        <f ca="1">Low_Press!Q217+AdHoc!Q161+AdHoc!Q436+AdHoc!Q711+Medium_Press!Q210+High_Press!Q140+Dom_Meters!Q161+Dom_Meters!Q415+Com_Meters!Q161+Com_Meters!Q450+Net_Reg!Q182+Net_Reg!Q436+Cust_Reg!Q161+Cust_Reg!Q436+CP_SCADA!Q189+CP_SCADA!Q492+Aug!Q175+Aug!Q457+Cust_Conn!Q145+Cust_Conn!Q402+Cust_Conn!Q657+Cust_Conn!Q912+New_Towns!Q140+New_Towns!Q395+New_Towns!Q663+IT!Q266+Other!Q140</f>
        <v>10536.102975536267</v>
      </c>
      <c r="R136" s="80">
        <f ca="1">Low_Press!R217+AdHoc!R161+AdHoc!R436+AdHoc!R711+Medium_Press!R210+High_Press!R140+Dom_Meters!R161+Dom_Meters!R415+Com_Meters!R161+Com_Meters!R450+Net_Reg!R182+Net_Reg!R436+Cust_Reg!R161+Cust_Reg!R436+CP_SCADA!R189+CP_SCADA!R492+Aug!R175+Aug!R457+Cust_Conn!R145+Cust_Conn!R402+Cust_Conn!R657+Cust_Conn!R912+New_Towns!R140+New_Towns!R395+New_Towns!R663+IT!R266+Other!R140</f>
        <v>10519.666283149183</v>
      </c>
      <c r="S136" s="80">
        <f ca="1">Low_Press!S217+AdHoc!S161+AdHoc!S436+AdHoc!S711+Medium_Press!S210+High_Press!S140+Dom_Meters!S161+Dom_Meters!S415+Com_Meters!S161+Com_Meters!S450+Net_Reg!S182+Net_Reg!S436+Cust_Reg!S161+Cust_Reg!S436+CP_SCADA!S189+CP_SCADA!S492+Aug!S175+Aug!S457+Cust_Conn!S145+Cust_Conn!S402+Cust_Conn!S657+Cust_Conn!S912+New_Towns!S140+New_Towns!S395+New_Towns!S663+IT!S266+Other!S140</f>
        <v>11179.702967828689</v>
      </c>
      <c r="T136" s="80">
        <f ca="1">Low_Press!T217+AdHoc!T161+AdHoc!T436+AdHoc!T711+Medium_Press!T210+High_Press!T140+Dom_Meters!T161+Dom_Meters!T415+Com_Meters!T161+Com_Meters!T450+Net_Reg!T182+Net_Reg!T436+Cust_Reg!T161+Cust_Reg!T436+CP_SCADA!T189+CP_SCADA!T492+Aug!T175+Aug!T457+Cust_Conn!T145+Cust_Conn!T402+Cust_Conn!T657+Cust_Conn!T912+New_Towns!T140+New_Towns!T395+New_Towns!T663+IT!T266+Other!T140</f>
        <v>11723.249315202642</v>
      </c>
    </row>
    <row r="137" spans="5:20" s="41" customFormat="1" outlineLevel="1">
      <c r="F137" s="250" t="str">
        <f>"Total "&amp;E119</f>
        <v>Total Overheads</v>
      </c>
      <c r="G137" s="250"/>
      <c r="H137" s="250"/>
      <c r="I137" s="250"/>
      <c r="J137" s="101">
        <f t="shared" ref="J137:T137" ca="1" si="11">SUM(J121:J136)</f>
        <v>0</v>
      </c>
      <c r="K137" s="101">
        <f t="shared" ca="1" si="11"/>
        <v>0</v>
      </c>
      <c r="L137" s="101">
        <f t="shared" ca="1" si="11"/>
        <v>0</v>
      </c>
      <c r="M137" s="101">
        <f t="shared" ca="1" si="11"/>
        <v>0</v>
      </c>
      <c r="N137" s="101">
        <f t="shared" ca="1" si="11"/>
        <v>3936339.1490438893</v>
      </c>
      <c r="O137" s="101">
        <f t="shared" ca="1" si="11"/>
        <v>2058779.0797954465</v>
      </c>
      <c r="P137" s="101">
        <f t="shared" ca="1" si="11"/>
        <v>2848625.3392234142</v>
      </c>
      <c r="Q137" s="101">
        <f t="shared" ca="1" si="11"/>
        <v>2832316.5824980685</v>
      </c>
      <c r="R137" s="101">
        <f t="shared" ca="1" si="11"/>
        <v>2813035.3033678564</v>
      </c>
      <c r="S137" s="101">
        <f t="shared" ca="1" si="11"/>
        <v>2881215.0889741974</v>
      </c>
      <c r="T137" s="101">
        <f t="shared" ca="1" si="11"/>
        <v>2791670.0985037214</v>
      </c>
    </row>
    <row r="138" spans="5:20" s="41" customFormat="1" outlineLevel="1"/>
    <row r="139" spans="5:20" s="41" customFormat="1" outlineLevel="1">
      <c r="E139" s="50" t="s">
        <v>216</v>
      </c>
    </row>
    <row r="140" spans="5:20" s="41" customFormat="1" ht="5.9" customHeight="1" outlineLevel="1"/>
    <row r="141" spans="5:20" s="41" customFormat="1" outlineLevel="1">
      <c r="F141" s="247" t="str">
        <f>GC!C40</f>
        <v>Transmission pipelines</v>
      </c>
      <c r="G141" s="247"/>
      <c r="H141" s="247"/>
      <c r="I141" s="247"/>
      <c r="J141" s="81">
        <f ca="1">Low_Press!J222+AdHoc!J166+AdHoc!J441+AdHoc!J716+Medium_Press!J215+High_Press!J145+Dom_Meters!J166+Dom_Meters!J420+Com_Meters!J166+Com_Meters!J455+Net_Reg!J187+Net_Reg!J441+Cust_Reg!J166+Cust_Reg!J441+CP_SCADA!J194+CP_SCADA!J497+Aug!J180+Aug!J462+Cust_Conn!J150+Cust_Conn!J407+Cust_Conn!J662+Cust_Conn!J917+New_Towns!J145+New_Towns!J400+New_Towns!J668+IT!J271+Other!J145</f>
        <v>0</v>
      </c>
      <c r="K141" s="81">
        <f ca="1">Low_Press!K222+AdHoc!K166+AdHoc!K441+AdHoc!K716+Medium_Press!K215+High_Press!K145+Dom_Meters!K166+Dom_Meters!K420+Com_Meters!K166+Com_Meters!K455+Net_Reg!K187+Net_Reg!K441+Cust_Reg!K166+Cust_Reg!K441+CP_SCADA!K194+CP_SCADA!K497+Aug!K180+Aug!K462+Cust_Conn!K150+Cust_Conn!K407+Cust_Conn!K662+Cust_Conn!K917+New_Towns!K145+New_Towns!K400+New_Towns!K668+IT!K271+Other!K145</f>
        <v>0</v>
      </c>
      <c r="L141" s="81">
        <f ca="1">Low_Press!L222+AdHoc!L166+AdHoc!L441+AdHoc!L716+Medium_Press!L215+High_Press!L145+Dom_Meters!L166+Dom_Meters!L420+Com_Meters!L166+Com_Meters!L455+Net_Reg!L187+Net_Reg!L441+Cust_Reg!L166+Cust_Reg!L441+CP_SCADA!L194+CP_SCADA!L497+Aug!L180+Aug!L462+Cust_Conn!L150+Cust_Conn!L407+Cust_Conn!L662+Cust_Conn!L917+New_Towns!L145+New_Towns!L400+New_Towns!L668+IT!L271+Other!L145</f>
        <v>0</v>
      </c>
      <c r="M141" s="81">
        <f ca="1">Low_Press!M222+AdHoc!M166+AdHoc!M441+AdHoc!M716+Medium_Press!M215+High_Press!M145+Dom_Meters!M166+Dom_Meters!M420+Com_Meters!M166+Com_Meters!M455+Net_Reg!M187+Net_Reg!M441+Cust_Reg!M166+Cust_Reg!M441+CP_SCADA!M194+CP_SCADA!M497+Aug!M180+Aug!M462+Cust_Conn!M150+Cust_Conn!M407+Cust_Conn!M662+Cust_Conn!M917+New_Towns!M145+New_Towns!M400+New_Towns!M668+IT!M271+Other!M145</f>
        <v>0</v>
      </c>
      <c r="N141" s="81">
        <f ca="1">Low_Press!N222+AdHoc!N166+AdHoc!N441+AdHoc!N716+Medium_Press!N215+High_Press!N145+Dom_Meters!N166+Dom_Meters!N420+Com_Meters!N166+Com_Meters!N455+Net_Reg!N187+Net_Reg!N441+Cust_Reg!N166+Cust_Reg!N441+CP_SCADA!N194+CP_SCADA!N497+Aug!N180+Aug!N462+Cust_Conn!N150+Cust_Conn!N407+Cust_Conn!N662+Cust_Conn!N917+New_Towns!N145+New_Towns!N400+New_Towns!N668+IT!N271+Other!N145</f>
        <v>0</v>
      </c>
      <c r="O141" s="81">
        <f ca="1">Low_Press!O222+AdHoc!O166+AdHoc!O441+AdHoc!O716+Medium_Press!O215+High_Press!O145+Dom_Meters!O166+Dom_Meters!O420+Com_Meters!O166+Com_Meters!O455+Net_Reg!O187+Net_Reg!O441+Cust_Reg!O166+Cust_Reg!O441+CP_SCADA!O194+CP_SCADA!O497+Aug!O180+Aug!O462+Cust_Conn!O150+Cust_Conn!O407+Cust_Conn!O662+Cust_Conn!O917+New_Towns!O145+New_Towns!O400+New_Towns!O668+IT!O271+Other!O145</f>
        <v>0</v>
      </c>
      <c r="P141" s="81">
        <f ca="1">Low_Press!P222+AdHoc!P166+AdHoc!P441+AdHoc!P716+Medium_Press!P215+High_Press!P145+Dom_Meters!P166+Dom_Meters!P420+Com_Meters!P166+Com_Meters!P455+Net_Reg!P187+Net_Reg!P441+Cust_Reg!P166+Cust_Reg!P441+CP_SCADA!P194+CP_SCADA!P497+Aug!P180+Aug!P462+Cust_Conn!P150+Cust_Conn!P407+Cust_Conn!P662+Cust_Conn!P917+New_Towns!P145+New_Towns!P400+New_Towns!P668+IT!P271+Other!P145</f>
        <v>0</v>
      </c>
      <c r="Q141" s="81">
        <f ca="1">Low_Press!Q222+AdHoc!Q166+AdHoc!Q441+AdHoc!Q716+Medium_Press!Q215+High_Press!Q145+Dom_Meters!Q166+Dom_Meters!Q420+Com_Meters!Q166+Com_Meters!Q455+Net_Reg!Q187+Net_Reg!Q441+Cust_Reg!Q166+Cust_Reg!Q441+CP_SCADA!Q194+CP_SCADA!Q497+Aug!Q180+Aug!Q462+Cust_Conn!Q150+Cust_Conn!Q407+Cust_Conn!Q662+Cust_Conn!Q917+New_Towns!Q145+New_Towns!Q400+New_Towns!Q668+IT!Q271+Other!Q145</f>
        <v>0</v>
      </c>
      <c r="R141" s="81">
        <f ca="1">Low_Press!R222+AdHoc!R166+AdHoc!R441+AdHoc!R716+Medium_Press!R215+High_Press!R145+Dom_Meters!R166+Dom_Meters!R420+Com_Meters!R166+Com_Meters!R455+Net_Reg!R187+Net_Reg!R441+Cust_Reg!R166+Cust_Reg!R441+CP_SCADA!R194+CP_SCADA!R497+Aug!R180+Aug!R462+Cust_Conn!R150+Cust_Conn!R407+Cust_Conn!R662+Cust_Conn!R917+New_Towns!R145+New_Towns!R400+New_Towns!R668+IT!R271+Other!R145</f>
        <v>0</v>
      </c>
      <c r="S141" s="81">
        <f ca="1">Low_Press!S222+AdHoc!S166+AdHoc!S441+AdHoc!S716+Medium_Press!S215+High_Press!S145+Dom_Meters!S166+Dom_Meters!S420+Com_Meters!S166+Com_Meters!S455+Net_Reg!S187+Net_Reg!S441+Cust_Reg!S166+Cust_Reg!S441+CP_SCADA!S194+CP_SCADA!S497+Aug!S180+Aug!S462+Cust_Conn!S150+Cust_Conn!S407+Cust_Conn!S662+Cust_Conn!S917+New_Towns!S145+New_Towns!S400+New_Towns!S668+IT!S271+Other!S145</f>
        <v>0</v>
      </c>
      <c r="T141" s="81">
        <f ca="1">Low_Press!T222+AdHoc!T166+AdHoc!T441+AdHoc!T716+Medium_Press!T215+High_Press!T145+Dom_Meters!T166+Dom_Meters!T420+Com_Meters!T166+Com_Meters!T455+Net_Reg!T187+Net_Reg!T441+Cust_Reg!T166+Cust_Reg!T441+CP_SCADA!T194+CP_SCADA!T497+Aug!T180+Aug!T462+Cust_Conn!T150+Cust_Conn!T407+Cust_Conn!T662+Cust_Conn!T917+New_Towns!T145+New_Towns!T400+New_Towns!T668+IT!T271+Other!T145</f>
        <v>0</v>
      </c>
    </row>
    <row r="142" spans="5:20" s="41" customFormat="1" outlineLevel="1">
      <c r="F142" s="247" t="str">
        <f>GC!C41</f>
        <v>Distribution pipelines</v>
      </c>
      <c r="G142" s="247"/>
      <c r="H142" s="247"/>
      <c r="I142" s="247"/>
      <c r="J142" s="81">
        <f ca="1">Low_Press!J223+AdHoc!J167+AdHoc!J442+AdHoc!J717+Medium_Press!J216+High_Press!J146+Dom_Meters!J167+Dom_Meters!J421+Com_Meters!J167+Com_Meters!J456+Net_Reg!J188+Net_Reg!J442+Cust_Reg!J167+Cust_Reg!J442+CP_SCADA!J195+CP_SCADA!J498+Aug!J181+Aug!J463+Cust_Conn!J151+Cust_Conn!J408+Cust_Conn!J663+Cust_Conn!J918+New_Towns!J146+New_Towns!J401+New_Towns!J669+IT!J272+Other!J146</f>
        <v>0</v>
      </c>
      <c r="K142" s="81">
        <f ca="1">Low_Press!K223+AdHoc!K167+AdHoc!K442+AdHoc!K717+Medium_Press!K216+High_Press!K146+Dom_Meters!K167+Dom_Meters!K421+Com_Meters!K167+Com_Meters!K456+Net_Reg!K188+Net_Reg!K442+Cust_Reg!K167+Cust_Reg!K442+CP_SCADA!K195+CP_SCADA!K498+Aug!K181+Aug!K463+Cust_Conn!K151+Cust_Conn!K408+Cust_Conn!K663+Cust_Conn!K918+New_Towns!K146+New_Towns!K401+New_Towns!K669+IT!K272+Other!K146</f>
        <v>0</v>
      </c>
      <c r="L142" s="81">
        <f ca="1">Low_Press!L223+AdHoc!L167+AdHoc!L442+AdHoc!L717+Medium_Press!L216+High_Press!L146+Dom_Meters!L167+Dom_Meters!L421+Com_Meters!L167+Com_Meters!L456+Net_Reg!L188+Net_Reg!L442+Cust_Reg!L167+Cust_Reg!L442+CP_SCADA!L195+CP_SCADA!L498+Aug!L181+Aug!L463+Cust_Conn!L151+Cust_Conn!L408+Cust_Conn!L663+Cust_Conn!L918+New_Towns!L146+New_Towns!L401+New_Towns!L669+IT!L272+Other!L146</f>
        <v>0</v>
      </c>
      <c r="M142" s="81">
        <f ca="1">Low_Press!M223+AdHoc!M167+AdHoc!M442+AdHoc!M717+Medium_Press!M216+High_Press!M146+Dom_Meters!M167+Dom_Meters!M421+Com_Meters!M167+Com_Meters!M456+Net_Reg!M188+Net_Reg!M442+Cust_Reg!M167+Cust_Reg!M442+CP_SCADA!M195+CP_SCADA!M498+Aug!M181+Aug!M463+Cust_Conn!M151+Cust_Conn!M408+Cust_Conn!M663+Cust_Conn!M918+New_Towns!M146+New_Towns!M401+New_Towns!M669+IT!M272+Other!M146</f>
        <v>0</v>
      </c>
      <c r="N142" s="81">
        <f ca="1">Low_Press!N223+AdHoc!N167+AdHoc!N442+AdHoc!N717+Medium_Press!N216+High_Press!N146+Dom_Meters!N167+Dom_Meters!N421+Com_Meters!N167+Com_Meters!N456+Net_Reg!N188+Net_Reg!N442+Cust_Reg!N167+Cust_Reg!N442+CP_SCADA!N195+CP_SCADA!N498+Aug!N181+Aug!N463+Cust_Conn!N151+Cust_Conn!N408+Cust_Conn!N663+Cust_Conn!N918+New_Towns!N146+New_Towns!N401+New_Towns!N669+IT!N272+Other!N146</f>
        <v>0</v>
      </c>
      <c r="O142" s="81">
        <f ca="1">Low_Press!O223+AdHoc!O167+AdHoc!O442+AdHoc!O717+Medium_Press!O216+High_Press!O146+Dom_Meters!O167+Dom_Meters!O421+Com_Meters!O167+Com_Meters!O456+Net_Reg!O188+Net_Reg!O442+Cust_Reg!O167+Cust_Reg!O442+CP_SCADA!O195+CP_SCADA!O498+Aug!O181+Aug!O463+Cust_Conn!O151+Cust_Conn!O408+Cust_Conn!O663+Cust_Conn!O918+New_Towns!O146+New_Towns!O401+New_Towns!O669+IT!O272+Other!O146</f>
        <v>0</v>
      </c>
      <c r="P142" s="81">
        <f ca="1">Low_Press!P223+AdHoc!P167+AdHoc!P442+AdHoc!P717+Medium_Press!P216+High_Press!P146+Dom_Meters!P167+Dom_Meters!P421+Com_Meters!P167+Com_Meters!P456+Net_Reg!P188+Net_Reg!P442+Cust_Reg!P167+Cust_Reg!P442+CP_SCADA!P195+CP_SCADA!P498+Aug!P181+Aug!P463+Cust_Conn!P151+Cust_Conn!P408+Cust_Conn!P663+Cust_Conn!P918+New_Towns!P146+New_Towns!P401+New_Towns!P669+IT!P272+Other!P146</f>
        <v>0</v>
      </c>
      <c r="Q142" s="81">
        <f ca="1">Low_Press!Q223+AdHoc!Q167+AdHoc!Q442+AdHoc!Q717+Medium_Press!Q216+High_Press!Q146+Dom_Meters!Q167+Dom_Meters!Q421+Com_Meters!Q167+Com_Meters!Q456+Net_Reg!Q188+Net_Reg!Q442+Cust_Reg!Q167+Cust_Reg!Q442+CP_SCADA!Q195+CP_SCADA!Q498+Aug!Q181+Aug!Q463+Cust_Conn!Q151+Cust_Conn!Q408+Cust_Conn!Q663+Cust_Conn!Q918+New_Towns!Q146+New_Towns!Q401+New_Towns!Q669+IT!Q272+Other!Q146</f>
        <v>0</v>
      </c>
      <c r="R142" s="81">
        <f ca="1">Low_Press!R223+AdHoc!R167+AdHoc!R442+AdHoc!R717+Medium_Press!R216+High_Press!R146+Dom_Meters!R167+Dom_Meters!R421+Com_Meters!R167+Com_Meters!R456+Net_Reg!R188+Net_Reg!R442+Cust_Reg!R167+Cust_Reg!R442+CP_SCADA!R195+CP_SCADA!R498+Aug!R181+Aug!R463+Cust_Conn!R151+Cust_Conn!R408+Cust_Conn!R663+Cust_Conn!R918+New_Towns!R146+New_Towns!R401+New_Towns!R669+IT!R272+Other!R146</f>
        <v>0</v>
      </c>
      <c r="S142" s="81">
        <f ca="1">Low_Press!S223+AdHoc!S167+AdHoc!S442+AdHoc!S717+Medium_Press!S216+High_Press!S146+Dom_Meters!S167+Dom_Meters!S421+Com_Meters!S167+Com_Meters!S456+Net_Reg!S188+Net_Reg!S442+Cust_Reg!S167+Cust_Reg!S442+CP_SCADA!S195+CP_SCADA!S498+Aug!S181+Aug!S463+Cust_Conn!S151+Cust_Conn!S408+Cust_Conn!S663+Cust_Conn!S918+New_Towns!S146+New_Towns!S401+New_Towns!S669+IT!S272+Other!S146</f>
        <v>0</v>
      </c>
      <c r="T142" s="81">
        <f ca="1">Low_Press!T223+AdHoc!T167+AdHoc!T442+AdHoc!T717+Medium_Press!T216+High_Press!T146+Dom_Meters!T167+Dom_Meters!T421+Com_Meters!T167+Com_Meters!T456+Net_Reg!T188+Net_Reg!T442+Cust_Reg!T167+Cust_Reg!T442+CP_SCADA!T195+CP_SCADA!T498+Aug!T181+Aug!T463+Cust_Conn!T151+Cust_Conn!T408+Cust_Conn!T663+Cust_Conn!T918+New_Towns!T146+New_Towns!T401+New_Towns!T669+IT!T272+Other!T146</f>
        <v>0</v>
      </c>
    </row>
    <row r="143" spans="5:20" s="41" customFormat="1" outlineLevel="1">
      <c r="F143" s="247" t="str">
        <f>GC!C42</f>
        <v>Service pipes</v>
      </c>
      <c r="G143" s="247"/>
      <c r="H143" s="247"/>
      <c r="I143" s="247"/>
      <c r="J143" s="81">
        <f ca="1">Low_Press!J224+AdHoc!J168+AdHoc!J443+AdHoc!J718+Medium_Press!J217+High_Press!J147+Dom_Meters!J168+Dom_Meters!J422+Com_Meters!J168+Com_Meters!J457+Net_Reg!J189+Net_Reg!J443+Cust_Reg!J168+Cust_Reg!J443+CP_SCADA!J196+CP_SCADA!J499+Aug!J182+Aug!J464+Cust_Conn!J152+Cust_Conn!J409+Cust_Conn!J664+Cust_Conn!J919+New_Towns!J147+New_Towns!J402+New_Towns!J670+IT!J273+Other!J147</f>
        <v>0</v>
      </c>
      <c r="K143" s="81">
        <f ca="1">Low_Press!K224+AdHoc!K168+AdHoc!K443+AdHoc!K718+Medium_Press!K217+High_Press!K147+Dom_Meters!K168+Dom_Meters!K422+Com_Meters!K168+Com_Meters!K457+Net_Reg!K189+Net_Reg!K443+Cust_Reg!K168+Cust_Reg!K443+CP_SCADA!K196+CP_SCADA!K499+Aug!K182+Aug!K464+Cust_Conn!K152+Cust_Conn!K409+Cust_Conn!K664+Cust_Conn!K919+New_Towns!K147+New_Towns!K402+New_Towns!K670+IT!K273+Other!K147</f>
        <v>0</v>
      </c>
      <c r="L143" s="81">
        <f ca="1">Low_Press!L224+AdHoc!L168+AdHoc!L443+AdHoc!L718+Medium_Press!L217+High_Press!L147+Dom_Meters!L168+Dom_Meters!L422+Com_Meters!L168+Com_Meters!L457+Net_Reg!L189+Net_Reg!L443+Cust_Reg!L168+Cust_Reg!L443+CP_SCADA!L196+CP_SCADA!L499+Aug!L182+Aug!L464+Cust_Conn!L152+Cust_Conn!L409+Cust_Conn!L664+Cust_Conn!L919+New_Towns!L147+New_Towns!L402+New_Towns!L670+IT!L273+Other!L147</f>
        <v>0</v>
      </c>
      <c r="M143" s="81">
        <f ca="1">Low_Press!M224+AdHoc!M168+AdHoc!M443+AdHoc!M718+Medium_Press!M217+High_Press!M147+Dom_Meters!M168+Dom_Meters!M422+Com_Meters!M168+Com_Meters!M457+Net_Reg!M189+Net_Reg!M443+Cust_Reg!M168+Cust_Reg!M443+CP_SCADA!M196+CP_SCADA!M499+Aug!M182+Aug!M464+Cust_Conn!M152+Cust_Conn!M409+Cust_Conn!M664+Cust_Conn!M919+New_Towns!M147+New_Towns!M402+New_Towns!M670+IT!M273+Other!M147</f>
        <v>0</v>
      </c>
      <c r="N143" s="81">
        <f ca="1">Low_Press!N224+AdHoc!N168+AdHoc!N443+AdHoc!N718+Medium_Press!N217+High_Press!N147+Dom_Meters!N168+Dom_Meters!N422+Com_Meters!N168+Com_Meters!N457+Net_Reg!N189+Net_Reg!N443+Cust_Reg!N168+Cust_Reg!N443+CP_SCADA!N196+CP_SCADA!N499+Aug!N182+Aug!N464+Cust_Conn!N152+Cust_Conn!N409+Cust_Conn!N664+Cust_Conn!N919+New_Towns!N147+New_Towns!N402+New_Towns!N670+IT!N273+Other!N147</f>
        <v>0</v>
      </c>
      <c r="O143" s="81">
        <f ca="1">Low_Press!O224+AdHoc!O168+AdHoc!O443+AdHoc!O718+Medium_Press!O217+High_Press!O147+Dom_Meters!O168+Dom_Meters!O422+Com_Meters!O168+Com_Meters!O457+Net_Reg!O189+Net_Reg!O443+Cust_Reg!O168+Cust_Reg!O443+CP_SCADA!O196+CP_SCADA!O499+Aug!O182+Aug!O464+Cust_Conn!O152+Cust_Conn!O409+Cust_Conn!O664+Cust_Conn!O919+New_Towns!O147+New_Towns!O402+New_Towns!O670+IT!O273+Other!O147</f>
        <v>0</v>
      </c>
      <c r="P143" s="81">
        <f ca="1">Low_Press!P224+AdHoc!P168+AdHoc!P443+AdHoc!P718+Medium_Press!P217+High_Press!P147+Dom_Meters!P168+Dom_Meters!P422+Com_Meters!P168+Com_Meters!P457+Net_Reg!P189+Net_Reg!P443+Cust_Reg!P168+Cust_Reg!P443+CP_SCADA!P196+CP_SCADA!P499+Aug!P182+Aug!P464+Cust_Conn!P152+Cust_Conn!P409+Cust_Conn!P664+Cust_Conn!P919+New_Towns!P147+New_Towns!P402+New_Towns!P670+IT!P273+Other!P147</f>
        <v>0</v>
      </c>
      <c r="Q143" s="81">
        <f ca="1">Low_Press!Q224+AdHoc!Q168+AdHoc!Q443+AdHoc!Q718+Medium_Press!Q217+High_Press!Q147+Dom_Meters!Q168+Dom_Meters!Q422+Com_Meters!Q168+Com_Meters!Q457+Net_Reg!Q189+Net_Reg!Q443+Cust_Reg!Q168+Cust_Reg!Q443+CP_SCADA!Q196+CP_SCADA!Q499+Aug!Q182+Aug!Q464+Cust_Conn!Q152+Cust_Conn!Q409+Cust_Conn!Q664+Cust_Conn!Q919+New_Towns!Q147+New_Towns!Q402+New_Towns!Q670+IT!Q273+Other!Q147</f>
        <v>0</v>
      </c>
      <c r="R143" s="81">
        <f ca="1">Low_Press!R224+AdHoc!R168+AdHoc!R443+AdHoc!R718+Medium_Press!R217+High_Press!R147+Dom_Meters!R168+Dom_Meters!R422+Com_Meters!R168+Com_Meters!R457+Net_Reg!R189+Net_Reg!R443+Cust_Reg!R168+Cust_Reg!R443+CP_SCADA!R196+CP_SCADA!R499+Aug!R182+Aug!R464+Cust_Conn!R152+Cust_Conn!R409+Cust_Conn!R664+Cust_Conn!R919+New_Towns!R147+New_Towns!R402+New_Towns!R670+IT!R273+Other!R147</f>
        <v>0</v>
      </c>
      <c r="S143" s="81">
        <f ca="1">Low_Press!S224+AdHoc!S168+AdHoc!S443+AdHoc!S718+Medium_Press!S217+High_Press!S147+Dom_Meters!S168+Dom_Meters!S422+Com_Meters!S168+Com_Meters!S457+Net_Reg!S189+Net_Reg!S443+Cust_Reg!S168+Cust_Reg!S443+CP_SCADA!S196+CP_SCADA!S499+Aug!S182+Aug!S464+Cust_Conn!S152+Cust_Conn!S409+Cust_Conn!S664+Cust_Conn!S919+New_Towns!S147+New_Towns!S402+New_Towns!S670+IT!S273+Other!S147</f>
        <v>0</v>
      </c>
      <c r="T143" s="81">
        <f ca="1">Low_Press!T224+AdHoc!T168+AdHoc!T443+AdHoc!T718+Medium_Press!T217+High_Press!T147+Dom_Meters!T168+Dom_Meters!T422+Com_Meters!T168+Com_Meters!T457+Net_Reg!T189+Net_Reg!T443+Cust_Reg!T168+Cust_Reg!T443+CP_SCADA!T196+CP_SCADA!T499+Aug!T182+Aug!T464+Cust_Conn!T152+Cust_Conn!T409+Cust_Conn!T664+Cust_Conn!T919+New_Towns!T147+New_Towns!T402+New_Towns!T670+IT!T273+Other!T147</f>
        <v>0</v>
      </c>
    </row>
    <row r="144" spans="5:20" s="41" customFormat="1" outlineLevel="1">
      <c r="F144" s="247" t="str">
        <f>GC!C43</f>
        <v>Cathodic protection</v>
      </c>
      <c r="G144" s="247"/>
      <c r="H144" s="247"/>
      <c r="I144" s="247"/>
      <c r="J144" s="81">
        <f ca="1">Low_Press!J225+AdHoc!J169+AdHoc!J444+AdHoc!J719+Medium_Press!J218+High_Press!J148+Dom_Meters!J169+Dom_Meters!J423+Com_Meters!J169+Com_Meters!J458+Net_Reg!J190+Net_Reg!J444+Cust_Reg!J169+Cust_Reg!J444+CP_SCADA!J197+CP_SCADA!J500+Aug!J183+Aug!J465+Cust_Conn!J153+Cust_Conn!J410+Cust_Conn!J665+Cust_Conn!J920+New_Towns!J148+New_Towns!J403+New_Towns!J671+IT!J274+Other!J148</f>
        <v>0</v>
      </c>
      <c r="K144" s="81">
        <f ca="1">Low_Press!K225+AdHoc!K169+AdHoc!K444+AdHoc!K719+Medium_Press!K218+High_Press!K148+Dom_Meters!K169+Dom_Meters!K423+Com_Meters!K169+Com_Meters!K458+Net_Reg!K190+Net_Reg!K444+Cust_Reg!K169+Cust_Reg!K444+CP_SCADA!K197+CP_SCADA!K500+Aug!K183+Aug!K465+Cust_Conn!K153+Cust_Conn!K410+Cust_Conn!K665+Cust_Conn!K920+New_Towns!K148+New_Towns!K403+New_Towns!K671+IT!K274+Other!K148</f>
        <v>0</v>
      </c>
      <c r="L144" s="81">
        <f ca="1">Low_Press!L225+AdHoc!L169+AdHoc!L444+AdHoc!L719+Medium_Press!L218+High_Press!L148+Dom_Meters!L169+Dom_Meters!L423+Com_Meters!L169+Com_Meters!L458+Net_Reg!L190+Net_Reg!L444+Cust_Reg!L169+Cust_Reg!L444+CP_SCADA!L197+CP_SCADA!L500+Aug!L183+Aug!L465+Cust_Conn!L153+Cust_Conn!L410+Cust_Conn!L665+Cust_Conn!L920+New_Towns!L148+New_Towns!L403+New_Towns!L671+IT!L274+Other!L148</f>
        <v>0</v>
      </c>
      <c r="M144" s="81">
        <f ca="1">Low_Press!M225+AdHoc!M169+AdHoc!M444+AdHoc!M719+Medium_Press!M218+High_Press!M148+Dom_Meters!M169+Dom_Meters!M423+Com_Meters!M169+Com_Meters!M458+Net_Reg!M190+Net_Reg!M444+Cust_Reg!M169+Cust_Reg!M444+CP_SCADA!M197+CP_SCADA!M500+Aug!M183+Aug!M465+Cust_Conn!M153+Cust_Conn!M410+Cust_Conn!M665+Cust_Conn!M920+New_Towns!M148+New_Towns!M403+New_Towns!M671+IT!M274+Other!M148</f>
        <v>0</v>
      </c>
      <c r="N144" s="81">
        <f ca="1">Low_Press!N225+AdHoc!N169+AdHoc!N444+AdHoc!N719+Medium_Press!N218+High_Press!N148+Dom_Meters!N169+Dom_Meters!N423+Com_Meters!N169+Com_Meters!N458+Net_Reg!N190+Net_Reg!N444+Cust_Reg!N169+Cust_Reg!N444+CP_SCADA!N197+CP_SCADA!N500+Aug!N183+Aug!N465+Cust_Conn!N153+Cust_Conn!N410+Cust_Conn!N665+Cust_Conn!N920+New_Towns!N148+New_Towns!N403+New_Towns!N671+IT!N274+Other!N148</f>
        <v>0</v>
      </c>
      <c r="O144" s="81">
        <f ca="1">Low_Press!O225+AdHoc!O169+AdHoc!O444+AdHoc!O719+Medium_Press!O218+High_Press!O148+Dom_Meters!O169+Dom_Meters!O423+Com_Meters!O169+Com_Meters!O458+Net_Reg!O190+Net_Reg!O444+Cust_Reg!O169+Cust_Reg!O444+CP_SCADA!O197+CP_SCADA!O500+Aug!O183+Aug!O465+Cust_Conn!O153+Cust_Conn!O410+Cust_Conn!O665+Cust_Conn!O920+New_Towns!O148+New_Towns!O403+New_Towns!O671+IT!O274+Other!O148</f>
        <v>0</v>
      </c>
      <c r="P144" s="81">
        <f ca="1">Low_Press!P225+AdHoc!P169+AdHoc!P444+AdHoc!P719+Medium_Press!P218+High_Press!P148+Dom_Meters!P169+Dom_Meters!P423+Com_Meters!P169+Com_Meters!P458+Net_Reg!P190+Net_Reg!P444+Cust_Reg!P169+Cust_Reg!P444+CP_SCADA!P197+CP_SCADA!P500+Aug!P183+Aug!P465+Cust_Conn!P153+Cust_Conn!P410+Cust_Conn!P665+Cust_Conn!P920+New_Towns!P148+New_Towns!P403+New_Towns!P671+IT!P274+Other!P148</f>
        <v>0</v>
      </c>
      <c r="Q144" s="81">
        <f ca="1">Low_Press!Q225+AdHoc!Q169+AdHoc!Q444+AdHoc!Q719+Medium_Press!Q218+High_Press!Q148+Dom_Meters!Q169+Dom_Meters!Q423+Com_Meters!Q169+Com_Meters!Q458+Net_Reg!Q190+Net_Reg!Q444+Cust_Reg!Q169+Cust_Reg!Q444+CP_SCADA!Q197+CP_SCADA!Q500+Aug!Q183+Aug!Q465+Cust_Conn!Q153+Cust_Conn!Q410+Cust_Conn!Q665+Cust_Conn!Q920+New_Towns!Q148+New_Towns!Q403+New_Towns!Q671+IT!Q274+Other!Q148</f>
        <v>0</v>
      </c>
      <c r="R144" s="81">
        <f ca="1">Low_Press!R225+AdHoc!R169+AdHoc!R444+AdHoc!R719+Medium_Press!R218+High_Press!R148+Dom_Meters!R169+Dom_Meters!R423+Com_Meters!R169+Com_Meters!R458+Net_Reg!R190+Net_Reg!R444+Cust_Reg!R169+Cust_Reg!R444+CP_SCADA!R197+CP_SCADA!R500+Aug!R183+Aug!R465+Cust_Conn!R153+Cust_Conn!R410+Cust_Conn!R665+Cust_Conn!R920+New_Towns!R148+New_Towns!R403+New_Towns!R671+IT!R274+Other!R148</f>
        <v>0</v>
      </c>
      <c r="S144" s="81">
        <f ca="1">Low_Press!S225+AdHoc!S169+AdHoc!S444+AdHoc!S719+Medium_Press!S218+High_Press!S148+Dom_Meters!S169+Dom_Meters!S423+Com_Meters!S169+Com_Meters!S458+Net_Reg!S190+Net_Reg!S444+Cust_Reg!S169+Cust_Reg!S444+CP_SCADA!S197+CP_SCADA!S500+Aug!S183+Aug!S465+Cust_Conn!S153+Cust_Conn!S410+Cust_Conn!S665+Cust_Conn!S920+New_Towns!S148+New_Towns!S403+New_Towns!S671+IT!S274+Other!S148</f>
        <v>0</v>
      </c>
      <c r="T144" s="81">
        <f ca="1">Low_Press!T225+AdHoc!T169+AdHoc!T444+AdHoc!T719+Medium_Press!T218+High_Press!T148+Dom_Meters!T169+Dom_Meters!T423+Com_Meters!T169+Com_Meters!T458+Net_Reg!T190+Net_Reg!T444+Cust_Reg!T169+Cust_Reg!T444+CP_SCADA!T197+CP_SCADA!T500+Aug!T183+Aug!T465+Cust_Conn!T153+Cust_Conn!T410+Cust_Conn!T665+Cust_Conn!T920+New_Towns!T148+New_Towns!T403+New_Towns!T671+IT!T274+Other!T148</f>
        <v>0</v>
      </c>
    </row>
    <row r="145" spans="5:20" s="41" customFormat="1" outlineLevel="1">
      <c r="F145" s="247" t="str">
        <f>GC!C44</f>
        <v>Supply Regulators / Valve Stations</v>
      </c>
      <c r="G145" s="247"/>
      <c r="H145" s="247"/>
      <c r="I145" s="247"/>
      <c r="J145" s="81">
        <f ca="1">Low_Press!J226+AdHoc!J170+AdHoc!J445+AdHoc!J720+Medium_Press!J219+High_Press!J149+Dom_Meters!J170+Dom_Meters!J424+Com_Meters!J170+Com_Meters!J459+Net_Reg!J191+Net_Reg!J445+Cust_Reg!J170+Cust_Reg!J445+CP_SCADA!J198+CP_SCADA!J501+Aug!J184+Aug!J466+Cust_Conn!J154+Cust_Conn!J411+Cust_Conn!J666+Cust_Conn!J921+New_Towns!J149+New_Towns!J404+New_Towns!J672+IT!J275+Other!J149</f>
        <v>0</v>
      </c>
      <c r="K145" s="81">
        <f ca="1">Low_Press!K226+AdHoc!K170+AdHoc!K445+AdHoc!K720+Medium_Press!K219+High_Press!K149+Dom_Meters!K170+Dom_Meters!K424+Com_Meters!K170+Com_Meters!K459+Net_Reg!K191+Net_Reg!K445+Cust_Reg!K170+Cust_Reg!K445+CP_SCADA!K198+CP_SCADA!K501+Aug!K184+Aug!K466+Cust_Conn!K154+Cust_Conn!K411+Cust_Conn!K666+Cust_Conn!K921+New_Towns!K149+New_Towns!K404+New_Towns!K672+IT!K275+Other!K149</f>
        <v>0</v>
      </c>
      <c r="L145" s="81">
        <f ca="1">Low_Press!L226+AdHoc!L170+AdHoc!L445+AdHoc!L720+Medium_Press!L219+High_Press!L149+Dom_Meters!L170+Dom_Meters!L424+Com_Meters!L170+Com_Meters!L459+Net_Reg!L191+Net_Reg!L445+Cust_Reg!L170+Cust_Reg!L445+CP_SCADA!L198+CP_SCADA!L501+Aug!L184+Aug!L466+Cust_Conn!L154+Cust_Conn!L411+Cust_Conn!L666+Cust_Conn!L921+New_Towns!L149+New_Towns!L404+New_Towns!L672+IT!L275+Other!L149</f>
        <v>0</v>
      </c>
      <c r="M145" s="81">
        <f ca="1">Low_Press!M226+AdHoc!M170+AdHoc!M445+AdHoc!M720+Medium_Press!M219+High_Press!M149+Dom_Meters!M170+Dom_Meters!M424+Com_Meters!M170+Com_Meters!M459+Net_Reg!M191+Net_Reg!M445+Cust_Reg!M170+Cust_Reg!M445+CP_SCADA!M198+CP_SCADA!M501+Aug!M184+Aug!M466+Cust_Conn!M154+Cust_Conn!M411+Cust_Conn!M666+Cust_Conn!M921+New_Towns!M149+New_Towns!M404+New_Towns!M672+IT!M275+Other!M149</f>
        <v>0</v>
      </c>
      <c r="N145" s="81">
        <f ca="1">Low_Press!N226+AdHoc!N170+AdHoc!N445+AdHoc!N720+Medium_Press!N219+High_Press!N149+Dom_Meters!N170+Dom_Meters!N424+Com_Meters!N170+Com_Meters!N459+Net_Reg!N191+Net_Reg!N445+Cust_Reg!N170+Cust_Reg!N445+CP_SCADA!N198+CP_SCADA!N501+Aug!N184+Aug!N466+Cust_Conn!N154+Cust_Conn!N411+Cust_Conn!N666+Cust_Conn!N921+New_Towns!N149+New_Towns!N404+New_Towns!N672+IT!N275+Other!N149</f>
        <v>8560984.8510608189</v>
      </c>
      <c r="O145" s="81">
        <f ca="1">Low_Press!O226+AdHoc!O170+AdHoc!O445+AdHoc!O720+Medium_Press!O219+High_Press!O149+Dom_Meters!O170+Dom_Meters!O424+Com_Meters!O170+Com_Meters!O459+Net_Reg!O191+Net_Reg!O445+Cust_Reg!O170+Cust_Reg!O445+CP_SCADA!O198+CP_SCADA!O501+Aug!O184+Aug!O466+Cust_Conn!O154+Cust_Conn!O411+Cust_Conn!O666+Cust_Conn!O921+New_Towns!O149+New_Towns!O404+New_Towns!O672+IT!O275+Other!O149</f>
        <v>2714389.9715701188</v>
      </c>
      <c r="P145" s="81">
        <f ca="1">Low_Press!P226+AdHoc!P170+AdHoc!P445+AdHoc!P720+Medium_Press!P219+High_Press!P149+Dom_Meters!P170+Dom_Meters!P424+Com_Meters!P170+Com_Meters!P459+Net_Reg!P191+Net_Reg!P445+Cust_Reg!P170+Cust_Reg!P445+CP_SCADA!P198+CP_SCADA!P501+Aug!P184+Aug!P466+Cust_Conn!P154+Cust_Conn!P411+Cust_Conn!P666+Cust_Conn!P921+New_Towns!P149+New_Towns!P404+New_Towns!P672+IT!P275+Other!P149</f>
        <v>6584168.0776153626</v>
      </c>
      <c r="Q145" s="81">
        <f ca="1">Low_Press!Q226+AdHoc!Q170+AdHoc!Q445+AdHoc!Q720+Medium_Press!Q219+High_Press!Q149+Dom_Meters!Q170+Dom_Meters!Q424+Com_Meters!Q170+Com_Meters!Q459+Net_Reg!Q191+Net_Reg!Q445+Cust_Reg!Q170+Cust_Reg!Q445+CP_SCADA!Q198+CP_SCADA!Q501+Aug!Q184+Aug!Q466+Cust_Conn!Q154+Cust_Conn!Q411+Cust_Conn!Q666+Cust_Conn!Q921+New_Towns!Q149+New_Towns!Q404+New_Towns!Q672+IT!Q275+Other!Q149</f>
        <v>7803235.3429227909</v>
      </c>
      <c r="R145" s="81">
        <f ca="1">Low_Press!R226+AdHoc!R170+AdHoc!R445+AdHoc!R720+Medium_Press!R219+High_Press!R149+Dom_Meters!R170+Dom_Meters!R424+Com_Meters!R170+Com_Meters!R459+Net_Reg!R191+Net_Reg!R445+Cust_Reg!R170+Cust_Reg!R445+CP_SCADA!R198+CP_SCADA!R501+Aug!R184+Aug!R466+Cust_Conn!R154+Cust_Conn!R411+Cust_Conn!R666+Cust_Conn!R921+New_Towns!R149+New_Towns!R404+New_Towns!R672+IT!R275+Other!R149</f>
        <v>4187423.2456704942</v>
      </c>
      <c r="S145" s="81">
        <f ca="1">Low_Press!S226+AdHoc!S170+AdHoc!S445+AdHoc!S720+Medium_Press!S219+High_Press!S149+Dom_Meters!S170+Dom_Meters!S424+Com_Meters!S170+Com_Meters!S459+Net_Reg!S191+Net_Reg!S445+Cust_Reg!S170+Cust_Reg!S445+CP_SCADA!S198+CP_SCADA!S501+Aug!S184+Aug!S466+Cust_Conn!S154+Cust_Conn!S411+Cust_Conn!S666+Cust_Conn!S921+New_Towns!S149+New_Towns!S404+New_Towns!S672+IT!S275+Other!S149</f>
        <v>4249032.8277260335</v>
      </c>
      <c r="T145" s="81">
        <f ca="1">Low_Press!T226+AdHoc!T170+AdHoc!T445+AdHoc!T720+Medium_Press!T219+High_Press!T149+Dom_Meters!T170+Dom_Meters!T424+Com_Meters!T170+Com_Meters!T459+Net_Reg!T191+Net_Reg!T445+Cust_Reg!T170+Cust_Reg!T445+CP_SCADA!T198+CP_SCADA!T501+Aug!T184+Aug!T466+Cust_Conn!T154+Cust_Conn!T411+Cust_Conn!T666+Cust_Conn!T921+New_Towns!T149+New_Towns!T404+New_Towns!T672+IT!T275+Other!T149</f>
        <v>7664951.4296317138</v>
      </c>
    </row>
    <row r="146" spans="5:20" s="41" customFormat="1" outlineLevel="1">
      <c r="F146" s="247" t="str">
        <f>GC!C45</f>
        <v>Meters</v>
      </c>
      <c r="G146" s="247"/>
      <c r="H146" s="247"/>
      <c r="I146" s="247"/>
      <c r="J146" s="81">
        <f ca="1">Low_Press!J227+AdHoc!J171+AdHoc!J446+AdHoc!J721+Medium_Press!J220+High_Press!J150+Dom_Meters!J171+Dom_Meters!J425+Com_Meters!J171+Com_Meters!J460+Net_Reg!J192+Net_Reg!J446+Cust_Reg!J171+Cust_Reg!J446+CP_SCADA!J199+CP_SCADA!J502+Aug!J185+Aug!J467+Cust_Conn!J155+Cust_Conn!J412+Cust_Conn!J667+Cust_Conn!J922+New_Towns!J150+New_Towns!J405+New_Towns!J673+IT!J276+Other!J150</f>
        <v>0</v>
      </c>
      <c r="K146" s="81">
        <f ca="1">Low_Press!K227+AdHoc!K171+AdHoc!K446+AdHoc!K721+Medium_Press!K220+High_Press!K150+Dom_Meters!K171+Dom_Meters!K425+Com_Meters!K171+Com_Meters!K460+Net_Reg!K192+Net_Reg!K446+Cust_Reg!K171+Cust_Reg!K446+CP_SCADA!K199+CP_SCADA!K502+Aug!K185+Aug!K467+Cust_Conn!K155+Cust_Conn!K412+Cust_Conn!K667+Cust_Conn!K922+New_Towns!K150+New_Towns!K405+New_Towns!K673+IT!K276+Other!K150</f>
        <v>0</v>
      </c>
      <c r="L146" s="81">
        <f ca="1">Low_Press!L227+AdHoc!L171+AdHoc!L446+AdHoc!L721+Medium_Press!L220+High_Press!L150+Dom_Meters!L171+Dom_Meters!L425+Com_Meters!L171+Com_Meters!L460+Net_Reg!L192+Net_Reg!L446+Cust_Reg!L171+Cust_Reg!L446+CP_SCADA!L199+CP_SCADA!L502+Aug!L185+Aug!L467+Cust_Conn!L155+Cust_Conn!L412+Cust_Conn!L667+Cust_Conn!L922+New_Towns!L150+New_Towns!L405+New_Towns!L673+IT!L276+Other!L150</f>
        <v>0</v>
      </c>
      <c r="M146" s="81">
        <f ca="1">Low_Press!M227+AdHoc!M171+AdHoc!M446+AdHoc!M721+Medium_Press!M220+High_Press!M150+Dom_Meters!M171+Dom_Meters!M425+Com_Meters!M171+Com_Meters!M460+Net_Reg!M192+Net_Reg!M446+Cust_Reg!M171+Cust_Reg!M446+CP_SCADA!M199+CP_SCADA!M502+Aug!M185+Aug!M467+Cust_Conn!M155+Cust_Conn!M412+Cust_Conn!M667+Cust_Conn!M922+New_Towns!M150+New_Towns!M405+New_Towns!M673+IT!M276+Other!M150</f>
        <v>0</v>
      </c>
      <c r="N146" s="81">
        <f ca="1">Low_Press!N227+AdHoc!N171+AdHoc!N446+AdHoc!N721+Medium_Press!N220+High_Press!N150+Dom_Meters!N171+Dom_Meters!N425+Com_Meters!N171+Com_Meters!N460+Net_Reg!N192+Net_Reg!N446+Cust_Reg!N171+Cust_Reg!N446+CP_SCADA!N199+CP_SCADA!N502+Aug!N185+Aug!N467+Cust_Conn!N155+Cust_Conn!N412+Cust_Conn!N667+Cust_Conn!N922+New_Towns!N150+New_Towns!N405+New_Towns!N673+IT!N276+Other!N150</f>
        <v>15761059.307976691</v>
      </c>
      <c r="O146" s="81">
        <f ca="1">Low_Press!O227+AdHoc!O171+AdHoc!O446+AdHoc!O721+Medium_Press!O220+High_Press!O150+Dom_Meters!O171+Dom_Meters!O425+Com_Meters!O171+Com_Meters!O460+Net_Reg!O192+Net_Reg!O446+Cust_Reg!O171+Cust_Reg!O446+CP_SCADA!O199+CP_SCADA!O502+Aug!O185+Aug!O467+Cust_Conn!O155+Cust_Conn!O412+Cust_Conn!O667+Cust_Conn!O922+New_Towns!O150+New_Towns!O405+New_Towns!O673+IT!O276+Other!O150</f>
        <v>8165400.0323819034</v>
      </c>
      <c r="P146" s="81">
        <f ca="1">Low_Press!P227+AdHoc!P171+AdHoc!P446+AdHoc!P721+Medium_Press!P220+High_Press!P150+Dom_Meters!P171+Dom_Meters!P425+Com_Meters!P171+Com_Meters!P460+Net_Reg!P192+Net_Reg!P446+Cust_Reg!P171+Cust_Reg!P446+CP_SCADA!P199+CP_SCADA!P502+Aug!P185+Aug!P467+Cust_Conn!P155+Cust_Conn!P412+Cust_Conn!P667+Cust_Conn!P922+New_Towns!P150+New_Towns!P405+New_Towns!P673+IT!P276+Other!P150</f>
        <v>15083231.906962482</v>
      </c>
      <c r="Q146" s="81">
        <f ca="1">Low_Press!Q227+AdHoc!Q171+AdHoc!Q446+AdHoc!Q721+Medium_Press!Q220+High_Press!Q150+Dom_Meters!Q171+Dom_Meters!Q425+Com_Meters!Q171+Com_Meters!Q460+Net_Reg!Q192+Net_Reg!Q446+Cust_Reg!Q171+Cust_Reg!Q446+CP_SCADA!Q199+CP_SCADA!Q502+Aug!Q185+Aug!Q467+Cust_Conn!Q155+Cust_Conn!Q412+Cust_Conn!Q667+Cust_Conn!Q922+New_Towns!Q150+New_Towns!Q405+New_Towns!Q673+IT!Q276+Other!Q150</f>
        <v>16385872.576594079</v>
      </c>
      <c r="R146" s="81">
        <f ca="1">Low_Press!R227+AdHoc!R171+AdHoc!R446+AdHoc!R721+Medium_Press!R220+High_Press!R150+Dom_Meters!R171+Dom_Meters!R425+Com_Meters!R171+Com_Meters!R460+Net_Reg!R192+Net_Reg!R446+Cust_Reg!R171+Cust_Reg!R446+CP_SCADA!R199+CP_SCADA!R502+Aug!R185+Aug!R467+Cust_Conn!R155+Cust_Conn!R412+Cust_Conn!R667+Cust_Conn!R922+New_Towns!R150+New_Towns!R405+New_Towns!R673+IT!R276+Other!R150</f>
        <v>17198534.716029085</v>
      </c>
      <c r="S146" s="81">
        <f ca="1">Low_Press!S227+AdHoc!S171+AdHoc!S446+AdHoc!S721+Medium_Press!S220+High_Press!S150+Dom_Meters!S171+Dom_Meters!S425+Com_Meters!S171+Com_Meters!S460+Net_Reg!S192+Net_Reg!S446+Cust_Reg!S171+Cust_Reg!S446+CP_SCADA!S199+CP_SCADA!S502+Aug!S185+Aug!S467+Cust_Conn!S155+Cust_Conn!S412+Cust_Conn!S667+Cust_Conn!S922+New_Towns!S150+New_Towns!S405+New_Towns!S673+IT!S276+Other!S150</f>
        <v>15547585.706721751</v>
      </c>
      <c r="T146" s="81">
        <f ca="1">Low_Press!T227+AdHoc!T171+AdHoc!T446+AdHoc!T721+Medium_Press!T220+High_Press!T150+Dom_Meters!T171+Dom_Meters!T425+Com_Meters!T171+Com_Meters!T460+Net_Reg!T192+Net_Reg!T446+Cust_Reg!T171+Cust_Reg!T446+CP_SCADA!T199+CP_SCADA!T502+Aug!T185+Aug!T467+Cust_Conn!T155+Cust_Conn!T412+Cust_Conn!T667+Cust_Conn!T922+New_Towns!T150+New_Towns!T405+New_Towns!T673+IT!T276+Other!T150</f>
        <v>14578925.491310278</v>
      </c>
    </row>
    <row r="147" spans="5:20" s="41" customFormat="1" outlineLevel="1">
      <c r="F147" s="247" t="str">
        <f>GC!C46</f>
        <v>SCADA and remote control</v>
      </c>
      <c r="G147" s="247"/>
      <c r="H147" s="247"/>
      <c r="I147" s="247"/>
      <c r="J147" s="81">
        <f ca="1">Low_Press!J228+AdHoc!J172+AdHoc!J447+AdHoc!J722+Medium_Press!J221+High_Press!J151+Dom_Meters!J172+Dom_Meters!J426+Com_Meters!J172+Com_Meters!J461+Net_Reg!J193+Net_Reg!J447+Cust_Reg!J172+Cust_Reg!J447+CP_SCADA!J200+CP_SCADA!J503+Aug!J186+Aug!J468+Cust_Conn!J156+Cust_Conn!J413+Cust_Conn!J668+Cust_Conn!J923+New_Towns!J151+New_Towns!J406+New_Towns!J674+IT!J277+Other!J151</f>
        <v>0</v>
      </c>
      <c r="K147" s="81">
        <f ca="1">Low_Press!K228+AdHoc!K172+AdHoc!K447+AdHoc!K722+Medium_Press!K221+High_Press!K151+Dom_Meters!K172+Dom_Meters!K426+Com_Meters!K172+Com_Meters!K461+Net_Reg!K193+Net_Reg!K447+Cust_Reg!K172+Cust_Reg!K447+CP_SCADA!K200+CP_SCADA!K503+Aug!K186+Aug!K468+Cust_Conn!K156+Cust_Conn!K413+Cust_Conn!K668+Cust_Conn!K923+New_Towns!K151+New_Towns!K406+New_Towns!K674+IT!K277+Other!K151</f>
        <v>0</v>
      </c>
      <c r="L147" s="81">
        <f ca="1">Low_Press!L228+AdHoc!L172+AdHoc!L447+AdHoc!L722+Medium_Press!L221+High_Press!L151+Dom_Meters!L172+Dom_Meters!L426+Com_Meters!L172+Com_Meters!L461+Net_Reg!L193+Net_Reg!L447+Cust_Reg!L172+Cust_Reg!L447+CP_SCADA!L200+CP_SCADA!L503+Aug!L186+Aug!L468+Cust_Conn!L156+Cust_Conn!L413+Cust_Conn!L668+Cust_Conn!L923+New_Towns!L151+New_Towns!L406+New_Towns!L674+IT!L277+Other!L151</f>
        <v>0</v>
      </c>
      <c r="M147" s="81">
        <f ca="1">Low_Press!M228+AdHoc!M172+AdHoc!M447+AdHoc!M722+Medium_Press!M221+High_Press!M151+Dom_Meters!M172+Dom_Meters!M426+Com_Meters!M172+Com_Meters!M461+Net_Reg!M193+Net_Reg!M447+Cust_Reg!M172+Cust_Reg!M447+CP_SCADA!M200+CP_SCADA!M503+Aug!M186+Aug!M468+Cust_Conn!M156+Cust_Conn!M413+Cust_Conn!M668+Cust_Conn!M923+New_Towns!M151+New_Towns!M406+New_Towns!M674+IT!M277+Other!M151</f>
        <v>0</v>
      </c>
      <c r="N147" s="81">
        <f ca="1">Low_Press!N228+AdHoc!N172+AdHoc!N447+AdHoc!N722+Medium_Press!N221+High_Press!N151+Dom_Meters!N172+Dom_Meters!N426+Com_Meters!N172+Com_Meters!N461+Net_Reg!N193+Net_Reg!N447+Cust_Reg!N172+Cust_Reg!N447+CP_SCADA!N200+CP_SCADA!N503+Aug!N186+Aug!N468+Cust_Conn!N156+Cust_Conn!N413+Cust_Conn!N668+Cust_Conn!N923+New_Towns!N151+New_Towns!N406+New_Towns!N674+IT!N277+Other!N151</f>
        <v>1309317.2477967648</v>
      </c>
      <c r="O147" s="81">
        <f ca="1">Low_Press!O228+AdHoc!O172+AdHoc!O447+AdHoc!O722+Medium_Press!O221+High_Press!O151+Dom_Meters!O172+Dom_Meters!O426+Com_Meters!O172+Com_Meters!O461+Net_Reg!O193+Net_Reg!O447+Cust_Reg!O172+Cust_Reg!O447+CP_SCADA!O200+CP_SCADA!O503+Aug!O186+Aug!O468+Cust_Conn!O156+Cust_Conn!O413+Cust_Conn!O668+Cust_Conn!O923+New_Towns!O151+New_Towns!O406+New_Towns!O674+IT!O277+Other!O151</f>
        <v>144682.30489869133</v>
      </c>
      <c r="P147" s="81">
        <f ca="1">Low_Press!P228+AdHoc!P172+AdHoc!P447+AdHoc!P722+Medium_Press!P221+High_Press!P151+Dom_Meters!P172+Dom_Meters!P426+Com_Meters!P172+Com_Meters!P461+Net_Reg!P193+Net_Reg!P447+Cust_Reg!P172+Cust_Reg!P447+CP_SCADA!P200+CP_SCADA!P503+Aug!P186+Aug!P468+Cust_Conn!P156+Cust_Conn!P413+Cust_Conn!P668+Cust_Conn!P923+New_Towns!P151+New_Towns!P406+New_Towns!P674+IT!P277+Other!P151</f>
        <v>1186263.281590621</v>
      </c>
      <c r="Q147" s="81">
        <f ca="1">Low_Press!Q228+AdHoc!Q172+AdHoc!Q447+AdHoc!Q722+Medium_Press!Q221+High_Press!Q151+Dom_Meters!Q172+Dom_Meters!Q426+Com_Meters!Q172+Com_Meters!Q461+Net_Reg!Q193+Net_Reg!Q447+Cust_Reg!Q172+Cust_Reg!Q447+CP_SCADA!Q200+CP_SCADA!Q503+Aug!Q186+Aug!Q468+Cust_Conn!Q156+Cust_Conn!Q413+Cust_Conn!Q668+Cust_Conn!Q923+New_Towns!Q151+New_Towns!Q406+New_Towns!Q674+IT!Q277+Other!Q151</f>
        <v>1134412.8486350176</v>
      </c>
      <c r="R147" s="81">
        <f ca="1">Low_Press!R228+AdHoc!R172+AdHoc!R447+AdHoc!R722+Medium_Press!R221+High_Press!R151+Dom_Meters!R172+Dom_Meters!R426+Com_Meters!R172+Com_Meters!R461+Net_Reg!R193+Net_Reg!R447+Cust_Reg!R172+Cust_Reg!R447+CP_SCADA!R200+CP_SCADA!R503+Aug!R186+Aug!R468+Cust_Conn!R156+Cust_Conn!R413+Cust_Conn!R668+Cust_Conn!R923+New_Towns!R151+New_Towns!R406+New_Towns!R674+IT!R277+Other!R151</f>
        <v>262082.90334976985</v>
      </c>
      <c r="S147" s="81">
        <f ca="1">Low_Press!S228+AdHoc!S172+AdHoc!S447+AdHoc!S722+Medium_Press!S221+High_Press!S151+Dom_Meters!S172+Dom_Meters!S426+Com_Meters!S172+Com_Meters!S461+Net_Reg!S193+Net_Reg!S447+Cust_Reg!S172+Cust_Reg!S447+CP_SCADA!S200+CP_SCADA!S503+Aug!S186+Aug!S468+Cust_Conn!S156+Cust_Conn!S413+Cust_Conn!S668+Cust_Conn!S923+New_Towns!S151+New_Towns!S406+New_Towns!S674+IT!S277+Other!S151</f>
        <v>239428.58711132233</v>
      </c>
      <c r="T147" s="81">
        <f ca="1">Low_Press!T228+AdHoc!T172+AdHoc!T447+AdHoc!T722+Medium_Press!T221+High_Press!T151+Dom_Meters!T172+Dom_Meters!T426+Com_Meters!T172+Com_Meters!T461+Net_Reg!T193+Net_Reg!T447+Cust_Reg!T172+Cust_Reg!T447+CP_SCADA!T200+CP_SCADA!T503+Aug!T186+Aug!T468+Cust_Conn!T156+Cust_Conn!T413+Cust_Conn!T668+Cust_Conn!T923+New_Towns!T151+New_Towns!T406+New_Towns!T674+IT!T277+Other!T151</f>
        <v>263040.20344222145</v>
      </c>
    </row>
    <row r="148" spans="5:20" s="41" customFormat="1" outlineLevel="1">
      <c r="F148" s="247" t="str">
        <f>GC!C47</f>
        <v>Buildings</v>
      </c>
      <c r="G148" s="247"/>
      <c r="H148" s="247"/>
      <c r="I148" s="247"/>
      <c r="J148" s="81">
        <f ca="1">Low_Press!J229+AdHoc!J173+AdHoc!J448+AdHoc!J723+Medium_Press!J222+High_Press!J152+Dom_Meters!J173+Dom_Meters!J427+Com_Meters!J173+Com_Meters!J462+Net_Reg!J194+Net_Reg!J448+Cust_Reg!J173+Cust_Reg!J448+CP_SCADA!J201+CP_SCADA!J504+Aug!J187+Aug!J469+Cust_Conn!J157+Cust_Conn!J414+Cust_Conn!J669+Cust_Conn!J924+New_Towns!J152+New_Towns!J407+New_Towns!J675+IT!J278+Other!J152</f>
        <v>0</v>
      </c>
      <c r="K148" s="81">
        <f ca="1">Low_Press!K229+AdHoc!K173+AdHoc!K448+AdHoc!K723+Medium_Press!K222+High_Press!K152+Dom_Meters!K173+Dom_Meters!K427+Com_Meters!K173+Com_Meters!K462+Net_Reg!K194+Net_Reg!K448+Cust_Reg!K173+Cust_Reg!K448+CP_SCADA!K201+CP_SCADA!K504+Aug!K187+Aug!K469+Cust_Conn!K157+Cust_Conn!K414+Cust_Conn!K669+Cust_Conn!K924+New_Towns!K152+New_Towns!K407+New_Towns!K675+IT!K278+Other!K152</f>
        <v>0</v>
      </c>
      <c r="L148" s="81">
        <f ca="1">Low_Press!L229+AdHoc!L173+AdHoc!L448+AdHoc!L723+Medium_Press!L222+High_Press!L152+Dom_Meters!L173+Dom_Meters!L427+Com_Meters!L173+Com_Meters!L462+Net_Reg!L194+Net_Reg!L448+Cust_Reg!L173+Cust_Reg!L448+CP_SCADA!L201+CP_SCADA!L504+Aug!L187+Aug!L469+Cust_Conn!L157+Cust_Conn!L414+Cust_Conn!L669+Cust_Conn!L924+New_Towns!L152+New_Towns!L407+New_Towns!L675+IT!L278+Other!L152</f>
        <v>0</v>
      </c>
      <c r="M148" s="81">
        <f ca="1">Low_Press!M229+AdHoc!M173+AdHoc!M448+AdHoc!M723+Medium_Press!M222+High_Press!M152+Dom_Meters!M173+Dom_Meters!M427+Com_Meters!M173+Com_Meters!M462+Net_Reg!M194+Net_Reg!M448+Cust_Reg!M173+Cust_Reg!M448+CP_SCADA!M201+CP_SCADA!M504+Aug!M187+Aug!M469+Cust_Conn!M157+Cust_Conn!M414+Cust_Conn!M669+Cust_Conn!M924+New_Towns!M152+New_Towns!M407+New_Towns!M675+IT!M278+Other!M152</f>
        <v>0</v>
      </c>
      <c r="N148" s="81">
        <f ca="1">Low_Press!N229+AdHoc!N173+AdHoc!N448+AdHoc!N723+Medium_Press!N222+High_Press!N152+Dom_Meters!N173+Dom_Meters!N427+Com_Meters!N173+Com_Meters!N462+Net_Reg!N194+Net_Reg!N448+Cust_Reg!N173+Cust_Reg!N448+CP_SCADA!N201+CP_SCADA!N504+Aug!N187+Aug!N469+Cust_Conn!N157+Cust_Conn!N414+Cust_Conn!N669+Cust_Conn!N924+New_Towns!N152+New_Towns!N407+New_Towns!N675+IT!N278+Other!N152</f>
        <v>0</v>
      </c>
      <c r="O148" s="81">
        <f ca="1">Low_Press!O229+AdHoc!O173+AdHoc!O448+AdHoc!O723+Medium_Press!O222+High_Press!O152+Dom_Meters!O173+Dom_Meters!O427+Com_Meters!O173+Com_Meters!O462+Net_Reg!O194+Net_Reg!O448+Cust_Reg!O173+Cust_Reg!O448+CP_SCADA!O201+CP_SCADA!O504+Aug!O187+Aug!O469+Cust_Conn!O157+Cust_Conn!O414+Cust_Conn!O669+Cust_Conn!O924+New_Towns!O152+New_Towns!O407+New_Towns!O675+IT!O278+Other!O152</f>
        <v>0</v>
      </c>
      <c r="P148" s="81">
        <f ca="1">Low_Press!P229+AdHoc!P173+AdHoc!P448+AdHoc!P723+Medium_Press!P222+High_Press!P152+Dom_Meters!P173+Dom_Meters!P427+Com_Meters!P173+Com_Meters!P462+Net_Reg!P194+Net_Reg!P448+Cust_Reg!P173+Cust_Reg!P448+CP_SCADA!P201+CP_SCADA!P504+Aug!P187+Aug!P469+Cust_Conn!P157+Cust_Conn!P414+Cust_Conn!P669+Cust_Conn!P924+New_Towns!P152+New_Towns!P407+New_Towns!P675+IT!P278+Other!P152</f>
        <v>0</v>
      </c>
      <c r="Q148" s="81">
        <f ca="1">Low_Press!Q229+AdHoc!Q173+AdHoc!Q448+AdHoc!Q723+Medium_Press!Q222+High_Press!Q152+Dom_Meters!Q173+Dom_Meters!Q427+Com_Meters!Q173+Com_Meters!Q462+Net_Reg!Q194+Net_Reg!Q448+Cust_Reg!Q173+Cust_Reg!Q448+CP_SCADA!Q201+CP_SCADA!Q504+Aug!Q187+Aug!Q469+Cust_Conn!Q157+Cust_Conn!Q414+Cust_Conn!Q669+Cust_Conn!Q924+New_Towns!Q152+New_Towns!Q407+New_Towns!Q675+IT!Q278+Other!Q152</f>
        <v>0</v>
      </c>
      <c r="R148" s="81">
        <f ca="1">Low_Press!R229+AdHoc!R173+AdHoc!R448+AdHoc!R723+Medium_Press!R222+High_Press!R152+Dom_Meters!R173+Dom_Meters!R427+Com_Meters!R173+Com_Meters!R462+Net_Reg!R194+Net_Reg!R448+Cust_Reg!R173+Cust_Reg!R448+CP_SCADA!R201+CP_SCADA!R504+Aug!R187+Aug!R469+Cust_Conn!R157+Cust_Conn!R414+Cust_Conn!R669+Cust_Conn!R924+New_Towns!R152+New_Towns!R407+New_Towns!R675+IT!R278+Other!R152</f>
        <v>0</v>
      </c>
      <c r="S148" s="81">
        <f ca="1">Low_Press!S229+AdHoc!S173+AdHoc!S448+AdHoc!S723+Medium_Press!S222+High_Press!S152+Dom_Meters!S173+Dom_Meters!S427+Com_Meters!S173+Com_Meters!S462+Net_Reg!S194+Net_Reg!S448+Cust_Reg!S173+Cust_Reg!S448+CP_SCADA!S201+CP_SCADA!S504+Aug!S187+Aug!S469+Cust_Conn!S157+Cust_Conn!S414+Cust_Conn!S669+Cust_Conn!S924+New_Towns!S152+New_Towns!S407+New_Towns!S675+IT!S278+Other!S152</f>
        <v>0</v>
      </c>
      <c r="T148" s="81">
        <f ca="1">Low_Press!T229+AdHoc!T173+AdHoc!T448+AdHoc!T723+Medium_Press!T222+High_Press!T152+Dom_Meters!T173+Dom_Meters!T427+Com_Meters!T173+Com_Meters!T462+Net_Reg!T194+Net_Reg!T448+Cust_Reg!T173+Cust_Reg!T448+CP_SCADA!T201+CP_SCADA!T504+Aug!T187+Aug!T469+Cust_Conn!T157+Cust_Conn!T414+Cust_Conn!T669+Cust_Conn!T924+New_Towns!T152+New_Towns!T407+New_Towns!T675+IT!T278+Other!T152</f>
        <v>0</v>
      </c>
    </row>
    <row r="149" spans="5:20" s="41" customFormat="1" outlineLevel="1">
      <c r="F149" s="247" t="str">
        <f>GC!C48</f>
        <v>Other - IT</v>
      </c>
      <c r="G149" s="247"/>
      <c r="H149" s="247"/>
      <c r="I149" s="247"/>
      <c r="J149" s="81">
        <f ca="1">Low_Press!J230+AdHoc!J174+AdHoc!J449+AdHoc!J724+Medium_Press!J223+High_Press!J153+Dom_Meters!J174+Dom_Meters!J428+Com_Meters!J174+Com_Meters!J463+Net_Reg!J195+Net_Reg!J449+Cust_Reg!J174+Cust_Reg!J449+CP_SCADA!J202+CP_SCADA!J505+Aug!J188+Aug!J470+Cust_Conn!J158+Cust_Conn!J415+Cust_Conn!J670+Cust_Conn!J925+New_Towns!J153+New_Towns!J408+New_Towns!J676+IT!J279+Other!J153</f>
        <v>0</v>
      </c>
      <c r="K149" s="81">
        <f ca="1">Low_Press!K230+AdHoc!K174+AdHoc!K449+AdHoc!K724+Medium_Press!K223+High_Press!K153+Dom_Meters!K174+Dom_Meters!K428+Com_Meters!K174+Com_Meters!K463+Net_Reg!K195+Net_Reg!K449+Cust_Reg!K174+Cust_Reg!K449+CP_SCADA!K202+CP_SCADA!K505+Aug!K188+Aug!K470+Cust_Conn!K158+Cust_Conn!K415+Cust_Conn!K670+Cust_Conn!K925+New_Towns!K153+New_Towns!K408+New_Towns!K676+IT!K279+Other!K153</f>
        <v>0</v>
      </c>
      <c r="L149" s="81">
        <f ca="1">Low_Press!L230+AdHoc!L174+AdHoc!L449+AdHoc!L724+Medium_Press!L223+High_Press!L153+Dom_Meters!L174+Dom_Meters!L428+Com_Meters!L174+Com_Meters!L463+Net_Reg!L195+Net_Reg!L449+Cust_Reg!L174+Cust_Reg!L449+CP_SCADA!L202+CP_SCADA!L505+Aug!L188+Aug!L470+Cust_Conn!L158+Cust_Conn!L415+Cust_Conn!L670+Cust_Conn!L925+New_Towns!L153+New_Towns!L408+New_Towns!L676+IT!L279+Other!L153</f>
        <v>0</v>
      </c>
      <c r="M149" s="81">
        <f ca="1">Low_Press!M230+AdHoc!M174+AdHoc!M449+AdHoc!M724+Medium_Press!M223+High_Press!M153+Dom_Meters!M174+Dom_Meters!M428+Com_Meters!M174+Com_Meters!M463+Net_Reg!M195+Net_Reg!M449+Cust_Reg!M174+Cust_Reg!M449+CP_SCADA!M202+CP_SCADA!M505+Aug!M188+Aug!M470+Cust_Conn!M158+Cust_Conn!M415+Cust_Conn!M670+Cust_Conn!M925+New_Towns!M153+New_Towns!M408+New_Towns!M676+IT!M279+Other!M153</f>
        <v>0</v>
      </c>
      <c r="N149" s="81">
        <f ca="1">Low_Press!N230+AdHoc!N174+AdHoc!N449+AdHoc!N724+Medium_Press!N223+High_Press!N153+Dom_Meters!N174+Dom_Meters!N428+Com_Meters!N174+Com_Meters!N463+Net_Reg!N195+Net_Reg!N449+Cust_Reg!N174+Cust_Reg!N449+CP_SCADA!N202+CP_SCADA!N505+Aug!N188+Aug!N470+Cust_Conn!N158+Cust_Conn!N415+Cust_Conn!N670+Cust_Conn!N925+New_Towns!N153+New_Towns!N408+New_Towns!N676+IT!N279+Other!N153</f>
        <v>6978279.2324051764</v>
      </c>
      <c r="O149" s="81">
        <f ca="1">Low_Press!O230+AdHoc!O174+AdHoc!O449+AdHoc!O724+Medium_Press!O223+High_Press!O153+Dom_Meters!O174+Dom_Meters!O428+Com_Meters!O174+Com_Meters!O463+Net_Reg!O195+Net_Reg!O449+Cust_Reg!O174+Cust_Reg!O449+CP_SCADA!O202+CP_SCADA!O505+Aug!O188+Aug!O470+Cust_Conn!O158+Cust_Conn!O415+Cust_Conn!O670+Cust_Conn!O925+New_Towns!O153+New_Towns!O408+New_Towns!O676+IT!O279+Other!O153</f>
        <v>3488182.2561022043</v>
      </c>
      <c r="P149" s="81">
        <f ca="1">Low_Press!P230+AdHoc!P174+AdHoc!P449+AdHoc!P724+Medium_Press!P223+High_Press!P153+Dom_Meters!P174+Dom_Meters!P428+Com_Meters!P174+Com_Meters!P463+Net_Reg!P195+Net_Reg!P449+Cust_Reg!P174+Cust_Reg!P449+CP_SCADA!P202+CP_SCADA!P505+Aug!P188+Aug!P470+Cust_Conn!P158+Cust_Conn!P415+Cust_Conn!P670+Cust_Conn!P925+New_Towns!P153+New_Towns!P408+New_Towns!P676+IT!P279+Other!P153</f>
        <v>15450246.321215272</v>
      </c>
      <c r="Q149" s="81">
        <f ca="1">Low_Press!Q230+AdHoc!Q174+AdHoc!Q449+AdHoc!Q724+Medium_Press!Q223+High_Press!Q153+Dom_Meters!Q174+Dom_Meters!Q428+Com_Meters!Q174+Com_Meters!Q463+Net_Reg!Q195+Net_Reg!Q449+Cust_Reg!Q174+Cust_Reg!Q449+CP_SCADA!Q202+CP_SCADA!Q505+Aug!Q188+Aug!Q470+Cust_Conn!Q158+Cust_Conn!Q415+Cust_Conn!Q670+Cust_Conn!Q925+New_Towns!Q153+New_Towns!Q408+New_Towns!Q676+IT!Q279+Other!Q153</f>
        <v>17734287.311775222</v>
      </c>
      <c r="R149" s="81">
        <f ca="1">Low_Press!R230+AdHoc!R174+AdHoc!R449+AdHoc!R724+Medium_Press!R223+High_Press!R153+Dom_Meters!R174+Dom_Meters!R428+Com_Meters!R174+Com_Meters!R463+Net_Reg!R195+Net_Reg!R449+Cust_Reg!R174+Cust_Reg!R449+CP_SCADA!R202+CP_SCADA!R505+Aug!R188+Aug!R470+Cust_Conn!R158+Cust_Conn!R415+Cust_Conn!R670+Cust_Conn!R925+New_Towns!R153+New_Towns!R408+New_Towns!R676+IT!R279+Other!R153</f>
        <v>19235231.025971476</v>
      </c>
      <c r="S149" s="81">
        <f ca="1">Low_Press!S230+AdHoc!S174+AdHoc!S449+AdHoc!S724+Medium_Press!S223+High_Press!S153+Dom_Meters!S174+Dom_Meters!S428+Com_Meters!S174+Com_Meters!S463+Net_Reg!S195+Net_Reg!S449+Cust_Reg!S174+Cust_Reg!S449+CP_SCADA!S202+CP_SCADA!S505+Aug!S188+Aug!S470+Cust_Conn!S158+Cust_Conn!S415+Cust_Conn!S670+Cust_Conn!S925+New_Towns!S153+New_Towns!S408+New_Towns!S676+IT!S279+Other!S153</f>
        <v>9637247.0975269582</v>
      </c>
      <c r="T149" s="81">
        <f ca="1">Low_Press!T230+AdHoc!T174+AdHoc!T449+AdHoc!T724+Medium_Press!T223+High_Press!T153+Dom_Meters!T174+Dom_Meters!T428+Com_Meters!T174+Com_Meters!T463+Net_Reg!T195+Net_Reg!T449+Cust_Reg!T174+Cust_Reg!T449+CP_SCADA!T202+CP_SCADA!T505+Aug!T188+Aug!T470+Cust_Conn!T158+Cust_Conn!T415+Cust_Conn!T670+Cust_Conn!T925+New_Towns!T153+New_Towns!T408+New_Towns!T676+IT!T279+Other!T153</f>
        <v>7158616.5859825984</v>
      </c>
    </row>
    <row r="150" spans="5:20" s="41" customFormat="1" outlineLevel="1">
      <c r="F150" s="247" t="str">
        <f>GC!C49</f>
        <v>Other - non IT</v>
      </c>
      <c r="G150" s="247"/>
      <c r="H150" s="247"/>
      <c r="I150" s="247"/>
      <c r="J150" s="81">
        <f ca="1">Low_Press!J231+AdHoc!J175+AdHoc!J450+AdHoc!J725+Medium_Press!J224+High_Press!J154+Dom_Meters!J175+Dom_Meters!J429+Com_Meters!J175+Com_Meters!J464+Net_Reg!J196+Net_Reg!J450+Cust_Reg!J175+Cust_Reg!J450+CP_SCADA!J203+CP_SCADA!J506+Aug!J189+Aug!J471+Cust_Conn!J159+Cust_Conn!J416+Cust_Conn!J671+Cust_Conn!J926+New_Towns!J154+New_Towns!J409+New_Towns!J677+IT!J280+Other!J154</f>
        <v>0</v>
      </c>
      <c r="K150" s="81">
        <f ca="1">Low_Press!K231+AdHoc!K175+AdHoc!K450+AdHoc!K725+Medium_Press!K224+High_Press!K154+Dom_Meters!K175+Dom_Meters!K429+Com_Meters!K175+Com_Meters!K464+Net_Reg!K196+Net_Reg!K450+Cust_Reg!K175+Cust_Reg!K450+CP_SCADA!K203+CP_SCADA!K506+Aug!K189+Aug!K471+Cust_Conn!K159+Cust_Conn!K416+Cust_Conn!K671+Cust_Conn!K926+New_Towns!K154+New_Towns!K409+New_Towns!K677+IT!K280+Other!K154</f>
        <v>0</v>
      </c>
      <c r="L150" s="81">
        <f ca="1">Low_Press!L231+AdHoc!L175+AdHoc!L450+AdHoc!L725+Medium_Press!L224+High_Press!L154+Dom_Meters!L175+Dom_Meters!L429+Com_Meters!L175+Com_Meters!L464+Net_Reg!L196+Net_Reg!L450+Cust_Reg!L175+Cust_Reg!L450+CP_SCADA!L203+CP_SCADA!L506+Aug!L189+Aug!L471+Cust_Conn!L159+Cust_Conn!L416+Cust_Conn!L671+Cust_Conn!L926+New_Towns!L154+New_Towns!L409+New_Towns!L677+IT!L280+Other!L154</f>
        <v>0</v>
      </c>
      <c r="M150" s="81">
        <f ca="1">Low_Press!M231+AdHoc!M175+AdHoc!M450+AdHoc!M725+Medium_Press!M224+High_Press!M154+Dom_Meters!M175+Dom_Meters!M429+Com_Meters!M175+Com_Meters!M464+Net_Reg!M196+Net_Reg!M450+Cust_Reg!M175+Cust_Reg!M450+CP_SCADA!M203+CP_SCADA!M506+Aug!M189+Aug!M471+Cust_Conn!M159+Cust_Conn!M416+Cust_Conn!M671+Cust_Conn!M926+New_Towns!M154+New_Towns!M409+New_Towns!M677+IT!M280+Other!M154</f>
        <v>0</v>
      </c>
      <c r="N150" s="81">
        <f ca="1">Low_Press!N231+AdHoc!N175+AdHoc!N450+AdHoc!N725+Medium_Press!N224+High_Press!N154+Dom_Meters!N175+Dom_Meters!N429+Com_Meters!N175+Com_Meters!N464+Net_Reg!N196+Net_Reg!N450+Cust_Reg!N175+Cust_Reg!N450+CP_SCADA!N203+CP_SCADA!N506+Aug!N189+Aug!N471+Cust_Conn!N159+Cust_Conn!N416+Cust_Conn!N671+Cust_Conn!N926+New_Towns!N154+New_Towns!N409+New_Towns!N677+IT!N280+Other!N154</f>
        <v>361092.5049599809</v>
      </c>
      <c r="O150" s="81">
        <f ca="1">Low_Press!O231+AdHoc!O175+AdHoc!O450+AdHoc!O725+Medium_Press!O224+High_Press!O154+Dom_Meters!O175+Dom_Meters!O429+Com_Meters!O175+Com_Meters!O464+Net_Reg!O196+Net_Reg!O450+Cust_Reg!O175+Cust_Reg!O450+CP_SCADA!O203+CP_SCADA!O506+Aug!O189+Aug!O471+Cust_Conn!O159+Cust_Conn!O416+Cust_Conn!O671+Cust_Conn!O926+New_Towns!O154+New_Towns!O409+New_Towns!O677+IT!O280+Other!O154</f>
        <v>252284.62045122919</v>
      </c>
      <c r="P150" s="81">
        <f ca="1">Low_Press!P231+AdHoc!P175+AdHoc!P450+AdHoc!P725+Medium_Press!P224+High_Press!P154+Dom_Meters!P175+Dom_Meters!P429+Com_Meters!P175+Com_Meters!P464+Net_Reg!P196+Net_Reg!P450+Cust_Reg!P175+Cust_Reg!P450+CP_SCADA!P203+CP_SCADA!P506+Aug!P189+Aug!P471+Cust_Conn!P159+Cust_Conn!P416+Cust_Conn!P671+Cust_Conn!P926+New_Towns!P154+New_Towns!P409+New_Towns!P677+IT!P280+Other!P154</f>
        <v>1579364.2656473839</v>
      </c>
      <c r="Q150" s="81">
        <f ca="1">Low_Press!Q231+AdHoc!Q175+AdHoc!Q450+AdHoc!Q725+Medium_Press!Q224+High_Press!Q154+Dom_Meters!Q175+Dom_Meters!Q429+Com_Meters!Q175+Com_Meters!Q464+Net_Reg!Q196+Net_Reg!Q450+Cust_Reg!Q175+Cust_Reg!Q450+CP_SCADA!Q203+CP_SCADA!Q506+Aug!Q189+Aug!Q471+Cust_Conn!Q159+Cust_Conn!Q416+Cust_Conn!Q671+Cust_Conn!Q926+New_Towns!Q154+New_Towns!Q409+New_Towns!Q677+IT!Q280+Other!Q154</f>
        <v>1579432.5168935056</v>
      </c>
      <c r="R150" s="81">
        <f ca="1">Low_Press!R231+AdHoc!R175+AdHoc!R450+AdHoc!R725+Medium_Press!R224+High_Press!R154+Dom_Meters!R175+Dom_Meters!R429+Com_Meters!R175+Com_Meters!R464+Net_Reg!R196+Net_Reg!R450+Cust_Reg!R175+Cust_Reg!R450+CP_SCADA!R203+CP_SCADA!R506+Aug!R189+Aug!R471+Cust_Conn!R159+Cust_Conn!R416+Cust_Conn!R671+Cust_Conn!R926+New_Towns!R154+New_Towns!R409+New_Towns!R677+IT!R280+Other!R154</f>
        <v>1580527.5926187662</v>
      </c>
      <c r="S150" s="81">
        <f ca="1">Low_Press!S231+AdHoc!S175+AdHoc!S450+AdHoc!S725+Medium_Press!S224+High_Press!S154+Dom_Meters!S175+Dom_Meters!S429+Com_Meters!S175+Com_Meters!S464+Net_Reg!S196+Net_Reg!S450+Cust_Reg!S175+Cust_Reg!S450+CP_SCADA!S203+CP_SCADA!S506+Aug!S189+Aug!S471+Cust_Conn!S159+Cust_Conn!S416+Cust_Conn!S671+Cust_Conn!S926+New_Towns!S154+New_Towns!S409+New_Towns!S677+IT!S280+Other!S154</f>
        <v>1582108.3631475812</v>
      </c>
      <c r="T150" s="81">
        <f ca="1">Low_Press!T231+AdHoc!T175+AdHoc!T450+AdHoc!T725+Medium_Press!T224+High_Press!T154+Dom_Meters!T175+Dom_Meters!T429+Com_Meters!T175+Com_Meters!T464+Net_Reg!T196+Net_Reg!T450+Cust_Reg!T175+Cust_Reg!T450+CP_SCADA!T203+CP_SCADA!T506+Aug!T189+Aug!T471+Cust_Conn!T159+Cust_Conn!T416+Cust_Conn!T671+Cust_Conn!T926+New_Towns!T154+New_Towns!T409+New_Towns!T677+IT!T280+Other!T154</f>
        <v>1521638.9364417125</v>
      </c>
    </row>
    <row r="151" spans="5:20" s="41" customFormat="1" outlineLevel="1">
      <c r="F151" s="247" t="str">
        <f>GC!C50</f>
        <v>Land</v>
      </c>
      <c r="G151" s="247"/>
      <c r="H151" s="247"/>
      <c r="I151" s="247"/>
      <c r="J151" s="81">
        <f ca="1">Low_Press!J232+AdHoc!J176+AdHoc!J451+AdHoc!J726+Medium_Press!J225+High_Press!J155+Dom_Meters!J176+Dom_Meters!J430+Com_Meters!J176+Com_Meters!J465+Net_Reg!J197+Net_Reg!J451+Cust_Reg!J176+Cust_Reg!J451+CP_SCADA!J204+CP_SCADA!J507+Aug!J190+Aug!J472+Cust_Conn!J160+Cust_Conn!J417+Cust_Conn!J672+Cust_Conn!J927+New_Towns!J155+New_Towns!J410+New_Towns!J678+IT!J281+Other!J155</f>
        <v>0</v>
      </c>
      <c r="K151" s="81">
        <f ca="1">Low_Press!K232+AdHoc!K176+AdHoc!K451+AdHoc!K726+Medium_Press!K225+High_Press!K155+Dom_Meters!K176+Dom_Meters!K430+Com_Meters!K176+Com_Meters!K465+Net_Reg!K197+Net_Reg!K451+Cust_Reg!K176+Cust_Reg!K451+CP_SCADA!K204+CP_SCADA!K507+Aug!K190+Aug!K472+Cust_Conn!K160+Cust_Conn!K417+Cust_Conn!K672+Cust_Conn!K927+New_Towns!K155+New_Towns!K410+New_Towns!K678+IT!K281+Other!K155</f>
        <v>0</v>
      </c>
      <c r="L151" s="81">
        <f ca="1">Low_Press!L232+AdHoc!L176+AdHoc!L451+AdHoc!L726+Medium_Press!L225+High_Press!L155+Dom_Meters!L176+Dom_Meters!L430+Com_Meters!L176+Com_Meters!L465+Net_Reg!L197+Net_Reg!L451+Cust_Reg!L176+Cust_Reg!L451+CP_SCADA!L204+CP_SCADA!L507+Aug!L190+Aug!L472+Cust_Conn!L160+Cust_Conn!L417+Cust_Conn!L672+Cust_Conn!L927+New_Towns!L155+New_Towns!L410+New_Towns!L678+IT!L281+Other!L155</f>
        <v>0</v>
      </c>
      <c r="M151" s="81">
        <f ca="1">Low_Press!M232+AdHoc!M176+AdHoc!M451+AdHoc!M726+Medium_Press!M225+High_Press!M155+Dom_Meters!M176+Dom_Meters!M430+Com_Meters!M176+Com_Meters!M465+Net_Reg!M197+Net_Reg!M451+Cust_Reg!M176+Cust_Reg!M451+CP_SCADA!M204+CP_SCADA!M507+Aug!M190+Aug!M472+Cust_Conn!M160+Cust_Conn!M417+Cust_Conn!M672+Cust_Conn!M927+New_Towns!M155+New_Towns!M410+New_Towns!M678+IT!M281+Other!M155</f>
        <v>0</v>
      </c>
      <c r="N151" s="81">
        <f ca="1">Low_Press!N232+AdHoc!N176+AdHoc!N451+AdHoc!N726+Medium_Press!N225+High_Press!N155+Dom_Meters!N176+Dom_Meters!N430+Com_Meters!N176+Com_Meters!N465+Net_Reg!N197+Net_Reg!N451+Cust_Reg!N176+Cust_Reg!N451+CP_SCADA!N204+CP_SCADA!N507+Aug!N190+Aug!N472+Cust_Conn!N160+Cust_Conn!N417+Cust_Conn!N672+Cust_Conn!N927+New_Towns!N155+New_Towns!N410+New_Towns!N678+IT!N281+Other!N155</f>
        <v>0</v>
      </c>
      <c r="O151" s="81">
        <f ca="1">Low_Press!O232+AdHoc!O176+AdHoc!O451+AdHoc!O726+Medium_Press!O225+High_Press!O155+Dom_Meters!O176+Dom_Meters!O430+Com_Meters!O176+Com_Meters!O465+Net_Reg!O197+Net_Reg!O451+Cust_Reg!O176+Cust_Reg!O451+CP_SCADA!O204+CP_SCADA!O507+Aug!O190+Aug!O472+Cust_Conn!O160+Cust_Conn!O417+Cust_Conn!O672+Cust_Conn!O927+New_Towns!O155+New_Towns!O410+New_Towns!O678+IT!O281+Other!O155</f>
        <v>0</v>
      </c>
      <c r="P151" s="81">
        <f ca="1">Low_Press!P232+AdHoc!P176+AdHoc!P451+AdHoc!P726+Medium_Press!P225+High_Press!P155+Dom_Meters!P176+Dom_Meters!P430+Com_Meters!P176+Com_Meters!P465+Net_Reg!P197+Net_Reg!P451+Cust_Reg!P176+Cust_Reg!P451+CP_SCADA!P204+CP_SCADA!P507+Aug!P190+Aug!P472+Cust_Conn!P160+Cust_Conn!P417+Cust_Conn!P672+Cust_Conn!P927+New_Towns!P155+New_Towns!P410+New_Towns!P678+IT!P281+Other!P155</f>
        <v>0</v>
      </c>
      <c r="Q151" s="81">
        <f ca="1">Low_Press!Q232+AdHoc!Q176+AdHoc!Q451+AdHoc!Q726+Medium_Press!Q225+High_Press!Q155+Dom_Meters!Q176+Dom_Meters!Q430+Com_Meters!Q176+Com_Meters!Q465+Net_Reg!Q197+Net_Reg!Q451+Cust_Reg!Q176+Cust_Reg!Q451+CP_SCADA!Q204+CP_SCADA!Q507+Aug!Q190+Aug!Q472+Cust_Conn!Q160+Cust_Conn!Q417+Cust_Conn!Q672+Cust_Conn!Q927+New_Towns!Q155+New_Towns!Q410+New_Towns!Q678+IT!Q281+Other!Q155</f>
        <v>0</v>
      </c>
      <c r="R151" s="81">
        <f ca="1">Low_Press!R232+AdHoc!R176+AdHoc!R451+AdHoc!R726+Medium_Press!R225+High_Press!R155+Dom_Meters!R176+Dom_Meters!R430+Com_Meters!R176+Com_Meters!R465+Net_Reg!R197+Net_Reg!R451+Cust_Reg!R176+Cust_Reg!R451+CP_SCADA!R204+CP_SCADA!R507+Aug!R190+Aug!R472+Cust_Conn!R160+Cust_Conn!R417+Cust_Conn!R672+Cust_Conn!R927+New_Towns!R155+New_Towns!R410+New_Towns!R678+IT!R281+Other!R155</f>
        <v>0</v>
      </c>
      <c r="S151" s="81">
        <f ca="1">Low_Press!S232+AdHoc!S176+AdHoc!S451+AdHoc!S726+Medium_Press!S225+High_Press!S155+Dom_Meters!S176+Dom_Meters!S430+Com_Meters!S176+Com_Meters!S465+Net_Reg!S197+Net_Reg!S451+Cust_Reg!S176+Cust_Reg!S451+CP_SCADA!S204+CP_SCADA!S507+Aug!S190+Aug!S472+Cust_Conn!S160+Cust_Conn!S417+Cust_Conn!S672+Cust_Conn!S927+New_Towns!S155+New_Towns!S410+New_Towns!S678+IT!S281+Other!S155</f>
        <v>0</v>
      </c>
      <c r="T151" s="81">
        <f ca="1">Low_Press!T232+AdHoc!T176+AdHoc!T451+AdHoc!T726+Medium_Press!T225+High_Press!T155+Dom_Meters!T176+Dom_Meters!T430+Com_Meters!T176+Com_Meters!T465+Net_Reg!T197+Net_Reg!T451+Cust_Reg!T176+Cust_Reg!T451+CP_SCADA!T204+CP_SCADA!T507+Aug!T190+Aug!T472+Cust_Conn!T160+Cust_Conn!T417+Cust_Conn!T672+Cust_Conn!T927+New_Towns!T155+New_Towns!T410+New_Towns!T678+IT!T281+Other!T155</f>
        <v>0</v>
      </c>
    </row>
    <row r="152" spans="5:20" outlineLevel="1">
      <c r="F152" s="247" t="str">
        <f>GC!C51</f>
        <v>Capitalised Leases</v>
      </c>
      <c r="G152" s="247"/>
      <c r="H152" s="247"/>
      <c r="I152" s="247"/>
      <c r="J152" s="81">
        <f ca="1">Low_Press!J233+AdHoc!J177+AdHoc!J452+AdHoc!J727+Medium_Press!J226+High_Press!J156+Dom_Meters!J177+Dom_Meters!J431+Com_Meters!J177+Com_Meters!J466+Net_Reg!J198+Net_Reg!J452+Cust_Reg!J177+Cust_Reg!J452+CP_SCADA!J205+CP_SCADA!J508+Aug!J191+Aug!J473+Cust_Conn!J161+Cust_Conn!J418+Cust_Conn!J673+Cust_Conn!J928+New_Towns!J156+New_Towns!J411+New_Towns!J679+IT!J282+Other!J156</f>
        <v>0</v>
      </c>
      <c r="K152" s="81">
        <f ca="1">Low_Press!K233+AdHoc!K177+AdHoc!K452+AdHoc!K727+Medium_Press!K226+High_Press!K156+Dom_Meters!K177+Dom_Meters!K431+Com_Meters!K177+Com_Meters!K466+Net_Reg!K198+Net_Reg!K452+Cust_Reg!K177+Cust_Reg!K452+CP_SCADA!K205+CP_SCADA!K508+Aug!K191+Aug!K473+Cust_Conn!K161+Cust_Conn!K418+Cust_Conn!K673+Cust_Conn!K928+New_Towns!K156+New_Towns!K411+New_Towns!K679+IT!K282+Other!K156</f>
        <v>0</v>
      </c>
      <c r="L152" s="81">
        <f ca="1">Low_Press!L233+AdHoc!L177+AdHoc!L452+AdHoc!L727+Medium_Press!L226+High_Press!L156+Dom_Meters!L177+Dom_Meters!L431+Com_Meters!L177+Com_Meters!L466+Net_Reg!L198+Net_Reg!L452+Cust_Reg!L177+Cust_Reg!L452+CP_SCADA!L205+CP_SCADA!L508+Aug!L191+Aug!L473+Cust_Conn!L161+Cust_Conn!L418+Cust_Conn!L673+Cust_Conn!L928+New_Towns!L156+New_Towns!L411+New_Towns!L679+IT!L282+Other!L156</f>
        <v>0</v>
      </c>
      <c r="M152" s="81">
        <f ca="1">Low_Press!M233+AdHoc!M177+AdHoc!M452+AdHoc!M727+Medium_Press!M226+High_Press!M156+Dom_Meters!M177+Dom_Meters!M431+Com_Meters!M177+Com_Meters!M466+Net_Reg!M198+Net_Reg!M452+Cust_Reg!M177+Cust_Reg!M452+CP_SCADA!M205+CP_SCADA!M508+Aug!M191+Aug!M473+Cust_Conn!M161+Cust_Conn!M418+Cust_Conn!M673+Cust_Conn!M928+New_Towns!M156+New_Towns!M411+New_Towns!M679+IT!M282+Other!M156</f>
        <v>0</v>
      </c>
      <c r="N152" s="81">
        <f ca="1">Low_Press!N233+AdHoc!N177+AdHoc!N452+AdHoc!N727+Medium_Press!N226+High_Press!N156+Dom_Meters!N177+Dom_Meters!N431+Com_Meters!N177+Com_Meters!N466+Net_Reg!N198+Net_Reg!N452+Cust_Reg!N177+Cust_Reg!N452+CP_SCADA!N205+CP_SCADA!N508+Aug!N191+Aug!N473+Cust_Conn!N161+Cust_Conn!N418+Cust_Conn!N673+Cust_Conn!N928+New_Towns!N156+New_Towns!N411+New_Towns!N679+IT!N282+Other!N156</f>
        <v>0</v>
      </c>
      <c r="O152" s="81">
        <f ca="1">Low_Press!O233+AdHoc!O177+AdHoc!O452+AdHoc!O727+Medium_Press!O226+High_Press!O156+Dom_Meters!O177+Dom_Meters!O431+Com_Meters!O177+Com_Meters!O466+Net_Reg!O198+Net_Reg!O452+Cust_Reg!O177+Cust_Reg!O452+CP_SCADA!O205+CP_SCADA!O508+Aug!O191+Aug!O473+Cust_Conn!O161+Cust_Conn!O418+Cust_Conn!O673+Cust_Conn!O928+New_Towns!O156+New_Towns!O411+New_Towns!O679+IT!O282+Other!O156</f>
        <v>0</v>
      </c>
      <c r="P152" s="81">
        <f ca="1">Low_Press!P233+AdHoc!P177+AdHoc!P452+AdHoc!P727+Medium_Press!P226+High_Press!P156+Dom_Meters!P177+Dom_Meters!P431+Com_Meters!P177+Com_Meters!P466+Net_Reg!P198+Net_Reg!P452+Cust_Reg!P177+Cust_Reg!P452+CP_SCADA!P205+CP_SCADA!P508+Aug!P191+Aug!P473+Cust_Conn!P161+Cust_Conn!P418+Cust_Conn!P673+Cust_Conn!P928+New_Towns!P156+New_Towns!P411+New_Towns!P679+IT!P282+Other!P156</f>
        <v>0</v>
      </c>
      <c r="Q152" s="81">
        <f ca="1">Low_Press!Q233+AdHoc!Q177+AdHoc!Q452+AdHoc!Q727+Medium_Press!Q226+High_Press!Q156+Dom_Meters!Q177+Dom_Meters!Q431+Com_Meters!Q177+Com_Meters!Q466+Net_Reg!Q198+Net_Reg!Q452+Cust_Reg!Q177+Cust_Reg!Q452+CP_SCADA!Q205+CP_SCADA!Q508+Aug!Q191+Aug!Q473+Cust_Conn!Q161+Cust_Conn!Q418+Cust_Conn!Q673+Cust_Conn!Q928+New_Towns!Q156+New_Towns!Q411+New_Towns!Q679+IT!Q282+Other!Q156</f>
        <v>0</v>
      </c>
      <c r="R152" s="81">
        <f ca="1">Low_Press!R233+AdHoc!R177+AdHoc!R452+AdHoc!R727+Medium_Press!R226+High_Press!R156+Dom_Meters!R177+Dom_Meters!R431+Com_Meters!R177+Com_Meters!R466+Net_Reg!R198+Net_Reg!R452+Cust_Reg!R177+Cust_Reg!R452+CP_SCADA!R205+CP_SCADA!R508+Aug!R191+Aug!R473+Cust_Conn!R161+Cust_Conn!R418+Cust_Conn!R673+Cust_Conn!R928+New_Towns!R156+New_Towns!R411+New_Towns!R679+IT!R282+Other!R156</f>
        <v>0</v>
      </c>
      <c r="S152" s="81">
        <f ca="1">Low_Press!S233+AdHoc!S177+AdHoc!S452+AdHoc!S727+Medium_Press!S226+High_Press!S156+Dom_Meters!S177+Dom_Meters!S431+Com_Meters!S177+Com_Meters!S466+Net_Reg!S198+Net_Reg!S452+Cust_Reg!S177+Cust_Reg!S452+CP_SCADA!S205+CP_SCADA!S508+Aug!S191+Aug!S473+Cust_Conn!S161+Cust_Conn!S418+Cust_Conn!S673+Cust_Conn!S928+New_Towns!S156+New_Towns!S411+New_Towns!S679+IT!S282+Other!S156</f>
        <v>0</v>
      </c>
      <c r="T152" s="81">
        <f ca="1">Low_Press!T233+AdHoc!T177+AdHoc!T452+AdHoc!T727+Medium_Press!T226+High_Press!T156+Dom_Meters!T177+Dom_Meters!T431+Com_Meters!T177+Com_Meters!T466+Net_Reg!T198+Net_Reg!T452+Cust_Reg!T177+Cust_Reg!T452+CP_SCADA!T205+CP_SCADA!T508+Aug!T191+Aug!T473+Cust_Conn!T161+Cust_Conn!T418+Cust_Conn!T673+Cust_Conn!T928+New_Towns!T156+New_Towns!T411+New_Towns!T679+IT!T282+Other!T156</f>
        <v>0</v>
      </c>
    </row>
    <row r="153" spans="5:20" outlineLevel="1">
      <c r="F153" s="247" t="str">
        <f>GC!C52</f>
        <v>Transmission pipelines - post 1998</v>
      </c>
      <c r="G153" s="247"/>
      <c r="H153" s="247"/>
      <c r="I153" s="247"/>
      <c r="J153" s="81">
        <f ca="1">Low_Press!J234+AdHoc!J178+AdHoc!J453+AdHoc!J728+Medium_Press!J227+High_Press!J157+Dom_Meters!J178+Dom_Meters!J432+Com_Meters!J178+Com_Meters!J467+Net_Reg!J199+Net_Reg!J453+Cust_Reg!J178+Cust_Reg!J453+CP_SCADA!J206+CP_SCADA!J509+Aug!J192+Aug!J474+Cust_Conn!J162+Cust_Conn!J419+Cust_Conn!J674+Cust_Conn!J929+New_Towns!J157+New_Towns!J412+New_Towns!J680+IT!J283+Other!J157</f>
        <v>0</v>
      </c>
      <c r="K153" s="81">
        <f ca="1">Low_Press!K234+AdHoc!K178+AdHoc!K453+AdHoc!K728+Medium_Press!K227+High_Press!K157+Dom_Meters!K178+Dom_Meters!K432+Com_Meters!K178+Com_Meters!K467+Net_Reg!K199+Net_Reg!K453+Cust_Reg!K178+Cust_Reg!K453+CP_SCADA!K206+CP_SCADA!K509+Aug!K192+Aug!K474+Cust_Conn!K162+Cust_Conn!K419+Cust_Conn!K674+Cust_Conn!K929+New_Towns!K157+New_Towns!K412+New_Towns!K680+IT!K283+Other!K157</f>
        <v>0</v>
      </c>
      <c r="L153" s="81">
        <f ca="1">Low_Press!L234+AdHoc!L178+AdHoc!L453+AdHoc!L728+Medium_Press!L227+High_Press!L157+Dom_Meters!L178+Dom_Meters!L432+Com_Meters!L178+Com_Meters!L467+Net_Reg!L199+Net_Reg!L453+Cust_Reg!L178+Cust_Reg!L453+CP_SCADA!L206+CP_SCADA!L509+Aug!L192+Aug!L474+Cust_Conn!L162+Cust_Conn!L419+Cust_Conn!L674+Cust_Conn!L929+New_Towns!L157+New_Towns!L412+New_Towns!L680+IT!L283+Other!L157</f>
        <v>0</v>
      </c>
      <c r="M153" s="81">
        <f ca="1">Low_Press!M234+AdHoc!M178+AdHoc!M453+AdHoc!M728+Medium_Press!M227+High_Press!M157+Dom_Meters!M178+Dom_Meters!M432+Com_Meters!M178+Com_Meters!M467+Net_Reg!M199+Net_Reg!M453+Cust_Reg!M178+Cust_Reg!M453+CP_SCADA!M206+CP_SCADA!M509+Aug!M192+Aug!M474+Cust_Conn!M162+Cust_Conn!M419+Cust_Conn!M674+Cust_Conn!M929+New_Towns!M157+New_Towns!M412+New_Towns!M680+IT!M283+Other!M157</f>
        <v>0</v>
      </c>
      <c r="N153" s="81">
        <f ca="1">Low_Press!N234+AdHoc!N178+AdHoc!N453+AdHoc!N728+Medium_Press!N227+High_Press!N157+Dom_Meters!N178+Dom_Meters!N432+Com_Meters!N178+Com_Meters!N467+Net_Reg!N199+Net_Reg!N453+Cust_Reg!N178+Cust_Reg!N453+CP_SCADA!N206+CP_SCADA!N509+Aug!N192+Aug!N474+Cust_Conn!N162+Cust_Conn!N419+Cust_Conn!N674+Cust_Conn!N929+New_Towns!N157+New_Towns!N412+New_Towns!N680+IT!N283+Other!N157</f>
        <v>682954.42721400061</v>
      </c>
      <c r="O153" s="81">
        <f ca="1">Low_Press!O234+AdHoc!O178+AdHoc!O453+AdHoc!O728+Medium_Press!O227+High_Press!O157+Dom_Meters!O178+Dom_Meters!O432+Com_Meters!O178+Com_Meters!O467+Net_Reg!O199+Net_Reg!O453+Cust_Reg!O178+Cust_Reg!O453+CP_SCADA!O206+CP_SCADA!O509+Aug!O192+Aug!O474+Cust_Conn!O162+Cust_Conn!O419+Cust_Conn!O674+Cust_Conn!O929+New_Towns!O157+New_Towns!O412+New_Towns!O680+IT!O283+Other!O157</f>
        <v>258374.6809089919</v>
      </c>
      <c r="P153" s="81">
        <f ca="1">Low_Press!P234+AdHoc!P178+AdHoc!P453+AdHoc!P728+Medium_Press!P227+High_Press!P157+Dom_Meters!P178+Dom_Meters!P432+Com_Meters!P178+Com_Meters!P467+Net_Reg!P199+Net_Reg!P453+Cust_Reg!P178+Cust_Reg!P453+CP_SCADA!P206+CP_SCADA!P509+Aug!P192+Aug!P474+Cust_Conn!P162+Cust_Conn!P419+Cust_Conn!P674+Cust_Conn!P929+New_Towns!P157+New_Towns!P412+New_Towns!P680+IT!P283+Other!P157</f>
        <v>558884.72856211546</v>
      </c>
      <c r="Q153" s="81">
        <f ca="1">Low_Press!Q234+AdHoc!Q178+AdHoc!Q453+AdHoc!Q728+Medium_Press!Q227+High_Press!Q157+Dom_Meters!Q178+Dom_Meters!Q432+Com_Meters!Q178+Com_Meters!Q467+Net_Reg!Q199+Net_Reg!Q453+Cust_Reg!Q178+Cust_Reg!Q453+CP_SCADA!Q206+CP_SCADA!Q509+Aug!Q192+Aug!Q474+Cust_Conn!Q162+Cust_Conn!Q419+Cust_Conn!Q674+Cust_Conn!Q929+New_Towns!Q157+New_Towns!Q412+New_Towns!Q680+IT!Q283+Other!Q157</f>
        <v>1724316.6786223263</v>
      </c>
      <c r="R153" s="81">
        <f ca="1">Low_Press!R234+AdHoc!R178+AdHoc!R453+AdHoc!R728+Medium_Press!R227+High_Press!R157+Dom_Meters!R178+Dom_Meters!R432+Com_Meters!R178+Com_Meters!R467+Net_Reg!R199+Net_Reg!R453+Cust_Reg!R178+Cust_Reg!R453+CP_SCADA!R206+CP_SCADA!R509+Aug!R192+Aug!R474+Cust_Conn!R162+Cust_Conn!R419+Cust_Conn!R674+Cust_Conn!R929+New_Towns!R157+New_Towns!R412+New_Towns!R680+IT!R283+Other!R157</f>
        <v>5032848.7337103086</v>
      </c>
      <c r="S153" s="81">
        <f ca="1">Low_Press!S234+AdHoc!S178+AdHoc!S453+AdHoc!S728+Medium_Press!S227+High_Press!S157+Dom_Meters!S178+Dom_Meters!S432+Com_Meters!S178+Com_Meters!S467+Net_Reg!S199+Net_Reg!S453+Cust_Reg!S178+Cust_Reg!S453+CP_SCADA!S206+CP_SCADA!S509+Aug!S192+Aug!S474+Cust_Conn!S162+Cust_Conn!S419+Cust_Conn!S674+Cust_Conn!S929+New_Towns!S157+New_Towns!S412+New_Towns!S680+IT!S283+Other!S157</f>
        <v>737051.23890915839</v>
      </c>
      <c r="T153" s="81">
        <f ca="1">Low_Press!T234+AdHoc!T178+AdHoc!T453+AdHoc!T728+Medium_Press!T227+High_Press!T157+Dom_Meters!T178+Dom_Meters!T432+Com_Meters!T178+Com_Meters!T467+Net_Reg!T199+Net_Reg!T453+Cust_Reg!T178+Cust_Reg!T453+CP_SCADA!T206+CP_SCADA!T509+Aug!T192+Aug!T474+Cust_Conn!T162+Cust_Conn!T419+Cust_Conn!T674+Cust_Conn!T929+New_Towns!T157+New_Towns!T412+New_Towns!T680+IT!T283+Other!T157</f>
        <v>123.84801840422675</v>
      </c>
    </row>
    <row r="154" spans="5:20" outlineLevel="1">
      <c r="F154" s="247" t="str">
        <f>GC!C53</f>
        <v>Distribution pipelines - post 1998</v>
      </c>
      <c r="G154" s="247"/>
      <c r="H154" s="247"/>
      <c r="I154" s="247"/>
      <c r="J154" s="81">
        <f ca="1">Low_Press!J235+AdHoc!J179+AdHoc!J454+AdHoc!J729+Medium_Press!J228+High_Press!J158+Dom_Meters!J179+Dom_Meters!J433+Com_Meters!J179+Com_Meters!J468+Net_Reg!J200+Net_Reg!J454+Cust_Reg!J179+Cust_Reg!J454+CP_SCADA!J207+CP_SCADA!J510+Aug!J193+Aug!J475+Cust_Conn!J163+Cust_Conn!J420+Cust_Conn!J675+Cust_Conn!J930+New_Towns!J158+New_Towns!J413+New_Towns!J681+IT!J284+Other!J158</f>
        <v>0</v>
      </c>
      <c r="K154" s="81">
        <f ca="1">Low_Press!K235+AdHoc!K179+AdHoc!K454+AdHoc!K729+Medium_Press!K228+High_Press!K158+Dom_Meters!K179+Dom_Meters!K433+Com_Meters!K179+Com_Meters!K468+Net_Reg!K200+Net_Reg!K454+Cust_Reg!K179+Cust_Reg!K454+CP_SCADA!K207+CP_SCADA!K510+Aug!K193+Aug!K475+Cust_Conn!K163+Cust_Conn!K420+Cust_Conn!K675+Cust_Conn!K930+New_Towns!K158+New_Towns!K413+New_Towns!K681+IT!K284+Other!K158</f>
        <v>0</v>
      </c>
      <c r="L154" s="81">
        <f ca="1">Low_Press!L235+AdHoc!L179+AdHoc!L454+AdHoc!L729+Medium_Press!L228+High_Press!L158+Dom_Meters!L179+Dom_Meters!L433+Com_Meters!L179+Com_Meters!L468+Net_Reg!L200+Net_Reg!L454+Cust_Reg!L179+Cust_Reg!L454+CP_SCADA!L207+CP_SCADA!L510+Aug!L193+Aug!L475+Cust_Conn!L163+Cust_Conn!L420+Cust_Conn!L675+Cust_Conn!L930+New_Towns!L158+New_Towns!L413+New_Towns!L681+IT!L284+Other!L158</f>
        <v>0</v>
      </c>
      <c r="M154" s="81">
        <f ca="1">Low_Press!M235+AdHoc!M179+AdHoc!M454+AdHoc!M729+Medium_Press!M228+High_Press!M158+Dom_Meters!M179+Dom_Meters!M433+Com_Meters!M179+Com_Meters!M468+Net_Reg!M200+Net_Reg!M454+Cust_Reg!M179+Cust_Reg!M454+CP_SCADA!M207+CP_SCADA!M510+Aug!M193+Aug!M475+Cust_Conn!M163+Cust_Conn!M420+Cust_Conn!M675+Cust_Conn!M930+New_Towns!M158+New_Towns!M413+New_Towns!M681+IT!M284+Other!M158</f>
        <v>0</v>
      </c>
      <c r="N154" s="81">
        <f ca="1">Low_Press!N235+AdHoc!N179+AdHoc!N454+AdHoc!N729+Medium_Press!N228+High_Press!N158+Dom_Meters!N179+Dom_Meters!N433+Com_Meters!N179+Com_Meters!N468+Net_Reg!N200+Net_Reg!N454+Cust_Reg!N179+Cust_Reg!N454+CP_SCADA!N207+CP_SCADA!N510+Aug!N193+Aug!N475+Cust_Conn!N163+Cust_Conn!N420+Cust_Conn!N675+Cust_Conn!N930+New_Towns!N158+New_Towns!N413+New_Towns!N681+IT!N284+Other!N158</f>
        <v>26652883.808408018</v>
      </c>
      <c r="O154" s="81">
        <f ca="1">Low_Press!O235+AdHoc!O179+AdHoc!O454+AdHoc!O729+Medium_Press!O228+High_Press!O158+Dom_Meters!O179+Dom_Meters!O433+Com_Meters!O179+Com_Meters!O468+Net_Reg!O200+Net_Reg!O454+Cust_Reg!O179+Cust_Reg!O454+CP_SCADA!O207+CP_SCADA!O510+Aug!O193+Aug!O475+Cust_Conn!O163+Cust_Conn!O420+Cust_Conn!O675+Cust_Conn!O930+New_Towns!O158+New_Towns!O413+New_Towns!O681+IT!O284+Other!O158</f>
        <v>20137399.70722818</v>
      </c>
      <c r="P154" s="81">
        <f ca="1">Low_Press!P235+AdHoc!P179+AdHoc!P454+AdHoc!P729+Medium_Press!P228+High_Press!P158+Dom_Meters!P179+Dom_Meters!P433+Com_Meters!P179+Com_Meters!P468+Net_Reg!P200+Net_Reg!P454+Cust_Reg!P179+Cust_Reg!P454+CP_SCADA!P207+CP_SCADA!P510+Aug!P193+Aug!P475+Cust_Conn!P163+Cust_Conn!P420+Cust_Conn!P675+Cust_Conn!P930+New_Towns!P158+New_Towns!P413+New_Towns!P681+IT!P284+Other!P158</f>
        <v>31092126.992519006</v>
      </c>
      <c r="Q154" s="81">
        <f ca="1">Low_Press!Q235+AdHoc!Q179+AdHoc!Q454+AdHoc!Q729+Medium_Press!Q228+High_Press!Q158+Dom_Meters!Q179+Dom_Meters!Q433+Com_Meters!Q179+Com_Meters!Q468+Net_Reg!Q200+Net_Reg!Q454+Cust_Reg!Q179+Cust_Reg!Q454+CP_SCADA!Q207+CP_SCADA!Q510+Aug!Q193+Aug!Q475+Cust_Conn!Q163+Cust_Conn!Q420+Cust_Conn!Q675+Cust_Conn!Q930+New_Towns!Q158+New_Towns!Q413+New_Towns!Q681+IT!Q284+Other!Q158</f>
        <v>29829037.536434874</v>
      </c>
      <c r="R154" s="81">
        <f ca="1">Low_Press!R235+AdHoc!R179+AdHoc!R454+AdHoc!R729+Medium_Press!R228+High_Press!R158+Dom_Meters!R179+Dom_Meters!R433+Com_Meters!R179+Com_Meters!R468+Net_Reg!R200+Net_Reg!R454+Cust_Reg!R179+Cust_Reg!R454+CP_SCADA!R207+CP_SCADA!R510+Aug!R193+Aug!R475+Cust_Conn!R163+Cust_Conn!R420+Cust_Conn!R675+Cust_Conn!R930+New_Towns!R158+New_Towns!R413+New_Towns!R681+IT!R284+Other!R158</f>
        <v>26744978.879328988</v>
      </c>
      <c r="S154" s="81">
        <f ca="1">Low_Press!S235+AdHoc!S179+AdHoc!S454+AdHoc!S729+Medium_Press!S228+High_Press!S158+Dom_Meters!S179+Dom_Meters!S433+Com_Meters!S179+Com_Meters!S468+Net_Reg!S200+Net_Reg!S454+Cust_Reg!S179+Cust_Reg!S454+CP_SCADA!S207+CP_SCADA!S510+Aug!S193+Aug!S475+Cust_Conn!S163+Cust_Conn!S420+Cust_Conn!S675+Cust_Conn!S930+New_Towns!S158+New_Towns!S413+New_Towns!S681+IT!S284+Other!S158</f>
        <v>29091716.951184075</v>
      </c>
      <c r="T154" s="81">
        <f ca="1">Low_Press!T235+AdHoc!T179+AdHoc!T454+AdHoc!T729+Medium_Press!T228+High_Press!T158+Dom_Meters!T179+Dom_Meters!T433+Com_Meters!T179+Com_Meters!T468+Net_Reg!T200+Net_Reg!T454+Cust_Reg!T179+Cust_Reg!T454+CP_SCADA!T207+CP_SCADA!T510+Aug!T193+Aug!T475+Cust_Conn!T163+Cust_Conn!T420+Cust_Conn!T675+Cust_Conn!T930+New_Towns!T158+New_Towns!T413+New_Towns!T681+IT!T284+Other!T158</f>
        <v>25069915.118859343</v>
      </c>
    </row>
    <row r="155" spans="5:20" outlineLevel="1">
      <c r="F155" s="247" t="str">
        <f>GC!C54</f>
        <v>Service pipes - post 1998</v>
      </c>
      <c r="G155" s="247"/>
      <c r="H155" s="247"/>
      <c r="I155" s="247"/>
      <c r="J155" s="81">
        <f ca="1">Low_Press!J236+AdHoc!J180+AdHoc!J455+AdHoc!J730+Medium_Press!J229+High_Press!J159+Dom_Meters!J180+Dom_Meters!J434+Com_Meters!J180+Com_Meters!J469+Net_Reg!J201+Net_Reg!J455+Cust_Reg!J180+Cust_Reg!J455+CP_SCADA!J208+CP_SCADA!J511+Aug!J194+Aug!J476+Cust_Conn!J164+Cust_Conn!J421+Cust_Conn!J676+Cust_Conn!J931+New_Towns!J159+New_Towns!J414+New_Towns!J682+IT!J285+Other!J159</f>
        <v>0</v>
      </c>
      <c r="K155" s="81">
        <f ca="1">Low_Press!K236+AdHoc!K180+AdHoc!K455+AdHoc!K730+Medium_Press!K229+High_Press!K159+Dom_Meters!K180+Dom_Meters!K434+Com_Meters!K180+Com_Meters!K469+Net_Reg!K201+Net_Reg!K455+Cust_Reg!K180+Cust_Reg!K455+CP_SCADA!K208+CP_SCADA!K511+Aug!K194+Aug!K476+Cust_Conn!K164+Cust_Conn!K421+Cust_Conn!K676+Cust_Conn!K931+New_Towns!K159+New_Towns!K414+New_Towns!K682+IT!K285+Other!K159</f>
        <v>0</v>
      </c>
      <c r="L155" s="81">
        <f ca="1">Low_Press!L236+AdHoc!L180+AdHoc!L455+AdHoc!L730+Medium_Press!L229+High_Press!L159+Dom_Meters!L180+Dom_Meters!L434+Com_Meters!L180+Com_Meters!L469+Net_Reg!L201+Net_Reg!L455+Cust_Reg!L180+Cust_Reg!L455+CP_SCADA!L208+CP_SCADA!L511+Aug!L194+Aug!L476+Cust_Conn!L164+Cust_Conn!L421+Cust_Conn!L676+Cust_Conn!L931+New_Towns!L159+New_Towns!L414+New_Towns!L682+IT!L285+Other!L159</f>
        <v>0</v>
      </c>
      <c r="M155" s="81">
        <f ca="1">Low_Press!M236+AdHoc!M180+AdHoc!M455+AdHoc!M730+Medium_Press!M229+High_Press!M159+Dom_Meters!M180+Dom_Meters!M434+Com_Meters!M180+Com_Meters!M469+Net_Reg!M201+Net_Reg!M455+Cust_Reg!M180+Cust_Reg!M455+CP_SCADA!M208+CP_SCADA!M511+Aug!M194+Aug!M476+Cust_Conn!M164+Cust_Conn!M421+Cust_Conn!M676+Cust_Conn!M931+New_Towns!M159+New_Towns!M414+New_Towns!M682+IT!M285+Other!M159</f>
        <v>0</v>
      </c>
      <c r="N155" s="81">
        <f ca="1">Low_Press!N236+AdHoc!N180+AdHoc!N455+AdHoc!N730+Medium_Press!N229+High_Press!N159+Dom_Meters!N180+Dom_Meters!N434+Com_Meters!N180+Com_Meters!N469+Net_Reg!N201+Net_Reg!N455+Cust_Reg!N180+Cust_Reg!N455+CP_SCADA!N208+CP_SCADA!N511+Aug!N194+Aug!N476+Cust_Conn!N164+Cust_Conn!N421+Cust_Conn!N676+Cust_Conn!N931+New_Towns!N159+New_Towns!N414+New_Towns!N682+IT!N285+Other!N159</f>
        <v>41852738.667598262</v>
      </c>
      <c r="O155" s="81">
        <f ca="1">Low_Press!O236+AdHoc!O180+AdHoc!O455+AdHoc!O730+Medium_Press!O229+High_Press!O159+Dom_Meters!O180+Dom_Meters!O434+Com_Meters!O180+Com_Meters!O469+Net_Reg!O201+Net_Reg!O455+Cust_Reg!O180+Cust_Reg!O455+CP_SCADA!O208+CP_SCADA!O511+Aug!O194+Aug!O476+Cust_Conn!O164+Cust_Conn!O421+Cust_Conn!O676+Cust_Conn!O931+New_Towns!O159+New_Towns!O414+New_Towns!O682+IT!O285+Other!O159</f>
        <v>24828286.36451814</v>
      </c>
      <c r="P155" s="81">
        <f ca="1">Low_Press!P236+AdHoc!P180+AdHoc!P455+AdHoc!P730+Medium_Press!P229+High_Press!P159+Dom_Meters!P180+Dom_Meters!P434+Com_Meters!P180+Com_Meters!P469+Net_Reg!P201+Net_Reg!P455+Cust_Reg!P180+Cust_Reg!P455+CP_SCADA!P208+CP_SCADA!P511+Aug!P194+Aug!P476+Cust_Conn!P164+Cust_Conn!P421+Cust_Conn!P676+Cust_Conn!P931+New_Towns!P159+New_Towns!P414+New_Towns!P682+IT!P285+Other!P159</f>
        <v>39742149.230371095</v>
      </c>
      <c r="Q155" s="81">
        <f ca="1">Low_Press!Q236+AdHoc!Q180+AdHoc!Q455+AdHoc!Q730+Medium_Press!Q229+High_Press!Q159+Dom_Meters!Q180+Dom_Meters!Q434+Com_Meters!Q180+Com_Meters!Q469+Net_Reg!Q201+Net_Reg!Q455+Cust_Reg!Q180+Cust_Reg!Q455+CP_SCADA!Q208+CP_SCADA!Q511+Aug!Q194+Aug!Q476+Cust_Conn!Q164+Cust_Conn!Q421+Cust_Conn!Q676+Cust_Conn!Q931+New_Towns!Q159+New_Towns!Q414+New_Towns!Q682+IT!Q285+Other!Q159</f>
        <v>39176729.525232337</v>
      </c>
      <c r="R155" s="81">
        <f ca="1">Low_Press!R236+AdHoc!R180+AdHoc!R455+AdHoc!R730+Medium_Press!R229+High_Press!R159+Dom_Meters!R180+Dom_Meters!R434+Com_Meters!R180+Com_Meters!R469+Net_Reg!R201+Net_Reg!R455+Cust_Reg!R180+Cust_Reg!R455+CP_SCADA!R208+CP_SCADA!R511+Aug!R194+Aug!R476+Cust_Conn!R164+Cust_Conn!R421+Cust_Conn!R676+Cust_Conn!R931+New_Towns!R159+New_Towns!R414+New_Towns!R682+IT!R285+Other!R159</f>
        <v>38664448.903861187</v>
      </c>
      <c r="S155" s="81">
        <f ca="1">Low_Press!S236+AdHoc!S180+AdHoc!S455+AdHoc!S730+Medium_Press!S229+High_Press!S159+Dom_Meters!S180+Dom_Meters!S434+Com_Meters!S180+Com_Meters!S469+Net_Reg!S201+Net_Reg!S455+Cust_Reg!S180+Cust_Reg!S455+CP_SCADA!S208+CP_SCADA!S511+Aug!S194+Aug!S476+Cust_Conn!S164+Cust_Conn!S421+Cust_Conn!S676+Cust_Conn!S931+New_Towns!S159+New_Towns!S414+New_Towns!S682+IT!S285+Other!S159</f>
        <v>39740452.309762828</v>
      </c>
      <c r="T155" s="81">
        <f ca="1">Low_Press!T236+AdHoc!T180+AdHoc!T455+AdHoc!T730+Medium_Press!T229+High_Press!T159+Dom_Meters!T180+Dom_Meters!T434+Com_Meters!T180+Com_Meters!T469+Net_Reg!T201+Net_Reg!T455+Cust_Reg!T180+Cust_Reg!T455+CP_SCADA!T208+CP_SCADA!T511+Aug!T194+Aug!T476+Cust_Conn!T164+Cust_Conn!T421+Cust_Conn!T676+Cust_Conn!T931+New_Towns!T159+New_Towns!T414+New_Towns!T682+IT!T285+Other!T159</f>
        <v>34968336.066471703</v>
      </c>
    </row>
    <row r="156" spans="5:20" outlineLevel="1">
      <c r="F156" s="247" t="str">
        <f>GC!C55</f>
        <v>Cathodic protection - post 1998</v>
      </c>
      <c r="G156" s="247"/>
      <c r="H156" s="247"/>
      <c r="I156" s="247"/>
      <c r="J156" s="81">
        <f ca="1">Low_Press!J237+AdHoc!J181+AdHoc!J456+AdHoc!J731+Medium_Press!J230+High_Press!J160+Dom_Meters!J181+Dom_Meters!J435+Com_Meters!J181+Com_Meters!J470+Net_Reg!J202+Net_Reg!J456+Cust_Reg!J181+Cust_Reg!J456+CP_SCADA!J209+CP_SCADA!J512+Aug!J195+Aug!J477+Cust_Conn!J165+Cust_Conn!J422+Cust_Conn!J677+Cust_Conn!J932+New_Towns!J160+New_Towns!J415+New_Towns!J683+IT!J286+Other!J160</f>
        <v>0</v>
      </c>
      <c r="K156" s="81">
        <f ca="1">Low_Press!K237+AdHoc!K181+AdHoc!K456+AdHoc!K731+Medium_Press!K230+High_Press!K160+Dom_Meters!K181+Dom_Meters!K435+Com_Meters!K181+Com_Meters!K470+Net_Reg!K202+Net_Reg!K456+Cust_Reg!K181+Cust_Reg!K456+CP_SCADA!K209+CP_SCADA!K512+Aug!K195+Aug!K477+Cust_Conn!K165+Cust_Conn!K422+Cust_Conn!K677+Cust_Conn!K932+New_Towns!K160+New_Towns!K415+New_Towns!K683+IT!K286+Other!K160</f>
        <v>0</v>
      </c>
      <c r="L156" s="81">
        <f ca="1">Low_Press!L237+AdHoc!L181+AdHoc!L456+AdHoc!L731+Medium_Press!L230+High_Press!L160+Dom_Meters!L181+Dom_Meters!L435+Com_Meters!L181+Com_Meters!L470+Net_Reg!L202+Net_Reg!L456+Cust_Reg!L181+Cust_Reg!L456+CP_SCADA!L209+CP_SCADA!L512+Aug!L195+Aug!L477+Cust_Conn!L165+Cust_Conn!L422+Cust_Conn!L677+Cust_Conn!L932+New_Towns!L160+New_Towns!L415+New_Towns!L683+IT!L286+Other!L160</f>
        <v>0</v>
      </c>
      <c r="M156" s="81">
        <f ca="1">Low_Press!M237+AdHoc!M181+AdHoc!M456+AdHoc!M731+Medium_Press!M230+High_Press!M160+Dom_Meters!M181+Dom_Meters!M435+Com_Meters!M181+Com_Meters!M470+Net_Reg!M202+Net_Reg!M456+Cust_Reg!M181+Cust_Reg!M456+CP_SCADA!M209+CP_SCADA!M512+Aug!M195+Aug!M477+Cust_Conn!M165+Cust_Conn!M422+Cust_Conn!M677+Cust_Conn!M932+New_Towns!M160+New_Towns!M415+New_Towns!M683+IT!M286+Other!M160</f>
        <v>0</v>
      </c>
      <c r="N156" s="81">
        <f ca="1">Low_Press!N237+AdHoc!N181+AdHoc!N456+AdHoc!N731+Medium_Press!N230+High_Press!N160+Dom_Meters!N181+Dom_Meters!N435+Com_Meters!N181+Com_Meters!N470+Net_Reg!N202+Net_Reg!N456+Cust_Reg!N181+Cust_Reg!N456+CP_SCADA!N209+CP_SCADA!N512+Aug!N195+Aug!N477+Cust_Conn!N165+Cust_Conn!N422+Cust_Conn!N677+Cust_Conn!N932+New_Towns!N160+New_Towns!N415+New_Towns!N683+IT!N286+Other!N160</f>
        <v>210139.82375815403</v>
      </c>
      <c r="O156" s="81">
        <f ca="1">Low_Press!O237+AdHoc!O181+AdHoc!O456+AdHoc!O731+Medium_Press!O230+High_Press!O160+Dom_Meters!O181+Dom_Meters!O435+Com_Meters!O181+Com_Meters!O470+Net_Reg!O202+Net_Reg!O456+Cust_Reg!O181+Cust_Reg!O456+CP_SCADA!O209+CP_SCADA!O512+Aug!O195+Aug!O477+Cust_Conn!O165+Cust_Conn!O422+Cust_Conn!O677+Cust_Conn!O932+New_Towns!O160+New_Towns!O415+New_Towns!O683+IT!O286+Other!O160</f>
        <v>198431.75493810582</v>
      </c>
      <c r="P156" s="81">
        <f ca="1">Low_Press!P237+AdHoc!P181+AdHoc!P456+AdHoc!P731+Medium_Press!P230+High_Press!P160+Dom_Meters!P181+Dom_Meters!P435+Com_Meters!P181+Com_Meters!P470+Net_Reg!P202+Net_Reg!P456+Cust_Reg!P181+Cust_Reg!P456+CP_SCADA!P209+CP_SCADA!P512+Aug!P195+Aug!P477+Cust_Conn!P165+Cust_Conn!P422+Cust_Conn!P677+Cust_Conn!P932+New_Towns!P160+New_Towns!P415+New_Towns!P683+IT!P286+Other!P160</f>
        <v>394434.36090397416</v>
      </c>
      <c r="Q156" s="81">
        <f ca="1">Low_Press!Q237+AdHoc!Q181+AdHoc!Q456+AdHoc!Q731+Medium_Press!Q230+High_Press!Q160+Dom_Meters!Q181+Dom_Meters!Q435+Com_Meters!Q181+Com_Meters!Q470+Net_Reg!Q202+Net_Reg!Q456+Cust_Reg!Q181+Cust_Reg!Q456+CP_SCADA!Q209+CP_SCADA!Q512+Aug!Q195+Aug!Q477+Cust_Conn!Q165+Cust_Conn!Q422+Cust_Conn!Q677+Cust_Conn!Q932+New_Towns!Q160+New_Towns!Q415+New_Towns!Q683+IT!Q286+Other!Q160</f>
        <v>414828.7167390199</v>
      </c>
      <c r="R156" s="81">
        <f ca="1">Low_Press!R237+AdHoc!R181+AdHoc!R456+AdHoc!R731+Medium_Press!R230+High_Press!R160+Dom_Meters!R181+Dom_Meters!R435+Com_Meters!R181+Com_Meters!R470+Net_Reg!R202+Net_Reg!R456+Cust_Reg!R181+Cust_Reg!R456+CP_SCADA!R209+CP_SCADA!R512+Aug!R195+Aug!R477+Cust_Conn!R165+Cust_Conn!R422+Cust_Conn!R677+Cust_Conn!R932+New_Towns!R160+New_Towns!R415+New_Towns!R683+IT!R286+Other!R160</f>
        <v>401978.15395692497</v>
      </c>
      <c r="S156" s="81">
        <f ca="1">Low_Press!S237+AdHoc!S181+AdHoc!S456+AdHoc!S731+Medium_Press!S230+High_Press!S160+Dom_Meters!S181+Dom_Meters!S435+Com_Meters!S181+Com_Meters!S470+Net_Reg!S202+Net_Reg!S456+Cust_Reg!S181+Cust_Reg!S456+CP_SCADA!S209+CP_SCADA!S512+Aug!S195+Aug!S477+Cust_Conn!S165+Cust_Conn!S422+Cust_Conn!S677+Cust_Conn!S932+New_Towns!S160+New_Towns!S415+New_Towns!S683+IT!S286+Other!S160</f>
        <v>402815.41000889102</v>
      </c>
      <c r="T156" s="81">
        <f ca="1">Low_Press!T237+AdHoc!T181+AdHoc!T456+AdHoc!T731+Medium_Press!T230+High_Press!T160+Dom_Meters!T181+Dom_Meters!T435+Com_Meters!T181+Com_Meters!T470+Net_Reg!T202+Net_Reg!T456+Cust_Reg!T181+Cust_Reg!T456+CP_SCADA!T209+CP_SCADA!T512+Aug!T195+Aug!T477+Cust_Conn!T165+Cust_Conn!T422+Cust_Conn!T677+Cust_Conn!T932+New_Towns!T160+New_Towns!T415+New_Towns!T683+IT!T286+Other!T160</f>
        <v>403538.12663377222</v>
      </c>
    </row>
    <row r="157" spans="5:20" s="41" customFormat="1" outlineLevel="1">
      <c r="F157" s="249" t="str">
        <f>"Total "&amp;E139</f>
        <v>Total Direct Costs + Overheads</v>
      </c>
      <c r="G157" s="249"/>
      <c r="H157" s="249"/>
      <c r="I157" s="249"/>
      <c r="J157" s="82">
        <f t="shared" ref="J157:T157" ca="1" si="12">SUM(J141:J156)</f>
        <v>0</v>
      </c>
      <c r="K157" s="82">
        <f t="shared" ca="1" si="12"/>
        <v>0</v>
      </c>
      <c r="L157" s="82">
        <f t="shared" ca="1" si="12"/>
        <v>0</v>
      </c>
      <c r="M157" s="82">
        <f t="shared" ca="1" si="12"/>
        <v>0</v>
      </c>
      <c r="N157" s="82">
        <f t="shared" ca="1" si="12"/>
        <v>102369449.87117787</v>
      </c>
      <c r="O157" s="82">
        <f t="shared" ca="1" si="12"/>
        <v>60187431.692997552</v>
      </c>
      <c r="P157" s="82">
        <f t="shared" ca="1" si="12"/>
        <v>111670869.1653873</v>
      </c>
      <c r="Q157" s="82">
        <f t="shared" ca="1" si="12"/>
        <v>115782153.05384918</v>
      </c>
      <c r="R157" s="82">
        <f t="shared" ca="1" si="12"/>
        <v>113308054.154497</v>
      </c>
      <c r="S157" s="82">
        <f t="shared" ca="1" si="12"/>
        <v>101227438.49209861</v>
      </c>
      <c r="T157" s="82">
        <f t="shared" ca="1" si="12"/>
        <v>91629085.806791753</v>
      </c>
    </row>
    <row r="158" spans="5:20" outlineLevel="1"/>
    <row r="159" spans="5:20" outlineLevel="1">
      <c r="E159" s="37" t="s">
        <v>367</v>
      </c>
    </row>
    <row r="160" spans="5:20" ht="5.9" customHeight="1" outlineLevel="1"/>
    <row r="161" spans="6:20" outlineLevel="1">
      <c r="F161" s="247" t="str">
        <f>GC!C40</f>
        <v>Transmission pipelines</v>
      </c>
      <c r="G161" s="247"/>
      <c r="H161" s="247"/>
      <c r="I161" s="247"/>
      <c r="J161" s="81">
        <f ca="1">Low_Press!J242+AdHoc!J186+AdHoc!J461+AdHoc!J736+Medium_Press!J235+High_Press!J165+Dom_Meters!J186+Dom_Meters!J440+Com_Meters!J186+Com_Meters!J475+Net_Reg!J207+Net_Reg!J461+Cust_Reg!J186+Cust_Reg!J461+CP_SCADA!J214+CP_SCADA!J517+Aug!J200+Aug!J482+Cust_Conn!J170+Cust_Conn!J427+Cust_Conn!J682+Cust_Conn!J937+New_Towns!J165+New_Towns!J420+New_Towns!J688+IT!J291+Other!J165</f>
        <v>0</v>
      </c>
      <c r="K161" s="81">
        <f ca="1">Low_Press!K242+AdHoc!K186+AdHoc!K461+AdHoc!K736+Medium_Press!K235+High_Press!K165+Dom_Meters!K186+Dom_Meters!K440+Com_Meters!K186+Com_Meters!K475+Net_Reg!K207+Net_Reg!K461+Cust_Reg!K186+Cust_Reg!K461+CP_SCADA!K214+CP_SCADA!K517+Aug!K200+Aug!K482+Cust_Conn!K170+Cust_Conn!K427+Cust_Conn!K682+Cust_Conn!K937+New_Towns!K165+New_Towns!K420+New_Towns!K688+IT!K291+Other!K165</f>
        <v>0</v>
      </c>
      <c r="L161" s="81">
        <f ca="1">Low_Press!L242+AdHoc!L186+AdHoc!L461+AdHoc!L736+Medium_Press!L235+High_Press!L165+Dom_Meters!L186+Dom_Meters!L440+Com_Meters!L186+Com_Meters!L475+Net_Reg!L207+Net_Reg!L461+Cust_Reg!L186+Cust_Reg!L461+CP_SCADA!L214+CP_SCADA!L517+Aug!L200+Aug!L482+Cust_Conn!L170+Cust_Conn!L427+Cust_Conn!L682+Cust_Conn!L937+New_Towns!L165+New_Towns!L420+New_Towns!L688+IT!L291+Other!L165</f>
        <v>0</v>
      </c>
      <c r="M161" s="81">
        <f ca="1">Low_Press!M242+AdHoc!M186+AdHoc!M461+AdHoc!M736+Medium_Press!M235+High_Press!M165+Dom_Meters!M186+Dom_Meters!M440+Com_Meters!M186+Com_Meters!M475+Net_Reg!M207+Net_Reg!M461+Cust_Reg!M186+Cust_Reg!M461+CP_SCADA!M214+CP_SCADA!M517+Aug!M200+Aug!M482+Cust_Conn!M170+Cust_Conn!M427+Cust_Conn!M682+Cust_Conn!M937+New_Towns!M165+New_Towns!M420+New_Towns!M688+IT!M291+Other!M165</f>
        <v>0</v>
      </c>
      <c r="N161" s="81">
        <f ca="1">Low_Press!N242+AdHoc!N186+AdHoc!N461+AdHoc!N736+Medium_Press!N235+High_Press!N165+Dom_Meters!N186+Dom_Meters!N440+Com_Meters!N186+Com_Meters!N475+Net_Reg!N207+Net_Reg!N461+Cust_Reg!N186+Cust_Reg!N461+CP_SCADA!N214+CP_SCADA!N517+Aug!N200+Aug!N482+Cust_Conn!N170+Cust_Conn!N427+Cust_Conn!N682+Cust_Conn!N937+New_Towns!N165+New_Towns!N420+New_Towns!N688+IT!N291+Other!N165</f>
        <v>0</v>
      </c>
      <c r="O161" s="81">
        <f ca="1">Low_Press!O242+AdHoc!O186+AdHoc!O461+AdHoc!O736+Medium_Press!O235+High_Press!O165+Dom_Meters!O186+Dom_Meters!O440+Com_Meters!O186+Com_Meters!O475+Net_Reg!O207+Net_Reg!O461+Cust_Reg!O186+Cust_Reg!O461+CP_SCADA!O214+CP_SCADA!O517+Aug!O200+Aug!O482+Cust_Conn!O170+Cust_Conn!O427+Cust_Conn!O682+Cust_Conn!O937+New_Towns!O165+New_Towns!O420+New_Towns!O688+IT!O291+Other!O165</f>
        <v>0</v>
      </c>
      <c r="P161" s="81">
        <f ca="1">Low_Press!P242+AdHoc!P186+AdHoc!P461+AdHoc!P736+Medium_Press!P235+High_Press!P165+Dom_Meters!P186+Dom_Meters!P440+Com_Meters!P186+Com_Meters!P475+Net_Reg!P207+Net_Reg!P461+Cust_Reg!P186+Cust_Reg!P461+CP_SCADA!P214+CP_SCADA!P517+Aug!P200+Aug!P482+Cust_Conn!P170+Cust_Conn!P427+Cust_Conn!P682+Cust_Conn!P937+New_Towns!P165+New_Towns!P420+New_Towns!P688+IT!P291+Other!P165</f>
        <v>0</v>
      </c>
      <c r="Q161" s="81">
        <f ca="1">Low_Press!Q242+AdHoc!Q186+AdHoc!Q461+AdHoc!Q736+Medium_Press!Q235+High_Press!Q165+Dom_Meters!Q186+Dom_Meters!Q440+Com_Meters!Q186+Com_Meters!Q475+Net_Reg!Q207+Net_Reg!Q461+Cust_Reg!Q186+Cust_Reg!Q461+CP_SCADA!Q214+CP_SCADA!Q517+Aug!Q200+Aug!Q482+Cust_Conn!Q170+Cust_Conn!Q427+Cust_Conn!Q682+Cust_Conn!Q937+New_Towns!Q165+New_Towns!Q420+New_Towns!Q688+IT!Q291+Other!Q165</f>
        <v>0</v>
      </c>
      <c r="R161" s="81">
        <f ca="1">Low_Press!R242+AdHoc!R186+AdHoc!R461+AdHoc!R736+Medium_Press!R235+High_Press!R165+Dom_Meters!R186+Dom_Meters!R440+Com_Meters!R186+Com_Meters!R475+Net_Reg!R207+Net_Reg!R461+Cust_Reg!R186+Cust_Reg!R461+CP_SCADA!R214+CP_SCADA!R517+Aug!R200+Aug!R482+Cust_Conn!R170+Cust_Conn!R427+Cust_Conn!R682+Cust_Conn!R937+New_Towns!R165+New_Towns!R420+New_Towns!R688+IT!R291+Other!R165</f>
        <v>0</v>
      </c>
      <c r="S161" s="81">
        <f ca="1">Low_Press!S242+AdHoc!S186+AdHoc!S461+AdHoc!S736+Medium_Press!S235+High_Press!S165+Dom_Meters!S186+Dom_Meters!S440+Com_Meters!S186+Com_Meters!S475+Net_Reg!S207+Net_Reg!S461+Cust_Reg!S186+Cust_Reg!S461+CP_SCADA!S214+CP_SCADA!S517+Aug!S200+Aug!S482+Cust_Conn!S170+Cust_Conn!S427+Cust_Conn!S682+Cust_Conn!S937+New_Towns!S165+New_Towns!S420+New_Towns!S688+IT!S291+Other!S165</f>
        <v>0</v>
      </c>
      <c r="T161" s="81">
        <f ca="1">Low_Press!T242+AdHoc!T186+AdHoc!T461+AdHoc!T736+Medium_Press!T235+High_Press!T165+Dom_Meters!T186+Dom_Meters!T440+Com_Meters!T186+Com_Meters!T475+Net_Reg!T207+Net_Reg!T461+Cust_Reg!T186+Cust_Reg!T461+CP_SCADA!T214+CP_SCADA!T517+Aug!T200+Aug!T482+Cust_Conn!T170+Cust_Conn!T427+Cust_Conn!T682+Cust_Conn!T937+New_Towns!T165+New_Towns!T420+New_Towns!T688+IT!T291+Other!T165</f>
        <v>0</v>
      </c>
    </row>
    <row r="162" spans="6:20" outlineLevel="1">
      <c r="F162" s="247" t="str">
        <f>GC!C41</f>
        <v>Distribution pipelines</v>
      </c>
      <c r="G162" s="247"/>
      <c r="H162" s="247"/>
      <c r="I162" s="247"/>
      <c r="J162" s="81">
        <f ca="1">Low_Press!J243+AdHoc!J187+AdHoc!J462+AdHoc!J737+Medium_Press!J236+High_Press!J166+Dom_Meters!J187+Dom_Meters!J441+Com_Meters!J187+Com_Meters!J476+Net_Reg!J208+Net_Reg!J462+Cust_Reg!J187+Cust_Reg!J462+CP_SCADA!J215+CP_SCADA!J518+Aug!J201+Aug!J483+Cust_Conn!J171+Cust_Conn!J428+Cust_Conn!J683+Cust_Conn!J938+New_Towns!J166+New_Towns!J421+New_Towns!J689+IT!J292+Other!J166</f>
        <v>0</v>
      </c>
      <c r="K162" s="81">
        <f ca="1">Low_Press!K243+AdHoc!K187+AdHoc!K462+AdHoc!K737+Medium_Press!K236+High_Press!K166+Dom_Meters!K187+Dom_Meters!K441+Com_Meters!K187+Com_Meters!K476+Net_Reg!K208+Net_Reg!K462+Cust_Reg!K187+Cust_Reg!K462+CP_SCADA!K215+CP_SCADA!K518+Aug!K201+Aug!K483+Cust_Conn!K171+Cust_Conn!K428+Cust_Conn!K683+Cust_Conn!K938+New_Towns!K166+New_Towns!K421+New_Towns!K689+IT!K292+Other!K166</f>
        <v>0</v>
      </c>
      <c r="L162" s="81">
        <f ca="1">Low_Press!L243+AdHoc!L187+AdHoc!L462+AdHoc!L737+Medium_Press!L236+High_Press!L166+Dom_Meters!L187+Dom_Meters!L441+Com_Meters!L187+Com_Meters!L476+Net_Reg!L208+Net_Reg!L462+Cust_Reg!L187+Cust_Reg!L462+CP_SCADA!L215+CP_SCADA!L518+Aug!L201+Aug!L483+Cust_Conn!L171+Cust_Conn!L428+Cust_Conn!L683+Cust_Conn!L938+New_Towns!L166+New_Towns!L421+New_Towns!L689+IT!L292+Other!L166</f>
        <v>0</v>
      </c>
      <c r="M162" s="81">
        <f ca="1">Low_Press!M243+AdHoc!M187+AdHoc!M462+AdHoc!M737+Medium_Press!M236+High_Press!M166+Dom_Meters!M187+Dom_Meters!M441+Com_Meters!M187+Com_Meters!M476+Net_Reg!M208+Net_Reg!M462+Cust_Reg!M187+Cust_Reg!M462+CP_SCADA!M215+CP_SCADA!M518+Aug!M201+Aug!M483+Cust_Conn!M171+Cust_Conn!M428+Cust_Conn!M683+Cust_Conn!M938+New_Towns!M166+New_Towns!M421+New_Towns!M689+IT!M292+Other!M166</f>
        <v>0</v>
      </c>
      <c r="N162" s="81">
        <f ca="1">Low_Press!N243+AdHoc!N187+AdHoc!N462+AdHoc!N737+Medium_Press!N236+High_Press!N166+Dom_Meters!N187+Dom_Meters!N441+Com_Meters!N187+Com_Meters!N476+Net_Reg!N208+Net_Reg!N462+Cust_Reg!N187+Cust_Reg!N462+CP_SCADA!N215+CP_SCADA!N518+Aug!N201+Aug!N483+Cust_Conn!N171+Cust_Conn!N428+Cust_Conn!N683+Cust_Conn!N938+New_Towns!N166+New_Towns!N421+New_Towns!N689+IT!N292+Other!N166</f>
        <v>0</v>
      </c>
      <c r="O162" s="81">
        <f ca="1">Low_Press!O243+AdHoc!O187+AdHoc!O462+AdHoc!O737+Medium_Press!O236+High_Press!O166+Dom_Meters!O187+Dom_Meters!O441+Com_Meters!O187+Com_Meters!O476+Net_Reg!O208+Net_Reg!O462+Cust_Reg!O187+Cust_Reg!O462+CP_SCADA!O215+CP_SCADA!O518+Aug!O201+Aug!O483+Cust_Conn!O171+Cust_Conn!O428+Cust_Conn!O683+Cust_Conn!O938+New_Towns!O166+New_Towns!O421+New_Towns!O689+IT!O292+Other!O166</f>
        <v>0</v>
      </c>
      <c r="P162" s="81">
        <f ca="1">Low_Press!P243+AdHoc!P187+AdHoc!P462+AdHoc!P737+Medium_Press!P236+High_Press!P166+Dom_Meters!P187+Dom_Meters!P441+Com_Meters!P187+Com_Meters!P476+Net_Reg!P208+Net_Reg!P462+Cust_Reg!P187+Cust_Reg!P462+CP_SCADA!P215+CP_SCADA!P518+Aug!P201+Aug!P483+Cust_Conn!P171+Cust_Conn!P428+Cust_Conn!P683+Cust_Conn!P938+New_Towns!P166+New_Towns!P421+New_Towns!P689+IT!P292+Other!P166</f>
        <v>0</v>
      </c>
      <c r="Q162" s="81">
        <f ca="1">Low_Press!Q243+AdHoc!Q187+AdHoc!Q462+AdHoc!Q737+Medium_Press!Q236+High_Press!Q166+Dom_Meters!Q187+Dom_Meters!Q441+Com_Meters!Q187+Com_Meters!Q476+Net_Reg!Q208+Net_Reg!Q462+Cust_Reg!Q187+Cust_Reg!Q462+CP_SCADA!Q215+CP_SCADA!Q518+Aug!Q201+Aug!Q483+Cust_Conn!Q171+Cust_Conn!Q428+Cust_Conn!Q683+Cust_Conn!Q938+New_Towns!Q166+New_Towns!Q421+New_Towns!Q689+IT!Q292+Other!Q166</f>
        <v>0</v>
      </c>
      <c r="R162" s="81">
        <f ca="1">Low_Press!R243+AdHoc!R187+AdHoc!R462+AdHoc!R737+Medium_Press!R236+High_Press!R166+Dom_Meters!R187+Dom_Meters!R441+Com_Meters!R187+Com_Meters!R476+Net_Reg!R208+Net_Reg!R462+Cust_Reg!R187+Cust_Reg!R462+CP_SCADA!R215+CP_SCADA!R518+Aug!R201+Aug!R483+Cust_Conn!R171+Cust_Conn!R428+Cust_Conn!R683+Cust_Conn!R938+New_Towns!R166+New_Towns!R421+New_Towns!R689+IT!R292+Other!R166</f>
        <v>0</v>
      </c>
      <c r="S162" s="81">
        <f ca="1">Low_Press!S243+AdHoc!S187+AdHoc!S462+AdHoc!S737+Medium_Press!S236+High_Press!S166+Dom_Meters!S187+Dom_Meters!S441+Com_Meters!S187+Com_Meters!S476+Net_Reg!S208+Net_Reg!S462+Cust_Reg!S187+Cust_Reg!S462+CP_SCADA!S215+CP_SCADA!S518+Aug!S201+Aug!S483+Cust_Conn!S171+Cust_Conn!S428+Cust_Conn!S683+Cust_Conn!S938+New_Towns!S166+New_Towns!S421+New_Towns!S689+IT!S292+Other!S166</f>
        <v>0</v>
      </c>
      <c r="T162" s="81">
        <f ca="1">Low_Press!T243+AdHoc!T187+AdHoc!T462+AdHoc!T737+Medium_Press!T236+High_Press!T166+Dom_Meters!T187+Dom_Meters!T441+Com_Meters!T187+Com_Meters!T476+Net_Reg!T208+Net_Reg!T462+Cust_Reg!T187+Cust_Reg!T462+CP_SCADA!T215+CP_SCADA!T518+Aug!T201+Aug!T483+Cust_Conn!T171+Cust_Conn!T428+Cust_Conn!T683+Cust_Conn!T938+New_Towns!T166+New_Towns!T421+New_Towns!T689+IT!T292+Other!T166</f>
        <v>0</v>
      </c>
    </row>
    <row r="163" spans="6:20" outlineLevel="1">
      <c r="F163" s="247" t="str">
        <f>GC!C42</f>
        <v>Service pipes</v>
      </c>
      <c r="G163" s="247"/>
      <c r="H163" s="247"/>
      <c r="I163" s="247"/>
      <c r="J163" s="81">
        <f ca="1">Low_Press!J244+AdHoc!J188+AdHoc!J463+AdHoc!J738+Medium_Press!J237+High_Press!J167+Dom_Meters!J188+Dom_Meters!J442+Com_Meters!J188+Com_Meters!J477+Net_Reg!J209+Net_Reg!J463+Cust_Reg!J188+Cust_Reg!J463+CP_SCADA!J216+CP_SCADA!J519+Aug!J202+Aug!J484+Cust_Conn!J172+Cust_Conn!J429+Cust_Conn!J684+Cust_Conn!J939+New_Towns!J167+New_Towns!J422+New_Towns!J690+IT!J293+Other!J167</f>
        <v>0</v>
      </c>
      <c r="K163" s="81">
        <f ca="1">Low_Press!K244+AdHoc!K188+AdHoc!K463+AdHoc!K738+Medium_Press!K237+High_Press!K167+Dom_Meters!K188+Dom_Meters!K442+Com_Meters!K188+Com_Meters!K477+Net_Reg!K209+Net_Reg!K463+Cust_Reg!K188+Cust_Reg!K463+CP_SCADA!K216+CP_SCADA!K519+Aug!K202+Aug!K484+Cust_Conn!K172+Cust_Conn!K429+Cust_Conn!K684+Cust_Conn!K939+New_Towns!K167+New_Towns!K422+New_Towns!K690+IT!K293+Other!K167</f>
        <v>0</v>
      </c>
      <c r="L163" s="81">
        <f ca="1">Low_Press!L244+AdHoc!L188+AdHoc!L463+AdHoc!L738+Medium_Press!L237+High_Press!L167+Dom_Meters!L188+Dom_Meters!L442+Com_Meters!L188+Com_Meters!L477+Net_Reg!L209+Net_Reg!L463+Cust_Reg!L188+Cust_Reg!L463+CP_SCADA!L216+CP_SCADA!L519+Aug!L202+Aug!L484+Cust_Conn!L172+Cust_Conn!L429+Cust_Conn!L684+Cust_Conn!L939+New_Towns!L167+New_Towns!L422+New_Towns!L690+IT!L293+Other!L167</f>
        <v>0</v>
      </c>
      <c r="M163" s="81">
        <f ca="1">Low_Press!M244+AdHoc!M188+AdHoc!M463+AdHoc!M738+Medium_Press!M237+High_Press!M167+Dom_Meters!M188+Dom_Meters!M442+Com_Meters!M188+Com_Meters!M477+Net_Reg!M209+Net_Reg!M463+Cust_Reg!M188+Cust_Reg!M463+CP_SCADA!M216+CP_SCADA!M519+Aug!M202+Aug!M484+Cust_Conn!M172+Cust_Conn!M429+Cust_Conn!M684+Cust_Conn!M939+New_Towns!M167+New_Towns!M422+New_Towns!M690+IT!M293+Other!M167</f>
        <v>0</v>
      </c>
      <c r="N163" s="81">
        <f ca="1">Low_Press!N244+AdHoc!N188+AdHoc!N463+AdHoc!N738+Medium_Press!N237+High_Press!N167+Dom_Meters!N188+Dom_Meters!N442+Com_Meters!N188+Com_Meters!N477+Net_Reg!N209+Net_Reg!N463+Cust_Reg!N188+Cust_Reg!N463+CP_SCADA!N216+CP_SCADA!N519+Aug!N202+Aug!N484+Cust_Conn!N172+Cust_Conn!N429+Cust_Conn!N684+Cust_Conn!N939+New_Towns!N167+New_Towns!N422+New_Towns!N690+IT!N293+Other!N167</f>
        <v>0</v>
      </c>
      <c r="O163" s="81">
        <f ca="1">Low_Press!O244+AdHoc!O188+AdHoc!O463+AdHoc!O738+Medium_Press!O237+High_Press!O167+Dom_Meters!O188+Dom_Meters!O442+Com_Meters!O188+Com_Meters!O477+Net_Reg!O209+Net_Reg!O463+Cust_Reg!O188+Cust_Reg!O463+CP_SCADA!O216+CP_SCADA!O519+Aug!O202+Aug!O484+Cust_Conn!O172+Cust_Conn!O429+Cust_Conn!O684+Cust_Conn!O939+New_Towns!O167+New_Towns!O422+New_Towns!O690+IT!O293+Other!O167</f>
        <v>0</v>
      </c>
      <c r="P163" s="81">
        <f ca="1">Low_Press!P244+AdHoc!P188+AdHoc!P463+AdHoc!P738+Medium_Press!P237+High_Press!P167+Dom_Meters!P188+Dom_Meters!P442+Com_Meters!P188+Com_Meters!P477+Net_Reg!P209+Net_Reg!P463+Cust_Reg!P188+Cust_Reg!P463+CP_SCADA!P216+CP_SCADA!P519+Aug!P202+Aug!P484+Cust_Conn!P172+Cust_Conn!P429+Cust_Conn!P684+Cust_Conn!P939+New_Towns!P167+New_Towns!P422+New_Towns!P690+IT!P293+Other!P167</f>
        <v>0</v>
      </c>
      <c r="Q163" s="81">
        <f ca="1">Low_Press!Q244+AdHoc!Q188+AdHoc!Q463+AdHoc!Q738+Medium_Press!Q237+High_Press!Q167+Dom_Meters!Q188+Dom_Meters!Q442+Com_Meters!Q188+Com_Meters!Q477+Net_Reg!Q209+Net_Reg!Q463+Cust_Reg!Q188+Cust_Reg!Q463+CP_SCADA!Q216+CP_SCADA!Q519+Aug!Q202+Aug!Q484+Cust_Conn!Q172+Cust_Conn!Q429+Cust_Conn!Q684+Cust_Conn!Q939+New_Towns!Q167+New_Towns!Q422+New_Towns!Q690+IT!Q293+Other!Q167</f>
        <v>0</v>
      </c>
      <c r="R163" s="81">
        <f ca="1">Low_Press!R244+AdHoc!R188+AdHoc!R463+AdHoc!R738+Medium_Press!R237+High_Press!R167+Dom_Meters!R188+Dom_Meters!R442+Com_Meters!R188+Com_Meters!R477+Net_Reg!R209+Net_Reg!R463+Cust_Reg!R188+Cust_Reg!R463+CP_SCADA!R216+CP_SCADA!R519+Aug!R202+Aug!R484+Cust_Conn!R172+Cust_Conn!R429+Cust_Conn!R684+Cust_Conn!R939+New_Towns!R167+New_Towns!R422+New_Towns!R690+IT!R293+Other!R167</f>
        <v>0</v>
      </c>
      <c r="S163" s="81">
        <f ca="1">Low_Press!S244+AdHoc!S188+AdHoc!S463+AdHoc!S738+Medium_Press!S237+High_Press!S167+Dom_Meters!S188+Dom_Meters!S442+Com_Meters!S188+Com_Meters!S477+Net_Reg!S209+Net_Reg!S463+Cust_Reg!S188+Cust_Reg!S463+CP_SCADA!S216+CP_SCADA!S519+Aug!S202+Aug!S484+Cust_Conn!S172+Cust_Conn!S429+Cust_Conn!S684+Cust_Conn!S939+New_Towns!S167+New_Towns!S422+New_Towns!S690+IT!S293+Other!S167</f>
        <v>0</v>
      </c>
      <c r="T163" s="81">
        <f ca="1">Low_Press!T244+AdHoc!T188+AdHoc!T463+AdHoc!T738+Medium_Press!T237+High_Press!T167+Dom_Meters!T188+Dom_Meters!T442+Com_Meters!T188+Com_Meters!T477+Net_Reg!T209+Net_Reg!T463+Cust_Reg!T188+Cust_Reg!T463+CP_SCADA!T216+CP_SCADA!T519+Aug!T202+Aug!T484+Cust_Conn!T172+Cust_Conn!T429+Cust_Conn!T684+Cust_Conn!T939+New_Towns!T167+New_Towns!T422+New_Towns!T690+IT!T293+Other!T167</f>
        <v>0</v>
      </c>
    </row>
    <row r="164" spans="6:20" outlineLevel="1">
      <c r="F164" s="247" t="str">
        <f>GC!C43</f>
        <v>Cathodic protection</v>
      </c>
      <c r="G164" s="247"/>
      <c r="H164" s="247"/>
      <c r="I164" s="247"/>
      <c r="J164" s="81">
        <f ca="1">Low_Press!J245+AdHoc!J189+AdHoc!J464+AdHoc!J739+Medium_Press!J238+High_Press!J168+Dom_Meters!J189+Dom_Meters!J443+Com_Meters!J189+Com_Meters!J478+Net_Reg!J210+Net_Reg!J464+Cust_Reg!J189+Cust_Reg!J464+CP_SCADA!J217+CP_SCADA!J520+Aug!J203+Aug!J485+Cust_Conn!J173+Cust_Conn!J430+Cust_Conn!J685+Cust_Conn!J940+New_Towns!J168+New_Towns!J423+New_Towns!J691+IT!J294+Other!J168</f>
        <v>0</v>
      </c>
      <c r="K164" s="81">
        <f ca="1">Low_Press!K245+AdHoc!K189+AdHoc!K464+AdHoc!K739+Medium_Press!K238+High_Press!K168+Dom_Meters!K189+Dom_Meters!K443+Com_Meters!K189+Com_Meters!K478+Net_Reg!K210+Net_Reg!K464+Cust_Reg!K189+Cust_Reg!K464+CP_SCADA!K217+CP_SCADA!K520+Aug!K203+Aug!K485+Cust_Conn!K173+Cust_Conn!K430+Cust_Conn!K685+Cust_Conn!K940+New_Towns!K168+New_Towns!K423+New_Towns!K691+IT!K294+Other!K168</f>
        <v>0</v>
      </c>
      <c r="L164" s="81">
        <f ca="1">Low_Press!L245+AdHoc!L189+AdHoc!L464+AdHoc!L739+Medium_Press!L238+High_Press!L168+Dom_Meters!L189+Dom_Meters!L443+Com_Meters!L189+Com_Meters!L478+Net_Reg!L210+Net_Reg!L464+Cust_Reg!L189+Cust_Reg!L464+CP_SCADA!L217+CP_SCADA!L520+Aug!L203+Aug!L485+Cust_Conn!L173+Cust_Conn!L430+Cust_Conn!L685+Cust_Conn!L940+New_Towns!L168+New_Towns!L423+New_Towns!L691+IT!L294+Other!L168</f>
        <v>0</v>
      </c>
      <c r="M164" s="81">
        <f ca="1">Low_Press!M245+AdHoc!M189+AdHoc!M464+AdHoc!M739+Medium_Press!M238+High_Press!M168+Dom_Meters!M189+Dom_Meters!M443+Com_Meters!M189+Com_Meters!M478+Net_Reg!M210+Net_Reg!M464+Cust_Reg!M189+Cust_Reg!M464+CP_SCADA!M217+CP_SCADA!M520+Aug!M203+Aug!M485+Cust_Conn!M173+Cust_Conn!M430+Cust_Conn!M685+Cust_Conn!M940+New_Towns!M168+New_Towns!M423+New_Towns!M691+IT!M294+Other!M168</f>
        <v>0</v>
      </c>
      <c r="N164" s="81">
        <f ca="1">Low_Press!N245+AdHoc!N189+AdHoc!N464+AdHoc!N739+Medium_Press!N238+High_Press!N168+Dom_Meters!N189+Dom_Meters!N443+Com_Meters!N189+Com_Meters!N478+Net_Reg!N210+Net_Reg!N464+Cust_Reg!N189+Cust_Reg!N464+CP_SCADA!N217+CP_SCADA!N520+Aug!N203+Aug!N485+Cust_Conn!N173+Cust_Conn!N430+Cust_Conn!N685+Cust_Conn!N940+New_Towns!N168+New_Towns!N423+New_Towns!N691+IT!N294+Other!N168</f>
        <v>0</v>
      </c>
      <c r="O164" s="81">
        <f ca="1">Low_Press!O245+AdHoc!O189+AdHoc!O464+AdHoc!O739+Medium_Press!O238+High_Press!O168+Dom_Meters!O189+Dom_Meters!O443+Com_Meters!O189+Com_Meters!O478+Net_Reg!O210+Net_Reg!O464+Cust_Reg!O189+Cust_Reg!O464+CP_SCADA!O217+CP_SCADA!O520+Aug!O203+Aug!O485+Cust_Conn!O173+Cust_Conn!O430+Cust_Conn!O685+Cust_Conn!O940+New_Towns!O168+New_Towns!O423+New_Towns!O691+IT!O294+Other!O168</f>
        <v>0</v>
      </c>
      <c r="P164" s="81">
        <f ca="1">Low_Press!P245+AdHoc!P189+AdHoc!P464+AdHoc!P739+Medium_Press!P238+High_Press!P168+Dom_Meters!P189+Dom_Meters!P443+Com_Meters!P189+Com_Meters!P478+Net_Reg!P210+Net_Reg!P464+Cust_Reg!P189+Cust_Reg!P464+CP_SCADA!P217+CP_SCADA!P520+Aug!P203+Aug!P485+Cust_Conn!P173+Cust_Conn!P430+Cust_Conn!P685+Cust_Conn!P940+New_Towns!P168+New_Towns!P423+New_Towns!P691+IT!P294+Other!P168</f>
        <v>0</v>
      </c>
      <c r="Q164" s="81">
        <f ca="1">Low_Press!Q245+AdHoc!Q189+AdHoc!Q464+AdHoc!Q739+Medium_Press!Q238+High_Press!Q168+Dom_Meters!Q189+Dom_Meters!Q443+Com_Meters!Q189+Com_Meters!Q478+Net_Reg!Q210+Net_Reg!Q464+Cust_Reg!Q189+Cust_Reg!Q464+CP_SCADA!Q217+CP_SCADA!Q520+Aug!Q203+Aug!Q485+Cust_Conn!Q173+Cust_Conn!Q430+Cust_Conn!Q685+Cust_Conn!Q940+New_Towns!Q168+New_Towns!Q423+New_Towns!Q691+IT!Q294+Other!Q168</f>
        <v>0</v>
      </c>
      <c r="R164" s="81">
        <f ca="1">Low_Press!R245+AdHoc!R189+AdHoc!R464+AdHoc!R739+Medium_Press!R238+High_Press!R168+Dom_Meters!R189+Dom_Meters!R443+Com_Meters!R189+Com_Meters!R478+Net_Reg!R210+Net_Reg!R464+Cust_Reg!R189+Cust_Reg!R464+CP_SCADA!R217+CP_SCADA!R520+Aug!R203+Aug!R485+Cust_Conn!R173+Cust_Conn!R430+Cust_Conn!R685+Cust_Conn!R940+New_Towns!R168+New_Towns!R423+New_Towns!R691+IT!R294+Other!R168</f>
        <v>0</v>
      </c>
      <c r="S164" s="81">
        <f ca="1">Low_Press!S245+AdHoc!S189+AdHoc!S464+AdHoc!S739+Medium_Press!S238+High_Press!S168+Dom_Meters!S189+Dom_Meters!S443+Com_Meters!S189+Com_Meters!S478+Net_Reg!S210+Net_Reg!S464+Cust_Reg!S189+Cust_Reg!S464+CP_SCADA!S217+CP_SCADA!S520+Aug!S203+Aug!S485+Cust_Conn!S173+Cust_Conn!S430+Cust_Conn!S685+Cust_Conn!S940+New_Towns!S168+New_Towns!S423+New_Towns!S691+IT!S294+Other!S168</f>
        <v>0</v>
      </c>
      <c r="T164" s="81">
        <f ca="1">Low_Press!T245+AdHoc!T189+AdHoc!T464+AdHoc!T739+Medium_Press!T238+High_Press!T168+Dom_Meters!T189+Dom_Meters!T443+Com_Meters!T189+Com_Meters!T478+Net_Reg!T210+Net_Reg!T464+Cust_Reg!T189+Cust_Reg!T464+CP_SCADA!T217+CP_SCADA!T520+Aug!T203+Aug!T485+Cust_Conn!T173+Cust_Conn!T430+Cust_Conn!T685+Cust_Conn!T940+New_Towns!T168+New_Towns!T423+New_Towns!T691+IT!T294+Other!T168</f>
        <v>0</v>
      </c>
    </row>
    <row r="165" spans="6:20" outlineLevel="1">
      <c r="F165" s="247" t="str">
        <f>GC!C44</f>
        <v>Supply Regulators / Valve Stations</v>
      </c>
      <c r="G165" s="247"/>
      <c r="H165" s="247"/>
      <c r="I165" s="247"/>
      <c r="J165" s="81">
        <f ca="1">Low_Press!J246+AdHoc!J190+AdHoc!J465+AdHoc!J740+Medium_Press!J239+High_Press!J169+Dom_Meters!J190+Dom_Meters!J444+Com_Meters!J190+Com_Meters!J479+Net_Reg!J211+Net_Reg!J465+Cust_Reg!J190+Cust_Reg!J465+CP_SCADA!J218+CP_SCADA!J521+Aug!J204+Aug!J486+Cust_Conn!J174+Cust_Conn!J431+Cust_Conn!J686+Cust_Conn!J941+New_Towns!J169+New_Towns!J424+New_Towns!J692+IT!J295+Other!J169</f>
        <v>0</v>
      </c>
      <c r="K165" s="81">
        <f ca="1">Low_Press!K246+AdHoc!K190+AdHoc!K465+AdHoc!K740+Medium_Press!K239+High_Press!K169+Dom_Meters!K190+Dom_Meters!K444+Com_Meters!K190+Com_Meters!K479+Net_Reg!K211+Net_Reg!K465+Cust_Reg!K190+Cust_Reg!K465+CP_SCADA!K218+CP_SCADA!K521+Aug!K204+Aug!K486+Cust_Conn!K174+Cust_Conn!K431+Cust_Conn!K686+Cust_Conn!K941+New_Towns!K169+New_Towns!K424+New_Towns!K692+IT!K295+Other!K169</f>
        <v>0</v>
      </c>
      <c r="L165" s="81">
        <f ca="1">Low_Press!L246+AdHoc!L190+AdHoc!L465+AdHoc!L740+Medium_Press!L239+High_Press!L169+Dom_Meters!L190+Dom_Meters!L444+Com_Meters!L190+Com_Meters!L479+Net_Reg!L211+Net_Reg!L465+Cust_Reg!L190+Cust_Reg!L465+CP_SCADA!L218+CP_SCADA!L521+Aug!L204+Aug!L486+Cust_Conn!L174+Cust_Conn!L431+Cust_Conn!L686+Cust_Conn!L941+New_Towns!L169+New_Towns!L424+New_Towns!L692+IT!L295+Other!L169</f>
        <v>0</v>
      </c>
      <c r="M165" s="81">
        <f ca="1">Low_Press!M246+AdHoc!M190+AdHoc!M465+AdHoc!M740+Medium_Press!M239+High_Press!M169+Dom_Meters!M190+Dom_Meters!M444+Com_Meters!M190+Com_Meters!M479+Net_Reg!M211+Net_Reg!M465+Cust_Reg!M190+Cust_Reg!M465+CP_SCADA!M218+CP_SCADA!M521+Aug!M204+Aug!M486+Cust_Conn!M174+Cust_Conn!M431+Cust_Conn!M686+Cust_Conn!M941+New_Towns!M169+New_Towns!M424+New_Towns!M692+IT!M295+Other!M169</f>
        <v>0</v>
      </c>
      <c r="N165" s="81">
        <f ca="1">Low_Press!N246+AdHoc!N190+AdHoc!N465+AdHoc!N740+Medium_Press!N239+High_Press!N169+Dom_Meters!N190+Dom_Meters!N444+Com_Meters!N190+Com_Meters!N479+Net_Reg!N211+Net_Reg!N465+Cust_Reg!N190+Cust_Reg!N465+CP_SCADA!N218+CP_SCADA!N521+Aug!N204+Aug!N486+Cust_Conn!N174+Cust_Conn!N431+Cust_Conn!N686+Cust_Conn!N941+New_Towns!N169+New_Towns!N424+New_Towns!N692+IT!N295+Other!N169</f>
        <v>-9707000</v>
      </c>
      <c r="O165" s="81">
        <f ca="1">Low_Press!O246+AdHoc!O190+AdHoc!O465+AdHoc!O740+Medium_Press!O239+High_Press!O169+Dom_Meters!O190+Dom_Meters!O444+Com_Meters!O190+Com_Meters!O479+Net_Reg!O211+Net_Reg!O465+Cust_Reg!O190+Cust_Reg!O465+CP_SCADA!O218+CP_SCADA!O521+Aug!O204+Aug!O486+Cust_Conn!O174+Cust_Conn!O431+Cust_Conn!O686+Cust_Conn!O941+New_Towns!O169+New_Towns!O424+New_Towns!O692+IT!O295+Other!O169</f>
        <v>-1040117.7999999999</v>
      </c>
      <c r="P165" s="81">
        <f ca="1">Low_Press!P246+AdHoc!P190+AdHoc!P465+AdHoc!P740+Medium_Press!P239+High_Press!P169+Dom_Meters!P190+Dom_Meters!P444+Com_Meters!P190+Com_Meters!P479+Net_Reg!P211+Net_Reg!P465+Cust_Reg!P190+Cust_Reg!P465+CP_SCADA!P218+CP_SCADA!P521+Aug!P204+Aug!P486+Cust_Conn!P174+Cust_Conn!P431+Cust_Conn!P686+Cust_Conn!P941+New_Towns!P169+New_Towns!P424+New_Towns!P692+IT!P295+Other!P169</f>
        <v>0</v>
      </c>
      <c r="Q165" s="81">
        <f ca="1">Low_Press!Q246+AdHoc!Q190+AdHoc!Q465+AdHoc!Q740+Medium_Press!Q239+High_Press!Q169+Dom_Meters!Q190+Dom_Meters!Q444+Com_Meters!Q190+Com_Meters!Q479+Net_Reg!Q211+Net_Reg!Q465+Cust_Reg!Q190+Cust_Reg!Q465+CP_SCADA!Q218+CP_SCADA!Q521+Aug!Q204+Aug!Q486+Cust_Conn!Q174+Cust_Conn!Q431+Cust_Conn!Q686+Cust_Conn!Q941+New_Towns!Q169+New_Towns!Q424+New_Towns!Q692+IT!Q295+Other!Q169</f>
        <v>0</v>
      </c>
      <c r="R165" s="81">
        <f ca="1">Low_Press!R246+AdHoc!R190+AdHoc!R465+AdHoc!R740+Medium_Press!R239+High_Press!R169+Dom_Meters!R190+Dom_Meters!R444+Com_Meters!R190+Com_Meters!R479+Net_Reg!R211+Net_Reg!R465+Cust_Reg!R190+Cust_Reg!R465+CP_SCADA!R218+CP_SCADA!R521+Aug!R204+Aug!R486+Cust_Conn!R174+Cust_Conn!R431+Cust_Conn!R686+Cust_Conn!R941+New_Towns!R169+New_Towns!R424+New_Towns!R692+IT!R295+Other!R169</f>
        <v>0</v>
      </c>
      <c r="S165" s="81">
        <f ca="1">Low_Press!S246+AdHoc!S190+AdHoc!S465+AdHoc!S740+Medium_Press!S239+High_Press!S169+Dom_Meters!S190+Dom_Meters!S444+Com_Meters!S190+Com_Meters!S479+Net_Reg!S211+Net_Reg!S465+Cust_Reg!S190+Cust_Reg!S465+CP_SCADA!S218+CP_SCADA!S521+Aug!S204+Aug!S486+Cust_Conn!S174+Cust_Conn!S431+Cust_Conn!S686+Cust_Conn!S941+New_Towns!S169+New_Towns!S424+New_Towns!S692+IT!S295+Other!S169</f>
        <v>0</v>
      </c>
      <c r="T165" s="81">
        <f ca="1">Low_Press!T246+AdHoc!T190+AdHoc!T465+AdHoc!T740+Medium_Press!T239+High_Press!T169+Dom_Meters!T190+Dom_Meters!T444+Com_Meters!T190+Com_Meters!T479+Net_Reg!T211+Net_Reg!T465+Cust_Reg!T190+Cust_Reg!T465+CP_SCADA!T218+CP_SCADA!T521+Aug!T204+Aug!T486+Cust_Conn!T174+Cust_Conn!T431+Cust_Conn!T686+Cust_Conn!T941+New_Towns!T169+New_Towns!T424+New_Towns!T692+IT!T295+Other!T169</f>
        <v>0</v>
      </c>
    </row>
    <row r="166" spans="6:20" outlineLevel="1">
      <c r="F166" s="247" t="str">
        <f>GC!C45</f>
        <v>Meters</v>
      </c>
      <c r="G166" s="247"/>
      <c r="H166" s="247"/>
      <c r="I166" s="247"/>
      <c r="J166" s="81">
        <f ca="1">Low_Press!J247+AdHoc!J191+AdHoc!J466+AdHoc!J741+Medium_Press!J240+High_Press!J170+Dom_Meters!J191+Dom_Meters!J445+Com_Meters!J191+Com_Meters!J480+Net_Reg!J212+Net_Reg!J466+Cust_Reg!J191+Cust_Reg!J466+CP_SCADA!J219+CP_SCADA!J522+Aug!J205+Aug!J487+Cust_Conn!J175+Cust_Conn!J432+Cust_Conn!J687+Cust_Conn!J942+New_Towns!J170+New_Towns!J425+New_Towns!J693+IT!J296+Other!J170</f>
        <v>0</v>
      </c>
      <c r="K166" s="81">
        <f ca="1">Low_Press!K247+AdHoc!K191+AdHoc!K466+AdHoc!K741+Medium_Press!K240+High_Press!K170+Dom_Meters!K191+Dom_Meters!K445+Com_Meters!K191+Com_Meters!K480+Net_Reg!K212+Net_Reg!K466+Cust_Reg!K191+Cust_Reg!K466+CP_SCADA!K219+CP_SCADA!K522+Aug!K205+Aug!K487+Cust_Conn!K175+Cust_Conn!K432+Cust_Conn!K687+Cust_Conn!K942+New_Towns!K170+New_Towns!K425+New_Towns!K693+IT!K296+Other!K170</f>
        <v>0</v>
      </c>
      <c r="L166" s="81">
        <f ca="1">Low_Press!L247+AdHoc!L191+AdHoc!L466+AdHoc!L741+Medium_Press!L240+High_Press!L170+Dom_Meters!L191+Dom_Meters!L445+Com_Meters!L191+Com_Meters!L480+Net_Reg!L212+Net_Reg!L466+Cust_Reg!L191+Cust_Reg!L466+CP_SCADA!L219+CP_SCADA!L522+Aug!L205+Aug!L487+Cust_Conn!L175+Cust_Conn!L432+Cust_Conn!L687+Cust_Conn!L942+New_Towns!L170+New_Towns!L425+New_Towns!L693+IT!L296+Other!L170</f>
        <v>0</v>
      </c>
      <c r="M166" s="81">
        <f ca="1">Low_Press!M247+AdHoc!M191+AdHoc!M466+AdHoc!M741+Medium_Press!M240+High_Press!M170+Dom_Meters!M191+Dom_Meters!M445+Com_Meters!M191+Com_Meters!M480+Net_Reg!M212+Net_Reg!M466+Cust_Reg!M191+Cust_Reg!M466+CP_SCADA!M219+CP_SCADA!M522+Aug!M205+Aug!M487+Cust_Conn!M175+Cust_Conn!M432+Cust_Conn!M687+Cust_Conn!M942+New_Towns!M170+New_Towns!M425+New_Towns!M693+IT!M296+Other!M170</f>
        <v>0</v>
      </c>
      <c r="N166" s="81">
        <f ca="1">Low_Press!N247+AdHoc!N191+AdHoc!N466+AdHoc!N741+Medium_Press!N240+High_Press!N170+Dom_Meters!N191+Dom_Meters!N445+Com_Meters!N191+Com_Meters!N480+Net_Reg!N212+Net_Reg!N466+Cust_Reg!N191+Cust_Reg!N466+CP_SCADA!N219+CP_SCADA!N522+Aug!N205+Aug!N487+Cust_Conn!N175+Cust_Conn!N432+Cust_Conn!N687+Cust_Conn!N942+New_Towns!N170+New_Towns!N425+New_Towns!N693+IT!N296+Other!N170</f>
        <v>-853835.73199300002</v>
      </c>
      <c r="O166" s="81">
        <f ca="1">Low_Press!O247+AdHoc!O191+AdHoc!O466+AdHoc!O741+Medium_Press!O240+High_Press!O170+Dom_Meters!O191+Dom_Meters!O445+Com_Meters!O191+Com_Meters!O480+Net_Reg!O212+Net_Reg!O466+Cust_Reg!O191+Cust_Reg!O466+CP_SCADA!O219+CP_SCADA!O522+Aug!O205+Aug!O487+Cust_Conn!O175+Cust_Conn!O432+Cust_Conn!O687+Cust_Conn!O942+New_Towns!O170+New_Towns!O425+New_Towns!O693+IT!O296+Other!O170</f>
        <v>-434554.85700000002</v>
      </c>
      <c r="P166" s="81">
        <f ca="1">Low_Press!P247+AdHoc!P191+AdHoc!P466+AdHoc!P741+Medium_Press!P240+High_Press!P170+Dom_Meters!P191+Dom_Meters!P445+Com_Meters!P191+Com_Meters!P480+Net_Reg!P212+Net_Reg!P466+Cust_Reg!P191+Cust_Reg!P466+CP_SCADA!P219+CP_SCADA!P522+Aug!P205+Aug!P487+Cust_Conn!P175+Cust_Conn!P432+Cust_Conn!P687+Cust_Conn!P942+New_Towns!P170+New_Towns!P425+New_Towns!P693+IT!P296+Other!P170</f>
        <v>-869109.71400000004</v>
      </c>
      <c r="Q166" s="81">
        <f ca="1">Low_Press!Q247+AdHoc!Q191+AdHoc!Q466+AdHoc!Q741+Medium_Press!Q240+High_Press!Q170+Dom_Meters!Q191+Dom_Meters!Q445+Com_Meters!Q191+Com_Meters!Q480+Net_Reg!Q212+Net_Reg!Q466+Cust_Reg!Q191+Cust_Reg!Q466+CP_SCADA!Q219+CP_SCADA!Q522+Aug!Q205+Aug!Q487+Cust_Conn!Q175+Cust_Conn!Q432+Cust_Conn!Q687+Cust_Conn!Q942+New_Towns!Q170+New_Towns!Q425+New_Towns!Q693+IT!Q296+Other!Q170</f>
        <v>-883914.17500000005</v>
      </c>
      <c r="R166" s="81">
        <f ca="1">Low_Press!R247+AdHoc!R191+AdHoc!R466+AdHoc!R741+Medium_Press!R240+High_Press!R170+Dom_Meters!R191+Dom_Meters!R445+Com_Meters!R191+Com_Meters!R480+Net_Reg!R212+Net_Reg!R466+Cust_Reg!R191+Cust_Reg!R466+CP_SCADA!R219+CP_SCADA!R522+Aug!R205+Aug!R487+Cust_Conn!R175+Cust_Conn!R432+Cust_Conn!R687+Cust_Conn!R942+New_Towns!R170+New_Towns!R425+New_Towns!R693+IT!R296+Other!R170</f>
        <v>-898389.99100000015</v>
      </c>
      <c r="S166" s="81">
        <f ca="1">Low_Press!S247+AdHoc!S191+AdHoc!S466+AdHoc!S741+Medium_Press!S240+High_Press!S170+Dom_Meters!S191+Dom_Meters!S445+Com_Meters!S191+Com_Meters!S480+Net_Reg!S212+Net_Reg!S466+Cust_Reg!S191+Cust_Reg!S466+CP_SCADA!S219+CP_SCADA!S522+Aug!S205+Aug!S487+Cust_Conn!S175+Cust_Conn!S432+Cust_Conn!S687+Cust_Conn!S942+New_Towns!S170+New_Towns!S425+New_Towns!S693+IT!S296+Other!S170</f>
        <v>-886947.29600000009</v>
      </c>
      <c r="T166" s="81">
        <f ca="1">Low_Press!T247+AdHoc!T191+AdHoc!T466+AdHoc!T741+Medium_Press!T240+High_Press!T170+Dom_Meters!T191+Dom_Meters!T445+Com_Meters!T191+Com_Meters!T480+Net_Reg!T212+Net_Reg!T466+Cust_Reg!T191+Cust_Reg!T466+CP_SCADA!T219+CP_SCADA!T522+Aug!T205+Aug!T487+Cust_Conn!T175+Cust_Conn!T432+Cust_Conn!T687+Cust_Conn!T942+New_Towns!T170+New_Towns!T425+New_Towns!T693+IT!T296+Other!T170</f>
        <v>-875039.98600000003</v>
      </c>
    </row>
    <row r="167" spans="6:20" outlineLevel="1">
      <c r="F167" s="247" t="str">
        <f>GC!C46</f>
        <v>SCADA and remote control</v>
      </c>
      <c r="G167" s="247"/>
      <c r="H167" s="247"/>
      <c r="I167" s="247"/>
      <c r="J167" s="81">
        <f ca="1">Low_Press!J248+AdHoc!J192+AdHoc!J467+AdHoc!J742+Medium_Press!J241+High_Press!J171+Dom_Meters!J192+Dom_Meters!J446+Com_Meters!J192+Com_Meters!J481+Net_Reg!J213+Net_Reg!J467+Cust_Reg!J192+Cust_Reg!J467+CP_SCADA!J220+CP_SCADA!J523+Aug!J206+Aug!J488+Cust_Conn!J176+Cust_Conn!J433+Cust_Conn!J688+Cust_Conn!J943+New_Towns!J171+New_Towns!J426+New_Towns!J694+IT!J297+Other!J171</f>
        <v>0</v>
      </c>
      <c r="K167" s="81">
        <f ca="1">Low_Press!K248+AdHoc!K192+AdHoc!K467+AdHoc!K742+Medium_Press!K241+High_Press!K171+Dom_Meters!K192+Dom_Meters!K446+Com_Meters!K192+Com_Meters!K481+Net_Reg!K213+Net_Reg!K467+Cust_Reg!K192+Cust_Reg!K467+CP_SCADA!K220+CP_SCADA!K523+Aug!K206+Aug!K488+Cust_Conn!K176+Cust_Conn!K433+Cust_Conn!K688+Cust_Conn!K943+New_Towns!K171+New_Towns!K426+New_Towns!K694+IT!K297+Other!K171</f>
        <v>0</v>
      </c>
      <c r="L167" s="81">
        <f ca="1">Low_Press!L248+AdHoc!L192+AdHoc!L467+AdHoc!L742+Medium_Press!L241+High_Press!L171+Dom_Meters!L192+Dom_Meters!L446+Com_Meters!L192+Com_Meters!L481+Net_Reg!L213+Net_Reg!L467+Cust_Reg!L192+Cust_Reg!L467+CP_SCADA!L220+CP_SCADA!L523+Aug!L206+Aug!L488+Cust_Conn!L176+Cust_Conn!L433+Cust_Conn!L688+Cust_Conn!L943+New_Towns!L171+New_Towns!L426+New_Towns!L694+IT!L297+Other!L171</f>
        <v>0</v>
      </c>
      <c r="M167" s="81">
        <f ca="1">Low_Press!M248+AdHoc!M192+AdHoc!M467+AdHoc!M742+Medium_Press!M241+High_Press!M171+Dom_Meters!M192+Dom_Meters!M446+Com_Meters!M192+Com_Meters!M481+Net_Reg!M213+Net_Reg!M467+Cust_Reg!M192+Cust_Reg!M467+CP_SCADA!M220+CP_SCADA!M523+Aug!M206+Aug!M488+Cust_Conn!M176+Cust_Conn!M433+Cust_Conn!M688+Cust_Conn!M943+New_Towns!M171+New_Towns!M426+New_Towns!M694+IT!M297+Other!M171</f>
        <v>0</v>
      </c>
      <c r="N167" s="81">
        <f ca="1">Low_Press!N248+AdHoc!N192+AdHoc!N467+AdHoc!N742+Medium_Press!N241+High_Press!N171+Dom_Meters!N192+Dom_Meters!N446+Com_Meters!N192+Com_Meters!N481+Net_Reg!N213+Net_Reg!N467+Cust_Reg!N192+Cust_Reg!N467+CP_SCADA!N220+CP_SCADA!N523+Aug!N206+Aug!N488+Cust_Conn!N176+Cust_Conn!N433+Cust_Conn!N688+Cust_Conn!N943+New_Towns!N171+New_Towns!N426+New_Towns!N694+IT!N297+Other!N171</f>
        <v>0</v>
      </c>
      <c r="O167" s="81">
        <f ca="1">Low_Press!O248+AdHoc!O192+AdHoc!O467+AdHoc!O742+Medium_Press!O241+High_Press!O171+Dom_Meters!O192+Dom_Meters!O446+Com_Meters!O192+Com_Meters!O481+Net_Reg!O213+Net_Reg!O467+Cust_Reg!O192+Cust_Reg!O467+CP_SCADA!O220+CP_SCADA!O523+Aug!O206+Aug!O488+Cust_Conn!O176+Cust_Conn!O433+Cust_Conn!O688+Cust_Conn!O943+New_Towns!O171+New_Towns!O426+New_Towns!O694+IT!O297+Other!O171</f>
        <v>0</v>
      </c>
      <c r="P167" s="81">
        <f ca="1">Low_Press!P248+AdHoc!P192+AdHoc!P467+AdHoc!P742+Medium_Press!P241+High_Press!P171+Dom_Meters!P192+Dom_Meters!P446+Com_Meters!P192+Com_Meters!P481+Net_Reg!P213+Net_Reg!P467+Cust_Reg!P192+Cust_Reg!P467+CP_SCADA!P220+CP_SCADA!P523+Aug!P206+Aug!P488+Cust_Conn!P176+Cust_Conn!P433+Cust_Conn!P688+Cust_Conn!P943+New_Towns!P171+New_Towns!P426+New_Towns!P694+IT!P297+Other!P171</f>
        <v>0</v>
      </c>
      <c r="Q167" s="81">
        <f ca="1">Low_Press!Q248+AdHoc!Q192+AdHoc!Q467+AdHoc!Q742+Medium_Press!Q241+High_Press!Q171+Dom_Meters!Q192+Dom_Meters!Q446+Com_Meters!Q192+Com_Meters!Q481+Net_Reg!Q213+Net_Reg!Q467+Cust_Reg!Q192+Cust_Reg!Q467+CP_SCADA!Q220+CP_SCADA!Q523+Aug!Q206+Aug!Q488+Cust_Conn!Q176+Cust_Conn!Q433+Cust_Conn!Q688+Cust_Conn!Q943+New_Towns!Q171+New_Towns!Q426+New_Towns!Q694+IT!Q297+Other!Q171</f>
        <v>0</v>
      </c>
      <c r="R167" s="81">
        <f ca="1">Low_Press!R248+AdHoc!R192+AdHoc!R467+AdHoc!R742+Medium_Press!R241+High_Press!R171+Dom_Meters!R192+Dom_Meters!R446+Com_Meters!R192+Com_Meters!R481+Net_Reg!R213+Net_Reg!R467+Cust_Reg!R192+Cust_Reg!R467+CP_SCADA!R220+CP_SCADA!R523+Aug!R206+Aug!R488+Cust_Conn!R176+Cust_Conn!R433+Cust_Conn!R688+Cust_Conn!R943+New_Towns!R171+New_Towns!R426+New_Towns!R694+IT!R297+Other!R171</f>
        <v>0</v>
      </c>
      <c r="S167" s="81">
        <f ca="1">Low_Press!S248+AdHoc!S192+AdHoc!S467+AdHoc!S742+Medium_Press!S241+High_Press!S171+Dom_Meters!S192+Dom_Meters!S446+Com_Meters!S192+Com_Meters!S481+Net_Reg!S213+Net_Reg!S467+Cust_Reg!S192+Cust_Reg!S467+CP_SCADA!S220+CP_SCADA!S523+Aug!S206+Aug!S488+Cust_Conn!S176+Cust_Conn!S433+Cust_Conn!S688+Cust_Conn!S943+New_Towns!S171+New_Towns!S426+New_Towns!S694+IT!S297+Other!S171</f>
        <v>0</v>
      </c>
      <c r="T167" s="81">
        <f ca="1">Low_Press!T248+AdHoc!T192+AdHoc!T467+AdHoc!T742+Medium_Press!T241+High_Press!T171+Dom_Meters!T192+Dom_Meters!T446+Com_Meters!T192+Com_Meters!T481+Net_Reg!T213+Net_Reg!T467+Cust_Reg!T192+Cust_Reg!T467+CP_SCADA!T220+CP_SCADA!T523+Aug!T206+Aug!T488+Cust_Conn!T176+Cust_Conn!T433+Cust_Conn!T688+Cust_Conn!T943+New_Towns!T171+New_Towns!T426+New_Towns!T694+IT!T297+Other!T171</f>
        <v>0</v>
      </c>
    </row>
    <row r="168" spans="6:20" outlineLevel="1">
      <c r="F168" s="247" t="str">
        <f>GC!C47</f>
        <v>Buildings</v>
      </c>
      <c r="G168" s="247"/>
      <c r="H168" s="247"/>
      <c r="I168" s="247"/>
      <c r="J168" s="81">
        <f ca="1">Low_Press!J249+AdHoc!J193+AdHoc!J468+AdHoc!J743+Medium_Press!J242+High_Press!J172+Dom_Meters!J193+Dom_Meters!J447+Com_Meters!J193+Com_Meters!J482+Net_Reg!J214+Net_Reg!J468+Cust_Reg!J193+Cust_Reg!J468+CP_SCADA!J221+CP_SCADA!J524+Aug!J207+Aug!J489+Cust_Conn!J177+Cust_Conn!J434+Cust_Conn!J689+Cust_Conn!J944+New_Towns!J172+New_Towns!J427+New_Towns!J695+IT!J298+Other!J172</f>
        <v>0</v>
      </c>
      <c r="K168" s="81">
        <f ca="1">Low_Press!K249+AdHoc!K193+AdHoc!K468+AdHoc!K743+Medium_Press!K242+High_Press!K172+Dom_Meters!K193+Dom_Meters!K447+Com_Meters!K193+Com_Meters!K482+Net_Reg!K214+Net_Reg!K468+Cust_Reg!K193+Cust_Reg!K468+CP_SCADA!K221+CP_SCADA!K524+Aug!K207+Aug!K489+Cust_Conn!K177+Cust_Conn!K434+Cust_Conn!K689+Cust_Conn!K944+New_Towns!K172+New_Towns!K427+New_Towns!K695+IT!K298+Other!K172</f>
        <v>0</v>
      </c>
      <c r="L168" s="81">
        <f ca="1">Low_Press!L249+AdHoc!L193+AdHoc!L468+AdHoc!L743+Medium_Press!L242+High_Press!L172+Dom_Meters!L193+Dom_Meters!L447+Com_Meters!L193+Com_Meters!L482+Net_Reg!L214+Net_Reg!L468+Cust_Reg!L193+Cust_Reg!L468+CP_SCADA!L221+CP_SCADA!L524+Aug!L207+Aug!L489+Cust_Conn!L177+Cust_Conn!L434+Cust_Conn!L689+Cust_Conn!L944+New_Towns!L172+New_Towns!L427+New_Towns!L695+IT!L298+Other!L172</f>
        <v>0</v>
      </c>
      <c r="M168" s="81">
        <f ca="1">Low_Press!M249+AdHoc!M193+AdHoc!M468+AdHoc!M743+Medium_Press!M242+High_Press!M172+Dom_Meters!M193+Dom_Meters!M447+Com_Meters!M193+Com_Meters!M482+Net_Reg!M214+Net_Reg!M468+Cust_Reg!M193+Cust_Reg!M468+CP_SCADA!M221+CP_SCADA!M524+Aug!M207+Aug!M489+Cust_Conn!M177+Cust_Conn!M434+Cust_Conn!M689+Cust_Conn!M944+New_Towns!M172+New_Towns!M427+New_Towns!M695+IT!M298+Other!M172</f>
        <v>0</v>
      </c>
      <c r="N168" s="81">
        <f ca="1">Low_Press!N249+AdHoc!N193+AdHoc!N468+AdHoc!N743+Medium_Press!N242+High_Press!N172+Dom_Meters!N193+Dom_Meters!N447+Com_Meters!N193+Com_Meters!N482+Net_Reg!N214+Net_Reg!N468+Cust_Reg!N193+Cust_Reg!N468+CP_SCADA!N221+CP_SCADA!N524+Aug!N207+Aug!N489+Cust_Conn!N177+Cust_Conn!N434+Cust_Conn!N689+Cust_Conn!N944+New_Towns!N172+New_Towns!N427+New_Towns!N695+IT!N298+Other!N172</f>
        <v>0</v>
      </c>
      <c r="O168" s="81">
        <f ca="1">Low_Press!O249+AdHoc!O193+AdHoc!O468+AdHoc!O743+Medium_Press!O242+High_Press!O172+Dom_Meters!O193+Dom_Meters!O447+Com_Meters!O193+Com_Meters!O482+Net_Reg!O214+Net_Reg!O468+Cust_Reg!O193+Cust_Reg!O468+CP_SCADA!O221+CP_SCADA!O524+Aug!O207+Aug!O489+Cust_Conn!O177+Cust_Conn!O434+Cust_Conn!O689+Cust_Conn!O944+New_Towns!O172+New_Towns!O427+New_Towns!O695+IT!O298+Other!O172</f>
        <v>0</v>
      </c>
      <c r="P168" s="81">
        <f ca="1">Low_Press!P249+AdHoc!P193+AdHoc!P468+AdHoc!P743+Medium_Press!P242+High_Press!P172+Dom_Meters!P193+Dom_Meters!P447+Com_Meters!P193+Com_Meters!P482+Net_Reg!P214+Net_Reg!P468+Cust_Reg!P193+Cust_Reg!P468+CP_SCADA!P221+CP_SCADA!P524+Aug!P207+Aug!P489+Cust_Conn!P177+Cust_Conn!P434+Cust_Conn!P689+Cust_Conn!P944+New_Towns!P172+New_Towns!P427+New_Towns!P695+IT!P298+Other!P172</f>
        <v>0</v>
      </c>
      <c r="Q168" s="81">
        <f ca="1">Low_Press!Q249+AdHoc!Q193+AdHoc!Q468+AdHoc!Q743+Medium_Press!Q242+High_Press!Q172+Dom_Meters!Q193+Dom_Meters!Q447+Com_Meters!Q193+Com_Meters!Q482+Net_Reg!Q214+Net_Reg!Q468+Cust_Reg!Q193+Cust_Reg!Q468+CP_SCADA!Q221+CP_SCADA!Q524+Aug!Q207+Aug!Q489+Cust_Conn!Q177+Cust_Conn!Q434+Cust_Conn!Q689+Cust_Conn!Q944+New_Towns!Q172+New_Towns!Q427+New_Towns!Q695+IT!Q298+Other!Q172</f>
        <v>0</v>
      </c>
      <c r="R168" s="81">
        <f ca="1">Low_Press!R249+AdHoc!R193+AdHoc!R468+AdHoc!R743+Medium_Press!R242+High_Press!R172+Dom_Meters!R193+Dom_Meters!R447+Com_Meters!R193+Com_Meters!R482+Net_Reg!R214+Net_Reg!R468+Cust_Reg!R193+Cust_Reg!R468+CP_SCADA!R221+CP_SCADA!R524+Aug!R207+Aug!R489+Cust_Conn!R177+Cust_Conn!R434+Cust_Conn!R689+Cust_Conn!R944+New_Towns!R172+New_Towns!R427+New_Towns!R695+IT!R298+Other!R172</f>
        <v>0</v>
      </c>
      <c r="S168" s="81">
        <f ca="1">Low_Press!S249+AdHoc!S193+AdHoc!S468+AdHoc!S743+Medium_Press!S242+High_Press!S172+Dom_Meters!S193+Dom_Meters!S447+Com_Meters!S193+Com_Meters!S482+Net_Reg!S214+Net_Reg!S468+Cust_Reg!S193+Cust_Reg!S468+CP_SCADA!S221+CP_SCADA!S524+Aug!S207+Aug!S489+Cust_Conn!S177+Cust_Conn!S434+Cust_Conn!S689+Cust_Conn!S944+New_Towns!S172+New_Towns!S427+New_Towns!S695+IT!S298+Other!S172</f>
        <v>0</v>
      </c>
      <c r="T168" s="81">
        <f ca="1">Low_Press!T249+AdHoc!T193+AdHoc!T468+AdHoc!T743+Medium_Press!T242+High_Press!T172+Dom_Meters!T193+Dom_Meters!T447+Com_Meters!T193+Com_Meters!T482+Net_Reg!T214+Net_Reg!T468+Cust_Reg!T193+Cust_Reg!T468+CP_SCADA!T221+CP_SCADA!T524+Aug!T207+Aug!T489+Cust_Conn!T177+Cust_Conn!T434+Cust_Conn!T689+Cust_Conn!T944+New_Towns!T172+New_Towns!T427+New_Towns!T695+IT!T298+Other!T172</f>
        <v>0</v>
      </c>
    </row>
    <row r="169" spans="6:20" outlineLevel="1">
      <c r="F169" s="247" t="str">
        <f>GC!C48</f>
        <v>Other - IT</v>
      </c>
      <c r="G169" s="247"/>
      <c r="H169" s="247"/>
      <c r="I169" s="247"/>
      <c r="J169" s="81">
        <f ca="1">Low_Press!J250+AdHoc!J194+AdHoc!J469+AdHoc!J744+Medium_Press!J243+High_Press!J173+Dom_Meters!J194+Dom_Meters!J448+Com_Meters!J194+Com_Meters!J483+Net_Reg!J215+Net_Reg!J469+Cust_Reg!J194+Cust_Reg!J469+CP_SCADA!J222+CP_SCADA!J525+Aug!J208+Aug!J490+Cust_Conn!J178+Cust_Conn!J435+Cust_Conn!J690+Cust_Conn!J945+New_Towns!J173+New_Towns!J428+New_Towns!J696+IT!J299+Other!J173</f>
        <v>0</v>
      </c>
      <c r="K169" s="81">
        <f ca="1">Low_Press!K250+AdHoc!K194+AdHoc!K469+AdHoc!K744+Medium_Press!K243+High_Press!K173+Dom_Meters!K194+Dom_Meters!K448+Com_Meters!K194+Com_Meters!K483+Net_Reg!K215+Net_Reg!K469+Cust_Reg!K194+Cust_Reg!K469+CP_SCADA!K222+CP_SCADA!K525+Aug!K208+Aug!K490+Cust_Conn!K178+Cust_Conn!K435+Cust_Conn!K690+Cust_Conn!K945+New_Towns!K173+New_Towns!K428+New_Towns!K696+IT!K299+Other!K173</f>
        <v>0</v>
      </c>
      <c r="L169" s="81">
        <f ca="1">Low_Press!L250+AdHoc!L194+AdHoc!L469+AdHoc!L744+Medium_Press!L243+High_Press!L173+Dom_Meters!L194+Dom_Meters!L448+Com_Meters!L194+Com_Meters!L483+Net_Reg!L215+Net_Reg!L469+Cust_Reg!L194+Cust_Reg!L469+CP_SCADA!L222+CP_SCADA!L525+Aug!L208+Aug!L490+Cust_Conn!L178+Cust_Conn!L435+Cust_Conn!L690+Cust_Conn!L945+New_Towns!L173+New_Towns!L428+New_Towns!L696+IT!L299+Other!L173</f>
        <v>0</v>
      </c>
      <c r="M169" s="81">
        <f ca="1">Low_Press!M250+AdHoc!M194+AdHoc!M469+AdHoc!M744+Medium_Press!M243+High_Press!M173+Dom_Meters!M194+Dom_Meters!M448+Com_Meters!M194+Com_Meters!M483+Net_Reg!M215+Net_Reg!M469+Cust_Reg!M194+Cust_Reg!M469+CP_SCADA!M222+CP_SCADA!M525+Aug!M208+Aug!M490+Cust_Conn!M178+Cust_Conn!M435+Cust_Conn!M690+Cust_Conn!M945+New_Towns!M173+New_Towns!M428+New_Towns!M696+IT!M299+Other!M173</f>
        <v>0</v>
      </c>
      <c r="N169" s="81">
        <f ca="1">Low_Press!N250+AdHoc!N194+AdHoc!N469+AdHoc!N744+Medium_Press!N243+High_Press!N173+Dom_Meters!N194+Dom_Meters!N448+Com_Meters!N194+Com_Meters!N483+Net_Reg!N215+Net_Reg!N469+Cust_Reg!N194+Cust_Reg!N469+CP_SCADA!N222+CP_SCADA!N525+Aug!N208+Aug!N490+Cust_Conn!N178+Cust_Conn!N435+Cust_Conn!N690+Cust_Conn!N945+New_Towns!N173+New_Towns!N428+New_Towns!N696+IT!N299+Other!N173</f>
        <v>0</v>
      </c>
      <c r="O169" s="81">
        <f ca="1">Low_Press!O250+AdHoc!O194+AdHoc!O469+AdHoc!O744+Medium_Press!O243+High_Press!O173+Dom_Meters!O194+Dom_Meters!O448+Com_Meters!O194+Com_Meters!O483+Net_Reg!O215+Net_Reg!O469+Cust_Reg!O194+Cust_Reg!O469+CP_SCADA!O222+CP_SCADA!O525+Aug!O208+Aug!O490+Cust_Conn!O178+Cust_Conn!O435+Cust_Conn!O690+Cust_Conn!O945+New_Towns!O173+New_Towns!O428+New_Towns!O696+IT!O299+Other!O173</f>
        <v>0</v>
      </c>
      <c r="P169" s="81">
        <f ca="1">Low_Press!P250+AdHoc!P194+AdHoc!P469+AdHoc!P744+Medium_Press!P243+High_Press!P173+Dom_Meters!P194+Dom_Meters!P448+Com_Meters!P194+Com_Meters!P483+Net_Reg!P215+Net_Reg!P469+Cust_Reg!P194+Cust_Reg!P469+CP_SCADA!P222+CP_SCADA!P525+Aug!P208+Aug!P490+Cust_Conn!P178+Cust_Conn!P435+Cust_Conn!P690+Cust_Conn!P945+New_Towns!P173+New_Towns!P428+New_Towns!P696+IT!P299+Other!P173</f>
        <v>0</v>
      </c>
      <c r="Q169" s="81">
        <f ca="1">Low_Press!Q250+AdHoc!Q194+AdHoc!Q469+AdHoc!Q744+Medium_Press!Q243+High_Press!Q173+Dom_Meters!Q194+Dom_Meters!Q448+Com_Meters!Q194+Com_Meters!Q483+Net_Reg!Q215+Net_Reg!Q469+Cust_Reg!Q194+Cust_Reg!Q469+CP_SCADA!Q222+CP_SCADA!Q525+Aug!Q208+Aug!Q490+Cust_Conn!Q178+Cust_Conn!Q435+Cust_Conn!Q690+Cust_Conn!Q945+New_Towns!Q173+New_Towns!Q428+New_Towns!Q696+IT!Q299+Other!Q173</f>
        <v>0</v>
      </c>
      <c r="R169" s="81">
        <f ca="1">Low_Press!R250+AdHoc!R194+AdHoc!R469+AdHoc!R744+Medium_Press!R243+High_Press!R173+Dom_Meters!R194+Dom_Meters!R448+Com_Meters!R194+Com_Meters!R483+Net_Reg!R215+Net_Reg!R469+Cust_Reg!R194+Cust_Reg!R469+CP_SCADA!R222+CP_SCADA!R525+Aug!R208+Aug!R490+Cust_Conn!R178+Cust_Conn!R435+Cust_Conn!R690+Cust_Conn!R945+New_Towns!R173+New_Towns!R428+New_Towns!R696+IT!R299+Other!R173</f>
        <v>0</v>
      </c>
      <c r="S169" s="81">
        <f ca="1">Low_Press!S250+AdHoc!S194+AdHoc!S469+AdHoc!S744+Medium_Press!S243+High_Press!S173+Dom_Meters!S194+Dom_Meters!S448+Com_Meters!S194+Com_Meters!S483+Net_Reg!S215+Net_Reg!S469+Cust_Reg!S194+Cust_Reg!S469+CP_SCADA!S222+CP_SCADA!S525+Aug!S208+Aug!S490+Cust_Conn!S178+Cust_Conn!S435+Cust_Conn!S690+Cust_Conn!S945+New_Towns!S173+New_Towns!S428+New_Towns!S696+IT!S299+Other!S173</f>
        <v>0</v>
      </c>
      <c r="T169" s="81">
        <f ca="1">Low_Press!T250+AdHoc!T194+AdHoc!T469+AdHoc!T744+Medium_Press!T243+High_Press!T173+Dom_Meters!T194+Dom_Meters!T448+Com_Meters!T194+Com_Meters!T483+Net_Reg!T215+Net_Reg!T469+Cust_Reg!T194+Cust_Reg!T469+CP_SCADA!T222+CP_SCADA!T525+Aug!T208+Aug!T490+Cust_Conn!T178+Cust_Conn!T435+Cust_Conn!T690+Cust_Conn!T945+New_Towns!T173+New_Towns!T428+New_Towns!T696+IT!T299+Other!T173</f>
        <v>0</v>
      </c>
    </row>
    <row r="170" spans="6:20" outlineLevel="1">
      <c r="F170" s="247" t="str">
        <f>GC!C49</f>
        <v>Other - non IT</v>
      </c>
      <c r="G170" s="247"/>
      <c r="H170" s="247"/>
      <c r="I170" s="247"/>
      <c r="J170" s="81">
        <f ca="1">Low_Press!J251+AdHoc!J195+AdHoc!J470+AdHoc!J745+Medium_Press!J244+High_Press!J174+Dom_Meters!J195+Dom_Meters!J449+Com_Meters!J195+Com_Meters!J484+Net_Reg!J216+Net_Reg!J470+Cust_Reg!J195+Cust_Reg!J470+CP_SCADA!J223+CP_SCADA!J526+Aug!J209+Aug!J491+Cust_Conn!J179+Cust_Conn!J436+Cust_Conn!J691+Cust_Conn!J946+New_Towns!J174+New_Towns!J429+New_Towns!J697+IT!J300+Other!J174</f>
        <v>0</v>
      </c>
      <c r="K170" s="81">
        <f ca="1">Low_Press!K251+AdHoc!K195+AdHoc!K470+AdHoc!K745+Medium_Press!K244+High_Press!K174+Dom_Meters!K195+Dom_Meters!K449+Com_Meters!K195+Com_Meters!K484+Net_Reg!K216+Net_Reg!K470+Cust_Reg!K195+Cust_Reg!K470+CP_SCADA!K223+CP_SCADA!K526+Aug!K209+Aug!K491+Cust_Conn!K179+Cust_Conn!K436+Cust_Conn!K691+Cust_Conn!K946+New_Towns!K174+New_Towns!K429+New_Towns!K697+IT!K300+Other!K174</f>
        <v>0</v>
      </c>
      <c r="L170" s="81">
        <f ca="1">Low_Press!L251+AdHoc!L195+AdHoc!L470+AdHoc!L745+Medium_Press!L244+High_Press!L174+Dom_Meters!L195+Dom_Meters!L449+Com_Meters!L195+Com_Meters!L484+Net_Reg!L216+Net_Reg!L470+Cust_Reg!L195+Cust_Reg!L470+CP_SCADA!L223+CP_SCADA!L526+Aug!L209+Aug!L491+Cust_Conn!L179+Cust_Conn!L436+Cust_Conn!L691+Cust_Conn!L946+New_Towns!L174+New_Towns!L429+New_Towns!L697+IT!L300+Other!L174</f>
        <v>0</v>
      </c>
      <c r="M170" s="81">
        <f ca="1">Low_Press!M251+AdHoc!M195+AdHoc!M470+AdHoc!M745+Medium_Press!M244+High_Press!M174+Dom_Meters!M195+Dom_Meters!M449+Com_Meters!M195+Com_Meters!M484+Net_Reg!M216+Net_Reg!M470+Cust_Reg!M195+Cust_Reg!M470+CP_SCADA!M223+CP_SCADA!M526+Aug!M209+Aug!M491+Cust_Conn!M179+Cust_Conn!M436+Cust_Conn!M691+Cust_Conn!M946+New_Towns!M174+New_Towns!M429+New_Towns!M697+IT!M300+Other!M174</f>
        <v>0</v>
      </c>
      <c r="N170" s="81">
        <f ca="1">Low_Press!N251+AdHoc!N195+AdHoc!N470+AdHoc!N745+Medium_Press!N244+High_Press!N174+Dom_Meters!N195+Dom_Meters!N449+Com_Meters!N195+Com_Meters!N484+Net_Reg!N216+Net_Reg!N470+Cust_Reg!N195+Cust_Reg!N470+CP_SCADA!N223+CP_SCADA!N526+Aug!N209+Aug!N491+Cust_Conn!N179+Cust_Conn!N436+Cust_Conn!N691+Cust_Conn!N946+New_Towns!N174+New_Towns!N429+New_Towns!N697+IT!N300+Other!N174</f>
        <v>0</v>
      </c>
      <c r="O170" s="81">
        <f ca="1">Low_Press!O251+AdHoc!O195+AdHoc!O470+AdHoc!O745+Medium_Press!O244+High_Press!O174+Dom_Meters!O195+Dom_Meters!O449+Com_Meters!O195+Com_Meters!O484+Net_Reg!O216+Net_Reg!O470+Cust_Reg!O195+Cust_Reg!O470+CP_SCADA!O223+CP_SCADA!O526+Aug!O209+Aug!O491+Cust_Conn!O179+Cust_Conn!O436+Cust_Conn!O691+Cust_Conn!O946+New_Towns!O174+New_Towns!O429+New_Towns!O697+IT!O300+Other!O174</f>
        <v>0</v>
      </c>
      <c r="P170" s="81">
        <f ca="1">Low_Press!P251+AdHoc!P195+AdHoc!P470+AdHoc!P745+Medium_Press!P244+High_Press!P174+Dom_Meters!P195+Dom_Meters!P449+Com_Meters!P195+Com_Meters!P484+Net_Reg!P216+Net_Reg!P470+Cust_Reg!P195+Cust_Reg!P470+CP_SCADA!P223+CP_SCADA!P526+Aug!P209+Aug!P491+Cust_Conn!P179+Cust_Conn!P436+Cust_Conn!P691+Cust_Conn!P946+New_Towns!P174+New_Towns!P429+New_Towns!P697+IT!P300+Other!P174</f>
        <v>0</v>
      </c>
      <c r="Q170" s="81">
        <f ca="1">Low_Press!Q251+AdHoc!Q195+AdHoc!Q470+AdHoc!Q745+Medium_Press!Q244+High_Press!Q174+Dom_Meters!Q195+Dom_Meters!Q449+Com_Meters!Q195+Com_Meters!Q484+Net_Reg!Q216+Net_Reg!Q470+Cust_Reg!Q195+Cust_Reg!Q470+CP_SCADA!Q223+CP_SCADA!Q526+Aug!Q209+Aug!Q491+Cust_Conn!Q179+Cust_Conn!Q436+Cust_Conn!Q691+Cust_Conn!Q946+New_Towns!Q174+New_Towns!Q429+New_Towns!Q697+IT!Q300+Other!Q174</f>
        <v>0</v>
      </c>
      <c r="R170" s="81">
        <f ca="1">Low_Press!R251+AdHoc!R195+AdHoc!R470+AdHoc!R745+Medium_Press!R244+High_Press!R174+Dom_Meters!R195+Dom_Meters!R449+Com_Meters!R195+Com_Meters!R484+Net_Reg!R216+Net_Reg!R470+Cust_Reg!R195+Cust_Reg!R470+CP_SCADA!R223+CP_SCADA!R526+Aug!R209+Aug!R491+Cust_Conn!R179+Cust_Conn!R436+Cust_Conn!R691+Cust_Conn!R946+New_Towns!R174+New_Towns!R429+New_Towns!R697+IT!R300+Other!R174</f>
        <v>0</v>
      </c>
      <c r="S170" s="81">
        <f ca="1">Low_Press!S251+AdHoc!S195+AdHoc!S470+AdHoc!S745+Medium_Press!S244+High_Press!S174+Dom_Meters!S195+Dom_Meters!S449+Com_Meters!S195+Com_Meters!S484+Net_Reg!S216+Net_Reg!S470+Cust_Reg!S195+Cust_Reg!S470+CP_SCADA!S223+CP_SCADA!S526+Aug!S209+Aug!S491+Cust_Conn!S179+Cust_Conn!S436+Cust_Conn!S691+Cust_Conn!S946+New_Towns!S174+New_Towns!S429+New_Towns!S697+IT!S300+Other!S174</f>
        <v>0</v>
      </c>
      <c r="T170" s="81">
        <f ca="1">Low_Press!T251+AdHoc!T195+AdHoc!T470+AdHoc!T745+Medium_Press!T244+High_Press!T174+Dom_Meters!T195+Dom_Meters!T449+Com_Meters!T195+Com_Meters!T484+Net_Reg!T216+Net_Reg!T470+Cust_Reg!T195+Cust_Reg!T470+CP_SCADA!T223+CP_SCADA!T526+Aug!T209+Aug!T491+Cust_Conn!T179+Cust_Conn!T436+Cust_Conn!T691+Cust_Conn!T946+New_Towns!T174+New_Towns!T429+New_Towns!T697+IT!T300+Other!T174</f>
        <v>0</v>
      </c>
    </row>
    <row r="171" spans="6:20" outlineLevel="1">
      <c r="F171" s="247" t="str">
        <f>GC!C50</f>
        <v>Land</v>
      </c>
      <c r="G171" s="247"/>
      <c r="H171" s="247"/>
      <c r="I171" s="247"/>
      <c r="J171" s="81">
        <f ca="1">Low_Press!J252+AdHoc!J196+AdHoc!J471+AdHoc!J746+Medium_Press!J245+High_Press!J175+Dom_Meters!J196+Dom_Meters!J450+Com_Meters!J196+Com_Meters!J485+Net_Reg!J217+Net_Reg!J471+Cust_Reg!J196+Cust_Reg!J471+CP_SCADA!J224+CP_SCADA!J527+Aug!J210+Aug!J492+Cust_Conn!J180+Cust_Conn!J437+Cust_Conn!J692+Cust_Conn!J947+New_Towns!J175+New_Towns!J430+New_Towns!J698+IT!J301+Other!J175</f>
        <v>0</v>
      </c>
      <c r="K171" s="81">
        <f ca="1">Low_Press!K252+AdHoc!K196+AdHoc!K471+AdHoc!K746+Medium_Press!K245+High_Press!K175+Dom_Meters!K196+Dom_Meters!K450+Com_Meters!K196+Com_Meters!K485+Net_Reg!K217+Net_Reg!K471+Cust_Reg!K196+Cust_Reg!K471+CP_SCADA!K224+CP_SCADA!K527+Aug!K210+Aug!K492+Cust_Conn!K180+Cust_Conn!K437+Cust_Conn!K692+Cust_Conn!K947+New_Towns!K175+New_Towns!K430+New_Towns!K698+IT!K301+Other!K175</f>
        <v>0</v>
      </c>
      <c r="L171" s="81">
        <f ca="1">Low_Press!L252+AdHoc!L196+AdHoc!L471+AdHoc!L746+Medium_Press!L245+High_Press!L175+Dom_Meters!L196+Dom_Meters!L450+Com_Meters!L196+Com_Meters!L485+Net_Reg!L217+Net_Reg!L471+Cust_Reg!L196+Cust_Reg!L471+CP_SCADA!L224+CP_SCADA!L527+Aug!L210+Aug!L492+Cust_Conn!L180+Cust_Conn!L437+Cust_Conn!L692+Cust_Conn!L947+New_Towns!L175+New_Towns!L430+New_Towns!L698+IT!L301+Other!L175</f>
        <v>0</v>
      </c>
      <c r="M171" s="81">
        <f ca="1">Low_Press!M252+AdHoc!M196+AdHoc!M471+AdHoc!M746+Medium_Press!M245+High_Press!M175+Dom_Meters!M196+Dom_Meters!M450+Com_Meters!M196+Com_Meters!M485+Net_Reg!M217+Net_Reg!M471+Cust_Reg!M196+Cust_Reg!M471+CP_SCADA!M224+CP_SCADA!M527+Aug!M210+Aug!M492+Cust_Conn!M180+Cust_Conn!M437+Cust_Conn!M692+Cust_Conn!M947+New_Towns!M175+New_Towns!M430+New_Towns!M698+IT!M301+Other!M175</f>
        <v>0</v>
      </c>
      <c r="N171" s="81">
        <f ca="1">Low_Press!N252+AdHoc!N196+AdHoc!N471+AdHoc!N746+Medium_Press!N245+High_Press!N175+Dom_Meters!N196+Dom_Meters!N450+Com_Meters!N196+Com_Meters!N485+Net_Reg!N217+Net_Reg!N471+Cust_Reg!N196+Cust_Reg!N471+CP_SCADA!N224+CP_SCADA!N527+Aug!N210+Aug!N492+Cust_Conn!N180+Cust_Conn!N437+Cust_Conn!N692+Cust_Conn!N947+New_Towns!N175+New_Towns!N430+New_Towns!N698+IT!N301+Other!N175</f>
        <v>0</v>
      </c>
      <c r="O171" s="81">
        <f ca="1">Low_Press!O252+AdHoc!O196+AdHoc!O471+AdHoc!O746+Medium_Press!O245+High_Press!O175+Dom_Meters!O196+Dom_Meters!O450+Com_Meters!O196+Com_Meters!O485+Net_Reg!O217+Net_Reg!O471+Cust_Reg!O196+Cust_Reg!O471+CP_SCADA!O224+CP_SCADA!O527+Aug!O210+Aug!O492+Cust_Conn!O180+Cust_Conn!O437+Cust_Conn!O692+Cust_Conn!O947+New_Towns!O175+New_Towns!O430+New_Towns!O698+IT!O301+Other!O175</f>
        <v>0</v>
      </c>
      <c r="P171" s="81">
        <f ca="1">Low_Press!P252+AdHoc!P196+AdHoc!P471+AdHoc!P746+Medium_Press!P245+High_Press!P175+Dom_Meters!P196+Dom_Meters!P450+Com_Meters!P196+Com_Meters!P485+Net_Reg!P217+Net_Reg!P471+Cust_Reg!P196+Cust_Reg!P471+CP_SCADA!P224+CP_SCADA!P527+Aug!P210+Aug!P492+Cust_Conn!P180+Cust_Conn!P437+Cust_Conn!P692+Cust_Conn!P947+New_Towns!P175+New_Towns!P430+New_Towns!P698+IT!P301+Other!P175</f>
        <v>0</v>
      </c>
      <c r="Q171" s="81">
        <f ca="1">Low_Press!Q252+AdHoc!Q196+AdHoc!Q471+AdHoc!Q746+Medium_Press!Q245+High_Press!Q175+Dom_Meters!Q196+Dom_Meters!Q450+Com_Meters!Q196+Com_Meters!Q485+Net_Reg!Q217+Net_Reg!Q471+Cust_Reg!Q196+Cust_Reg!Q471+CP_SCADA!Q224+CP_SCADA!Q527+Aug!Q210+Aug!Q492+Cust_Conn!Q180+Cust_Conn!Q437+Cust_Conn!Q692+Cust_Conn!Q947+New_Towns!Q175+New_Towns!Q430+New_Towns!Q698+IT!Q301+Other!Q175</f>
        <v>0</v>
      </c>
      <c r="R171" s="81">
        <f ca="1">Low_Press!R252+AdHoc!R196+AdHoc!R471+AdHoc!R746+Medium_Press!R245+High_Press!R175+Dom_Meters!R196+Dom_Meters!R450+Com_Meters!R196+Com_Meters!R485+Net_Reg!R217+Net_Reg!R471+Cust_Reg!R196+Cust_Reg!R471+CP_SCADA!R224+CP_SCADA!R527+Aug!R210+Aug!R492+Cust_Conn!R180+Cust_Conn!R437+Cust_Conn!R692+Cust_Conn!R947+New_Towns!R175+New_Towns!R430+New_Towns!R698+IT!R301+Other!R175</f>
        <v>0</v>
      </c>
      <c r="S171" s="81">
        <f ca="1">Low_Press!S252+AdHoc!S196+AdHoc!S471+AdHoc!S746+Medium_Press!S245+High_Press!S175+Dom_Meters!S196+Dom_Meters!S450+Com_Meters!S196+Com_Meters!S485+Net_Reg!S217+Net_Reg!S471+Cust_Reg!S196+Cust_Reg!S471+CP_SCADA!S224+CP_SCADA!S527+Aug!S210+Aug!S492+Cust_Conn!S180+Cust_Conn!S437+Cust_Conn!S692+Cust_Conn!S947+New_Towns!S175+New_Towns!S430+New_Towns!S698+IT!S301+Other!S175</f>
        <v>0</v>
      </c>
      <c r="T171" s="81">
        <f ca="1">Low_Press!T252+AdHoc!T196+AdHoc!T471+AdHoc!T746+Medium_Press!T245+High_Press!T175+Dom_Meters!T196+Dom_Meters!T450+Com_Meters!T196+Com_Meters!T485+Net_Reg!T217+Net_Reg!T471+Cust_Reg!T196+Cust_Reg!T471+CP_SCADA!T224+CP_SCADA!T527+Aug!T210+Aug!T492+Cust_Conn!T180+Cust_Conn!T437+Cust_Conn!T692+Cust_Conn!T947+New_Towns!T175+New_Towns!T430+New_Towns!T698+IT!T301+Other!T175</f>
        <v>0</v>
      </c>
    </row>
    <row r="172" spans="6:20" outlineLevel="1">
      <c r="F172" s="247" t="str">
        <f>GC!C51</f>
        <v>Capitalised Leases</v>
      </c>
      <c r="G172" s="247"/>
      <c r="H172" s="247"/>
      <c r="I172" s="247"/>
      <c r="J172" s="81">
        <f ca="1">Low_Press!J253+AdHoc!J197+AdHoc!J472+AdHoc!J747+Medium_Press!J246+High_Press!J176+Dom_Meters!J197+Dom_Meters!J451+Com_Meters!J197+Com_Meters!J486+Net_Reg!J218+Net_Reg!J472+Cust_Reg!J197+Cust_Reg!J472+CP_SCADA!J225+CP_SCADA!J528+Aug!J211+Aug!J493+Cust_Conn!J181+Cust_Conn!J438+Cust_Conn!J693+Cust_Conn!J948+New_Towns!J176+New_Towns!J431+New_Towns!J699+IT!J302+Other!J176</f>
        <v>0</v>
      </c>
      <c r="K172" s="81">
        <f ca="1">Low_Press!K253+AdHoc!K197+AdHoc!K472+AdHoc!K747+Medium_Press!K246+High_Press!K176+Dom_Meters!K197+Dom_Meters!K451+Com_Meters!K197+Com_Meters!K486+Net_Reg!K218+Net_Reg!K472+Cust_Reg!K197+Cust_Reg!K472+CP_SCADA!K225+CP_SCADA!K528+Aug!K211+Aug!K493+Cust_Conn!K181+Cust_Conn!K438+Cust_Conn!K693+Cust_Conn!K948+New_Towns!K176+New_Towns!K431+New_Towns!K699+IT!K302+Other!K176</f>
        <v>0</v>
      </c>
      <c r="L172" s="81">
        <f ca="1">Low_Press!L253+AdHoc!L197+AdHoc!L472+AdHoc!L747+Medium_Press!L246+High_Press!L176+Dom_Meters!L197+Dom_Meters!L451+Com_Meters!L197+Com_Meters!L486+Net_Reg!L218+Net_Reg!L472+Cust_Reg!L197+Cust_Reg!L472+CP_SCADA!L225+CP_SCADA!L528+Aug!L211+Aug!L493+Cust_Conn!L181+Cust_Conn!L438+Cust_Conn!L693+Cust_Conn!L948+New_Towns!L176+New_Towns!L431+New_Towns!L699+IT!L302+Other!L176</f>
        <v>0</v>
      </c>
      <c r="M172" s="81">
        <f ca="1">Low_Press!M253+AdHoc!M197+AdHoc!M472+AdHoc!M747+Medium_Press!M246+High_Press!M176+Dom_Meters!M197+Dom_Meters!M451+Com_Meters!M197+Com_Meters!M486+Net_Reg!M218+Net_Reg!M472+Cust_Reg!M197+Cust_Reg!M472+CP_SCADA!M225+CP_SCADA!M528+Aug!M211+Aug!M493+Cust_Conn!M181+Cust_Conn!M438+Cust_Conn!M693+Cust_Conn!M948+New_Towns!M176+New_Towns!M431+New_Towns!M699+IT!M302+Other!M176</f>
        <v>0</v>
      </c>
      <c r="N172" s="81">
        <f ca="1">Low_Press!N253+AdHoc!N197+AdHoc!N472+AdHoc!N747+Medium_Press!N246+High_Press!N176+Dom_Meters!N197+Dom_Meters!N451+Com_Meters!N197+Com_Meters!N486+Net_Reg!N218+Net_Reg!N472+Cust_Reg!N197+Cust_Reg!N472+CP_SCADA!N225+CP_SCADA!N528+Aug!N211+Aug!N493+Cust_Conn!N181+Cust_Conn!N438+Cust_Conn!N693+Cust_Conn!N948+New_Towns!N176+New_Towns!N431+New_Towns!N699+IT!N302+Other!N176</f>
        <v>0</v>
      </c>
      <c r="O172" s="81">
        <f ca="1">Low_Press!O253+AdHoc!O197+AdHoc!O472+AdHoc!O747+Medium_Press!O246+High_Press!O176+Dom_Meters!O197+Dom_Meters!O451+Com_Meters!O197+Com_Meters!O486+Net_Reg!O218+Net_Reg!O472+Cust_Reg!O197+Cust_Reg!O472+CP_SCADA!O225+CP_SCADA!O528+Aug!O211+Aug!O493+Cust_Conn!O181+Cust_Conn!O438+Cust_Conn!O693+Cust_Conn!O948+New_Towns!O176+New_Towns!O431+New_Towns!O699+IT!O302+Other!O176</f>
        <v>0</v>
      </c>
      <c r="P172" s="81">
        <f ca="1">Low_Press!P253+AdHoc!P197+AdHoc!P472+AdHoc!P747+Medium_Press!P246+High_Press!P176+Dom_Meters!P197+Dom_Meters!P451+Com_Meters!P197+Com_Meters!P486+Net_Reg!P218+Net_Reg!P472+Cust_Reg!P197+Cust_Reg!P472+CP_SCADA!P225+CP_SCADA!P528+Aug!P211+Aug!P493+Cust_Conn!P181+Cust_Conn!P438+Cust_Conn!P693+Cust_Conn!P948+New_Towns!P176+New_Towns!P431+New_Towns!P699+IT!P302+Other!P176</f>
        <v>0</v>
      </c>
      <c r="Q172" s="81">
        <f ca="1">Low_Press!Q253+AdHoc!Q197+AdHoc!Q472+AdHoc!Q747+Medium_Press!Q246+High_Press!Q176+Dom_Meters!Q197+Dom_Meters!Q451+Com_Meters!Q197+Com_Meters!Q486+Net_Reg!Q218+Net_Reg!Q472+Cust_Reg!Q197+Cust_Reg!Q472+CP_SCADA!Q225+CP_SCADA!Q528+Aug!Q211+Aug!Q493+Cust_Conn!Q181+Cust_Conn!Q438+Cust_Conn!Q693+Cust_Conn!Q948+New_Towns!Q176+New_Towns!Q431+New_Towns!Q699+IT!Q302+Other!Q176</f>
        <v>0</v>
      </c>
      <c r="R172" s="81">
        <f ca="1">Low_Press!R253+AdHoc!R197+AdHoc!R472+AdHoc!R747+Medium_Press!R246+High_Press!R176+Dom_Meters!R197+Dom_Meters!R451+Com_Meters!R197+Com_Meters!R486+Net_Reg!R218+Net_Reg!R472+Cust_Reg!R197+Cust_Reg!R472+CP_SCADA!R225+CP_SCADA!R528+Aug!R211+Aug!R493+Cust_Conn!R181+Cust_Conn!R438+Cust_Conn!R693+Cust_Conn!R948+New_Towns!R176+New_Towns!R431+New_Towns!R699+IT!R302+Other!R176</f>
        <v>0</v>
      </c>
      <c r="S172" s="81">
        <f ca="1">Low_Press!S253+AdHoc!S197+AdHoc!S472+AdHoc!S747+Medium_Press!S246+High_Press!S176+Dom_Meters!S197+Dom_Meters!S451+Com_Meters!S197+Com_Meters!S486+Net_Reg!S218+Net_Reg!S472+Cust_Reg!S197+Cust_Reg!S472+CP_SCADA!S225+CP_SCADA!S528+Aug!S211+Aug!S493+Cust_Conn!S181+Cust_Conn!S438+Cust_Conn!S693+Cust_Conn!S948+New_Towns!S176+New_Towns!S431+New_Towns!S699+IT!S302+Other!S176</f>
        <v>0</v>
      </c>
      <c r="T172" s="81">
        <f ca="1">Low_Press!T253+AdHoc!T197+AdHoc!T472+AdHoc!T747+Medium_Press!T246+High_Press!T176+Dom_Meters!T197+Dom_Meters!T451+Com_Meters!T197+Com_Meters!T486+Net_Reg!T218+Net_Reg!T472+Cust_Reg!T197+Cust_Reg!T472+CP_SCADA!T225+CP_SCADA!T528+Aug!T211+Aug!T493+Cust_Conn!T181+Cust_Conn!T438+Cust_Conn!T693+Cust_Conn!T948+New_Towns!T176+New_Towns!T431+New_Towns!T699+IT!T302+Other!T176</f>
        <v>0</v>
      </c>
    </row>
    <row r="173" spans="6:20" outlineLevel="1">
      <c r="F173" s="247" t="str">
        <f>GC!C52</f>
        <v>Transmission pipelines - post 1998</v>
      </c>
      <c r="G173" s="247"/>
      <c r="H173" s="247"/>
      <c r="I173" s="247"/>
      <c r="J173" s="81">
        <f ca="1">Low_Press!J254+AdHoc!J198+AdHoc!J473+AdHoc!J748+Medium_Press!J247+High_Press!J177+Dom_Meters!J198+Dom_Meters!J452+Com_Meters!J198+Com_Meters!J487+Net_Reg!J219+Net_Reg!J473+Cust_Reg!J198+Cust_Reg!J473+CP_SCADA!J226+CP_SCADA!J529+Aug!J212+Aug!J494+Cust_Conn!J182+Cust_Conn!J439+Cust_Conn!J694+Cust_Conn!J949+New_Towns!J177+New_Towns!J432+New_Towns!J700+IT!J303+Other!J177</f>
        <v>0</v>
      </c>
      <c r="K173" s="81">
        <f ca="1">Low_Press!K254+AdHoc!K198+AdHoc!K473+AdHoc!K748+Medium_Press!K247+High_Press!K177+Dom_Meters!K198+Dom_Meters!K452+Com_Meters!K198+Com_Meters!K487+Net_Reg!K219+Net_Reg!K473+Cust_Reg!K198+Cust_Reg!K473+CP_SCADA!K226+CP_SCADA!K529+Aug!K212+Aug!K494+Cust_Conn!K182+Cust_Conn!K439+Cust_Conn!K694+Cust_Conn!K949+New_Towns!K177+New_Towns!K432+New_Towns!K700+IT!K303+Other!K177</f>
        <v>0</v>
      </c>
      <c r="L173" s="81">
        <f ca="1">Low_Press!L254+AdHoc!L198+AdHoc!L473+AdHoc!L748+Medium_Press!L247+High_Press!L177+Dom_Meters!L198+Dom_Meters!L452+Com_Meters!L198+Com_Meters!L487+Net_Reg!L219+Net_Reg!L473+Cust_Reg!L198+Cust_Reg!L473+CP_SCADA!L226+CP_SCADA!L529+Aug!L212+Aug!L494+Cust_Conn!L182+Cust_Conn!L439+Cust_Conn!L694+Cust_Conn!L949+New_Towns!L177+New_Towns!L432+New_Towns!L700+IT!L303+Other!L177</f>
        <v>0</v>
      </c>
      <c r="M173" s="81">
        <f ca="1">Low_Press!M254+AdHoc!M198+AdHoc!M473+AdHoc!M748+Medium_Press!M247+High_Press!M177+Dom_Meters!M198+Dom_Meters!M452+Com_Meters!M198+Com_Meters!M487+Net_Reg!M219+Net_Reg!M473+Cust_Reg!M198+Cust_Reg!M473+CP_SCADA!M226+CP_SCADA!M529+Aug!M212+Aug!M494+Cust_Conn!M182+Cust_Conn!M439+Cust_Conn!M694+Cust_Conn!M949+New_Towns!M177+New_Towns!M432+New_Towns!M700+IT!M303+Other!M177</f>
        <v>0</v>
      </c>
      <c r="N173" s="81">
        <f ca="1">Low_Press!N254+AdHoc!N198+AdHoc!N473+AdHoc!N748+Medium_Press!N247+High_Press!N177+Dom_Meters!N198+Dom_Meters!N452+Com_Meters!N198+Com_Meters!N487+Net_Reg!N219+Net_Reg!N473+Cust_Reg!N198+Cust_Reg!N473+CP_SCADA!N226+CP_SCADA!N529+Aug!N212+Aug!N494+Cust_Conn!N182+Cust_Conn!N439+Cust_Conn!N694+Cust_Conn!N949+New_Towns!N177+New_Towns!N432+New_Towns!N700+IT!N303+Other!N177</f>
        <v>0</v>
      </c>
      <c r="O173" s="81">
        <f ca="1">Low_Press!O254+AdHoc!O198+AdHoc!O473+AdHoc!O748+Medium_Press!O247+High_Press!O177+Dom_Meters!O198+Dom_Meters!O452+Com_Meters!O198+Com_Meters!O487+Net_Reg!O219+Net_Reg!O473+Cust_Reg!O198+Cust_Reg!O473+CP_SCADA!O226+CP_SCADA!O529+Aug!O212+Aug!O494+Cust_Conn!O182+Cust_Conn!O439+Cust_Conn!O694+Cust_Conn!O949+New_Towns!O177+New_Towns!O432+New_Towns!O700+IT!O303+Other!O177</f>
        <v>0</v>
      </c>
      <c r="P173" s="81">
        <f ca="1">Low_Press!P254+AdHoc!P198+AdHoc!P473+AdHoc!P748+Medium_Press!P247+High_Press!P177+Dom_Meters!P198+Dom_Meters!P452+Com_Meters!P198+Com_Meters!P487+Net_Reg!P219+Net_Reg!P473+Cust_Reg!P198+Cust_Reg!P473+CP_SCADA!P226+CP_SCADA!P529+Aug!P212+Aug!P494+Cust_Conn!P182+Cust_Conn!P439+Cust_Conn!P694+Cust_Conn!P949+New_Towns!P177+New_Towns!P432+New_Towns!P700+IT!P303+Other!P177</f>
        <v>0</v>
      </c>
      <c r="Q173" s="81">
        <f ca="1">Low_Press!Q254+AdHoc!Q198+AdHoc!Q473+AdHoc!Q748+Medium_Press!Q247+High_Press!Q177+Dom_Meters!Q198+Dom_Meters!Q452+Com_Meters!Q198+Com_Meters!Q487+Net_Reg!Q219+Net_Reg!Q473+Cust_Reg!Q198+Cust_Reg!Q473+CP_SCADA!Q226+CP_SCADA!Q529+Aug!Q212+Aug!Q494+Cust_Conn!Q182+Cust_Conn!Q439+Cust_Conn!Q694+Cust_Conn!Q949+New_Towns!Q177+New_Towns!Q432+New_Towns!Q700+IT!Q303+Other!Q177</f>
        <v>0</v>
      </c>
      <c r="R173" s="81">
        <f ca="1">Low_Press!R254+AdHoc!R198+AdHoc!R473+AdHoc!R748+Medium_Press!R247+High_Press!R177+Dom_Meters!R198+Dom_Meters!R452+Com_Meters!R198+Com_Meters!R487+Net_Reg!R219+Net_Reg!R473+Cust_Reg!R198+Cust_Reg!R473+CP_SCADA!R226+CP_SCADA!R529+Aug!R212+Aug!R494+Cust_Conn!R182+Cust_Conn!R439+Cust_Conn!R694+Cust_Conn!R949+New_Towns!R177+New_Towns!R432+New_Towns!R700+IT!R303+Other!R177</f>
        <v>0</v>
      </c>
      <c r="S173" s="81">
        <f ca="1">Low_Press!S254+AdHoc!S198+AdHoc!S473+AdHoc!S748+Medium_Press!S247+High_Press!S177+Dom_Meters!S198+Dom_Meters!S452+Com_Meters!S198+Com_Meters!S487+Net_Reg!S219+Net_Reg!S473+Cust_Reg!S198+Cust_Reg!S473+CP_SCADA!S226+CP_SCADA!S529+Aug!S212+Aug!S494+Cust_Conn!S182+Cust_Conn!S439+Cust_Conn!S694+Cust_Conn!S949+New_Towns!S177+New_Towns!S432+New_Towns!S700+IT!S303+Other!S177</f>
        <v>0</v>
      </c>
      <c r="T173" s="81">
        <f ca="1">Low_Press!T254+AdHoc!T198+AdHoc!T473+AdHoc!T748+Medium_Press!T247+High_Press!T177+Dom_Meters!T198+Dom_Meters!T452+Com_Meters!T198+Com_Meters!T487+Net_Reg!T219+Net_Reg!T473+Cust_Reg!T198+Cust_Reg!T473+CP_SCADA!T226+CP_SCADA!T529+Aug!T212+Aug!T494+Cust_Conn!T182+Cust_Conn!T439+Cust_Conn!T694+Cust_Conn!T949+New_Towns!T177+New_Towns!T432+New_Towns!T700+IT!T303+Other!T177</f>
        <v>0</v>
      </c>
    </row>
    <row r="174" spans="6:20" outlineLevel="1">
      <c r="F174" s="247" t="str">
        <f>GC!C53</f>
        <v>Distribution pipelines - post 1998</v>
      </c>
      <c r="G174" s="247"/>
      <c r="H174" s="247"/>
      <c r="I174" s="247"/>
      <c r="J174" s="81">
        <f ca="1">Low_Press!J255+AdHoc!J199+AdHoc!J474+AdHoc!J749+Medium_Press!J248+High_Press!J178+Dom_Meters!J199+Dom_Meters!J453+Com_Meters!J199+Com_Meters!J488+Net_Reg!J220+Net_Reg!J474+Cust_Reg!J199+Cust_Reg!J474+CP_SCADA!J227+CP_SCADA!J530+Aug!J213+Aug!J495+Cust_Conn!J183+Cust_Conn!J440+Cust_Conn!J695+Cust_Conn!J950+New_Towns!J178+New_Towns!J433+New_Towns!J701+IT!J304+Other!J178</f>
        <v>0</v>
      </c>
      <c r="K174" s="81">
        <f ca="1">Low_Press!K255+AdHoc!K199+AdHoc!K474+AdHoc!K749+Medium_Press!K248+High_Press!K178+Dom_Meters!K199+Dom_Meters!K453+Com_Meters!K199+Com_Meters!K488+Net_Reg!K220+Net_Reg!K474+Cust_Reg!K199+Cust_Reg!K474+CP_SCADA!K227+CP_SCADA!K530+Aug!K213+Aug!K495+Cust_Conn!K183+Cust_Conn!K440+Cust_Conn!K695+Cust_Conn!K950+New_Towns!K178+New_Towns!K433+New_Towns!K701+IT!K304+Other!K178</f>
        <v>0</v>
      </c>
      <c r="L174" s="81">
        <f ca="1">Low_Press!L255+AdHoc!L199+AdHoc!L474+AdHoc!L749+Medium_Press!L248+High_Press!L178+Dom_Meters!L199+Dom_Meters!L453+Com_Meters!L199+Com_Meters!L488+Net_Reg!L220+Net_Reg!L474+Cust_Reg!L199+Cust_Reg!L474+CP_SCADA!L227+CP_SCADA!L530+Aug!L213+Aug!L495+Cust_Conn!L183+Cust_Conn!L440+Cust_Conn!L695+Cust_Conn!L950+New_Towns!L178+New_Towns!L433+New_Towns!L701+IT!L304+Other!L178</f>
        <v>0</v>
      </c>
      <c r="M174" s="81">
        <f ca="1">Low_Press!M255+AdHoc!M199+AdHoc!M474+AdHoc!M749+Medium_Press!M248+High_Press!M178+Dom_Meters!M199+Dom_Meters!M453+Com_Meters!M199+Com_Meters!M488+Net_Reg!M220+Net_Reg!M474+Cust_Reg!M199+Cust_Reg!M474+CP_SCADA!M227+CP_SCADA!M530+Aug!M213+Aug!M495+Cust_Conn!M183+Cust_Conn!M440+Cust_Conn!M695+Cust_Conn!M950+New_Towns!M178+New_Towns!M433+New_Towns!M701+IT!M304+Other!M178</f>
        <v>0</v>
      </c>
      <c r="N174" s="81">
        <f ca="1">Low_Press!N255+AdHoc!N199+AdHoc!N474+AdHoc!N749+Medium_Press!N248+High_Press!N178+Dom_Meters!N199+Dom_Meters!N453+Com_Meters!N199+Com_Meters!N488+Net_Reg!N220+Net_Reg!N474+Cust_Reg!N199+Cust_Reg!N474+CP_SCADA!N227+CP_SCADA!N530+Aug!N213+Aug!N495+Cust_Conn!N183+Cust_Conn!N440+Cust_Conn!N695+Cust_Conn!N950+New_Towns!N178+New_Towns!N433+New_Towns!N701+IT!N304+Other!N178</f>
        <v>-5923250.4239459997</v>
      </c>
      <c r="O174" s="81">
        <f ca="1">Low_Press!O255+AdHoc!O199+AdHoc!O474+AdHoc!O749+Medium_Press!O248+High_Press!O178+Dom_Meters!O199+Dom_Meters!O453+Com_Meters!O199+Com_Meters!O488+Net_Reg!O220+Net_Reg!O474+Cust_Reg!O199+Cust_Reg!O474+CP_SCADA!O227+CP_SCADA!O530+Aug!O213+Aug!O495+Cust_Conn!O183+Cust_Conn!O440+Cust_Conn!O695+Cust_Conn!O950+New_Towns!O178+New_Towns!O433+New_Towns!O701+IT!O304+Other!O178</f>
        <v>-1568784.2323394404</v>
      </c>
      <c r="P174" s="81">
        <f ca="1">Low_Press!P255+AdHoc!P199+AdHoc!P474+AdHoc!P749+Medium_Press!P248+High_Press!P178+Dom_Meters!P199+Dom_Meters!P453+Com_Meters!P199+Com_Meters!P488+Net_Reg!P220+Net_Reg!P474+Cust_Reg!P199+Cust_Reg!P474+CP_SCADA!P227+CP_SCADA!P530+Aug!P213+Aug!P495+Cust_Conn!P183+Cust_Conn!P440+Cust_Conn!P695+Cust_Conn!P950+New_Towns!P178+New_Towns!P433+New_Towns!P701+IT!P304+Other!P178</f>
        <v>-2770468.0646788809</v>
      </c>
      <c r="Q174" s="81">
        <f ca="1">Low_Press!Q255+AdHoc!Q199+AdHoc!Q474+AdHoc!Q749+Medium_Press!Q248+High_Press!Q178+Dom_Meters!Q199+Dom_Meters!Q453+Com_Meters!Q199+Com_Meters!Q488+Net_Reg!Q220+Net_Reg!Q474+Cust_Reg!Q199+Cust_Reg!Q474+CP_SCADA!Q227+CP_SCADA!Q530+Aug!Q213+Aug!Q495+Cust_Conn!Q183+Cust_Conn!Q440+Cust_Conn!Q695+Cust_Conn!Q950+New_Towns!Q178+New_Towns!Q433+New_Towns!Q701+IT!Q304+Other!Q178</f>
        <v>-2805968.3076788811</v>
      </c>
      <c r="R174" s="81">
        <f ca="1">Low_Press!R255+AdHoc!R199+AdHoc!R474+AdHoc!R749+Medium_Press!R248+High_Press!R178+Dom_Meters!R199+Dom_Meters!R453+Com_Meters!R199+Com_Meters!R488+Net_Reg!R220+Net_Reg!R474+Cust_Reg!R199+Cust_Reg!R474+CP_SCADA!R227+CP_SCADA!R530+Aug!R213+Aug!R495+Cust_Conn!R183+Cust_Conn!R440+Cust_Conn!R695+Cust_Conn!R950+New_Towns!R178+New_Towns!R433+New_Towns!R701+IT!R304+Other!R178</f>
        <v>-2840656.6816788809</v>
      </c>
      <c r="S174" s="81">
        <f ca="1">Low_Press!S255+AdHoc!S199+AdHoc!S474+AdHoc!S749+Medium_Press!S248+High_Press!S178+Dom_Meters!S199+Dom_Meters!S453+Com_Meters!S199+Com_Meters!S488+Net_Reg!S220+Net_Reg!S474+Cust_Reg!S199+Cust_Reg!S474+CP_SCADA!S227+CP_SCADA!S530+Aug!S213+Aug!S495+Cust_Conn!S183+Cust_Conn!S440+Cust_Conn!S695+Cust_Conn!S950+New_Towns!S178+New_Towns!S433+New_Towns!S701+IT!S304+Other!S178</f>
        <v>-2812426.3826788813</v>
      </c>
      <c r="T174" s="81">
        <f ca="1">Low_Press!T255+AdHoc!T199+AdHoc!T474+AdHoc!T749+Medium_Press!T248+High_Press!T178+Dom_Meters!T199+Dom_Meters!T453+Com_Meters!T199+Com_Meters!T488+Net_Reg!T220+Net_Reg!T474+Cust_Reg!T199+Cust_Reg!T474+CP_SCADA!T227+CP_SCADA!T530+Aug!T213+Aug!T495+Cust_Conn!T183+Cust_Conn!T440+Cust_Conn!T695+Cust_Conn!T950+New_Towns!T178+New_Towns!T433+New_Towns!T701+IT!T304+Other!T178</f>
        <v>-2783082.7116788812</v>
      </c>
    </row>
    <row r="175" spans="6:20" outlineLevel="1">
      <c r="F175" s="247" t="str">
        <f>GC!C54</f>
        <v>Service pipes - post 1998</v>
      </c>
      <c r="G175" s="247"/>
      <c r="H175" s="247"/>
      <c r="I175" s="247"/>
      <c r="J175" s="81">
        <f ca="1">Low_Press!J256+AdHoc!J200+AdHoc!J475+AdHoc!J750+Medium_Press!J249+High_Press!J179+Dom_Meters!J200+Dom_Meters!J454+Com_Meters!J200+Com_Meters!J489+Net_Reg!J221+Net_Reg!J475+Cust_Reg!J200+Cust_Reg!J475+CP_SCADA!J228+CP_SCADA!J531+Aug!J214+Aug!J496+Cust_Conn!J184+Cust_Conn!J441+Cust_Conn!J696+Cust_Conn!J951+New_Towns!J179+New_Towns!J434+New_Towns!J702+IT!J305+Other!J179</f>
        <v>0</v>
      </c>
      <c r="K175" s="81">
        <f ca="1">Low_Press!K256+AdHoc!K200+AdHoc!K475+AdHoc!K750+Medium_Press!K249+High_Press!K179+Dom_Meters!K200+Dom_Meters!K454+Com_Meters!K200+Com_Meters!K489+Net_Reg!K221+Net_Reg!K475+Cust_Reg!K200+Cust_Reg!K475+CP_SCADA!K228+CP_SCADA!K531+Aug!K214+Aug!K496+Cust_Conn!K184+Cust_Conn!K441+Cust_Conn!K696+Cust_Conn!K951+New_Towns!K179+New_Towns!K434+New_Towns!K702+IT!K305+Other!K179</f>
        <v>0</v>
      </c>
      <c r="L175" s="81">
        <f ca="1">Low_Press!L256+AdHoc!L200+AdHoc!L475+AdHoc!L750+Medium_Press!L249+High_Press!L179+Dom_Meters!L200+Dom_Meters!L454+Com_Meters!L200+Com_Meters!L489+Net_Reg!L221+Net_Reg!L475+Cust_Reg!L200+Cust_Reg!L475+CP_SCADA!L228+CP_SCADA!L531+Aug!L214+Aug!L496+Cust_Conn!L184+Cust_Conn!L441+Cust_Conn!L696+Cust_Conn!L951+New_Towns!L179+New_Towns!L434+New_Towns!L702+IT!L305+Other!L179</f>
        <v>0</v>
      </c>
      <c r="M175" s="81">
        <f ca="1">Low_Press!M256+AdHoc!M200+AdHoc!M475+AdHoc!M750+Medium_Press!M249+High_Press!M179+Dom_Meters!M200+Dom_Meters!M454+Com_Meters!M200+Com_Meters!M489+Net_Reg!M221+Net_Reg!M475+Cust_Reg!M200+Cust_Reg!M475+CP_SCADA!M228+CP_SCADA!M531+Aug!M214+Aug!M496+Cust_Conn!M184+Cust_Conn!M441+Cust_Conn!M696+Cust_Conn!M951+New_Towns!M179+New_Towns!M434+New_Towns!M702+IT!M305+Other!M179</f>
        <v>0</v>
      </c>
      <c r="N175" s="81">
        <f ca="1">Low_Press!N256+AdHoc!N200+AdHoc!N475+AdHoc!N750+Medium_Press!N249+High_Press!N179+Dom_Meters!N200+Dom_Meters!N454+Com_Meters!N200+Com_Meters!N489+Net_Reg!N221+Net_Reg!N475+Cust_Reg!N200+Cust_Reg!N475+CP_SCADA!N228+CP_SCADA!N531+Aug!N214+Aug!N496+Cust_Conn!N184+Cust_Conn!N441+Cust_Conn!N696+Cust_Conn!N951+New_Towns!N179+New_Towns!N434+New_Towns!N702+IT!N305+Other!N179</f>
        <v>-3719970.170041</v>
      </c>
      <c r="O175" s="81">
        <f ca="1">Low_Press!O256+AdHoc!O200+AdHoc!O475+AdHoc!O750+Medium_Press!O249+High_Press!O179+Dom_Meters!O200+Dom_Meters!O454+Com_Meters!O200+Com_Meters!O489+Net_Reg!O221+Net_Reg!O475+Cust_Reg!O200+Cust_Reg!O475+CP_SCADA!O228+CP_SCADA!O531+Aug!O214+Aug!O496+Cust_Conn!O184+Cust_Conn!O441+Cust_Conn!O696+Cust_Conn!O951+New_Towns!O179+New_Towns!O434+New_Towns!O702+IT!O305+Other!O179</f>
        <v>-2007680.7799266046</v>
      </c>
      <c r="P175" s="81">
        <f ca="1">Low_Press!P256+AdHoc!P200+AdHoc!P475+AdHoc!P750+Medium_Press!P249+High_Press!P179+Dom_Meters!P200+Dom_Meters!P454+Com_Meters!P200+Com_Meters!P489+Net_Reg!P221+Net_Reg!P475+Cust_Reg!P200+Cust_Reg!P475+CP_SCADA!P228+CP_SCADA!P531+Aug!P214+Aug!P496+Cust_Conn!P184+Cust_Conn!P441+Cust_Conn!P696+Cust_Conn!P951+New_Towns!P179+New_Towns!P434+New_Towns!P702+IT!P305+Other!P179</f>
        <v>-4015361.5598532092</v>
      </c>
      <c r="Q175" s="81">
        <f ca="1">Low_Press!Q256+AdHoc!Q200+AdHoc!Q475+AdHoc!Q750+Medium_Press!Q249+High_Press!Q179+Dom_Meters!Q200+Dom_Meters!Q454+Com_Meters!Q200+Com_Meters!Q489+Net_Reg!Q221+Net_Reg!Q475+Cust_Reg!Q200+Cust_Reg!Q475+CP_SCADA!Q228+CP_SCADA!Q531+Aug!Q214+Aug!Q496+Cust_Conn!Q184+Cust_Conn!Q441+Cust_Conn!Q696+Cust_Conn!Q951+New_Towns!Q179+New_Towns!Q434+New_Towns!Q702+IT!Q305+Other!Q179</f>
        <v>-4107265.9758532089</v>
      </c>
      <c r="R175" s="81">
        <f ca="1">Low_Press!R256+AdHoc!R200+AdHoc!R475+AdHoc!R750+Medium_Press!R249+High_Press!R179+Dom_Meters!R200+Dom_Meters!R454+Com_Meters!R200+Com_Meters!R489+Net_Reg!R221+Net_Reg!R475+Cust_Reg!R200+Cust_Reg!R475+CP_SCADA!R228+CP_SCADA!R531+Aug!R214+Aug!R496+Cust_Conn!R184+Cust_Conn!R441+Cust_Conn!R696+Cust_Conn!R951+New_Towns!R179+New_Towns!R434+New_Towns!R702+IT!R305+Other!R179</f>
        <v>-4196997.2558532087</v>
      </c>
      <c r="S175" s="81">
        <f ca="1">Low_Press!S256+AdHoc!S200+AdHoc!S475+AdHoc!S750+Medium_Press!S249+High_Press!S179+Dom_Meters!S200+Dom_Meters!S454+Com_Meters!S200+Com_Meters!S489+Net_Reg!S221+Net_Reg!S475+Cust_Reg!S200+Cust_Reg!S475+CP_SCADA!S228+CP_SCADA!S531+Aug!S214+Aug!S496+Cust_Conn!S184+Cust_Conn!S441+Cust_Conn!S696+Cust_Conn!S951+New_Towns!S179+New_Towns!S434+New_Towns!S702+IT!S305+Other!S179</f>
        <v>-4121541.1198532092</v>
      </c>
      <c r="T175" s="81">
        <f ca="1">Low_Press!T256+AdHoc!T200+AdHoc!T475+AdHoc!T750+Medium_Press!T249+High_Press!T179+Dom_Meters!T200+Dom_Meters!T454+Com_Meters!T200+Com_Meters!T489+Net_Reg!T221+Net_Reg!T475+Cust_Reg!T200+Cust_Reg!T475+CP_SCADA!T228+CP_SCADA!T531+Aug!T214+Aug!T496+Cust_Conn!T184+Cust_Conn!T441+Cust_Conn!T696+Cust_Conn!T951+New_Towns!T179+New_Towns!T434+New_Towns!T702+IT!T305+Other!T179</f>
        <v>-4043204.8108532093</v>
      </c>
    </row>
    <row r="176" spans="6:20" outlineLevel="1">
      <c r="F176" s="247" t="str">
        <f>GC!C55</f>
        <v>Cathodic protection - post 1998</v>
      </c>
      <c r="G176" s="247"/>
      <c r="H176" s="247"/>
      <c r="I176" s="247"/>
      <c r="J176" s="81">
        <f ca="1">Low_Press!J257+AdHoc!J201+AdHoc!J476+AdHoc!J751+Medium_Press!J250+High_Press!J180+Dom_Meters!J201+Dom_Meters!J455+Com_Meters!J201+Com_Meters!J490+Net_Reg!J222+Net_Reg!J476+Cust_Reg!J201+Cust_Reg!J476+CP_SCADA!J229+CP_SCADA!J532+Aug!J215+Aug!J497+Cust_Conn!J185+Cust_Conn!J442+Cust_Conn!J697+Cust_Conn!J952+New_Towns!J180+New_Towns!J435+New_Towns!J703+IT!J306+Other!J180</f>
        <v>0</v>
      </c>
      <c r="K176" s="81">
        <f ca="1">Low_Press!K257+AdHoc!K201+AdHoc!K476+AdHoc!K751+Medium_Press!K250+High_Press!K180+Dom_Meters!K201+Dom_Meters!K455+Com_Meters!K201+Com_Meters!K490+Net_Reg!K222+Net_Reg!K476+Cust_Reg!K201+Cust_Reg!K476+CP_SCADA!K229+CP_SCADA!K532+Aug!K215+Aug!K497+Cust_Conn!K185+Cust_Conn!K442+Cust_Conn!K697+Cust_Conn!K952+New_Towns!K180+New_Towns!K435+New_Towns!K703+IT!K306+Other!K180</f>
        <v>0</v>
      </c>
      <c r="L176" s="81">
        <f ca="1">Low_Press!L257+AdHoc!L201+AdHoc!L476+AdHoc!L751+Medium_Press!L250+High_Press!L180+Dom_Meters!L201+Dom_Meters!L455+Com_Meters!L201+Com_Meters!L490+Net_Reg!L222+Net_Reg!L476+Cust_Reg!L201+Cust_Reg!L476+CP_SCADA!L229+CP_SCADA!L532+Aug!L215+Aug!L497+Cust_Conn!L185+Cust_Conn!L442+Cust_Conn!L697+Cust_Conn!L952+New_Towns!L180+New_Towns!L435+New_Towns!L703+IT!L306+Other!L180</f>
        <v>0</v>
      </c>
      <c r="M176" s="81">
        <f ca="1">Low_Press!M257+AdHoc!M201+AdHoc!M476+AdHoc!M751+Medium_Press!M250+High_Press!M180+Dom_Meters!M201+Dom_Meters!M455+Com_Meters!M201+Com_Meters!M490+Net_Reg!M222+Net_Reg!M476+Cust_Reg!M201+Cust_Reg!M476+CP_SCADA!M229+CP_SCADA!M532+Aug!M215+Aug!M497+Cust_Conn!M185+Cust_Conn!M442+Cust_Conn!M697+Cust_Conn!M952+New_Towns!M180+New_Towns!M435+New_Towns!M703+IT!M306+Other!M180</f>
        <v>0</v>
      </c>
      <c r="N176" s="81">
        <f ca="1">Low_Press!N257+AdHoc!N201+AdHoc!N476+AdHoc!N751+Medium_Press!N250+High_Press!N180+Dom_Meters!N201+Dom_Meters!N455+Com_Meters!N201+Com_Meters!N490+Net_Reg!N222+Net_Reg!N476+Cust_Reg!N201+Cust_Reg!N476+CP_SCADA!N229+CP_SCADA!N532+Aug!N215+Aug!N497+Cust_Conn!N185+Cust_Conn!N442+Cust_Conn!N697+Cust_Conn!N952+New_Towns!N180+New_Towns!N435+New_Towns!N703+IT!N306+Other!N180</f>
        <v>0</v>
      </c>
      <c r="O176" s="81">
        <f ca="1">Low_Press!O257+AdHoc!O201+AdHoc!O476+AdHoc!O751+Medium_Press!O250+High_Press!O180+Dom_Meters!O201+Dom_Meters!O455+Com_Meters!O201+Com_Meters!O490+Net_Reg!O222+Net_Reg!O476+Cust_Reg!O201+Cust_Reg!O476+CP_SCADA!O229+CP_SCADA!O532+Aug!O215+Aug!O497+Cust_Conn!O185+Cust_Conn!O442+Cust_Conn!O697+Cust_Conn!O952+New_Towns!O180+New_Towns!O435+New_Towns!O703+IT!O306+Other!O180</f>
        <v>0</v>
      </c>
      <c r="P176" s="81">
        <f ca="1">Low_Press!P257+AdHoc!P201+AdHoc!P476+AdHoc!P751+Medium_Press!P250+High_Press!P180+Dom_Meters!P201+Dom_Meters!P455+Com_Meters!P201+Com_Meters!P490+Net_Reg!P222+Net_Reg!P476+Cust_Reg!P201+Cust_Reg!P476+CP_SCADA!P229+CP_SCADA!P532+Aug!P215+Aug!P497+Cust_Conn!P185+Cust_Conn!P442+Cust_Conn!P697+Cust_Conn!P952+New_Towns!P180+New_Towns!P435+New_Towns!P703+IT!P306+Other!P180</f>
        <v>0</v>
      </c>
      <c r="Q176" s="81">
        <f ca="1">Low_Press!Q257+AdHoc!Q201+AdHoc!Q476+AdHoc!Q751+Medium_Press!Q250+High_Press!Q180+Dom_Meters!Q201+Dom_Meters!Q455+Com_Meters!Q201+Com_Meters!Q490+Net_Reg!Q222+Net_Reg!Q476+Cust_Reg!Q201+Cust_Reg!Q476+CP_SCADA!Q229+CP_SCADA!Q532+Aug!Q215+Aug!Q497+Cust_Conn!Q185+Cust_Conn!Q442+Cust_Conn!Q697+Cust_Conn!Q952+New_Towns!Q180+New_Towns!Q435+New_Towns!Q703+IT!Q306+Other!Q180</f>
        <v>0</v>
      </c>
      <c r="R176" s="81">
        <f ca="1">Low_Press!R257+AdHoc!R201+AdHoc!R476+AdHoc!R751+Medium_Press!R250+High_Press!R180+Dom_Meters!R201+Dom_Meters!R455+Com_Meters!R201+Com_Meters!R490+Net_Reg!R222+Net_Reg!R476+Cust_Reg!R201+Cust_Reg!R476+CP_SCADA!R229+CP_SCADA!R532+Aug!R215+Aug!R497+Cust_Conn!R185+Cust_Conn!R442+Cust_Conn!R697+Cust_Conn!R952+New_Towns!R180+New_Towns!R435+New_Towns!R703+IT!R306+Other!R180</f>
        <v>0</v>
      </c>
      <c r="S176" s="81">
        <f ca="1">Low_Press!S257+AdHoc!S201+AdHoc!S476+AdHoc!S751+Medium_Press!S250+High_Press!S180+Dom_Meters!S201+Dom_Meters!S455+Com_Meters!S201+Com_Meters!S490+Net_Reg!S222+Net_Reg!S476+Cust_Reg!S201+Cust_Reg!S476+CP_SCADA!S229+CP_SCADA!S532+Aug!S215+Aug!S497+Cust_Conn!S185+Cust_Conn!S442+Cust_Conn!S697+Cust_Conn!S952+New_Towns!S180+New_Towns!S435+New_Towns!S703+IT!S306+Other!S180</f>
        <v>0</v>
      </c>
      <c r="T176" s="81">
        <f ca="1">Low_Press!T257+AdHoc!T201+AdHoc!T476+AdHoc!T751+Medium_Press!T250+High_Press!T180+Dom_Meters!T201+Dom_Meters!T455+Com_Meters!T201+Com_Meters!T490+Net_Reg!T222+Net_Reg!T476+Cust_Reg!T201+Cust_Reg!T476+CP_SCADA!T229+CP_SCADA!T532+Aug!T215+Aug!T497+Cust_Conn!T185+Cust_Conn!T442+Cust_Conn!T697+Cust_Conn!T952+New_Towns!T180+New_Towns!T435+New_Towns!T703+IT!T306+Other!T180</f>
        <v>0</v>
      </c>
    </row>
    <row r="177" spans="3:20" outlineLevel="1">
      <c r="F177" s="249" t="str">
        <f>"Total "&amp;E159</f>
        <v>Total Customer Contributions</v>
      </c>
      <c r="G177" s="249"/>
      <c r="H177" s="249"/>
      <c r="I177" s="249"/>
      <c r="J177" s="82">
        <f t="shared" ref="J177:T177" ca="1" si="13">SUM(J161:J176)</f>
        <v>0</v>
      </c>
      <c r="K177" s="82">
        <f t="shared" ca="1" si="13"/>
        <v>0</v>
      </c>
      <c r="L177" s="82">
        <f t="shared" ca="1" si="13"/>
        <v>0</v>
      </c>
      <c r="M177" s="82">
        <f t="shared" ca="1" si="13"/>
        <v>0</v>
      </c>
      <c r="N177" s="82">
        <f t="shared" ca="1" si="13"/>
        <v>-20204056.32598</v>
      </c>
      <c r="O177" s="82">
        <f t="shared" ca="1" si="13"/>
        <v>-5051137.6692660451</v>
      </c>
      <c r="P177" s="82">
        <f t="shared" ca="1" si="13"/>
        <v>-7654939.3385320902</v>
      </c>
      <c r="Q177" s="82">
        <f t="shared" ca="1" si="13"/>
        <v>-7797148.4585320894</v>
      </c>
      <c r="R177" s="82">
        <f t="shared" ca="1" si="13"/>
        <v>-7936043.92853209</v>
      </c>
      <c r="S177" s="82">
        <f t="shared" ca="1" si="13"/>
        <v>-7820914.7985320911</v>
      </c>
      <c r="T177" s="82">
        <f t="shared" ca="1" si="13"/>
        <v>-7701327.5085320901</v>
      </c>
    </row>
    <row r="178" spans="3:20" s="41" customFormat="1" outlineLevel="1">
      <c r="C178" s="109"/>
      <c r="D178" s="109"/>
      <c r="E178" s="109"/>
      <c r="F178" s="109"/>
      <c r="G178" s="109"/>
      <c r="H178" s="109"/>
      <c r="I178" s="109"/>
      <c r="J178" s="109"/>
      <c r="K178" s="109"/>
      <c r="L178" s="109"/>
      <c r="M178" s="109"/>
      <c r="N178" s="109"/>
      <c r="O178" s="109"/>
      <c r="P178" s="109"/>
      <c r="Q178" s="109"/>
      <c r="R178" s="109"/>
      <c r="S178" s="109"/>
      <c r="T178" s="109"/>
    </row>
    <row r="179" spans="3:20" s="41" customFormat="1" outlineLevel="1"/>
    <row r="180" spans="3:20" s="41" customFormat="1" outlineLevel="1">
      <c r="D180" s="50" t="s">
        <v>196</v>
      </c>
    </row>
    <row r="181" spans="3:20" s="41" customFormat="1" ht="5.9" customHeight="1" outlineLevel="1"/>
    <row r="182" spans="3:20" outlineLevel="1">
      <c r="E182" s="37" t="str">
        <f>E99</f>
        <v>Direct Costs</v>
      </c>
    </row>
    <row r="183" spans="3:20" ht="5.9" customHeight="1" outlineLevel="1"/>
    <row r="184" spans="3:20" s="41" customFormat="1" outlineLevel="1">
      <c r="F184" s="247" t="str">
        <f>GC!C60</f>
        <v>Mains replacement</v>
      </c>
      <c r="G184" s="247"/>
      <c r="H184" s="247"/>
      <c r="I184" s="247"/>
      <c r="J184" s="81">
        <f ca="1">Low_Press!J265+AdHoc!J209+AdHoc!J484+AdHoc!J759+Medium_Press!J258+High_Press!J188+Dom_Meters!J209+Dom_Meters!J463+Com_Meters!J209+Com_Meters!J498+Net_Reg!J230+Net_Reg!J484+Cust_Reg!J209+Cust_Reg!J484+CP_SCADA!J237+CP_SCADA!J540+Aug!J223+Aug!J505+Cust_Conn!J193+Cust_Conn!J450+Cust_Conn!J705+Cust_Conn!J960+New_Towns!J188+New_Towns!J443+New_Towns!J711+IT!J314+Other!J188</f>
        <v>0</v>
      </c>
      <c r="K184" s="81">
        <f ca="1">Low_Press!K265+AdHoc!K209+AdHoc!K484+AdHoc!K759+Medium_Press!K258+High_Press!K188+Dom_Meters!K209+Dom_Meters!K463+Com_Meters!K209+Com_Meters!K498+Net_Reg!K230+Net_Reg!K484+Cust_Reg!K209+Cust_Reg!K484+CP_SCADA!K237+CP_SCADA!K540+Aug!K223+Aug!K505+Cust_Conn!K193+Cust_Conn!K450+Cust_Conn!K705+Cust_Conn!K960+New_Towns!K188+New_Towns!K443+New_Towns!K711+IT!K314+Other!K188</f>
        <v>0</v>
      </c>
      <c r="L184" s="81">
        <f ca="1">Low_Press!L265+AdHoc!L209+AdHoc!L484+AdHoc!L759+Medium_Press!L258+High_Press!L188+Dom_Meters!L209+Dom_Meters!L463+Com_Meters!L209+Com_Meters!L498+Net_Reg!L230+Net_Reg!L484+Cust_Reg!L209+Cust_Reg!L484+CP_SCADA!L237+CP_SCADA!L540+Aug!L223+Aug!L505+Cust_Conn!L193+Cust_Conn!L450+Cust_Conn!L705+Cust_Conn!L960+New_Towns!L188+New_Towns!L443+New_Towns!L711+IT!L314+Other!L188</f>
        <v>0</v>
      </c>
      <c r="M184" s="81">
        <f ca="1">Low_Press!M265+AdHoc!M209+AdHoc!M484+AdHoc!M759+Medium_Press!M258+High_Press!M188+Dom_Meters!M209+Dom_Meters!M463+Com_Meters!M209+Com_Meters!M498+Net_Reg!M230+Net_Reg!M484+Cust_Reg!M209+Cust_Reg!M484+CP_SCADA!M237+CP_SCADA!M540+Aug!M223+Aug!M505+Cust_Conn!M193+Cust_Conn!M450+Cust_Conn!M705+Cust_Conn!M960+New_Towns!M188+New_Towns!M443+New_Towns!M711+IT!M314+Other!M188</f>
        <v>0</v>
      </c>
      <c r="N184" s="81">
        <f ca="1">Low_Press!N265+AdHoc!N209+AdHoc!N484+AdHoc!N759+Medium_Press!N258+High_Press!N188+Dom_Meters!N209+Dom_Meters!N463+Com_Meters!N209+Com_Meters!N498+Net_Reg!N230+Net_Reg!N484+Cust_Reg!N209+Cust_Reg!N484+CP_SCADA!N237+CP_SCADA!N540+Aug!N223+Aug!N505+Cust_Conn!N193+Cust_Conn!N450+Cust_Conn!N705+Cust_Conn!N960+New_Towns!N188+New_Towns!N443+New_Towns!N711+IT!N314+Other!N188</f>
        <v>20725383.936348949</v>
      </c>
      <c r="O184" s="81">
        <f ca="1">Low_Press!O265+AdHoc!O209+AdHoc!O484+AdHoc!O759+Medium_Press!O258+High_Press!O188+Dom_Meters!O209+Dom_Meters!O463+Com_Meters!O209+Com_Meters!O498+Net_Reg!O230+Net_Reg!O484+Cust_Reg!O209+Cust_Reg!O484+CP_SCADA!O237+CP_SCADA!O540+Aug!O223+Aug!O505+Cust_Conn!O193+Cust_Conn!O450+Cust_Conn!O705+Cust_Conn!O960+New_Towns!O188+New_Towns!O443+New_Towns!O711+IT!O314+Other!O188</f>
        <v>20711927.387829326</v>
      </c>
      <c r="P184" s="81">
        <f ca="1">Low_Press!P265+AdHoc!P209+AdHoc!P484+AdHoc!P759+Medium_Press!P258+High_Press!P188+Dom_Meters!P209+Dom_Meters!P463+Com_Meters!P209+Com_Meters!P498+Net_Reg!P230+Net_Reg!P484+Cust_Reg!P209+Cust_Reg!P484+CP_SCADA!P237+CP_SCADA!P540+Aug!P223+Aug!P505+Cust_Conn!P193+Cust_Conn!P450+Cust_Conn!P705+Cust_Conn!P960+New_Towns!P188+New_Towns!P443+New_Towns!P711+IT!P314+Other!P188</f>
        <v>28670074.859351143</v>
      </c>
      <c r="Q184" s="81">
        <f ca="1">Low_Press!Q265+AdHoc!Q209+AdHoc!Q484+AdHoc!Q759+Medium_Press!Q258+High_Press!Q188+Dom_Meters!Q209+Dom_Meters!Q463+Com_Meters!Q209+Com_Meters!Q498+Net_Reg!Q230+Net_Reg!Q484+Cust_Reg!Q209+Cust_Reg!Q484+CP_SCADA!Q237+CP_SCADA!Q540+Aug!Q223+Aug!Q505+Cust_Conn!Q193+Cust_Conn!Q450+Cust_Conn!Q705+Cust_Conn!Q960+New_Towns!Q188+New_Towns!Q443+New_Towns!Q711+IT!Q314+Other!Q188</f>
        <v>26131302.489584014</v>
      </c>
      <c r="R184" s="81">
        <f ca="1">Low_Press!R265+AdHoc!R209+AdHoc!R484+AdHoc!R759+Medium_Press!R258+High_Press!R188+Dom_Meters!R209+Dom_Meters!R463+Com_Meters!R209+Com_Meters!R498+Net_Reg!R230+Net_Reg!R484+Cust_Reg!R209+Cust_Reg!R484+CP_SCADA!R237+CP_SCADA!R540+Aug!R223+Aug!R505+Cust_Conn!R193+Cust_Conn!R450+Cust_Conn!R705+Cust_Conn!R960+New_Towns!R188+New_Towns!R443+New_Towns!R711+IT!R314+Other!R188</f>
        <v>23610688.794995513</v>
      </c>
      <c r="S184" s="81">
        <f ca="1">Low_Press!S265+AdHoc!S209+AdHoc!S484+AdHoc!S759+Medium_Press!S258+High_Press!S188+Dom_Meters!S209+Dom_Meters!S463+Com_Meters!S209+Com_Meters!S498+Net_Reg!S230+Net_Reg!S484+Cust_Reg!S209+Cust_Reg!S484+CP_SCADA!S237+CP_SCADA!S540+Aug!S223+Aug!S505+Cust_Conn!S193+Cust_Conn!S450+Cust_Conn!S705+Cust_Conn!S960+New_Towns!S188+New_Towns!S443+New_Towns!S711+IT!S314+Other!S188</f>
        <v>26746490.904742733</v>
      </c>
      <c r="T184" s="81">
        <f ca="1">Low_Press!T265+AdHoc!T209+AdHoc!T484+AdHoc!T759+Medium_Press!T258+High_Press!T188+Dom_Meters!T209+Dom_Meters!T463+Com_Meters!T209+Com_Meters!T498+Net_Reg!T230+Net_Reg!T484+Cust_Reg!T209+Cust_Reg!T484+CP_SCADA!T237+CP_SCADA!T540+Aug!T223+Aug!T505+Cust_Conn!T193+Cust_Conn!T450+Cust_Conn!T705+Cust_Conn!T960+New_Towns!T188+New_Towns!T443+New_Towns!T711+IT!T314+Other!T188</f>
        <v>18588446.594502728</v>
      </c>
    </row>
    <row r="185" spans="3:20" s="41" customFormat="1" outlineLevel="1">
      <c r="F185" s="247" t="str">
        <f>GC!C61</f>
        <v>Residential new customer connections</v>
      </c>
      <c r="G185" s="247"/>
      <c r="H185" s="247"/>
      <c r="I185" s="247"/>
      <c r="J185" s="81">
        <f ca="1">Low_Press!J266+AdHoc!J210+AdHoc!J485+AdHoc!J760+Medium_Press!J259+High_Press!J189+Dom_Meters!J210+Dom_Meters!J464+Com_Meters!J210+Com_Meters!J499+Net_Reg!J231+Net_Reg!J485+Cust_Reg!J210+Cust_Reg!J485+CP_SCADA!J238+CP_SCADA!J541+Aug!J224+Aug!J506+Cust_Conn!J194+Cust_Conn!J451+Cust_Conn!J706+Cust_Conn!J961+New_Towns!J189+New_Towns!J444+New_Towns!J712+IT!J315+Other!J189</f>
        <v>0</v>
      </c>
      <c r="K185" s="81">
        <f ca="1">Low_Press!K266+AdHoc!K210+AdHoc!K485+AdHoc!K760+Medium_Press!K259+High_Press!K189+Dom_Meters!K210+Dom_Meters!K464+Com_Meters!K210+Com_Meters!K499+Net_Reg!K231+Net_Reg!K485+Cust_Reg!K210+Cust_Reg!K485+CP_SCADA!K238+CP_SCADA!K541+Aug!K224+Aug!K506+Cust_Conn!K194+Cust_Conn!K451+Cust_Conn!K706+Cust_Conn!K961+New_Towns!K189+New_Towns!K444+New_Towns!K712+IT!K315+Other!K189</f>
        <v>0</v>
      </c>
      <c r="L185" s="81">
        <f ca="1">Low_Press!L266+AdHoc!L210+AdHoc!L485+AdHoc!L760+Medium_Press!L259+High_Press!L189+Dom_Meters!L210+Dom_Meters!L464+Com_Meters!L210+Com_Meters!L499+Net_Reg!L231+Net_Reg!L485+Cust_Reg!L210+Cust_Reg!L485+CP_SCADA!L238+CP_SCADA!L541+Aug!L224+Aug!L506+Cust_Conn!L194+Cust_Conn!L451+Cust_Conn!L706+Cust_Conn!L961+New_Towns!L189+New_Towns!L444+New_Towns!L712+IT!L315+Other!L189</f>
        <v>0</v>
      </c>
      <c r="M185" s="81">
        <f ca="1">Low_Press!M266+AdHoc!M210+AdHoc!M485+AdHoc!M760+Medium_Press!M259+High_Press!M189+Dom_Meters!M210+Dom_Meters!M464+Com_Meters!M210+Com_Meters!M499+Net_Reg!M231+Net_Reg!M485+Cust_Reg!M210+Cust_Reg!M485+CP_SCADA!M238+CP_SCADA!M541+Aug!M224+Aug!M506+Cust_Conn!M194+Cust_Conn!M451+Cust_Conn!M706+Cust_Conn!M961+New_Towns!M189+New_Towns!M444+New_Towns!M712+IT!M315+Other!M189</f>
        <v>0</v>
      </c>
      <c r="N185" s="81">
        <f ca="1">Low_Press!N266+AdHoc!N210+AdHoc!N485+AdHoc!N760+Medium_Press!N259+High_Press!N189+Dom_Meters!N210+Dom_Meters!N464+Com_Meters!N210+Com_Meters!N499+Net_Reg!N231+Net_Reg!N485+Cust_Reg!N210+Cust_Reg!N485+CP_SCADA!N238+CP_SCADA!N541+Aug!N224+Aug!N506+Cust_Conn!N194+Cust_Conn!N451+Cust_Conn!N706+Cust_Conn!N961+New_Towns!N189+New_Towns!N444+New_Towns!N712+IT!N315+Other!N189</f>
        <v>47697854.9240655</v>
      </c>
      <c r="O185" s="81">
        <f ca="1">Low_Press!O266+AdHoc!O210+AdHoc!O485+AdHoc!O760+Medium_Press!O259+High_Press!O189+Dom_Meters!O210+Dom_Meters!O464+Com_Meters!O210+Com_Meters!O499+Net_Reg!O231+Net_Reg!O485+Cust_Reg!O210+Cust_Reg!O485+CP_SCADA!O238+CP_SCADA!O541+Aug!O224+Aug!O506+Cust_Conn!O194+Cust_Conn!O451+Cust_Conn!O706+Cust_Conn!O961+New_Towns!O189+New_Towns!O444+New_Towns!O712+IT!O315+Other!O189</f>
        <v>19772321.058783215</v>
      </c>
      <c r="P185" s="81">
        <f ca="1">Low_Press!P266+AdHoc!P210+AdHoc!P485+AdHoc!P760+Medium_Press!P259+High_Press!P189+Dom_Meters!P210+Dom_Meters!P464+Com_Meters!P210+Com_Meters!P499+Net_Reg!P231+Net_Reg!P485+Cust_Reg!P210+Cust_Reg!P485+CP_SCADA!P238+CP_SCADA!P541+Aug!P224+Aug!P506+Cust_Conn!P194+Cust_Conn!P451+Cust_Conn!P706+Cust_Conn!P961+New_Towns!P189+New_Towns!P444+New_Towns!P712+IT!P315+Other!P189</f>
        <v>36345917.480189726</v>
      </c>
      <c r="Q185" s="81">
        <f ca="1">Low_Press!Q266+AdHoc!Q210+AdHoc!Q485+AdHoc!Q760+Medium_Press!Q259+High_Press!Q189+Dom_Meters!Q210+Dom_Meters!Q464+Com_Meters!Q210+Com_Meters!Q499+Net_Reg!Q231+Net_Reg!Q485+Cust_Reg!Q210+Cust_Reg!Q485+CP_SCADA!Q238+CP_SCADA!Q541+Aug!Q224+Aug!Q506+Cust_Conn!Q194+Cust_Conn!Q451+Cust_Conn!Q706+Cust_Conn!Q961+New_Towns!Q189+New_Towns!Q444+New_Towns!Q712+IT!Q315+Other!Q189</f>
        <v>37492245.521307103</v>
      </c>
      <c r="R185" s="81">
        <f ca="1">Low_Press!R266+AdHoc!R210+AdHoc!R485+AdHoc!R760+Medium_Press!R259+High_Press!R189+Dom_Meters!R210+Dom_Meters!R464+Com_Meters!R210+Com_Meters!R499+Net_Reg!R231+Net_Reg!R485+Cust_Reg!R210+Cust_Reg!R485+CP_SCADA!R238+CP_SCADA!R541+Aug!R224+Aug!R506+Cust_Conn!R194+Cust_Conn!R451+Cust_Conn!R706+Cust_Conn!R961+New_Towns!R189+New_Towns!R444+New_Towns!R712+IT!R315+Other!R189</f>
        <v>38617169.67660211</v>
      </c>
      <c r="S185" s="81">
        <f ca="1">Low_Press!S266+AdHoc!S210+AdHoc!S485+AdHoc!S760+Medium_Press!S259+High_Press!S189+Dom_Meters!S210+Dom_Meters!S464+Com_Meters!S210+Com_Meters!S499+Net_Reg!S231+Net_Reg!S485+Cust_Reg!S210+Cust_Reg!S485+CP_SCADA!S238+CP_SCADA!S541+Aug!S224+Aug!S506+Cust_Conn!S194+Cust_Conn!S451+Cust_Conn!S706+Cust_Conn!S961+New_Towns!S189+New_Towns!S444+New_Towns!S712+IT!S315+Other!S189</f>
        <v>37688266.438258238</v>
      </c>
      <c r="T185" s="81">
        <f ca="1">Low_Press!T266+AdHoc!T210+AdHoc!T485+AdHoc!T760+Medium_Press!T259+High_Press!T189+Dom_Meters!T210+Dom_Meters!T464+Com_Meters!T210+Com_Meters!T499+Net_Reg!T231+Net_Reg!T485+Cust_Reg!T210+Cust_Reg!T485+CP_SCADA!T238+CP_SCADA!T541+Aug!T224+Aug!T506+Cust_Conn!T194+Cust_Conn!T451+Cust_Conn!T706+Cust_Conn!T961+New_Towns!T189+New_Towns!T444+New_Towns!T712+IT!T315+Other!T189</f>
        <v>36723088.415284015</v>
      </c>
    </row>
    <row r="186" spans="3:20" s="41" customFormat="1" outlineLevel="1">
      <c r="F186" s="247" t="str">
        <f>GC!C62</f>
        <v>Commercial and industrial new customer connections</v>
      </c>
      <c r="G186" s="247"/>
      <c r="H186" s="247"/>
      <c r="I186" s="247"/>
      <c r="J186" s="81">
        <f ca="1">Low_Press!J267+AdHoc!J211+AdHoc!J486+AdHoc!J761+Medium_Press!J260+High_Press!J190+Dom_Meters!J211+Dom_Meters!J465+Com_Meters!J211+Com_Meters!J500+Net_Reg!J232+Net_Reg!J486+Cust_Reg!J211+Cust_Reg!J486+CP_SCADA!J239+CP_SCADA!J542+Aug!J225+Aug!J507+Cust_Conn!J195+Cust_Conn!J452+Cust_Conn!J707+Cust_Conn!J962+New_Towns!J190+New_Towns!J445+New_Towns!J713+IT!J316+Other!J190</f>
        <v>0</v>
      </c>
      <c r="K186" s="81">
        <f ca="1">Low_Press!K267+AdHoc!K211+AdHoc!K486+AdHoc!K761+Medium_Press!K260+High_Press!K190+Dom_Meters!K211+Dom_Meters!K465+Com_Meters!K211+Com_Meters!K500+Net_Reg!K232+Net_Reg!K486+Cust_Reg!K211+Cust_Reg!K486+CP_SCADA!K239+CP_SCADA!K542+Aug!K225+Aug!K507+Cust_Conn!K195+Cust_Conn!K452+Cust_Conn!K707+Cust_Conn!K962+New_Towns!K190+New_Towns!K445+New_Towns!K713+IT!K316+Other!K190</f>
        <v>0</v>
      </c>
      <c r="L186" s="81">
        <f ca="1">Low_Press!L267+AdHoc!L211+AdHoc!L486+AdHoc!L761+Medium_Press!L260+High_Press!L190+Dom_Meters!L211+Dom_Meters!L465+Com_Meters!L211+Com_Meters!L500+Net_Reg!L232+Net_Reg!L486+Cust_Reg!L211+Cust_Reg!L486+CP_SCADA!L239+CP_SCADA!L542+Aug!L225+Aug!L507+Cust_Conn!L195+Cust_Conn!L452+Cust_Conn!L707+Cust_Conn!L962+New_Towns!L190+New_Towns!L445+New_Towns!L713+IT!L316+Other!L190</f>
        <v>0</v>
      </c>
      <c r="M186" s="81">
        <f ca="1">Low_Press!M267+AdHoc!M211+AdHoc!M486+AdHoc!M761+Medium_Press!M260+High_Press!M190+Dom_Meters!M211+Dom_Meters!M465+Com_Meters!M211+Com_Meters!M500+Net_Reg!M232+Net_Reg!M486+Cust_Reg!M211+Cust_Reg!M486+CP_SCADA!M239+CP_SCADA!M542+Aug!M225+Aug!M507+Cust_Conn!M195+Cust_Conn!M452+Cust_Conn!M707+Cust_Conn!M962+New_Towns!M190+New_Towns!M445+New_Towns!M713+IT!M316+Other!M190</f>
        <v>0</v>
      </c>
      <c r="N186" s="81">
        <f ca="1">Low_Press!N267+AdHoc!N211+AdHoc!N486+AdHoc!N761+Medium_Press!N260+High_Press!N190+Dom_Meters!N211+Dom_Meters!N465+Com_Meters!N211+Com_Meters!N500+Net_Reg!N232+Net_Reg!N486+Cust_Reg!N211+Cust_Reg!N486+CP_SCADA!N239+CP_SCADA!N542+Aug!N225+Aug!N507+Cust_Conn!N195+Cust_Conn!N452+Cust_Conn!N707+Cust_Conn!N962+New_Towns!N190+New_Towns!N445+New_Towns!N713+IT!N316+Other!N190</f>
        <v>3501984.1759004672</v>
      </c>
      <c r="O186" s="81">
        <f ca="1">Low_Press!O267+AdHoc!O211+AdHoc!O486+AdHoc!O761+Medium_Press!O260+High_Press!O190+Dom_Meters!O211+Dom_Meters!O465+Com_Meters!O211+Com_Meters!O500+Net_Reg!O232+Net_Reg!O486+Cust_Reg!O211+Cust_Reg!O486+CP_SCADA!O239+CP_SCADA!O542+Aug!O225+Aug!O507+Cust_Conn!O195+Cust_Conn!O452+Cust_Conn!O707+Cust_Conn!O962+New_Towns!O190+New_Towns!O445+New_Towns!O713+IT!O316+Other!O190</f>
        <v>4413939.1389909731</v>
      </c>
      <c r="P186" s="81">
        <f ca="1">Low_Press!P267+AdHoc!P211+AdHoc!P486+AdHoc!P761+Medium_Press!P260+High_Press!P190+Dom_Meters!P211+Dom_Meters!P465+Com_Meters!P211+Com_Meters!P500+Net_Reg!P232+Net_Reg!P486+Cust_Reg!P211+Cust_Reg!P486+CP_SCADA!P239+CP_SCADA!P542+Aug!P225+Aug!P507+Cust_Conn!P195+Cust_Conn!P452+Cust_Conn!P707+Cust_Conn!P962+New_Towns!P190+New_Towns!P445+New_Towns!P713+IT!P316+Other!P190</f>
        <v>6410593.0263032373</v>
      </c>
      <c r="Q186" s="81">
        <f ca="1">Low_Press!Q267+AdHoc!Q211+AdHoc!Q486+AdHoc!Q761+Medium_Press!Q260+High_Press!Q190+Dom_Meters!Q211+Dom_Meters!Q465+Com_Meters!Q211+Com_Meters!Q500+Net_Reg!Q232+Net_Reg!Q486+Cust_Reg!Q211+Cust_Reg!Q486+CP_SCADA!Q239+CP_SCADA!Q542+Aug!Q225+Aug!Q507+Cust_Conn!Q195+Cust_Conn!Q452+Cust_Conn!Q707+Cust_Conn!Q962+New_Towns!Q190+New_Towns!Q445+New_Towns!Q713+IT!Q316+Other!Q190</f>
        <v>6525983.1330307834</v>
      </c>
      <c r="R186" s="81">
        <f ca="1">Low_Press!R267+AdHoc!R211+AdHoc!R486+AdHoc!R761+Medium_Press!R260+High_Press!R190+Dom_Meters!R211+Dom_Meters!R465+Com_Meters!R211+Com_Meters!R500+Net_Reg!R232+Net_Reg!R486+Cust_Reg!R211+Cust_Reg!R486+CP_SCADA!R239+CP_SCADA!R542+Aug!R225+Aug!R507+Cust_Conn!R195+Cust_Conn!R452+Cust_Conn!R707+Cust_Conn!R962+New_Towns!R190+New_Towns!R445+New_Towns!R713+IT!R316+Other!R190</f>
        <v>6639830.8448273521</v>
      </c>
      <c r="S186" s="81">
        <f ca="1">Low_Press!S267+AdHoc!S211+AdHoc!S486+AdHoc!S761+Medium_Press!S260+High_Press!S190+Dom_Meters!S211+Dom_Meters!S465+Com_Meters!S211+Com_Meters!S500+Net_Reg!S232+Net_Reg!S486+Cust_Reg!S211+Cust_Reg!S486+CP_SCADA!S239+CP_SCADA!S542+Aug!S225+Aug!S507+Cust_Conn!S195+Cust_Conn!S452+Cust_Conn!S707+Cust_Conn!S962+New_Towns!S190+New_Towns!S445+New_Towns!S713+IT!S316+Other!S190</f>
        <v>6555801.6535559539</v>
      </c>
      <c r="T186" s="81">
        <f ca="1">Low_Press!T267+AdHoc!T211+AdHoc!T486+AdHoc!T761+Medium_Press!T260+High_Press!T190+Dom_Meters!T211+Dom_Meters!T465+Com_Meters!T211+Com_Meters!T500+Net_Reg!T232+Net_Reg!T486+Cust_Reg!T211+Cust_Reg!T486+CP_SCADA!T239+CP_SCADA!T542+Aug!T225+Aug!T507+Cust_Conn!T195+Cust_Conn!T452+Cust_Conn!T707+Cust_Conn!T962+New_Towns!T190+New_Towns!T445+New_Towns!T713+IT!T316+Other!T190</f>
        <v>6468162.4662951594</v>
      </c>
    </row>
    <row r="187" spans="3:20" s="41" customFormat="1" outlineLevel="1">
      <c r="F187" s="247" t="str">
        <f>GC!C63</f>
        <v>Residential meter replacement</v>
      </c>
      <c r="G187" s="247"/>
      <c r="H187" s="247"/>
      <c r="I187" s="247"/>
      <c r="J187" s="81">
        <f ca="1">Low_Press!J268+AdHoc!J212+AdHoc!J487+AdHoc!J762+Medium_Press!J261+High_Press!J191+Dom_Meters!J212+Dom_Meters!J466+Com_Meters!J212+Com_Meters!J501+Net_Reg!J233+Net_Reg!J487+Cust_Reg!J212+Cust_Reg!J487+CP_SCADA!J240+CP_SCADA!J543+Aug!J226+Aug!J508+Cust_Conn!J196+Cust_Conn!J453+Cust_Conn!J708+Cust_Conn!J963+New_Towns!J191+New_Towns!J446+New_Towns!J714+IT!J317+Other!J191</f>
        <v>0</v>
      </c>
      <c r="K187" s="81">
        <f ca="1">Low_Press!K268+AdHoc!K212+AdHoc!K487+AdHoc!K762+Medium_Press!K261+High_Press!K191+Dom_Meters!K212+Dom_Meters!K466+Com_Meters!K212+Com_Meters!K501+Net_Reg!K233+Net_Reg!K487+Cust_Reg!K212+Cust_Reg!K487+CP_SCADA!K240+CP_SCADA!K543+Aug!K226+Aug!K508+Cust_Conn!K196+Cust_Conn!K453+Cust_Conn!K708+Cust_Conn!K963+New_Towns!K191+New_Towns!K446+New_Towns!K714+IT!K317+Other!K191</f>
        <v>0</v>
      </c>
      <c r="L187" s="81">
        <f ca="1">Low_Press!L268+AdHoc!L212+AdHoc!L487+AdHoc!L762+Medium_Press!L261+High_Press!L191+Dom_Meters!L212+Dom_Meters!L466+Com_Meters!L212+Com_Meters!L501+Net_Reg!L233+Net_Reg!L487+Cust_Reg!L212+Cust_Reg!L487+CP_SCADA!L240+CP_SCADA!L543+Aug!L226+Aug!L508+Cust_Conn!L196+Cust_Conn!L453+Cust_Conn!L708+Cust_Conn!L963+New_Towns!L191+New_Towns!L446+New_Towns!L714+IT!L317+Other!L191</f>
        <v>0</v>
      </c>
      <c r="M187" s="81">
        <f ca="1">Low_Press!M268+AdHoc!M212+AdHoc!M487+AdHoc!M762+Medium_Press!M261+High_Press!M191+Dom_Meters!M212+Dom_Meters!M466+Com_Meters!M212+Com_Meters!M501+Net_Reg!M233+Net_Reg!M487+Cust_Reg!M212+Cust_Reg!M487+CP_SCADA!M240+CP_SCADA!M543+Aug!M226+Aug!M508+Cust_Conn!M196+Cust_Conn!M453+Cust_Conn!M708+Cust_Conn!M963+New_Towns!M191+New_Towns!M446+New_Towns!M714+IT!M317+Other!M191</f>
        <v>0</v>
      </c>
      <c r="N187" s="81">
        <f ca="1">Low_Press!N268+AdHoc!N212+AdHoc!N487+AdHoc!N762+Medium_Press!N261+High_Press!N191+Dom_Meters!N212+Dom_Meters!N466+Com_Meters!N212+Com_Meters!N501+Net_Reg!N233+Net_Reg!N487+Cust_Reg!N212+Cust_Reg!N487+CP_SCADA!N240+CP_SCADA!N543+Aug!N226+Aug!N508+Cust_Conn!N196+Cust_Conn!N453+Cust_Conn!N708+Cust_Conn!N963+New_Towns!N191+New_Towns!N446+New_Towns!N714+IT!N317+Other!N191</f>
        <v>3970137.3065882879</v>
      </c>
      <c r="O187" s="81">
        <f ca="1">Low_Press!O268+AdHoc!O212+AdHoc!O487+AdHoc!O762+Medium_Press!O261+High_Press!O191+Dom_Meters!O212+Dom_Meters!O466+Com_Meters!O212+Com_Meters!O501+Net_Reg!O233+Net_Reg!O487+Cust_Reg!O212+Cust_Reg!O487+CP_SCADA!O240+CP_SCADA!O543+Aug!O226+Aug!O508+Cust_Conn!O196+Cust_Conn!O453+Cust_Conn!O708+Cust_Conn!O963+New_Towns!O191+New_Towns!O446+New_Towns!O714+IT!O317+Other!O191</f>
        <v>2267623.8554599336</v>
      </c>
      <c r="P187" s="81">
        <f ca="1">Low_Press!P268+AdHoc!P212+AdHoc!P487+AdHoc!P762+Medium_Press!P261+High_Press!P191+Dom_Meters!P212+Dom_Meters!P466+Com_Meters!P212+Com_Meters!P501+Net_Reg!P233+Net_Reg!P487+Cust_Reg!P212+Cust_Reg!P487+CP_SCADA!P240+CP_SCADA!P543+Aug!P226+Aug!P508+Cust_Conn!P196+Cust_Conn!P453+Cust_Conn!P708+Cust_Conn!P963+New_Towns!P191+New_Towns!P446+New_Towns!P714+IT!P317+Other!P191</f>
        <v>4535879.8009147998</v>
      </c>
      <c r="Q187" s="81">
        <f ca="1">Low_Press!Q268+AdHoc!Q212+AdHoc!Q487+AdHoc!Q762+Medium_Press!Q261+High_Press!Q191+Dom_Meters!Q212+Dom_Meters!Q466+Com_Meters!Q212+Com_Meters!Q501+Net_Reg!Q233+Net_Reg!Q487+Cust_Reg!Q212+Cust_Reg!Q487+CP_SCADA!Q240+CP_SCADA!Q543+Aug!Q226+Aug!Q508+Cust_Conn!Q196+Cust_Conn!Q453+Cust_Conn!Q708+Cust_Conn!Q963+New_Towns!Q191+New_Towns!Q446+New_Towns!Q714+IT!Q317+Other!Q191</f>
        <v>5394814.7161247768</v>
      </c>
      <c r="R187" s="81">
        <f ca="1">Low_Press!R268+AdHoc!R212+AdHoc!R487+AdHoc!R762+Medium_Press!R261+High_Press!R191+Dom_Meters!R212+Dom_Meters!R466+Com_Meters!R212+Com_Meters!R501+Net_Reg!R233+Net_Reg!R487+Cust_Reg!R212+Cust_Reg!R487+CP_SCADA!R240+CP_SCADA!R543+Aug!R226+Aug!R508+Cust_Conn!R196+Cust_Conn!R453+Cust_Conn!R708+Cust_Conn!R963+New_Towns!R191+New_Towns!R446+New_Towns!R714+IT!R317+Other!R191</f>
        <v>5670815.649232435</v>
      </c>
      <c r="S187" s="81">
        <f ca="1">Low_Press!S268+AdHoc!S212+AdHoc!S487+AdHoc!S762+Medium_Press!S261+High_Press!S191+Dom_Meters!S212+Dom_Meters!S466+Com_Meters!S212+Com_Meters!S501+Net_Reg!S233+Net_Reg!S487+Cust_Reg!S212+Cust_Reg!S487+CP_SCADA!S240+CP_SCADA!S543+Aug!S226+Aug!S508+Cust_Conn!S196+Cust_Conn!S453+Cust_Conn!S708+Cust_Conn!S963+New_Towns!S191+New_Towns!S446+New_Towns!S714+IT!S317+Other!S191</f>
        <v>4348781.7001453973</v>
      </c>
      <c r="T187" s="81">
        <f ca="1">Low_Press!T268+AdHoc!T212+AdHoc!T487+AdHoc!T762+Medium_Press!T261+High_Press!T191+Dom_Meters!T212+Dom_Meters!T466+Com_Meters!T212+Com_Meters!T501+Net_Reg!T233+Net_Reg!T487+Cust_Reg!T212+Cust_Reg!T487+CP_SCADA!T240+CP_SCADA!T543+Aug!T226+Aug!T508+Cust_Conn!T196+Cust_Conn!T453+Cust_Conn!T708+Cust_Conn!T963+New_Towns!T191+New_Towns!T446+New_Towns!T714+IT!T317+Other!T191</f>
        <v>4010472.6047492521</v>
      </c>
    </row>
    <row r="188" spans="3:20" s="41" customFormat="1" outlineLevel="1">
      <c r="F188" s="247" t="str">
        <f>GC!C64</f>
        <v>Commercial and industrial meter replacement</v>
      </c>
      <c r="G188" s="247"/>
      <c r="H188" s="247"/>
      <c r="I188" s="247"/>
      <c r="J188" s="81">
        <f ca="1">Low_Press!J269+AdHoc!J213+AdHoc!J488+AdHoc!J763+Medium_Press!J262+High_Press!J192+Dom_Meters!J213+Dom_Meters!J467+Com_Meters!J213+Com_Meters!J502+Net_Reg!J234+Net_Reg!J488+Cust_Reg!J213+Cust_Reg!J488+CP_SCADA!J241+CP_SCADA!J544+Aug!J227+Aug!J509+Cust_Conn!J197+Cust_Conn!J454+Cust_Conn!J709+Cust_Conn!J964+New_Towns!J192+New_Towns!J447+New_Towns!J715+IT!J318+Other!J192</f>
        <v>0</v>
      </c>
      <c r="K188" s="81">
        <f ca="1">Low_Press!K269+AdHoc!K213+AdHoc!K488+AdHoc!K763+Medium_Press!K262+High_Press!K192+Dom_Meters!K213+Dom_Meters!K467+Com_Meters!K213+Com_Meters!K502+Net_Reg!K234+Net_Reg!K488+Cust_Reg!K213+Cust_Reg!K488+CP_SCADA!K241+CP_SCADA!K544+Aug!K227+Aug!K509+Cust_Conn!K197+Cust_Conn!K454+Cust_Conn!K709+Cust_Conn!K964+New_Towns!K192+New_Towns!K447+New_Towns!K715+IT!K318+Other!K192</f>
        <v>0</v>
      </c>
      <c r="L188" s="81">
        <f ca="1">Low_Press!L269+AdHoc!L213+AdHoc!L488+AdHoc!L763+Medium_Press!L262+High_Press!L192+Dom_Meters!L213+Dom_Meters!L467+Com_Meters!L213+Com_Meters!L502+Net_Reg!L234+Net_Reg!L488+Cust_Reg!L213+Cust_Reg!L488+CP_SCADA!L241+CP_SCADA!L544+Aug!L227+Aug!L509+Cust_Conn!L197+Cust_Conn!L454+Cust_Conn!L709+Cust_Conn!L964+New_Towns!L192+New_Towns!L447+New_Towns!L715+IT!L318+Other!L192</f>
        <v>0</v>
      </c>
      <c r="M188" s="81">
        <f ca="1">Low_Press!M269+AdHoc!M213+AdHoc!M488+AdHoc!M763+Medium_Press!M262+High_Press!M192+Dom_Meters!M213+Dom_Meters!M467+Com_Meters!M213+Com_Meters!M502+Net_Reg!M234+Net_Reg!M488+Cust_Reg!M213+Cust_Reg!M488+CP_SCADA!M241+CP_SCADA!M544+Aug!M227+Aug!M509+Cust_Conn!M197+Cust_Conn!M454+Cust_Conn!M709+Cust_Conn!M964+New_Towns!M192+New_Towns!M447+New_Towns!M715+IT!M318+Other!M192</f>
        <v>0</v>
      </c>
      <c r="N188" s="81">
        <f ca="1">Low_Press!N269+AdHoc!N213+AdHoc!N488+AdHoc!N763+Medium_Press!N262+High_Press!N192+Dom_Meters!N213+Dom_Meters!N467+Com_Meters!N213+Com_Meters!N502+Net_Reg!N234+Net_Reg!N488+Cust_Reg!N213+Cust_Reg!N488+CP_SCADA!N241+CP_SCADA!N544+Aug!N227+Aug!N509+Cust_Conn!N197+Cust_Conn!N454+Cust_Conn!N709+Cust_Conn!N964+New_Towns!N192+New_Towns!N447+New_Towns!N715+IT!N318+Other!N192</f>
        <v>843199.11110906955</v>
      </c>
      <c r="O188" s="81">
        <f ca="1">Low_Press!O269+AdHoc!O213+AdHoc!O488+AdHoc!O763+Medium_Press!O262+High_Press!O192+Dom_Meters!O213+Dom_Meters!O467+Com_Meters!O213+Com_Meters!O502+Net_Reg!O234+Net_Reg!O488+Cust_Reg!O213+Cust_Reg!O488+CP_SCADA!O241+CP_SCADA!O544+Aug!O227+Aug!O509+Cust_Conn!O197+Cust_Conn!O454+Cust_Conn!O709+Cust_Conn!O964+New_Towns!O192+New_Towns!O447+New_Towns!O715+IT!O318+Other!O192</f>
        <v>618585.13954113319</v>
      </c>
      <c r="P188" s="81">
        <f ca="1">Low_Press!P269+AdHoc!P213+AdHoc!P488+AdHoc!P763+Medium_Press!P262+High_Press!P192+Dom_Meters!P213+Dom_Meters!P467+Com_Meters!P213+Com_Meters!P502+Net_Reg!P234+Net_Reg!P488+Cust_Reg!P213+Cust_Reg!P488+CP_SCADA!P241+CP_SCADA!P544+Aug!P227+Aug!P509+Cust_Conn!P197+Cust_Conn!P454+Cust_Conn!P709+Cust_Conn!P964+New_Towns!P192+New_Towns!P447+New_Towns!P715+IT!P318+Other!P192</f>
        <v>1362532.375176379</v>
      </c>
      <c r="Q188" s="81">
        <f ca="1">Low_Press!Q269+AdHoc!Q213+AdHoc!Q488+AdHoc!Q763+Medium_Press!Q262+High_Press!Q192+Dom_Meters!Q213+Dom_Meters!Q467+Com_Meters!Q213+Com_Meters!Q502+Net_Reg!Q234+Net_Reg!Q488+Cust_Reg!Q213+Cust_Reg!Q488+CP_SCADA!Q241+CP_SCADA!Q544+Aug!Q227+Aug!Q509+Cust_Conn!Q197+Cust_Conn!Q454+Cust_Conn!Q709+Cust_Conn!Q964+New_Towns!Q192+New_Towns!Q447+New_Towns!Q715+IT!Q318+Other!Q192</f>
        <v>1526234.3095998131</v>
      </c>
      <c r="R188" s="81">
        <f ca="1">Low_Press!R269+AdHoc!R213+AdHoc!R488+AdHoc!R763+Medium_Press!R262+High_Press!R192+Dom_Meters!R213+Dom_Meters!R467+Com_Meters!R213+Com_Meters!R502+Net_Reg!R234+Net_Reg!R488+Cust_Reg!R213+Cust_Reg!R488+CP_SCADA!R241+CP_SCADA!R544+Aug!R227+Aug!R509+Cust_Conn!R197+Cust_Conn!R454+Cust_Conn!R709+Cust_Conn!R964+New_Towns!R192+New_Towns!R447+New_Towns!R715+IT!R318+Other!R192</f>
        <v>1776814.7218056277</v>
      </c>
      <c r="S188" s="81">
        <f ca="1">Low_Press!S269+AdHoc!S213+AdHoc!S488+AdHoc!S763+Medium_Press!S262+High_Press!S192+Dom_Meters!S213+Dom_Meters!S467+Com_Meters!S213+Com_Meters!S502+Net_Reg!S234+Net_Reg!S488+Cust_Reg!S213+Cust_Reg!S488+CP_SCADA!S241+CP_SCADA!S544+Aug!S227+Aug!S509+Cust_Conn!S197+Cust_Conn!S454+Cust_Conn!S709+Cust_Conn!S964+New_Towns!S192+New_Towns!S447+New_Towns!S715+IT!S318+Other!S192</f>
        <v>1672248.4297844765</v>
      </c>
      <c r="T188" s="81">
        <f ca="1">Low_Press!T269+AdHoc!T213+AdHoc!T488+AdHoc!T763+Medium_Press!T262+High_Press!T192+Dom_Meters!T213+Dom_Meters!T467+Com_Meters!T213+Com_Meters!T502+Net_Reg!T234+Net_Reg!T488+Cust_Reg!T213+Cust_Reg!T488+CP_SCADA!T241+CP_SCADA!T544+Aug!T227+Aug!T509+Cust_Conn!T197+Cust_Conn!T454+Cust_Conn!T709+Cust_Conn!T964+New_Towns!T192+New_Towns!T447+New_Towns!T715+IT!T318+Other!T192</f>
        <v>1263760.1030504091</v>
      </c>
    </row>
    <row r="189" spans="3:20" s="41" customFormat="1" outlineLevel="1">
      <c r="F189" s="247" t="str">
        <f>GC!C65</f>
        <v>Augmentation</v>
      </c>
      <c r="G189" s="247"/>
      <c r="H189" s="247"/>
      <c r="I189" s="247"/>
      <c r="J189" s="81">
        <f ca="1">Low_Press!J270+AdHoc!J214+AdHoc!J489+AdHoc!J764+Medium_Press!J263+High_Press!J193+Dom_Meters!J214+Dom_Meters!J468+Com_Meters!J214+Com_Meters!J503+Net_Reg!J235+Net_Reg!J489+Cust_Reg!J214+Cust_Reg!J489+CP_SCADA!J242+CP_SCADA!J545+Aug!J228+Aug!J510+Cust_Conn!J198+Cust_Conn!J455+Cust_Conn!J710+Cust_Conn!J965+New_Towns!J193+New_Towns!J448+New_Towns!J716+IT!J319+Other!J193</f>
        <v>0</v>
      </c>
      <c r="K189" s="81">
        <f ca="1">Low_Press!K270+AdHoc!K214+AdHoc!K489+AdHoc!K764+Medium_Press!K263+High_Press!K193+Dom_Meters!K214+Dom_Meters!K468+Com_Meters!K214+Com_Meters!K503+Net_Reg!K235+Net_Reg!K489+Cust_Reg!K214+Cust_Reg!K489+CP_SCADA!K242+CP_SCADA!K545+Aug!K228+Aug!K510+Cust_Conn!K198+Cust_Conn!K455+Cust_Conn!K710+Cust_Conn!K965+New_Towns!K193+New_Towns!K448+New_Towns!K716+IT!K319+Other!K193</f>
        <v>0</v>
      </c>
      <c r="L189" s="81">
        <f ca="1">Low_Press!L270+AdHoc!L214+AdHoc!L489+AdHoc!L764+Medium_Press!L263+High_Press!L193+Dom_Meters!L214+Dom_Meters!L468+Com_Meters!L214+Com_Meters!L503+Net_Reg!L235+Net_Reg!L489+Cust_Reg!L214+Cust_Reg!L489+CP_SCADA!L242+CP_SCADA!L545+Aug!L228+Aug!L510+Cust_Conn!L198+Cust_Conn!L455+Cust_Conn!L710+Cust_Conn!L965+New_Towns!L193+New_Towns!L448+New_Towns!L716+IT!L319+Other!L193</f>
        <v>0</v>
      </c>
      <c r="M189" s="81">
        <f ca="1">Low_Press!M270+AdHoc!M214+AdHoc!M489+AdHoc!M764+Medium_Press!M263+High_Press!M193+Dom_Meters!M214+Dom_Meters!M468+Com_Meters!M214+Com_Meters!M503+Net_Reg!M235+Net_Reg!M489+Cust_Reg!M214+Cust_Reg!M489+CP_SCADA!M242+CP_SCADA!M545+Aug!M228+Aug!M510+Cust_Conn!M198+Cust_Conn!M455+Cust_Conn!M710+Cust_Conn!M965+New_Towns!M193+New_Towns!M448+New_Towns!M716+IT!M319+Other!M193</f>
        <v>0</v>
      </c>
      <c r="N189" s="81">
        <f ca="1">Low_Press!N270+AdHoc!N214+AdHoc!N489+AdHoc!N764+Medium_Press!N263+High_Press!N193+Dom_Meters!N214+Dom_Meters!N468+Com_Meters!N214+Com_Meters!N503+Net_Reg!N235+Net_Reg!N489+Cust_Reg!N214+Cust_Reg!N489+CP_SCADA!N242+CP_SCADA!N545+Aug!N228+Aug!N510+Cust_Conn!N198+Cust_Conn!N455+Cust_Conn!N710+Cust_Conn!N965+New_Towns!N193+New_Towns!N448+New_Towns!N716+IT!N319+Other!N193</f>
        <v>3589875.6988584171</v>
      </c>
      <c r="O189" s="81">
        <f ca="1">Low_Press!O270+AdHoc!O214+AdHoc!O489+AdHoc!O764+Medium_Press!O263+High_Press!O193+Dom_Meters!O214+Dom_Meters!O468+Com_Meters!O214+Com_Meters!O503+Net_Reg!O235+Net_Reg!O489+Cust_Reg!O214+Cust_Reg!O489+CP_SCADA!O242+CP_SCADA!O545+Aug!O228+Aug!O510+Cust_Conn!O198+Cust_Conn!O455+Cust_Conn!O710+Cust_Conn!O965+New_Towns!O193+New_Towns!O448+New_Towns!O716+IT!O319+Other!O193</f>
        <v>2498006.2128540152</v>
      </c>
      <c r="P189" s="81">
        <f ca="1">Low_Press!P270+AdHoc!P214+AdHoc!P489+AdHoc!P764+Medium_Press!P263+High_Press!P193+Dom_Meters!P214+Dom_Meters!P468+Com_Meters!P214+Com_Meters!P503+Net_Reg!P235+Net_Reg!P489+Cust_Reg!P214+Cust_Reg!P489+CP_SCADA!P242+CP_SCADA!P545+Aug!P228+Aug!P510+Cust_Conn!P198+Cust_Conn!P455+Cust_Conn!P710+Cust_Conn!P965+New_Towns!P193+New_Towns!P448+New_Towns!P716+IT!P319+Other!P193</f>
        <v>4628766.5464705946</v>
      </c>
      <c r="Q189" s="81">
        <f ca="1">Low_Press!Q270+AdHoc!Q214+AdHoc!Q489+AdHoc!Q764+Medium_Press!Q263+High_Press!Q193+Dom_Meters!Q214+Dom_Meters!Q468+Com_Meters!Q214+Com_Meters!Q503+Net_Reg!Q235+Net_Reg!Q489+Cust_Reg!Q214+Cust_Reg!Q489+CP_SCADA!Q242+CP_SCADA!Q545+Aug!Q228+Aug!Q510+Cust_Conn!Q198+Cust_Conn!Q455+Cust_Conn!Q710+Cust_Conn!Q965+New_Towns!Q193+New_Towns!Q448+New_Towns!Q716+IT!Q319+Other!Q193</f>
        <v>6108881.2970422469</v>
      </c>
      <c r="R189" s="81">
        <f ca="1">Low_Press!R270+AdHoc!R214+AdHoc!R489+AdHoc!R764+Medium_Press!R263+High_Press!R193+Dom_Meters!R214+Dom_Meters!R468+Com_Meters!R214+Com_Meters!R503+Net_Reg!R235+Net_Reg!R489+Cust_Reg!R214+Cust_Reg!R489+CP_SCADA!R242+CP_SCADA!R545+Aug!R228+Aug!R510+Cust_Conn!R198+Cust_Conn!R455+Cust_Conn!R710+Cust_Conn!R965+New_Towns!R193+New_Towns!R448+New_Towns!R716+IT!R319+Other!R193</f>
        <v>3389970.4328987338</v>
      </c>
      <c r="S189" s="81">
        <f ca="1">Low_Press!S270+AdHoc!S214+AdHoc!S489+AdHoc!S764+Medium_Press!S263+High_Press!S193+Dom_Meters!S214+Dom_Meters!S468+Com_Meters!S214+Com_Meters!S503+Net_Reg!S235+Net_Reg!S489+Cust_Reg!S214+Cust_Reg!S489+CP_SCADA!S242+CP_SCADA!S545+Aug!S228+Aug!S510+Cust_Conn!S198+Cust_Conn!S455+Cust_Conn!S710+Cust_Conn!S965+New_Towns!S193+New_Towns!S448+New_Towns!S716+IT!S319+Other!S193</f>
        <v>1983219.1814355585</v>
      </c>
      <c r="T189" s="81">
        <f ca="1">Low_Press!T270+AdHoc!T214+AdHoc!T489+AdHoc!T764+Medium_Press!T263+High_Press!T193+Dom_Meters!T214+Dom_Meters!T468+Com_Meters!T214+Com_Meters!T503+Net_Reg!T235+Net_Reg!T489+Cust_Reg!T214+Cust_Reg!T489+CP_SCADA!T242+CP_SCADA!T545+Aug!T228+Aug!T510+Cust_Conn!T198+Cust_Conn!T455+Cust_Conn!T710+Cust_Conn!T965+New_Towns!T193+New_Towns!T448+New_Towns!T716+IT!T319+Other!T193</f>
        <v>5394667.5502852034</v>
      </c>
    </row>
    <row r="190" spans="3:20" s="41" customFormat="1" outlineLevel="1">
      <c r="F190" s="247" t="str">
        <f>GC!C66</f>
        <v>IT capex</v>
      </c>
      <c r="G190" s="247"/>
      <c r="H190" s="247"/>
      <c r="I190" s="247"/>
      <c r="J190" s="81">
        <f ca="1">Low_Press!J271+AdHoc!J215+AdHoc!J490+AdHoc!J765+Medium_Press!J264+High_Press!J194+Dom_Meters!J215+Dom_Meters!J469+Com_Meters!J215+Com_Meters!J504+Net_Reg!J236+Net_Reg!J490+Cust_Reg!J215+Cust_Reg!J490+CP_SCADA!J243+CP_SCADA!J546+Aug!J229+Aug!J511+Cust_Conn!J199+Cust_Conn!J456+Cust_Conn!J711+Cust_Conn!J966+New_Towns!J194+New_Towns!J449+New_Towns!J717+IT!J320+Other!J194</f>
        <v>0</v>
      </c>
      <c r="K190" s="81">
        <f ca="1">Low_Press!K271+AdHoc!K215+AdHoc!K490+AdHoc!K765+Medium_Press!K264+High_Press!K194+Dom_Meters!K215+Dom_Meters!K469+Com_Meters!K215+Com_Meters!K504+Net_Reg!K236+Net_Reg!K490+Cust_Reg!K215+Cust_Reg!K490+CP_SCADA!K243+CP_SCADA!K546+Aug!K229+Aug!K511+Cust_Conn!K199+Cust_Conn!K456+Cust_Conn!K711+Cust_Conn!K966+New_Towns!K194+New_Towns!K449+New_Towns!K717+IT!K320+Other!K194</f>
        <v>0</v>
      </c>
      <c r="L190" s="81">
        <f ca="1">Low_Press!L271+AdHoc!L215+AdHoc!L490+AdHoc!L765+Medium_Press!L264+High_Press!L194+Dom_Meters!L215+Dom_Meters!L469+Com_Meters!L215+Com_Meters!L504+Net_Reg!L236+Net_Reg!L490+Cust_Reg!L215+Cust_Reg!L490+CP_SCADA!L243+CP_SCADA!L546+Aug!L229+Aug!L511+Cust_Conn!L199+Cust_Conn!L456+Cust_Conn!L711+Cust_Conn!L966+New_Towns!L194+New_Towns!L449+New_Towns!L717+IT!L320+Other!L194</f>
        <v>0</v>
      </c>
      <c r="M190" s="81">
        <f ca="1">Low_Press!M271+AdHoc!M215+AdHoc!M490+AdHoc!M765+Medium_Press!M264+High_Press!M194+Dom_Meters!M215+Dom_Meters!M469+Com_Meters!M215+Com_Meters!M504+Net_Reg!M236+Net_Reg!M490+Cust_Reg!M215+Cust_Reg!M490+CP_SCADA!M243+CP_SCADA!M546+Aug!M229+Aug!M511+Cust_Conn!M199+Cust_Conn!M456+Cust_Conn!M711+Cust_Conn!M966+New_Towns!M194+New_Towns!M449+New_Towns!M717+IT!M320+Other!M194</f>
        <v>0</v>
      </c>
      <c r="N190" s="81">
        <f ca="1">Low_Press!N271+AdHoc!N215+AdHoc!N490+AdHoc!N765+Medium_Press!N264+High_Press!N194+Dom_Meters!N215+Dom_Meters!N469+Com_Meters!N215+Com_Meters!N504+Net_Reg!N236+Net_Reg!N490+Cust_Reg!N215+Cust_Reg!N490+CP_SCADA!N243+CP_SCADA!N546+Aug!N229+Aug!N511+Cust_Conn!N199+Cust_Conn!N456+Cust_Conn!N711+Cust_Conn!N966+New_Towns!N194+New_Towns!N449+New_Towns!N717+IT!N320+Other!N194</f>
        <v>6495387.0956881428</v>
      </c>
      <c r="O190" s="81">
        <f ca="1">Low_Press!O271+AdHoc!O215+AdHoc!O490+AdHoc!O765+Medium_Press!O264+High_Press!O194+Dom_Meters!O215+Dom_Meters!O469+Com_Meters!O215+Com_Meters!O504+Net_Reg!O236+Net_Reg!O490+Cust_Reg!O215+Cust_Reg!O490+CP_SCADA!O243+CP_SCADA!O546+Aug!O229+Aug!O511+Cust_Conn!O199+Cust_Conn!O456+Cust_Conn!O711+Cust_Conn!O966+New_Towns!O194+New_Towns!O449+New_Towns!O717+IT!O320+Other!O194</f>
        <v>3247663.2930309507</v>
      </c>
      <c r="P190" s="81">
        <f ca="1">Low_Press!P271+AdHoc!P215+AdHoc!P490+AdHoc!P765+Medium_Press!P264+High_Press!P194+Dom_Meters!P215+Dom_Meters!P469+Com_Meters!P215+Com_Meters!P504+Net_Reg!P236+Net_Reg!P490+Cust_Reg!P215+Cust_Reg!P490+CP_SCADA!P243+CP_SCADA!P546+Aug!P229+Aug!P511+Cust_Conn!P199+Cust_Conn!P456+Cust_Conn!P711+Cust_Conn!P966+New_Towns!P194+New_Towns!P449+New_Towns!P717+IT!P320+Other!P194</f>
        <v>15082408.401202435</v>
      </c>
      <c r="Q190" s="81">
        <f ca="1">Low_Press!Q271+AdHoc!Q215+AdHoc!Q490+AdHoc!Q765+Medium_Press!Q264+High_Press!Q194+Dom_Meters!Q215+Dom_Meters!Q469+Com_Meters!Q215+Com_Meters!Q504+Net_Reg!Q236+Net_Reg!Q490+Cust_Reg!Q215+Cust_Reg!Q490+CP_SCADA!Q243+CP_SCADA!Q546+Aug!Q229+Aug!Q511+Cust_Conn!Q199+Cust_Conn!Q456+Cust_Conn!Q711+Cust_Conn!Q966+New_Towns!Q194+New_Towns!Q449+New_Towns!Q717+IT!Q320+Other!Q194</f>
        <v>17366613.343854845</v>
      </c>
      <c r="R190" s="81">
        <f ca="1">Low_Press!R271+AdHoc!R215+AdHoc!R490+AdHoc!R765+Medium_Press!R264+High_Press!R194+Dom_Meters!R215+Dom_Meters!R469+Com_Meters!R215+Com_Meters!R504+Net_Reg!R236+Net_Reg!R490+Cust_Reg!R215+Cust_Reg!R490+CP_SCADA!R243+CP_SCADA!R546+Aug!R229+Aug!R511+Cust_Conn!R199+Cust_Conn!R456+Cust_Conn!R711+Cust_Conn!R966+New_Towns!R194+New_Towns!R449+New_Towns!R717+IT!R320+Other!R194</f>
        <v>18857623.260877103</v>
      </c>
      <c r="S190" s="81">
        <f ca="1">Low_Press!S271+AdHoc!S215+AdHoc!S490+AdHoc!S765+Medium_Press!S264+High_Press!S194+Dom_Meters!S215+Dom_Meters!S469+Com_Meters!S215+Com_Meters!S504+Net_Reg!S236+Net_Reg!S490+Cust_Reg!S215+Cust_Reg!S490+CP_SCADA!S243+CP_SCADA!S546+Aug!S229+Aug!S511+Cust_Conn!S199+Cust_Conn!S456+Cust_Conn!S711+Cust_Conn!S966+New_Towns!S194+New_Towns!S449+New_Towns!S717+IT!S320+Other!S194</f>
        <v>9269970.7666352876</v>
      </c>
      <c r="T190" s="81">
        <f ca="1">Low_Press!T271+AdHoc!T215+AdHoc!T490+AdHoc!T765+Medium_Press!T264+High_Press!T194+Dom_Meters!T215+Dom_Meters!T469+Com_Meters!T215+Com_Meters!T504+Net_Reg!T236+Net_Reg!T490+Cust_Reg!T215+Cust_Reg!T490+CP_SCADA!T243+CP_SCADA!T546+Aug!T229+Aug!T511+Cust_Conn!T199+Cust_Conn!T456+Cust_Conn!T711+Cust_Conn!T966+New_Towns!T194+New_Towns!T449+New_Towns!T717+IT!T320+Other!T194</f>
        <v>6791539.6838447517</v>
      </c>
    </row>
    <row r="191" spans="3:20" s="41" customFormat="1" outlineLevel="1">
      <c r="F191" s="247" t="str">
        <f>GC!C67</f>
        <v>SCADA</v>
      </c>
      <c r="G191" s="247"/>
      <c r="H191" s="247"/>
      <c r="I191" s="247"/>
      <c r="J191" s="81">
        <f ca="1">Low_Press!J272+AdHoc!J216+AdHoc!J491+AdHoc!J766+Medium_Press!J265+High_Press!J195+Dom_Meters!J216+Dom_Meters!J470+Com_Meters!J216+Com_Meters!J505+Net_Reg!J237+Net_Reg!J491+Cust_Reg!J216+Cust_Reg!J491+CP_SCADA!J244+CP_SCADA!J547+Aug!J230+Aug!J512+Cust_Conn!J200+Cust_Conn!J457+Cust_Conn!J712+Cust_Conn!J967+New_Towns!J195+New_Towns!J450+New_Towns!J718+IT!J321+Other!J195</f>
        <v>0</v>
      </c>
      <c r="K191" s="81">
        <f ca="1">Low_Press!K272+AdHoc!K216+AdHoc!K491+AdHoc!K766+Medium_Press!K265+High_Press!K195+Dom_Meters!K216+Dom_Meters!K470+Com_Meters!K216+Com_Meters!K505+Net_Reg!K237+Net_Reg!K491+Cust_Reg!K216+Cust_Reg!K491+CP_SCADA!K244+CP_SCADA!K547+Aug!K230+Aug!K512+Cust_Conn!K200+Cust_Conn!K457+Cust_Conn!K712+Cust_Conn!K967+New_Towns!K195+New_Towns!K450+New_Towns!K718+IT!K321+Other!K195</f>
        <v>0</v>
      </c>
      <c r="L191" s="81">
        <f ca="1">Low_Press!L272+AdHoc!L216+AdHoc!L491+AdHoc!L766+Medium_Press!L265+High_Press!L195+Dom_Meters!L216+Dom_Meters!L470+Com_Meters!L216+Com_Meters!L505+Net_Reg!L237+Net_Reg!L491+Cust_Reg!L216+Cust_Reg!L491+CP_SCADA!L244+CP_SCADA!L547+Aug!L230+Aug!L512+Cust_Conn!L200+Cust_Conn!L457+Cust_Conn!L712+Cust_Conn!L967+New_Towns!L195+New_Towns!L450+New_Towns!L718+IT!L321+Other!L195</f>
        <v>0</v>
      </c>
      <c r="M191" s="81">
        <f ca="1">Low_Press!M272+AdHoc!M216+AdHoc!M491+AdHoc!M766+Medium_Press!M265+High_Press!M195+Dom_Meters!M216+Dom_Meters!M470+Com_Meters!M216+Com_Meters!M505+Net_Reg!M237+Net_Reg!M491+Cust_Reg!M216+Cust_Reg!M491+CP_SCADA!M244+CP_SCADA!M547+Aug!M230+Aug!M512+Cust_Conn!M200+Cust_Conn!M457+Cust_Conn!M712+Cust_Conn!M967+New_Towns!M195+New_Towns!M450+New_Towns!M718+IT!M321+Other!M195</f>
        <v>0</v>
      </c>
      <c r="N191" s="81">
        <f ca="1">Low_Press!N272+AdHoc!N216+AdHoc!N491+AdHoc!N766+Medium_Press!N265+High_Press!N195+Dom_Meters!N216+Dom_Meters!N470+Com_Meters!N216+Com_Meters!N505+Net_Reg!N237+Net_Reg!N491+Cust_Reg!N216+Cust_Reg!N491+CP_SCADA!N244+CP_SCADA!N547+Aug!N230+Aug!N512+Cust_Conn!N200+Cust_Conn!N457+Cust_Conn!N712+Cust_Conn!N967+New_Towns!N195+New_Towns!N450+New_Towns!N718+IT!N321+Other!N195</f>
        <v>1261735.9153766781</v>
      </c>
      <c r="O191" s="81">
        <f ca="1">Low_Press!O272+AdHoc!O216+AdHoc!O491+AdHoc!O766+Medium_Press!O265+High_Press!O195+Dom_Meters!O216+Dom_Meters!O470+Com_Meters!O216+Com_Meters!O505+Net_Reg!O237+Net_Reg!O491+Cust_Reg!O216+Cust_Reg!O491+CP_SCADA!O244+CP_SCADA!O547+Aug!O230+Aug!O512+Cust_Conn!O200+Cust_Conn!O457+Cust_Conn!O712+Cust_Conn!O967+New_Towns!O195+New_Towns!O450+New_Towns!O718+IT!O321+Other!O195</f>
        <v>140021.82287900295</v>
      </c>
      <c r="P191" s="81">
        <f ca="1">Low_Press!P272+AdHoc!P216+AdHoc!P491+AdHoc!P766+Medium_Press!P265+High_Press!P195+Dom_Meters!P216+Dom_Meters!P470+Com_Meters!P216+Com_Meters!P505+Net_Reg!P237+Net_Reg!P491+Cust_Reg!P216+Cust_Reg!P491+CP_SCADA!P244+CP_SCADA!P547+Aug!P230+Aug!P512+Cust_Conn!P200+Cust_Conn!P457+Cust_Conn!P712+Cust_Conn!P967+New_Towns!P195+New_Towns!P450+New_Towns!P718+IT!P321+Other!P195</f>
        <v>1155354.4755339709</v>
      </c>
      <c r="Q191" s="81">
        <f ca="1">Low_Press!Q272+AdHoc!Q216+AdHoc!Q491+AdHoc!Q766+Medium_Press!Q265+High_Press!Q195+Dom_Meters!Q216+Dom_Meters!Q470+Com_Meters!Q216+Com_Meters!Q505+Net_Reg!Q237+Net_Reg!Q491+Cust_Reg!Q216+Cust_Reg!Q491+CP_SCADA!Q244+CP_SCADA!Q547+Aug!Q230+Aug!Q512+Cust_Conn!Q200+Cust_Conn!Q457+Cust_Conn!Q712+Cust_Conn!Q967+New_Towns!Q195+New_Towns!Q450+New_Towns!Q718+IT!Q321+Other!Q195</f>
        <v>1105600.2565754629</v>
      </c>
      <c r="R191" s="81">
        <f ca="1">Low_Press!R272+AdHoc!R216+AdHoc!R491+AdHoc!R766+Medium_Press!R265+High_Press!R195+Dom_Meters!R216+Dom_Meters!R470+Com_Meters!R216+Com_Meters!R505+Net_Reg!R237+Net_Reg!R491+Cust_Reg!R216+Cust_Reg!R491+CP_SCADA!R244+CP_SCADA!R547+Aug!R230+Aug!R512+Cust_Conn!R200+Cust_Conn!R457+Cust_Conn!R712+Cust_Conn!R967+New_Towns!R195+New_Towns!R450+New_Towns!R718+IT!R321+Other!R195</f>
        <v>255224.26027521645</v>
      </c>
      <c r="S191" s="81">
        <f ca="1">Low_Press!S272+AdHoc!S216+AdHoc!S491+AdHoc!S766+Medium_Press!S265+High_Press!S195+Dom_Meters!S216+Dom_Meters!S470+Com_Meters!S216+Com_Meters!S505+Net_Reg!S237+Net_Reg!S491+Cust_Reg!S216+Cust_Reg!S491+CP_SCADA!S244+CP_SCADA!S547+Aug!S230+Aug!S512+Cust_Conn!S200+Cust_Conn!S457+Cust_Conn!S712+Cust_Conn!S967+New_Towns!S195+New_Towns!S450+New_Towns!S718+IT!S321+Other!S195</f>
        <v>232783.50745597249</v>
      </c>
      <c r="T191" s="81">
        <f ca="1">Low_Press!T272+AdHoc!T216+AdHoc!T491+AdHoc!T766+Medium_Press!T265+High_Press!T195+Dom_Meters!T216+Dom_Meters!T470+Com_Meters!T216+Com_Meters!T505+Net_Reg!T237+Net_Reg!T491+Cust_Reg!T216+Cust_Reg!T491+CP_SCADA!T244+CP_SCADA!T547+Aug!T230+Aug!T512+Cust_Conn!T200+Cust_Conn!T457+Cust_Conn!T712+Cust_Conn!T967+New_Towns!T195+New_Towns!T450+New_Towns!T718+IT!T321+Other!T195</f>
        <v>255398.58129712642</v>
      </c>
    </row>
    <row r="192" spans="3:20" s="41" customFormat="1" outlineLevel="1">
      <c r="F192" s="247" t="str">
        <f>GC!C68</f>
        <v>Other</v>
      </c>
      <c r="G192" s="247"/>
      <c r="H192" s="247"/>
      <c r="I192" s="247"/>
      <c r="J192" s="81">
        <f ca="1">Low_Press!J273+AdHoc!J217+AdHoc!J492+AdHoc!J767+Medium_Press!J266+High_Press!J196+Dom_Meters!J217+Dom_Meters!J471+Com_Meters!J217+Com_Meters!J506+Net_Reg!J238+Net_Reg!J492+Cust_Reg!J217+Cust_Reg!J492+CP_SCADA!J245+CP_SCADA!J548+Aug!J231+Aug!J513+Cust_Conn!J201+Cust_Conn!J458+Cust_Conn!J713+Cust_Conn!J968+New_Towns!J196+New_Towns!J451+New_Towns!J719+IT!J322+Other!J196</f>
        <v>0</v>
      </c>
      <c r="K192" s="81">
        <f ca="1">Low_Press!K273+AdHoc!K217+AdHoc!K492+AdHoc!K767+Medium_Press!K266+High_Press!K196+Dom_Meters!K217+Dom_Meters!K471+Com_Meters!K217+Com_Meters!K506+Net_Reg!K238+Net_Reg!K492+Cust_Reg!K217+Cust_Reg!K492+CP_SCADA!K245+CP_SCADA!K548+Aug!K231+Aug!K513+Cust_Conn!K201+Cust_Conn!K458+Cust_Conn!K713+Cust_Conn!K968+New_Towns!K196+New_Towns!K451+New_Towns!K719+IT!K322+Other!K196</f>
        <v>0</v>
      </c>
      <c r="L192" s="81">
        <f ca="1">Low_Press!L273+AdHoc!L217+AdHoc!L492+AdHoc!L767+Medium_Press!L266+High_Press!L196+Dom_Meters!L217+Dom_Meters!L471+Com_Meters!L217+Com_Meters!L506+Net_Reg!L238+Net_Reg!L492+Cust_Reg!L217+Cust_Reg!L492+CP_SCADA!L245+CP_SCADA!L548+Aug!L231+Aug!L513+Cust_Conn!L201+Cust_Conn!L458+Cust_Conn!L713+Cust_Conn!L968+New_Towns!L196+New_Towns!L451+New_Towns!L719+IT!L322+Other!L196</f>
        <v>0</v>
      </c>
      <c r="M192" s="81">
        <f ca="1">Low_Press!M273+AdHoc!M217+AdHoc!M492+AdHoc!M767+Medium_Press!M266+High_Press!M196+Dom_Meters!M217+Dom_Meters!M471+Com_Meters!M217+Com_Meters!M506+Net_Reg!M238+Net_Reg!M492+Cust_Reg!M217+Cust_Reg!M492+CP_SCADA!M245+CP_SCADA!M548+Aug!M231+Aug!M513+Cust_Conn!M201+Cust_Conn!M458+Cust_Conn!M713+Cust_Conn!M968+New_Towns!M196+New_Towns!M451+New_Towns!M719+IT!M322+Other!M196</f>
        <v>0</v>
      </c>
      <c r="N192" s="81">
        <f ca="1">Low_Press!N273+AdHoc!N217+AdHoc!N492+AdHoc!N767+Medium_Press!N266+High_Press!N196+Dom_Meters!N217+Dom_Meters!N471+Com_Meters!N217+Com_Meters!N506+Net_Reg!N238+Net_Reg!N492+Cust_Reg!N217+Cust_Reg!N492+CP_SCADA!N245+CP_SCADA!N548+Aug!N231+Aug!N513+Cust_Conn!N201+Cust_Conn!N458+Cust_Conn!N713+Cust_Conn!N968+New_Towns!N196+New_Towns!N451+New_Towns!N719+IT!N322+Other!N196</f>
        <v>10347552.558198472</v>
      </c>
      <c r="O192" s="81">
        <f ca="1">Low_Press!O273+AdHoc!O217+AdHoc!O492+AdHoc!O767+Medium_Press!O266+High_Press!O196+Dom_Meters!O217+Dom_Meters!O471+Com_Meters!O217+Com_Meters!O506+Net_Reg!O238+Net_Reg!O492+Cust_Reg!O217+Cust_Reg!O492+CP_SCADA!O245+CP_SCADA!O548+Aug!O231+Aug!O513+Cust_Conn!O201+Cust_Conn!O458+Cust_Conn!O713+Cust_Conn!O968+New_Towns!O196+New_Towns!O451+New_Towns!O719+IT!O322+Other!O196</f>
        <v>4458564.7038335698</v>
      </c>
      <c r="P192" s="81">
        <f ca="1">Low_Press!P273+AdHoc!P217+AdHoc!P492+AdHoc!P767+Medium_Press!P266+High_Press!P196+Dom_Meters!P217+Dom_Meters!P471+Com_Meters!P217+Com_Meters!P506+Net_Reg!P238+Net_Reg!P492+Cust_Reg!P217+Cust_Reg!P492+CP_SCADA!P245+CP_SCADA!P548+Aug!P231+Aug!P513+Cust_Conn!P201+Cust_Conn!P458+Cust_Conn!P713+Cust_Conn!P968+New_Towns!P196+New_Towns!P451+New_Towns!P719+IT!P322+Other!P196</f>
        <v>10630716.861021627</v>
      </c>
      <c r="Q192" s="81">
        <f ca="1">Low_Press!Q273+AdHoc!Q217+AdHoc!Q492+AdHoc!Q767+Medium_Press!Q266+High_Press!Q196+Dom_Meters!Q217+Dom_Meters!Q471+Com_Meters!Q217+Com_Meters!Q506+Net_Reg!Q238+Net_Reg!Q492+Cust_Reg!Q217+Cust_Reg!Q492+CP_SCADA!Q245+CP_SCADA!Q548+Aug!Q231+Aug!Q513+Cust_Conn!Q201+Cust_Conn!Q458+Cust_Conn!Q713+Cust_Conn!Q968+New_Towns!Q196+New_Towns!Q451+New_Towns!Q719+IT!Q322+Other!Q196</f>
        <v>11298161.404232049</v>
      </c>
      <c r="R192" s="81">
        <f ca="1">Low_Press!R273+AdHoc!R217+AdHoc!R492+AdHoc!R767+Medium_Press!R266+High_Press!R196+Dom_Meters!R217+Dom_Meters!R471+Com_Meters!R217+Com_Meters!R506+Net_Reg!R238+Net_Reg!R492+Cust_Reg!R217+Cust_Reg!R492+CP_SCADA!R245+CP_SCADA!R548+Aug!R231+Aug!R513+Cust_Conn!R201+Cust_Conn!R458+Cust_Conn!R713+Cust_Conn!R968+New_Towns!R196+New_Towns!R451+New_Towns!R719+IT!R322+Other!R196</f>
        <v>11676881.209615042</v>
      </c>
      <c r="S192" s="81">
        <f ca="1">Low_Press!S273+AdHoc!S217+AdHoc!S492+AdHoc!S767+Medium_Press!S266+High_Press!S196+Dom_Meters!S217+Dom_Meters!S471+Com_Meters!S217+Com_Meters!S506+Net_Reg!S238+Net_Reg!S492+Cust_Reg!S217+Cust_Reg!S492+CP_SCADA!S245+CP_SCADA!S548+Aug!S231+Aug!S513+Cust_Conn!S201+Cust_Conn!S458+Cust_Conn!S713+Cust_Conn!S968+New_Towns!S196+New_Towns!S451+New_Towns!S719+IT!S322+Other!S196</f>
        <v>9848660.8211107794</v>
      </c>
      <c r="T192" s="81">
        <f ca="1">Low_Press!T273+AdHoc!T217+AdHoc!T492+AdHoc!T767+Medium_Press!T266+High_Press!T196+Dom_Meters!T217+Dom_Meters!T471+Com_Meters!T217+Com_Meters!T506+Net_Reg!T238+Net_Reg!T492+Cust_Reg!T217+Cust_Reg!T492+CP_SCADA!T245+CP_SCADA!T548+Aug!T231+Aug!T513+Cust_Conn!T201+Cust_Conn!T458+Cust_Conn!T713+Cust_Conn!T968+New_Towns!T196+New_Towns!T451+New_Towns!T719+IT!T322+Other!T196</f>
        <v>9341879.7089793775</v>
      </c>
    </row>
    <row r="193" spans="5:20" outlineLevel="1">
      <c r="F193" s="247" t="str">
        <f>GC!C69</f>
        <v>Capitalised Leases</v>
      </c>
      <c r="G193" s="247"/>
      <c r="H193" s="247"/>
      <c r="I193" s="247"/>
      <c r="J193" s="81">
        <f ca="1">Low_Press!J274+AdHoc!J218+AdHoc!J493+AdHoc!J768+Medium_Press!J267+High_Press!J197+Dom_Meters!J218+Dom_Meters!J472+Com_Meters!J218+Com_Meters!J507+Net_Reg!J239+Net_Reg!J493+Cust_Reg!J218+Cust_Reg!J493+CP_SCADA!J246+CP_SCADA!J549+Aug!J232+Aug!J514+Cust_Conn!J202+Cust_Conn!J459+Cust_Conn!J714+Cust_Conn!J969+New_Towns!J197+New_Towns!J452+New_Towns!J720+IT!J323+Other!J197</f>
        <v>0</v>
      </c>
      <c r="K193" s="81">
        <f ca="1">Low_Press!K274+AdHoc!K218+AdHoc!K493+AdHoc!K768+Medium_Press!K267+High_Press!K197+Dom_Meters!K218+Dom_Meters!K472+Com_Meters!K218+Com_Meters!K507+Net_Reg!K239+Net_Reg!K493+Cust_Reg!K218+Cust_Reg!K493+CP_SCADA!K246+CP_SCADA!K549+Aug!K232+Aug!K514+Cust_Conn!K202+Cust_Conn!K459+Cust_Conn!K714+Cust_Conn!K969+New_Towns!K197+New_Towns!K452+New_Towns!K720+IT!K323+Other!K197</f>
        <v>0</v>
      </c>
      <c r="L193" s="81">
        <f ca="1">Low_Press!L274+AdHoc!L218+AdHoc!L493+AdHoc!L768+Medium_Press!L267+High_Press!L197+Dom_Meters!L218+Dom_Meters!L472+Com_Meters!L218+Com_Meters!L507+Net_Reg!L239+Net_Reg!L493+Cust_Reg!L218+Cust_Reg!L493+CP_SCADA!L246+CP_SCADA!L549+Aug!L232+Aug!L514+Cust_Conn!L202+Cust_Conn!L459+Cust_Conn!L714+Cust_Conn!L969+New_Towns!L197+New_Towns!L452+New_Towns!L720+IT!L323+Other!L197</f>
        <v>0</v>
      </c>
      <c r="M193" s="81">
        <f ca="1">Low_Press!M274+AdHoc!M218+AdHoc!M493+AdHoc!M768+Medium_Press!M267+High_Press!M197+Dom_Meters!M218+Dom_Meters!M472+Com_Meters!M218+Com_Meters!M507+Net_Reg!M239+Net_Reg!M493+Cust_Reg!M218+Cust_Reg!M493+CP_SCADA!M246+CP_SCADA!M549+Aug!M232+Aug!M514+Cust_Conn!M202+Cust_Conn!M459+Cust_Conn!M714+Cust_Conn!M969+New_Towns!M197+New_Towns!M452+New_Towns!M720+IT!M323+Other!M197</f>
        <v>0</v>
      </c>
      <c r="N193" s="81">
        <f ca="1">Low_Press!N274+AdHoc!N218+AdHoc!N493+AdHoc!N768+Medium_Press!N267+High_Press!N197+Dom_Meters!N218+Dom_Meters!N472+Com_Meters!N218+Com_Meters!N507+Net_Reg!N239+Net_Reg!N493+Cust_Reg!N218+Cust_Reg!N493+CP_SCADA!N246+CP_SCADA!N549+Aug!N232+Aug!N514+Cust_Conn!N202+Cust_Conn!N459+Cust_Conn!N714+Cust_Conn!N969+New_Towns!N197+New_Towns!N452+New_Towns!N720+IT!N323+Other!N197</f>
        <v>0</v>
      </c>
      <c r="O193" s="81">
        <f ca="1">Low_Press!O274+AdHoc!O218+AdHoc!O493+AdHoc!O768+Medium_Press!O267+High_Press!O197+Dom_Meters!O218+Dom_Meters!O472+Com_Meters!O218+Com_Meters!O507+Net_Reg!O239+Net_Reg!O493+Cust_Reg!O218+Cust_Reg!O493+CP_SCADA!O246+CP_SCADA!O549+Aug!O232+Aug!O514+Cust_Conn!O202+Cust_Conn!O459+Cust_Conn!O714+Cust_Conn!O969+New_Towns!O197+New_Towns!O452+New_Towns!O720+IT!O323+Other!O197</f>
        <v>0</v>
      </c>
      <c r="P193" s="81">
        <f ca="1">Low_Press!P274+AdHoc!P218+AdHoc!P493+AdHoc!P768+Medium_Press!P267+High_Press!P197+Dom_Meters!P218+Dom_Meters!P472+Com_Meters!P218+Com_Meters!P507+Net_Reg!P239+Net_Reg!P493+Cust_Reg!P218+Cust_Reg!P493+CP_SCADA!P246+CP_SCADA!P549+Aug!P232+Aug!P514+Cust_Conn!P202+Cust_Conn!P459+Cust_Conn!P714+Cust_Conn!P969+New_Towns!P197+New_Towns!P452+New_Towns!P720+IT!P323+Other!P197</f>
        <v>0</v>
      </c>
      <c r="Q193" s="81">
        <f ca="1">Low_Press!Q274+AdHoc!Q218+AdHoc!Q493+AdHoc!Q768+Medium_Press!Q267+High_Press!Q197+Dom_Meters!Q218+Dom_Meters!Q472+Com_Meters!Q218+Com_Meters!Q507+Net_Reg!Q239+Net_Reg!Q493+Cust_Reg!Q218+Cust_Reg!Q493+CP_SCADA!Q246+CP_SCADA!Q549+Aug!Q232+Aug!Q514+Cust_Conn!Q202+Cust_Conn!Q459+Cust_Conn!Q714+Cust_Conn!Q969+New_Towns!Q197+New_Towns!Q452+New_Towns!Q720+IT!Q323+Other!Q197</f>
        <v>0</v>
      </c>
      <c r="R193" s="81">
        <f ca="1">Low_Press!R274+AdHoc!R218+AdHoc!R493+AdHoc!R768+Medium_Press!R267+High_Press!R197+Dom_Meters!R218+Dom_Meters!R472+Com_Meters!R218+Com_Meters!R507+Net_Reg!R239+Net_Reg!R493+Cust_Reg!R218+Cust_Reg!R493+CP_SCADA!R246+CP_SCADA!R549+Aug!R232+Aug!R514+Cust_Conn!R202+Cust_Conn!R459+Cust_Conn!R714+Cust_Conn!R969+New_Towns!R197+New_Towns!R452+New_Towns!R720+IT!R323+Other!R197</f>
        <v>0</v>
      </c>
      <c r="S193" s="81">
        <f ca="1">Low_Press!S274+AdHoc!S218+AdHoc!S493+AdHoc!S768+Medium_Press!S267+High_Press!S197+Dom_Meters!S218+Dom_Meters!S472+Com_Meters!S218+Com_Meters!S507+Net_Reg!S239+Net_Reg!S493+Cust_Reg!S218+Cust_Reg!S493+CP_SCADA!S246+CP_SCADA!S549+Aug!S232+Aug!S514+Cust_Conn!S202+Cust_Conn!S459+Cust_Conn!S714+Cust_Conn!S969+New_Towns!S197+New_Towns!S452+New_Towns!S720+IT!S323+Other!S197</f>
        <v>0</v>
      </c>
      <c r="T193" s="81">
        <f ca="1">Low_Press!T274+AdHoc!T218+AdHoc!T493+AdHoc!T768+Medium_Press!T267+High_Press!T197+Dom_Meters!T218+Dom_Meters!T472+Com_Meters!T218+Com_Meters!T507+Net_Reg!T239+Net_Reg!T493+Cust_Reg!T218+Cust_Reg!T493+CP_SCADA!T246+CP_SCADA!T549+Aug!T232+Aug!T514+Cust_Conn!T202+Cust_Conn!T459+Cust_Conn!T714+Cust_Conn!T969+New_Towns!T197+New_Towns!T452+New_Towns!T720+IT!T323+Other!T197</f>
        <v>0</v>
      </c>
    </row>
    <row r="194" spans="5:20" s="41" customFormat="1" outlineLevel="1">
      <c r="F194" s="247" t="str">
        <f>GC!C70</f>
        <v>Gas Extensions - Energy for the Regions</v>
      </c>
      <c r="G194" s="247"/>
      <c r="H194" s="247"/>
      <c r="I194" s="247"/>
      <c r="J194" s="81">
        <f ca="1">Low_Press!J275+AdHoc!J219+AdHoc!J494+AdHoc!J769+Medium_Press!J268+High_Press!J198+Dom_Meters!J219+Dom_Meters!J473+Com_Meters!J219+Com_Meters!J508+Net_Reg!J240+Net_Reg!J494+Cust_Reg!J219+Cust_Reg!J494+CP_SCADA!J247+CP_SCADA!J550+Aug!J233+Aug!J515+Cust_Conn!J203+Cust_Conn!J460+Cust_Conn!J715+Cust_Conn!J970+New_Towns!J198+New_Towns!J453+New_Towns!J721+IT!J324+Other!J198</f>
        <v>0</v>
      </c>
      <c r="K194" s="81">
        <f ca="1">Low_Press!K275+AdHoc!K219+AdHoc!K494+AdHoc!K769+Medium_Press!K268+High_Press!K198+Dom_Meters!K219+Dom_Meters!K473+Com_Meters!K219+Com_Meters!K508+Net_Reg!K240+Net_Reg!K494+Cust_Reg!K219+Cust_Reg!K494+CP_SCADA!K247+CP_SCADA!K550+Aug!K233+Aug!K515+Cust_Conn!K203+Cust_Conn!K460+Cust_Conn!K715+Cust_Conn!K970+New_Towns!K198+New_Towns!K453+New_Towns!K721+IT!K324+Other!K198</f>
        <v>0</v>
      </c>
      <c r="L194" s="81">
        <f ca="1">Low_Press!L275+AdHoc!L219+AdHoc!L494+AdHoc!L769+Medium_Press!L268+High_Press!L198+Dom_Meters!L219+Dom_Meters!L473+Com_Meters!L219+Com_Meters!L508+Net_Reg!L240+Net_Reg!L494+Cust_Reg!L219+Cust_Reg!L494+CP_SCADA!L247+CP_SCADA!L550+Aug!L233+Aug!L515+Cust_Conn!L203+Cust_Conn!L460+Cust_Conn!L715+Cust_Conn!L970+New_Towns!L198+New_Towns!L453+New_Towns!L721+IT!L324+Other!L198</f>
        <v>0</v>
      </c>
      <c r="M194" s="81">
        <f ca="1">Low_Press!M275+AdHoc!M219+AdHoc!M494+AdHoc!M769+Medium_Press!M268+High_Press!M198+Dom_Meters!M219+Dom_Meters!M473+Com_Meters!M219+Com_Meters!M508+Net_Reg!M240+Net_Reg!M494+Cust_Reg!M219+Cust_Reg!M494+CP_SCADA!M247+CP_SCADA!M550+Aug!M233+Aug!M515+Cust_Conn!M203+Cust_Conn!M460+Cust_Conn!M715+Cust_Conn!M970+New_Towns!M198+New_Towns!M453+New_Towns!M721+IT!M324+Other!M198</f>
        <v>0</v>
      </c>
      <c r="N194" s="81">
        <f ca="1">Low_Press!N275+AdHoc!N219+AdHoc!N494+AdHoc!N769+Medium_Press!N268+High_Press!N198+Dom_Meters!N219+Dom_Meters!N473+Com_Meters!N219+Com_Meters!N508+Net_Reg!N240+Net_Reg!N494+Cust_Reg!N219+Cust_Reg!N494+CP_SCADA!N247+CP_SCADA!N550+Aug!N233+Aug!N515+Cust_Conn!N203+Cust_Conn!N460+Cust_Conn!N715+Cust_Conn!N970+New_Towns!N198+New_Towns!N453+New_Towns!N721+IT!N324+Other!N198</f>
        <v>0</v>
      </c>
      <c r="O194" s="81">
        <f ca="1">Low_Press!O275+AdHoc!O219+AdHoc!O494+AdHoc!O769+Medium_Press!O268+High_Press!O198+Dom_Meters!O219+Dom_Meters!O473+Com_Meters!O219+Com_Meters!O508+Net_Reg!O240+Net_Reg!O494+Cust_Reg!O219+Cust_Reg!O494+CP_SCADA!O247+CP_SCADA!O550+Aug!O233+Aug!O515+Cust_Conn!O203+Cust_Conn!O460+Cust_Conn!O715+Cust_Conn!O970+New_Towns!O198+New_Towns!O453+New_Towns!O721+IT!O324+Other!O198</f>
        <v>0</v>
      </c>
      <c r="P194" s="81">
        <f ca="1">Low_Press!P275+AdHoc!P219+AdHoc!P494+AdHoc!P769+Medium_Press!P268+High_Press!P198+Dom_Meters!P219+Dom_Meters!P473+Com_Meters!P219+Com_Meters!P508+Net_Reg!P240+Net_Reg!P494+Cust_Reg!P219+Cust_Reg!P494+CP_SCADA!P247+CP_SCADA!P550+Aug!P233+Aug!P515+Cust_Conn!P203+Cust_Conn!P460+Cust_Conn!P715+Cust_Conn!P970+New_Towns!P198+New_Towns!P453+New_Towns!P721+IT!P324+Other!P198</f>
        <v>0</v>
      </c>
      <c r="Q194" s="81">
        <f ca="1">Low_Press!Q275+AdHoc!Q219+AdHoc!Q494+AdHoc!Q769+Medium_Press!Q268+High_Press!Q198+Dom_Meters!Q219+Dom_Meters!Q473+Com_Meters!Q219+Com_Meters!Q508+Net_Reg!Q240+Net_Reg!Q494+Cust_Reg!Q219+Cust_Reg!Q494+CP_SCADA!Q247+CP_SCADA!Q550+Aug!Q233+Aug!Q515+Cust_Conn!Q203+Cust_Conn!Q460+Cust_Conn!Q715+Cust_Conn!Q970+New_Towns!Q198+New_Towns!Q453+New_Towns!Q721+IT!Q324+Other!Q198</f>
        <v>0</v>
      </c>
      <c r="R194" s="81">
        <f ca="1">Low_Press!R275+AdHoc!R219+AdHoc!R494+AdHoc!R769+Medium_Press!R268+High_Press!R198+Dom_Meters!R219+Dom_Meters!R473+Com_Meters!R219+Com_Meters!R508+Net_Reg!R240+Net_Reg!R494+Cust_Reg!R219+Cust_Reg!R494+CP_SCADA!R247+CP_SCADA!R550+Aug!R233+Aug!R515+Cust_Conn!R203+Cust_Conn!R460+Cust_Conn!R715+Cust_Conn!R970+New_Towns!R198+New_Towns!R453+New_Towns!R721+IT!R324+Other!R198</f>
        <v>0</v>
      </c>
      <c r="S194" s="81">
        <f ca="1">Low_Press!S275+AdHoc!S219+AdHoc!S494+AdHoc!S769+Medium_Press!S268+High_Press!S198+Dom_Meters!S219+Dom_Meters!S473+Com_Meters!S219+Com_Meters!S508+Net_Reg!S240+Net_Reg!S494+Cust_Reg!S219+Cust_Reg!S494+CP_SCADA!S247+CP_SCADA!S550+Aug!S233+Aug!S515+Cust_Conn!S203+Cust_Conn!S460+Cust_Conn!S715+Cust_Conn!S970+New_Towns!S198+New_Towns!S453+New_Towns!S721+IT!S324+Other!S198</f>
        <v>0</v>
      </c>
      <c r="T194" s="81">
        <f ca="1">Low_Press!T275+AdHoc!T219+AdHoc!T494+AdHoc!T769+Medium_Press!T268+High_Press!T198+Dom_Meters!T219+Dom_Meters!T473+Com_Meters!T219+Com_Meters!T508+Net_Reg!T240+Net_Reg!T494+Cust_Reg!T219+Cust_Reg!T494+CP_SCADA!T247+CP_SCADA!T550+Aug!T233+Aug!T515+Cust_Conn!T203+Cust_Conn!T460+Cust_Conn!T715+Cust_Conn!T970+New_Towns!T198+New_Towns!T453+New_Towns!T721+IT!T324+Other!T198</f>
        <v>0</v>
      </c>
    </row>
    <row r="195" spans="5:20" s="41" customFormat="1" outlineLevel="1">
      <c r="F195" s="247" t="str">
        <f>GC!C71</f>
        <v>Gas Extensions - Other</v>
      </c>
      <c r="G195" s="247"/>
      <c r="H195" s="247"/>
      <c r="I195" s="247"/>
      <c r="J195" s="81">
        <f ca="1">Low_Press!J276+AdHoc!J220+AdHoc!J495+AdHoc!J770+Medium_Press!J269+High_Press!J199+Dom_Meters!J220+Dom_Meters!J474+Com_Meters!J220+Com_Meters!J509+Net_Reg!J241+Net_Reg!J495+Cust_Reg!J220+Cust_Reg!J495+CP_SCADA!J248+CP_SCADA!J551+Aug!J234+Aug!J516+Cust_Conn!J204+Cust_Conn!J461+Cust_Conn!J716+Cust_Conn!J971+New_Towns!J199+New_Towns!J454+New_Towns!J722+IT!J325+Other!J199</f>
        <v>0</v>
      </c>
      <c r="K195" s="81">
        <f ca="1">Low_Press!K276+AdHoc!K220+AdHoc!K495+AdHoc!K770+Medium_Press!K269+High_Press!K199+Dom_Meters!K220+Dom_Meters!K474+Com_Meters!K220+Com_Meters!K509+Net_Reg!K241+Net_Reg!K495+Cust_Reg!K220+Cust_Reg!K495+CP_SCADA!K248+CP_SCADA!K551+Aug!K234+Aug!K516+Cust_Conn!K204+Cust_Conn!K461+Cust_Conn!K716+Cust_Conn!K971+New_Towns!K199+New_Towns!K454+New_Towns!K722+IT!K325+Other!K199</f>
        <v>0</v>
      </c>
      <c r="L195" s="81">
        <f ca="1">Low_Press!L276+AdHoc!L220+AdHoc!L495+AdHoc!L770+Medium_Press!L269+High_Press!L199+Dom_Meters!L220+Dom_Meters!L474+Com_Meters!L220+Com_Meters!L509+Net_Reg!L241+Net_Reg!L495+Cust_Reg!L220+Cust_Reg!L495+CP_SCADA!L248+CP_SCADA!L551+Aug!L234+Aug!L516+Cust_Conn!L204+Cust_Conn!L461+Cust_Conn!L716+Cust_Conn!L971+New_Towns!L199+New_Towns!L454+New_Towns!L722+IT!L325+Other!L199</f>
        <v>0</v>
      </c>
      <c r="M195" s="81">
        <f ca="1">Low_Press!M276+AdHoc!M220+AdHoc!M495+AdHoc!M770+Medium_Press!M269+High_Press!M199+Dom_Meters!M220+Dom_Meters!M474+Com_Meters!M220+Com_Meters!M509+Net_Reg!M241+Net_Reg!M495+Cust_Reg!M220+Cust_Reg!M495+CP_SCADA!M248+CP_SCADA!M551+Aug!M234+Aug!M516+Cust_Conn!M204+Cust_Conn!M461+Cust_Conn!M716+Cust_Conn!M971+New_Towns!M199+New_Towns!M454+New_Towns!M722+IT!M325+Other!M199</f>
        <v>0</v>
      </c>
      <c r="N195" s="81">
        <f ca="1">Low_Press!N276+AdHoc!N220+AdHoc!N495+AdHoc!N770+Medium_Press!N269+High_Press!N199+Dom_Meters!N220+Dom_Meters!N474+Com_Meters!N220+Com_Meters!N509+Net_Reg!N241+Net_Reg!N495+Cust_Reg!N220+Cust_Reg!N495+CP_SCADA!N248+CP_SCADA!N551+Aug!N234+Aug!N516+Cust_Conn!N204+Cust_Conn!N461+Cust_Conn!N716+Cust_Conn!N971+New_Towns!N199+New_Towns!N454+New_Towns!N722+IT!N325+Other!N199</f>
        <v>0</v>
      </c>
      <c r="O195" s="81">
        <f ca="1">Low_Press!O276+AdHoc!O220+AdHoc!O495+AdHoc!O770+Medium_Press!O269+High_Press!O199+Dom_Meters!O220+Dom_Meters!O474+Com_Meters!O220+Com_Meters!O509+Net_Reg!O241+Net_Reg!O495+Cust_Reg!O220+Cust_Reg!O495+CP_SCADA!O248+CP_SCADA!O551+Aug!O234+Aug!O516+Cust_Conn!O204+Cust_Conn!O461+Cust_Conn!O716+Cust_Conn!O971+New_Towns!O199+New_Towns!O454+New_Towns!O722+IT!O325+Other!O199</f>
        <v>0</v>
      </c>
      <c r="P195" s="81">
        <f ca="1">Low_Press!P276+AdHoc!P220+AdHoc!P495+AdHoc!P770+Medium_Press!P269+High_Press!P199+Dom_Meters!P220+Dom_Meters!P474+Com_Meters!P220+Com_Meters!P509+Net_Reg!P241+Net_Reg!P495+Cust_Reg!P220+Cust_Reg!P495+CP_SCADA!P248+CP_SCADA!P551+Aug!P234+Aug!P516+Cust_Conn!P204+Cust_Conn!P461+Cust_Conn!P716+Cust_Conn!P971+New_Towns!P199+New_Towns!P454+New_Towns!P722+IT!P325+Other!P199</f>
        <v>0</v>
      </c>
      <c r="Q195" s="81">
        <f ca="1">Low_Press!Q276+AdHoc!Q220+AdHoc!Q495+AdHoc!Q770+Medium_Press!Q269+High_Press!Q199+Dom_Meters!Q220+Dom_Meters!Q474+Com_Meters!Q220+Com_Meters!Q509+Net_Reg!Q241+Net_Reg!Q495+Cust_Reg!Q220+Cust_Reg!Q495+CP_SCADA!Q248+CP_SCADA!Q551+Aug!Q234+Aug!Q516+Cust_Conn!Q204+Cust_Conn!Q461+Cust_Conn!Q716+Cust_Conn!Q971+New_Towns!Q199+New_Towns!Q454+New_Towns!Q722+IT!Q325+Other!Q199</f>
        <v>0</v>
      </c>
      <c r="R195" s="81">
        <f ca="1">Low_Press!R276+AdHoc!R220+AdHoc!R495+AdHoc!R770+Medium_Press!R269+High_Press!R199+Dom_Meters!R220+Dom_Meters!R474+Com_Meters!R220+Com_Meters!R509+Net_Reg!R241+Net_Reg!R495+Cust_Reg!R220+Cust_Reg!R495+CP_SCADA!R248+CP_SCADA!R551+Aug!R234+Aug!R516+Cust_Conn!R204+Cust_Conn!R461+Cust_Conn!R716+Cust_Conn!R971+New_Towns!R199+New_Towns!R454+New_Towns!R722+IT!R325+Other!R199</f>
        <v>0</v>
      </c>
      <c r="S195" s="81">
        <f ca="1">Low_Press!S276+AdHoc!S220+AdHoc!S495+AdHoc!S770+Medium_Press!S269+High_Press!S199+Dom_Meters!S220+Dom_Meters!S474+Com_Meters!S220+Com_Meters!S509+Net_Reg!S241+Net_Reg!S495+Cust_Reg!S220+Cust_Reg!S495+CP_SCADA!S248+CP_SCADA!S551+Aug!S234+Aug!S516+Cust_Conn!S204+Cust_Conn!S461+Cust_Conn!S716+Cust_Conn!S971+New_Towns!S199+New_Towns!S454+New_Towns!S722+IT!S325+Other!S199</f>
        <v>0</v>
      </c>
      <c r="T195" s="81">
        <f ca="1">Low_Press!T276+AdHoc!T220+AdHoc!T495+AdHoc!T770+Medium_Press!T269+High_Press!T199+Dom_Meters!T220+Dom_Meters!T474+Com_Meters!T220+Com_Meters!T509+Net_Reg!T241+Net_Reg!T495+Cust_Reg!T220+Cust_Reg!T495+CP_SCADA!T248+CP_SCADA!T551+Aug!T234+Aug!T516+Cust_Conn!T204+Cust_Conn!T461+Cust_Conn!T716+Cust_Conn!T971+New_Towns!T199+New_Towns!T454+New_Towns!T722+IT!T325+Other!T199</f>
        <v>0</v>
      </c>
    </row>
    <row r="196" spans="5:20" s="41" customFormat="1" outlineLevel="1">
      <c r="F196" s="247" t="str">
        <f>GC!C72</f>
        <v>Customer contributions</v>
      </c>
      <c r="G196" s="247"/>
      <c r="H196" s="247"/>
      <c r="I196" s="247"/>
      <c r="J196" s="81">
        <f ca="1">Low_Press!J277+AdHoc!J221+AdHoc!J496+AdHoc!J771+Medium_Press!J270+High_Press!J200+Dom_Meters!J221+Dom_Meters!J475+Com_Meters!J221+Com_Meters!J510+Net_Reg!J242+Net_Reg!J496+Cust_Reg!J221+Cust_Reg!J496+CP_SCADA!J249+CP_SCADA!J552+Aug!J235+Aug!J517+Cust_Conn!J205+Cust_Conn!J462+Cust_Conn!J717+Cust_Conn!J972+New_Towns!J200+New_Towns!J455+New_Towns!J723+IT!J326+Other!J200</f>
        <v>0</v>
      </c>
      <c r="K196" s="81">
        <f ca="1">Low_Press!K277+AdHoc!K221+AdHoc!K496+AdHoc!K771+Medium_Press!K270+High_Press!K200+Dom_Meters!K221+Dom_Meters!K475+Com_Meters!K221+Com_Meters!K510+Net_Reg!K242+Net_Reg!K496+Cust_Reg!K221+Cust_Reg!K496+CP_SCADA!K249+CP_SCADA!K552+Aug!K235+Aug!K517+Cust_Conn!K205+Cust_Conn!K462+Cust_Conn!K717+Cust_Conn!K972+New_Towns!K200+New_Towns!K455+New_Towns!K723+IT!K326+Other!K200</f>
        <v>0</v>
      </c>
      <c r="L196" s="81">
        <f ca="1">Low_Press!L277+AdHoc!L221+AdHoc!L496+AdHoc!L771+Medium_Press!L270+High_Press!L200+Dom_Meters!L221+Dom_Meters!L475+Com_Meters!L221+Com_Meters!L510+Net_Reg!L242+Net_Reg!L496+Cust_Reg!L221+Cust_Reg!L496+CP_SCADA!L249+CP_SCADA!L552+Aug!L235+Aug!L517+Cust_Conn!L205+Cust_Conn!L462+Cust_Conn!L717+Cust_Conn!L972+New_Towns!L200+New_Towns!L455+New_Towns!L723+IT!L326+Other!L200</f>
        <v>0</v>
      </c>
      <c r="M196" s="81">
        <f ca="1">Low_Press!M277+AdHoc!M221+AdHoc!M496+AdHoc!M771+Medium_Press!M270+High_Press!M200+Dom_Meters!M221+Dom_Meters!M475+Com_Meters!M221+Com_Meters!M510+Net_Reg!M242+Net_Reg!M496+Cust_Reg!M221+Cust_Reg!M496+CP_SCADA!M249+CP_SCADA!M552+Aug!M235+Aug!M517+Cust_Conn!M205+Cust_Conn!M462+Cust_Conn!M717+Cust_Conn!M972+New_Towns!M200+New_Towns!M455+New_Towns!M723+IT!M326+Other!M200</f>
        <v>0</v>
      </c>
      <c r="N196" s="81">
        <f ca="1">Low_Press!N277+AdHoc!N221+AdHoc!N496+AdHoc!N771+Medium_Press!N270+High_Press!N200+Dom_Meters!N221+Dom_Meters!N475+Com_Meters!N221+Com_Meters!N510+Net_Reg!N242+Net_Reg!N496+Cust_Reg!N221+Cust_Reg!N496+CP_SCADA!N249+CP_SCADA!N552+Aug!N235+Aug!N517+Cust_Conn!N205+Cust_Conn!N462+Cust_Conn!N717+Cust_Conn!N972+New_Towns!N200+New_Towns!N455+New_Towns!N723+IT!N326+Other!N200</f>
        <v>0</v>
      </c>
      <c r="O196" s="81">
        <f ca="1">Low_Press!O277+AdHoc!O221+AdHoc!O496+AdHoc!O771+Medium_Press!O270+High_Press!O200+Dom_Meters!O221+Dom_Meters!O475+Com_Meters!O221+Com_Meters!O510+Net_Reg!O242+Net_Reg!O496+Cust_Reg!O221+Cust_Reg!O496+CP_SCADA!O249+CP_SCADA!O552+Aug!O235+Aug!O517+Cust_Conn!O205+Cust_Conn!O462+Cust_Conn!O717+Cust_Conn!O972+New_Towns!O200+New_Towns!O455+New_Towns!O723+IT!O326+Other!O200</f>
        <v>0</v>
      </c>
      <c r="P196" s="81">
        <f ca="1">Low_Press!P277+AdHoc!P221+AdHoc!P496+AdHoc!P771+Medium_Press!P270+High_Press!P200+Dom_Meters!P221+Dom_Meters!P475+Com_Meters!P221+Com_Meters!P510+Net_Reg!P242+Net_Reg!P496+Cust_Reg!P221+Cust_Reg!P496+CP_SCADA!P249+CP_SCADA!P552+Aug!P235+Aug!P517+Cust_Conn!P205+Cust_Conn!P462+Cust_Conn!P717+Cust_Conn!P972+New_Towns!P200+New_Towns!P455+New_Towns!P723+IT!P326+Other!P200</f>
        <v>0</v>
      </c>
      <c r="Q196" s="81">
        <f ca="1">Low_Press!Q277+AdHoc!Q221+AdHoc!Q496+AdHoc!Q771+Medium_Press!Q270+High_Press!Q200+Dom_Meters!Q221+Dom_Meters!Q475+Com_Meters!Q221+Com_Meters!Q510+Net_Reg!Q242+Net_Reg!Q496+Cust_Reg!Q221+Cust_Reg!Q496+CP_SCADA!Q249+CP_SCADA!Q552+Aug!Q235+Aug!Q517+Cust_Conn!Q205+Cust_Conn!Q462+Cust_Conn!Q717+Cust_Conn!Q972+New_Towns!Q200+New_Towns!Q455+New_Towns!Q723+IT!Q326+Other!Q200</f>
        <v>0</v>
      </c>
      <c r="R196" s="81">
        <f ca="1">Low_Press!R277+AdHoc!R221+AdHoc!R496+AdHoc!R771+Medium_Press!R270+High_Press!R200+Dom_Meters!R221+Dom_Meters!R475+Com_Meters!R221+Com_Meters!R510+Net_Reg!R242+Net_Reg!R496+Cust_Reg!R221+Cust_Reg!R496+CP_SCADA!R249+CP_SCADA!R552+Aug!R235+Aug!R517+Cust_Conn!R205+Cust_Conn!R462+Cust_Conn!R717+Cust_Conn!R972+New_Towns!R200+New_Towns!R455+New_Towns!R723+IT!R326+Other!R200</f>
        <v>0</v>
      </c>
      <c r="S196" s="81">
        <f ca="1">Low_Press!S277+AdHoc!S221+AdHoc!S496+AdHoc!S771+Medium_Press!S270+High_Press!S200+Dom_Meters!S221+Dom_Meters!S475+Com_Meters!S221+Com_Meters!S510+Net_Reg!S242+Net_Reg!S496+Cust_Reg!S221+Cust_Reg!S496+CP_SCADA!S249+CP_SCADA!S552+Aug!S235+Aug!S517+Cust_Conn!S205+Cust_Conn!S462+Cust_Conn!S717+Cust_Conn!S972+New_Towns!S200+New_Towns!S455+New_Towns!S723+IT!S326+Other!S200</f>
        <v>0</v>
      </c>
      <c r="T196" s="81">
        <f ca="1">Low_Press!T277+AdHoc!T221+AdHoc!T496+AdHoc!T771+Medium_Press!T270+High_Press!T200+Dom_Meters!T221+Dom_Meters!T475+Com_Meters!T221+Com_Meters!T510+Net_Reg!T242+Net_Reg!T496+Cust_Reg!T221+Cust_Reg!T496+CP_SCADA!T249+CP_SCADA!T552+Aug!T235+Aug!T517+Cust_Conn!T205+Cust_Conn!T462+Cust_Conn!T717+Cust_Conn!T972+New_Towns!T200+New_Towns!T455+New_Towns!T723+IT!T326+Other!T200</f>
        <v>0</v>
      </c>
    </row>
    <row r="197" spans="5:20" s="41" customFormat="1" outlineLevel="1">
      <c r="F197" s="247" t="str">
        <f>GC!C73</f>
        <v>Government contributions</v>
      </c>
      <c r="G197" s="247"/>
      <c r="H197" s="247"/>
      <c r="I197" s="247"/>
      <c r="J197" s="81">
        <f ca="1">Low_Press!J278+AdHoc!J222+AdHoc!J497+AdHoc!J772+Medium_Press!J271+High_Press!J201+Dom_Meters!J222+Dom_Meters!J476+Com_Meters!J222+Com_Meters!J511+Net_Reg!J243+Net_Reg!J497+Cust_Reg!J222+Cust_Reg!J497+CP_SCADA!J250+CP_SCADA!J553+Aug!J236+Aug!J518+Cust_Conn!J206+Cust_Conn!J463+Cust_Conn!J718+Cust_Conn!J973+New_Towns!J201+New_Towns!J456+New_Towns!J724+IT!J327+Other!J201</f>
        <v>0</v>
      </c>
      <c r="K197" s="81">
        <f ca="1">Low_Press!K278+AdHoc!K222+AdHoc!K497+AdHoc!K772+Medium_Press!K271+High_Press!K201+Dom_Meters!K222+Dom_Meters!K476+Com_Meters!K222+Com_Meters!K511+Net_Reg!K243+Net_Reg!K497+Cust_Reg!K222+Cust_Reg!K497+CP_SCADA!K250+CP_SCADA!K553+Aug!K236+Aug!K518+Cust_Conn!K206+Cust_Conn!K463+Cust_Conn!K718+Cust_Conn!K973+New_Towns!K201+New_Towns!K456+New_Towns!K724+IT!K327+Other!K201</f>
        <v>0</v>
      </c>
      <c r="L197" s="81">
        <f ca="1">Low_Press!L278+AdHoc!L222+AdHoc!L497+AdHoc!L772+Medium_Press!L271+High_Press!L201+Dom_Meters!L222+Dom_Meters!L476+Com_Meters!L222+Com_Meters!L511+Net_Reg!L243+Net_Reg!L497+Cust_Reg!L222+Cust_Reg!L497+CP_SCADA!L250+CP_SCADA!L553+Aug!L236+Aug!L518+Cust_Conn!L206+Cust_Conn!L463+Cust_Conn!L718+Cust_Conn!L973+New_Towns!L201+New_Towns!L456+New_Towns!L724+IT!L327+Other!L201</f>
        <v>0</v>
      </c>
      <c r="M197" s="81">
        <f ca="1">Low_Press!M278+AdHoc!M222+AdHoc!M497+AdHoc!M772+Medium_Press!M271+High_Press!M201+Dom_Meters!M222+Dom_Meters!M476+Com_Meters!M222+Com_Meters!M511+Net_Reg!M243+Net_Reg!M497+Cust_Reg!M222+Cust_Reg!M497+CP_SCADA!M250+CP_SCADA!M553+Aug!M236+Aug!M518+Cust_Conn!M206+Cust_Conn!M463+Cust_Conn!M718+Cust_Conn!M973+New_Towns!M201+New_Towns!M456+New_Towns!M724+IT!M327+Other!M201</f>
        <v>0</v>
      </c>
      <c r="N197" s="81">
        <f ca="1">Low_Press!N278+AdHoc!N222+AdHoc!N497+AdHoc!N772+Medium_Press!N271+High_Press!N201+Dom_Meters!N222+Dom_Meters!N476+Com_Meters!N222+Com_Meters!N511+Net_Reg!N243+Net_Reg!N497+Cust_Reg!N222+Cust_Reg!N497+CP_SCADA!N250+CP_SCADA!N553+Aug!N236+Aug!N518+Cust_Conn!N206+Cust_Conn!N463+Cust_Conn!N718+Cust_Conn!N973+New_Towns!N201+New_Towns!N456+New_Towns!N724+IT!N327+Other!N201</f>
        <v>0</v>
      </c>
      <c r="O197" s="81">
        <f ca="1">Low_Press!O278+AdHoc!O222+AdHoc!O497+AdHoc!O772+Medium_Press!O271+High_Press!O201+Dom_Meters!O222+Dom_Meters!O476+Com_Meters!O222+Com_Meters!O511+Net_Reg!O243+Net_Reg!O497+Cust_Reg!O222+Cust_Reg!O497+CP_SCADA!O250+CP_SCADA!O553+Aug!O236+Aug!O518+Cust_Conn!O206+Cust_Conn!O463+Cust_Conn!O718+Cust_Conn!O973+New_Towns!O201+New_Towns!O456+New_Towns!O724+IT!O327+Other!O201</f>
        <v>0</v>
      </c>
      <c r="P197" s="81">
        <f ca="1">Low_Press!P278+AdHoc!P222+AdHoc!P497+AdHoc!P772+Medium_Press!P271+High_Press!P201+Dom_Meters!P222+Dom_Meters!P476+Com_Meters!P222+Com_Meters!P511+Net_Reg!P243+Net_Reg!P497+Cust_Reg!P222+Cust_Reg!P497+CP_SCADA!P250+CP_SCADA!P553+Aug!P236+Aug!P518+Cust_Conn!P206+Cust_Conn!P463+Cust_Conn!P718+Cust_Conn!P973+New_Towns!P201+New_Towns!P456+New_Towns!P724+IT!P327+Other!P201</f>
        <v>0</v>
      </c>
      <c r="Q197" s="81">
        <f ca="1">Low_Press!Q278+AdHoc!Q222+AdHoc!Q497+AdHoc!Q772+Medium_Press!Q271+High_Press!Q201+Dom_Meters!Q222+Dom_Meters!Q476+Com_Meters!Q222+Com_Meters!Q511+Net_Reg!Q243+Net_Reg!Q497+Cust_Reg!Q222+Cust_Reg!Q497+CP_SCADA!Q250+CP_SCADA!Q553+Aug!Q236+Aug!Q518+Cust_Conn!Q206+Cust_Conn!Q463+Cust_Conn!Q718+Cust_Conn!Q973+New_Towns!Q201+New_Towns!Q456+New_Towns!Q724+IT!Q327+Other!Q201</f>
        <v>0</v>
      </c>
      <c r="R197" s="81">
        <f ca="1">Low_Press!R278+AdHoc!R222+AdHoc!R497+AdHoc!R772+Medium_Press!R271+High_Press!R201+Dom_Meters!R222+Dom_Meters!R476+Com_Meters!R222+Com_Meters!R511+Net_Reg!R243+Net_Reg!R497+Cust_Reg!R222+Cust_Reg!R497+CP_SCADA!R250+CP_SCADA!R553+Aug!R236+Aug!R518+Cust_Conn!R206+Cust_Conn!R463+Cust_Conn!R718+Cust_Conn!R973+New_Towns!R201+New_Towns!R456+New_Towns!R724+IT!R327+Other!R201</f>
        <v>0</v>
      </c>
      <c r="S197" s="81">
        <f ca="1">Low_Press!S278+AdHoc!S222+AdHoc!S497+AdHoc!S772+Medium_Press!S271+High_Press!S201+Dom_Meters!S222+Dom_Meters!S476+Com_Meters!S222+Com_Meters!S511+Net_Reg!S243+Net_Reg!S497+Cust_Reg!S222+Cust_Reg!S497+CP_SCADA!S250+CP_SCADA!S553+Aug!S236+Aug!S518+Cust_Conn!S206+Cust_Conn!S463+Cust_Conn!S718+Cust_Conn!S973+New_Towns!S201+New_Towns!S456+New_Towns!S724+IT!S327+Other!S201</f>
        <v>0</v>
      </c>
      <c r="T197" s="81">
        <f ca="1">Low_Press!T278+AdHoc!T222+AdHoc!T497+AdHoc!T772+Medium_Press!T271+High_Press!T201+Dom_Meters!T222+Dom_Meters!T476+Com_Meters!T222+Com_Meters!T511+Net_Reg!T243+Net_Reg!T497+Cust_Reg!T222+Cust_Reg!T497+CP_SCADA!T250+CP_SCADA!T553+Aug!T236+Aug!T518+Cust_Conn!T206+Cust_Conn!T463+Cust_Conn!T718+Cust_Conn!T973+New_Towns!T201+New_Towns!T456+New_Towns!T724+IT!T327+Other!T201</f>
        <v>0</v>
      </c>
    </row>
    <row r="198" spans="5:20" s="41" customFormat="1" outlineLevel="1">
      <c r="F198" s="249" t="str">
        <f>"Total "&amp;E182</f>
        <v>Total Direct Costs</v>
      </c>
      <c r="G198" s="249"/>
      <c r="H198" s="249"/>
      <c r="I198" s="249"/>
      <c r="J198" s="82">
        <f t="shared" ref="J198:T198" ca="1" si="14">SUM(J184:J197)</f>
        <v>0</v>
      </c>
      <c r="K198" s="82">
        <f t="shared" ca="1" si="14"/>
        <v>0</v>
      </c>
      <c r="L198" s="82">
        <f t="shared" ca="1" si="14"/>
        <v>0</v>
      </c>
      <c r="M198" s="82">
        <f t="shared" ca="1" si="14"/>
        <v>0</v>
      </c>
      <c r="N198" s="82">
        <f t="shared" ca="1" si="14"/>
        <v>98433110.722133979</v>
      </c>
      <c r="O198" s="82">
        <f t="shared" ca="1" si="14"/>
        <v>58128652.613202117</v>
      </c>
      <c r="P198" s="82">
        <f t="shared" ca="1" si="14"/>
        <v>108822243.82616392</v>
      </c>
      <c r="Q198" s="82">
        <f t="shared" ca="1" si="14"/>
        <v>112949836.4713511</v>
      </c>
      <c r="R198" s="82">
        <f t="shared" ca="1" si="14"/>
        <v>110495018.85112913</v>
      </c>
      <c r="S198" s="82">
        <f t="shared" ca="1" si="14"/>
        <v>98346223.403124392</v>
      </c>
      <c r="T198" s="82">
        <f t="shared" ca="1" si="14"/>
        <v>88837415.708288029</v>
      </c>
    </row>
    <row r="199" spans="5:20" s="41" customFormat="1" outlineLevel="1"/>
    <row r="200" spans="5:20" s="41" customFormat="1" outlineLevel="1">
      <c r="E200" s="37" t="str">
        <f>E139</f>
        <v>Direct Costs + Overheads</v>
      </c>
    </row>
    <row r="201" spans="5:20" s="41" customFormat="1" ht="5.9" customHeight="1" outlineLevel="1"/>
    <row r="202" spans="5:20" outlineLevel="1">
      <c r="F202" s="247" t="str">
        <f>GC!C60</f>
        <v>Mains replacement</v>
      </c>
      <c r="G202" s="247"/>
      <c r="H202" s="247"/>
      <c r="I202" s="247"/>
      <c r="J202" s="81">
        <f ca="1">Low_Press!J283+AdHoc!J227+AdHoc!J502+AdHoc!J777+Medium_Press!J276+High_Press!J206+Dom_Meters!J227+Dom_Meters!J481+Com_Meters!J227+Com_Meters!J516+Net_Reg!J248+Net_Reg!J502+Cust_Reg!J227+Cust_Reg!J502+CP_SCADA!J255+CP_SCADA!J558+Aug!J241+Aug!J523+Cust_Conn!J211+Cust_Conn!J468+Cust_Conn!J723+Cust_Conn!J978+New_Towns!J206+New_Towns!J461+New_Towns!J729+IT!J332+Other!J206</f>
        <v>0</v>
      </c>
      <c r="K202" s="81">
        <f ca="1">Low_Press!K283+AdHoc!K227+AdHoc!K502+AdHoc!K777+Medium_Press!K276+High_Press!K206+Dom_Meters!K227+Dom_Meters!K481+Com_Meters!K227+Com_Meters!K516+Net_Reg!K248+Net_Reg!K502+Cust_Reg!K227+Cust_Reg!K502+CP_SCADA!K255+CP_SCADA!K558+Aug!K241+Aug!K523+Cust_Conn!K211+Cust_Conn!K468+Cust_Conn!K723+Cust_Conn!K978+New_Towns!K206+New_Towns!K461+New_Towns!K729+IT!K332+Other!K206</f>
        <v>0</v>
      </c>
      <c r="L202" s="81">
        <f ca="1">Low_Press!L283+AdHoc!L227+AdHoc!L502+AdHoc!L777+Medium_Press!L276+High_Press!L206+Dom_Meters!L227+Dom_Meters!L481+Com_Meters!L227+Com_Meters!L516+Net_Reg!L248+Net_Reg!L502+Cust_Reg!L227+Cust_Reg!L502+CP_SCADA!L255+CP_SCADA!L558+Aug!L241+Aug!L523+Cust_Conn!L211+Cust_Conn!L468+Cust_Conn!L723+Cust_Conn!L978+New_Towns!L206+New_Towns!L461+New_Towns!L729+IT!L332+Other!L206</f>
        <v>0</v>
      </c>
      <c r="M202" s="81">
        <f ca="1">Low_Press!M283+AdHoc!M227+AdHoc!M502+AdHoc!M777+Medium_Press!M276+High_Press!M206+Dom_Meters!M227+Dom_Meters!M481+Com_Meters!M227+Com_Meters!M516+Net_Reg!M248+Net_Reg!M502+Cust_Reg!M227+Cust_Reg!M502+CP_SCADA!M255+CP_SCADA!M558+Aug!M241+Aug!M523+Cust_Conn!M211+Cust_Conn!M468+Cust_Conn!M723+Cust_Conn!M978+New_Towns!M206+New_Towns!M461+New_Towns!M729+IT!M332+Other!M206</f>
        <v>0</v>
      </c>
      <c r="N202" s="81">
        <f ca="1">Low_Press!N283+AdHoc!N227+AdHoc!N502+AdHoc!N777+Medium_Press!N276+High_Press!N206+Dom_Meters!N227+Dom_Meters!N481+Com_Meters!N227+Com_Meters!N516+Net_Reg!N248+Net_Reg!N502+Cust_Reg!N227+Cust_Reg!N502+CP_SCADA!N255+CP_SCADA!N558+Aug!N241+Aug!N523+Cust_Conn!N211+Cust_Conn!N468+Cust_Conn!N723+Cust_Conn!N978+New_Towns!N206+New_Towns!N461+New_Towns!N729+IT!N332+Other!N206</f>
        <v>21506959.042986806</v>
      </c>
      <c r="O202" s="81">
        <f ca="1">Low_Press!O283+AdHoc!O227+AdHoc!O502+AdHoc!O777+Medium_Press!O276+High_Press!O206+Dom_Meters!O227+Dom_Meters!O481+Com_Meters!O227+Com_Meters!O516+Net_Reg!O248+Net_Reg!O502+Cust_Reg!O227+Cust_Reg!O502+CP_SCADA!O255+CP_SCADA!O558+Aug!O241+Aug!O523+Cust_Conn!O211+Cust_Conn!O468+Cust_Conn!O723+Cust_Conn!O978+New_Towns!O206+New_Towns!O461+New_Towns!O729+IT!O332+Other!O206</f>
        <v>21401302.53806917</v>
      </c>
      <c r="P202" s="81">
        <f ca="1">Low_Press!P283+AdHoc!P227+AdHoc!P502+AdHoc!P777+Medium_Press!P276+High_Press!P206+Dom_Meters!P227+Dom_Meters!P481+Com_Meters!P227+Com_Meters!P516+Net_Reg!P248+Net_Reg!P502+Cust_Reg!P227+Cust_Reg!P502+CP_SCADA!P255+CP_SCADA!P558+Aug!P241+Aug!P523+Cust_Conn!P211+Cust_Conn!P468+Cust_Conn!P723+Cust_Conn!P978+New_Towns!P206+New_Towns!P461+New_Towns!P729+IT!P332+Other!P206</f>
        <v>29437075.638958424</v>
      </c>
      <c r="Q202" s="81">
        <f ca="1">Low_Press!Q283+AdHoc!Q227+AdHoc!Q502+AdHoc!Q777+Medium_Press!Q276+High_Press!Q206+Dom_Meters!Q227+Dom_Meters!Q481+Com_Meters!Q227+Com_Meters!Q516+Net_Reg!Q248+Net_Reg!Q502+Cust_Reg!Q227+Cust_Reg!Q502+CP_SCADA!Q255+CP_SCADA!Q558+Aug!Q241+Aug!Q523+Cust_Conn!Q211+Cust_Conn!Q468+Cust_Conn!Q723+Cust_Conn!Q978+New_Towns!Q206+New_Towns!Q461+New_Towns!Q729+IT!Q332+Other!Q206</f>
        <v>26812299.580656797</v>
      </c>
      <c r="R202" s="81">
        <f ca="1">Low_Press!R283+AdHoc!R227+AdHoc!R502+AdHoc!R777+Medium_Press!R276+High_Press!R206+Dom_Meters!R227+Dom_Meters!R481+Com_Meters!R227+Com_Meters!R516+Net_Reg!R248+Net_Reg!R502+Cust_Reg!R227+Cust_Reg!R502+CP_SCADA!R255+CP_SCADA!R558+Aug!R241+Aug!R523+Cust_Conn!R211+Cust_Conn!R468+Cust_Conn!R723+Cust_Conn!R978+New_Towns!R206+New_Towns!R461+New_Towns!R729+IT!R332+Other!R206</f>
        <v>24245178.976354487</v>
      </c>
      <c r="S202" s="81">
        <f ca="1">Low_Press!S283+AdHoc!S227+AdHoc!S502+AdHoc!S777+Medium_Press!S276+High_Press!S206+Dom_Meters!S227+Dom_Meters!S481+Com_Meters!S227+Com_Meters!S516+Net_Reg!S248+Net_Reg!S502+Cust_Reg!S227+Cust_Reg!S502+CP_SCADA!S255+CP_SCADA!S558+Aug!S241+Aug!S523+Cust_Conn!S211+Cust_Conn!S468+Cust_Conn!S723+Cust_Conn!S978+New_Towns!S206+New_Towns!S461+New_Towns!S729+IT!S332+Other!S206</f>
        <v>27510001.019808426</v>
      </c>
      <c r="T202" s="81">
        <f ca="1">Low_Press!T283+AdHoc!T227+AdHoc!T502+AdHoc!T777+Medium_Press!T276+High_Press!T206+Dom_Meters!T227+Dom_Meters!T481+Com_Meters!T227+Com_Meters!T516+Net_Reg!T248+Net_Reg!T502+Cust_Reg!T227+Cust_Reg!T502+CP_SCADA!T255+CP_SCADA!T558+Aug!T241+Aug!T523+Cust_Conn!T211+Cust_Conn!T468+Cust_Conn!T723+Cust_Conn!T978+New_Towns!T206+New_Towns!T461+New_Towns!T729+IT!T332+Other!T206</f>
        <v>19144619.946829278</v>
      </c>
    </row>
    <row r="203" spans="5:20" outlineLevel="1">
      <c r="F203" s="247" t="str">
        <f>GC!C61</f>
        <v>Residential new customer connections</v>
      </c>
      <c r="G203" s="247"/>
      <c r="H203" s="247"/>
      <c r="I203" s="247"/>
      <c r="J203" s="81">
        <f ca="1">Low_Press!J284+AdHoc!J228+AdHoc!J503+AdHoc!J778+Medium_Press!J277+High_Press!J207+Dom_Meters!J228+Dom_Meters!J482+Com_Meters!J228+Com_Meters!J517+Net_Reg!J249+Net_Reg!J503+Cust_Reg!J228+Cust_Reg!J503+CP_SCADA!J256+CP_SCADA!J559+Aug!J242+Aug!J524+Cust_Conn!J212+Cust_Conn!J469+Cust_Conn!J724+Cust_Conn!J979+New_Towns!J207+New_Towns!J462+New_Towns!J730+IT!J333+Other!J207</f>
        <v>0</v>
      </c>
      <c r="K203" s="81">
        <f ca="1">Low_Press!K284+AdHoc!K228+AdHoc!K503+AdHoc!K778+Medium_Press!K277+High_Press!K207+Dom_Meters!K228+Dom_Meters!K482+Com_Meters!K228+Com_Meters!K517+Net_Reg!K249+Net_Reg!K503+Cust_Reg!K228+Cust_Reg!K503+CP_SCADA!K256+CP_SCADA!K559+Aug!K242+Aug!K524+Cust_Conn!K212+Cust_Conn!K469+Cust_Conn!K724+Cust_Conn!K979+New_Towns!K207+New_Towns!K462+New_Towns!K730+IT!K333+Other!K207</f>
        <v>0</v>
      </c>
      <c r="L203" s="81">
        <f ca="1">Low_Press!L284+AdHoc!L228+AdHoc!L503+AdHoc!L778+Medium_Press!L277+High_Press!L207+Dom_Meters!L228+Dom_Meters!L482+Com_Meters!L228+Com_Meters!L517+Net_Reg!L249+Net_Reg!L503+Cust_Reg!L228+Cust_Reg!L503+CP_SCADA!L256+CP_SCADA!L559+Aug!L242+Aug!L524+Cust_Conn!L212+Cust_Conn!L469+Cust_Conn!L724+Cust_Conn!L979+New_Towns!L207+New_Towns!L462+New_Towns!L730+IT!L333+Other!L207</f>
        <v>0</v>
      </c>
      <c r="M203" s="81">
        <f ca="1">Low_Press!M284+AdHoc!M228+AdHoc!M503+AdHoc!M778+Medium_Press!M277+High_Press!M207+Dom_Meters!M228+Dom_Meters!M482+Com_Meters!M228+Com_Meters!M517+Net_Reg!M249+Net_Reg!M503+Cust_Reg!M228+Cust_Reg!M503+CP_SCADA!M256+CP_SCADA!M559+Aug!M242+Aug!M524+Cust_Conn!M212+Cust_Conn!M469+Cust_Conn!M724+Cust_Conn!M979+New_Towns!M207+New_Towns!M462+New_Towns!M730+IT!M333+Other!M207</f>
        <v>0</v>
      </c>
      <c r="N203" s="81">
        <f ca="1">Low_Press!N284+AdHoc!N228+AdHoc!N503+AdHoc!N778+Medium_Press!N277+High_Press!N207+Dom_Meters!N228+Dom_Meters!N482+Com_Meters!N228+Com_Meters!N517+Net_Reg!N249+Net_Reg!N503+Cust_Reg!N228+Cust_Reg!N503+CP_SCADA!N256+CP_SCADA!N559+Aug!N242+Aug!N524+Cust_Conn!N212+Cust_Conn!N469+Cust_Conn!N724+Cust_Conn!N979+New_Towns!N207+New_Towns!N462+New_Towns!N730+IT!N333+Other!N207</f>
        <v>49496589.083257191</v>
      </c>
      <c r="O203" s="81">
        <f ca="1">Low_Press!O284+AdHoc!O228+AdHoc!O503+AdHoc!O778+Medium_Press!O277+High_Press!O207+Dom_Meters!O228+Dom_Meters!O482+Com_Meters!O228+Com_Meters!O517+Net_Reg!O249+Net_Reg!O503+Cust_Reg!O228+Cust_Reg!O503+CP_SCADA!O256+CP_SCADA!O559+Aug!O242+Aug!O524+Cust_Conn!O212+Cust_Conn!O469+Cust_Conn!O724+Cust_Conn!O979+New_Towns!O207+New_Towns!O462+New_Towns!O730+IT!O333+Other!O207</f>
        <v>20430422.381043483</v>
      </c>
      <c r="P203" s="81">
        <f ca="1">Low_Press!P284+AdHoc!P228+AdHoc!P503+AdHoc!P778+Medium_Press!P277+High_Press!P207+Dom_Meters!P228+Dom_Meters!P482+Com_Meters!P228+Com_Meters!P517+Net_Reg!P249+Net_Reg!P503+Cust_Reg!P228+Cust_Reg!P503+CP_SCADA!P256+CP_SCADA!P559+Aug!P242+Aug!P524+Cust_Conn!P212+Cust_Conn!P469+Cust_Conn!P724+Cust_Conn!P979+New_Towns!P207+New_Towns!P462+New_Towns!P730+IT!P333+Other!P207</f>
        <v>37318267.471586943</v>
      </c>
      <c r="Q203" s="81">
        <f ca="1">Low_Press!Q284+AdHoc!Q228+AdHoc!Q503+AdHoc!Q778+Medium_Press!Q277+High_Press!Q207+Dom_Meters!Q228+Dom_Meters!Q482+Com_Meters!Q228+Com_Meters!Q517+Net_Reg!Q249+Net_Reg!Q503+Cust_Reg!Q228+Cust_Reg!Q503+CP_SCADA!Q256+CP_SCADA!Q559+Aug!Q242+Aug!Q524+Cust_Conn!Q212+Cust_Conn!Q469+Cust_Conn!Q724+Cust_Conn!Q979+New_Towns!Q207+New_Towns!Q462+New_Towns!Q730+IT!Q333+Other!Q207</f>
        <v>38469315.460625052</v>
      </c>
      <c r="R203" s="81">
        <f ca="1">Low_Press!R284+AdHoc!R228+AdHoc!R503+AdHoc!R778+Medium_Press!R277+High_Press!R207+Dom_Meters!R228+Dom_Meters!R482+Com_Meters!R228+Com_Meters!R517+Net_Reg!R249+Net_Reg!R503+Cust_Reg!R228+Cust_Reg!R503+CP_SCADA!R256+CP_SCADA!R559+Aug!R242+Aug!R524+Cust_Conn!R212+Cust_Conn!R469+Cust_Conn!R724+Cust_Conn!R979+New_Towns!R207+New_Towns!R462+New_Towns!R730+IT!R333+Other!R207</f>
        <v>39654929.10854511</v>
      </c>
      <c r="S203" s="81">
        <f ca="1">Low_Press!S284+AdHoc!S228+AdHoc!S503+AdHoc!S778+Medium_Press!S277+High_Press!S207+Dom_Meters!S228+Dom_Meters!S482+Com_Meters!S228+Com_Meters!S517+Net_Reg!S249+Net_Reg!S503+Cust_Reg!S228+Cust_Reg!S503+CP_SCADA!S256+CP_SCADA!S559+Aug!S242+Aug!S524+Cust_Conn!S212+Cust_Conn!S469+Cust_Conn!S724+Cust_Conn!S979+New_Towns!S207+New_Towns!S462+New_Towns!S730+IT!S333+Other!S207</f>
        <v>38764122.435494818</v>
      </c>
      <c r="T203" s="81">
        <f ca="1">Low_Press!T284+AdHoc!T228+AdHoc!T503+AdHoc!T778+Medium_Press!T277+High_Press!T207+Dom_Meters!T228+Dom_Meters!T482+Com_Meters!T228+Com_Meters!T517+Net_Reg!T249+Net_Reg!T503+Cust_Reg!T228+Cust_Reg!T503+CP_SCADA!T256+CP_SCADA!T559+Aug!T242+Aug!T524+Cust_Conn!T212+Cust_Conn!T469+Cust_Conn!T724+Cust_Conn!T979+New_Towns!T207+New_Towns!T462+New_Towns!T730+IT!T333+Other!T207</f>
        <v>37821857.10947673</v>
      </c>
    </row>
    <row r="204" spans="5:20" outlineLevel="1">
      <c r="F204" s="247" t="str">
        <f>GC!C62</f>
        <v>Commercial and industrial new customer connections</v>
      </c>
      <c r="G204" s="247"/>
      <c r="H204" s="247"/>
      <c r="I204" s="247"/>
      <c r="J204" s="81">
        <f ca="1">Low_Press!J285+AdHoc!J229+AdHoc!J504+AdHoc!J779+Medium_Press!J278+High_Press!J208+Dom_Meters!J229+Dom_Meters!J483+Com_Meters!J229+Com_Meters!J518+Net_Reg!J250+Net_Reg!J504+Cust_Reg!J229+Cust_Reg!J504+CP_SCADA!J257+CP_SCADA!J560+Aug!J243+Aug!J525+Cust_Conn!J213+Cust_Conn!J470+Cust_Conn!J725+Cust_Conn!J980+New_Towns!J208+New_Towns!J463+New_Towns!J731+IT!J334+Other!J208</f>
        <v>0</v>
      </c>
      <c r="K204" s="81">
        <f ca="1">Low_Press!K285+AdHoc!K229+AdHoc!K504+AdHoc!K779+Medium_Press!K278+High_Press!K208+Dom_Meters!K229+Dom_Meters!K483+Com_Meters!K229+Com_Meters!K518+Net_Reg!K250+Net_Reg!K504+Cust_Reg!K229+Cust_Reg!K504+CP_SCADA!K257+CP_SCADA!K560+Aug!K243+Aug!K525+Cust_Conn!K213+Cust_Conn!K470+Cust_Conn!K725+Cust_Conn!K980+New_Towns!K208+New_Towns!K463+New_Towns!K731+IT!K334+Other!K208</f>
        <v>0</v>
      </c>
      <c r="L204" s="81">
        <f ca="1">Low_Press!L285+AdHoc!L229+AdHoc!L504+AdHoc!L779+Medium_Press!L278+High_Press!L208+Dom_Meters!L229+Dom_Meters!L483+Com_Meters!L229+Com_Meters!L518+Net_Reg!L250+Net_Reg!L504+Cust_Reg!L229+Cust_Reg!L504+CP_SCADA!L257+CP_SCADA!L560+Aug!L243+Aug!L525+Cust_Conn!L213+Cust_Conn!L470+Cust_Conn!L725+Cust_Conn!L980+New_Towns!L208+New_Towns!L463+New_Towns!L731+IT!L334+Other!L208</f>
        <v>0</v>
      </c>
      <c r="M204" s="81">
        <f ca="1">Low_Press!M285+AdHoc!M229+AdHoc!M504+AdHoc!M779+Medium_Press!M278+High_Press!M208+Dom_Meters!M229+Dom_Meters!M483+Com_Meters!M229+Com_Meters!M518+Net_Reg!M250+Net_Reg!M504+Cust_Reg!M229+Cust_Reg!M504+CP_SCADA!M257+CP_SCADA!M560+Aug!M243+Aug!M525+Cust_Conn!M213+Cust_Conn!M470+Cust_Conn!M725+Cust_Conn!M980+New_Towns!M208+New_Towns!M463+New_Towns!M731+IT!M334+Other!M208</f>
        <v>0</v>
      </c>
      <c r="N204" s="81">
        <f ca="1">Low_Press!N285+AdHoc!N229+AdHoc!N504+AdHoc!N779+Medium_Press!N278+High_Press!N208+Dom_Meters!N229+Dom_Meters!N483+Com_Meters!N229+Com_Meters!N518+Net_Reg!N250+Net_Reg!N504+Cust_Reg!N229+Cust_Reg!N504+CP_SCADA!N257+CP_SCADA!N560+Aug!N243+Aug!N525+Cust_Conn!N213+Cust_Conn!N470+Cust_Conn!N725+Cust_Conn!N980+New_Towns!N208+New_Towns!N463+New_Towns!N731+IT!N334+Other!N208</f>
        <v>3634047.5270127784</v>
      </c>
      <c r="O204" s="81">
        <f ca="1">Low_Press!O285+AdHoc!O229+AdHoc!O504+AdHoc!O779+Medium_Press!O278+High_Press!O208+Dom_Meters!O229+Dom_Meters!O483+Com_Meters!O229+Com_Meters!O518+Net_Reg!O250+Net_Reg!O504+Cust_Reg!O229+Cust_Reg!O504+CP_SCADA!O257+CP_SCADA!O560+Aug!O243+Aug!O525+Cust_Conn!O213+Cust_Conn!O470+Cust_Conn!O725+Cust_Conn!O980+New_Towns!O208+New_Towns!O463+New_Towns!O731+IT!O334+Other!O208</f>
        <v>4560852.5527025089</v>
      </c>
      <c r="P204" s="81">
        <f ca="1">Low_Press!P285+AdHoc!P229+AdHoc!P504+AdHoc!P779+Medium_Press!P278+High_Press!P208+Dom_Meters!P229+Dom_Meters!P483+Com_Meters!P229+Com_Meters!P518+Net_Reg!P250+Net_Reg!P504+Cust_Reg!P229+Cust_Reg!P504+CP_SCADA!P257+CP_SCADA!P560+Aug!P243+Aug!P525+Cust_Conn!P213+Cust_Conn!P470+Cust_Conn!P725+Cust_Conn!P980+New_Towns!P208+New_Towns!P463+New_Towns!P731+IT!P334+Other!P208</f>
        <v>6582093.4452257883</v>
      </c>
      <c r="Q204" s="81">
        <f ca="1">Low_Press!Q285+AdHoc!Q229+AdHoc!Q504+AdHoc!Q779+Medium_Press!Q278+High_Press!Q208+Dom_Meters!Q229+Dom_Meters!Q483+Com_Meters!Q229+Com_Meters!Q518+Net_Reg!Q250+Net_Reg!Q504+Cust_Reg!Q229+Cust_Reg!Q504+CP_SCADA!Q257+CP_SCADA!Q560+Aug!Q243+Aug!Q525+Cust_Conn!Q213+Cust_Conn!Q470+Cust_Conn!Q725+Cust_Conn!Q980+New_Towns!Q208+New_Towns!Q463+New_Towns!Q731+IT!Q334+Other!Q208</f>
        <v>6696054.0865071919</v>
      </c>
      <c r="R204" s="81">
        <f ca="1">Low_Press!R285+AdHoc!R229+AdHoc!R504+AdHoc!R779+Medium_Press!R278+High_Press!R208+Dom_Meters!R229+Dom_Meters!R483+Com_Meters!R229+Com_Meters!R518+Net_Reg!R250+Net_Reg!R504+Cust_Reg!R229+Cust_Reg!R504+CP_SCADA!R257+CP_SCADA!R560+Aug!R243+Aug!R525+Cust_Conn!R213+Cust_Conn!R470+Cust_Conn!R725+Cust_Conn!R980+New_Towns!R208+New_Towns!R463+New_Towns!R731+IT!R334+Other!R208</f>
        <v>6818263.0588769633</v>
      </c>
      <c r="S204" s="81">
        <f ca="1">Low_Press!S285+AdHoc!S229+AdHoc!S504+AdHoc!S779+Medium_Press!S278+High_Press!S208+Dom_Meters!S229+Dom_Meters!S483+Com_Meters!S229+Com_Meters!S518+Net_Reg!S250+Net_Reg!S504+Cust_Reg!S229+Cust_Reg!S504+CP_SCADA!S257+CP_SCADA!S560+Aug!S243+Aug!S525+Cust_Conn!S213+Cust_Conn!S470+Cust_Conn!S725+Cust_Conn!S980+New_Towns!S208+New_Towns!S463+New_Towns!S731+IT!S334+Other!S208</f>
        <v>6742944.7405755222</v>
      </c>
      <c r="T204" s="81">
        <f ca="1">Low_Press!T285+AdHoc!T229+AdHoc!T504+AdHoc!T779+Medium_Press!T278+High_Press!T208+Dom_Meters!T229+Dom_Meters!T483+Com_Meters!T229+Com_Meters!T518+Net_Reg!T250+Net_Reg!T504+Cust_Reg!T229+Cust_Reg!T504+CP_SCADA!T257+CP_SCADA!T560+Aug!T243+Aug!T525+Cust_Conn!T213+Cust_Conn!T470+Cust_Conn!T725+Cust_Conn!T980+New_Towns!T208+New_Towns!T463+New_Towns!T731+IT!T334+Other!T208</f>
        <v>6661692.3335696012</v>
      </c>
    </row>
    <row r="205" spans="5:20" outlineLevel="1">
      <c r="F205" s="247" t="str">
        <f>GC!C63</f>
        <v>Residential meter replacement</v>
      </c>
      <c r="G205" s="247"/>
      <c r="H205" s="247"/>
      <c r="I205" s="247"/>
      <c r="J205" s="81">
        <f ca="1">Low_Press!J286+AdHoc!J230+AdHoc!J505+AdHoc!J780+Medium_Press!J279+High_Press!J209+Dom_Meters!J230+Dom_Meters!J484+Com_Meters!J230+Com_Meters!J519+Net_Reg!J251+Net_Reg!J505+Cust_Reg!J230+Cust_Reg!J505+CP_SCADA!J258+CP_SCADA!J561+Aug!J244+Aug!J526+Cust_Conn!J214+Cust_Conn!J471+Cust_Conn!J726+Cust_Conn!J981+New_Towns!J209+New_Towns!J464+New_Towns!J732+IT!J335+Other!J209</f>
        <v>0</v>
      </c>
      <c r="K205" s="81">
        <f ca="1">Low_Press!K286+AdHoc!K230+AdHoc!K505+AdHoc!K780+Medium_Press!K279+High_Press!K209+Dom_Meters!K230+Dom_Meters!K484+Com_Meters!K230+Com_Meters!K519+Net_Reg!K251+Net_Reg!K505+Cust_Reg!K230+Cust_Reg!K505+CP_SCADA!K258+CP_SCADA!K561+Aug!K244+Aug!K526+Cust_Conn!K214+Cust_Conn!K471+Cust_Conn!K726+Cust_Conn!K981+New_Towns!K209+New_Towns!K464+New_Towns!K732+IT!K335+Other!K209</f>
        <v>0</v>
      </c>
      <c r="L205" s="81">
        <f ca="1">Low_Press!L286+AdHoc!L230+AdHoc!L505+AdHoc!L780+Medium_Press!L279+High_Press!L209+Dom_Meters!L230+Dom_Meters!L484+Com_Meters!L230+Com_Meters!L519+Net_Reg!L251+Net_Reg!L505+Cust_Reg!L230+Cust_Reg!L505+CP_SCADA!L258+CP_SCADA!L561+Aug!L244+Aug!L526+Cust_Conn!L214+Cust_Conn!L471+Cust_Conn!L726+Cust_Conn!L981+New_Towns!L209+New_Towns!L464+New_Towns!L732+IT!L335+Other!L209</f>
        <v>0</v>
      </c>
      <c r="M205" s="81">
        <f ca="1">Low_Press!M286+AdHoc!M230+AdHoc!M505+AdHoc!M780+Medium_Press!M279+High_Press!M209+Dom_Meters!M230+Dom_Meters!M484+Com_Meters!M230+Com_Meters!M519+Net_Reg!M251+Net_Reg!M505+Cust_Reg!M230+Cust_Reg!M505+CP_SCADA!M258+CP_SCADA!M561+Aug!M244+Aug!M526+Cust_Conn!M214+Cust_Conn!M471+Cust_Conn!M726+Cust_Conn!M981+New_Towns!M209+New_Towns!M464+New_Towns!M732+IT!M335+Other!M209</f>
        <v>0</v>
      </c>
      <c r="N205" s="81">
        <f ca="1">Low_Press!N286+AdHoc!N230+AdHoc!N505+AdHoc!N780+Medium_Press!N279+High_Press!N209+Dom_Meters!N230+Dom_Meters!N484+Com_Meters!N230+Com_Meters!N519+Net_Reg!N251+Net_Reg!N505+Cust_Reg!N230+Cust_Reg!N505+CP_SCADA!N258+CP_SCADA!N561+Aug!N244+Aug!N526+Cust_Conn!N214+Cust_Conn!N471+Cust_Conn!N726+Cust_Conn!N981+New_Towns!N209+New_Towns!N464+New_Towns!N732+IT!N335+Other!N209</f>
        <v>4119855.1838683123</v>
      </c>
      <c r="O205" s="81">
        <f ca="1">Low_Press!O286+AdHoc!O230+AdHoc!O505+AdHoc!O780+Medium_Press!O279+High_Press!O209+Dom_Meters!O230+Dom_Meters!O484+Com_Meters!O230+Com_Meters!O519+Net_Reg!O251+Net_Reg!O505+Cust_Reg!O230+Cust_Reg!O505+CP_SCADA!O258+CP_SCADA!O561+Aug!O244+Aug!O526+Cust_Conn!O214+Cust_Conn!O471+Cust_Conn!O726+Cust_Conn!O981+New_Towns!O209+New_Towns!O464+New_Towns!O732+IT!O335+Other!O209</f>
        <v>2343099.3776927772</v>
      </c>
      <c r="P205" s="81">
        <f ca="1">Low_Press!P286+AdHoc!P230+AdHoc!P505+AdHoc!P780+Medium_Press!P279+High_Press!P209+Dom_Meters!P230+Dom_Meters!P484+Com_Meters!P230+Com_Meters!P519+Net_Reg!P251+Net_Reg!P505+Cust_Reg!P230+Cust_Reg!P505+CP_SCADA!P258+CP_SCADA!P561+Aug!P244+Aug!P526+Cust_Conn!P214+Cust_Conn!P471+Cust_Conn!P726+Cust_Conn!P981+New_Towns!P209+New_Towns!P464+New_Towns!P732+IT!P335+Other!P209</f>
        <v>4657226.6533584669</v>
      </c>
      <c r="Q205" s="81">
        <f ca="1">Low_Press!Q286+AdHoc!Q230+AdHoc!Q505+AdHoc!Q780+Medium_Press!Q279+High_Press!Q209+Dom_Meters!Q230+Dom_Meters!Q484+Com_Meters!Q230+Com_Meters!Q519+Net_Reg!Q251+Net_Reg!Q505+Cust_Reg!Q230+Cust_Reg!Q505+CP_SCADA!Q258+CP_SCADA!Q561+Aug!Q244+Aug!Q526+Cust_Conn!Q214+Cust_Conn!Q471+Cust_Conn!Q726+Cust_Conn!Q981+New_Towns!Q209+New_Towns!Q464+New_Towns!Q732+IT!Q335+Other!Q209</f>
        <v>5535406.756265983</v>
      </c>
      <c r="R205" s="81">
        <f ca="1">Low_Press!R286+AdHoc!R230+AdHoc!R505+AdHoc!R780+Medium_Press!R279+High_Press!R209+Dom_Meters!R230+Dom_Meters!R484+Com_Meters!R230+Com_Meters!R519+Net_Reg!R251+Net_Reg!R505+Cust_Reg!R230+Cust_Reg!R505+CP_SCADA!R258+CP_SCADA!R561+Aug!R244+Aug!R526+Cust_Conn!R214+Cust_Conn!R471+Cust_Conn!R726+Cust_Conn!R981+New_Towns!R209+New_Towns!R464+New_Towns!R732+IT!R335+Other!R209</f>
        <v>5823207.512128762</v>
      </c>
      <c r="S205" s="81">
        <f ca="1">Low_Press!S286+AdHoc!S230+AdHoc!S505+AdHoc!S780+Medium_Press!S279+High_Press!S209+Dom_Meters!S230+Dom_Meters!S484+Com_Meters!S230+Com_Meters!S519+Net_Reg!S251+Net_Reg!S505+Cust_Reg!S230+Cust_Reg!S505+CP_SCADA!S258+CP_SCADA!S561+Aug!S244+Aug!S526+Cust_Conn!S214+Cust_Conn!S471+Cust_Conn!S726+Cust_Conn!S981+New_Towns!S209+New_Towns!S464+New_Towns!S732+IT!S335+Other!S209</f>
        <v>4472922.8006770127</v>
      </c>
      <c r="T205" s="81">
        <f ca="1">Low_Press!T286+AdHoc!T230+AdHoc!T505+AdHoc!T780+Medium_Press!T279+High_Press!T209+Dom_Meters!T230+Dom_Meters!T484+Com_Meters!T230+Com_Meters!T519+Net_Reg!T251+Net_Reg!T505+Cust_Reg!T230+Cust_Reg!T505+CP_SCADA!T258+CP_SCADA!T561+Aug!T244+Aug!T526+Cust_Conn!T214+Cust_Conn!T471+Cust_Conn!T726+Cust_Conn!T981+New_Towns!T209+New_Towns!T464+New_Towns!T732+IT!T335+Other!T209</f>
        <v>4130467.4618588737</v>
      </c>
    </row>
    <row r="206" spans="5:20" outlineLevel="1">
      <c r="F206" s="247" t="str">
        <f>GC!C64</f>
        <v>Commercial and industrial meter replacement</v>
      </c>
      <c r="G206" s="247"/>
      <c r="H206" s="247"/>
      <c r="I206" s="247"/>
      <c r="J206" s="81">
        <f ca="1">Low_Press!J287+AdHoc!J231+AdHoc!J506+AdHoc!J781+Medium_Press!J280+High_Press!J210+Dom_Meters!J231+Dom_Meters!J485+Com_Meters!J231+Com_Meters!J520+Net_Reg!J252+Net_Reg!J506+Cust_Reg!J231+Cust_Reg!J506+CP_SCADA!J259+CP_SCADA!J562+Aug!J245+Aug!J527+Cust_Conn!J215+Cust_Conn!J472+Cust_Conn!J727+Cust_Conn!J982+New_Towns!J210+New_Towns!J465+New_Towns!J733+IT!J336+Other!J210</f>
        <v>0</v>
      </c>
      <c r="K206" s="81">
        <f ca="1">Low_Press!K287+AdHoc!K231+AdHoc!K506+AdHoc!K781+Medium_Press!K280+High_Press!K210+Dom_Meters!K231+Dom_Meters!K485+Com_Meters!K231+Com_Meters!K520+Net_Reg!K252+Net_Reg!K506+Cust_Reg!K231+Cust_Reg!K506+CP_SCADA!K259+CP_SCADA!K562+Aug!K245+Aug!K527+Cust_Conn!K215+Cust_Conn!K472+Cust_Conn!K727+Cust_Conn!K982+New_Towns!K210+New_Towns!K465+New_Towns!K733+IT!K336+Other!K210</f>
        <v>0</v>
      </c>
      <c r="L206" s="81">
        <f ca="1">Low_Press!L287+AdHoc!L231+AdHoc!L506+AdHoc!L781+Medium_Press!L280+High_Press!L210+Dom_Meters!L231+Dom_Meters!L485+Com_Meters!L231+Com_Meters!L520+Net_Reg!L252+Net_Reg!L506+Cust_Reg!L231+Cust_Reg!L506+CP_SCADA!L259+CP_SCADA!L562+Aug!L245+Aug!L527+Cust_Conn!L215+Cust_Conn!L472+Cust_Conn!L727+Cust_Conn!L982+New_Towns!L210+New_Towns!L465+New_Towns!L733+IT!L336+Other!L210</f>
        <v>0</v>
      </c>
      <c r="M206" s="81">
        <f ca="1">Low_Press!M287+AdHoc!M231+AdHoc!M506+AdHoc!M781+Medium_Press!M280+High_Press!M210+Dom_Meters!M231+Dom_Meters!M485+Com_Meters!M231+Com_Meters!M520+Net_Reg!M252+Net_Reg!M506+Cust_Reg!M231+Cust_Reg!M506+CP_SCADA!M259+CP_SCADA!M562+Aug!M245+Aug!M527+Cust_Conn!M215+Cust_Conn!M472+Cust_Conn!M727+Cust_Conn!M982+New_Towns!M210+New_Towns!M465+New_Towns!M733+IT!M336+Other!M210</f>
        <v>0</v>
      </c>
      <c r="N206" s="81">
        <f ca="1">Low_Press!N287+AdHoc!N231+AdHoc!N506+AdHoc!N781+Medium_Press!N280+High_Press!N210+Dom_Meters!N231+Dom_Meters!N485+Com_Meters!N231+Com_Meters!N520+Net_Reg!N252+Net_Reg!N506+Cust_Reg!N231+Cust_Reg!N506+CP_SCADA!N259+CP_SCADA!N562+Aug!N245+Aug!N527+Cust_Conn!N215+Cust_Conn!N472+Cust_Conn!N727+Cust_Conn!N982+New_Towns!N210+New_Towns!N465+New_Towns!N733+IT!N336+Other!N210</f>
        <v>874996.99901338958</v>
      </c>
      <c r="O206" s="81">
        <f ca="1">Low_Press!O287+AdHoc!O231+AdHoc!O506+AdHoc!O781+Medium_Press!O280+High_Press!O210+Dom_Meters!O231+Dom_Meters!O485+Com_Meters!O231+Com_Meters!O520+Net_Reg!O252+Net_Reg!O506+Cust_Reg!O231+Cust_Reg!O506+CP_SCADA!O259+CP_SCADA!O562+Aug!O245+Aug!O527+Cust_Conn!O215+Cust_Conn!O472+Cust_Conn!O727+Cust_Conn!O982+New_Towns!O210+New_Towns!O465+New_Towns!O733+IT!O336+Other!O210</f>
        <v>639174.10818332178</v>
      </c>
      <c r="P206" s="81">
        <f ca="1">Low_Press!P287+AdHoc!P231+AdHoc!P506+AdHoc!P781+Medium_Press!P280+High_Press!P210+Dom_Meters!P231+Dom_Meters!P485+Com_Meters!P231+Com_Meters!P520+Net_Reg!P252+Net_Reg!P506+Cust_Reg!P231+Cust_Reg!P506+CP_SCADA!P259+CP_SCADA!P562+Aug!P245+Aug!P527+Cust_Conn!P215+Cust_Conn!P472+Cust_Conn!P727+Cust_Conn!P982+New_Towns!P210+New_Towns!P465+New_Towns!P733+IT!P336+Other!P210</f>
        <v>1398983.7412480507</v>
      </c>
      <c r="Q206" s="81">
        <f ca="1">Low_Press!Q287+AdHoc!Q231+AdHoc!Q506+AdHoc!Q781+Medium_Press!Q280+High_Press!Q210+Dom_Meters!Q231+Dom_Meters!Q485+Com_Meters!Q231+Com_Meters!Q520+Net_Reg!Q252+Net_Reg!Q506+Cust_Reg!Q231+Cust_Reg!Q506+CP_SCADA!Q259+CP_SCADA!Q562+Aug!Q245+Aug!Q527+Cust_Conn!Q215+Cust_Conn!Q472+Cust_Conn!Q727+Cust_Conn!Q982+New_Towns!Q210+New_Towns!Q465+New_Towns!Q733+IT!Q336+Other!Q210</f>
        <v>1566008.8721401703</v>
      </c>
      <c r="R206" s="81">
        <f ca="1">Low_Press!R287+AdHoc!R231+AdHoc!R506+AdHoc!R781+Medium_Press!R280+High_Press!R210+Dom_Meters!R231+Dom_Meters!R485+Com_Meters!R231+Com_Meters!R520+Net_Reg!R252+Net_Reg!R506+Cust_Reg!R231+Cust_Reg!R506+CP_SCADA!R259+CP_SCADA!R562+Aug!R245+Aug!R527+Cust_Conn!R215+Cust_Conn!R472+Cust_Conn!R727+Cust_Conn!R982+New_Towns!R210+New_Towns!R465+New_Towns!R733+IT!R336+Other!R210</f>
        <v>1824563.0744635435</v>
      </c>
      <c r="S206" s="81">
        <f ca="1">Low_Press!S287+AdHoc!S231+AdHoc!S506+AdHoc!S781+Medium_Press!S280+High_Press!S210+Dom_Meters!S231+Dom_Meters!S485+Com_Meters!S231+Com_Meters!S520+Net_Reg!S252+Net_Reg!S506+Cust_Reg!S231+Cust_Reg!S506+CP_SCADA!S259+CP_SCADA!S562+Aug!S245+Aug!S527+Cust_Conn!S215+Cust_Conn!S472+Cust_Conn!S727+Cust_Conn!S982+New_Towns!S210+New_Towns!S465+New_Towns!S733+IT!S336+Other!S210</f>
        <v>1719984.7326733451</v>
      </c>
      <c r="T206" s="81">
        <f ca="1">Low_Press!T287+AdHoc!T231+AdHoc!T506+AdHoc!T781+Medium_Press!T280+High_Press!T210+Dom_Meters!T231+Dom_Meters!T485+Com_Meters!T231+Com_Meters!T520+Net_Reg!T252+Net_Reg!T506+Cust_Reg!T231+Cust_Reg!T506+CP_SCADA!T259+CP_SCADA!T562+Aug!T245+Aug!T527+Cust_Conn!T215+Cust_Conn!T472+Cust_Conn!T727+Cust_Conn!T982+New_Towns!T210+New_Towns!T465+New_Towns!T733+IT!T336+Other!T210</f>
        <v>1301572.2832924072</v>
      </c>
    </row>
    <row r="207" spans="5:20" outlineLevel="1">
      <c r="F207" s="247" t="str">
        <f>GC!C65</f>
        <v>Augmentation</v>
      </c>
      <c r="G207" s="247"/>
      <c r="H207" s="247"/>
      <c r="I207" s="247"/>
      <c r="J207" s="81">
        <f ca="1">Low_Press!J288+AdHoc!J232+AdHoc!J507+AdHoc!J782+Medium_Press!J281+High_Press!J211+Dom_Meters!J232+Dom_Meters!J486+Com_Meters!J232+Com_Meters!J521+Net_Reg!J253+Net_Reg!J507+Cust_Reg!J232+Cust_Reg!J507+CP_SCADA!J260+CP_SCADA!J563+Aug!J246+Aug!J528+Cust_Conn!J216+Cust_Conn!J473+Cust_Conn!J728+Cust_Conn!J983+New_Towns!J211+New_Towns!J466+New_Towns!J734+IT!J337+Other!J211</f>
        <v>0</v>
      </c>
      <c r="K207" s="81">
        <f ca="1">Low_Press!K288+AdHoc!K232+AdHoc!K507+AdHoc!K782+Medium_Press!K281+High_Press!K211+Dom_Meters!K232+Dom_Meters!K486+Com_Meters!K232+Com_Meters!K521+Net_Reg!K253+Net_Reg!K507+Cust_Reg!K232+Cust_Reg!K507+CP_SCADA!K260+CP_SCADA!K563+Aug!K246+Aug!K528+Cust_Conn!K216+Cust_Conn!K473+Cust_Conn!K728+Cust_Conn!K983+New_Towns!K211+New_Towns!K466+New_Towns!K734+IT!K337+Other!K211</f>
        <v>0</v>
      </c>
      <c r="L207" s="81">
        <f ca="1">Low_Press!L288+AdHoc!L232+AdHoc!L507+AdHoc!L782+Medium_Press!L281+High_Press!L211+Dom_Meters!L232+Dom_Meters!L486+Com_Meters!L232+Com_Meters!L521+Net_Reg!L253+Net_Reg!L507+Cust_Reg!L232+Cust_Reg!L507+CP_SCADA!L260+CP_SCADA!L563+Aug!L246+Aug!L528+Cust_Conn!L216+Cust_Conn!L473+Cust_Conn!L728+Cust_Conn!L983+New_Towns!L211+New_Towns!L466+New_Towns!L734+IT!L337+Other!L211</f>
        <v>0</v>
      </c>
      <c r="M207" s="81">
        <f ca="1">Low_Press!M288+AdHoc!M232+AdHoc!M507+AdHoc!M782+Medium_Press!M281+High_Press!M211+Dom_Meters!M232+Dom_Meters!M486+Com_Meters!M232+Com_Meters!M521+Net_Reg!M253+Net_Reg!M507+Cust_Reg!M232+Cust_Reg!M507+CP_SCADA!M260+CP_SCADA!M563+Aug!M246+Aug!M528+Cust_Conn!M216+Cust_Conn!M473+Cust_Conn!M728+Cust_Conn!M983+New_Towns!M211+New_Towns!M466+New_Towns!M734+IT!M337+Other!M211</f>
        <v>0</v>
      </c>
      <c r="N207" s="81">
        <f ca="1">Low_Press!N288+AdHoc!N232+AdHoc!N507+AdHoc!N782+Medium_Press!N281+High_Press!N211+Dom_Meters!N232+Dom_Meters!N486+Com_Meters!N232+Com_Meters!N521+Net_Reg!N253+Net_Reg!N507+Cust_Reg!N232+Cust_Reg!N507+CP_SCADA!N260+CP_SCADA!N563+Aug!N246+Aug!N528+Cust_Conn!N216+Cust_Conn!N473+Cust_Conn!N728+Cust_Conn!N983+New_Towns!N211+New_Towns!N466+New_Towns!N734+IT!N337+Other!N211</f>
        <v>3725253.527841893</v>
      </c>
      <c r="O207" s="81">
        <f ca="1">Low_Press!O288+AdHoc!O232+AdHoc!O507+AdHoc!O782+Medium_Press!O281+High_Press!O211+Dom_Meters!O232+Dom_Meters!O486+Com_Meters!O232+Com_Meters!O521+Net_Reg!O253+Net_Reg!O507+Cust_Reg!O232+Cust_Reg!O507+CP_SCADA!O260+CP_SCADA!O563+Aug!O246+Aug!O528+Cust_Conn!O216+Cust_Conn!O473+Cust_Conn!O728+Cust_Conn!O983+New_Towns!O211+New_Towns!O466+New_Towns!O734+IT!O337+Other!O211</f>
        <v>2581149.7743411139</v>
      </c>
      <c r="P207" s="81">
        <f ca="1">Low_Press!P288+AdHoc!P232+AdHoc!P507+AdHoc!P782+Medium_Press!P281+High_Press!P211+Dom_Meters!P232+Dom_Meters!P486+Com_Meters!P232+Com_Meters!P521+Net_Reg!P253+Net_Reg!P507+Cust_Reg!P232+Cust_Reg!P507+CP_SCADA!P260+CP_SCADA!P563+Aug!P246+Aug!P528+Cust_Conn!P216+Cust_Conn!P473+Cust_Conn!P728+Cust_Conn!P983+New_Towns!P211+New_Towns!P466+New_Towns!P734+IT!P337+Other!P211</f>
        <v>4752598.3664843151</v>
      </c>
      <c r="Q207" s="81">
        <f ca="1">Low_Press!Q288+AdHoc!Q232+AdHoc!Q507+AdHoc!Q782+Medium_Press!Q281+High_Press!Q211+Dom_Meters!Q232+Dom_Meters!Q486+Com_Meters!Q232+Com_Meters!Q521+Net_Reg!Q253+Net_Reg!Q507+Cust_Reg!Q232+Cust_Reg!Q507+CP_SCADA!Q260+CP_SCADA!Q563+Aug!Q246+Aug!Q528+Cust_Conn!Q216+Cust_Conn!Q473+Cust_Conn!Q728+Cust_Conn!Q983+New_Towns!Q211+New_Towns!Q466+New_Towns!Q734+IT!Q337+Other!Q211</f>
        <v>6268082.3316884516</v>
      </c>
      <c r="R207" s="81">
        <f ca="1">Low_Press!R288+AdHoc!R232+AdHoc!R507+AdHoc!R782+Medium_Press!R281+High_Press!R211+Dom_Meters!R232+Dom_Meters!R486+Com_Meters!R232+Com_Meters!R521+Net_Reg!R253+Net_Reg!R507+Cust_Reg!R232+Cust_Reg!R507+CP_SCADA!R260+CP_SCADA!R563+Aug!R246+Aug!R528+Cust_Conn!R216+Cust_Conn!R473+Cust_Conn!R728+Cust_Conn!R983+New_Towns!R211+New_Towns!R466+New_Towns!R734+IT!R337+Other!R211</f>
        <v>3481069.1286397651</v>
      </c>
      <c r="S207" s="81">
        <f ca="1">Low_Press!S288+AdHoc!S232+AdHoc!S507+AdHoc!S782+Medium_Press!S281+High_Press!S211+Dom_Meters!S232+Dom_Meters!S486+Com_Meters!S232+Com_Meters!S521+Net_Reg!S253+Net_Reg!S507+Cust_Reg!S232+Cust_Reg!S507+CP_SCADA!S260+CP_SCADA!S563+Aug!S246+Aug!S528+Cust_Conn!S216+Cust_Conn!S473+Cust_Conn!S728+Cust_Conn!S983+New_Towns!S211+New_Towns!S466+New_Towns!S734+IT!S337+Other!S211</f>
        <v>2039832.5110424659</v>
      </c>
      <c r="T207" s="81">
        <f ca="1">Low_Press!T288+AdHoc!T232+AdHoc!T507+AdHoc!T782+Medium_Press!T281+High_Press!T211+Dom_Meters!T232+Dom_Meters!T486+Com_Meters!T232+Com_Meters!T521+Net_Reg!T253+Net_Reg!T507+Cust_Reg!T232+Cust_Reg!T507+CP_SCADA!T260+CP_SCADA!T563+Aug!T246+Aug!T528+Cust_Conn!T216+Cust_Conn!T473+Cust_Conn!T728+Cust_Conn!T983+New_Towns!T211+New_Towns!T466+New_Towns!T734+IT!T337+Other!T211</f>
        <v>5556078.0436728923</v>
      </c>
    </row>
    <row r="208" spans="5:20" outlineLevel="1">
      <c r="F208" s="247" t="str">
        <f>GC!C66</f>
        <v>IT capex</v>
      </c>
      <c r="G208" s="247"/>
      <c r="H208" s="247"/>
      <c r="I208" s="247"/>
      <c r="J208" s="81">
        <f ca="1">Low_Press!J289+AdHoc!J233+AdHoc!J508+AdHoc!J783+Medium_Press!J282+High_Press!J212+Dom_Meters!J233+Dom_Meters!J487+Com_Meters!J233+Com_Meters!J522+Net_Reg!J254+Net_Reg!J508+Cust_Reg!J233+Cust_Reg!J508+CP_SCADA!J261+CP_SCADA!J564+Aug!J247+Aug!J529+Cust_Conn!J217+Cust_Conn!J474+Cust_Conn!J729+Cust_Conn!J984+New_Towns!J212+New_Towns!J467+New_Towns!J735+IT!J338+Other!J212</f>
        <v>0</v>
      </c>
      <c r="K208" s="81">
        <f ca="1">Low_Press!K289+AdHoc!K233+AdHoc!K508+AdHoc!K783+Medium_Press!K282+High_Press!K212+Dom_Meters!K233+Dom_Meters!K487+Com_Meters!K233+Com_Meters!K522+Net_Reg!K254+Net_Reg!K508+Cust_Reg!K233+Cust_Reg!K508+CP_SCADA!K261+CP_SCADA!K564+Aug!K247+Aug!K529+Cust_Conn!K217+Cust_Conn!K474+Cust_Conn!K729+Cust_Conn!K984+New_Towns!K212+New_Towns!K467+New_Towns!K735+IT!K338+Other!K212</f>
        <v>0</v>
      </c>
      <c r="L208" s="81">
        <f ca="1">Low_Press!L289+AdHoc!L233+AdHoc!L508+AdHoc!L783+Medium_Press!L282+High_Press!L212+Dom_Meters!L233+Dom_Meters!L487+Com_Meters!L233+Com_Meters!L522+Net_Reg!L254+Net_Reg!L508+Cust_Reg!L233+Cust_Reg!L508+CP_SCADA!L261+CP_SCADA!L564+Aug!L247+Aug!L529+Cust_Conn!L217+Cust_Conn!L474+Cust_Conn!L729+Cust_Conn!L984+New_Towns!L212+New_Towns!L467+New_Towns!L735+IT!L338+Other!L212</f>
        <v>0</v>
      </c>
      <c r="M208" s="81">
        <f ca="1">Low_Press!M289+AdHoc!M233+AdHoc!M508+AdHoc!M783+Medium_Press!M282+High_Press!M212+Dom_Meters!M233+Dom_Meters!M487+Com_Meters!M233+Com_Meters!M522+Net_Reg!M254+Net_Reg!M508+Cust_Reg!M233+Cust_Reg!M508+CP_SCADA!M261+CP_SCADA!M564+Aug!M247+Aug!M529+Cust_Conn!M217+Cust_Conn!M474+Cust_Conn!M729+Cust_Conn!M984+New_Towns!M212+New_Towns!M467+New_Towns!M735+IT!M338+Other!M212</f>
        <v>0</v>
      </c>
      <c r="N208" s="81">
        <f ca="1">Low_Press!N289+AdHoc!N233+AdHoc!N508+AdHoc!N783+Medium_Press!N282+High_Press!N212+Dom_Meters!N233+Dom_Meters!N487+Com_Meters!N233+Com_Meters!N522+Net_Reg!N254+Net_Reg!N508+Cust_Reg!N233+Cust_Reg!N508+CP_SCADA!N261+CP_SCADA!N564+Aug!N247+Aug!N529+Cust_Conn!N217+Cust_Conn!N474+Cust_Conn!N729+Cust_Conn!N984+New_Towns!N212+New_Towns!N467+New_Towns!N735+IT!N338+Other!N212</f>
        <v>6978279.2324051764</v>
      </c>
      <c r="O208" s="81">
        <f ca="1">Low_Press!O289+AdHoc!O233+AdHoc!O508+AdHoc!O783+Medium_Press!O282+High_Press!O212+Dom_Meters!O233+Dom_Meters!O487+Com_Meters!O233+Com_Meters!O522+Net_Reg!O254+Net_Reg!O508+Cust_Reg!O233+Cust_Reg!O508+CP_SCADA!O261+CP_SCADA!O564+Aug!O247+Aug!O529+Cust_Conn!O217+Cust_Conn!O474+Cust_Conn!O729+Cust_Conn!O984+New_Towns!O212+New_Towns!O467+New_Towns!O735+IT!O338+Other!O212</f>
        <v>3488182.2561022043</v>
      </c>
      <c r="P208" s="81">
        <f ca="1">Low_Press!P289+AdHoc!P233+AdHoc!P508+AdHoc!P783+Medium_Press!P282+High_Press!P212+Dom_Meters!P233+Dom_Meters!P487+Com_Meters!P233+Com_Meters!P522+Net_Reg!P254+Net_Reg!P508+Cust_Reg!P233+Cust_Reg!P508+CP_SCADA!P261+CP_SCADA!P564+Aug!P247+Aug!P529+Cust_Conn!P217+Cust_Conn!P474+Cust_Conn!P729+Cust_Conn!P984+New_Towns!P212+New_Towns!P467+New_Towns!P735+IT!P338+Other!P212</f>
        <v>15450246.321215272</v>
      </c>
      <c r="Q208" s="81">
        <f ca="1">Low_Press!Q289+AdHoc!Q233+AdHoc!Q508+AdHoc!Q783+Medium_Press!Q282+High_Press!Q212+Dom_Meters!Q233+Dom_Meters!Q487+Com_Meters!Q233+Com_Meters!Q522+Net_Reg!Q254+Net_Reg!Q508+Cust_Reg!Q233+Cust_Reg!Q508+CP_SCADA!Q261+CP_SCADA!Q564+Aug!Q247+Aug!Q529+Cust_Conn!Q217+Cust_Conn!Q474+Cust_Conn!Q729+Cust_Conn!Q984+New_Towns!Q212+New_Towns!Q467+New_Towns!Q735+IT!Q338+Other!Q212</f>
        <v>17734287.311775222</v>
      </c>
      <c r="R208" s="81">
        <f ca="1">Low_Press!R289+AdHoc!R233+AdHoc!R508+AdHoc!R783+Medium_Press!R282+High_Press!R212+Dom_Meters!R233+Dom_Meters!R487+Com_Meters!R233+Com_Meters!R522+Net_Reg!R254+Net_Reg!R508+Cust_Reg!R233+Cust_Reg!R508+CP_SCADA!R261+CP_SCADA!R564+Aug!R247+Aug!R529+Cust_Conn!R217+Cust_Conn!R474+Cust_Conn!R729+Cust_Conn!R984+New_Towns!R212+New_Towns!R467+New_Towns!R735+IT!R338+Other!R212</f>
        <v>19235231.025971476</v>
      </c>
      <c r="S208" s="81">
        <f ca="1">Low_Press!S289+AdHoc!S233+AdHoc!S508+AdHoc!S783+Medium_Press!S282+High_Press!S212+Dom_Meters!S233+Dom_Meters!S487+Com_Meters!S233+Com_Meters!S522+Net_Reg!S254+Net_Reg!S508+Cust_Reg!S233+Cust_Reg!S508+CP_SCADA!S261+CP_SCADA!S564+Aug!S247+Aug!S529+Cust_Conn!S217+Cust_Conn!S474+Cust_Conn!S729+Cust_Conn!S984+New_Towns!S212+New_Towns!S467+New_Towns!S735+IT!S338+Other!S212</f>
        <v>9637247.0975269582</v>
      </c>
      <c r="T208" s="81">
        <f ca="1">Low_Press!T289+AdHoc!T233+AdHoc!T508+AdHoc!T783+Medium_Press!T282+High_Press!T212+Dom_Meters!T233+Dom_Meters!T487+Com_Meters!T233+Com_Meters!T522+Net_Reg!T254+Net_Reg!T508+Cust_Reg!T233+Cust_Reg!T508+CP_SCADA!T261+CP_SCADA!T564+Aug!T247+Aug!T529+Cust_Conn!T217+Cust_Conn!T474+Cust_Conn!T729+Cust_Conn!T984+New_Towns!T212+New_Towns!T467+New_Towns!T735+IT!T338+Other!T212</f>
        <v>7158616.5859825984</v>
      </c>
    </row>
    <row r="209" spans="5:20" outlineLevel="1">
      <c r="F209" s="247" t="str">
        <f>GC!C67</f>
        <v>SCADA</v>
      </c>
      <c r="G209" s="247"/>
      <c r="H209" s="247"/>
      <c r="I209" s="247"/>
      <c r="J209" s="81">
        <f ca="1">Low_Press!J290+AdHoc!J234+AdHoc!J509+AdHoc!J784+Medium_Press!J283+High_Press!J213+Dom_Meters!J234+Dom_Meters!J488+Com_Meters!J234+Com_Meters!J523+Net_Reg!J255+Net_Reg!J509+Cust_Reg!J234+Cust_Reg!J509+CP_SCADA!J262+CP_SCADA!J565+Aug!J248+Aug!J530+Cust_Conn!J218+Cust_Conn!J475+Cust_Conn!J730+Cust_Conn!J985+New_Towns!J213+New_Towns!J468+New_Towns!J736+IT!J339+Other!J213</f>
        <v>0</v>
      </c>
      <c r="K209" s="81">
        <f ca="1">Low_Press!K290+AdHoc!K234+AdHoc!K509+AdHoc!K784+Medium_Press!K283+High_Press!K213+Dom_Meters!K234+Dom_Meters!K488+Com_Meters!K234+Com_Meters!K523+Net_Reg!K255+Net_Reg!K509+Cust_Reg!K234+Cust_Reg!K509+CP_SCADA!K262+CP_SCADA!K565+Aug!K248+Aug!K530+Cust_Conn!K218+Cust_Conn!K475+Cust_Conn!K730+Cust_Conn!K985+New_Towns!K213+New_Towns!K468+New_Towns!K736+IT!K339+Other!K213</f>
        <v>0</v>
      </c>
      <c r="L209" s="81">
        <f ca="1">Low_Press!L290+AdHoc!L234+AdHoc!L509+AdHoc!L784+Medium_Press!L283+High_Press!L213+Dom_Meters!L234+Dom_Meters!L488+Com_Meters!L234+Com_Meters!L523+Net_Reg!L255+Net_Reg!L509+Cust_Reg!L234+Cust_Reg!L509+CP_SCADA!L262+CP_SCADA!L565+Aug!L248+Aug!L530+Cust_Conn!L218+Cust_Conn!L475+Cust_Conn!L730+Cust_Conn!L985+New_Towns!L213+New_Towns!L468+New_Towns!L736+IT!L339+Other!L213</f>
        <v>0</v>
      </c>
      <c r="M209" s="81">
        <f ca="1">Low_Press!M290+AdHoc!M234+AdHoc!M509+AdHoc!M784+Medium_Press!M283+High_Press!M213+Dom_Meters!M234+Dom_Meters!M488+Com_Meters!M234+Com_Meters!M523+Net_Reg!M255+Net_Reg!M509+Cust_Reg!M234+Cust_Reg!M509+CP_SCADA!M262+CP_SCADA!M565+Aug!M248+Aug!M530+Cust_Conn!M218+Cust_Conn!M475+Cust_Conn!M730+Cust_Conn!M985+New_Towns!M213+New_Towns!M468+New_Towns!M736+IT!M339+Other!M213</f>
        <v>0</v>
      </c>
      <c r="N209" s="81">
        <f ca="1">Low_Press!N290+AdHoc!N234+AdHoc!N509+AdHoc!N784+Medium_Press!N283+High_Press!N213+Dom_Meters!N234+Dom_Meters!N488+Com_Meters!N234+Com_Meters!N523+Net_Reg!N255+Net_Reg!N509+Cust_Reg!N234+Cust_Reg!N509+CP_SCADA!N262+CP_SCADA!N565+Aug!N248+Aug!N530+Cust_Conn!N218+Cust_Conn!N475+Cust_Conn!N730+Cust_Conn!N985+New_Towns!N213+New_Towns!N468+New_Towns!N736+IT!N339+Other!N213</f>
        <v>1309317.2477967648</v>
      </c>
      <c r="O209" s="81">
        <f ca="1">Low_Press!O290+AdHoc!O234+AdHoc!O509+AdHoc!O784+Medium_Press!O283+High_Press!O213+Dom_Meters!O234+Dom_Meters!O488+Com_Meters!O234+Com_Meters!O523+Net_Reg!O255+Net_Reg!O509+Cust_Reg!O234+Cust_Reg!O509+CP_SCADA!O262+CP_SCADA!O565+Aug!O248+Aug!O530+Cust_Conn!O218+Cust_Conn!O475+Cust_Conn!O730+Cust_Conn!O985+New_Towns!O213+New_Towns!O468+New_Towns!O736+IT!O339+Other!O213</f>
        <v>144682.30489869133</v>
      </c>
      <c r="P209" s="81">
        <f ca="1">Low_Press!P290+AdHoc!P234+AdHoc!P509+AdHoc!P784+Medium_Press!P283+High_Press!P213+Dom_Meters!P234+Dom_Meters!P488+Com_Meters!P234+Com_Meters!P523+Net_Reg!P255+Net_Reg!P509+Cust_Reg!P234+Cust_Reg!P509+CP_SCADA!P262+CP_SCADA!P565+Aug!P248+Aug!P530+Cust_Conn!P218+Cust_Conn!P475+Cust_Conn!P730+Cust_Conn!P985+New_Towns!P213+New_Towns!P468+New_Towns!P736+IT!P339+Other!P213</f>
        <v>1186263.281590621</v>
      </c>
      <c r="Q209" s="81">
        <f ca="1">Low_Press!Q290+AdHoc!Q234+AdHoc!Q509+AdHoc!Q784+Medium_Press!Q283+High_Press!Q213+Dom_Meters!Q234+Dom_Meters!Q488+Com_Meters!Q234+Com_Meters!Q523+Net_Reg!Q255+Net_Reg!Q509+Cust_Reg!Q234+Cust_Reg!Q509+CP_SCADA!Q262+CP_SCADA!Q565+Aug!Q248+Aug!Q530+Cust_Conn!Q218+Cust_Conn!Q475+Cust_Conn!Q730+Cust_Conn!Q985+New_Towns!Q213+New_Towns!Q468+New_Towns!Q736+IT!Q339+Other!Q213</f>
        <v>1134412.8486350176</v>
      </c>
      <c r="R209" s="81">
        <f ca="1">Low_Press!R290+AdHoc!R234+AdHoc!R509+AdHoc!R784+Medium_Press!R283+High_Press!R213+Dom_Meters!R234+Dom_Meters!R488+Com_Meters!R234+Com_Meters!R523+Net_Reg!R255+Net_Reg!R509+Cust_Reg!R234+Cust_Reg!R509+CP_SCADA!R262+CP_SCADA!R565+Aug!R248+Aug!R530+Cust_Conn!R218+Cust_Conn!R475+Cust_Conn!R730+Cust_Conn!R985+New_Towns!R213+New_Towns!R468+New_Towns!R736+IT!R339+Other!R213</f>
        <v>262082.90334976985</v>
      </c>
      <c r="S209" s="81">
        <f ca="1">Low_Press!S290+AdHoc!S234+AdHoc!S509+AdHoc!S784+Medium_Press!S283+High_Press!S213+Dom_Meters!S234+Dom_Meters!S488+Com_Meters!S234+Com_Meters!S523+Net_Reg!S255+Net_Reg!S509+Cust_Reg!S234+Cust_Reg!S509+CP_SCADA!S262+CP_SCADA!S565+Aug!S248+Aug!S530+Cust_Conn!S218+Cust_Conn!S475+Cust_Conn!S730+Cust_Conn!S985+New_Towns!S213+New_Towns!S468+New_Towns!S736+IT!S339+Other!S213</f>
        <v>239428.58711132233</v>
      </c>
      <c r="T209" s="81">
        <f ca="1">Low_Press!T290+AdHoc!T234+AdHoc!T509+AdHoc!T784+Medium_Press!T283+High_Press!T213+Dom_Meters!T234+Dom_Meters!T488+Com_Meters!T234+Com_Meters!T523+Net_Reg!T255+Net_Reg!T509+Cust_Reg!T234+Cust_Reg!T509+CP_SCADA!T262+CP_SCADA!T565+Aug!T248+Aug!T530+Cust_Conn!T218+Cust_Conn!T475+Cust_Conn!T730+Cust_Conn!T985+New_Towns!T213+New_Towns!T468+New_Towns!T736+IT!T339+Other!T213</f>
        <v>263040.20344222145</v>
      </c>
    </row>
    <row r="210" spans="5:20" outlineLevel="1">
      <c r="F210" s="247" t="str">
        <f>GC!C68</f>
        <v>Other</v>
      </c>
      <c r="G210" s="247"/>
      <c r="H210" s="247"/>
      <c r="I210" s="247"/>
      <c r="J210" s="81">
        <f ca="1">Low_Press!J291+AdHoc!J235+AdHoc!J510+AdHoc!J785+Medium_Press!J284+High_Press!J214+Dom_Meters!J235+Dom_Meters!J489+Com_Meters!J235+Com_Meters!J524+Net_Reg!J256+Net_Reg!J510+Cust_Reg!J235+Cust_Reg!J510+CP_SCADA!J263+CP_SCADA!J566+Aug!J249+Aug!J531+Cust_Conn!J219+Cust_Conn!J476+Cust_Conn!J731+Cust_Conn!J986+New_Towns!J214+New_Towns!J469+New_Towns!J737+IT!J340+Other!J214</f>
        <v>0</v>
      </c>
      <c r="K210" s="81">
        <f ca="1">Low_Press!K291+AdHoc!K235+AdHoc!K510+AdHoc!K785+Medium_Press!K284+High_Press!K214+Dom_Meters!K235+Dom_Meters!K489+Com_Meters!K235+Com_Meters!K524+Net_Reg!K256+Net_Reg!K510+Cust_Reg!K235+Cust_Reg!K510+CP_SCADA!K263+CP_SCADA!K566+Aug!K249+Aug!K531+Cust_Conn!K219+Cust_Conn!K476+Cust_Conn!K731+Cust_Conn!K986+New_Towns!K214+New_Towns!K469+New_Towns!K737+IT!K340+Other!K214</f>
        <v>0</v>
      </c>
      <c r="L210" s="81">
        <f ca="1">Low_Press!L291+AdHoc!L235+AdHoc!L510+AdHoc!L785+Medium_Press!L284+High_Press!L214+Dom_Meters!L235+Dom_Meters!L489+Com_Meters!L235+Com_Meters!L524+Net_Reg!L256+Net_Reg!L510+Cust_Reg!L235+Cust_Reg!L510+CP_SCADA!L263+CP_SCADA!L566+Aug!L249+Aug!L531+Cust_Conn!L219+Cust_Conn!L476+Cust_Conn!L731+Cust_Conn!L986+New_Towns!L214+New_Towns!L469+New_Towns!L737+IT!L340+Other!L214</f>
        <v>0</v>
      </c>
      <c r="M210" s="81">
        <f ca="1">Low_Press!M291+AdHoc!M235+AdHoc!M510+AdHoc!M785+Medium_Press!M284+High_Press!M214+Dom_Meters!M235+Dom_Meters!M489+Com_Meters!M235+Com_Meters!M524+Net_Reg!M256+Net_Reg!M510+Cust_Reg!M235+Cust_Reg!M510+CP_SCADA!M263+CP_SCADA!M566+Aug!M249+Aug!M531+Cust_Conn!M219+Cust_Conn!M476+Cust_Conn!M731+Cust_Conn!M986+New_Towns!M214+New_Towns!M469+New_Towns!M737+IT!M340+Other!M214</f>
        <v>0</v>
      </c>
      <c r="N210" s="81">
        <f ca="1">Low_Press!N291+AdHoc!N235+AdHoc!N510+AdHoc!N785+Medium_Press!N284+High_Press!N214+Dom_Meters!N235+Dom_Meters!N489+Com_Meters!N235+Com_Meters!N524+Net_Reg!N256+Net_Reg!N510+Cust_Reg!N235+Cust_Reg!N510+CP_SCADA!N263+CP_SCADA!N566+Aug!N249+Aug!N531+Cust_Conn!N219+Cust_Conn!N476+Cust_Conn!N731+Cust_Conn!N986+New_Towns!N214+New_Towns!N469+New_Towns!N737+IT!N340+Other!N214</f>
        <v>10724152.026995555</v>
      </c>
      <c r="O210" s="81">
        <f ca="1">Low_Press!O291+AdHoc!O235+AdHoc!O510+AdHoc!O785+Medium_Press!O284+High_Press!O214+Dom_Meters!O235+Dom_Meters!O489+Com_Meters!O235+Com_Meters!O524+Net_Reg!O256+Net_Reg!O510+Cust_Reg!O235+Cust_Reg!O510+CP_SCADA!O263+CP_SCADA!O566+Aug!O249+Aug!O531+Cust_Conn!O219+Cust_Conn!O476+Cust_Conn!O731+Cust_Conn!O986+New_Towns!O214+New_Towns!O469+New_Towns!O737+IT!O340+Other!O214</f>
        <v>4598566.3999642981</v>
      </c>
      <c r="P210" s="81">
        <f ca="1">Low_Press!P291+AdHoc!P235+AdHoc!P510+AdHoc!P785+Medium_Press!P284+High_Press!P214+Dom_Meters!P235+Dom_Meters!P489+Com_Meters!P235+Com_Meters!P524+Net_Reg!P256+Net_Reg!P510+Cust_Reg!P235+Cust_Reg!P510+CP_SCADA!P263+CP_SCADA!P566+Aug!P249+Aug!P531+Cust_Conn!P219+Cust_Conn!P476+Cust_Conn!P731+Cust_Conn!P986+New_Towns!P214+New_Towns!P469+New_Towns!P737+IT!P340+Other!P214</f>
        <v>10888114.245719431</v>
      </c>
      <c r="Q210" s="81">
        <f ca="1">Low_Press!Q291+AdHoc!Q235+AdHoc!Q510+AdHoc!Q785+Medium_Press!Q284+High_Press!Q214+Dom_Meters!Q235+Dom_Meters!Q489+Com_Meters!Q235+Com_Meters!Q524+Net_Reg!Q256+Net_Reg!Q510+Cust_Reg!Q235+Cust_Reg!Q510+CP_SCADA!Q263+CP_SCADA!Q566+Aug!Q249+Aug!Q531+Cust_Conn!Q219+Cust_Conn!Q476+Cust_Conn!Q731+Cust_Conn!Q986+New_Towns!Q214+New_Towns!Q469+New_Towns!Q737+IT!Q340+Other!Q214</f>
        <v>11566285.80555528</v>
      </c>
      <c r="R210" s="81">
        <f ca="1">Low_Press!R291+AdHoc!R235+AdHoc!R510+AdHoc!R785+Medium_Press!R284+High_Press!R214+Dom_Meters!R235+Dom_Meters!R489+Com_Meters!R235+Com_Meters!R524+Net_Reg!R256+Net_Reg!R510+Cust_Reg!R235+Cust_Reg!R510+CP_SCADA!R263+CP_SCADA!R566+Aug!R249+Aug!R531+Cust_Conn!R219+Cust_Conn!R476+Cust_Conn!R731+Cust_Conn!R986+New_Towns!R214+New_Towns!R469+New_Towns!R737+IT!R340+Other!R214</f>
        <v>11963529.366167122</v>
      </c>
      <c r="S210" s="81">
        <f ca="1">Low_Press!S291+AdHoc!S235+AdHoc!S510+AdHoc!S785+Medium_Press!S284+High_Press!S214+Dom_Meters!S235+Dom_Meters!S489+Com_Meters!S235+Com_Meters!S524+Net_Reg!S256+Net_Reg!S510+Cust_Reg!S235+Cust_Reg!S510+CP_SCADA!S263+CP_SCADA!S566+Aug!S249+Aug!S531+Cust_Conn!S219+Cust_Conn!S476+Cust_Conn!S731+Cust_Conn!S986+New_Towns!S214+New_Towns!S469+New_Towns!S737+IT!S340+Other!S214</f>
        <v>10100954.567188729</v>
      </c>
      <c r="T210" s="81">
        <f ca="1">Low_Press!T291+AdHoc!T235+AdHoc!T510+AdHoc!T785+Medium_Press!T284+High_Press!T214+Dom_Meters!T235+Dom_Meters!T489+Com_Meters!T235+Com_Meters!T524+Net_Reg!T256+Net_Reg!T510+Cust_Reg!T235+Cust_Reg!T510+CP_SCADA!T263+CP_SCADA!T566+Aug!T249+Aug!T531+Cust_Conn!T219+Cust_Conn!T476+Cust_Conn!T731+Cust_Conn!T986+New_Towns!T214+New_Towns!T469+New_Towns!T737+IT!T340+Other!T214</f>
        <v>9591141.8386671413</v>
      </c>
    </row>
    <row r="211" spans="5:20" outlineLevel="1">
      <c r="F211" s="247" t="str">
        <f>GC!C69</f>
        <v>Capitalised Leases</v>
      </c>
      <c r="G211" s="247"/>
      <c r="H211" s="247"/>
      <c r="I211" s="247"/>
      <c r="J211" s="81">
        <f ca="1">Low_Press!J292+AdHoc!J236+AdHoc!J511+AdHoc!J786+Medium_Press!J285+High_Press!J215+Dom_Meters!J236+Dom_Meters!J490+Com_Meters!J236+Com_Meters!J525+Net_Reg!J257+Net_Reg!J511+Cust_Reg!J236+Cust_Reg!J511+CP_SCADA!J264+CP_SCADA!J567+Aug!J250+Aug!J532+Cust_Conn!J220+Cust_Conn!J477+Cust_Conn!J732+Cust_Conn!J987+New_Towns!J215+New_Towns!J470+New_Towns!J738+IT!J341+Other!J215</f>
        <v>0</v>
      </c>
      <c r="K211" s="81">
        <f ca="1">Low_Press!K292+AdHoc!K236+AdHoc!K511+AdHoc!K786+Medium_Press!K285+High_Press!K215+Dom_Meters!K236+Dom_Meters!K490+Com_Meters!K236+Com_Meters!K525+Net_Reg!K257+Net_Reg!K511+Cust_Reg!K236+Cust_Reg!K511+CP_SCADA!K264+CP_SCADA!K567+Aug!K250+Aug!K532+Cust_Conn!K220+Cust_Conn!K477+Cust_Conn!K732+Cust_Conn!K987+New_Towns!K215+New_Towns!K470+New_Towns!K738+IT!K341+Other!K215</f>
        <v>0</v>
      </c>
      <c r="L211" s="81">
        <f ca="1">Low_Press!L292+AdHoc!L236+AdHoc!L511+AdHoc!L786+Medium_Press!L285+High_Press!L215+Dom_Meters!L236+Dom_Meters!L490+Com_Meters!L236+Com_Meters!L525+Net_Reg!L257+Net_Reg!L511+Cust_Reg!L236+Cust_Reg!L511+CP_SCADA!L264+CP_SCADA!L567+Aug!L250+Aug!L532+Cust_Conn!L220+Cust_Conn!L477+Cust_Conn!L732+Cust_Conn!L987+New_Towns!L215+New_Towns!L470+New_Towns!L738+IT!L341+Other!L215</f>
        <v>0</v>
      </c>
      <c r="M211" s="81">
        <f ca="1">Low_Press!M292+AdHoc!M236+AdHoc!M511+AdHoc!M786+Medium_Press!M285+High_Press!M215+Dom_Meters!M236+Dom_Meters!M490+Com_Meters!M236+Com_Meters!M525+Net_Reg!M257+Net_Reg!M511+Cust_Reg!M236+Cust_Reg!M511+CP_SCADA!M264+CP_SCADA!M567+Aug!M250+Aug!M532+Cust_Conn!M220+Cust_Conn!M477+Cust_Conn!M732+Cust_Conn!M987+New_Towns!M215+New_Towns!M470+New_Towns!M738+IT!M341+Other!M215</f>
        <v>0</v>
      </c>
      <c r="N211" s="81">
        <f ca="1">Low_Press!N292+AdHoc!N236+AdHoc!N511+AdHoc!N786+Medium_Press!N285+High_Press!N215+Dom_Meters!N236+Dom_Meters!N490+Com_Meters!N236+Com_Meters!N525+Net_Reg!N257+Net_Reg!N511+Cust_Reg!N236+Cust_Reg!N511+CP_SCADA!N264+CP_SCADA!N567+Aug!N250+Aug!N532+Cust_Conn!N220+Cust_Conn!N477+Cust_Conn!N732+Cust_Conn!N987+New_Towns!N215+New_Towns!N470+New_Towns!N738+IT!N341+Other!N215</f>
        <v>0</v>
      </c>
      <c r="O211" s="81">
        <f ca="1">Low_Press!O292+AdHoc!O236+AdHoc!O511+AdHoc!O786+Medium_Press!O285+High_Press!O215+Dom_Meters!O236+Dom_Meters!O490+Com_Meters!O236+Com_Meters!O525+Net_Reg!O257+Net_Reg!O511+Cust_Reg!O236+Cust_Reg!O511+CP_SCADA!O264+CP_SCADA!O567+Aug!O250+Aug!O532+Cust_Conn!O220+Cust_Conn!O477+Cust_Conn!O732+Cust_Conn!O987+New_Towns!O215+New_Towns!O470+New_Towns!O738+IT!O341+Other!O215</f>
        <v>0</v>
      </c>
      <c r="P211" s="81">
        <f ca="1">Low_Press!P292+AdHoc!P236+AdHoc!P511+AdHoc!P786+Medium_Press!P285+High_Press!P215+Dom_Meters!P236+Dom_Meters!P490+Com_Meters!P236+Com_Meters!P525+Net_Reg!P257+Net_Reg!P511+Cust_Reg!P236+Cust_Reg!P511+CP_SCADA!P264+CP_SCADA!P567+Aug!P250+Aug!P532+Cust_Conn!P220+Cust_Conn!P477+Cust_Conn!P732+Cust_Conn!P987+New_Towns!P215+New_Towns!P470+New_Towns!P738+IT!P341+Other!P215</f>
        <v>0</v>
      </c>
      <c r="Q211" s="81">
        <f ca="1">Low_Press!Q292+AdHoc!Q236+AdHoc!Q511+AdHoc!Q786+Medium_Press!Q285+High_Press!Q215+Dom_Meters!Q236+Dom_Meters!Q490+Com_Meters!Q236+Com_Meters!Q525+Net_Reg!Q257+Net_Reg!Q511+Cust_Reg!Q236+Cust_Reg!Q511+CP_SCADA!Q264+CP_SCADA!Q567+Aug!Q250+Aug!Q532+Cust_Conn!Q220+Cust_Conn!Q477+Cust_Conn!Q732+Cust_Conn!Q987+New_Towns!Q215+New_Towns!Q470+New_Towns!Q738+IT!Q341+Other!Q215</f>
        <v>0</v>
      </c>
      <c r="R211" s="81">
        <f ca="1">Low_Press!R292+AdHoc!R236+AdHoc!R511+AdHoc!R786+Medium_Press!R285+High_Press!R215+Dom_Meters!R236+Dom_Meters!R490+Com_Meters!R236+Com_Meters!R525+Net_Reg!R257+Net_Reg!R511+Cust_Reg!R236+Cust_Reg!R511+CP_SCADA!R264+CP_SCADA!R567+Aug!R250+Aug!R532+Cust_Conn!R220+Cust_Conn!R477+Cust_Conn!R732+Cust_Conn!R987+New_Towns!R215+New_Towns!R470+New_Towns!R738+IT!R341+Other!R215</f>
        <v>0</v>
      </c>
      <c r="S211" s="81">
        <f ca="1">Low_Press!S292+AdHoc!S236+AdHoc!S511+AdHoc!S786+Medium_Press!S285+High_Press!S215+Dom_Meters!S236+Dom_Meters!S490+Com_Meters!S236+Com_Meters!S525+Net_Reg!S257+Net_Reg!S511+Cust_Reg!S236+Cust_Reg!S511+CP_SCADA!S264+CP_SCADA!S567+Aug!S250+Aug!S532+Cust_Conn!S220+Cust_Conn!S477+Cust_Conn!S732+Cust_Conn!S987+New_Towns!S215+New_Towns!S470+New_Towns!S738+IT!S341+Other!S215</f>
        <v>0</v>
      </c>
      <c r="T211" s="81">
        <f ca="1">Low_Press!T292+AdHoc!T236+AdHoc!T511+AdHoc!T786+Medium_Press!T285+High_Press!T215+Dom_Meters!T236+Dom_Meters!T490+Com_Meters!T236+Com_Meters!T525+Net_Reg!T257+Net_Reg!T511+Cust_Reg!T236+Cust_Reg!T511+CP_SCADA!T264+CP_SCADA!T567+Aug!T250+Aug!T532+Cust_Conn!T220+Cust_Conn!T477+Cust_Conn!T732+Cust_Conn!T987+New_Towns!T215+New_Towns!T470+New_Towns!T738+IT!T341+Other!T215</f>
        <v>0</v>
      </c>
    </row>
    <row r="212" spans="5:20" outlineLevel="1">
      <c r="F212" s="247" t="str">
        <f>GC!C70</f>
        <v>Gas Extensions - Energy for the Regions</v>
      </c>
      <c r="G212" s="247"/>
      <c r="H212" s="247"/>
      <c r="I212" s="247"/>
      <c r="J212" s="81">
        <f ca="1">Low_Press!J293+AdHoc!J237+AdHoc!J512+AdHoc!J787+Medium_Press!J286+High_Press!J216+Dom_Meters!J237+Dom_Meters!J491+Com_Meters!J237+Com_Meters!J526+Net_Reg!J258+Net_Reg!J512+Cust_Reg!J237+Cust_Reg!J512+CP_SCADA!J265+CP_SCADA!J568+Aug!J251+Aug!J533+Cust_Conn!J221+Cust_Conn!J478+Cust_Conn!J733+Cust_Conn!J988+New_Towns!J216+New_Towns!J471+New_Towns!J739+IT!J342+Other!J216</f>
        <v>0</v>
      </c>
      <c r="K212" s="81">
        <f ca="1">Low_Press!K293+AdHoc!K237+AdHoc!K512+AdHoc!K787+Medium_Press!K286+High_Press!K216+Dom_Meters!K237+Dom_Meters!K491+Com_Meters!K237+Com_Meters!K526+Net_Reg!K258+Net_Reg!K512+Cust_Reg!K237+Cust_Reg!K512+CP_SCADA!K265+CP_SCADA!K568+Aug!K251+Aug!K533+Cust_Conn!K221+Cust_Conn!K478+Cust_Conn!K733+Cust_Conn!K988+New_Towns!K216+New_Towns!K471+New_Towns!K739+IT!K342+Other!K216</f>
        <v>0</v>
      </c>
      <c r="L212" s="81">
        <f ca="1">Low_Press!L293+AdHoc!L237+AdHoc!L512+AdHoc!L787+Medium_Press!L286+High_Press!L216+Dom_Meters!L237+Dom_Meters!L491+Com_Meters!L237+Com_Meters!L526+Net_Reg!L258+Net_Reg!L512+Cust_Reg!L237+Cust_Reg!L512+CP_SCADA!L265+CP_SCADA!L568+Aug!L251+Aug!L533+Cust_Conn!L221+Cust_Conn!L478+Cust_Conn!L733+Cust_Conn!L988+New_Towns!L216+New_Towns!L471+New_Towns!L739+IT!L342+Other!L216</f>
        <v>0</v>
      </c>
      <c r="M212" s="81">
        <f ca="1">Low_Press!M293+AdHoc!M237+AdHoc!M512+AdHoc!M787+Medium_Press!M286+High_Press!M216+Dom_Meters!M237+Dom_Meters!M491+Com_Meters!M237+Com_Meters!M526+Net_Reg!M258+Net_Reg!M512+Cust_Reg!M237+Cust_Reg!M512+CP_SCADA!M265+CP_SCADA!M568+Aug!M251+Aug!M533+Cust_Conn!M221+Cust_Conn!M478+Cust_Conn!M733+Cust_Conn!M988+New_Towns!M216+New_Towns!M471+New_Towns!M739+IT!M342+Other!M216</f>
        <v>0</v>
      </c>
      <c r="N212" s="81">
        <f ca="1">Low_Press!N293+AdHoc!N237+AdHoc!N512+AdHoc!N787+Medium_Press!N286+High_Press!N216+Dom_Meters!N237+Dom_Meters!N491+Com_Meters!N237+Com_Meters!N526+Net_Reg!N258+Net_Reg!N512+Cust_Reg!N237+Cust_Reg!N512+CP_SCADA!N265+CP_SCADA!N568+Aug!N251+Aug!N533+Cust_Conn!N221+Cust_Conn!N478+Cust_Conn!N733+Cust_Conn!N988+New_Towns!N216+New_Towns!N471+New_Towns!N739+IT!N342+Other!N216</f>
        <v>0</v>
      </c>
      <c r="O212" s="81">
        <f ca="1">Low_Press!O293+AdHoc!O237+AdHoc!O512+AdHoc!O787+Medium_Press!O286+High_Press!O216+Dom_Meters!O237+Dom_Meters!O491+Com_Meters!O237+Com_Meters!O526+Net_Reg!O258+Net_Reg!O512+Cust_Reg!O237+Cust_Reg!O512+CP_SCADA!O265+CP_SCADA!O568+Aug!O251+Aug!O533+Cust_Conn!O221+Cust_Conn!O478+Cust_Conn!O733+Cust_Conn!O988+New_Towns!O216+New_Towns!O471+New_Towns!O739+IT!O342+Other!O216</f>
        <v>0</v>
      </c>
      <c r="P212" s="81">
        <f ca="1">Low_Press!P293+AdHoc!P237+AdHoc!P512+AdHoc!P787+Medium_Press!P286+High_Press!P216+Dom_Meters!P237+Dom_Meters!P491+Com_Meters!P237+Com_Meters!P526+Net_Reg!P258+Net_Reg!P512+Cust_Reg!P237+Cust_Reg!P512+CP_SCADA!P265+CP_SCADA!P568+Aug!P251+Aug!P533+Cust_Conn!P221+Cust_Conn!P478+Cust_Conn!P733+Cust_Conn!P988+New_Towns!P216+New_Towns!P471+New_Towns!P739+IT!P342+Other!P216</f>
        <v>0</v>
      </c>
      <c r="Q212" s="81">
        <f ca="1">Low_Press!Q293+AdHoc!Q237+AdHoc!Q512+AdHoc!Q787+Medium_Press!Q286+High_Press!Q216+Dom_Meters!Q237+Dom_Meters!Q491+Com_Meters!Q237+Com_Meters!Q526+Net_Reg!Q258+Net_Reg!Q512+Cust_Reg!Q237+Cust_Reg!Q512+CP_SCADA!Q265+CP_SCADA!Q568+Aug!Q251+Aug!Q533+Cust_Conn!Q221+Cust_Conn!Q478+Cust_Conn!Q733+Cust_Conn!Q988+New_Towns!Q216+New_Towns!Q471+New_Towns!Q739+IT!Q342+Other!Q216</f>
        <v>0</v>
      </c>
      <c r="R212" s="81">
        <f ca="1">Low_Press!R293+AdHoc!R237+AdHoc!R512+AdHoc!R787+Medium_Press!R286+High_Press!R216+Dom_Meters!R237+Dom_Meters!R491+Com_Meters!R237+Com_Meters!R526+Net_Reg!R258+Net_Reg!R512+Cust_Reg!R237+Cust_Reg!R512+CP_SCADA!R265+CP_SCADA!R568+Aug!R251+Aug!R533+Cust_Conn!R221+Cust_Conn!R478+Cust_Conn!R733+Cust_Conn!R988+New_Towns!R216+New_Towns!R471+New_Towns!R739+IT!R342+Other!R216</f>
        <v>0</v>
      </c>
      <c r="S212" s="81">
        <f ca="1">Low_Press!S293+AdHoc!S237+AdHoc!S512+AdHoc!S787+Medium_Press!S286+High_Press!S216+Dom_Meters!S237+Dom_Meters!S491+Com_Meters!S237+Com_Meters!S526+Net_Reg!S258+Net_Reg!S512+Cust_Reg!S237+Cust_Reg!S512+CP_SCADA!S265+CP_SCADA!S568+Aug!S251+Aug!S533+Cust_Conn!S221+Cust_Conn!S478+Cust_Conn!S733+Cust_Conn!S988+New_Towns!S216+New_Towns!S471+New_Towns!S739+IT!S342+Other!S216</f>
        <v>0</v>
      </c>
      <c r="T212" s="81">
        <f ca="1">Low_Press!T293+AdHoc!T237+AdHoc!T512+AdHoc!T787+Medium_Press!T286+High_Press!T216+Dom_Meters!T237+Dom_Meters!T491+Com_Meters!T237+Com_Meters!T526+Net_Reg!T258+Net_Reg!T512+Cust_Reg!T237+Cust_Reg!T512+CP_SCADA!T265+CP_SCADA!T568+Aug!T251+Aug!T533+Cust_Conn!T221+Cust_Conn!T478+Cust_Conn!T733+Cust_Conn!T988+New_Towns!T216+New_Towns!T471+New_Towns!T739+IT!T342+Other!T216</f>
        <v>0</v>
      </c>
    </row>
    <row r="213" spans="5:20" outlineLevel="1">
      <c r="F213" s="247" t="str">
        <f>GC!C71</f>
        <v>Gas Extensions - Other</v>
      </c>
      <c r="G213" s="247"/>
      <c r="H213" s="247"/>
      <c r="I213" s="247"/>
      <c r="J213" s="81">
        <f ca="1">Low_Press!J294+AdHoc!J238+AdHoc!J513+AdHoc!J788+Medium_Press!J287+High_Press!J217+Dom_Meters!J238+Dom_Meters!J492+Com_Meters!J238+Com_Meters!J527+Net_Reg!J259+Net_Reg!J513+Cust_Reg!J238+Cust_Reg!J513+CP_SCADA!J266+CP_SCADA!J569+Aug!J252+Aug!J534+Cust_Conn!J222+Cust_Conn!J479+Cust_Conn!J734+Cust_Conn!J989+New_Towns!J217+New_Towns!J472+New_Towns!J740+IT!J343+Other!J217</f>
        <v>0</v>
      </c>
      <c r="K213" s="81">
        <f ca="1">Low_Press!K294+AdHoc!K238+AdHoc!K513+AdHoc!K788+Medium_Press!K287+High_Press!K217+Dom_Meters!K238+Dom_Meters!K492+Com_Meters!K238+Com_Meters!K527+Net_Reg!K259+Net_Reg!K513+Cust_Reg!K238+Cust_Reg!K513+CP_SCADA!K266+CP_SCADA!K569+Aug!K252+Aug!K534+Cust_Conn!K222+Cust_Conn!K479+Cust_Conn!K734+Cust_Conn!K989+New_Towns!K217+New_Towns!K472+New_Towns!K740+IT!K343+Other!K217</f>
        <v>0</v>
      </c>
      <c r="L213" s="81">
        <f ca="1">Low_Press!L294+AdHoc!L238+AdHoc!L513+AdHoc!L788+Medium_Press!L287+High_Press!L217+Dom_Meters!L238+Dom_Meters!L492+Com_Meters!L238+Com_Meters!L527+Net_Reg!L259+Net_Reg!L513+Cust_Reg!L238+Cust_Reg!L513+CP_SCADA!L266+CP_SCADA!L569+Aug!L252+Aug!L534+Cust_Conn!L222+Cust_Conn!L479+Cust_Conn!L734+Cust_Conn!L989+New_Towns!L217+New_Towns!L472+New_Towns!L740+IT!L343+Other!L217</f>
        <v>0</v>
      </c>
      <c r="M213" s="81">
        <f ca="1">Low_Press!M294+AdHoc!M238+AdHoc!M513+AdHoc!M788+Medium_Press!M287+High_Press!M217+Dom_Meters!M238+Dom_Meters!M492+Com_Meters!M238+Com_Meters!M527+Net_Reg!M259+Net_Reg!M513+Cust_Reg!M238+Cust_Reg!M513+CP_SCADA!M266+CP_SCADA!M569+Aug!M252+Aug!M534+Cust_Conn!M222+Cust_Conn!M479+Cust_Conn!M734+Cust_Conn!M989+New_Towns!M217+New_Towns!M472+New_Towns!M740+IT!M343+Other!M217</f>
        <v>0</v>
      </c>
      <c r="N213" s="81">
        <f ca="1">Low_Press!N294+AdHoc!N238+AdHoc!N513+AdHoc!N788+Medium_Press!N287+High_Press!N217+Dom_Meters!N238+Dom_Meters!N492+Com_Meters!N238+Com_Meters!N527+Net_Reg!N259+Net_Reg!N513+Cust_Reg!N238+Cust_Reg!N513+CP_SCADA!N266+CP_SCADA!N569+Aug!N252+Aug!N534+Cust_Conn!N222+Cust_Conn!N479+Cust_Conn!N734+Cust_Conn!N989+New_Towns!N217+New_Towns!N472+New_Towns!N740+IT!N343+Other!N217</f>
        <v>0</v>
      </c>
      <c r="O213" s="81">
        <f ca="1">Low_Press!O294+AdHoc!O238+AdHoc!O513+AdHoc!O788+Medium_Press!O287+High_Press!O217+Dom_Meters!O238+Dom_Meters!O492+Com_Meters!O238+Com_Meters!O527+Net_Reg!O259+Net_Reg!O513+Cust_Reg!O238+Cust_Reg!O513+CP_SCADA!O266+CP_SCADA!O569+Aug!O252+Aug!O534+Cust_Conn!O222+Cust_Conn!O479+Cust_Conn!O734+Cust_Conn!O989+New_Towns!O217+New_Towns!O472+New_Towns!O740+IT!O343+Other!O217</f>
        <v>0</v>
      </c>
      <c r="P213" s="81">
        <f ca="1">Low_Press!P294+AdHoc!P238+AdHoc!P513+AdHoc!P788+Medium_Press!P287+High_Press!P217+Dom_Meters!P238+Dom_Meters!P492+Com_Meters!P238+Com_Meters!P527+Net_Reg!P259+Net_Reg!P513+Cust_Reg!P238+Cust_Reg!P513+CP_SCADA!P266+CP_SCADA!P569+Aug!P252+Aug!P534+Cust_Conn!P222+Cust_Conn!P479+Cust_Conn!P734+Cust_Conn!P989+New_Towns!P217+New_Towns!P472+New_Towns!P740+IT!P343+Other!P217</f>
        <v>0</v>
      </c>
      <c r="Q213" s="81">
        <f ca="1">Low_Press!Q294+AdHoc!Q238+AdHoc!Q513+AdHoc!Q788+Medium_Press!Q287+High_Press!Q217+Dom_Meters!Q238+Dom_Meters!Q492+Com_Meters!Q238+Com_Meters!Q527+Net_Reg!Q259+Net_Reg!Q513+Cust_Reg!Q238+Cust_Reg!Q513+CP_SCADA!Q266+CP_SCADA!Q569+Aug!Q252+Aug!Q534+Cust_Conn!Q222+Cust_Conn!Q479+Cust_Conn!Q734+Cust_Conn!Q989+New_Towns!Q217+New_Towns!Q472+New_Towns!Q740+IT!Q343+Other!Q217</f>
        <v>0</v>
      </c>
      <c r="R213" s="81">
        <f ca="1">Low_Press!R294+AdHoc!R238+AdHoc!R513+AdHoc!R788+Medium_Press!R287+High_Press!R217+Dom_Meters!R238+Dom_Meters!R492+Com_Meters!R238+Com_Meters!R527+Net_Reg!R259+Net_Reg!R513+Cust_Reg!R238+Cust_Reg!R513+CP_SCADA!R266+CP_SCADA!R569+Aug!R252+Aug!R534+Cust_Conn!R222+Cust_Conn!R479+Cust_Conn!R734+Cust_Conn!R989+New_Towns!R217+New_Towns!R472+New_Towns!R740+IT!R343+Other!R217</f>
        <v>0</v>
      </c>
      <c r="S213" s="81">
        <f ca="1">Low_Press!S294+AdHoc!S238+AdHoc!S513+AdHoc!S788+Medium_Press!S287+High_Press!S217+Dom_Meters!S238+Dom_Meters!S492+Com_Meters!S238+Com_Meters!S527+Net_Reg!S259+Net_Reg!S513+Cust_Reg!S238+Cust_Reg!S513+CP_SCADA!S266+CP_SCADA!S569+Aug!S252+Aug!S534+Cust_Conn!S222+Cust_Conn!S479+Cust_Conn!S734+Cust_Conn!S989+New_Towns!S217+New_Towns!S472+New_Towns!S740+IT!S343+Other!S217</f>
        <v>0</v>
      </c>
      <c r="T213" s="81">
        <f ca="1">Low_Press!T294+AdHoc!T238+AdHoc!T513+AdHoc!T788+Medium_Press!T287+High_Press!T217+Dom_Meters!T238+Dom_Meters!T492+Com_Meters!T238+Com_Meters!T527+Net_Reg!T259+Net_Reg!T513+Cust_Reg!T238+Cust_Reg!T513+CP_SCADA!T266+CP_SCADA!T569+Aug!T252+Aug!T534+Cust_Conn!T222+Cust_Conn!T479+Cust_Conn!T734+Cust_Conn!T989+New_Towns!T217+New_Towns!T472+New_Towns!T740+IT!T343+Other!T217</f>
        <v>0</v>
      </c>
    </row>
    <row r="214" spans="5:20" outlineLevel="1">
      <c r="F214" s="247" t="str">
        <f>GC!C72</f>
        <v>Customer contributions</v>
      </c>
      <c r="G214" s="247"/>
      <c r="H214" s="247"/>
      <c r="I214" s="247"/>
      <c r="J214" s="81">
        <f ca="1">Low_Press!J295+AdHoc!J239+AdHoc!J514+AdHoc!J789+Medium_Press!J288+High_Press!J218+Dom_Meters!J239+Dom_Meters!J493+Com_Meters!J239+Com_Meters!J528+Net_Reg!J260+Net_Reg!J514+Cust_Reg!J239+Cust_Reg!J514+CP_SCADA!J267+CP_SCADA!J570+Aug!J253+Aug!J535+Cust_Conn!J223+Cust_Conn!J480+Cust_Conn!J735+Cust_Conn!J990+New_Towns!J218+New_Towns!J473+New_Towns!J741+IT!J344+Other!J218</f>
        <v>0</v>
      </c>
      <c r="K214" s="81">
        <f ca="1">Low_Press!K295+AdHoc!K239+AdHoc!K514+AdHoc!K789+Medium_Press!K288+High_Press!K218+Dom_Meters!K239+Dom_Meters!K493+Com_Meters!K239+Com_Meters!K528+Net_Reg!K260+Net_Reg!K514+Cust_Reg!K239+Cust_Reg!K514+CP_SCADA!K267+CP_SCADA!K570+Aug!K253+Aug!K535+Cust_Conn!K223+Cust_Conn!K480+Cust_Conn!K735+Cust_Conn!K990+New_Towns!K218+New_Towns!K473+New_Towns!K741+IT!K344+Other!K218</f>
        <v>0</v>
      </c>
      <c r="L214" s="81">
        <f ca="1">Low_Press!L295+AdHoc!L239+AdHoc!L514+AdHoc!L789+Medium_Press!L288+High_Press!L218+Dom_Meters!L239+Dom_Meters!L493+Com_Meters!L239+Com_Meters!L528+Net_Reg!L260+Net_Reg!L514+Cust_Reg!L239+Cust_Reg!L514+CP_SCADA!L267+CP_SCADA!L570+Aug!L253+Aug!L535+Cust_Conn!L223+Cust_Conn!L480+Cust_Conn!L735+Cust_Conn!L990+New_Towns!L218+New_Towns!L473+New_Towns!L741+IT!L344+Other!L218</f>
        <v>0</v>
      </c>
      <c r="M214" s="81">
        <f ca="1">Low_Press!M295+AdHoc!M239+AdHoc!M514+AdHoc!M789+Medium_Press!M288+High_Press!M218+Dom_Meters!M239+Dom_Meters!M493+Com_Meters!M239+Com_Meters!M528+Net_Reg!M260+Net_Reg!M514+Cust_Reg!M239+Cust_Reg!M514+CP_SCADA!M267+CP_SCADA!M570+Aug!M253+Aug!M535+Cust_Conn!M223+Cust_Conn!M480+Cust_Conn!M735+Cust_Conn!M990+New_Towns!M218+New_Towns!M473+New_Towns!M741+IT!M344+Other!M218</f>
        <v>0</v>
      </c>
      <c r="N214" s="81">
        <f ca="1">Low_Press!N295+AdHoc!N239+AdHoc!N514+AdHoc!N789+Medium_Press!N288+High_Press!N218+Dom_Meters!N239+Dom_Meters!N493+Com_Meters!N239+Com_Meters!N528+Net_Reg!N260+Net_Reg!N514+Cust_Reg!N239+Cust_Reg!N514+CP_SCADA!N267+CP_SCADA!N570+Aug!N253+Aug!N535+Cust_Conn!N223+Cust_Conn!N480+Cust_Conn!N735+Cust_Conn!N990+New_Towns!N218+New_Towns!N473+New_Towns!N741+IT!N344+Other!N218</f>
        <v>0</v>
      </c>
      <c r="O214" s="81">
        <f ca="1">Low_Press!O295+AdHoc!O239+AdHoc!O514+AdHoc!O789+Medium_Press!O288+High_Press!O218+Dom_Meters!O239+Dom_Meters!O493+Com_Meters!O239+Com_Meters!O528+Net_Reg!O260+Net_Reg!O514+Cust_Reg!O239+Cust_Reg!O514+CP_SCADA!O267+CP_SCADA!O570+Aug!O253+Aug!O535+Cust_Conn!O223+Cust_Conn!O480+Cust_Conn!O735+Cust_Conn!O990+New_Towns!O218+New_Towns!O473+New_Towns!O741+IT!O344+Other!O218</f>
        <v>0</v>
      </c>
      <c r="P214" s="81">
        <f ca="1">Low_Press!P295+AdHoc!P239+AdHoc!P514+AdHoc!P789+Medium_Press!P288+High_Press!P218+Dom_Meters!P239+Dom_Meters!P493+Com_Meters!P239+Com_Meters!P528+Net_Reg!P260+Net_Reg!P514+Cust_Reg!P239+Cust_Reg!P514+CP_SCADA!P267+CP_SCADA!P570+Aug!P253+Aug!P535+Cust_Conn!P223+Cust_Conn!P480+Cust_Conn!P735+Cust_Conn!P990+New_Towns!P218+New_Towns!P473+New_Towns!P741+IT!P344+Other!P218</f>
        <v>0</v>
      </c>
      <c r="Q214" s="81">
        <f ca="1">Low_Press!Q295+AdHoc!Q239+AdHoc!Q514+AdHoc!Q789+Medium_Press!Q288+High_Press!Q218+Dom_Meters!Q239+Dom_Meters!Q493+Com_Meters!Q239+Com_Meters!Q528+Net_Reg!Q260+Net_Reg!Q514+Cust_Reg!Q239+Cust_Reg!Q514+CP_SCADA!Q267+CP_SCADA!Q570+Aug!Q253+Aug!Q535+Cust_Conn!Q223+Cust_Conn!Q480+Cust_Conn!Q735+Cust_Conn!Q990+New_Towns!Q218+New_Towns!Q473+New_Towns!Q741+IT!Q344+Other!Q218</f>
        <v>0</v>
      </c>
      <c r="R214" s="81">
        <f ca="1">Low_Press!R295+AdHoc!R239+AdHoc!R514+AdHoc!R789+Medium_Press!R288+High_Press!R218+Dom_Meters!R239+Dom_Meters!R493+Com_Meters!R239+Com_Meters!R528+Net_Reg!R260+Net_Reg!R514+Cust_Reg!R239+Cust_Reg!R514+CP_SCADA!R267+CP_SCADA!R570+Aug!R253+Aug!R535+Cust_Conn!R223+Cust_Conn!R480+Cust_Conn!R735+Cust_Conn!R990+New_Towns!R218+New_Towns!R473+New_Towns!R741+IT!R344+Other!R218</f>
        <v>0</v>
      </c>
      <c r="S214" s="81">
        <f ca="1">Low_Press!S295+AdHoc!S239+AdHoc!S514+AdHoc!S789+Medium_Press!S288+High_Press!S218+Dom_Meters!S239+Dom_Meters!S493+Com_Meters!S239+Com_Meters!S528+Net_Reg!S260+Net_Reg!S514+Cust_Reg!S239+Cust_Reg!S514+CP_SCADA!S267+CP_SCADA!S570+Aug!S253+Aug!S535+Cust_Conn!S223+Cust_Conn!S480+Cust_Conn!S735+Cust_Conn!S990+New_Towns!S218+New_Towns!S473+New_Towns!S741+IT!S344+Other!S218</f>
        <v>0</v>
      </c>
      <c r="T214" s="81">
        <f ca="1">Low_Press!T295+AdHoc!T239+AdHoc!T514+AdHoc!T789+Medium_Press!T288+High_Press!T218+Dom_Meters!T239+Dom_Meters!T493+Com_Meters!T239+Com_Meters!T528+Net_Reg!T260+Net_Reg!T514+Cust_Reg!T239+Cust_Reg!T514+CP_SCADA!T267+CP_SCADA!T570+Aug!T253+Aug!T535+Cust_Conn!T223+Cust_Conn!T480+Cust_Conn!T735+Cust_Conn!T990+New_Towns!T218+New_Towns!T473+New_Towns!T741+IT!T344+Other!T218</f>
        <v>0</v>
      </c>
    </row>
    <row r="215" spans="5:20" outlineLevel="1">
      <c r="F215" s="247" t="str">
        <f>GC!C73</f>
        <v>Government contributions</v>
      </c>
      <c r="G215" s="247"/>
      <c r="H215" s="247"/>
      <c r="I215" s="247"/>
      <c r="J215" s="81">
        <f ca="1">Low_Press!J296+AdHoc!J240+AdHoc!J515+AdHoc!J790+Medium_Press!J289+High_Press!J219+Dom_Meters!J240+Dom_Meters!J494+Com_Meters!J240+Com_Meters!J529+Net_Reg!J261+Net_Reg!J515+Cust_Reg!J240+Cust_Reg!J515+CP_SCADA!J268+CP_SCADA!J571+Aug!J254+Aug!J536+Cust_Conn!J224+Cust_Conn!J481+Cust_Conn!J736+Cust_Conn!J991+New_Towns!J219+New_Towns!J474+New_Towns!J742+IT!J345+Other!J219</f>
        <v>0</v>
      </c>
      <c r="K215" s="81">
        <f ca="1">Low_Press!K296+AdHoc!K240+AdHoc!K515+AdHoc!K790+Medium_Press!K289+High_Press!K219+Dom_Meters!K240+Dom_Meters!K494+Com_Meters!K240+Com_Meters!K529+Net_Reg!K261+Net_Reg!K515+Cust_Reg!K240+Cust_Reg!K515+CP_SCADA!K268+CP_SCADA!K571+Aug!K254+Aug!K536+Cust_Conn!K224+Cust_Conn!K481+Cust_Conn!K736+Cust_Conn!K991+New_Towns!K219+New_Towns!K474+New_Towns!K742+IT!K345+Other!K219</f>
        <v>0</v>
      </c>
      <c r="L215" s="81">
        <f ca="1">Low_Press!L296+AdHoc!L240+AdHoc!L515+AdHoc!L790+Medium_Press!L289+High_Press!L219+Dom_Meters!L240+Dom_Meters!L494+Com_Meters!L240+Com_Meters!L529+Net_Reg!L261+Net_Reg!L515+Cust_Reg!L240+Cust_Reg!L515+CP_SCADA!L268+CP_SCADA!L571+Aug!L254+Aug!L536+Cust_Conn!L224+Cust_Conn!L481+Cust_Conn!L736+Cust_Conn!L991+New_Towns!L219+New_Towns!L474+New_Towns!L742+IT!L345+Other!L219</f>
        <v>0</v>
      </c>
      <c r="M215" s="81">
        <f ca="1">Low_Press!M296+AdHoc!M240+AdHoc!M515+AdHoc!M790+Medium_Press!M289+High_Press!M219+Dom_Meters!M240+Dom_Meters!M494+Com_Meters!M240+Com_Meters!M529+Net_Reg!M261+Net_Reg!M515+Cust_Reg!M240+Cust_Reg!M515+CP_SCADA!M268+CP_SCADA!M571+Aug!M254+Aug!M536+Cust_Conn!M224+Cust_Conn!M481+Cust_Conn!M736+Cust_Conn!M991+New_Towns!M219+New_Towns!M474+New_Towns!M742+IT!M345+Other!M219</f>
        <v>0</v>
      </c>
      <c r="N215" s="81">
        <f ca="1">Low_Press!N296+AdHoc!N240+AdHoc!N515+AdHoc!N790+Medium_Press!N289+High_Press!N219+Dom_Meters!N240+Dom_Meters!N494+Com_Meters!N240+Com_Meters!N529+Net_Reg!N261+Net_Reg!N515+Cust_Reg!N240+Cust_Reg!N515+CP_SCADA!N268+CP_SCADA!N571+Aug!N254+Aug!N536+Cust_Conn!N224+Cust_Conn!N481+Cust_Conn!N736+Cust_Conn!N991+New_Towns!N219+New_Towns!N474+New_Towns!N742+IT!N345+Other!N219</f>
        <v>0</v>
      </c>
      <c r="O215" s="81">
        <f ca="1">Low_Press!O296+AdHoc!O240+AdHoc!O515+AdHoc!O790+Medium_Press!O289+High_Press!O219+Dom_Meters!O240+Dom_Meters!O494+Com_Meters!O240+Com_Meters!O529+Net_Reg!O261+Net_Reg!O515+Cust_Reg!O240+Cust_Reg!O515+CP_SCADA!O268+CP_SCADA!O571+Aug!O254+Aug!O536+Cust_Conn!O224+Cust_Conn!O481+Cust_Conn!O736+Cust_Conn!O991+New_Towns!O219+New_Towns!O474+New_Towns!O742+IT!O345+Other!O219</f>
        <v>0</v>
      </c>
      <c r="P215" s="81">
        <f ca="1">Low_Press!P296+AdHoc!P240+AdHoc!P515+AdHoc!P790+Medium_Press!P289+High_Press!P219+Dom_Meters!P240+Dom_Meters!P494+Com_Meters!P240+Com_Meters!P529+Net_Reg!P261+Net_Reg!P515+Cust_Reg!P240+Cust_Reg!P515+CP_SCADA!P268+CP_SCADA!P571+Aug!P254+Aug!P536+Cust_Conn!P224+Cust_Conn!P481+Cust_Conn!P736+Cust_Conn!P991+New_Towns!P219+New_Towns!P474+New_Towns!P742+IT!P345+Other!P219</f>
        <v>0</v>
      </c>
      <c r="Q215" s="81">
        <f ca="1">Low_Press!Q296+AdHoc!Q240+AdHoc!Q515+AdHoc!Q790+Medium_Press!Q289+High_Press!Q219+Dom_Meters!Q240+Dom_Meters!Q494+Com_Meters!Q240+Com_Meters!Q529+Net_Reg!Q261+Net_Reg!Q515+Cust_Reg!Q240+Cust_Reg!Q515+CP_SCADA!Q268+CP_SCADA!Q571+Aug!Q254+Aug!Q536+Cust_Conn!Q224+Cust_Conn!Q481+Cust_Conn!Q736+Cust_Conn!Q991+New_Towns!Q219+New_Towns!Q474+New_Towns!Q742+IT!Q345+Other!Q219</f>
        <v>0</v>
      </c>
      <c r="R215" s="81">
        <f ca="1">Low_Press!R296+AdHoc!R240+AdHoc!R515+AdHoc!R790+Medium_Press!R289+High_Press!R219+Dom_Meters!R240+Dom_Meters!R494+Com_Meters!R240+Com_Meters!R529+Net_Reg!R261+Net_Reg!R515+Cust_Reg!R240+Cust_Reg!R515+CP_SCADA!R268+CP_SCADA!R571+Aug!R254+Aug!R536+Cust_Conn!R224+Cust_Conn!R481+Cust_Conn!R736+Cust_Conn!R991+New_Towns!R219+New_Towns!R474+New_Towns!R742+IT!R345+Other!R219</f>
        <v>0</v>
      </c>
      <c r="S215" s="81">
        <f ca="1">Low_Press!S296+AdHoc!S240+AdHoc!S515+AdHoc!S790+Medium_Press!S289+High_Press!S219+Dom_Meters!S240+Dom_Meters!S494+Com_Meters!S240+Com_Meters!S529+Net_Reg!S261+Net_Reg!S515+Cust_Reg!S240+Cust_Reg!S515+CP_SCADA!S268+CP_SCADA!S571+Aug!S254+Aug!S536+Cust_Conn!S224+Cust_Conn!S481+Cust_Conn!S736+Cust_Conn!S991+New_Towns!S219+New_Towns!S474+New_Towns!S742+IT!S345+Other!S219</f>
        <v>0</v>
      </c>
      <c r="T215" s="81">
        <f ca="1">Low_Press!T296+AdHoc!T240+AdHoc!T515+AdHoc!T790+Medium_Press!T289+High_Press!T219+Dom_Meters!T240+Dom_Meters!T494+Com_Meters!T240+Com_Meters!T529+Net_Reg!T261+Net_Reg!T515+Cust_Reg!T240+Cust_Reg!T515+CP_SCADA!T268+CP_SCADA!T571+Aug!T254+Aug!T536+Cust_Conn!T224+Cust_Conn!T481+Cust_Conn!T736+Cust_Conn!T991+New_Towns!T219+New_Towns!T474+New_Towns!T742+IT!T345+Other!T219</f>
        <v>0</v>
      </c>
    </row>
    <row r="216" spans="5:20" outlineLevel="1">
      <c r="F216" s="249" t="str">
        <f>"Total "&amp;E200</f>
        <v>Total Direct Costs + Overheads</v>
      </c>
      <c r="G216" s="249"/>
      <c r="H216" s="249"/>
      <c r="I216" s="249"/>
      <c r="J216" s="82">
        <f t="shared" ref="J216:T216" ca="1" si="15">SUM(J202:J215)</f>
        <v>0</v>
      </c>
      <c r="K216" s="82">
        <f t="shared" ca="1" si="15"/>
        <v>0</v>
      </c>
      <c r="L216" s="82">
        <f t="shared" ca="1" si="15"/>
        <v>0</v>
      </c>
      <c r="M216" s="82">
        <f t="shared" ca="1" si="15"/>
        <v>0</v>
      </c>
      <c r="N216" s="82">
        <f t="shared" ca="1" si="15"/>
        <v>102369449.87117787</v>
      </c>
      <c r="O216" s="82">
        <f t="shared" ca="1" si="15"/>
        <v>60187431.692997567</v>
      </c>
      <c r="P216" s="82">
        <f t="shared" ca="1" si="15"/>
        <v>111670869.16538733</v>
      </c>
      <c r="Q216" s="82">
        <f t="shared" ca="1" si="15"/>
        <v>115782153.05384916</v>
      </c>
      <c r="R216" s="82">
        <f t="shared" ca="1" si="15"/>
        <v>113308054.15449701</v>
      </c>
      <c r="S216" s="82">
        <f t="shared" ca="1" si="15"/>
        <v>101227438.4920986</v>
      </c>
      <c r="T216" s="82">
        <f t="shared" ca="1" si="15"/>
        <v>91629085.806791738</v>
      </c>
    </row>
    <row r="217" spans="5:20" outlineLevel="1"/>
    <row r="218" spans="5:20" outlineLevel="1">
      <c r="E218" s="37" t="s">
        <v>367</v>
      </c>
    </row>
    <row r="219" spans="5:20" outlineLevel="1"/>
    <row r="220" spans="5:20" outlineLevel="1">
      <c r="F220" s="247" t="str">
        <f>GC!C60</f>
        <v>Mains replacement</v>
      </c>
      <c r="G220" s="247"/>
      <c r="H220" s="247"/>
      <c r="I220" s="247"/>
      <c r="J220" s="81">
        <f ca="1">Low_Press!J301+AdHoc!J245+AdHoc!J520+AdHoc!J795+Medium_Press!J294+High_Press!J224+Dom_Meters!J245+Dom_Meters!J499+Com_Meters!J245+Com_Meters!J534+Net_Reg!J266+Net_Reg!J520+Cust_Reg!J245+Cust_Reg!J520+CP_SCADA!J273+CP_SCADA!J576+Aug!J259+Aug!J541+Cust_Conn!J229+Cust_Conn!J486+Cust_Conn!J741+Cust_Conn!J996+New_Towns!J224+New_Towns!J479+New_Towns!J747+IT!J350+Other!J224</f>
        <v>0</v>
      </c>
      <c r="K220" s="81">
        <f ca="1">Low_Press!K301+AdHoc!K245+AdHoc!K520+AdHoc!K795+Medium_Press!K294+High_Press!K224+Dom_Meters!K245+Dom_Meters!K499+Com_Meters!K245+Com_Meters!K534+Net_Reg!K266+Net_Reg!K520+Cust_Reg!K245+Cust_Reg!K520+CP_SCADA!K273+CP_SCADA!K576+Aug!K259+Aug!K541+Cust_Conn!K229+Cust_Conn!K486+Cust_Conn!K741+Cust_Conn!K996+New_Towns!K224+New_Towns!K479+New_Towns!K747+IT!K350+Other!K224</f>
        <v>0</v>
      </c>
      <c r="L220" s="81">
        <f ca="1">Low_Press!L301+AdHoc!L245+AdHoc!L520+AdHoc!L795+Medium_Press!L294+High_Press!L224+Dom_Meters!L245+Dom_Meters!L499+Com_Meters!L245+Com_Meters!L534+Net_Reg!L266+Net_Reg!L520+Cust_Reg!L245+Cust_Reg!L520+CP_SCADA!L273+CP_SCADA!L576+Aug!L259+Aug!L541+Cust_Conn!L229+Cust_Conn!L486+Cust_Conn!L741+Cust_Conn!L996+New_Towns!L224+New_Towns!L479+New_Towns!L747+IT!L350+Other!L224</f>
        <v>0</v>
      </c>
      <c r="M220" s="81">
        <f ca="1">Low_Press!M301+AdHoc!M245+AdHoc!M520+AdHoc!M795+Medium_Press!M294+High_Press!M224+Dom_Meters!M245+Dom_Meters!M499+Com_Meters!M245+Com_Meters!M534+Net_Reg!M266+Net_Reg!M520+Cust_Reg!M245+Cust_Reg!M520+CP_SCADA!M273+CP_SCADA!M576+Aug!M259+Aug!M541+Cust_Conn!M229+Cust_Conn!M486+Cust_Conn!M741+Cust_Conn!M996+New_Towns!M224+New_Towns!M479+New_Towns!M747+IT!M350+Other!M224</f>
        <v>0</v>
      </c>
      <c r="N220" s="81">
        <f ca="1">Low_Press!N301+AdHoc!N245+AdHoc!N520+AdHoc!N795+Medium_Press!N294+High_Press!N224+Dom_Meters!N245+Dom_Meters!N499+Com_Meters!N245+Com_Meters!N534+Net_Reg!N266+Net_Reg!N520+Cust_Reg!N245+Cust_Reg!N520+CP_SCADA!N273+CP_SCADA!N576+Aug!N259+Aug!N541+Cust_Conn!N229+Cust_Conn!N486+Cust_Conn!N741+Cust_Conn!N996+New_Towns!N224+New_Towns!N479+New_Towns!N747+IT!N350+Other!N224</f>
        <v>0</v>
      </c>
      <c r="O220" s="81">
        <f ca="1">Low_Press!O301+AdHoc!O245+AdHoc!O520+AdHoc!O795+Medium_Press!O294+High_Press!O224+Dom_Meters!O245+Dom_Meters!O499+Com_Meters!O245+Com_Meters!O534+Net_Reg!O266+Net_Reg!O520+Cust_Reg!O245+Cust_Reg!O520+CP_SCADA!O273+CP_SCADA!O576+Aug!O259+Aug!O541+Cust_Conn!O229+Cust_Conn!O486+Cust_Conn!O741+Cust_Conn!O996+New_Towns!O224+New_Towns!O479+New_Towns!O747+IT!O350+Other!O224</f>
        <v>0</v>
      </c>
      <c r="P220" s="81">
        <f ca="1">Low_Press!P301+AdHoc!P245+AdHoc!P520+AdHoc!P795+Medium_Press!P294+High_Press!P224+Dom_Meters!P245+Dom_Meters!P499+Com_Meters!P245+Com_Meters!P534+Net_Reg!P266+Net_Reg!P520+Cust_Reg!P245+Cust_Reg!P520+CP_SCADA!P273+CP_SCADA!P576+Aug!P259+Aug!P541+Cust_Conn!P229+Cust_Conn!P486+Cust_Conn!P741+Cust_Conn!P996+New_Towns!P224+New_Towns!P479+New_Towns!P747+IT!P350+Other!P224</f>
        <v>0</v>
      </c>
      <c r="Q220" s="81">
        <f ca="1">Low_Press!Q301+AdHoc!Q245+AdHoc!Q520+AdHoc!Q795+Medium_Press!Q294+High_Press!Q224+Dom_Meters!Q245+Dom_Meters!Q499+Com_Meters!Q245+Com_Meters!Q534+Net_Reg!Q266+Net_Reg!Q520+Cust_Reg!Q245+Cust_Reg!Q520+CP_SCADA!Q273+CP_SCADA!Q576+Aug!Q259+Aug!Q541+Cust_Conn!Q229+Cust_Conn!Q486+Cust_Conn!Q741+Cust_Conn!Q996+New_Towns!Q224+New_Towns!Q479+New_Towns!Q747+IT!Q350+Other!Q224</f>
        <v>0</v>
      </c>
      <c r="R220" s="81">
        <f ca="1">Low_Press!R301+AdHoc!R245+AdHoc!R520+AdHoc!R795+Medium_Press!R294+High_Press!R224+Dom_Meters!R245+Dom_Meters!R499+Com_Meters!R245+Com_Meters!R534+Net_Reg!R266+Net_Reg!R520+Cust_Reg!R245+Cust_Reg!R520+CP_SCADA!R273+CP_SCADA!R576+Aug!R259+Aug!R541+Cust_Conn!R229+Cust_Conn!R486+Cust_Conn!R741+Cust_Conn!R996+New_Towns!R224+New_Towns!R479+New_Towns!R747+IT!R350+Other!R224</f>
        <v>0</v>
      </c>
      <c r="S220" s="81">
        <f ca="1">Low_Press!S301+AdHoc!S245+AdHoc!S520+AdHoc!S795+Medium_Press!S294+High_Press!S224+Dom_Meters!S245+Dom_Meters!S499+Com_Meters!S245+Com_Meters!S534+Net_Reg!S266+Net_Reg!S520+Cust_Reg!S245+Cust_Reg!S520+CP_SCADA!S273+CP_SCADA!S576+Aug!S259+Aug!S541+Cust_Conn!S229+Cust_Conn!S486+Cust_Conn!S741+Cust_Conn!S996+New_Towns!S224+New_Towns!S479+New_Towns!S747+IT!S350+Other!S224</f>
        <v>0</v>
      </c>
      <c r="T220" s="81">
        <f ca="1">Low_Press!T301+AdHoc!T245+AdHoc!T520+AdHoc!T795+Medium_Press!T294+High_Press!T224+Dom_Meters!T245+Dom_Meters!T499+Com_Meters!T245+Com_Meters!T534+Net_Reg!T266+Net_Reg!T520+Cust_Reg!T245+Cust_Reg!T520+CP_SCADA!T273+CP_SCADA!T576+Aug!T259+Aug!T541+Cust_Conn!T229+Cust_Conn!T486+Cust_Conn!T741+Cust_Conn!T996+New_Towns!T224+New_Towns!T479+New_Towns!T747+IT!T350+Other!T224</f>
        <v>0</v>
      </c>
    </row>
    <row r="221" spans="5:20" outlineLevel="1">
      <c r="F221" s="247" t="str">
        <f>GC!C61</f>
        <v>Residential new customer connections</v>
      </c>
      <c r="G221" s="247"/>
      <c r="H221" s="247"/>
      <c r="I221" s="247"/>
      <c r="J221" s="81">
        <f ca="1">Low_Press!J302+AdHoc!J246+AdHoc!J521+AdHoc!J796+Medium_Press!J295+High_Press!J225+Dom_Meters!J246+Dom_Meters!J500+Com_Meters!J246+Com_Meters!J535+Net_Reg!J267+Net_Reg!J521+Cust_Reg!J246+Cust_Reg!J521+CP_SCADA!J274+CP_SCADA!J577+Aug!J260+Aug!J542+Cust_Conn!J230+Cust_Conn!J487+Cust_Conn!J742+Cust_Conn!J997+New_Towns!J225+New_Towns!J480+New_Towns!J748+IT!J351+Other!J225</f>
        <v>0</v>
      </c>
      <c r="K221" s="81">
        <f ca="1">Low_Press!K302+AdHoc!K246+AdHoc!K521+AdHoc!K796+Medium_Press!K295+High_Press!K225+Dom_Meters!K246+Dom_Meters!K500+Com_Meters!K246+Com_Meters!K535+Net_Reg!K267+Net_Reg!K521+Cust_Reg!K246+Cust_Reg!K521+CP_SCADA!K274+CP_SCADA!K577+Aug!K260+Aug!K542+Cust_Conn!K230+Cust_Conn!K487+Cust_Conn!K742+Cust_Conn!K997+New_Towns!K225+New_Towns!K480+New_Towns!K748+IT!K351+Other!K225</f>
        <v>0</v>
      </c>
      <c r="L221" s="81">
        <f ca="1">Low_Press!L302+AdHoc!L246+AdHoc!L521+AdHoc!L796+Medium_Press!L295+High_Press!L225+Dom_Meters!L246+Dom_Meters!L500+Com_Meters!L246+Com_Meters!L535+Net_Reg!L267+Net_Reg!L521+Cust_Reg!L246+Cust_Reg!L521+CP_SCADA!L274+CP_SCADA!L577+Aug!L260+Aug!L542+Cust_Conn!L230+Cust_Conn!L487+Cust_Conn!L742+Cust_Conn!L997+New_Towns!L225+New_Towns!L480+New_Towns!L748+IT!L351+Other!L225</f>
        <v>0</v>
      </c>
      <c r="M221" s="81">
        <f ca="1">Low_Press!M302+AdHoc!M246+AdHoc!M521+AdHoc!M796+Medium_Press!M295+High_Press!M225+Dom_Meters!M246+Dom_Meters!M500+Com_Meters!M246+Com_Meters!M535+Net_Reg!M267+Net_Reg!M521+Cust_Reg!M246+Cust_Reg!M521+CP_SCADA!M274+CP_SCADA!M577+Aug!M260+Aug!M542+Cust_Conn!M230+Cust_Conn!M487+Cust_Conn!M742+Cust_Conn!M997+New_Towns!M225+New_Towns!M480+New_Towns!M748+IT!M351+Other!M225</f>
        <v>0</v>
      </c>
      <c r="N221" s="81">
        <f ca="1">Low_Press!N302+AdHoc!N246+AdHoc!N521+AdHoc!N796+Medium_Press!N295+High_Press!N225+Dom_Meters!N246+Dom_Meters!N500+Com_Meters!N246+Com_Meters!N535+Net_Reg!N267+Net_Reg!N521+Cust_Reg!N246+Cust_Reg!N521+CP_SCADA!N274+CP_SCADA!N577+Aug!N260+Aug!N542+Cust_Conn!N230+Cust_Conn!N487+Cust_Conn!N742+Cust_Conn!N997+New_Towns!N225+New_Towns!N480+New_Towns!N748+IT!N351+Other!N225</f>
        <v>-2911528.3490499998</v>
      </c>
      <c r="O221" s="81">
        <f ca="1">Low_Press!O302+AdHoc!O246+AdHoc!O521+AdHoc!O796+Medium_Press!O295+High_Press!O225+Dom_Meters!O246+Dom_Meters!O500+Com_Meters!O246+Com_Meters!O535+Net_Reg!O267+Net_Reg!O521+Cust_Reg!O246+Cust_Reg!O521+CP_SCADA!O274+CP_SCADA!O577+Aug!O260+Aug!O542+Cust_Conn!O230+Cust_Conn!O487+Cust_Conn!O742+Cust_Conn!O997+New_Towns!O225+New_Towns!O480+New_Towns!O748+IT!O351+Other!O225</f>
        <v>-1917472.115</v>
      </c>
      <c r="P221" s="81">
        <f ca="1">Low_Press!P302+AdHoc!P246+AdHoc!P521+AdHoc!P796+Medium_Press!P295+High_Press!P225+Dom_Meters!P246+Dom_Meters!P500+Com_Meters!P246+Com_Meters!P535+Net_Reg!P267+Net_Reg!P521+Cust_Reg!P246+Cust_Reg!P521+CP_SCADA!P274+CP_SCADA!P577+Aug!P260+Aug!P542+Cust_Conn!P230+Cust_Conn!P487+Cust_Conn!P742+Cust_Conn!P997+New_Towns!P225+New_Towns!P480+New_Towns!P748+IT!P351+Other!P225</f>
        <v>-3834944.23</v>
      </c>
      <c r="Q221" s="81">
        <f ca="1">Low_Press!Q302+AdHoc!Q246+AdHoc!Q521+AdHoc!Q796+Medium_Press!Q295+High_Press!Q225+Dom_Meters!Q246+Dom_Meters!Q500+Com_Meters!Q246+Com_Meters!Q535+Net_Reg!Q267+Net_Reg!Q521+Cust_Reg!Q246+Cust_Reg!Q521+CP_SCADA!Q274+CP_SCADA!Q577+Aug!Q260+Aug!Q542+Cust_Conn!Q230+Cust_Conn!Q487+Cust_Conn!Q742+Cust_Conn!Q997+New_Towns!Q225+New_Towns!Q480+New_Towns!Q748+IT!Q351+Other!Q225</f>
        <v>-3954650.49</v>
      </c>
      <c r="R221" s="81">
        <f ca="1">Low_Press!R302+AdHoc!R246+AdHoc!R521+AdHoc!R796+Medium_Press!R295+High_Press!R225+Dom_Meters!R246+Dom_Meters!R500+Com_Meters!R246+Com_Meters!R535+Net_Reg!R267+Net_Reg!R521+Cust_Reg!R246+Cust_Reg!R521+CP_SCADA!R274+CP_SCADA!R577+Aug!R260+Aug!R542+Cust_Conn!R230+Cust_Conn!R487+Cust_Conn!R742+Cust_Conn!R997+New_Towns!R225+New_Towns!R480+New_Towns!R748+IT!R351+Other!R225</f>
        <v>-4071482.5700000003</v>
      </c>
      <c r="S221" s="81">
        <f ca="1">Low_Press!S302+AdHoc!S246+AdHoc!S521+AdHoc!S796+Medium_Press!S295+High_Press!S225+Dom_Meters!S246+Dom_Meters!S500+Com_Meters!S246+Com_Meters!S535+Net_Reg!S267+Net_Reg!S521+Cust_Reg!S246+Cust_Reg!S521+CP_SCADA!S274+CP_SCADA!S577+Aug!S260+Aug!S542+Cust_Conn!S230+Cust_Conn!S487+Cust_Conn!S742+Cust_Conn!S997+New_Towns!S225+New_Towns!S480+New_Towns!S748+IT!S351+Other!S225</f>
        <v>-3971748.44</v>
      </c>
      <c r="T221" s="81">
        <f ca="1">Low_Press!T302+AdHoc!T246+AdHoc!T521+AdHoc!T796+Medium_Press!T295+High_Press!T225+Dom_Meters!T246+Dom_Meters!T500+Com_Meters!T246+Com_Meters!T535+Net_Reg!T267+Net_Reg!T521+Cust_Reg!T246+Cust_Reg!T521+CP_SCADA!T274+CP_SCADA!T577+Aug!T260+Aug!T542+Cust_Conn!T230+Cust_Conn!T487+Cust_Conn!T742+Cust_Conn!T997+New_Towns!T225+New_Towns!T480+New_Towns!T748+IT!T351+Other!T225</f>
        <v>-3868264.21</v>
      </c>
    </row>
    <row r="222" spans="5:20" outlineLevel="1">
      <c r="F222" s="247" t="str">
        <f>GC!C62</f>
        <v>Commercial and industrial new customer connections</v>
      </c>
      <c r="G222" s="247"/>
      <c r="H222" s="247"/>
      <c r="I222" s="247"/>
      <c r="J222" s="81">
        <f ca="1">Low_Press!J303+AdHoc!J247+AdHoc!J522+AdHoc!J797+Medium_Press!J296+High_Press!J226+Dom_Meters!J247+Dom_Meters!J501+Com_Meters!J247+Com_Meters!J536+Net_Reg!J268+Net_Reg!J522+Cust_Reg!J247+Cust_Reg!J522+CP_SCADA!J275+CP_SCADA!J578+Aug!J261+Aug!J543+Cust_Conn!J231+Cust_Conn!J488+Cust_Conn!J743+Cust_Conn!J998+New_Towns!J226+New_Towns!J481+New_Towns!J749+IT!J352+Other!J226</f>
        <v>0</v>
      </c>
      <c r="K222" s="81">
        <f ca="1">Low_Press!K303+AdHoc!K247+AdHoc!K522+AdHoc!K797+Medium_Press!K296+High_Press!K226+Dom_Meters!K247+Dom_Meters!K501+Com_Meters!K247+Com_Meters!K536+Net_Reg!K268+Net_Reg!K522+Cust_Reg!K247+Cust_Reg!K522+CP_SCADA!K275+CP_SCADA!K578+Aug!K261+Aug!K543+Cust_Conn!K231+Cust_Conn!K488+Cust_Conn!K743+Cust_Conn!K998+New_Towns!K226+New_Towns!K481+New_Towns!K749+IT!K352+Other!K226</f>
        <v>0</v>
      </c>
      <c r="L222" s="81">
        <f ca="1">Low_Press!L303+AdHoc!L247+AdHoc!L522+AdHoc!L797+Medium_Press!L296+High_Press!L226+Dom_Meters!L247+Dom_Meters!L501+Com_Meters!L247+Com_Meters!L536+Net_Reg!L268+Net_Reg!L522+Cust_Reg!L247+Cust_Reg!L522+CP_SCADA!L275+CP_SCADA!L578+Aug!L261+Aug!L543+Cust_Conn!L231+Cust_Conn!L488+Cust_Conn!L743+Cust_Conn!L998+New_Towns!L226+New_Towns!L481+New_Towns!L749+IT!L352+Other!L226</f>
        <v>0</v>
      </c>
      <c r="M222" s="81">
        <f ca="1">Low_Press!M303+AdHoc!M247+AdHoc!M522+AdHoc!M797+Medium_Press!M296+High_Press!M226+Dom_Meters!M247+Dom_Meters!M501+Com_Meters!M247+Com_Meters!M536+Net_Reg!M268+Net_Reg!M522+Cust_Reg!M247+Cust_Reg!M522+CP_SCADA!M275+CP_SCADA!M578+Aug!M261+Aug!M543+Cust_Conn!M231+Cust_Conn!M488+Cust_Conn!M743+Cust_Conn!M998+New_Towns!M226+New_Towns!M481+New_Towns!M749+IT!M352+Other!M226</f>
        <v>0</v>
      </c>
      <c r="N222" s="81">
        <f ca="1">Low_Press!N303+AdHoc!N247+AdHoc!N522+AdHoc!N797+Medium_Press!N296+High_Press!N226+Dom_Meters!N247+Dom_Meters!N501+Com_Meters!N247+Com_Meters!N536+Net_Reg!N268+Net_Reg!N522+Cust_Reg!N247+Cust_Reg!N522+CP_SCADA!N275+CP_SCADA!N578+Aug!N261+Aug!N543+Cust_Conn!N231+Cust_Conn!N488+Cust_Conn!N743+Cust_Conn!N998+New_Towns!N226+New_Towns!N481+New_Towns!N749+IT!N352+Other!N226</f>
        <v>-2392185.7932199999</v>
      </c>
      <c r="O222" s="81">
        <f ca="1">Low_Press!O303+AdHoc!O247+AdHoc!O522+AdHoc!O797+Medium_Press!O296+High_Press!O226+Dom_Meters!O247+Dom_Meters!O501+Com_Meters!O247+Com_Meters!O536+Net_Reg!O268+Net_Reg!O522+Cust_Reg!O247+Cust_Reg!O522+CP_SCADA!O275+CP_SCADA!O578+Aug!O261+Aug!O543+Cust_Conn!O231+Cust_Conn!O488+Cust_Conn!O743+Cust_Conn!O998+New_Towns!O226+New_Towns!O481+New_Towns!O749+IT!O352+Other!O226</f>
        <v>-1201036.635</v>
      </c>
      <c r="P222" s="81">
        <f ca="1">Low_Press!P303+AdHoc!P247+AdHoc!P522+AdHoc!P797+Medium_Press!P296+High_Press!P226+Dom_Meters!P247+Dom_Meters!P501+Com_Meters!P247+Com_Meters!P536+Net_Reg!P268+Net_Reg!P522+Cust_Reg!P247+Cust_Reg!P522+CP_SCADA!P275+CP_SCADA!P578+Aug!P261+Aug!P543+Cust_Conn!P231+Cust_Conn!P488+Cust_Conn!P743+Cust_Conn!P998+New_Towns!P226+New_Towns!P481+New_Towns!P749+IT!P352+Other!P226</f>
        <v>-2402073.27</v>
      </c>
      <c r="Q222" s="81">
        <f ca="1">Low_Press!Q303+AdHoc!Q247+AdHoc!Q522+AdHoc!Q797+Medium_Press!Q296+High_Press!Q226+Dom_Meters!Q247+Dom_Meters!Q501+Com_Meters!Q247+Com_Meters!Q536+Net_Reg!Q268+Net_Reg!Q522+Cust_Reg!Q247+Cust_Reg!Q522+CP_SCADA!Q275+CP_SCADA!Q578+Aug!Q261+Aug!Q543+Cust_Conn!Q231+Cust_Conn!Q488+Cust_Conn!Q743+Cust_Conn!Q998+New_Towns!Q226+New_Towns!Q481+New_Towns!Q749+IT!Q352+Other!Q226</f>
        <v>-2424576.13</v>
      </c>
      <c r="R222" s="81">
        <f ca="1">Low_Press!R303+AdHoc!R247+AdHoc!R522+AdHoc!R797+Medium_Press!R296+High_Press!R226+Dom_Meters!R247+Dom_Meters!R501+Com_Meters!R247+Com_Meters!R536+Net_Reg!R268+Net_Reg!R522+Cust_Reg!R247+Cust_Reg!R522+CP_SCADA!R275+CP_SCADA!R578+Aug!R261+Aug!R543+Cust_Conn!R231+Cust_Conn!R488+Cust_Conn!R743+Cust_Conn!R998+New_Towns!R226+New_Towns!R481+New_Towns!R749+IT!R352+Other!R226</f>
        <v>-2446639.52</v>
      </c>
      <c r="S222" s="81">
        <f ca="1">Low_Press!S303+AdHoc!S247+AdHoc!S522+AdHoc!S797+Medium_Press!S296+High_Press!S226+Dom_Meters!S247+Dom_Meters!S501+Com_Meters!S247+Com_Meters!S536+Net_Reg!S268+Net_Reg!S522+Cust_Reg!S247+Cust_Reg!S522+CP_SCADA!S275+CP_SCADA!S578+Aug!S261+Aug!S543+Cust_Conn!S231+Cust_Conn!S488+Cust_Conn!S743+Cust_Conn!S998+New_Towns!S226+New_Towns!S481+New_Towns!S749+IT!S352+Other!S226</f>
        <v>-2431244.52</v>
      </c>
      <c r="T222" s="81">
        <f ca="1">Low_Press!T303+AdHoc!T247+AdHoc!T522+AdHoc!T797+Medium_Press!T296+High_Press!T226+Dom_Meters!T247+Dom_Meters!T501+Com_Meters!T247+Com_Meters!T536+Net_Reg!T268+Net_Reg!T522+Cust_Reg!T247+Cust_Reg!T522+CP_SCADA!T275+CP_SCADA!T578+Aug!T261+Aug!T543+Cust_Conn!T231+Cust_Conn!T488+Cust_Conn!T743+Cust_Conn!T998+New_Towns!T226+New_Towns!T481+New_Towns!T749+IT!T352+Other!T226</f>
        <v>-2415141.46</v>
      </c>
    </row>
    <row r="223" spans="5:20" outlineLevel="1">
      <c r="F223" s="247" t="str">
        <f>GC!C63</f>
        <v>Residential meter replacement</v>
      </c>
      <c r="G223" s="247"/>
      <c r="H223" s="247"/>
      <c r="I223" s="247"/>
      <c r="J223" s="81">
        <f ca="1">Low_Press!J304+AdHoc!J248+AdHoc!J523+AdHoc!J798+Medium_Press!J297+High_Press!J227+Dom_Meters!J248+Dom_Meters!J502+Com_Meters!J248+Com_Meters!J537+Net_Reg!J269+Net_Reg!J523+Cust_Reg!J248+Cust_Reg!J523+CP_SCADA!J276+CP_SCADA!J579+Aug!J262+Aug!J544+Cust_Conn!J232+Cust_Conn!J489+Cust_Conn!J744+Cust_Conn!J999+New_Towns!J227+New_Towns!J482+New_Towns!J750+IT!J353+Other!J227</f>
        <v>0</v>
      </c>
      <c r="K223" s="81">
        <f ca="1">Low_Press!K304+AdHoc!K248+AdHoc!K523+AdHoc!K798+Medium_Press!K297+High_Press!K227+Dom_Meters!K248+Dom_Meters!K502+Com_Meters!K248+Com_Meters!K537+Net_Reg!K269+Net_Reg!K523+Cust_Reg!K248+Cust_Reg!K523+CP_SCADA!K276+CP_SCADA!K579+Aug!K262+Aug!K544+Cust_Conn!K232+Cust_Conn!K489+Cust_Conn!K744+Cust_Conn!K999+New_Towns!K227+New_Towns!K482+New_Towns!K750+IT!K353+Other!K227</f>
        <v>0</v>
      </c>
      <c r="L223" s="81">
        <f ca="1">Low_Press!L304+AdHoc!L248+AdHoc!L523+AdHoc!L798+Medium_Press!L297+High_Press!L227+Dom_Meters!L248+Dom_Meters!L502+Com_Meters!L248+Com_Meters!L537+Net_Reg!L269+Net_Reg!L523+Cust_Reg!L248+Cust_Reg!L523+CP_SCADA!L276+CP_SCADA!L579+Aug!L262+Aug!L544+Cust_Conn!L232+Cust_Conn!L489+Cust_Conn!L744+Cust_Conn!L999+New_Towns!L227+New_Towns!L482+New_Towns!L750+IT!L353+Other!L227</f>
        <v>0</v>
      </c>
      <c r="M223" s="81">
        <f ca="1">Low_Press!M304+AdHoc!M248+AdHoc!M523+AdHoc!M798+Medium_Press!M297+High_Press!M227+Dom_Meters!M248+Dom_Meters!M502+Com_Meters!M248+Com_Meters!M537+Net_Reg!M269+Net_Reg!M523+Cust_Reg!M248+Cust_Reg!M523+CP_SCADA!M276+CP_SCADA!M579+Aug!M262+Aug!M544+Cust_Conn!M232+Cust_Conn!M489+Cust_Conn!M744+Cust_Conn!M999+New_Towns!M227+New_Towns!M482+New_Towns!M750+IT!M353+Other!M227</f>
        <v>0</v>
      </c>
      <c r="N223" s="81">
        <f ca="1">Low_Press!N304+AdHoc!N248+AdHoc!N523+AdHoc!N798+Medium_Press!N297+High_Press!N227+Dom_Meters!N248+Dom_Meters!N502+Com_Meters!N248+Com_Meters!N537+Net_Reg!N269+Net_Reg!N523+Cust_Reg!N248+Cust_Reg!N523+CP_SCADA!N276+CP_SCADA!N579+Aug!N262+Aug!N544+Cust_Conn!N232+Cust_Conn!N489+Cust_Conn!N744+Cust_Conn!N999+New_Towns!N227+New_Towns!N482+New_Towns!N750+IT!N353+Other!N227</f>
        <v>0</v>
      </c>
      <c r="O223" s="81">
        <f ca="1">Low_Press!O304+AdHoc!O248+AdHoc!O523+AdHoc!O798+Medium_Press!O297+High_Press!O227+Dom_Meters!O248+Dom_Meters!O502+Com_Meters!O248+Com_Meters!O537+Net_Reg!O269+Net_Reg!O523+Cust_Reg!O248+Cust_Reg!O523+CP_SCADA!O276+CP_SCADA!O579+Aug!O262+Aug!O544+Cust_Conn!O232+Cust_Conn!O489+Cust_Conn!O744+Cust_Conn!O999+New_Towns!O227+New_Towns!O482+New_Towns!O750+IT!O353+Other!O227</f>
        <v>0</v>
      </c>
      <c r="P223" s="81">
        <f ca="1">Low_Press!P304+AdHoc!P248+AdHoc!P523+AdHoc!P798+Medium_Press!P297+High_Press!P227+Dom_Meters!P248+Dom_Meters!P502+Com_Meters!P248+Com_Meters!P537+Net_Reg!P269+Net_Reg!P523+Cust_Reg!P248+Cust_Reg!P523+CP_SCADA!P276+CP_SCADA!P579+Aug!P262+Aug!P544+Cust_Conn!P232+Cust_Conn!P489+Cust_Conn!P744+Cust_Conn!P999+New_Towns!P227+New_Towns!P482+New_Towns!P750+IT!P353+Other!P227</f>
        <v>0</v>
      </c>
      <c r="Q223" s="81">
        <f ca="1">Low_Press!Q304+AdHoc!Q248+AdHoc!Q523+AdHoc!Q798+Medium_Press!Q297+High_Press!Q227+Dom_Meters!Q248+Dom_Meters!Q502+Com_Meters!Q248+Com_Meters!Q537+Net_Reg!Q269+Net_Reg!Q523+Cust_Reg!Q248+Cust_Reg!Q523+CP_SCADA!Q276+CP_SCADA!Q579+Aug!Q262+Aug!Q544+Cust_Conn!Q232+Cust_Conn!Q489+Cust_Conn!Q744+Cust_Conn!Q999+New_Towns!Q227+New_Towns!Q482+New_Towns!Q750+IT!Q353+Other!Q227</f>
        <v>0</v>
      </c>
      <c r="R223" s="81">
        <f ca="1">Low_Press!R304+AdHoc!R248+AdHoc!R523+AdHoc!R798+Medium_Press!R297+High_Press!R227+Dom_Meters!R248+Dom_Meters!R502+Com_Meters!R248+Com_Meters!R537+Net_Reg!R269+Net_Reg!R523+Cust_Reg!R248+Cust_Reg!R523+CP_SCADA!R276+CP_SCADA!R579+Aug!R262+Aug!R544+Cust_Conn!R232+Cust_Conn!R489+Cust_Conn!R744+Cust_Conn!R999+New_Towns!R227+New_Towns!R482+New_Towns!R750+IT!R353+Other!R227</f>
        <v>0</v>
      </c>
      <c r="S223" s="81">
        <f ca="1">Low_Press!S304+AdHoc!S248+AdHoc!S523+AdHoc!S798+Medium_Press!S297+High_Press!S227+Dom_Meters!S248+Dom_Meters!S502+Com_Meters!S248+Com_Meters!S537+Net_Reg!S269+Net_Reg!S523+Cust_Reg!S248+Cust_Reg!S523+CP_SCADA!S276+CP_SCADA!S579+Aug!S262+Aug!S544+Cust_Conn!S232+Cust_Conn!S489+Cust_Conn!S744+Cust_Conn!S999+New_Towns!S227+New_Towns!S482+New_Towns!S750+IT!S353+Other!S227</f>
        <v>0</v>
      </c>
      <c r="T223" s="81">
        <f ca="1">Low_Press!T304+AdHoc!T248+AdHoc!T523+AdHoc!T798+Medium_Press!T297+High_Press!T227+Dom_Meters!T248+Dom_Meters!T502+Com_Meters!T248+Com_Meters!T537+Net_Reg!T269+Net_Reg!T523+Cust_Reg!T248+Cust_Reg!T523+CP_SCADA!T276+CP_SCADA!T579+Aug!T262+Aug!T544+Cust_Conn!T232+Cust_Conn!T489+Cust_Conn!T744+Cust_Conn!T999+New_Towns!T227+New_Towns!T482+New_Towns!T750+IT!T353+Other!T227</f>
        <v>0</v>
      </c>
    </row>
    <row r="224" spans="5:20" outlineLevel="1">
      <c r="F224" s="247" t="str">
        <f>GC!C64</f>
        <v>Commercial and industrial meter replacement</v>
      </c>
      <c r="G224" s="247"/>
      <c r="H224" s="247"/>
      <c r="I224" s="247"/>
      <c r="J224" s="81">
        <f ca="1">Low_Press!J305+AdHoc!J249+AdHoc!J524+AdHoc!J799+Medium_Press!J298+High_Press!J228+Dom_Meters!J249+Dom_Meters!J503+Com_Meters!J249+Com_Meters!J538+Net_Reg!J270+Net_Reg!J524+Cust_Reg!J249+Cust_Reg!J524+CP_SCADA!J277+CP_SCADA!J580+Aug!J263+Aug!J545+Cust_Conn!J233+Cust_Conn!J490+Cust_Conn!J745+Cust_Conn!J1000+New_Towns!J228+New_Towns!J483+New_Towns!J751+IT!J354+Other!J228</f>
        <v>0</v>
      </c>
      <c r="K224" s="81">
        <f ca="1">Low_Press!K305+AdHoc!K249+AdHoc!K524+AdHoc!K799+Medium_Press!K298+High_Press!K228+Dom_Meters!K249+Dom_Meters!K503+Com_Meters!K249+Com_Meters!K538+Net_Reg!K270+Net_Reg!K524+Cust_Reg!K249+Cust_Reg!K524+CP_SCADA!K277+CP_SCADA!K580+Aug!K263+Aug!K545+Cust_Conn!K233+Cust_Conn!K490+Cust_Conn!K745+Cust_Conn!K1000+New_Towns!K228+New_Towns!K483+New_Towns!K751+IT!K354+Other!K228</f>
        <v>0</v>
      </c>
      <c r="L224" s="81">
        <f ca="1">Low_Press!L305+AdHoc!L249+AdHoc!L524+AdHoc!L799+Medium_Press!L298+High_Press!L228+Dom_Meters!L249+Dom_Meters!L503+Com_Meters!L249+Com_Meters!L538+Net_Reg!L270+Net_Reg!L524+Cust_Reg!L249+Cust_Reg!L524+CP_SCADA!L277+CP_SCADA!L580+Aug!L263+Aug!L545+Cust_Conn!L233+Cust_Conn!L490+Cust_Conn!L745+Cust_Conn!L1000+New_Towns!L228+New_Towns!L483+New_Towns!L751+IT!L354+Other!L228</f>
        <v>0</v>
      </c>
      <c r="M224" s="81">
        <f ca="1">Low_Press!M305+AdHoc!M249+AdHoc!M524+AdHoc!M799+Medium_Press!M298+High_Press!M228+Dom_Meters!M249+Dom_Meters!M503+Com_Meters!M249+Com_Meters!M538+Net_Reg!M270+Net_Reg!M524+Cust_Reg!M249+Cust_Reg!M524+CP_SCADA!M277+CP_SCADA!M580+Aug!M263+Aug!M545+Cust_Conn!M233+Cust_Conn!M490+Cust_Conn!M745+Cust_Conn!M1000+New_Towns!M228+New_Towns!M483+New_Towns!M751+IT!M354+Other!M228</f>
        <v>0</v>
      </c>
      <c r="N224" s="81">
        <f ca="1">Low_Press!N305+AdHoc!N249+AdHoc!N524+AdHoc!N799+Medium_Press!N298+High_Press!N228+Dom_Meters!N249+Dom_Meters!N503+Com_Meters!N249+Com_Meters!N538+Net_Reg!N270+Net_Reg!N524+Cust_Reg!N249+Cust_Reg!N524+CP_SCADA!N277+CP_SCADA!N580+Aug!N263+Aug!N545+Cust_Conn!N233+Cust_Conn!N490+Cust_Conn!N745+Cust_Conn!N1000+New_Towns!N228+New_Towns!N483+New_Towns!N751+IT!N354+Other!N228</f>
        <v>0</v>
      </c>
      <c r="O224" s="81">
        <f ca="1">Low_Press!O305+AdHoc!O249+AdHoc!O524+AdHoc!O799+Medium_Press!O298+High_Press!O228+Dom_Meters!O249+Dom_Meters!O503+Com_Meters!O249+Com_Meters!O538+Net_Reg!O270+Net_Reg!O524+Cust_Reg!O249+Cust_Reg!O524+CP_SCADA!O277+CP_SCADA!O580+Aug!O263+Aug!O545+Cust_Conn!O233+Cust_Conn!O490+Cust_Conn!O745+Cust_Conn!O1000+New_Towns!O228+New_Towns!O483+New_Towns!O751+IT!O354+Other!O228</f>
        <v>0</v>
      </c>
      <c r="P224" s="81">
        <f ca="1">Low_Press!P305+AdHoc!P249+AdHoc!P524+AdHoc!P799+Medium_Press!P298+High_Press!P228+Dom_Meters!P249+Dom_Meters!P503+Com_Meters!P249+Com_Meters!P538+Net_Reg!P270+Net_Reg!P524+Cust_Reg!P249+Cust_Reg!P524+CP_SCADA!P277+CP_SCADA!P580+Aug!P263+Aug!P545+Cust_Conn!P233+Cust_Conn!P490+Cust_Conn!P745+Cust_Conn!P1000+New_Towns!P228+New_Towns!P483+New_Towns!P751+IT!P354+Other!P228</f>
        <v>0</v>
      </c>
      <c r="Q224" s="81">
        <f ca="1">Low_Press!Q305+AdHoc!Q249+AdHoc!Q524+AdHoc!Q799+Medium_Press!Q298+High_Press!Q228+Dom_Meters!Q249+Dom_Meters!Q503+Com_Meters!Q249+Com_Meters!Q538+Net_Reg!Q270+Net_Reg!Q524+Cust_Reg!Q249+Cust_Reg!Q524+CP_SCADA!Q277+CP_SCADA!Q580+Aug!Q263+Aug!Q545+Cust_Conn!Q233+Cust_Conn!Q490+Cust_Conn!Q745+Cust_Conn!Q1000+New_Towns!Q228+New_Towns!Q483+New_Towns!Q751+IT!Q354+Other!Q228</f>
        <v>0</v>
      </c>
      <c r="R224" s="81">
        <f ca="1">Low_Press!R305+AdHoc!R249+AdHoc!R524+AdHoc!R799+Medium_Press!R298+High_Press!R228+Dom_Meters!R249+Dom_Meters!R503+Com_Meters!R249+Com_Meters!R538+Net_Reg!R270+Net_Reg!R524+Cust_Reg!R249+Cust_Reg!R524+CP_SCADA!R277+CP_SCADA!R580+Aug!R263+Aug!R545+Cust_Conn!R233+Cust_Conn!R490+Cust_Conn!R745+Cust_Conn!R1000+New_Towns!R228+New_Towns!R483+New_Towns!R751+IT!R354+Other!R228</f>
        <v>0</v>
      </c>
      <c r="S224" s="81">
        <f ca="1">Low_Press!S305+AdHoc!S249+AdHoc!S524+AdHoc!S799+Medium_Press!S298+High_Press!S228+Dom_Meters!S249+Dom_Meters!S503+Com_Meters!S249+Com_Meters!S538+Net_Reg!S270+Net_Reg!S524+Cust_Reg!S249+Cust_Reg!S524+CP_SCADA!S277+CP_SCADA!S580+Aug!S263+Aug!S545+Cust_Conn!S233+Cust_Conn!S490+Cust_Conn!S745+Cust_Conn!S1000+New_Towns!S228+New_Towns!S483+New_Towns!S751+IT!S354+Other!S228</f>
        <v>0</v>
      </c>
      <c r="T224" s="81">
        <f ca="1">Low_Press!T305+AdHoc!T249+AdHoc!T524+AdHoc!T799+Medium_Press!T298+High_Press!T228+Dom_Meters!T249+Dom_Meters!T503+Com_Meters!T249+Com_Meters!T538+Net_Reg!T270+Net_Reg!T524+Cust_Reg!T249+Cust_Reg!T524+CP_SCADA!T277+CP_SCADA!T580+Aug!T263+Aug!T545+Cust_Conn!T233+Cust_Conn!T490+Cust_Conn!T745+Cust_Conn!T1000+New_Towns!T228+New_Towns!T483+New_Towns!T751+IT!T354+Other!T228</f>
        <v>0</v>
      </c>
    </row>
    <row r="225" spans="3:20" outlineLevel="1">
      <c r="F225" s="247" t="str">
        <f>GC!C65</f>
        <v>Augmentation</v>
      </c>
      <c r="G225" s="247"/>
      <c r="H225" s="247"/>
      <c r="I225" s="247"/>
      <c r="J225" s="81">
        <f ca="1">Low_Press!J306+AdHoc!J250+AdHoc!J525+AdHoc!J800+Medium_Press!J299+High_Press!J229+Dom_Meters!J250+Dom_Meters!J504+Com_Meters!J250+Com_Meters!J539+Net_Reg!J271+Net_Reg!J525+Cust_Reg!J250+Cust_Reg!J525+CP_SCADA!J278+CP_SCADA!J581+Aug!J264+Aug!J546+Cust_Conn!J234+Cust_Conn!J491+Cust_Conn!J746+Cust_Conn!J1001+New_Towns!J229+New_Towns!J484+New_Towns!J752+IT!J355+Other!J229</f>
        <v>0</v>
      </c>
      <c r="K225" s="81">
        <f ca="1">Low_Press!K306+AdHoc!K250+AdHoc!K525+AdHoc!K800+Medium_Press!K299+High_Press!K229+Dom_Meters!K250+Dom_Meters!K504+Com_Meters!K250+Com_Meters!K539+Net_Reg!K271+Net_Reg!K525+Cust_Reg!K250+Cust_Reg!K525+CP_SCADA!K278+CP_SCADA!K581+Aug!K264+Aug!K546+Cust_Conn!K234+Cust_Conn!K491+Cust_Conn!K746+Cust_Conn!K1001+New_Towns!K229+New_Towns!K484+New_Towns!K752+IT!K355+Other!K229</f>
        <v>0</v>
      </c>
      <c r="L225" s="81">
        <f ca="1">Low_Press!L306+AdHoc!L250+AdHoc!L525+AdHoc!L800+Medium_Press!L299+High_Press!L229+Dom_Meters!L250+Dom_Meters!L504+Com_Meters!L250+Com_Meters!L539+Net_Reg!L271+Net_Reg!L525+Cust_Reg!L250+Cust_Reg!L525+CP_SCADA!L278+CP_SCADA!L581+Aug!L264+Aug!L546+Cust_Conn!L234+Cust_Conn!L491+Cust_Conn!L746+Cust_Conn!L1001+New_Towns!L229+New_Towns!L484+New_Towns!L752+IT!L355+Other!L229</f>
        <v>0</v>
      </c>
      <c r="M225" s="81">
        <f ca="1">Low_Press!M306+AdHoc!M250+AdHoc!M525+AdHoc!M800+Medium_Press!M299+High_Press!M229+Dom_Meters!M250+Dom_Meters!M504+Com_Meters!M250+Com_Meters!M539+Net_Reg!M271+Net_Reg!M525+Cust_Reg!M250+Cust_Reg!M525+CP_SCADA!M278+CP_SCADA!M581+Aug!M264+Aug!M546+Cust_Conn!M234+Cust_Conn!M491+Cust_Conn!M746+Cust_Conn!M1001+New_Towns!M229+New_Towns!M484+New_Towns!M752+IT!M355+Other!M229</f>
        <v>0</v>
      </c>
      <c r="N225" s="81">
        <f ca="1">Low_Press!N306+AdHoc!N250+AdHoc!N525+AdHoc!N800+Medium_Press!N299+High_Press!N229+Dom_Meters!N250+Dom_Meters!N504+Com_Meters!N250+Com_Meters!N539+Net_Reg!N271+Net_Reg!N525+Cust_Reg!N250+Cust_Reg!N525+CP_SCADA!N278+CP_SCADA!N581+Aug!N264+Aug!N546+Cust_Conn!N234+Cust_Conn!N491+Cust_Conn!N746+Cust_Conn!N1001+New_Towns!N229+New_Towns!N484+New_Towns!N752+IT!N355+Other!N229</f>
        <v>0</v>
      </c>
      <c r="O225" s="81">
        <f ca="1">Low_Press!O306+AdHoc!O250+AdHoc!O525+AdHoc!O800+Medium_Press!O299+High_Press!O229+Dom_Meters!O250+Dom_Meters!O504+Com_Meters!O250+Com_Meters!O539+Net_Reg!O271+Net_Reg!O525+Cust_Reg!O250+Cust_Reg!O525+CP_SCADA!O278+CP_SCADA!O581+Aug!O264+Aug!O546+Cust_Conn!O234+Cust_Conn!O491+Cust_Conn!O746+Cust_Conn!O1001+New_Towns!O229+New_Towns!O484+New_Towns!O752+IT!O355+Other!O229</f>
        <v>0</v>
      </c>
      <c r="P225" s="81">
        <f ca="1">Low_Press!P306+AdHoc!P250+AdHoc!P525+AdHoc!P800+Medium_Press!P299+High_Press!P229+Dom_Meters!P250+Dom_Meters!P504+Com_Meters!P250+Com_Meters!P539+Net_Reg!P271+Net_Reg!P525+Cust_Reg!P250+Cust_Reg!P525+CP_SCADA!P278+CP_SCADA!P581+Aug!P264+Aug!P546+Cust_Conn!P234+Cust_Conn!P491+Cust_Conn!P746+Cust_Conn!P1001+New_Towns!P229+New_Towns!P484+New_Towns!P752+IT!P355+Other!P229</f>
        <v>0</v>
      </c>
      <c r="Q225" s="81">
        <f ca="1">Low_Press!Q306+AdHoc!Q250+AdHoc!Q525+AdHoc!Q800+Medium_Press!Q299+High_Press!Q229+Dom_Meters!Q250+Dom_Meters!Q504+Com_Meters!Q250+Com_Meters!Q539+Net_Reg!Q271+Net_Reg!Q525+Cust_Reg!Q250+Cust_Reg!Q525+CP_SCADA!Q278+CP_SCADA!Q581+Aug!Q264+Aug!Q546+Cust_Conn!Q234+Cust_Conn!Q491+Cust_Conn!Q746+Cust_Conn!Q1001+New_Towns!Q229+New_Towns!Q484+New_Towns!Q752+IT!Q355+Other!Q229</f>
        <v>0</v>
      </c>
      <c r="R225" s="81">
        <f ca="1">Low_Press!R306+AdHoc!R250+AdHoc!R525+AdHoc!R800+Medium_Press!R299+High_Press!R229+Dom_Meters!R250+Dom_Meters!R504+Com_Meters!R250+Com_Meters!R539+Net_Reg!R271+Net_Reg!R525+Cust_Reg!R250+Cust_Reg!R525+CP_SCADA!R278+CP_SCADA!R581+Aug!R264+Aug!R546+Cust_Conn!R234+Cust_Conn!R491+Cust_Conn!R746+Cust_Conn!R1001+New_Towns!R229+New_Towns!R484+New_Towns!R752+IT!R355+Other!R229</f>
        <v>0</v>
      </c>
      <c r="S225" s="81">
        <f ca="1">Low_Press!S306+AdHoc!S250+AdHoc!S525+AdHoc!S800+Medium_Press!S299+High_Press!S229+Dom_Meters!S250+Dom_Meters!S504+Com_Meters!S250+Com_Meters!S539+Net_Reg!S271+Net_Reg!S525+Cust_Reg!S250+Cust_Reg!S525+CP_SCADA!S278+CP_SCADA!S581+Aug!S264+Aug!S546+Cust_Conn!S234+Cust_Conn!S491+Cust_Conn!S746+Cust_Conn!S1001+New_Towns!S229+New_Towns!S484+New_Towns!S752+IT!S355+Other!S229</f>
        <v>0</v>
      </c>
      <c r="T225" s="81">
        <f ca="1">Low_Press!T306+AdHoc!T250+AdHoc!T525+AdHoc!T800+Medium_Press!T299+High_Press!T229+Dom_Meters!T250+Dom_Meters!T504+Com_Meters!T250+Com_Meters!T539+Net_Reg!T271+Net_Reg!T525+Cust_Reg!T250+Cust_Reg!T525+CP_SCADA!T278+CP_SCADA!T581+Aug!T264+Aug!T546+Cust_Conn!T234+Cust_Conn!T491+Cust_Conn!T746+Cust_Conn!T1001+New_Towns!T229+New_Towns!T484+New_Towns!T752+IT!T355+Other!T229</f>
        <v>0</v>
      </c>
    </row>
    <row r="226" spans="3:20" outlineLevel="1">
      <c r="F226" s="247" t="str">
        <f>GC!C66</f>
        <v>IT capex</v>
      </c>
      <c r="G226" s="247"/>
      <c r="H226" s="247"/>
      <c r="I226" s="247"/>
      <c r="J226" s="81">
        <f ca="1">Low_Press!J307+AdHoc!J251+AdHoc!J526+AdHoc!J801+Medium_Press!J300+High_Press!J230+Dom_Meters!J251+Dom_Meters!J505+Com_Meters!J251+Com_Meters!J540+Net_Reg!J272+Net_Reg!J526+Cust_Reg!J251+Cust_Reg!J526+CP_SCADA!J279+CP_SCADA!J582+Aug!J265+Aug!J547+Cust_Conn!J235+Cust_Conn!J492+Cust_Conn!J747+Cust_Conn!J1002+New_Towns!J230+New_Towns!J485+New_Towns!J753+IT!J356+Other!J230</f>
        <v>0</v>
      </c>
      <c r="K226" s="81">
        <f ca="1">Low_Press!K307+AdHoc!K251+AdHoc!K526+AdHoc!K801+Medium_Press!K300+High_Press!K230+Dom_Meters!K251+Dom_Meters!K505+Com_Meters!K251+Com_Meters!K540+Net_Reg!K272+Net_Reg!K526+Cust_Reg!K251+Cust_Reg!K526+CP_SCADA!K279+CP_SCADA!K582+Aug!K265+Aug!K547+Cust_Conn!K235+Cust_Conn!K492+Cust_Conn!K747+Cust_Conn!K1002+New_Towns!K230+New_Towns!K485+New_Towns!K753+IT!K356+Other!K230</f>
        <v>0</v>
      </c>
      <c r="L226" s="81">
        <f ca="1">Low_Press!L307+AdHoc!L251+AdHoc!L526+AdHoc!L801+Medium_Press!L300+High_Press!L230+Dom_Meters!L251+Dom_Meters!L505+Com_Meters!L251+Com_Meters!L540+Net_Reg!L272+Net_Reg!L526+Cust_Reg!L251+Cust_Reg!L526+CP_SCADA!L279+CP_SCADA!L582+Aug!L265+Aug!L547+Cust_Conn!L235+Cust_Conn!L492+Cust_Conn!L747+Cust_Conn!L1002+New_Towns!L230+New_Towns!L485+New_Towns!L753+IT!L356+Other!L230</f>
        <v>0</v>
      </c>
      <c r="M226" s="81">
        <f ca="1">Low_Press!M307+AdHoc!M251+AdHoc!M526+AdHoc!M801+Medium_Press!M300+High_Press!M230+Dom_Meters!M251+Dom_Meters!M505+Com_Meters!M251+Com_Meters!M540+Net_Reg!M272+Net_Reg!M526+Cust_Reg!M251+Cust_Reg!M526+CP_SCADA!M279+CP_SCADA!M582+Aug!M265+Aug!M547+Cust_Conn!M235+Cust_Conn!M492+Cust_Conn!M747+Cust_Conn!M1002+New_Towns!M230+New_Towns!M485+New_Towns!M753+IT!M356+Other!M230</f>
        <v>0</v>
      </c>
      <c r="N226" s="81">
        <f ca="1">Low_Press!N307+AdHoc!N251+AdHoc!N526+AdHoc!N801+Medium_Press!N300+High_Press!N230+Dom_Meters!N251+Dom_Meters!N505+Com_Meters!N251+Com_Meters!N540+Net_Reg!N272+Net_Reg!N526+Cust_Reg!N251+Cust_Reg!N526+CP_SCADA!N279+CP_SCADA!N582+Aug!N265+Aug!N547+Cust_Conn!N235+Cust_Conn!N492+Cust_Conn!N747+Cust_Conn!N1002+New_Towns!N230+New_Towns!N485+New_Towns!N753+IT!N356+Other!N230</f>
        <v>0</v>
      </c>
      <c r="O226" s="81">
        <f ca="1">Low_Press!O307+AdHoc!O251+AdHoc!O526+AdHoc!O801+Medium_Press!O300+High_Press!O230+Dom_Meters!O251+Dom_Meters!O505+Com_Meters!O251+Com_Meters!O540+Net_Reg!O272+Net_Reg!O526+Cust_Reg!O251+Cust_Reg!O526+CP_SCADA!O279+CP_SCADA!O582+Aug!O265+Aug!O547+Cust_Conn!O235+Cust_Conn!O492+Cust_Conn!O747+Cust_Conn!O1002+New_Towns!O230+New_Towns!O485+New_Towns!O753+IT!O356+Other!O230</f>
        <v>0</v>
      </c>
      <c r="P226" s="81">
        <f ca="1">Low_Press!P307+AdHoc!P251+AdHoc!P526+AdHoc!P801+Medium_Press!P300+High_Press!P230+Dom_Meters!P251+Dom_Meters!P505+Com_Meters!P251+Com_Meters!P540+Net_Reg!P272+Net_Reg!P526+Cust_Reg!P251+Cust_Reg!P526+CP_SCADA!P279+CP_SCADA!P582+Aug!P265+Aug!P547+Cust_Conn!P235+Cust_Conn!P492+Cust_Conn!P747+Cust_Conn!P1002+New_Towns!P230+New_Towns!P485+New_Towns!P753+IT!P356+Other!P230</f>
        <v>0</v>
      </c>
      <c r="Q226" s="81">
        <f ca="1">Low_Press!Q307+AdHoc!Q251+AdHoc!Q526+AdHoc!Q801+Medium_Press!Q300+High_Press!Q230+Dom_Meters!Q251+Dom_Meters!Q505+Com_Meters!Q251+Com_Meters!Q540+Net_Reg!Q272+Net_Reg!Q526+Cust_Reg!Q251+Cust_Reg!Q526+CP_SCADA!Q279+CP_SCADA!Q582+Aug!Q265+Aug!Q547+Cust_Conn!Q235+Cust_Conn!Q492+Cust_Conn!Q747+Cust_Conn!Q1002+New_Towns!Q230+New_Towns!Q485+New_Towns!Q753+IT!Q356+Other!Q230</f>
        <v>0</v>
      </c>
      <c r="R226" s="81">
        <f ca="1">Low_Press!R307+AdHoc!R251+AdHoc!R526+AdHoc!R801+Medium_Press!R300+High_Press!R230+Dom_Meters!R251+Dom_Meters!R505+Com_Meters!R251+Com_Meters!R540+Net_Reg!R272+Net_Reg!R526+Cust_Reg!R251+Cust_Reg!R526+CP_SCADA!R279+CP_SCADA!R582+Aug!R265+Aug!R547+Cust_Conn!R235+Cust_Conn!R492+Cust_Conn!R747+Cust_Conn!R1002+New_Towns!R230+New_Towns!R485+New_Towns!R753+IT!R356+Other!R230</f>
        <v>0</v>
      </c>
      <c r="S226" s="81">
        <f ca="1">Low_Press!S307+AdHoc!S251+AdHoc!S526+AdHoc!S801+Medium_Press!S300+High_Press!S230+Dom_Meters!S251+Dom_Meters!S505+Com_Meters!S251+Com_Meters!S540+Net_Reg!S272+Net_Reg!S526+Cust_Reg!S251+Cust_Reg!S526+CP_SCADA!S279+CP_SCADA!S582+Aug!S265+Aug!S547+Cust_Conn!S235+Cust_Conn!S492+Cust_Conn!S747+Cust_Conn!S1002+New_Towns!S230+New_Towns!S485+New_Towns!S753+IT!S356+Other!S230</f>
        <v>0</v>
      </c>
      <c r="T226" s="81">
        <f ca="1">Low_Press!T307+AdHoc!T251+AdHoc!T526+AdHoc!T801+Medium_Press!T300+High_Press!T230+Dom_Meters!T251+Dom_Meters!T505+Com_Meters!T251+Com_Meters!T540+Net_Reg!T272+Net_Reg!T526+Cust_Reg!T251+Cust_Reg!T526+CP_SCADA!T279+CP_SCADA!T582+Aug!T265+Aug!T547+Cust_Conn!T235+Cust_Conn!T492+Cust_Conn!T747+Cust_Conn!T1002+New_Towns!T230+New_Towns!T485+New_Towns!T753+IT!T356+Other!T230</f>
        <v>0</v>
      </c>
    </row>
    <row r="227" spans="3:20" outlineLevel="1">
      <c r="F227" s="247" t="str">
        <f>GC!C67</f>
        <v>SCADA</v>
      </c>
      <c r="G227" s="247"/>
      <c r="H227" s="247"/>
      <c r="I227" s="247"/>
      <c r="J227" s="81">
        <f ca="1">Low_Press!J308+AdHoc!J252+AdHoc!J527+AdHoc!J802+Medium_Press!J301+High_Press!J231+Dom_Meters!J252+Dom_Meters!J506+Com_Meters!J252+Com_Meters!J541+Net_Reg!J273+Net_Reg!J527+Cust_Reg!J252+Cust_Reg!J527+CP_SCADA!J280+CP_SCADA!J583+Aug!J266+Aug!J548+Cust_Conn!J236+Cust_Conn!J493+Cust_Conn!J748+Cust_Conn!J1003+New_Towns!J231+New_Towns!J486+New_Towns!J754+IT!J357+Other!J231</f>
        <v>0</v>
      </c>
      <c r="K227" s="81">
        <f ca="1">Low_Press!K308+AdHoc!K252+AdHoc!K527+AdHoc!K802+Medium_Press!K301+High_Press!K231+Dom_Meters!K252+Dom_Meters!K506+Com_Meters!K252+Com_Meters!K541+Net_Reg!K273+Net_Reg!K527+Cust_Reg!K252+Cust_Reg!K527+CP_SCADA!K280+CP_SCADA!K583+Aug!K266+Aug!K548+Cust_Conn!K236+Cust_Conn!K493+Cust_Conn!K748+Cust_Conn!K1003+New_Towns!K231+New_Towns!K486+New_Towns!K754+IT!K357+Other!K231</f>
        <v>0</v>
      </c>
      <c r="L227" s="81">
        <f ca="1">Low_Press!L308+AdHoc!L252+AdHoc!L527+AdHoc!L802+Medium_Press!L301+High_Press!L231+Dom_Meters!L252+Dom_Meters!L506+Com_Meters!L252+Com_Meters!L541+Net_Reg!L273+Net_Reg!L527+Cust_Reg!L252+Cust_Reg!L527+CP_SCADA!L280+CP_SCADA!L583+Aug!L266+Aug!L548+Cust_Conn!L236+Cust_Conn!L493+Cust_Conn!L748+Cust_Conn!L1003+New_Towns!L231+New_Towns!L486+New_Towns!L754+IT!L357+Other!L231</f>
        <v>0</v>
      </c>
      <c r="M227" s="81">
        <f ca="1">Low_Press!M308+AdHoc!M252+AdHoc!M527+AdHoc!M802+Medium_Press!M301+High_Press!M231+Dom_Meters!M252+Dom_Meters!M506+Com_Meters!M252+Com_Meters!M541+Net_Reg!M273+Net_Reg!M527+Cust_Reg!M252+Cust_Reg!M527+CP_SCADA!M280+CP_SCADA!M583+Aug!M266+Aug!M548+Cust_Conn!M236+Cust_Conn!M493+Cust_Conn!M748+Cust_Conn!M1003+New_Towns!M231+New_Towns!M486+New_Towns!M754+IT!M357+Other!M231</f>
        <v>0</v>
      </c>
      <c r="N227" s="81">
        <f ca="1">Low_Press!N308+AdHoc!N252+AdHoc!N527+AdHoc!N802+Medium_Press!N301+High_Press!N231+Dom_Meters!N252+Dom_Meters!N506+Com_Meters!N252+Com_Meters!N541+Net_Reg!N273+Net_Reg!N527+Cust_Reg!N252+Cust_Reg!N527+CP_SCADA!N280+CP_SCADA!N583+Aug!N266+Aug!N548+Cust_Conn!N236+Cust_Conn!N493+Cust_Conn!N748+Cust_Conn!N1003+New_Towns!N231+New_Towns!N486+New_Towns!N754+IT!N357+Other!N231</f>
        <v>0</v>
      </c>
      <c r="O227" s="81">
        <f ca="1">Low_Press!O308+AdHoc!O252+AdHoc!O527+AdHoc!O802+Medium_Press!O301+High_Press!O231+Dom_Meters!O252+Dom_Meters!O506+Com_Meters!O252+Com_Meters!O541+Net_Reg!O273+Net_Reg!O527+Cust_Reg!O252+Cust_Reg!O527+CP_SCADA!O280+CP_SCADA!O583+Aug!O266+Aug!O548+Cust_Conn!O236+Cust_Conn!O493+Cust_Conn!O748+Cust_Conn!O1003+New_Towns!O231+New_Towns!O486+New_Towns!O754+IT!O357+Other!O231</f>
        <v>0</v>
      </c>
      <c r="P227" s="81">
        <f ca="1">Low_Press!P308+AdHoc!P252+AdHoc!P527+AdHoc!P802+Medium_Press!P301+High_Press!P231+Dom_Meters!P252+Dom_Meters!P506+Com_Meters!P252+Com_Meters!P541+Net_Reg!P273+Net_Reg!P527+Cust_Reg!P252+Cust_Reg!P527+CP_SCADA!P280+CP_SCADA!P583+Aug!P266+Aug!P548+Cust_Conn!P236+Cust_Conn!P493+Cust_Conn!P748+Cust_Conn!P1003+New_Towns!P231+New_Towns!P486+New_Towns!P754+IT!P357+Other!P231</f>
        <v>0</v>
      </c>
      <c r="Q227" s="81">
        <f ca="1">Low_Press!Q308+AdHoc!Q252+AdHoc!Q527+AdHoc!Q802+Medium_Press!Q301+High_Press!Q231+Dom_Meters!Q252+Dom_Meters!Q506+Com_Meters!Q252+Com_Meters!Q541+Net_Reg!Q273+Net_Reg!Q527+Cust_Reg!Q252+Cust_Reg!Q527+CP_SCADA!Q280+CP_SCADA!Q583+Aug!Q266+Aug!Q548+Cust_Conn!Q236+Cust_Conn!Q493+Cust_Conn!Q748+Cust_Conn!Q1003+New_Towns!Q231+New_Towns!Q486+New_Towns!Q754+IT!Q357+Other!Q231</f>
        <v>0</v>
      </c>
      <c r="R227" s="81">
        <f ca="1">Low_Press!R308+AdHoc!R252+AdHoc!R527+AdHoc!R802+Medium_Press!R301+High_Press!R231+Dom_Meters!R252+Dom_Meters!R506+Com_Meters!R252+Com_Meters!R541+Net_Reg!R273+Net_Reg!R527+Cust_Reg!R252+Cust_Reg!R527+CP_SCADA!R280+CP_SCADA!R583+Aug!R266+Aug!R548+Cust_Conn!R236+Cust_Conn!R493+Cust_Conn!R748+Cust_Conn!R1003+New_Towns!R231+New_Towns!R486+New_Towns!R754+IT!R357+Other!R231</f>
        <v>0</v>
      </c>
      <c r="S227" s="81">
        <f ca="1">Low_Press!S308+AdHoc!S252+AdHoc!S527+AdHoc!S802+Medium_Press!S301+High_Press!S231+Dom_Meters!S252+Dom_Meters!S506+Com_Meters!S252+Com_Meters!S541+Net_Reg!S273+Net_Reg!S527+Cust_Reg!S252+Cust_Reg!S527+CP_SCADA!S280+CP_SCADA!S583+Aug!S266+Aug!S548+Cust_Conn!S236+Cust_Conn!S493+Cust_Conn!S748+Cust_Conn!S1003+New_Towns!S231+New_Towns!S486+New_Towns!S754+IT!S357+Other!S231</f>
        <v>0</v>
      </c>
      <c r="T227" s="81">
        <f ca="1">Low_Press!T308+AdHoc!T252+AdHoc!T527+AdHoc!T802+Medium_Press!T301+High_Press!T231+Dom_Meters!T252+Dom_Meters!T506+Com_Meters!T252+Com_Meters!T541+Net_Reg!T273+Net_Reg!T527+Cust_Reg!T252+Cust_Reg!T527+CP_SCADA!T280+CP_SCADA!T583+Aug!T266+Aug!T548+Cust_Conn!T236+Cust_Conn!T493+Cust_Conn!T748+Cust_Conn!T1003+New_Towns!T231+New_Towns!T486+New_Towns!T754+IT!T357+Other!T231</f>
        <v>0</v>
      </c>
    </row>
    <row r="228" spans="3:20" outlineLevel="1">
      <c r="F228" s="247" t="str">
        <f>GC!C68</f>
        <v>Other</v>
      </c>
      <c r="G228" s="247"/>
      <c r="H228" s="247"/>
      <c r="I228" s="247"/>
      <c r="J228" s="81">
        <f ca="1">Low_Press!J309+AdHoc!J253+AdHoc!J528+AdHoc!J803+Medium_Press!J302+High_Press!J232+Dom_Meters!J253+Dom_Meters!J507+Com_Meters!J253+Com_Meters!J542+Net_Reg!J274+Net_Reg!J528+Cust_Reg!J253+Cust_Reg!J528+CP_SCADA!J281+CP_SCADA!J584+Aug!J267+Aug!J549+Cust_Conn!J237+Cust_Conn!J494+Cust_Conn!J749+Cust_Conn!J1004+New_Towns!J232+New_Towns!J487+New_Towns!J755+IT!J358+Other!J232</f>
        <v>0</v>
      </c>
      <c r="K228" s="81">
        <f ca="1">Low_Press!K309+AdHoc!K253+AdHoc!K528+AdHoc!K803+Medium_Press!K302+High_Press!K232+Dom_Meters!K253+Dom_Meters!K507+Com_Meters!K253+Com_Meters!K542+Net_Reg!K274+Net_Reg!K528+Cust_Reg!K253+Cust_Reg!K528+CP_SCADA!K281+CP_SCADA!K584+Aug!K267+Aug!K549+Cust_Conn!K237+Cust_Conn!K494+Cust_Conn!K749+Cust_Conn!K1004+New_Towns!K232+New_Towns!K487+New_Towns!K755+IT!K358+Other!K232</f>
        <v>0</v>
      </c>
      <c r="L228" s="81">
        <f ca="1">Low_Press!L309+AdHoc!L253+AdHoc!L528+AdHoc!L803+Medium_Press!L302+High_Press!L232+Dom_Meters!L253+Dom_Meters!L507+Com_Meters!L253+Com_Meters!L542+Net_Reg!L274+Net_Reg!L528+Cust_Reg!L253+Cust_Reg!L528+CP_SCADA!L281+CP_SCADA!L584+Aug!L267+Aug!L549+Cust_Conn!L237+Cust_Conn!L494+Cust_Conn!L749+Cust_Conn!L1004+New_Towns!L232+New_Towns!L487+New_Towns!L755+IT!L358+Other!L232</f>
        <v>0</v>
      </c>
      <c r="M228" s="81">
        <f ca="1">Low_Press!M309+AdHoc!M253+AdHoc!M528+AdHoc!M803+Medium_Press!M302+High_Press!M232+Dom_Meters!M253+Dom_Meters!M507+Com_Meters!M253+Com_Meters!M542+Net_Reg!M274+Net_Reg!M528+Cust_Reg!M253+Cust_Reg!M528+CP_SCADA!M281+CP_SCADA!M584+Aug!M267+Aug!M549+Cust_Conn!M237+Cust_Conn!M494+Cust_Conn!M749+Cust_Conn!M1004+New_Towns!M232+New_Towns!M487+New_Towns!M755+IT!M358+Other!M232</f>
        <v>0</v>
      </c>
      <c r="N228" s="81">
        <f ca="1">Low_Press!N309+AdHoc!N253+AdHoc!N528+AdHoc!N803+Medium_Press!N302+High_Press!N232+Dom_Meters!N253+Dom_Meters!N507+Com_Meters!N253+Com_Meters!N542+Net_Reg!N274+Net_Reg!N528+Cust_Reg!N253+Cust_Reg!N528+CP_SCADA!N281+CP_SCADA!N584+Aug!N267+Aug!N549+Cust_Conn!N237+Cust_Conn!N494+Cust_Conn!N749+Cust_Conn!N1004+New_Towns!N232+New_Towns!N487+New_Towns!N755+IT!N358+Other!N232</f>
        <v>-14900342.18371</v>
      </c>
      <c r="O228" s="81">
        <f ca="1">Low_Press!O309+AdHoc!O253+AdHoc!O528+AdHoc!O803+Medium_Press!O302+High_Press!O232+Dom_Meters!O253+Dom_Meters!O507+Com_Meters!O253+Com_Meters!O542+Net_Reg!O274+Net_Reg!O528+Cust_Reg!O253+Cust_Reg!O528+CP_SCADA!O281+CP_SCADA!O584+Aug!O267+Aug!O549+Cust_Conn!O237+Cust_Conn!O494+Cust_Conn!O749+Cust_Conn!O1004+New_Towns!O232+New_Towns!O487+New_Towns!O755+IT!O358+Other!O232</f>
        <v>-1932628.9192660451</v>
      </c>
      <c r="P228" s="81">
        <f ca="1">Low_Press!P309+AdHoc!P253+AdHoc!P528+AdHoc!P803+Medium_Press!P302+High_Press!P232+Dom_Meters!P253+Dom_Meters!P507+Com_Meters!P253+Com_Meters!P542+Net_Reg!P274+Net_Reg!P528+Cust_Reg!P253+Cust_Reg!P528+CP_SCADA!P281+CP_SCADA!P584+Aug!P267+Aug!P549+Cust_Conn!P237+Cust_Conn!P494+Cust_Conn!P749+Cust_Conn!P1004+New_Towns!P232+New_Towns!P487+New_Towns!P755+IT!P358+Other!P232</f>
        <v>-1417921.83853209</v>
      </c>
      <c r="Q228" s="81">
        <f ca="1">Low_Press!Q309+AdHoc!Q253+AdHoc!Q528+AdHoc!Q803+Medium_Press!Q302+High_Press!Q232+Dom_Meters!Q253+Dom_Meters!Q507+Com_Meters!Q253+Com_Meters!Q542+Net_Reg!Q274+Net_Reg!Q528+Cust_Reg!Q253+Cust_Reg!Q528+CP_SCADA!Q281+CP_SCADA!Q584+Aug!Q267+Aug!Q549+Cust_Conn!Q237+Cust_Conn!Q494+Cust_Conn!Q749+Cust_Conn!Q1004+New_Towns!Q232+New_Towns!Q487+New_Towns!Q755+IT!Q358+Other!Q232</f>
        <v>-1417921.83853209</v>
      </c>
      <c r="R228" s="81">
        <f ca="1">Low_Press!R309+AdHoc!R253+AdHoc!R528+AdHoc!R803+Medium_Press!R302+High_Press!R232+Dom_Meters!R253+Dom_Meters!R507+Com_Meters!R253+Com_Meters!R542+Net_Reg!R274+Net_Reg!R528+Cust_Reg!R253+Cust_Reg!R528+CP_SCADA!R281+CP_SCADA!R584+Aug!R267+Aug!R549+Cust_Conn!R237+Cust_Conn!R494+Cust_Conn!R749+Cust_Conn!R1004+New_Towns!R232+New_Towns!R487+New_Towns!R755+IT!R358+Other!R232</f>
        <v>-1417921.83853209</v>
      </c>
      <c r="S228" s="81">
        <f ca="1">Low_Press!S309+AdHoc!S253+AdHoc!S528+AdHoc!S803+Medium_Press!S302+High_Press!S232+Dom_Meters!S253+Dom_Meters!S507+Com_Meters!S253+Com_Meters!S542+Net_Reg!S274+Net_Reg!S528+Cust_Reg!S253+Cust_Reg!S528+CP_SCADA!S281+CP_SCADA!S584+Aug!S267+Aug!S549+Cust_Conn!S237+Cust_Conn!S494+Cust_Conn!S749+Cust_Conn!S1004+New_Towns!S232+New_Towns!S487+New_Towns!S755+IT!S358+Other!S232</f>
        <v>-1417921.83853209</v>
      </c>
      <c r="T228" s="81">
        <f ca="1">Low_Press!T309+AdHoc!T253+AdHoc!T528+AdHoc!T803+Medium_Press!T302+High_Press!T232+Dom_Meters!T253+Dom_Meters!T507+Com_Meters!T253+Com_Meters!T542+Net_Reg!T274+Net_Reg!T528+Cust_Reg!T253+Cust_Reg!T528+CP_SCADA!T281+CP_SCADA!T584+Aug!T267+Aug!T549+Cust_Conn!T237+Cust_Conn!T494+Cust_Conn!T749+Cust_Conn!T1004+New_Towns!T232+New_Towns!T487+New_Towns!T755+IT!T358+Other!T232</f>
        <v>-1417921.83853209</v>
      </c>
    </row>
    <row r="229" spans="3:20" outlineLevel="1">
      <c r="F229" s="247" t="str">
        <f>GC!C69</f>
        <v>Capitalised Leases</v>
      </c>
      <c r="G229" s="247"/>
      <c r="H229" s="247"/>
      <c r="I229" s="247"/>
      <c r="J229" s="81">
        <f ca="1">Low_Press!J310+AdHoc!J254+AdHoc!J529+AdHoc!J804+Medium_Press!J303+High_Press!J233+Dom_Meters!J254+Dom_Meters!J508+Com_Meters!J254+Com_Meters!J543+Net_Reg!J275+Net_Reg!J529+Cust_Reg!J254+Cust_Reg!J529+CP_SCADA!J282+CP_SCADA!J585+Aug!J268+Aug!J550+Cust_Conn!J238+Cust_Conn!J495+Cust_Conn!J750+Cust_Conn!J1005+New_Towns!J233+New_Towns!J488+New_Towns!J756+IT!J359+Other!J233</f>
        <v>0</v>
      </c>
      <c r="K229" s="81">
        <f ca="1">Low_Press!K310+AdHoc!K254+AdHoc!K529+AdHoc!K804+Medium_Press!K303+High_Press!K233+Dom_Meters!K254+Dom_Meters!K508+Com_Meters!K254+Com_Meters!K543+Net_Reg!K275+Net_Reg!K529+Cust_Reg!K254+Cust_Reg!K529+CP_SCADA!K282+CP_SCADA!K585+Aug!K268+Aug!K550+Cust_Conn!K238+Cust_Conn!K495+Cust_Conn!K750+Cust_Conn!K1005+New_Towns!K233+New_Towns!K488+New_Towns!K756+IT!K359+Other!K233</f>
        <v>0</v>
      </c>
      <c r="L229" s="81">
        <f ca="1">Low_Press!L310+AdHoc!L254+AdHoc!L529+AdHoc!L804+Medium_Press!L303+High_Press!L233+Dom_Meters!L254+Dom_Meters!L508+Com_Meters!L254+Com_Meters!L543+Net_Reg!L275+Net_Reg!L529+Cust_Reg!L254+Cust_Reg!L529+CP_SCADA!L282+CP_SCADA!L585+Aug!L268+Aug!L550+Cust_Conn!L238+Cust_Conn!L495+Cust_Conn!L750+Cust_Conn!L1005+New_Towns!L233+New_Towns!L488+New_Towns!L756+IT!L359+Other!L233</f>
        <v>0</v>
      </c>
      <c r="M229" s="81">
        <f ca="1">Low_Press!M310+AdHoc!M254+AdHoc!M529+AdHoc!M804+Medium_Press!M303+High_Press!M233+Dom_Meters!M254+Dom_Meters!M508+Com_Meters!M254+Com_Meters!M543+Net_Reg!M275+Net_Reg!M529+Cust_Reg!M254+Cust_Reg!M529+CP_SCADA!M282+CP_SCADA!M585+Aug!M268+Aug!M550+Cust_Conn!M238+Cust_Conn!M495+Cust_Conn!M750+Cust_Conn!M1005+New_Towns!M233+New_Towns!M488+New_Towns!M756+IT!M359+Other!M233</f>
        <v>0</v>
      </c>
      <c r="N229" s="81">
        <f ca="1">Low_Press!N310+AdHoc!N254+AdHoc!N529+AdHoc!N804+Medium_Press!N303+High_Press!N233+Dom_Meters!N254+Dom_Meters!N508+Com_Meters!N254+Com_Meters!N543+Net_Reg!N275+Net_Reg!N529+Cust_Reg!N254+Cust_Reg!N529+CP_SCADA!N282+CP_SCADA!N585+Aug!N268+Aug!N550+Cust_Conn!N238+Cust_Conn!N495+Cust_Conn!N750+Cust_Conn!N1005+New_Towns!N233+New_Towns!N488+New_Towns!N756+IT!N359+Other!N233</f>
        <v>0</v>
      </c>
      <c r="O229" s="81">
        <f ca="1">Low_Press!O310+AdHoc!O254+AdHoc!O529+AdHoc!O804+Medium_Press!O303+High_Press!O233+Dom_Meters!O254+Dom_Meters!O508+Com_Meters!O254+Com_Meters!O543+Net_Reg!O275+Net_Reg!O529+Cust_Reg!O254+Cust_Reg!O529+CP_SCADA!O282+CP_SCADA!O585+Aug!O268+Aug!O550+Cust_Conn!O238+Cust_Conn!O495+Cust_Conn!O750+Cust_Conn!O1005+New_Towns!O233+New_Towns!O488+New_Towns!O756+IT!O359+Other!O233</f>
        <v>0</v>
      </c>
      <c r="P229" s="81">
        <f ca="1">Low_Press!P310+AdHoc!P254+AdHoc!P529+AdHoc!P804+Medium_Press!P303+High_Press!P233+Dom_Meters!P254+Dom_Meters!P508+Com_Meters!P254+Com_Meters!P543+Net_Reg!P275+Net_Reg!P529+Cust_Reg!P254+Cust_Reg!P529+CP_SCADA!P282+CP_SCADA!P585+Aug!P268+Aug!P550+Cust_Conn!P238+Cust_Conn!P495+Cust_Conn!P750+Cust_Conn!P1005+New_Towns!P233+New_Towns!P488+New_Towns!P756+IT!P359+Other!P233</f>
        <v>0</v>
      </c>
      <c r="Q229" s="81">
        <f ca="1">Low_Press!Q310+AdHoc!Q254+AdHoc!Q529+AdHoc!Q804+Medium_Press!Q303+High_Press!Q233+Dom_Meters!Q254+Dom_Meters!Q508+Com_Meters!Q254+Com_Meters!Q543+Net_Reg!Q275+Net_Reg!Q529+Cust_Reg!Q254+Cust_Reg!Q529+CP_SCADA!Q282+CP_SCADA!Q585+Aug!Q268+Aug!Q550+Cust_Conn!Q238+Cust_Conn!Q495+Cust_Conn!Q750+Cust_Conn!Q1005+New_Towns!Q233+New_Towns!Q488+New_Towns!Q756+IT!Q359+Other!Q233</f>
        <v>0</v>
      </c>
      <c r="R229" s="81">
        <f ca="1">Low_Press!R310+AdHoc!R254+AdHoc!R529+AdHoc!R804+Medium_Press!R303+High_Press!R233+Dom_Meters!R254+Dom_Meters!R508+Com_Meters!R254+Com_Meters!R543+Net_Reg!R275+Net_Reg!R529+Cust_Reg!R254+Cust_Reg!R529+CP_SCADA!R282+CP_SCADA!R585+Aug!R268+Aug!R550+Cust_Conn!R238+Cust_Conn!R495+Cust_Conn!R750+Cust_Conn!R1005+New_Towns!R233+New_Towns!R488+New_Towns!R756+IT!R359+Other!R233</f>
        <v>0</v>
      </c>
      <c r="S229" s="81">
        <f ca="1">Low_Press!S310+AdHoc!S254+AdHoc!S529+AdHoc!S804+Medium_Press!S303+High_Press!S233+Dom_Meters!S254+Dom_Meters!S508+Com_Meters!S254+Com_Meters!S543+Net_Reg!S275+Net_Reg!S529+Cust_Reg!S254+Cust_Reg!S529+CP_SCADA!S282+CP_SCADA!S585+Aug!S268+Aug!S550+Cust_Conn!S238+Cust_Conn!S495+Cust_Conn!S750+Cust_Conn!S1005+New_Towns!S233+New_Towns!S488+New_Towns!S756+IT!S359+Other!S233</f>
        <v>0</v>
      </c>
      <c r="T229" s="81">
        <f ca="1">Low_Press!T310+AdHoc!T254+AdHoc!T529+AdHoc!T804+Medium_Press!T303+High_Press!T233+Dom_Meters!T254+Dom_Meters!T508+Com_Meters!T254+Com_Meters!T543+Net_Reg!T275+Net_Reg!T529+Cust_Reg!T254+Cust_Reg!T529+CP_SCADA!T282+CP_SCADA!T585+Aug!T268+Aug!T550+Cust_Conn!T238+Cust_Conn!T495+Cust_Conn!T750+Cust_Conn!T1005+New_Towns!T233+New_Towns!T488+New_Towns!T756+IT!T359+Other!T233</f>
        <v>0</v>
      </c>
    </row>
    <row r="230" spans="3:20" outlineLevel="1">
      <c r="F230" s="247" t="str">
        <f>GC!C70</f>
        <v>Gas Extensions - Energy for the Regions</v>
      </c>
      <c r="G230" s="247"/>
      <c r="H230" s="247"/>
      <c r="I230" s="247"/>
      <c r="J230" s="81">
        <f ca="1">Low_Press!J311+AdHoc!J255+AdHoc!J530+AdHoc!J805+Medium_Press!J304+High_Press!J234+Dom_Meters!J255+Dom_Meters!J509+Com_Meters!J255+Com_Meters!J544+Net_Reg!J276+Net_Reg!J530+Cust_Reg!J255+Cust_Reg!J530+CP_SCADA!J283+CP_SCADA!J586+Aug!J269+Aug!J551+Cust_Conn!J239+Cust_Conn!J496+Cust_Conn!J751+Cust_Conn!J1006+New_Towns!J234+New_Towns!J489+New_Towns!J757+IT!J360+Other!J234</f>
        <v>0</v>
      </c>
      <c r="K230" s="81">
        <f ca="1">Low_Press!K311+AdHoc!K255+AdHoc!K530+AdHoc!K805+Medium_Press!K304+High_Press!K234+Dom_Meters!K255+Dom_Meters!K509+Com_Meters!K255+Com_Meters!K544+Net_Reg!K276+Net_Reg!K530+Cust_Reg!K255+Cust_Reg!K530+CP_SCADA!K283+CP_SCADA!K586+Aug!K269+Aug!K551+Cust_Conn!K239+Cust_Conn!K496+Cust_Conn!K751+Cust_Conn!K1006+New_Towns!K234+New_Towns!K489+New_Towns!K757+IT!K360+Other!K234</f>
        <v>0</v>
      </c>
      <c r="L230" s="81">
        <f ca="1">Low_Press!L311+AdHoc!L255+AdHoc!L530+AdHoc!L805+Medium_Press!L304+High_Press!L234+Dom_Meters!L255+Dom_Meters!L509+Com_Meters!L255+Com_Meters!L544+Net_Reg!L276+Net_Reg!L530+Cust_Reg!L255+Cust_Reg!L530+CP_SCADA!L283+CP_SCADA!L586+Aug!L269+Aug!L551+Cust_Conn!L239+Cust_Conn!L496+Cust_Conn!L751+Cust_Conn!L1006+New_Towns!L234+New_Towns!L489+New_Towns!L757+IT!L360+Other!L234</f>
        <v>0</v>
      </c>
      <c r="M230" s="81">
        <f ca="1">Low_Press!M311+AdHoc!M255+AdHoc!M530+AdHoc!M805+Medium_Press!M304+High_Press!M234+Dom_Meters!M255+Dom_Meters!M509+Com_Meters!M255+Com_Meters!M544+Net_Reg!M276+Net_Reg!M530+Cust_Reg!M255+Cust_Reg!M530+CP_SCADA!M283+CP_SCADA!M586+Aug!M269+Aug!M551+Cust_Conn!M239+Cust_Conn!M496+Cust_Conn!M751+Cust_Conn!M1006+New_Towns!M234+New_Towns!M489+New_Towns!M757+IT!M360+Other!M234</f>
        <v>0</v>
      </c>
      <c r="N230" s="81">
        <f ca="1">Low_Press!N311+AdHoc!N255+AdHoc!N530+AdHoc!N805+Medium_Press!N304+High_Press!N234+Dom_Meters!N255+Dom_Meters!N509+Com_Meters!N255+Com_Meters!N544+Net_Reg!N276+Net_Reg!N530+Cust_Reg!N255+Cust_Reg!N530+CP_SCADA!N283+CP_SCADA!N586+Aug!N269+Aug!N551+Cust_Conn!N239+Cust_Conn!N496+Cust_Conn!N751+Cust_Conn!N1006+New_Towns!N234+New_Towns!N489+New_Towns!N757+IT!N360+Other!N234</f>
        <v>0</v>
      </c>
      <c r="O230" s="81">
        <f ca="1">Low_Press!O311+AdHoc!O255+AdHoc!O530+AdHoc!O805+Medium_Press!O304+High_Press!O234+Dom_Meters!O255+Dom_Meters!O509+Com_Meters!O255+Com_Meters!O544+Net_Reg!O276+Net_Reg!O530+Cust_Reg!O255+Cust_Reg!O530+CP_SCADA!O283+CP_SCADA!O586+Aug!O269+Aug!O551+Cust_Conn!O239+Cust_Conn!O496+Cust_Conn!O751+Cust_Conn!O1006+New_Towns!O234+New_Towns!O489+New_Towns!O757+IT!O360+Other!O234</f>
        <v>0</v>
      </c>
      <c r="P230" s="81">
        <f ca="1">Low_Press!P311+AdHoc!P255+AdHoc!P530+AdHoc!P805+Medium_Press!P304+High_Press!P234+Dom_Meters!P255+Dom_Meters!P509+Com_Meters!P255+Com_Meters!P544+Net_Reg!P276+Net_Reg!P530+Cust_Reg!P255+Cust_Reg!P530+CP_SCADA!P283+CP_SCADA!P586+Aug!P269+Aug!P551+Cust_Conn!P239+Cust_Conn!P496+Cust_Conn!P751+Cust_Conn!P1006+New_Towns!P234+New_Towns!P489+New_Towns!P757+IT!P360+Other!P234</f>
        <v>0</v>
      </c>
      <c r="Q230" s="81">
        <f ca="1">Low_Press!Q311+AdHoc!Q255+AdHoc!Q530+AdHoc!Q805+Medium_Press!Q304+High_Press!Q234+Dom_Meters!Q255+Dom_Meters!Q509+Com_Meters!Q255+Com_Meters!Q544+Net_Reg!Q276+Net_Reg!Q530+Cust_Reg!Q255+Cust_Reg!Q530+CP_SCADA!Q283+CP_SCADA!Q586+Aug!Q269+Aug!Q551+Cust_Conn!Q239+Cust_Conn!Q496+Cust_Conn!Q751+Cust_Conn!Q1006+New_Towns!Q234+New_Towns!Q489+New_Towns!Q757+IT!Q360+Other!Q234</f>
        <v>0</v>
      </c>
      <c r="R230" s="81">
        <f ca="1">Low_Press!R311+AdHoc!R255+AdHoc!R530+AdHoc!R805+Medium_Press!R304+High_Press!R234+Dom_Meters!R255+Dom_Meters!R509+Com_Meters!R255+Com_Meters!R544+Net_Reg!R276+Net_Reg!R530+Cust_Reg!R255+Cust_Reg!R530+CP_SCADA!R283+CP_SCADA!R586+Aug!R269+Aug!R551+Cust_Conn!R239+Cust_Conn!R496+Cust_Conn!R751+Cust_Conn!R1006+New_Towns!R234+New_Towns!R489+New_Towns!R757+IT!R360+Other!R234</f>
        <v>0</v>
      </c>
      <c r="S230" s="81">
        <f ca="1">Low_Press!S311+AdHoc!S255+AdHoc!S530+AdHoc!S805+Medium_Press!S304+High_Press!S234+Dom_Meters!S255+Dom_Meters!S509+Com_Meters!S255+Com_Meters!S544+Net_Reg!S276+Net_Reg!S530+Cust_Reg!S255+Cust_Reg!S530+CP_SCADA!S283+CP_SCADA!S586+Aug!S269+Aug!S551+Cust_Conn!S239+Cust_Conn!S496+Cust_Conn!S751+Cust_Conn!S1006+New_Towns!S234+New_Towns!S489+New_Towns!S757+IT!S360+Other!S234</f>
        <v>0</v>
      </c>
      <c r="T230" s="81">
        <f ca="1">Low_Press!T311+AdHoc!T255+AdHoc!T530+AdHoc!T805+Medium_Press!T304+High_Press!T234+Dom_Meters!T255+Dom_Meters!T509+Com_Meters!T255+Com_Meters!T544+Net_Reg!T276+Net_Reg!T530+Cust_Reg!T255+Cust_Reg!T530+CP_SCADA!T283+CP_SCADA!T586+Aug!T269+Aug!T551+Cust_Conn!T239+Cust_Conn!T496+Cust_Conn!T751+Cust_Conn!T1006+New_Towns!T234+New_Towns!T489+New_Towns!T757+IT!T360+Other!T234</f>
        <v>0</v>
      </c>
    </row>
    <row r="231" spans="3:20" outlineLevel="1">
      <c r="F231" s="247" t="str">
        <f>GC!C71</f>
        <v>Gas Extensions - Other</v>
      </c>
      <c r="G231" s="247"/>
      <c r="H231" s="247"/>
      <c r="I231" s="247"/>
      <c r="J231" s="81">
        <f ca="1">Low_Press!J312+AdHoc!J256+AdHoc!J531+AdHoc!J806+Medium_Press!J305+High_Press!J235+Dom_Meters!J256+Dom_Meters!J510+Com_Meters!J256+Com_Meters!J545+Net_Reg!J277+Net_Reg!J531+Cust_Reg!J256+Cust_Reg!J531+CP_SCADA!J284+CP_SCADA!J587+Aug!J270+Aug!J552+Cust_Conn!J240+Cust_Conn!J497+Cust_Conn!J752+Cust_Conn!J1007+New_Towns!J235+New_Towns!J490+New_Towns!J758+IT!J361+Other!J235</f>
        <v>0</v>
      </c>
      <c r="K231" s="81">
        <f ca="1">Low_Press!K312+AdHoc!K256+AdHoc!K531+AdHoc!K806+Medium_Press!K305+High_Press!K235+Dom_Meters!K256+Dom_Meters!K510+Com_Meters!K256+Com_Meters!K545+Net_Reg!K277+Net_Reg!K531+Cust_Reg!K256+Cust_Reg!K531+CP_SCADA!K284+CP_SCADA!K587+Aug!K270+Aug!K552+Cust_Conn!K240+Cust_Conn!K497+Cust_Conn!K752+Cust_Conn!K1007+New_Towns!K235+New_Towns!K490+New_Towns!K758+IT!K361+Other!K235</f>
        <v>0</v>
      </c>
      <c r="L231" s="81">
        <f ca="1">Low_Press!L312+AdHoc!L256+AdHoc!L531+AdHoc!L806+Medium_Press!L305+High_Press!L235+Dom_Meters!L256+Dom_Meters!L510+Com_Meters!L256+Com_Meters!L545+Net_Reg!L277+Net_Reg!L531+Cust_Reg!L256+Cust_Reg!L531+CP_SCADA!L284+CP_SCADA!L587+Aug!L270+Aug!L552+Cust_Conn!L240+Cust_Conn!L497+Cust_Conn!L752+Cust_Conn!L1007+New_Towns!L235+New_Towns!L490+New_Towns!L758+IT!L361+Other!L235</f>
        <v>0</v>
      </c>
      <c r="M231" s="81">
        <f ca="1">Low_Press!M312+AdHoc!M256+AdHoc!M531+AdHoc!M806+Medium_Press!M305+High_Press!M235+Dom_Meters!M256+Dom_Meters!M510+Com_Meters!M256+Com_Meters!M545+Net_Reg!M277+Net_Reg!M531+Cust_Reg!M256+Cust_Reg!M531+CP_SCADA!M284+CP_SCADA!M587+Aug!M270+Aug!M552+Cust_Conn!M240+Cust_Conn!M497+Cust_Conn!M752+Cust_Conn!M1007+New_Towns!M235+New_Towns!M490+New_Towns!M758+IT!M361+Other!M235</f>
        <v>0</v>
      </c>
      <c r="N231" s="81">
        <f ca="1">Low_Press!N312+AdHoc!N256+AdHoc!N531+AdHoc!N806+Medium_Press!N305+High_Press!N235+Dom_Meters!N256+Dom_Meters!N510+Com_Meters!N256+Com_Meters!N545+Net_Reg!N277+Net_Reg!N531+Cust_Reg!N256+Cust_Reg!N531+CP_SCADA!N284+CP_SCADA!N587+Aug!N270+Aug!N552+Cust_Conn!N240+Cust_Conn!N497+Cust_Conn!N752+Cust_Conn!N1007+New_Towns!N235+New_Towns!N490+New_Towns!N758+IT!N361+Other!N235</f>
        <v>0</v>
      </c>
      <c r="O231" s="81">
        <f ca="1">Low_Press!O312+AdHoc!O256+AdHoc!O531+AdHoc!O806+Medium_Press!O305+High_Press!O235+Dom_Meters!O256+Dom_Meters!O510+Com_Meters!O256+Com_Meters!O545+Net_Reg!O277+Net_Reg!O531+Cust_Reg!O256+Cust_Reg!O531+CP_SCADA!O284+CP_SCADA!O587+Aug!O270+Aug!O552+Cust_Conn!O240+Cust_Conn!O497+Cust_Conn!O752+Cust_Conn!O1007+New_Towns!O235+New_Towns!O490+New_Towns!O758+IT!O361+Other!O235</f>
        <v>0</v>
      </c>
      <c r="P231" s="81">
        <f ca="1">Low_Press!P312+AdHoc!P256+AdHoc!P531+AdHoc!P806+Medium_Press!P305+High_Press!P235+Dom_Meters!P256+Dom_Meters!P510+Com_Meters!P256+Com_Meters!P545+Net_Reg!P277+Net_Reg!P531+Cust_Reg!P256+Cust_Reg!P531+CP_SCADA!P284+CP_SCADA!P587+Aug!P270+Aug!P552+Cust_Conn!P240+Cust_Conn!P497+Cust_Conn!P752+Cust_Conn!P1007+New_Towns!P235+New_Towns!P490+New_Towns!P758+IT!P361+Other!P235</f>
        <v>0</v>
      </c>
      <c r="Q231" s="81">
        <f ca="1">Low_Press!Q312+AdHoc!Q256+AdHoc!Q531+AdHoc!Q806+Medium_Press!Q305+High_Press!Q235+Dom_Meters!Q256+Dom_Meters!Q510+Com_Meters!Q256+Com_Meters!Q545+Net_Reg!Q277+Net_Reg!Q531+Cust_Reg!Q256+Cust_Reg!Q531+CP_SCADA!Q284+CP_SCADA!Q587+Aug!Q270+Aug!Q552+Cust_Conn!Q240+Cust_Conn!Q497+Cust_Conn!Q752+Cust_Conn!Q1007+New_Towns!Q235+New_Towns!Q490+New_Towns!Q758+IT!Q361+Other!Q235</f>
        <v>0</v>
      </c>
      <c r="R231" s="81">
        <f ca="1">Low_Press!R312+AdHoc!R256+AdHoc!R531+AdHoc!R806+Medium_Press!R305+High_Press!R235+Dom_Meters!R256+Dom_Meters!R510+Com_Meters!R256+Com_Meters!R545+Net_Reg!R277+Net_Reg!R531+Cust_Reg!R256+Cust_Reg!R531+CP_SCADA!R284+CP_SCADA!R587+Aug!R270+Aug!R552+Cust_Conn!R240+Cust_Conn!R497+Cust_Conn!R752+Cust_Conn!R1007+New_Towns!R235+New_Towns!R490+New_Towns!R758+IT!R361+Other!R235</f>
        <v>0</v>
      </c>
      <c r="S231" s="81">
        <f ca="1">Low_Press!S312+AdHoc!S256+AdHoc!S531+AdHoc!S806+Medium_Press!S305+High_Press!S235+Dom_Meters!S256+Dom_Meters!S510+Com_Meters!S256+Com_Meters!S545+Net_Reg!S277+Net_Reg!S531+Cust_Reg!S256+Cust_Reg!S531+CP_SCADA!S284+CP_SCADA!S587+Aug!S270+Aug!S552+Cust_Conn!S240+Cust_Conn!S497+Cust_Conn!S752+Cust_Conn!S1007+New_Towns!S235+New_Towns!S490+New_Towns!S758+IT!S361+Other!S235</f>
        <v>0</v>
      </c>
      <c r="T231" s="81">
        <f ca="1">Low_Press!T312+AdHoc!T256+AdHoc!T531+AdHoc!T806+Medium_Press!T305+High_Press!T235+Dom_Meters!T256+Dom_Meters!T510+Com_Meters!T256+Com_Meters!T545+Net_Reg!T277+Net_Reg!T531+Cust_Reg!T256+Cust_Reg!T531+CP_SCADA!T284+CP_SCADA!T587+Aug!T270+Aug!T552+Cust_Conn!T240+Cust_Conn!T497+Cust_Conn!T752+Cust_Conn!T1007+New_Towns!T235+New_Towns!T490+New_Towns!T758+IT!T361+Other!T235</f>
        <v>0</v>
      </c>
    </row>
    <row r="232" spans="3:20" outlineLevel="1">
      <c r="F232" s="247" t="str">
        <f>GC!C72</f>
        <v>Customer contributions</v>
      </c>
      <c r="G232" s="247"/>
      <c r="H232" s="247"/>
      <c r="I232" s="247"/>
      <c r="J232" s="81">
        <f ca="1">Low_Press!J313+AdHoc!J257+AdHoc!J532+AdHoc!J807+Medium_Press!J306+High_Press!J236+Dom_Meters!J257+Dom_Meters!J511+Com_Meters!J257+Com_Meters!J546+Net_Reg!J278+Net_Reg!J532+Cust_Reg!J257+Cust_Reg!J532+CP_SCADA!J285+CP_SCADA!J588+Aug!J271+Aug!J553+Cust_Conn!J241+Cust_Conn!J498+Cust_Conn!J753+Cust_Conn!J1008+New_Towns!J236+New_Towns!J491+New_Towns!J759+IT!J362+Other!J236</f>
        <v>0</v>
      </c>
      <c r="K232" s="81">
        <f ca="1">Low_Press!K313+AdHoc!K257+AdHoc!K532+AdHoc!K807+Medium_Press!K306+High_Press!K236+Dom_Meters!K257+Dom_Meters!K511+Com_Meters!K257+Com_Meters!K546+Net_Reg!K278+Net_Reg!K532+Cust_Reg!K257+Cust_Reg!K532+CP_SCADA!K285+CP_SCADA!K588+Aug!K271+Aug!K553+Cust_Conn!K241+Cust_Conn!K498+Cust_Conn!K753+Cust_Conn!K1008+New_Towns!K236+New_Towns!K491+New_Towns!K759+IT!K362+Other!K236</f>
        <v>0</v>
      </c>
      <c r="L232" s="81">
        <f ca="1">Low_Press!L313+AdHoc!L257+AdHoc!L532+AdHoc!L807+Medium_Press!L306+High_Press!L236+Dom_Meters!L257+Dom_Meters!L511+Com_Meters!L257+Com_Meters!L546+Net_Reg!L278+Net_Reg!L532+Cust_Reg!L257+Cust_Reg!L532+CP_SCADA!L285+CP_SCADA!L588+Aug!L271+Aug!L553+Cust_Conn!L241+Cust_Conn!L498+Cust_Conn!L753+Cust_Conn!L1008+New_Towns!L236+New_Towns!L491+New_Towns!L759+IT!L362+Other!L236</f>
        <v>0</v>
      </c>
      <c r="M232" s="81">
        <f ca="1">Low_Press!M313+AdHoc!M257+AdHoc!M532+AdHoc!M807+Medium_Press!M306+High_Press!M236+Dom_Meters!M257+Dom_Meters!M511+Com_Meters!M257+Com_Meters!M546+Net_Reg!M278+Net_Reg!M532+Cust_Reg!M257+Cust_Reg!M532+CP_SCADA!M285+CP_SCADA!M588+Aug!M271+Aug!M553+Cust_Conn!M241+Cust_Conn!M498+Cust_Conn!M753+Cust_Conn!M1008+New_Towns!M236+New_Towns!M491+New_Towns!M759+IT!M362+Other!M236</f>
        <v>0</v>
      </c>
      <c r="N232" s="81">
        <f ca="1">Low_Press!N313+AdHoc!N257+AdHoc!N532+AdHoc!N807+Medium_Press!N306+High_Press!N236+Dom_Meters!N257+Dom_Meters!N511+Com_Meters!N257+Com_Meters!N546+Net_Reg!N278+Net_Reg!N532+Cust_Reg!N257+Cust_Reg!N532+CP_SCADA!N285+CP_SCADA!N588+Aug!N271+Aug!N553+Cust_Conn!N241+Cust_Conn!N498+Cust_Conn!N753+Cust_Conn!N1008+New_Towns!N236+New_Towns!N491+New_Towns!N759+IT!N362+Other!N236</f>
        <v>0</v>
      </c>
      <c r="O232" s="81">
        <f ca="1">Low_Press!O313+AdHoc!O257+AdHoc!O532+AdHoc!O807+Medium_Press!O306+High_Press!O236+Dom_Meters!O257+Dom_Meters!O511+Com_Meters!O257+Com_Meters!O546+Net_Reg!O278+Net_Reg!O532+Cust_Reg!O257+Cust_Reg!O532+CP_SCADA!O285+CP_SCADA!O588+Aug!O271+Aug!O553+Cust_Conn!O241+Cust_Conn!O498+Cust_Conn!O753+Cust_Conn!O1008+New_Towns!O236+New_Towns!O491+New_Towns!O759+IT!O362+Other!O236</f>
        <v>0</v>
      </c>
      <c r="P232" s="81">
        <f ca="1">Low_Press!P313+AdHoc!P257+AdHoc!P532+AdHoc!P807+Medium_Press!P306+High_Press!P236+Dom_Meters!P257+Dom_Meters!P511+Com_Meters!P257+Com_Meters!P546+Net_Reg!P278+Net_Reg!P532+Cust_Reg!P257+Cust_Reg!P532+CP_SCADA!P285+CP_SCADA!P588+Aug!P271+Aug!P553+Cust_Conn!P241+Cust_Conn!P498+Cust_Conn!P753+Cust_Conn!P1008+New_Towns!P236+New_Towns!P491+New_Towns!P759+IT!P362+Other!P236</f>
        <v>0</v>
      </c>
      <c r="Q232" s="81">
        <f ca="1">Low_Press!Q313+AdHoc!Q257+AdHoc!Q532+AdHoc!Q807+Medium_Press!Q306+High_Press!Q236+Dom_Meters!Q257+Dom_Meters!Q511+Com_Meters!Q257+Com_Meters!Q546+Net_Reg!Q278+Net_Reg!Q532+Cust_Reg!Q257+Cust_Reg!Q532+CP_SCADA!Q285+CP_SCADA!Q588+Aug!Q271+Aug!Q553+Cust_Conn!Q241+Cust_Conn!Q498+Cust_Conn!Q753+Cust_Conn!Q1008+New_Towns!Q236+New_Towns!Q491+New_Towns!Q759+IT!Q362+Other!Q236</f>
        <v>0</v>
      </c>
      <c r="R232" s="81">
        <f ca="1">Low_Press!R313+AdHoc!R257+AdHoc!R532+AdHoc!R807+Medium_Press!R306+High_Press!R236+Dom_Meters!R257+Dom_Meters!R511+Com_Meters!R257+Com_Meters!R546+Net_Reg!R278+Net_Reg!R532+Cust_Reg!R257+Cust_Reg!R532+CP_SCADA!R285+CP_SCADA!R588+Aug!R271+Aug!R553+Cust_Conn!R241+Cust_Conn!R498+Cust_Conn!R753+Cust_Conn!R1008+New_Towns!R236+New_Towns!R491+New_Towns!R759+IT!R362+Other!R236</f>
        <v>0</v>
      </c>
      <c r="S232" s="81">
        <f ca="1">Low_Press!S313+AdHoc!S257+AdHoc!S532+AdHoc!S807+Medium_Press!S306+High_Press!S236+Dom_Meters!S257+Dom_Meters!S511+Com_Meters!S257+Com_Meters!S546+Net_Reg!S278+Net_Reg!S532+Cust_Reg!S257+Cust_Reg!S532+CP_SCADA!S285+CP_SCADA!S588+Aug!S271+Aug!S553+Cust_Conn!S241+Cust_Conn!S498+Cust_Conn!S753+Cust_Conn!S1008+New_Towns!S236+New_Towns!S491+New_Towns!S759+IT!S362+Other!S236</f>
        <v>0</v>
      </c>
      <c r="T232" s="81">
        <f ca="1">Low_Press!T313+AdHoc!T257+AdHoc!T532+AdHoc!T807+Medium_Press!T306+High_Press!T236+Dom_Meters!T257+Dom_Meters!T511+Com_Meters!T257+Com_Meters!T546+Net_Reg!T278+Net_Reg!T532+Cust_Reg!T257+Cust_Reg!T532+CP_SCADA!T285+CP_SCADA!T588+Aug!T271+Aug!T553+Cust_Conn!T241+Cust_Conn!T498+Cust_Conn!T753+Cust_Conn!T1008+New_Towns!T236+New_Towns!T491+New_Towns!T759+IT!T362+Other!T236</f>
        <v>0</v>
      </c>
    </row>
    <row r="233" spans="3:20" outlineLevel="1">
      <c r="F233" s="247" t="str">
        <f>GC!C73</f>
        <v>Government contributions</v>
      </c>
      <c r="G233" s="247"/>
      <c r="H233" s="247"/>
      <c r="I233" s="247"/>
      <c r="J233" s="81">
        <f ca="1">Low_Press!J314+AdHoc!J258+AdHoc!J533+AdHoc!J808+Medium_Press!J307+High_Press!J237+Dom_Meters!J258+Dom_Meters!J512+Com_Meters!J258+Com_Meters!J547+Net_Reg!J279+Net_Reg!J533+Cust_Reg!J258+Cust_Reg!J533+CP_SCADA!J286+CP_SCADA!J589+Aug!J272+Aug!J554+Cust_Conn!J242+Cust_Conn!J499+Cust_Conn!J754+Cust_Conn!J1009+New_Towns!J237+New_Towns!J492+New_Towns!J760+IT!J363+Other!J237</f>
        <v>0</v>
      </c>
      <c r="K233" s="81">
        <f ca="1">Low_Press!K314+AdHoc!K258+AdHoc!K533+AdHoc!K808+Medium_Press!K307+High_Press!K237+Dom_Meters!K258+Dom_Meters!K512+Com_Meters!K258+Com_Meters!K547+Net_Reg!K279+Net_Reg!K533+Cust_Reg!K258+Cust_Reg!K533+CP_SCADA!K286+CP_SCADA!K589+Aug!K272+Aug!K554+Cust_Conn!K242+Cust_Conn!K499+Cust_Conn!K754+Cust_Conn!K1009+New_Towns!K237+New_Towns!K492+New_Towns!K760+IT!K363+Other!K237</f>
        <v>0</v>
      </c>
      <c r="L233" s="81">
        <f ca="1">Low_Press!L314+AdHoc!L258+AdHoc!L533+AdHoc!L808+Medium_Press!L307+High_Press!L237+Dom_Meters!L258+Dom_Meters!L512+Com_Meters!L258+Com_Meters!L547+Net_Reg!L279+Net_Reg!L533+Cust_Reg!L258+Cust_Reg!L533+CP_SCADA!L286+CP_SCADA!L589+Aug!L272+Aug!L554+Cust_Conn!L242+Cust_Conn!L499+Cust_Conn!L754+Cust_Conn!L1009+New_Towns!L237+New_Towns!L492+New_Towns!L760+IT!L363+Other!L237</f>
        <v>0</v>
      </c>
      <c r="M233" s="81">
        <f ca="1">Low_Press!M314+AdHoc!M258+AdHoc!M533+AdHoc!M808+Medium_Press!M307+High_Press!M237+Dom_Meters!M258+Dom_Meters!M512+Com_Meters!M258+Com_Meters!M547+Net_Reg!M279+Net_Reg!M533+Cust_Reg!M258+Cust_Reg!M533+CP_SCADA!M286+CP_SCADA!M589+Aug!M272+Aug!M554+Cust_Conn!M242+Cust_Conn!M499+Cust_Conn!M754+Cust_Conn!M1009+New_Towns!M237+New_Towns!M492+New_Towns!M760+IT!M363+Other!M237</f>
        <v>0</v>
      </c>
      <c r="N233" s="81">
        <f ca="1">Low_Press!N314+AdHoc!N258+AdHoc!N533+AdHoc!N808+Medium_Press!N307+High_Press!N237+Dom_Meters!N258+Dom_Meters!N512+Com_Meters!N258+Com_Meters!N547+Net_Reg!N279+Net_Reg!N533+Cust_Reg!N258+Cust_Reg!N533+CP_SCADA!N286+CP_SCADA!N589+Aug!N272+Aug!N554+Cust_Conn!N242+Cust_Conn!N499+Cust_Conn!N754+Cust_Conn!N1009+New_Towns!N237+New_Towns!N492+New_Towns!N760+IT!N363+Other!N237</f>
        <v>0</v>
      </c>
      <c r="O233" s="81">
        <f ca="1">Low_Press!O314+AdHoc!O258+AdHoc!O533+AdHoc!O808+Medium_Press!O307+High_Press!O237+Dom_Meters!O258+Dom_Meters!O512+Com_Meters!O258+Com_Meters!O547+Net_Reg!O279+Net_Reg!O533+Cust_Reg!O258+Cust_Reg!O533+CP_SCADA!O286+CP_SCADA!O589+Aug!O272+Aug!O554+Cust_Conn!O242+Cust_Conn!O499+Cust_Conn!O754+Cust_Conn!O1009+New_Towns!O237+New_Towns!O492+New_Towns!O760+IT!O363+Other!O237</f>
        <v>0</v>
      </c>
      <c r="P233" s="81">
        <f ca="1">Low_Press!P314+AdHoc!P258+AdHoc!P533+AdHoc!P808+Medium_Press!P307+High_Press!P237+Dom_Meters!P258+Dom_Meters!P512+Com_Meters!P258+Com_Meters!P547+Net_Reg!P279+Net_Reg!P533+Cust_Reg!P258+Cust_Reg!P533+CP_SCADA!P286+CP_SCADA!P589+Aug!P272+Aug!P554+Cust_Conn!P242+Cust_Conn!P499+Cust_Conn!P754+Cust_Conn!P1009+New_Towns!P237+New_Towns!P492+New_Towns!P760+IT!P363+Other!P237</f>
        <v>0</v>
      </c>
      <c r="Q233" s="81">
        <f ca="1">Low_Press!Q314+AdHoc!Q258+AdHoc!Q533+AdHoc!Q808+Medium_Press!Q307+High_Press!Q237+Dom_Meters!Q258+Dom_Meters!Q512+Com_Meters!Q258+Com_Meters!Q547+Net_Reg!Q279+Net_Reg!Q533+Cust_Reg!Q258+Cust_Reg!Q533+CP_SCADA!Q286+CP_SCADA!Q589+Aug!Q272+Aug!Q554+Cust_Conn!Q242+Cust_Conn!Q499+Cust_Conn!Q754+Cust_Conn!Q1009+New_Towns!Q237+New_Towns!Q492+New_Towns!Q760+IT!Q363+Other!Q237</f>
        <v>0</v>
      </c>
      <c r="R233" s="81">
        <f ca="1">Low_Press!R314+AdHoc!R258+AdHoc!R533+AdHoc!R808+Medium_Press!R307+High_Press!R237+Dom_Meters!R258+Dom_Meters!R512+Com_Meters!R258+Com_Meters!R547+Net_Reg!R279+Net_Reg!R533+Cust_Reg!R258+Cust_Reg!R533+CP_SCADA!R286+CP_SCADA!R589+Aug!R272+Aug!R554+Cust_Conn!R242+Cust_Conn!R499+Cust_Conn!R754+Cust_Conn!R1009+New_Towns!R237+New_Towns!R492+New_Towns!R760+IT!R363+Other!R237</f>
        <v>0</v>
      </c>
      <c r="S233" s="81">
        <f ca="1">Low_Press!S314+AdHoc!S258+AdHoc!S533+AdHoc!S808+Medium_Press!S307+High_Press!S237+Dom_Meters!S258+Dom_Meters!S512+Com_Meters!S258+Com_Meters!S547+Net_Reg!S279+Net_Reg!S533+Cust_Reg!S258+Cust_Reg!S533+CP_SCADA!S286+CP_SCADA!S589+Aug!S272+Aug!S554+Cust_Conn!S242+Cust_Conn!S499+Cust_Conn!S754+Cust_Conn!S1009+New_Towns!S237+New_Towns!S492+New_Towns!S760+IT!S363+Other!S237</f>
        <v>0</v>
      </c>
      <c r="T233" s="81">
        <f ca="1">Low_Press!T314+AdHoc!T258+AdHoc!T533+AdHoc!T808+Medium_Press!T307+High_Press!T237+Dom_Meters!T258+Dom_Meters!T512+Com_Meters!T258+Com_Meters!T547+Net_Reg!T279+Net_Reg!T533+Cust_Reg!T258+Cust_Reg!T533+CP_SCADA!T286+CP_SCADA!T589+Aug!T272+Aug!T554+Cust_Conn!T242+Cust_Conn!T499+Cust_Conn!T754+Cust_Conn!T1009+New_Towns!T237+New_Towns!T492+New_Towns!T760+IT!T363+Other!T237</f>
        <v>0</v>
      </c>
    </row>
    <row r="234" spans="3:20" outlineLevel="1">
      <c r="F234" s="249" t="str">
        <f t="shared" ref="F234" si="16">"Total "&amp;E218</f>
        <v>Total Customer Contributions</v>
      </c>
      <c r="G234" s="249"/>
      <c r="H234" s="249"/>
      <c r="I234" s="249"/>
      <c r="J234" s="82">
        <f t="shared" ref="J234:T234" ca="1" si="17">SUM(J220:J233)</f>
        <v>0</v>
      </c>
      <c r="K234" s="82">
        <f t="shared" ca="1" si="17"/>
        <v>0</v>
      </c>
      <c r="L234" s="82">
        <f t="shared" ca="1" si="17"/>
        <v>0</v>
      </c>
      <c r="M234" s="82">
        <f t="shared" ca="1" si="17"/>
        <v>0</v>
      </c>
      <c r="N234" s="82">
        <f t="shared" ca="1" si="17"/>
        <v>-20204056.32598</v>
      </c>
      <c r="O234" s="82">
        <f t="shared" ca="1" si="17"/>
        <v>-5051137.6692660451</v>
      </c>
      <c r="P234" s="82">
        <f t="shared" ca="1" si="17"/>
        <v>-7654939.3385320902</v>
      </c>
      <c r="Q234" s="82">
        <f t="shared" ca="1" si="17"/>
        <v>-7797148.4585320903</v>
      </c>
      <c r="R234" s="82">
        <f t="shared" ca="1" si="17"/>
        <v>-7936043.92853209</v>
      </c>
      <c r="S234" s="82">
        <f t="shared" ca="1" si="17"/>
        <v>-7820914.7985320901</v>
      </c>
      <c r="T234" s="82">
        <f t="shared" ca="1" si="17"/>
        <v>-7701327.5085320901</v>
      </c>
    </row>
    <row r="235" spans="3:20" s="41" customFormat="1" outlineLevel="1">
      <c r="C235" s="12"/>
      <c r="D235" s="12"/>
      <c r="E235" s="12"/>
      <c r="F235" s="12"/>
      <c r="G235" s="12"/>
      <c r="H235" s="12"/>
      <c r="I235" s="12"/>
      <c r="J235" s="12"/>
      <c r="K235" s="12"/>
      <c r="L235" s="12"/>
      <c r="M235" s="12"/>
      <c r="N235" s="12"/>
      <c r="O235" s="12"/>
      <c r="P235" s="12"/>
      <c r="Q235" s="12"/>
      <c r="R235" s="12"/>
      <c r="S235" s="12"/>
      <c r="T235" s="12"/>
    </row>
    <row r="236" spans="3:20" s="41" customFormat="1" outlineLevel="1">
      <c r="E236"/>
    </row>
    <row r="237" spans="3:20" s="41" customFormat="1" outlineLevel="1">
      <c r="D237" s="50" t="s">
        <v>311</v>
      </c>
    </row>
    <row r="238" spans="3:20" s="41" customFormat="1" ht="5.9" customHeight="1" outlineLevel="1"/>
    <row r="239" spans="3:20" s="41" customFormat="1" outlineLevel="1">
      <c r="E239" s="50" t="str">
        <f>E99</f>
        <v>Direct Costs</v>
      </c>
    </row>
    <row r="240" spans="3:20" s="41" customFormat="1" ht="5.9" customHeight="1" outlineLevel="1"/>
    <row r="241" spans="4:20" s="41" customFormat="1" outlineLevel="1">
      <c r="F241" s="247" t="str">
        <f>GC!C78</f>
        <v>Mains &amp; Services</v>
      </c>
      <c r="G241" s="247"/>
      <c r="H241" s="247"/>
      <c r="I241" s="247"/>
      <c r="J241" s="81">
        <f ca="1">Low_Press!J322+AdHoc!J266+AdHoc!J541+AdHoc!J816+Medium_Press!J315+High_Press!J245+Dom_Meters!J266+Dom_Meters!J520+Com_Meters!J266+Com_Meters!J555+Net_Reg!J287+Net_Reg!J541+Cust_Reg!J266+Cust_Reg!J541+CP_SCADA!J294+CP_SCADA!J597+Aug!J280+Aug!J562+Cust_Conn!J250+Cust_Conn!J507+Cust_Conn!J762+Cust_Conn!J1017+New_Towns!J245+New_Towns!J500+New_Towns!J768+IT!J371+Other!J245</f>
        <v>0</v>
      </c>
      <c r="K241" s="81">
        <f ca="1">Low_Press!K322+AdHoc!K266+AdHoc!K541+AdHoc!K816+Medium_Press!K315+High_Press!K245+Dom_Meters!K266+Dom_Meters!K520+Com_Meters!K266+Com_Meters!K555+Net_Reg!K287+Net_Reg!K541+Cust_Reg!K266+Cust_Reg!K541+CP_SCADA!K294+CP_SCADA!K597+Aug!K280+Aug!K562+Cust_Conn!K250+Cust_Conn!K507+Cust_Conn!K762+Cust_Conn!K1017+New_Towns!K245+New_Towns!K500+New_Towns!K768+IT!K371+Other!K245</f>
        <v>0</v>
      </c>
      <c r="L241" s="81">
        <f ca="1">Low_Press!L322+AdHoc!L266+AdHoc!L541+AdHoc!L816+Medium_Press!L315+High_Press!L245+Dom_Meters!L266+Dom_Meters!L520+Com_Meters!L266+Com_Meters!L555+Net_Reg!L287+Net_Reg!L541+Cust_Reg!L266+Cust_Reg!L541+CP_SCADA!L294+CP_SCADA!L597+Aug!L280+Aug!L562+Cust_Conn!L250+Cust_Conn!L507+Cust_Conn!L762+Cust_Conn!L1017+New_Towns!L245+New_Towns!L500+New_Towns!L768+IT!L371+Other!L245</f>
        <v>0</v>
      </c>
      <c r="M241" s="81">
        <f ca="1">Low_Press!M322+AdHoc!M266+AdHoc!M541+AdHoc!M816+Medium_Press!M315+High_Press!M245+Dom_Meters!M266+Dom_Meters!M520+Com_Meters!M266+Com_Meters!M555+Net_Reg!M287+Net_Reg!M541+Cust_Reg!M266+Cust_Reg!M541+CP_SCADA!M294+CP_SCADA!M597+Aug!M280+Aug!M562+Cust_Conn!M250+Cust_Conn!M507+Cust_Conn!M762+Cust_Conn!M1017+New_Towns!M245+New_Towns!M500+New_Towns!M768+IT!M371+Other!M245</f>
        <v>0</v>
      </c>
      <c r="N241" s="81">
        <f ca="1">Low_Press!N322+AdHoc!N266+AdHoc!N541+AdHoc!N816+Medium_Press!N315+High_Press!N245+Dom_Meters!N266+Dom_Meters!N520+Com_Meters!N266+Com_Meters!N555+Net_Reg!N287+Net_Reg!N541+Cust_Reg!N266+Cust_Reg!N541+CP_SCADA!N294+CP_SCADA!N597+Aug!N280+Aug!N562+Cust_Conn!N250+Cust_Conn!N507+Cust_Conn!N762+Cust_Conn!N1017+New_Towns!N245+New_Towns!N500+New_Towns!N768+IT!N371+Other!N245</f>
        <v>65440247.279091343</v>
      </c>
      <c r="O241" s="81">
        <f ca="1">Low_Press!O322+AdHoc!O266+AdHoc!O541+AdHoc!O816+Medium_Press!O315+High_Press!O245+Dom_Meters!O266+Dom_Meters!O520+Com_Meters!O266+Com_Meters!O555+Net_Reg!O287+Net_Reg!O541+Cust_Reg!O266+Cust_Reg!O541+CP_SCADA!O294+CP_SCADA!O597+Aug!O280+Aug!O562+Cust_Conn!O250+Cust_Conn!O507+Cust_Conn!O762+Cust_Conn!O1017+New_Towns!O245+New_Towns!O500+New_Towns!O768+IT!O371+Other!O245</f>
        <v>43703851.03961122</v>
      </c>
      <c r="P241" s="81">
        <f ca="1">Low_Press!P322+AdHoc!P266+AdHoc!P541+AdHoc!P816+Medium_Press!P315+High_Press!P245+Dom_Meters!P266+Dom_Meters!P520+Com_Meters!P266+Com_Meters!P555+Net_Reg!P287+Net_Reg!P541+Cust_Reg!P266+Cust_Reg!P541+CP_SCADA!P294+CP_SCADA!P597+Aug!P280+Aug!P562+Cust_Conn!P250+Cust_Conn!P507+Cust_Conn!P762+Cust_Conn!P1017+New_Towns!P245+New_Towns!P500+New_Towns!P768+IT!P371+Other!P245</f>
        <v>69532969.036331341</v>
      </c>
      <c r="Q241" s="81">
        <f ca="1">Low_Press!Q322+AdHoc!Q266+AdHoc!Q541+AdHoc!Q816+Medium_Press!Q315+High_Press!Q245+Dom_Meters!Q266+Dom_Meters!Q520+Com_Meters!Q266+Com_Meters!Q555+Net_Reg!Q287+Net_Reg!Q541+Cust_Reg!Q266+Cust_Reg!Q541+CP_SCADA!Q294+CP_SCADA!Q597+Aug!Q280+Aug!Q562+Cust_Conn!Q250+Cust_Conn!Q507+Cust_Conn!Q762+Cust_Conn!Q1017+New_Towns!Q245+New_Towns!Q500+New_Towns!Q768+IT!Q371+Other!Q245</f>
        <v>68933632.781893522</v>
      </c>
      <c r="R241" s="81">
        <f ca="1">Low_Press!R322+AdHoc!R266+AdHoc!R541+AdHoc!R816+Medium_Press!R315+High_Press!R245+Dom_Meters!R266+Dom_Meters!R520+Com_Meters!R266+Com_Meters!R555+Net_Reg!R287+Net_Reg!R541+Cust_Reg!R266+Cust_Reg!R541+CP_SCADA!R294+CP_SCADA!R597+Aug!R280+Aug!R562+Cust_Conn!R250+Cust_Conn!R507+Cust_Conn!R762+Cust_Conn!R1017+New_Towns!R245+New_Towns!R500+New_Towns!R768+IT!R371+Other!R245</f>
        <v>68598820.015872523</v>
      </c>
      <c r="S241" s="81">
        <f ca="1">Low_Press!S322+AdHoc!S266+AdHoc!S541+AdHoc!S816+Medium_Press!S315+High_Press!S245+Dom_Meters!S266+Dom_Meters!S520+Com_Meters!S266+Com_Meters!S555+Net_Reg!S287+Net_Reg!S541+Cust_Reg!S266+Cust_Reg!S541+CP_SCADA!S294+CP_SCADA!S597+Aug!S280+Aug!S562+Cust_Conn!S250+Cust_Conn!S507+Cust_Conn!S762+Cust_Conn!S1017+New_Towns!S245+New_Towns!S500+New_Towns!S768+IT!S371+Other!S245</f>
        <v>67638402.558023587</v>
      </c>
      <c r="T241" s="81">
        <f ca="1">Low_Press!T322+AdHoc!T266+AdHoc!T541+AdHoc!T816+Medium_Press!T315+High_Press!T245+Dom_Meters!T266+Dom_Meters!T520+Com_Meters!T266+Com_Meters!T555+Net_Reg!T287+Net_Reg!T541+Cust_Reg!T266+Cust_Reg!T541+CP_SCADA!T294+CP_SCADA!T597+Aug!T280+Aug!T562+Cust_Conn!T250+Cust_Conn!T507+Cust_Conn!T762+Cust_Conn!T1017+New_Towns!T245+New_Towns!T500+New_Towns!T768+IT!T371+Other!T245</f>
        <v>58294190.797607183</v>
      </c>
    </row>
    <row r="242" spans="4:20" s="41" customFormat="1" outlineLevel="1">
      <c r="F242" s="247" t="str">
        <f>GC!C79</f>
        <v>Meters Domestic</v>
      </c>
      <c r="G242" s="247"/>
      <c r="H242" s="247"/>
      <c r="I242" s="247"/>
      <c r="J242" s="81">
        <f ca="1">Low_Press!J323+AdHoc!J267+AdHoc!J542+AdHoc!J817+Medium_Press!J316+High_Press!J246+Dom_Meters!J267+Dom_Meters!J521+Com_Meters!J267+Com_Meters!J556+Net_Reg!J288+Net_Reg!J542+Cust_Reg!J267+Cust_Reg!J542+CP_SCADA!J295+CP_SCADA!J598+Aug!J281+Aug!J563+Cust_Conn!J251+Cust_Conn!J508+Cust_Conn!J763+Cust_Conn!J1018+New_Towns!J246+New_Towns!J501+New_Towns!J769+IT!J372+Other!J246</f>
        <v>0</v>
      </c>
      <c r="K242" s="81">
        <f ca="1">Low_Press!K323+AdHoc!K267+AdHoc!K542+AdHoc!K817+Medium_Press!K316+High_Press!K246+Dom_Meters!K267+Dom_Meters!K521+Com_Meters!K267+Com_Meters!K556+Net_Reg!K288+Net_Reg!K542+Cust_Reg!K267+Cust_Reg!K542+CP_SCADA!K295+CP_SCADA!K598+Aug!K281+Aug!K563+Cust_Conn!K251+Cust_Conn!K508+Cust_Conn!K763+Cust_Conn!K1018+New_Towns!K246+New_Towns!K501+New_Towns!K769+IT!K372+Other!K246</f>
        <v>0</v>
      </c>
      <c r="L242" s="81">
        <f ca="1">Low_Press!L323+AdHoc!L267+AdHoc!L542+AdHoc!L817+Medium_Press!L316+High_Press!L246+Dom_Meters!L267+Dom_Meters!L521+Com_Meters!L267+Com_Meters!L556+Net_Reg!L288+Net_Reg!L542+Cust_Reg!L267+Cust_Reg!L542+CP_SCADA!L295+CP_SCADA!L598+Aug!L281+Aug!L563+Cust_Conn!L251+Cust_Conn!L508+Cust_Conn!L763+Cust_Conn!L1018+New_Towns!L246+New_Towns!L501+New_Towns!L769+IT!L372+Other!L246</f>
        <v>0</v>
      </c>
      <c r="M242" s="81">
        <f ca="1">Low_Press!M323+AdHoc!M267+AdHoc!M542+AdHoc!M817+Medium_Press!M316+High_Press!M246+Dom_Meters!M267+Dom_Meters!M521+Com_Meters!M267+Com_Meters!M556+Net_Reg!M288+Net_Reg!M542+Cust_Reg!M267+Cust_Reg!M542+CP_SCADA!M295+CP_SCADA!M598+Aug!M281+Aug!M563+Cust_Conn!M251+Cust_Conn!M508+Cust_Conn!M763+Cust_Conn!M1018+New_Towns!M246+New_Towns!M501+New_Towns!M769+IT!M372+Other!M246</f>
        <v>0</v>
      </c>
      <c r="N242" s="81">
        <f ca="1">Low_Press!N323+AdHoc!N267+AdHoc!N542+AdHoc!N817+Medium_Press!N316+High_Press!N246+Dom_Meters!N267+Dom_Meters!N521+Com_Meters!N267+Com_Meters!N556+Net_Reg!N288+Net_Reg!N542+Cust_Reg!N267+Cust_Reg!N542+CP_SCADA!N295+CP_SCADA!N598+Aug!N281+Aug!N563+Cust_Conn!N251+Cust_Conn!N508+Cust_Conn!N763+Cust_Conn!N1018+New_Towns!N246+New_Towns!N501+New_Towns!N769+IT!N372+Other!N246</f>
        <v>13509708.291401388</v>
      </c>
      <c r="O242" s="81">
        <f ca="1">Low_Press!O323+AdHoc!O267+AdHoc!O542+AdHoc!O817+Medium_Press!O316+High_Press!O246+Dom_Meters!O267+Dom_Meters!O521+Com_Meters!O267+Com_Meters!O556+Net_Reg!O288+Net_Reg!O542+Cust_Reg!O267+Cust_Reg!O542+CP_SCADA!O295+CP_SCADA!O598+Aug!O281+Aug!O563+Cust_Conn!O251+Cust_Conn!O508+Cust_Conn!O763+Cust_Conn!O1018+New_Towns!O246+New_Towns!O501+New_Towns!O769+IT!O372+Other!O246</f>
        <v>6222088.067216577</v>
      </c>
      <c r="P242" s="81">
        <f ca="1">Low_Press!P323+AdHoc!P267+AdHoc!P542+AdHoc!P817+Medium_Press!P316+High_Press!P246+Dom_Meters!P267+Dom_Meters!P521+Com_Meters!P267+Com_Meters!P556+Net_Reg!P288+Net_Reg!P542+Cust_Reg!P267+Cust_Reg!P542+CP_SCADA!P295+CP_SCADA!P598+Aug!P281+Aug!P563+Cust_Conn!P251+Cust_Conn!P508+Cust_Conn!P763+Cust_Conn!P1018+New_Towns!P246+New_Towns!P501+New_Towns!P769+IT!P372+Other!P246</f>
        <v>11805063.296952745</v>
      </c>
      <c r="Q242" s="81">
        <f ca="1">Low_Press!Q323+AdHoc!Q267+AdHoc!Q542+AdHoc!Q817+Medium_Press!Q316+High_Press!Q246+Dom_Meters!Q267+Dom_Meters!Q521+Com_Meters!Q267+Com_Meters!Q556+Net_Reg!Q288+Net_Reg!Q542+Cust_Reg!Q267+Cust_Reg!Q542+CP_SCADA!Q295+CP_SCADA!Q598+Aug!Q281+Aug!Q563+Cust_Conn!Q251+Cust_Conn!Q508+Cust_Conn!Q763+Cust_Conn!Q1018+New_Towns!Q246+New_Towns!Q501+New_Towns!Q769+IT!Q372+Other!Q246</f>
        <v>12893263.820386197</v>
      </c>
      <c r="R242" s="81">
        <f ca="1">Low_Press!R323+AdHoc!R267+AdHoc!R542+AdHoc!R817+Medium_Press!R316+High_Press!R246+Dom_Meters!R267+Dom_Meters!R521+Com_Meters!R267+Com_Meters!R556+Net_Reg!R288+Net_Reg!R542+Cust_Reg!R267+Cust_Reg!R542+CP_SCADA!R295+CP_SCADA!R598+Aug!R281+Aug!R563+Cust_Conn!R251+Cust_Conn!R508+Cust_Conn!R763+Cust_Conn!R1018+New_Towns!R246+New_Towns!R501+New_Towns!R769+IT!R372+Other!R246</f>
        <v>13394249.584552858</v>
      </c>
      <c r="S242" s="81">
        <f ca="1">Low_Press!S323+AdHoc!S267+AdHoc!S542+AdHoc!S817+Medium_Press!S316+High_Press!S246+Dom_Meters!S267+Dom_Meters!S521+Com_Meters!S267+Com_Meters!S556+Net_Reg!S288+Net_Reg!S542+Cust_Reg!S267+Cust_Reg!S542+CP_SCADA!S295+CP_SCADA!S598+Aug!S281+Aug!S563+Cust_Conn!S251+Cust_Conn!S508+Cust_Conn!S763+Cust_Conn!S1018+New_Towns!S246+New_Towns!S501+New_Towns!S769+IT!S372+Other!S246</f>
        <v>11886434.987797044</v>
      </c>
      <c r="T242" s="81">
        <f ca="1">Low_Press!T323+AdHoc!T267+AdHoc!T542+AdHoc!T817+Medium_Press!T316+High_Press!T246+Dom_Meters!T267+Dom_Meters!T521+Com_Meters!T267+Com_Meters!T556+Net_Reg!T288+Net_Reg!T542+Cust_Reg!T267+Cust_Reg!T542+CP_SCADA!T295+CP_SCADA!T598+Aug!T281+Aug!T563+Cust_Conn!T251+Cust_Conn!T508+Cust_Conn!T763+Cust_Conn!T1018+New_Towns!T246+New_Towns!T501+New_Towns!T769+IT!T372+Other!T246</f>
        <v>11355090.287806056</v>
      </c>
    </row>
    <row r="243" spans="4:20" s="41" customFormat="1" outlineLevel="1">
      <c r="F243" s="247" t="str">
        <f>GC!C80</f>
        <v>Meters Industrial &amp; Commercial</v>
      </c>
      <c r="G243" s="247"/>
      <c r="H243" s="247"/>
      <c r="I243" s="247"/>
      <c r="J243" s="81">
        <f ca="1">Low_Press!J324+AdHoc!J268+AdHoc!J543+AdHoc!J818+Medium_Press!J317+High_Press!J247+Dom_Meters!J268+Dom_Meters!J522+Com_Meters!J268+Com_Meters!J557+Net_Reg!J289+Net_Reg!J543+Cust_Reg!J268+Cust_Reg!J543+CP_SCADA!J296+CP_SCADA!J599+Aug!J282+Aug!J564+Cust_Conn!J252+Cust_Conn!J509+Cust_Conn!J764+Cust_Conn!J1019+New_Towns!J247+New_Towns!J502+New_Towns!J770+IT!J373+Other!J247</f>
        <v>0</v>
      </c>
      <c r="K243" s="81">
        <f ca="1">Low_Press!K324+AdHoc!K268+AdHoc!K543+AdHoc!K818+Medium_Press!K317+High_Press!K247+Dom_Meters!K268+Dom_Meters!K522+Com_Meters!K268+Com_Meters!K557+Net_Reg!K289+Net_Reg!K543+Cust_Reg!K268+Cust_Reg!K543+CP_SCADA!K296+CP_SCADA!K599+Aug!K282+Aug!K564+Cust_Conn!K252+Cust_Conn!K509+Cust_Conn!K764+Cust_Conn!K1019+New_Towns!K247+New_Towns!K502+New_Towns!K770+IT!K373+Other!K247</f>
        <v>0</v>
      </c>
      <c r="L243" s="81">
        <f ca="1">Low_Press!L324+AdHoc!L268+AdHoc!L543+AdHoc!L818+Medium_Press!L317+High_Press!L247+Dom_Meters!L268+Dom_Meters!L522+Com_Meters!L268+Com_Meters!L557+Net_Reg!L289+Net_Reg!L543+Cust_Reg!L268+Cust_Reg!L543+CP_SCADA!L296+CP_SCADA!L599+Aug!L282+Aug!L564+Cust_Conn!L252+Cust_Conn!L509+Cust_Conn!L764+Cust_Conn!L1019+New_Towns!L247+New_Towns!L502+New_Towns!L770+IT!L373+Other!L247</f>
        <v>0</v>
      </c>
      <c r="M243" s="81">
        <f ca="1">Low_Press!M324+AdHoc!M268+AdHoc!M543+AdHoc!M818+Medium_Press!M317+High_Press!M247+Dom_Meters!M268+Dom_Meters!M522+Com_Meters!M268+Com_Meters!M557+Net_Reg!M289+Net_Reg!M543+Cust_Reg!M268+Cust_Reg!M543+CP_SCADA!M296+CP_SCADA!M599+Aug!M282+Aug!M564+Cust_Conn!M252+Cust_Conn!M509+Cust_Conn!M764+Cust_Conn!M1019+New_Towns!M247+New_Towns!M502+New_Towns!M770+IT!M373+Other!M247</f>
        <v>0</v>
      </c>
      <c r="N243" s="81">
        <f ca="1">Low_Press!N324+AdHoc!N268+AdHoc!N543+AdHoc!N818+Medium_Press!N317+High_Press!N247+Dom_Meters!N268+Dom_Meters!N522+Com_Meters!N268+Com_Meters!N557+Net_Reg!N289+Net_Reg!N543+Cust_Reg!N268+Cust_Reg!N543+CP_SCADA!N296+CP_SCADA!N599+Aug!N282+Aug!N564+Cust_Conn!N252+Cust_Conn!N509+Cust_Conn!N764+Cust_Conn!N1019+New_Towns!N247+New_Towns!N502+New_Towns!N770+IT!N373+Other!N247</f>
        <v>1678585.1697284239</v>
      </c>
      <c r="O243" s="81">
        <f ca="1">Low_Press!O324+AdHoc!O268+AdHoc!O543+AdHoc!O818+Medium_Press!O317+High_Press!O247+Dom_Meters!O268+Dom_Meters!O522+Com_Meters!O268+Com_Meters!O557+Net_Reg!O289+Net_Reg!O543+Cust_Reg!O268+Cust_Reg!O543+CP_SCADA!O296+CP_SCADA!O599+Aug!O282+Aug!O564+Cust_Conn!O252+Cust_Conn!O509+Cust_Conn!O764+Cust_Conn!O1019+New_Towns!O247+New_Towns!O502+New_Towns!O770+IT!O373+Other!O247</f>
        <v>1680289.4755725246</v>
      </c>
      <c r="P243" s="81">
        <f ca="1">Low_Press!P324+AdHoc!P268+AdHoc!P543+AdHoc!P818+Medium_Press!P317+High_Press!P247+Dom_Meters!P268+Dom_Meters!P522+Com_Meters!P268+Com_Meters!P557+Net_Reg!P289+Net_Reg!P543+Cust_Reg!P268+Cust_Reg!P543+CP_SCADA!P296+CP_SCADA!P599+Aug!P282+Aug!P564+Cust_Conn!P252+Cust_Conn!P509+Cust_Conn!P764+Cust_Conn!P1019+New_Towns!P247+New_Towns!P502+New_Towns!P770+IT!P373+Other!P247</f>
        <v>2885165.8955577994</v>
      </c>
      <c r="Q243" s="81">
        <f ca="1">Low_Press!Q324+AdHoc!Q268+AdHoc!Q543+AdHoc!Q818+Medium_Press!Q317+High_Press!Q247+Dom_Meters!Q268+Dom_Meters!Q522+Com_Meters!Q268+Com_Meters!Q557+Net_Reg!Q289+Net_Reg!Q543+Cust_Reg!Q268+Cust_Reg!Q543+CP_SCADA!Q296+CP_SCADA!Q599+Aug!Q282+Aug!Q564+Cust_Conn!Q252+Cust_Conn!Q509+Cust_Conn!Q764+Cust_Conn!Q1019+New_Towns!Q247+New_Towns!Q502+New_Towns!Q770+IT!Q373+Other!Q247</f>
        <v>3076429.1769150989</v>
      </c>
      <c r="R243" s="81">
        <f ca="1">Low_Press!R324+AdHoc!R268+AdHoc!R543+AdHoc!R818+Medium_Press!R317+High_Press!R247+Dom_Meters!R268+Dom_Meters!R522+Com_Meters!R268+Com_Meters!R557+Net_Reg!R289+Net_Reg!R543+Cust_Reg!R268+Cust_Reg!R543+CP_SCADA!R296+CP_SCADA!R599+Aug!R282+Aug!R564+Cust_Conn!R252+Cust_Conn!R509+Cust_Conn!R764+Cust_Conn!R1019+New_Towns!R247+New_Towns!R502+New_Towns!R770+IT!R373+Other!R247</f>
        <v>3354203.8422548003</v>
      </c>
      <c r="S243" s="81">
        <f ca="1">Low_Press!S324+AdHoc!S268+AdHoc!S543+AdHoc!S818+Medium_Press!S317+High_Press!S247+Dom_Meters!S268+Dom_Meters!S522+Com_Meters!S268+Com_Meters!S557+Net_Reg!S289+Net_Reg!S543+Cust_Reg!S268+Cust_Reg!S543+CP_SCADA!S296+CP_SCADA!S599+Aug!S282+Aug!S564+Cust_Conn!S252+Cust_Conn!S509+Cust_Conn!S764+Cust_Conn!S1019+New_Towns!S247+New_Towns!S502+New_Towns!S770+IT!S373+Other!S247</f>
        <v>3229644.4116953672</v>
      </c>
      <c r="T243" s="81">
        <f ca="1">Low_Press!T324+AdHoc!T268+AdHoc!T543+AdHoc!T818+Medium_Press!T317+High_Press!T247+Dom_Meters!T268+Dom_Meters!T522+Com_Meters!T268+Com_Meters!T557+Net_Reg!T289+Net_Reg!T543+Cust_Reg!T268+Cust_Reg!T543+CP_SCADA!T296+CP_SCADA!T599+Aug!T282+Aug!T564+Cust_Conn!T252+Cust_Conn!T509+Cust_Conn!T764+Cust_Conn!T1019+New_Towns!T247+New_Towns!T502+New_Towns!T770+IT!T373+Other!T247</f>
        <v>2800300.5558412923</v>
      </c>
    </row>
    <row r="244" spans="4:20" s="41" customFormat="1" outlineLevel="1">
      <c r="F244" s="247" t="str">
        <f>GC!C81</f>
        <v>Buildings</v>
      </c>
      <c r="G244" s="247"/>
      <c r="H244" s="247"/>
      <c r="I244" s="247"/>
      <c r="J244" s="81">
        <f ca="1">Low_Press!J325+AdHoc!J269+AdHoc!J544+AdHoc!J819+Medium_Press!J318+High_Press!J248+Dom_Meters!J269+Dom_Meters!J523+Com_Meters!J269+Com_Meters!J558+Net_Reg!J290+Net_Reg!J544+Cust_Reg!J269+Cust_Reg!J544+CP_SCADA!J297+CP_SCADA!J600+Aug!J283+Aug!J565+Cust_Conn!J253+Cust_Conn!J510+Cust_Conn!J765+Cust_Conn!J1020+New_Towns!J248+New_Towns!J503+New_Towns!J771+IT!J374+Other!J248</f>
        <v>0</v>
      </c>
      <c r="K244" s="81">
        <f ca="1">Low_Press!K325+AdHoc!K269+AdHoc!K544+AdHoc!K819+Medium_Press!K318+High_Press!K248+Dom_Meters!K269+Dom_Meters!K523+Com_Meters!K269+Com_Meters!K558+Net_Reg!K290+Net_Reg!K544+Cust_Reg!K269+Cust_Reg!K544+CP_SCADA!K297+CP_SCADA!K600+Aug!K283+Aug!K565+Cust_Conn!K253+Cust_Conn!K510+Cust_Conn!K765+Cust_Conn!K1020+New_Towns!K248+New_Towns!K503+New_Towns!K771+IT!K374+Other!K248</f>
        <v>0</v>
      </c>
      <c r="L244" s="81">
        <f ca="1">Low_Press!L325+AdHoc!L269+AdHoc!L544+AdHoc!L819+Medium_Press!L318+High_Press!L248+Dom_Meters!L269+Dom_Meters!L523+Com_Meters!L269+Com_Meters!L558+Net_Reg!L290+Net_Reg!L544+Cust_Reg!L269+Cust_Reg!L544+CP_SCADA!L297+CP_SCADA!L600+Aug!L283+Aug!L565+Cust_Conn!L253+Cust_Conn!L510+Cust_Conn!L765+Cust_Conn!L1020+New_Towns!L248+New_Towns!L503+New_Towns!L771+IT!L374+Other!L248</f>
        <v>0</v>
      </c>
      <c r="M244" s="81">
        <f ca="1">Low_Press!M325+AdHoc!M269+AdHoc!M544+AdHoc!M819+Medium_Press!M318+High_Press!M248+Dom_Meters!M269+Dom_Meters!M523+Com_Meters!M269+Com_Meters!M558+Net_Reg!M290+Net_Reg!M544+Cust_Reg!M269+Cust_Reg!M544+CP_SCADA!M297+CP_SCADA!M600+Aug!M283+Aug!M565+Cust_Conn!M253+Cust_Conn!M510+Cust_Conn!M765+Cust_Conn!M1020+New_Towns!M248+New_Towns!M503+New_Towns!M771+IT!M374+Other!M248</f>
        <v>0</v>
      </c>
      <c r="N244" s="81">
        <f ca="1">Low_Press!N325+AdHoc!N269+AdHoc!N544+AdHoc!N819+Medium_Press!N318+High_Press!N248+Dom_Meters!N269+Dom_Meters!N523+Com_Meters!N269+Com_Meters!N558+Net_Reg!N290+Net_Reg!N544+Cust_Reg!N269+Cust_Reg!N544+CP_SCADA!N297+CP_SCADA!N600+Aug!N283+Aug!N565+Cust_Conn!N253+Cust_Conn!N510+Cust_Conn!N765+Cust_Conn!N1020+New_Towns!N248+New_Towns!N503+New_Towns!N771+IT!N374+Other!N248</f>
        <v>0</v>
      </c>
      <c r="O244" s="81">
        <f ca="1">Low_Press!O325+AdHoc!O269+AdHoc!O544+AdHoc!O819+Medium_Press!O318+High_Press!O248+Dom_Meters!O269+Dom_Meters!O523+Com_Meters!O269+Com_Meters!O558+Net_Reg!O290+Net_Reg!O544+Cust_Reg!O269+Cust_Reg!O544+CP_SCADA!O297+CP_SCADA!O600+Aug!O283+Aug!O565+Cust_Conn!O253+Cust_Conn!O510+Cust_Conn!O765+Cust_Conn!O1020+New_Towns!O248+New_Towns!O503+New_Towns!O771+IT!O374+Other!O248</f>
        <v>0</v>
      </c>
      <c r="P244" s="81">
        <f ca="1">Low_Press!P325+AdHoc!P269+AdHoc!P544+AdHoc!P819+Medium_Press!P318+High_Press!P248+Dom_Meters!P269+Dom_Meters!P523+Com_Meters!P269+Com_Meters!P558+Net_Reg!P290+Net_Reg!P544+Cust_Reg!P269+Cust_Reg!P544+CP_SCADA!P297+CP_SCADA!P600+Aug!P283+Aug!P565+Cust_Conn!P253+Cust_Conn!P510+Cust_Conn!P765+Cust_Conn!P1020+New_Towns!P248+New_Towns!P503+New_Towns!P771+IT!P374+Other!P248</f>
        <v>0</v>
      </c>
      <c r="Q244" s="81">
        <f ca="1">Low_Press!Q325+AdHoc!Q269+AdHoc!Q544+AdHoc!Q819+Medium_Press!Q318+High_Press!Q248+Dom_Meters!Q269+Dom_Meters!Q523+Com_Meters!Q269+Com_Meters!Q558+Net_Reg!Q290+Net_Reg!Q544+Cust_Reg!Q269+Cust_Reg!Q544+CP_SCADA!Q297+CP_SCADA!Q600+Aug!Q283+Aug!Q565+Cust_Conn!Q253+Cust_Conn!Q510+Cust_Conn!Q765+Cust_Conn!Q1020+New_Towns!Q248+New_Towns!Q503+New_Towns!Q771+IT!Q374+Other!Q248</f>
        <v>0</v>
      </c>
      <c r="R244" s="81">
        <f ca="1">Low_Press!R325+AdHoc!R269+AdHoc!R544+AdHoc!R819+Medium_Press!R318+High_Press!R248+Dom_Meters!R269+Dom_Meters!R523+Com_Meters!R269+Com_Meters!R558+Net_Reg!R290+Net_Reg!R544+Cust_Reg!R269+Cust_Reg!R544+CP_SCADA!R297+CP_SCADA!R600+Aug!R283+Aug!R565+Cust_Conn!R253+Cust_Conn!R510+Cust_Conn!R765+Cust_Conn!R1020+New_Towns!R248+New_Towns!R503+New_Towns!R771+IT!R374+Other!R248</f>
        <v>0</v>
      </c>
      <c r="S244" s="81">
        <f ca="1">Low_Press!S325+AdHoc!S269+AdHoc!S544+AdHoc!S819+Medium_Press!S318+High_Press!S248+Dom_Meters!S269+Dom_Meters!S523+Com_Meters!S269+Com_Meters!S558+Net_Reg!S290+Net_Reg!S544+Cust_Reg!S269+Cust_Reg!S544+CP_SCADA!S297+CP_SCADA!S600+Aug!S283+Aug!S565+Cust_Conn!S253+Cust_Conn!S510+Cust_Conn!S765+Cust_Conn!S1020+New_Towns!S248+New_Towns!S503+New_Towns!S771+IT!S374+Other!S248</f>
        <v>0</v>
      </c>
      <c r="T244" s="81">
        <f ca="1">Low_Press!T325+AdHoc!T269+AdHoc!T544+AdHoc!T819+Medium_Press!T318+High_Press!T248+Dom_Meters!T269+Dom_Meters!T523+Com_Meters!T269+Com_Meters!T558+Net_Reg!T290+Net_Reg!T544+Cust_Reg!T269+Cust_Reg!T544+CP_SCADA!T297+CP_SCADA!T600+Aug!T283+Aug!T565+Cust_Conn!T253+Cust_Conn!T510+Cust_Conn!T765+Cust_Conn!T1020+New_Towns!T248+New_Towns!T503+New_Towns!T771+IT!T374+Other!T248</f>
        <v>0</v>
      </c>
    </row>
    <row r="245" spans="4:20" s="41" customFormat="1" outlineLevel="1">
      <c r="F245" s="247" t="str">
        <f>GC!C82</f>
        <v>Other Assets</v>
      </c>
      <c r="G245" s="247"/>
      <c r="H245" s="247"/>
      <c r="I245" s="247"/>
      <c r="J245" s="81">
        <f ca="1">Low_Press!J326+AdHoc!J270+AdHoc!J545+AdHoc!J820+Medium_Press!J319+High_Press!J249+Dom_Meters!J270+Dom_Meters!J524+Com_Meters!J270+Com_Meters!J559+Net_Reg!J291+Net_Reg!J545+Cust_Reg!J270+Cust_Reg!J545+CP_SCADA!J298+CP_SCADA!J601+Aug!J284+Aug!J566+Cust_Conn!J254+Cust_Conn!J511+Cust_Conn!J766+Cust_Conn!J1021+New_Towns!J249+New_Towns!J504+New_Towns!J772+IT!J375+Other!J249</f>
        <v>0</v>
      </c>
      <c r="K245" s="81">
        <f ca="1">Low_Press!K326+AdHoc!K270+AdHoc!K545+AdHoc!K820+Medium_Press!K319+High_Press!K249+Dom_Meters!K270+Dom_Meters!K524+Com_Meters!K270+Com_Meters!K559+Net_Reg!K291+Net_Reg!K545+Cust_Reg!K270+Cust_Reg!K545+CP_SCADA!K298+CP_SCADA!K601+Aug!K284+Aug!K566+Cust_Conn!K254+Cust_Conn!K511+Cust_Conn!K766+Cust_Conn!K1021+New_Towns!K249+New_Towns!K504+New_Towns!K772+IT!K375+Other!K249</f>
        <v>0</v>
      </c>
      <c r="L245" s="81">
        <f ca="1">Low_Press!L326+AdHoc!L270+AdHoc!L545+AdHoc!L820+Medium_Press!L319+High_Press!L249+Dom_Meters!L270+Dom_Meters!L524+Com_Meters!L270+Com_Meters!L559+Net_Reg!L291+Net_Reg!L545+Cust_Reg!L270+Cust_Reg!L545+CP_SCADA!L298+CP_SCADA!L601+Aug!L284+Aug!L566+Cust_Conn!L254+Cust_Conn!L511+Cust_Conn!L766+Cust_Conn!L1021+New_Towns!L249+New_Towns!L504+New_Towns!L772+IT!L375+Other!L249</f>
        <v>0</v>
      </c>
      <c r="M245" s="81">
        <f ca="1">Low_Press!M326+AdHoc!M270+AdHoc!M545+AdHoc!M820+Medium_Press!M319+High_Press!M249+Dom_Meters!M270+Dom_Meters!M524+Com_Meters!M270+Com_Meters!M559+Net_Reg!M291+Net_Reg!M545+Cust_Reg!M270+Cust_Reg!M545+CP_SCADA!M298+CP_SCADA!M601+Aug!M284+Aug!M566+Cust_Conn!M254+Cust_Conn!M511+Cust_Conn!M766+Cust_Conn!M1021+New_Towns!M249+New_Towns!M504+New_Towns!M772+IT!M375+Other!M249</f>
        <v>0</v>
      </c>
      <c r="N245" s="81">
        <f ca="1">Low_Press!N326+AdHoc!N270+AdHoc!N545+AdHoc!N820+Medium_Press!N319+High_Press!N249+Dom_Meters!N270+Dom_Meters!N524+Com_Meters!N270+Com_Meters!N559+Net_Reg!N291+Net_Reg!N545+Cust_Reg!N270+Cust_Reg!N545+CP_SCADA!N298+CP_SCADA!N601+Aug!N284+Aug!N566+Cust_Conn!N254+Cust_Conn!N511+Cust_Conn!N766+Cust_Conn!N1021+New_Towns!N249+New_Towns!N504+New_Towns!N772+IT!N375+Other!N249</f>
        <v>17804569.981912833</v>
      </c>
      <c r="O245" s="81">
        <f ca="1">Low_Press!O326+AdHoc!O270+AdHoc!O545+AdHoc!O820+Medium_Press!O319+High_Press!O249+Dom_Meters!O270+Dom_Meters!O524+Com_Meters!O270+Com_Meters!O559+Net_Reg!O291+Net_Reg!O545+Cust_Reg!O270+Cust_Reg!O545+CP_SCADA!O298+CP_SCADA!O601+Aug!O284+Aug!O566+Cust_Conn!O254+Cust_Conn!O511+Cust_Conn!O766+Cust_Conn!O1021+New_Towns!O249+New_Towns!O504+New_Towns!O772+IT!O375+Other!O249</f>
        <v>6522424.0308017964</v>
      </c>
      <c r="P245" s="81">
        <f ca="1">Low_Press!P326+AdHoc!P270+AdHoc!P545+AdHoc!P820+Medium_Press!P319+High_Press!P249+Dom_Meters!P270+Dom_Meters!P524+Com_Meters!P270+Com_Meters!P559+Net_Reg!P291+Net_Reg!P545+Cust_Reg!P270+Cust_Reg!P545+CP_SCADA!P298+CP_SCADA!P601+Aug!P284+Aug!P566+Cust_Conn!P254+Cust_Conn!P511+Cust_Conn!P766+Cust_Conn!P1021+New_Towns!P249+New_Towns!P504+New_Towns!P772+IT!P375+Other!P249</f>
        <v>24599045.597322028</v>
      </c>
      <c r="Q245" s="81">
        <f ca="1">Low_Press!Q326+AdHoc!Q270+AdHoc!Q545+AdHoc!Q820+Medium_Press!Q319+High_Press!Q249+Dom_Meters!Q270+Dom_Meters!Q524+Com_Meters!Q270+Com_Meters!Q559+Net_Reg!Q291+Net_Reg!Q545+Cust_Reg!Q270+Cust_Reg!Q545+CP_SCADA!Q298+CP_SCADA!Q601+Aug!Q284+Aug!Q566+Cust_Conn!Q254+Cust_Conn!Q511+Cust_Conn!Q766+Cust_Conn!Q1021+New_Towns!Q249+New_Towns!Q504+New_Towns!Q772+IT!Q375+Other!Q249</f>
        <v>28046510.69215627</v>
      </c>
      <c r="R245" s="81">
        <f ca="1">Low_Press!R326+AdHoc!R270+AdHoc!R545+AdHoc!R820+Medium_Press!R319+High_Press!R249+Dom_Meters!R270+Dom_Meters!R524+Com_Meters!R270+Com_Meters!R559+Net_Reg!R291+Net_Reg!R545+Cust_Reg!R270+Cust_Reg!R545+CP_SCADA!R298+CP_SCADA!R601+Aug!R284+Aug!R566+Cust_Conn!R254+Cust_Conn!R511+Cust_Conn!R766+Cust_Conn!R1021+New_Towns!R249+New_Towns!R504+New_Towns!R772+IT!R375+Other!R249</f>
        <v>25147745.408448953</v>
      </c>
      <c r="S245" s="81">
        <f ca="1">Low_Press!S326+AdHoc!S270+AdHoc!S545+AdHoc!S820+Medium_Press!S319+High_Press!S249+Dom_Meters!S270+Dom_Meters!S524+Com_Meters!S270+Com_Meters!S559+Net_Reg!S291+Net_Reg!S545+Cust_Reg!S270+Cust_Reg!S545+CP_SCADA!S298+CP_SCADA!S601+Aug!S284+Aug!S566+Cust_Conn!S254+Cust_Conn!S511+Cust_Conn!S766+Cust_Conn!S1021+New_Towns!S249+New_Towns!S504+New_Towns!S772+IT!S375+Other!S249</f>
        <v>15591741.445608396</v>
      </c>
      <c r="T245" s="81">
        <f ca="1">Low_Press!T326+AdHoc!T270+AdHoc!T545+AdHoc!T820+Medium_Press!T319+High_Press!T249+Dom_Meters!T270+Dom_Meters!T524+Com_Meters!T270+Com_Meters!T559+Net_Reg!T291+Net_Reg!T545+Cust_Reg!T270+Cust_Reg!T545+CP_SCADA!T298+CP_SCADA!T601+Aug!T284+Aug!T566+Cust_Conn!T254+Cust_Conn!T511+Cust_Conn!T766+Cust_Conn!T1021+New_Towns!T249+New_Towns!T504+New_Towns!T772+IT!T375+Other!T249</f>
        <v>16387834.067033496</v>
      </c>
    </row>
    <row r="246" spans="4:20" s="41" customFormat="1" outlineLevel="1">
      <c r="F246" s="247" t="str">
        <f>GC!C83</f>
        <v>Repairs</v>
      </c>
      <c r="G246" s="247"/>
      <c r="H246" s="247"/>
      <c r="I246" s="247"/>
      <c r="J246" s="81">
        <f ca="1">Low_Press!J327+AdHoc!J271+AdHoc!J546+AdHoc!J821+Medium_Press!J320+High_Press!J250+Dom_Meters!J271+Dom_Meters!J525+Com_Meters!J271+Com_Meters!J560+Net_Reg!J292+Net_Reg!J546+Cust_Reg!J271+Cust_Reg!J546+CP_SCADA!J299+CP_SCADA!J602+Aug!J285+Aug!J567+Cust_Conn!J255+Cust_Conn!J512+Cust_Conn!J767+Cust_Conn!J1022+New_Towns!J250+New_Towns!J505+New_Towns!J773+IT!J376+Other!J250</f>
        <v>0</v>
      </c>
      <c r="K246" s="81">
        <f ca="1">Low_Press!K327+AdHoc!K271+AdHoc!K546+AdHoc!K821+Medium_Press!K320+High_Press!K250+Dom_Meters!K271+Dom_Meters!K525+Com_Meters!K271+Com_Meters!K560+Net_Reg!K292+Net_Reg!K546+Cust_Reg!K271+Cust_Reg!K546+CP_SCADA!K299+CP_SCADA!K602+Aug!K285+Aug!K567+Cust_Conn!K255+Cust_Conn!K512+Cust_Conn!K767+Cust_Conn!K1022+New_Towns!K250+New_Towns!K505+New_Towns!K773+IT!K376+Other!K250</f>
        <v>0</v>
      </c>
      <c r="L246" s="81">
        <f ca="1">Low_Press!L327+AdHoc!L271+AdHoc!L546+AdHoc!L821+Medium_Press!L320+High_Press!L250+Dom_Meters!L271+Dom_Meters!L525+Com_Meters!L271+Com_Meters!L560+Net_Reg!L292+Net_Reg!L546+Cust_Reg!L271+Cust_Reg!L546+CP_SCADA!L299+CP_SCADA!L602+Aug!L285+Aug!L567+Cust_Conn!L255+Cust_Conn!L512+Cust_Conn!L767+Cust_Conn!L1022+New_Towns!L250+New_Towns!L505+New_Towns!L773+IT!L376+Other!L250</f>
        <v>0</v>
      </c>
      <c r="M246" s="81">
        <f ca="1">Low_Press!M327+AdHoc!M271+AdHoc!M546+AdHoc!M821+Medium_Press!M320+High_Press!M250+Dom_Meters!M271+Dom_Meters!M525+Com_Meters!M271+Com_Meters!M560+Net_Reg!M292+Net_Reg!M546+Cust_Reg!M271+Cust_Reg!M546+CP_SCADA!M299+CP_SCADA!M602+Aug!M285+Aug!M567+Cust_Conn!M255+Cust_Conn!M512+Cust_Conn!M767+Cust_Conn!M1022+New_Towns!M250+New_Towns!M505+New_Towns!M773+IT!M376+Other!M250</f>
        <v>0</v>
      </c>
      <c r="N246" s="81">
        <f ca="1">Low_Press!N327+AdHoc!N271+AdHoc!N546+AdHoc!N821+Medium_Press!N320+High_Press!N250+Dom_Meters!N271+Dom_Meters!N525+Com_Meters!N271+Com_Meters!N560+Net_Reg!N292+Net_Reg!N546+Cust_Reg!N271+Cust_Reg!N546+CP_SCADA!N299+CP_SCADA!N602+Aug!N285+Aug!N567+Cust_Conn!N255+Cust_Conn!N512+Cust_Conn!N767+Cust_Conn!N1022+New_Towns!N250+New_Towns!N505+New_Towns!N773+IT!N376+Other!N250</f>
        <v>0</v>
      </c>
      <c r="O246" s="81">
        <f ca="1">Low_Press!O327+AdHoc!O271+AdHoc!O546+AdHoc!O821+Medium_Press!O320+High_Press!O250+Dom_Meters!O271+Dom_Meters!O525+Com_Meters!O271+Com_Meters!O560+Net_Reg!O292+Net_Reg!O546+Cust_Reg!O271+Cust_Reg!O546+CP_SCADA!O299+CP_SCADA!O602+Aug!O285+Aug!O567+Cust_Conn!O255+Cust_Conn!O512+Cust_Conn!O767+Cust_Conn!O1022+New_Towns!O250+New_Towns!O505+New_Towns!O773+IT!O376+Other!O250</f>
        <v>0</v>
      </c>
      <c r="P246" s="81">
        <f ca="1">Low_Press!P327+AdHoc!P271+AdHoc!P546+AdHoc!P821+Medium_Press!P320+High_Press!P250+Dom_Meters!P271+Dom_Meters!P525+Com_Meters!P271+Com_Meters!P560+Net_Reg!P292+Net_Reg!P546+Cust_Reg!P271+Cust_Reg!P546+CP_SCADA!P299+CP_SCADA!P602+Aug!P285+Aug!P567+Cust_Conn!P255+Cust_Conn!P512+Cust_Conn!P767+Cust_Conn!P1022+New_Towns!P250+New_Towns!P505+New_Towns!P773+IT!P376+Other!P250</f>
        <v>0</v>
      </c>
      <c r="Q246" s="81">
        <f ca="1">Low_Press!Q327+AdHoc!Q271+AdHoc!Q546+AdHoc!Q821+Medium_Press!Q320+High_Press!Q250+Dom_Meters!Q271+Dom_Meters!Q525+Com_Meters!Q271+Com_Meters!Q560+Net_Reg!Q292+Net_Reg!Q546+Cust_Reg!Q271+Cust_Reg!Q546+CP_SCADA!Q299+CP_SCADA!Q602+Aug!Q285+Aug!Q567+Cust_Conn!Q255+Cust_Conn!Q512+Cust_Conn!Q767+Cust_Conn!Q1022+New_Towns!Q250+New_Towns!Q505+New_Towns!Q773+IT!Q376+Other!Q250</f>
        <v>0</v>
      </c>
      <c r="R246" s="81">
        <f ca="1">Low_Press!R327+AdHoc!R271+AdHoc!R546+AdHoc!R821+Medium_Press!R320+High_Press!R250+Dom_Meters!R271+Dom_Meters!R525+Com_Meters!R271+Com_Meters!R560+Net_Reg!R292+Net_Reg!R546+Cust_Reg!R271+Cust_Reg!R546+CP_SCADA!R299+CP_SCADA!R602+Aug!R285+Aug!R567+Cust_Conn!R255+Cust_Conn!R512+Cust_Conn!R767+Cust_Conn!R1022+New_Towns!R250+New_Towns!R505+New_Towns!R773+IT!R376+Other!R250</f>
        <v>0</v>
      </c>
      <c r="S246" s="81">
        <f ca="1">Low_Press!S327+AdHoc!S271+AdHoc!S546+AdHoc!S821+Medium_Press!S320+High_Press!S250+Dom_Meters!S271+Dom_Meters!S525+Com_Meters!S271+Com_Meters!S560+Net_Reg!S292+Net_Reg!S546+Cust_Reg!S271+Cust_Reg!S546+CP_SCADA!S299+CP_SCADA!S602+Aug!S285+Aug!S567+Cust_Conn!S255+Cust_Conn!S512+Cust_Conn!S767+Cust_Conn!S1022+New_Towns!S250+New_Towns!S505+New_Towns!S773+IT!S376+Other!S250</f>
        <v>0</v>
      </c>
      <c r="T246" s="81">
        <f ca="1">Low_Press!T327+AdHoc!T271+AdHoc!T546+AdHoc!T821+Medium_Press!T320+High_Press!T250+Dom_Meters!T271+Dom_Meters!T525+Com_Meters!T271+Com_Meters!T560+Net_Reg!T292+Net_Reg!T546+Cust_Reg!T271+Cust_Reg!T546+CP_SCADA!T299+CP_SCADA!T602+Aug!T285+Aug!T567+Cust_Conn!T255+Cust_Conn!T512+Cust_Conn!T767+Cust_Conn!T1022+New_Towns!T250+New_Towns!T505+New_Towns!T773+IT!T376+Other!T250</f>
        <v>0</v>
      </c>
    </row>
    <row r="247" spans="4:20" s="41" customFormat="1" outlineLevel="1">
      <c r="F247" s="247" t="str">
        <f>GC!C84</f>
        <v>Land</v>
      </c>
      <c r="G247" s="247"/>
      <c r="H247" s="247"/>
      <c r="I247" s="247"/>
      <c r="J247" s="81">
        <f ca="1">Low_Press!J328+AdHoc!J272+AdHoc!J547+AdHoc!J822+Medium_Press!J321+High_Press!J251+Dom_Meters!J272+Dom_Meters!J526+Com_Meters!J272+Com_Meters!J561+Net_Reg!J293+Net_Reg!J547+Cust_Reg!J272+Cust_Reg!J547+CP_SCADA!J300+CP_SCADA!J603+Aug!J286+Aug!J568+Cust_Conn!J256+Cust_Conn!J513+Cust_Conn!J768+Cust_Conn!J1023+New_Towns!J251+New_Towns!J506+New_Towns!J774+IT!J377+Other!J251</f>
        <v>0</v>
      </c>
      <c r="K247" s="81">
        <f ca="1">Low_Press!K328+AdHoc!K272+AdHoc!K547+AdHoc!K822+Medium_Press!K321+High_Press!K251+Dom_Meters!K272+Dom_Meters!K526+Com_Meters!K272+Com_Meters!K561+Net_Reg!K293+Net_Reg!K547+Cust_Reg!K272+Cust_Reg!K547+CP_SCADA!K300+CP_SCADA!K603+Aug!K286+Aug!K568+Cust_Conn!K256+Cust_Conn!K513+Cust_Conn!K768+Cust_Conn!K1023+New_Towns!K251+New_Towns!K506+New_Towns!K774+IT!K377+Other!K251</f>
        <v>0</v>
      </c>
      <c r="L247" s="81">
        <f ca="1">Low_Press!L328+AdHoc!L272+AdHoc!L547+AdHoc!L822+Medium_Press!L321+High_Press!L251+Dom_Meters!L272+Dom_Meters!L526+Com_Meters!L272+Com_Meters!L561+Net_Reg!L293+Net_Reg!L547+Cust_Reg!L272+Cust_Reg!L547+CP_SCADA!L300+CP_SCADA!L603+Aug!L286+Aug!L568+Cust_Conn!L256+Cust_Conn!L513+Cust_Conn!L768+Cust_Conn!L1023+New_Towns!L251+New_Towns!L506+New_Towns!L774+IT!L377+Other!L251</f>
        <v>0</v>
      </c>
      <c r="M247" s="81">
        <f ca="1">Low_Press!M328+AdHoc!M272+AdHoc!M547+AdHoc!M822+Medium_Press!M321+High_Press!M251+Dom_Meters!M272+Dom_Meters!M526+Com_Meters!M272+Com_Meters!M561+Net_Reg!M293+Net_Reg!M547+Cust_Reg!M272+Cust_Reg!M547+CP_SCADA!M300+CP_SCADA!M603+Aug!M286+Aug!M568+Cust_Conn!M256+Cust_Conn!M513+Cust_Conn!M768+Cust_Conn!M1023+New_Towns!M251+New_Towns!M506+New_Towns!M774+IT!M377+Other!M251</f>
        <v>0</v>
      </c>
      <c r="N247" s="81">
        <f ca="1">Low_Press!N328+AdHoc!N272+AdHoc!N547+AdHoc!N822+Medium_Press!N321+High_Press!N251+Dom_Meters!N272+Dom_Meters!N526+Com_Meters!N272+Com_Meters!N561+Net_Reg!N293+Net_Reg!N547+Cust_Reg!N272+Cust_Reg!N547+CP_SCADA!N300+CP_SCADA!N603+Aug!N286+Aug!N568+Cust_Conn!N256+Cust_Conn!N513+Cust_Conn!N768+Cust_Conn!N1023+New_Towns!N251+New_Towns!N506+New_Towns!N774+IT!N377+Other!N251</f>
        <v>0</v>
      </c>
      <c r="O247" s="81">
        <f ca="1">Low_Press!O328+AdHoc!O272+AdHoc!O547+AdHoc!O822+Medium_Press!O321+High_Press!O251+Dom_Meters!O272+Dom_Meters!O526+Com_Meters!O272+Com_Meters!O561+Net_Reg!O293+Net_Reg!O547+Cust_Reg!O272+Cust_Reg!O547+CP_SCADA!O300+CP_SCADA!O603+Aug!O286+Aug!O568+Cust_Conn!O256+Cust_Conn!O513+Cust_Conn!O768+Cust_Conn!O1023+New_Towns!O251+New_Towns!O506+New_Towns!O774+IT!O377+Other!O251</f>
        <v>0</v>
      </c>
      <c r="P247" s="81">
        <f ca="1">Low_Press!P328+AdHoc!P272+AdHoc!P547+AdHoc!P822+Medium_Press!P321+High_Press!P251+Dom_Meters!P272+Dom_Meters!P526+Com_Meters!P272+Com_Meters!P561+Net_Reg!P293+Net_Reg!P547+Cust_Reg!P272+Cust_Reg!P547+CP_SCADA!P300+CP_SCADA!P603+Aug!P286+Aug!P568+Cust_Conn!P256+Cust_Conn!P513+Cust_Conn!P768+Cust_Conn!P1023+New_Towns!P251+New_Towns!P506+New_Towns!P774+IT!P377+Other!P251</f>
        <v>0</v>
      </c>
      <c r="Q247" s="81">
        <f ca="1">Low_Press!Q328+AdHoc!Q272+AdHoc!Q547+AdHoc!Q822+Medium_Press!Q321+High_Press!Q251+Dom_Meters!Q272+Dom_Meters!Q526+Com_Meters!Q272+Com_Meters!Q561+Net_Reg!Q293+Net_Reg!Q547+Cust_Reg!Q272+Cust_Reg!Q547+CP_SCADA!Q300+CP_SCADA!Q603+Aug!Q286+Aug!Q568+Cust_Conn!Q256+Cust_Conn!Q513+Cust_Conn!Q768+Cust_Conn!Q1023+New_Towns!Q251+New_Towns!Q506+New_Towns!Q774+IT!Q377+Other!Q251</f>
        <v>0</v>
      </c>
      <c r="R247" s="81">
        <f ca="1">Low_Press!R328+AdHoc!R272+AdHoc!R547+AdHoc!R822+Medium_Press!R321+High_Press!R251+Dom_Meters!R272+Dom_Meters!R526+Com_Meters!R272+Com_Meters!R561+Net_Reg!R293+Net_Reg!R547+Cust_Reg!R272+Cust_Reg!R547+CP_SCADA!R300+CP_SCADA!R603+Aug!R286+Aug!R568+Cust_Conn!R256+Cust_Conn!R513+Cust_Conn!R768+Cust_Conn!R1023+New_Towns!R251+New_Towns!R506+New_Towns!R774+IT!R377+Other!R251</f>
        <v>0</v>
      </c>
      <c r="S247" s="81">
        <f ca="1">Low_Press!S328+AdHoc!S272+AdHoc!S547+AdHoc!S822+Medium_Press!S321+High_Press!S251+Dom_Meters!S272+Dom_Meters!S526+Com_Meters!S272+Com_Meters!S561+Net_Reg!S293+Net_Reg!S547+Cust_Reg!S272+Cust_Reg!S547+CP_SCADA!S300+CP_SCADA!S603+Aug!S286+Aug!S568+Cust_Conn!S256+Cust_Conn!S513+Cust_Conn!S768+Cust_Conn!S1023+New_Towns!S251+New_Towns!S506+New_Towns!S774+IT!S377+Other!S251</f>
        <v>0</v>
      </c>
      <c r="T247" s="81">
        <f ca="1">Low_Press!T328+AdHoc!T272+AdHoc!T547+AdHoc!T822+Medium_Press!T321+High_Press!T251+Dom_Meters!T272+Dom_Meters!T526+Com_Meters!T272+Com_Meters!T561+Net_Reg!T293+Net_Reg!T547+Cust_Reg!T272+Cust_Reg!T547+CP_SCADA!T300+CP_SCADA!T603+Aug!T286+Aug!T568+Cust_Conn!T256+Cust_Conn!T513+Cust_Conn!T768+Cust_Conn!T1023+New_Towns!T251+New_Towns!T506+New_Towns!T774+IT!T377+Other!T251</f>
        <v>0</v>
      </c>
    </row>
    <row r="248" spans="4:20" s="41" customFormat="1" outlineLevel="1">
      <c r="F248" s="249" t="str">
        <f>"Total "&amp;E239</f>
        <v>Total Direct Costs</v>
      </c>
      <c r="G248" s="249"/>
      <c r="H248" s="249"/>
      <c r="I248" s="249"/>
      <c r="J248" s="82">
        <f t="shared" ref="J248:T248" ca="1" si="18">SUM(J241:J247)</f>
        <v>0</v>
      </c>
      <c r="K248" s="82">
        <f t="shared" ca="1" si="18"/>
        <v>0</v>
      </c>
      <c r="L248" s="82">
        <f t="shared" ca="1" si="18"/>
        <v>0</v>
      </c>
      <c r="M248" s="82">
        <f t="shared" ca="1" si="18"/>
        <v>0</v>
      </c>
      <c r="N248" s="82">
        <f t="shared" ca="1" si="18"/>
        <v>98433110.722133994</v>
      </c>
      <c r="O248" s="82">
        <f t="shared" ca="1" si="18"/>
        <v>58128652.613202117</v>
      </c>
      <c r="P248" s="82">
        <f t="shared" ca="1" si="18"/>
        <v>108822243.82616392</v>
      </c>
      <c r="Q248" s="82">
        <f t="shared" ca="1" si="18"/>
        <v>112949836.47135109</v>
      </c>
      <c r="R248" s="82">
        <f t="shared" ca="1" si="18"/>
        <v>110495018.85112913</v>
      </c>
      <c r="S248" s="82">
        <f t="shared" ca="1" si="18"/>
        <v>98346223.403124377</v>
      </c>
      <c r="T248" s="82">
        <f t="shared" ca="1" si="18"/>
        <v>88837415.708288044</v>
      </c>
    </row>
    <row r="249" spans="4:20" s="41" customFormat="1" outlineLevel="1"/>
    <row r="250" spans="4:20" s="41" customFormat="1" outlineLevel="1">
      <c r="D250"/>
      <c r="E250" s="50" t="str">
        <f>E139</f>
        <v>Direct Costs + Overheads</v>
      </c>
    </row>
    <row r="251" spans="4:20" s="41" customFormat="1" ht="5.9" customHeight="1" outlineLevel="1"/>
    <row r="252" spans="4:20" s="41" customFormat="1" outlineLevel="1">
      <c r="F252" s="247" t="str">
        <f>GC!C78</f>
        <v>Mains &amp; Services</v>
      </c>
      <c r="G252" s="247"/>
      <c r="H252" s="247"/>
      <c r="I252" s="247"/>
      <c r="J252" s="81">
        <f ca="1">Low_Press!J333+AdHoc!J277+AdHoc!J552+AdHoc!J827+Medium_Press!J326+High_Press!J256+Dom_Meters!J277+Dom_Meters!J531+Com_Meters!J277+Com_Meters!J566+Net_Reg!J298+Net_Reg!J552+Cust_Reg!J277+Cust_Reg!J552+CP_SCADA!J305+CP_SCADA!J608+Aug!J291+Aug!J573+Cust_Conn!J261+Cust_Conn!J518+Cust_Conn!J773+Cust_Conn!J1028+New_Towns!J256+New_Towns!J511+New_Towns!J779+IT!J382+Other!J256</f>
        <v>0</v>
      </c>
      <c r="K252" s="81">
        <f ca="1">Low_Press!K333+AdHoc!K277+AdHoc!K552+AdHoc!K827+Medium_Press!K326+High_Press!K256+Dom_Meters!K277+Dom_Meters!K531+Com_Meters!K277+Com_Meters!K566+Net_Reg!K298+Net_Reg!K552+Cust_Reg!K277+Cust_Reg!K552+CP_SCADA!K305+CP_SCADA!K608+Aug!K291+Aug!K573+Cust_Conn!K261+Cust_Conn!K518+Cust_Conn!K773+Cust_Conn!K1028+New_Towns!K256+New_Towns!K511+New_Towns!K779+IT!K382+Other!K256</f>
        <v>0</v>
      </c>
      <c r="L252" s="81">
        <f ca="1">Low_Press!L333+AdHoc!L277+AdHoc!L552+AdHoc!L827+Medium_Press!L326+High_Press!L256+Dom_Meters!L277+Dom_Meters!L531+Com_Meters!L277+Com_Meters!L566+Net_Reg!L298+Net_Reg!L552+Cust_Reg!L277+Cust_Reg!L552+CP_SCADA!L305+CP_SCADA!L608+Aug!L291+Aug!L573+Cust_Conn!L261+Cust_Conn!L518+Cust_Conn!L773+Cust_Conn!L1028+New_Towns!L256+New_Towns!L511+New_Towns!L779+IT!L382+Other!L256</f>
        <v>0</v>
      </c>
      <c r="M252" s="81">
        <f ca="1">Low_Press!M333+AdHoc!M277+AdHoc!M552+AdHoc!M827+Medium_Press!M326+High_Press!M256+Dom_Meters!M277+Dom_Meters!M531+Com_Meters!M277+Com_Meters!M566+Net_Reg!M298+Net_Reg!M552+Cust_Reg!M277+Cust_Reg!M552+CP_SCADA!M305+CP_SCADA!M608+Aug!M291+Aug!M573+Cust_Conn!M261+Cust_Conn!M518+Cust_Conn!M773+Cust_Conn!M1028+New_Towns!M256+New_Towns!M511+New_Towns!M779+IT!M382+Other!M256</f>
        <v>0</v>
      </c>
      <c r="N252" s="81">
        <f ca="1">Low_Press!N333+AdHoc!N277+AdHoc!N552+AdHoc!N827+Medium_Press!N326+High_Press!N256+Dom_Meters!N277+Dom_Meters!N531+Com_Meters!N277+Com_Meters!N566+Net_Reg!N298+Net_Reg!N552+Cust_Reg!N277+Cust_Reg!N552+CP_SCADA!N305+CP_SCADA!N608+Aug!N291+Aug!N573+Cust_Conn!N261+Cust_Conn!N518+Cust_Conn!N773+Cust_Conn!N1028+New_Towns!N256+New_Towns!N511+New_Towns!N779+IT!N382+Other!N256</f>
        <v>67908064.927374378</v>
      </c>
      <c r="O252" s="81">
        <f ca="1">Low_Press!O333+AdHoc!O277+AdHoc!O552+AdHoc!O827+Medium_Press!O326+High_Press!O256+Dom_Meters!O277+Dom_Meters!O531+Com_Meters!O277+Com_Meters!O566+Net_Reg!O298+Net_Reg!O552+Cust_Reg!O277+Cust_Reg!O552+CP_SCADA!O305+CP_SCADA!O608+Aug!O291+Aug!O573+Cust_Conn!O261+Cust_Conn!O518+Cust_Conn!O773+Cust_Conn!O1028+New_Towns!O256+New_Towns!O511+New_Towns!O779+IT!O382+Other!O256</f>
        <v>45158488.665185161</v>
      </c>
      <c r="P252" s="81">
        <f ca="1">Low_Press!P333+AdHoc!P277+AdHoc!P552+AdHoc!P827+Medium_Press!P326+High_Press!P256+Dom_Meters!P277+Dom_Meters!P531+Com_Meters!P277+Com_Meters!P566+Net_Reg!P298+Net_Reg!P552+Cust_Reg!P277+Cust_Reg!P552+CP_SCADA!P305+CP_SCADA!P608+Aug!P291+Aug!P573+Cust_Conn!P261+Cust_Conn!P518+Cust_Conn!P773+Cust_Conn!P1028+New_Towns!P256+New_Towns!P511+New_Towns!P779+IT!P382+Other!P256</f>
        <v>71393160.951452225</v>
      </c>
      <c r="Q252" s="81">
        <f ca="1">Low_Press!Q333+AdHoc!Q277+AdHoc!Q552+AdHoc!Q827+Medium_Press!Q326+High_Press!Q256+Dom_Meters!Q277+Dom_Meters!Q531+Com_Meters!Q277+Com_Meters!Q566+Net_Reg!Q298+Net_Reg!Q552+Cust_Reg!Q277+Cust_Reg!Q552+CP_SCADA!Q305+CP_SCADA!Q608+Aug!Q291+Aug!Q573+Cust_Conn!Q261+Cust_Conn!Q518+Cust_Conn!Q773+Cust_Conn!Q1028+New_Towns!Q256+New_Towns!Q511+New_Towns!Q779+IT!Q382+Other!Q256</f>
        <v>70730083.740289539</v>
      </c>
      <c r="R252" s="81">
        <f ca="1">Low_Press!R333+AdHoc!R277+AdHoc!R552+AdHoc!R827+Medium_Press!R326+High_Press!R256+Dom_Meters!R277+Dom_Meters!R531+Com_Meters!R277+Com_Meters!R566+Net_Reg!R298+Net_Reg!R552+Cust_Reg!R277+Cust_Reg!R552+CP_SCADA!R305+CP_SCADA!R608+Aug!R291+Aug!R573+Cust_Conn!R261+Cust_Conn!R518+Cust_Conn!R773+Cust_Conn!R1028+New_Towns!R256+New_Towns!R511+New_Towns!R779+IT!R382+Other!R256</f>
        <v>70442276.51690048</v>
      </c>
      <c r="S252" s="81">
        <f ca="1">Low_Press!S333+AdHoc!S277+AdHoc!S552+AdHoc!S827+Medium_Press!S326+High_Press!S256+Dom_Meters!S277+Dom_Meters!S531+Com_Meters!S277+Com_Meters!S566+Net_Reg!S298+Net_Reg!S552+Cust_Reg!S277+Cust_Reg!S552+CP_SCADA!S305+CP_SCADA!S608+Aug!S291+Aug!S573+Cust_Conn!S261+Cust_Conn!S518+Cust_Conn!S773+Cust_Conn!S1028+New_Towns!S256+New_Towns!S511+New_Towns!S779+IT!S382+Other!S256</f>
        <v>69569220.49985607</v>
      </c>
      <c r="T252" s="81">
        <f ca="1">Low_Press!T333+AdHoc!T277+AdHoc!T552+AdHoc!T827+Medium_Press!T326+High_Press!T256+Dom_Meters!T277+Dom_Meters!T531+Com_Meters!T277+Com_Meters!T566+Net_Reg!T298+Net_Reg!T552+Cust_Reg!T277+Cust_Reg!T552+CP_SCADA!T305+CP_SCADA!T608+Aug!T291+Aug!T573+Cust_Conn!T261+Cust_Conn!T518+Cust_Conn!T773+Cust_Conn!T1028+New_Towns!T256+New_Towns!T511+New_Towns!T779+IT!T382+Other!T256</f>
        <v>60038375.033349454</v>
      </c>
    </row>
    <row r="253" spans="4:20" s="41" customFormat="1" outlineLevel="1">
      <c r="F253" s="247" t="str">
        <f>GC!C79</f>
        <v>Meters Domestic</v>
      </c>
      <c r="G253" s="247"/>
      <c r="H253" s="247"/>
      <c r="I253" s="247"/>
      <c r="J253" s="81">
        <f ca="1">Low_Press!J334+AdHoc!J278+AdHoc!J553+AdHoc!J828+Medium_Press!J327+High_Press!J257+Dom_Meters!J278+Dom_Meters!J532+Com_Meters!J278+Com_Meters!J567+Net_Reg!J299+Net_Reg!J553+Cust_Reg!J278+Cust_Reg!J553+CP_SCADA!J306+CP_SCADA!J609+Aug!J292+Aug!J574+Cust_Conn!J262+Cust_Conn!J519+Cust_Conn!J774+Cust_Conn!J1029+New_Towns!J257+New_Towns!J512+New_Towns!J780+IT!J383+Other!J257</f>
        <v>0</v>
      </c>
      <c r="K253" s="81">
        <f ca="1">Low_Press!K334+AdHoc!K278+AdHoc!K553+AdHoc!K828+Medium_Press!K327+High_Press!K257+Dom_Meters!K278+Dom_Meters!K532+Com_Meters!K278+Com_Meters!K567+Net_Reg!K299+Net_Reg!K553+Cust_Reg!K278+Cust_Reg!K553+CP_SCADA!K306+CP_SCADA!K609+Aug!K292+Aug!K574+Cust_Conn!K262+Cust_Conn!K519+Cust_Conn!K774+Cust_Conn!K1029+New_Towns!K257+New_Towns!K512+New_Towns!K780+IT!K383+Other!K257</f>
        <v>0</v>
      </c>
      <c r="L253" s="81">
        <f ca="1">Low_Press!L334+AdHoc!L278+AdHoc!L553+AdHoc!L828+Medium_Press!L327+High_Press!L257+Dom_Meters!L278+Dom_Meters!L532+Com_Meters!L278+Com_Meters!L567+Net_Reg!L299+Net_Reg!L553+Cust_Reg!L278+Cust_Reg!L553+CP_SCADA!L306+CP_SCADA!L609+Aug!L292+Aug!L574+Cust_Conn!L262+Cust_Conn!L519+Cust_Conn!L774+Cust_Conn!L1029+New_Towns!L257+New_Towns!L512+New_Towns!L780+IT!L383+Other!L257</f>
        <v>0</v>
      </c>
      <c r="M253" s="81">
        <f ca="1">Low_Press!M334+AdHoc!M278+AdHoc!M553+AdHoc!M828+Medium_Press!M327+High_Press!M257+Dom_Meters!M278+Dom_Meters!M532+Com_Meters!M278+Com_Meters!M567+Net_Reg!M299+Net_Reg!M553+Cust_Reg!M278+Cust_Reg!M553+CP_SCADA!M306+CP_SCADA!M609+Aug!M292+Aug!M574+Cust_Conn!M262+Cust_Conn!M519+Cust_Conn!M774+Cust_Conn!M1029+New_Towns!M257+New_Towns!M512+New_Towns!M780+IT!M383+Other!M257</f>
        <v>0</v>
      </c>
      <c r="N253" s="81">
        <f ca="1">Low_Press!N334+AdHoc!N278+AdHoc!N553+AdHoc!N828+Medium_Press!N327+High_Press!N257+Dom_Meters!N278+Dom_Meters!N532+Com_Meters!N278+Com_Meters!N567+Net_Reg!N299+Net_Reg!N553+Cust_Reg!N278+Cust_Reg!N553+CP_SCADA!N306+CP_SCADA!N609+Aug!N292+Aug!N574+Cust_Conn!N262+Cust_Conn!N519+Cust_Conn!N774+Cust_Conn!N1029+New_Towns!N257+New_Towns!N512+New_Towns!N780+IT!N383+Other!N257</f>
        <v>14019173.000519749</v>
      </c>
      <c r="O253" s="81">
        <f ca="1">Low_Press!O334+AdHoc!O278+AdHoc!O553+AdHoc!O828+Medium_Press!O327+High_Press!O257+Dom_Meters!O278+Dom_Meters!O532+Com_Meters!O278+Com_Meters!O567+Net_Reg!O299+Net_Reg!O553+Cust_Reg!O278+Cust_Reg!O553+CP_SCADA!O306+CP_SCADA!O609+Aug!O292+Aug!O574+Cust_Conn!O262+Cust_Conn!O519+Cust_Conn!O774+Cust_Conn!O1029+New_Towns!O257+New_Towns!O512+New_Towns!O780+IT!O383+Other!O257</f>
        <v>6429183.8539014738</v>
      </c>
      <c r="P253" s="81">
        <f ca="1">Low_Press!P334+AdHoc!P278+AdHoc!P553+AdHoc!P828+Medium_Press!P327+High_Press!P257+Dom_Meters!P278+Dom_Meters!P532+Com_Meters!P278+Com_Meters!P567+Net_Reg!P299+Net_Reg!P553+Cust_Reg!P278+Cust_Reg!P553+CP_SCADA!P306+CP_SCADA!P609+Aug!P292+Aug!P574+Cust_Conn!P262+Cust_Conn!P519+Cust_Conn!P774+Cust_Conn!P1029+New_Towns!P257+New_Towns!P512+New_Towns!P780+IT!P383+Other!P257</f>
        <v>12120880.147675855</v>
      </c>
      <c r="Q253" s="81">
        <f ca="1">Low_Press!Q334+AdHoc!Q278+AdHoc!Q553+AdHoc!Q828+Medium_Press!Q327+High_Press!Q257+Dom_Meters!Q278+Dom_Meters!Q532+Com_Meters!Q278+Com_Meters!Q567+Net_Reg!Q299+Net_Reg!Q553+Cust_Reg!Q278+Cust_Reg!Q553+CP_SCADA!Q306+CP_SCADA!Q609+Aug!Q292+Aug!Q574+Cust_Conn!Q262+Cust_Conn!Q519+Cust_Conn!Q774+Cust_Conn!Q1029+New_Towns!Q257+New_Towns!Q512+New_Towns!Q780+IT!Q383+Other!Q257</f>
        <v>13229269.848390993</v>
      </c>
      <c r="R253" s="81">
        <f ca="1">Low_Press!R334+AdHoc!R278+AdHoc!R553+AdHoc!R828+Medium_Press!R327+High_Press!R257+Dom_Meters!R278+Dom_Meters!R532+Com_Meters!R278+Com_Meters!R567+Net_Reg!R299+Net_Reg!R553+Cust_Reg!R278+Cust_Reg!R553+CP_SCADA!R306+CP_SCADA!R609+Aug!R292+Aug!R574+Cust_Conn!R262+Cust_Conn!R519+Cust_Conn!R774+Cust_Conn!R1029+New_Towns!R257+New_Towns!R512+New_Towns!R780+IT!R383+Other!R257</f>
        <v>13754193.333837785</v>
      </c>
      <c r="S253" s="81">
        <f ca="1">Low_Press!S334+AdHoc!S278+AdHoc!S553+AdHoc!S828+Medium_Press!S327+High_Press!S257+Dom_Meters!S278+Dom_Meters!S532+Com_Meters!S278+Com_Meters!S567+Net_Reg!S299+Net_Reg!S553+Cust_Reg!S278+Cust_Reg!S553+CP_SCADA!S306+CP_SCADA!S609+Aug!S292+Aug!S574+Cust_Conn!S262+Cust_Conn!S519+Cust_Conn!S774+Cust_Conn!S1029+New_Towns!S257+New_Towns!S512+New_Towns!S780+IT!S383+Other!S257</f>
        <v>12225747.287775977</v>
      </c>
      <c r="T253" s="81">
        <f ca="1">Low_Press!T334+AdHoc!T278+AdHoc!T553+AdHoc!T828+Medium_Press!T327+High_Press!T257+Dom_Meters!T278+Dom_Meters!T532+Com_Meters!T278+Com_Meters!T567+Net_Reg!T299+Net_Reg!T553+Cust_Reg!T278+Cust_Reg!T553+CP_SCADA!T306+CP_SCADA!T609+Aug!T292+Aug!T574+Cust_Conn!T262+Cust_Conn!T519+Cust_Conn!T774+Cust_Conn!T1029+New_Towns!T257+New_Towns!T512+New_Towns!T780+IT!T383+Other!T257</f>
        <v>11694838.88375422</v>
      </c>
    </row>
    <row r="254" spans="4:20" s="41" customFormat="1" outlineLevel="1">
      <c r="F254" s="247" t="str">
        <f>GC!C80</f>
        <v>Meters Industrial &amp; Commercial</v>
      </c>
      <c r="G254" s="247"/>
      <c r="H254" s="247"/>
      <c r="I254" s="247"/>
      <c r="J254" s="81">
        <f ca="1">Low_Press!J335+AdHoc!J279+AdHoc!J554+AdHoc!J829+Medium_Press!J328+High_Press!J258+Dom_Meters!J279+Dom_Meters!J533+Com_Meters!J279+Com_Meters!J568+Net_Reg!J300+Net_Reg!J554+Cust_Reg!J279+Cust_Reg!J554+CP_SCADA!J307+CP_SCADA!J610+Aug!J293+Aug!J575+Cust_Conn!J263+Cust_Conn!J520+Cust_Conn!J775+Cust_Conn!J1030+New_Towns!J258+New_Towns!J513+New_Towns!J781+IT!J384+Other!J258</f>
        <v>0</v>
      </c>
      <c r="K254" s="81">
        <f ca="1">Low_Press!K335+AdHoc!K279+AdHoc!K554+AdHoc!K829+Medium_Press!K328+High_Press!K258+Dom_Meters!K279+Dom_Meters!K533+Com_Meters!K279+Com_Meters!K568+Net_Reg!K300+Net_Reg!K554+Cust_Reg!K279+Cust_Reg!K554+CP_SCADA!K307+CP_SCADA!K610+Aug!K293+Aug!K575+Cust_Conn!K263+Cust_Conn!K520+Cust_Conn!K775+Cust_Conn!K1030+New_Towns!K258+New_Towns!K513+New_Towns!K781+IT!K384+Other!K258</f>
        <v>0</v>
      </c>
      <c r="L254" s="81">
        <f ca="1">Low_Press!L335+AdHoc!L279+AdHoc!L554+AdHoc!L829+Medium_Press!L328+High_Press!L258+Dom_Meters!L279+Dom_Meters!L533+Com_Meters!L279+Com_Meters!L568+Net_Reg!L300+Net_Reg!L554+Cust_Reg!L279+Cust_Reg!L554+CP_SCADA!L307+CP_SCADA!L610+Aug!L293+Aug!L575+Cust_Conn!L263+Cust_Conn!L520+Cust_Conn!L775+Cust_Conn!L1030+New_Towns!L258+New_Towns!L513+New_Towns!L781+IT!L384+Other!L258</f>
        <v>0</v>
      </c>
      <c r="M254" s="81">
        <f ca="1">Low_Press!M335+AdHoc!M279+AdHoc!M554+AdHoc!M829+Medium_Press!M328+High_Press!M258+Dom_Meters!M279+Dom_Meters!M533+Com_Meters!M279+Com_Meters!M568+Net_Reg!M300+Net_Reg!M554+Cust_Reg!M279+Cust_Reg!M554+CP_SCADA!M307+CP_SCADA!M610+Aug!M293+Aug!M575+Cust_Conn!M263+Cust_Conn!M520+Cust_Conn!M775+Cust_Conn!M1030+New_Towns!M258+New_Towns!M513+New_Towns!M781+IT!M384+Other!M258</f>
        <v>0</v>
      </c>
      <c r="N254" s="81">
        <f ca="1">Low_Press!N335+AdHoc!N279+AdHoc!N554+AdHoc!N829+Medium_Press!N328+High_Press!N258+Dom_Meters!N279+Dom_Meters!N533+Com_Meters!N279+Com_Meters!N568+Net_Reg!N300+Net_Reg!N554+Cust_Reg!N279+Cust_Reg!N554+CP_SCADA!N307+CP_SCADA!N610+Aug!N293+Aug!N575+Cust_Conn!N263+Cust_Conn!N520+Cust_Conn!N775+Cust_Conn!N1030+New_Towns!N258+New_Towns!N513+New_Towns!N781+IT!N384+Other!N258</f>
        <v>1741886.3074569409</v>
      </c>
      <c r="O254" s="81">
        <f ca="1">Low_Press!O335+AdHoc!O279+AdHoc!O554+AdHoc!O829+Medium_Press!O328+High_Press!O258+Dom_Meters!O279+Dom_Meters!O533+Com_Meters!O279+Com_Meters!O568+Net_Reg!O300+Net_Reg!O554+Cust_Reg!O279+Cust_Reg!O554+CP_SCADA!O307+CP_SCADA!O610+Aug!O293+Aug!O575+Cust_Conn!O263+Cust_Conn!O520+Cust_Conn!O775+Cust_Conn!O1030+New_Towns!O258+New_Towns!O513+New_Towns!O781+IT!O384+Other!O258</f>
        <v>1736216.1784804298</v>
      </c>
      <c r="P254" s="81">
        <f ca="1">Low_Press!P335+AdHoc!P279+AdHoc!P554+AdHoc!P829+Medium_Press!P328+High_Press!P258+Dom_Meters!P279+Dom_Meters!P533+Com_Meters!P279+Com_Meters!P568+Net_Reg!P300+Net_Reg!P554+Cust_Reg!P279+Cust_Reg!P554+CP_SCADA!P307+CP_SCADA!P610+Aug!P293+Aug!P575+Cust_Conn!P263+Cust_Conn!P520+Cust_Conn!P775+Cust_Conn!P1030+New_Towns!P258+New_Towns!P513+New_Towns!P781+IT!P384+Other!P258</f>
        <v>2962351.7592866276</v>
      </c>
      <c r="Q254" s="81">
        <f ca="1">Low_Press!Q335+AdHoc!Q279+AdHoc!Q554+AdHoc!Q829+Medium_Press!Q328+High_Press!Q258+Dom_Meters!Q279+Dom_Meters!Q533+Com_Meters!Q279+Com_Meters!Q568+Net_Reg!Q300+Net_Reg!Q554+Cust_Reg!Q279+Cust_Reg!Q554+CP_SCADA!Q307+CP_SCADA!Q610+Aug!Q293+Aug!Q575+Cust_Conn!Q263+Cust_Conn!Q520+Cust_Conn!Q775+Cust_Conn!Q1030+New_Towns!Q258+New_Towns!Q513+New_Towns!Q781+IT!Q384+Other!Q258</f>
        <v>3156602.7282030876</v>
      </c>
      <c r="R254" s="81">
        <f ca="1">Low_Press!R335+AdHoc!R279+AdHoc!R554+AdHoc!R829+Medium_Press!R328+High_Press!R258+Dom_Meters!R279+Dom_Meters!R533+Com_Meters!R279+Com_Meters!R568+Net_Reg!R300+Net_Reg!R554+Cust_Reg!R279+Cust_Reg!R554+CP_SCADA!R307+CP_SCADA!R610+Aug!R293+Aug!R575+Cust_Conn!R263+Cust_Conn!R520+Cust_Conn!R775+Cust_Conn!R1030+New_Towns!R258+New_Towns!R513+New_Towns!R781+IT!R384+Other!R258</f>
        <v>3444341.3821913023</v>
      </c>
      <c r="S254" s="81">
        <f ca="1">Low_Press!S335+AdHoc!S279+AdHoc!S554+AdHoc!S829+Medium_Press!S328+High_Press!S258+Dom_Meters!S279+Dom_Meters!S533+Com_Meters!S279+Com_Meters!S568+Net_Reg!S300+Net_Reg!S554+Cust_Reg!S279+Cust_Reg!S554+CP_SCADA!S307+CP_SCADA!S610+Aug!S293+Aug!S575+Cust_Conn!S263+Cust_Conn!S520+Cust_Conn!S775+Cust_Conn!S1030+New_Towns!S258+New_Towns!S513+New_Towns!S781+IT!S384+Other!S258</f>
        <v>3321838.418945774</v>
      </c>
      <c r="T254" s="81">
        <f ca="1">Low_Press!T335+AdHoc!T279+AdHoc!T554+AdHoc!T829+Medium_Press!T328+High_Press!T258+Dom_Meters!T279+Dom_Meters!T533+Com_Meters!T279+Com_Meters!T568+Net_Reg!T300+Net_Reg!T554+Cust_Reg!T279+Cust_Reg!T554+CP_SCADA!T307+CP_SCADA!T610+Aug!T293+Aug!T575+Cust_Conn!T263+Cust_Conn!T520+Cust_Conn!T775+Cust_Conn!T1030+New_Towns!T258+New_Towns!T513+New_Towns!T781+IT!T384+Other!T258</f>
        <v>2884086.6075560572</v>
      </c>
    </row>
    <row r="255" spans="4:20" s="41" customFormat="1" outlineLevel="1">
      <c r="F255" s="247" t="str">
        <f>GC!C81</f>
        <v>Buildings</v>
      </c>
      <c r="G255" s="247"/>
      <c r="H255" s="247"/>
      <c r="I255" s="247"/>
      <c r="J255" s="81">
        <f ca="1">Low_Press!J336+AdHoc!J280+AdHoc!J555+AdHoc!J830+Medium_Press!J329+High_Press!J259+Dom_Meters!J280+Dom_Meters!J534+Com_Meters!J280+Com_Meters!J569+Net_Reg!J301+Net_Reg!J555+Cust_Reg!J280+Cust_Reg!J555+CP_SCADA!J308+CP_SCADA!J611+Aug!J294+Aug!J576+Cust_Conn!J264+Cust_Conn!J521+Cust_Conn!J776+Cust_Conn!J1031+New_Towns!J259+New_Towns!J514+New_Towns!J782+IT!J385+Other!J259</f>
        <v>0</v>
      </c>
      <c r="K255" s="81">
        <f ca="1">Low_Press!K336+AdHoc!K280+AdHoc!K555+AdHoc!K830+Medium_Press!K329+High_Press!K259+Dom_Meters!K280+Dom_Meters!K534+Com_Meters!K280+Com_Meters!K569+Net_Reg!K301+Net_Reg!K555+Cust_Reg!K280+Cust_Reg!K555+CP_SCADA!K308+CP_SCADA!K611+Aug!K294+Aug!K576+Cust_Conn!K264+Cust_Conn!K521+Cust_Conn!K776+Cust_Conn!K1031+New_Towns!K259+New_Towns!K514+New_Towns!K782+IT!K385+Other!K259</f>
        <v>0</v>
      </c>
      <c r="L255" s="81">
        <f ca="1">Low_Press!L336+AdHoc!L280+AdHoc!L555+AdHoc!L830+Medium_Press!L329+High_Press!L259+Dom_Meters!L280+Dom_Meters!L534+Com_Meters!L280+Com_Meters!L569+Net_Reg!L301+Net_Reg!L555+Cust_Reg!L280+Cust_Reg!L555+CP_SCADA!L308+CP_SCADA!L611+Aug!L294+Aug!L576+Cust_Conn!L264+Cust_Conn!L521+Cust_Conn!L776+Cust_Conn!L1031+New_Towns!L259+New_Towns!L514+New_Towns!L782+IT!L385+Other!L259</f>
        <v>0</v>
      </c>
      <c r="M255" s="81">
        <f ca="1">Low_Press!M336+AdHoc!M280+AdHoc!M555+AdHoc!M830+Medium_Press!M329+High_Press!M259+Dom_Meters!M280+Dom_Meters!M534+Com_Meters!M280+Com_Meters!M569+Net_Reg!M301+Net_Reg!M555+Cust_Reg!M280+Cust_Reg!M555+CP_SCADA!M308+CP_SCADA!M611+Aug!M294+Aug!M576+Cust_Conn!M264+Cust_Conn!M521+Cust_Conn!M776+Cust_Conn!M1031+New_Towns!M259+New_Towns!M514+New_Towns!M782+IT!M385+Other!M259</f>
        <v>0</v>
      </c>
      <c r="N255" s="81">
        <f ca="1">Low_Press!N336+AdHoc!N280+AdHoc!N555+AdHoc!N830+Medium_Press!N329+High_Press!N259+Dom_Meters!N280+Dom_Meters!N534+Com_Meters!N280+Com_Meters!N569+Net_Reg!N301+Net_Reg!N555+Cust_Reg!N280+Cust_Reg!N555+CP_SCADA!N308+CP_SCADA!N611+Aug!N294+Aug!N576+Cust_Conn!N264+Cust_Conn!N521+Cust_Conn!N776+Cust_Conn!N1031+New_Towns!N259+New_Towns!N514+New_Towns!N782+IT!N385+Other!N259</f>
        <v>0</v>
      </c>
      <c r="O255" s="81">
        <f ca="1">Low_Press!O336+AdHoc!O280+AdHoc!O555+AdHoc!O830+Medium_Press!O329+High_Press!O259+Dom_Meters!O280+Dom_Meters!O534+Com_Meters!O280+Com_Meters!O569+Net_Reg!O301+Net_Reg!O555+Cust_Reg!O280+Cust_Reg!O555+CP_SCADA!O308+CP_SCADA!O611+Aug!O294+Aug!O576+Cust_Conn!O264+Cust_Conn!O521+Cust_Conn!O776+Cust_Conn!O1031+New_Towns!O259+New_Towns!O514+New_Towns!O782+IT!O385+Other!O259</f>
        <v>0</v>
      </c>
      <c r="P255" s="81">
        <f ca="1">Low_Press!P336+AdHoc!P280+AdHoc!P555+AdHoc!P830+Medium_Press!P329+High_Press!P259+Dom_Meters!P280+Dom_Meters!P534+Com_Meters!P280+Com_Meters!P569+Net_Reg!P301+Net_Reg!P555+Cust_Reg!P280+Cust_Reg!P555+CP_SCADA!P308+CP_SCADA!P611+Aug!P294+Aug!P576+Cust_Conn!P264+Cust_Conn!P521+Cust_Conn!P776+Cust_Conn!P1031+New_Towns!P259+New_Towns!P514+New_Towns!P782+IT!P385+Other!P259</f>
        <v>0</v>
      </c>
      <c r="Q255" s="81">
        <f ca="1">Low_Press!Q336+AdHoc!Q280+AdHoc!Q555+AdHoc!Q830+Medium_Press!Q329+High_Press!Q259+Dom_Meters!Q280+Dom_Meters!Q534+Com_Meters!Q280+Com_Meters!Q569+Net_Reg!Q301+Net_Reg!Q555+Cust_Reg!Q280+Cust_Reg!Q555+CP_SCADA!Q308+CP_SCADA!Q611+Aug!Q294+Aug!Q576+Cust_Conn!Q264+Cust_Conn!Q521+Cust_Conn!Q776+Cust_Conn!Q1031+New_Towns!Q259+New_Towns!Q514+New_Towns!Q782+IT!Q385+Other!Q259</f>
        <v>0</v>
      </c>
      <c r="R255" s="81">
        <f ca="1">Low_Press!R336+AdHoc!R280+AdHoc!R555+AdHoc!R830+Medium_Press!R329+High_Press!R259+Dom_Meters!R280+Dom_Meters!R534+Com_Meters!R280+Com_Meters!R569+Net_Reg!R301+Net_Reg!R555+Cust_Reg!R280+Cust_Reg!R555+CP_SCADA!R308+CP_SCADA!R611+Aug!R294+Aug!R576+Cust_Conn!R264+Cust_Conn!R521+Cust_Conn!R776+Cust_Conn!R1031+New_Towns!R259+New_Towns!R514+New_Towns!R782+IT!R385+Other!R259</f>
        <v>0</v>
      </c>
      <c r="S255" s="81">
        <f ca="1">Low_Press!S336+AdHoc!S280+AdHoc!S555+AdHoc!S830+Medium_Press!S329+High_Press!S259+Dom_Meters!S280+Dom_Meters!S534+Com_Meters!S280+Com_Meters!S569+Net_Reg!S301+Net_Reg!S555+Cust_Reg!S280+Cust_Reg!S555+CP_SCADA!S308+CP_SCADA!S611+Aug!S294+Aug!S576+Cust_Conn!S264+Cust_Conn!S521+Cust_Conn!S776+Cust_Conn!S1031+New_Towns!S259+New_Towns!S514+New_Towns!S782+IT!S385+Other!S259</f>
        <v>0</v>
      </c>
      <c r="T255" s="81">
        <f ca="1">Low_Press!T336+AdHoc!T280+AdHoc!T555+AdHoc!T830+Medium_Press!T329+High_Press!T259+Dom_Meters!T280+Dom_Meters!T534+Com_Meters!T280+Com_Meters!T569+Net_Reg!T301+Net_Reg!T555+Cust_Reg!T280+Cust_Reg!T555+CP_SCADA!T308+CP_SCADA!T611+Aug!T294+Aug!T576+Cust_Conn!T264+Cust_Conn!T521+Cust_Conn!T776+Cust_Conn!T1031+New_Towns!T259+New_Towns!T514+New_Towns!T782+IT!T385+Other!T259</f>
        <v>0</v>
      </c>
    </row>
    <row r="256" spans="4:20" s="41" customFormat="1" outlineLevel="1">
      <c r="F256" s="247" t="str">
        <f>GC!C82</f>
        <v>Other Assets</v>
      </c>
      <c r="G256" s="247"/>
      <c r="H256" s="247"/>
      <c r="I256" s="247"/>
      <c r="J256" s="81">
        <f ca="1">Low_Press!J337+AdHoc!J281+AdHoc!J556+AdHoc!J831+Medium_Press!J330+High_Press!J260+Dom_Meters!J281+Dom_Meters!J535+Com_Meters!J281+Com_Meters!J570+Net_Reg!J302+Net_Reg!J556+Cust_Reg!J281+Cust_Reg!J556+CP_SCADA!J309+CP_SCADA!J612+Aug!J295+Aug!J577+Cust_Conn!J265+Cust_Conn!J522+Cust_Conn!J777+Cust_Conn!J1032+New_Towns!J260+New_Towns!J515+New_Towns!J783+IT!J386+Other!J260</f>
        <v>0</v>
      </c>
      <c r="K256" s="81">
        <f ca="1">Low_Press!K337+AdHoc!K281+AdHoc!K556+AdHoc!K831+Medium_Press!K330+High_Press!K260+Dom_Meters!K281+Dom_Meters!K535+Com_Meters!K281+Com_Meters!K570+Net_Reg!K302+Net_Reg!K556+Cust_Reg!K281+Cust_Reg!K556+CP_SCADA!K309+CP_SCADA!K612+Aug!K295+Aug!K577+Cust_Conn!K265+Cust_Conn!K522+Cust_Conn!K777+Cust_Conn!K1032+New_Towns!K260+New_Towns!K515+New_Towns!K783+IT!K386+Other!K260</f>
        <v>0</v>
      </c>
      <c r="L256" s="81">
        <f ca="1">Low_Press!L337+AdHoc!L281+AdHoc!L556+AdHoc!L831+Medium_Press!L330+High_Press!L260+Dom_Meters!L281+Dom_Meters!L535+Com_Meters!L281+Com_Meters!L570+Net_Reg!L302+Net_Reg!L556+Cust_Reg!L281+Cust_Reg!L556+CP_SCADA!L309+CP_SCADA!L612+Aug!L295+Aug!L577+Cust_Conn!L265+Cust_Conn!L522+Cust_Conn!L777+Cust_Conn!L1032+New_Towns!L260+New_Towns!L515+New_Towns!L783+IT!L386+Other!L260</f>
        <v>0</v>
      </c>
      <c r="M256" s="81">
        <f ca="1">Low_Press!M337+AdHoc!M281+AdHoc!M556+AdHoc!M831+Medium_Press!M330+High_Press!M260+Dom_Meters!M281+Dom_Meters!M535+Com_Meters!M281+Com_Meters!M570+Net_Reg!M302+Net_Reg!M556+Cust_Reg!M281+Cust_Reg!M556+CP_SCADA!M309+CP_SCADA!M612+Aug!M295+Aug!M577+Cust_Conn!M265+Cust_Conn!M522+Cust_Conn!M777+Cust_Conn!M1032+New_Towns!M260+New_Towns!M515+New_Towns!M783+IT!M386+Other!M260</f>
        <v>0</v>
      </c>
      <c r="N256" s="81">
        <f ca="1">Low_Press!N337+AdHoc!N281+AdHoc!N556+AdHoc!N831+Medium_Press!N330+High_Press!N260+Dom_Meters!N281+Dom_Meters!N535+Com_Meters!N281+Com_Meters!N570+Net_Reg!N302+Net_Reg!N556+Cust_Reg!N281+Cust_Reg!N556+CP_SCADA!N309+CP_SCADA!N612+Aug!N295+Aug!N577+Cust_Conn!N265+Cust_Conn!N522+Cust_Conn!N777+Cust_Conn!N1032+New_Towns!N260+New_Towns!N515+New_Towns!N783+IT!N386+Other!N260</f>
        <v>18700325.6358268</v>
      </c>
      <c r="O256" s="81">
        <f ca="1">Low_Press!O337+AdHoc!O281+AdHoc!O556+AdHoc!O831+Medium_Press!O330+High_Press!O260+Dom_Meters!O281+Dom_Meters!O535+Com_Meters!O281+Com_Meters!O570+Net_Reg!O302+Net_Reg!O556+Cust_Reg!O281+Cust_Reg!O556+CP_SCADA!O309+CP_SCADA!O612+Aug!O295+Aug!O577+Cust_Conn!O265+Cust_Conn!O522+Cust_Conn!O777+Cust_Conn!O1032+New_Towns!O260+New_Towns!O515+New_Towns!O783+IT!O386+Other!O260</f>
        <v>6863542.9954305058</v>
      </c>
      <c r="P256" s="81">
        <f ca="1">Low_Press!P337+AdHoc!P281+AdHoc!P556+AdHoc!P831+Medium_Press!P330+High_Press!P260+Dom_Meters!P281+Dom_Meters!P535+Com_Meters!P281+Com_Meters!P570+Net_Reg!P302+Net_Reg!P556+Cust_Reg!P281+Cust_Reg!P556+CP_SCADA!P309+CP_SCADA!P612+Aug!P295+Aug!P577+Cust_Conn!P265+Cust_Conn!P522+Cust_Conn!P777+Cust_Conn!P1032+New_Towns!P260+New_Towns!P515+New_Towns!P783+IT!P386+Other!P260</f>
        <v>25194476.306972615</v>
      </c>
      <c r="Q256" s="81">
        <f ca="1">Low_Press!Q337+AdHoc!Q281+AdHoc!Q556+AdHoc!Q831+Medium_Press!Q330+High_Press!Q260+Dom_Meters!Q281+Dom_Meters!Q535+Com_Meters!Q281+Com_Meters!Q570+Net_Reg!Q302+Net_Reg!Q556+Cust_Reg!Q281+Cust_Reg!Q556+CP_SCADA!Q309+CP_SCADA!Q612+Aug!Q295+Aug!Q577+Cust_Conn!Q265+Cust_Conn!Q522+Cust_Conn!Q777+Cust_Conn!Q1032+New_Towns!Q260+New_Towns!Q515+New_Towns!Q783+IT!Q386+Other!Q260</f>
        <v>28666196.736965556</v>
      </c>
      <c r="R256" s="81">
        <f ca="1">Low_Press!R337+AdHoc!R281+AdHoc!R556+AdHoc!R831+Medium_Press!R330+High_Press!R260+Dom_Meters!R281+Dom_Meters!R535+Com_Meters!R281+Com_Meters!R570+Net_Reg!R302+Net_Reg!R556+Cust_Reg!R281+Cust_Reg!R556+CP_SCADA!R309+CP_SCADA!R612+Aug!R295+Aug!R577+Cust_Conn!R265+Cust_Conn!R522+Cust_Conn!R777+Cust_Conn!R1032+New_Towns!R260+New_Towns!R515+New_Towns!R783+IT!R386+Other!R260</f>
        <v>25667242.921567429</v>
      </c>
      <c r="S256" s="81">
        <f ca="1">Low_Press!S337+AdHoc!S281+AdHoc!S556+AdHoc!S831+Medium_Press!S330+High_Press!S260+Dom_Meters!S281+Dom_Meters!S535+Com_Meters!S281+Com_Meters!S570+Net_Reg!S302+Net_Reg!S556+Cust_Reg!S281+Cust_Reg!S556+CP_SCADA!S309+CP_SCADA!S612+Aug!S295+Aug!S577+Cust_Conn!S265+Cust_Conn!S522+Cust_Conn!S777+Cust_Conn!S1032+New_Towns!S260+New_Towns!S515+New_Towns!S783+IT!S386+Other!S260</f>
        <v>16110632.285520786</v>
      </c>
      <c r="T256" s="81">
        <f ca="1">Low_Press!T337+AdHoc!T281+AdHoc!T556+AdHoc!T831+Medium_Press!T330+High_Press!T260+Dom_Meters!T281+Dom_Meters!T535+Com_Meters!T281+Com_Meters!T570+Net_Reg!T302+Net_Reg!T556+Cust_Reg!T281+Cust_Reg!T556+CP_SCADA!T309+CP_SCADA!T612+Aug!T295+Aug!T577+Cust_Conn!T265+Cust_Conn!T522+Cust_Conn!T777+Cust_Conn!T1032+New_Towns!T260+New_Towns!T515+New_Towns!T783+IT!T386+Other!T260</f>
        <v>17011785.282132018</v>
      </c>
    </row>
    <row r="257" spans="3:20" s="41" customFormat="1" outlineLevel="1">
      <c r="F257" s="247" t="str">
        <f>GC!C83</f>
        <v>Repairs</v>
      </c>
      <c r="G257" s="247"/>
      <c r="H257" s="247"/>
      <c r="I257" s="247"/>
      <c r="J257" s="81">
        <f ca="1">Low_Press!J338+AdHoc!J282+AdHoc!J557+AdHoc!J832+Medium_Press!J331+High_Press!J261+Dom_Meters!J282+Dom_Meters!J536+Com_Meters!J282+Com_Meters!J571+Net_Reg!J303+Net_Reg!J557+Cust_Reg!J282+Cust_Reg!J557+CP_SCADA!J310+CP_SCADA!J613+Aug!J296+Aug!J578+Cust_Conn!J266+Cust_Conn!J523+Cust_Conn!J778+Cust_Conn!J1033+New_Towns!J261+New_Towns!J516+New_Towns!J784+IT!J387+Other!J261</f>
        <v>0</v>
      </c>
      <c r="K257" s="81">
        <f ca="1">Low_Press!K338+AdHoc!K282+AdHoc!K557+AdHoc!K832+Medium_Press!K331+High_Press!K261+Dom_Meters!K282+Dom_Meters!K536+Com_Meters!K282+Com_Meters!K571+Net_Reg!K303+Net_Reg!K557+Cust_Reg!K282+Cust_Reg!K557+CP_SCADA!K310+CP_SCADA!K613+Aug!K296+Aug!K578+Cust_Conn!K266+Cust_Conn!K523+Cust_Conn!K778+Cust_Conn!K1033+New_Towns!K261+New_Towns!K516+New_Towns!K784+IT!K387+Other!K261</f>
        <v>0</v>
      </c>
      <c r="L257" s="81">
        <f ca="1">Low_Press!L338+AdHoc!L282+AdHoc!L557+AdHoc!L832+Medium_Press!L331+High_Press!L261+Dom_Meters!L282+Dom_Meters!L536+Com_Meters!L282+Com_Meters!L571+Net_Reg!L303+Net_Reg!L557+Cust_Reg!L282+Cust_Reg!L557+CP_SCADA!L310+CP_SCADA!L613+Aug!L296+Aug!L578+Cust_Conn!L266+Cust_Conn!L523+Cust_Conn!L778+Cust_Conn!L1033+New_Towns!L261+New_Towns!L516+New_Towns!L784+IT!L387+Other!L261</f>
        <v>0</v>
      </c>
      <c r="M257" s="81">
        <f ca="1">Low_Press!M338+AdHoc!M282+AdHoc!M557+AdHoc!M832+Medium_Press!M331+High_Press!M261+Dom_Meters!M282+Dom_Meters!M536+Com_Meters!M282+Com_Meters!M571+Net_Reg!M303+Net_Reg!M557+Cust_Reg!M282+Cust_Reg!M557+CP_SCADA!M310+CP_SCADA!M613+Aug!M296+Aug!M578+Cust_Conn!M266+Cust_Conn!M523+Cust_Conn!M778+Cust_Conn!M1033+New_Towns!M261+New_Towns!M516+New_Towns!M784+IT!M387+Other!M261</f>
        <v>0</v>
      </c>
      <c r="N257" s="81">
        <f ca="1">Low_Press!N338+AdHoc!N282+AdHoc!N557+AdHoc!N832+Medium_Press!N331+High_Press!N261+Dom_Meters!N282+Dom_Meters!N536+Com_Meters!N282+Com_Meters!N571+Net_Reg!N303+Net_Reg!N557+Cust_Reg!N282+Cust_Reg!N557+CP_SCADA!N310+CP_SCADA!N613+Aug!N296+Aug!N578+Cust_Conn!N266+Cust_Conn!N523+Cust_Conn!N778+Cust_Conn!N1033+New_Towns!N261+New_Towns!N516+New_Towns!N784+IT!N387+Other!N261</f>
        <v>0</v>
      </c>
      <c r="O257" s="81">
        <f ca="1">Low_Press!O338+AdHoc!O282+AdHoc!O557+AdHoc!O832+Medium_Press!O331+High_Press!O261+Dom_Meters!O282+Dom_Meters!O536+Com_Meters!O282+Com_Meters!O571+Net_Reg!O303+Net_Reg!O557+Cust_Reg!O282+Cust_Reg!O557+CP_SCADA!O310+CP_SCADA!O613+Aug!O296+Aug!O578+Cust_Conn!O266+Cust_Conn!O523+Cust_Conn!O778+Cust_Conn!O1033+New_Towns!O261+New_Towns!O516+New_Towns!O784+IT!O387+Other!O261</f>
        <v>0</v>
      </c>
      <c r="P257" s="81">
        <f ca="1">Low_Press!P338+AdHoc!P282+AdHoc!P557+AdHoc!P832+Medium_Press!P331+High_Press!P261+Dom_Meters!P282+Dom_Meters!P536+Com_Meters!P282+Com_Meters!P571+Net_Reg!P303+Net_Reg!P557+Cust_Reg!P282+Cust_Reg!P557+CP_SCADA!P310+CP_SCADA!P613+Aug!P296+Aug!P578+Cust_Conn!P266+Cust_Conn!P523+Cust_Conn!P778+Cust_Conn!P1033+New_Towns!P261+New_Towns!P516+New_Towns!P784+IT!P387+Other!P261</f>
        <v>0</v>
      </c>
      <c r="Q257" s="81">
        <f ca="1">Low_Press!Q338+AdHoc!Q282+AdHoc!Q557+AdHoc!Q832+Medium_Press!Q331+High_Press!Q261+Dom_Meters!Q282+Dom_Meters!Q536+Com_Meters!Q282+Com_Meters!Q571+Net_Reg!Q303+Net_Reg!Q557+Cust_Reg!Q282+Cust_Reg!Q557+CP_SCADA!Q310+CP_SCADA!Q613+Aug!Q296+Aug!Q578+Cust_Conn!Q266+Cust_Conn!Q523+Cust_Conn!Q778+Cust_Conn!Q1033+New_Towns!Q261+New_Towns!Q516+New_Towns!Q784+IT!Q387+Other!Q261</f>
        <v>0</v>
      </c>
      <c r="R257" s="81">
        <f ca="1">Low_Press!R338+AdHoc!R282+AdHoc!R557+AdHoc!R832+Medium_Press!R331+High_Press!R261+Dom_Meters!R282+Dom_Meters!R536+Com_Meters!R282+Com_Meters!R571+Net_Reg!R303+Net_Reg!R557+Cust_Reg!R282+Cust_Reg!R557+CP_SCADA!R310+CP_SCADA!R613+Aug!R296+Aug!R578+Cust_Conn!R266+Cust_Conn!R523+Cust_Conn!R778+Cust_Conn!R1033+New_Towns!R261+New_Towns!R516+New_Towns!R784+IT!R387+Other!R261</f>
        <v>0</v>
      </c>
      <c r="S257" s="81">
        <f ca="1">Low_Press!S338+AdHoc!S282+AdHoc!S557+AdHoc!S832+Medium_Press!S331+High_Press!S261+Dom_Meters!S282+Dom_Meters!S536+Com_Meters!S282+Com_Meters!S571+Net_Reg!S303+Net_Reg!S557+Cust_Reg!S282+Cust_Reg!S557+CP_SCADA!S310+CP_SCADA!S613+Aug!S296+Aug!S578+Cust_Conn!S266+Cust_Conn!S523+Cust_Conn!S778+Cust_Conn!S1033+New_Towns!S261+New_Towns!S516+New_Towns!S784+IT!S387+Other!S261</f>
        <v>0</v>
      </c>
      <c r="T257" s="81">
        <f ca="1">Low_Press!T338+AdHoc!T282+AdHoc!T557+AdHoc!T832+Medium_Press!T331+High_Press!T261+Dom_Meters!T282+Dom_Meters!T536+Com_Meters!T282+Com_Meters!T571+Net_Reg!T303+Net_Reg!T557+Cust_Reg!T282+Cust_Reg!T557+CP_SCADA!T310+CP_SCADA!T613+Aug!T296+Aug!T578+Cust_Conn!T266+Cust_Conn!T523+Cust_Conn!T778+Cust_Conn!T1033+New_Towns!T261+New_Towns!T516+New_Towns!T784+IT!T387+Other!T261</f>
        <v>0</v>
      </c>
    </row>
    <row r="258" spans="3:20" s="41" customFormat="1" outlineLevel="1">
      <c r="F258" s="247" t="str">
        <f>GC!C84</f>
        <v>Land</v>
      </c>
      <c r="G258" s="247"/>
      <c r="H258" s="247"/>
      <c r="I258" s="247"/>
      <c r="J258" s="81">
        <f ca="1">Low_Press!J339+AdHoc!J283+AdHoc!J558+AdHoc!J833+Medium_Press!J332+High_Press!J262+Dom_Meters!J283+Dom_Meters!J537+Com_Meters!J283+Com_Meters!J572+Net_Reg!J304+Net_Reg!J558+Cust_Reg!J283+Cust_Reg!J558+CP_SCADA!J311+CP_SCADA!J614+Aug!J297+Aug!J579+Cust_Conn!J267+Cust_Conn!J524+Cust_Conn!J779+Cust_Conn!J1034+New_Towns!J262+New_Towns!J517+New_Towns!J785+IT!J388+Other!J262</f>
        <v>0</v>
      </c>
      <c r="K258" s="81">
        <f ca="1">Low_Press!K339+AdHoc!K283+AdHoc!K558+AdHoc!K833+Medium_Press!K332+High_Press!K262+Dom_Meters!K283+Dom_Meters!K537+Com_Meters!K283+Com_Meters!K572+Net_Reg!K304+Net_Reg!K558+Cust_Reg!K283+Cust_Reg!K558+CP_SCADA!K311+CP_SCADA!K614+Aug!K297+Aug!K579+Cust_Conn!K267+Cust_Conn!K524+Cust_Conn!K779+Cust_Conn!K1034+New_Towns!K262+New_Towns!K517+New_Towns!K785+IT!K388+Other!K262</f>
        <v>0</v>
      </c>
      <c r="L258" s="81">
        <f ca="1">Low_Press!L339+AdHoc!L283+AdHoc!L558+AdHoc!L833+Medium_Press!L332+High_Press!L262+Dom_Meters!L283+Dom_Meters!L537+Com_Meters!L283+Com_Meters!L572+Net_Reg!L304+Net_Reg!L558+Cust_Reg!L283+Cust_Reg!L558+CP_SCADA!L311+CP_SCADA!L614+Aug!L297+Aug!L579+Cust_Conn!L267+Cust_Conn!L524+Cust_Conn!L779+Cust_Conn!L1034+New_Towns!L262+New_Towns!L517+New_Towns!L785+IT!L388+Other!L262</f>
        <v>0</v>
      </c>
      <c r="M258" s="81">
        <f ca="1">Low_Press!M339+AdHoc!M283+AdHoc!M558+AdHoc!M833+Medium_Press!M332+High_Press!M262+Dom_Meters!M283+Dom_Meters!M537+Com_Meters!M283+Com_Meters!M572+Net_Reg!M304+Net_Reg!M558+Cust_Reg!M283+Cust_Reg!M558+CP_SCADA!M311+CP_SCADA!M614+Aug!M297+Aug!M579+Cust_Conn!M267+Cust_Conn!M524+Cust_Conn!M779+Cust_Conn!M1034+New_Towns!M262+New_Towns!M517+New_Towns!M785+IT!M388+Other!M262</f>
        <v>0</v>
      </c>
      <c r="N258" s="81">
        <f ca="1">Low_Press!N339+AdHoc!N283+AdHoc!N558+AdHoc!N833+Medium_Press!N332+High_Press!N262+Dom_Meters!N283+Dom_Meters!N537+Com_Meters!N283+Com_Meters!N572+Net_Reg!N304+Net_Reg!N558+Cust_Reg!N283+Cust_Reg!N558+CP_SCADA!N311+CP_SCADA!N614+Aug!N297+Aug!N579+Cust_Conn!N267+Cust_Conn!N524+Cust_Conn!N779+Cust_Conn!N1034+New_Towns!N262+New_Towns!N517+New_Towns!N785+IT!N388+Other!N262</f>
        <v>0</v>
      </c>
      <c r="O258" s="81">
        <f ca="1">Low_Press!O339+AdHoc!O283+AdHoc!O558+AdHoc!O833+Medium_Press!O332+High_Press!O262+Dom_Meters!O283+Dom_Meters!O537+Com_Meters!O283+Com_Meters!O572+Net_Reg!O304+Net_Reg!O558+Cust_Reg!O283+Cust_Reg!O558+CP_SCADA!O311+CP_SCADA!O614+Aug!O297+Aug!O579+Cust_Conn!O267+Cust_Conn!O524+Cust_Conn!O779+Cust_Conn!O1034+New_Towns!O262+New_Towns!O517+New_Towns!O785+IT!O388+Other!O262</f>
        <v>0</v>
      </c>
      <c r="P258" s="81">
        <f ca="1">Low_Press!P339+AdHoc!P283+AdHoc!P558+AdHoc!P833+Medium_Press!P332+High_Press!P262+Dom_Meters!P283+Dom_Meters!P537+Com_Meters!P283+Com_Meters!P572+Net_Reg!P304+Net_Reg!P558+Cust_Reg!P283+Cust_Reg!P558+CP_SCADA!P311+CP_SCADA!P614+Aug!P297+Aug!P579+Cust_Conn!P267+Cust_Conn!P524+Cust_Conn!P779+Cust_Conn!P1034+New_Towns!P262+New_Towns!P517+New_Towns!P785+IT!P388+Other!P262</f>
        <v>0</v>
      </c>
      <c r="Q258" s="81">
        <f ca="1">Low_Press!Q339+AdHoc!Q283+AdHoc!Q558+AdHoc!Q833+Medium_Press!Q332+High_Press!Q262+Dom_Meters!Q283+Dom_Meters!Q537+Com_Meters!Q283+Com_Meters!Q572+Net_Reg!Q304+Net_Reg!Q558+Cust_Reg!Q283+Cust_Reg!Q558+CP_SCADA!Q311+CP_SCADA!Q614+Aug!Q297+Aug!Q579+Cust_Conn!Q267+Cust_Conn!Q524+Cust_Conn!Q779+Cust_Conn!Q1034+New_Towns!Q262+New_Towns!Q517+New_Towns!Q785+IT!Q388+Other!Q262</f>
        <v>0</v>
      </c>
      <c r="R258" s="81">
        <f ca="1">Low_Press!R339+AdHoc!R283+AdHoc!R558+AdHoc!R833+Medium_Press!R332+High_Press!R262+Dom_Meters!R283+Dom_Meters!R537+Com_Meters!R283+Com_Meters!R572+Net_Reg!R304+Net_Reg!R558+Cust_Reg!R283+Cust_Reg!R558+CP_SCADA!R311+CP_SCADA!R614+Aug!R297+Aug!R579+Cust_Conn!R267+Cust_Conn!R524+Cust_Conn!R779+Cust_Conn!R1034+New_Towns!R262+New_Towns!R517+New_Towns!R785+IT!R388+Other!R262</f>
        <v>0</v>
      </c>
      <c r="S258" s="81">
        <f ca="1">Low_Press!S339+AdHoc!S283+AdHoc!S558+AdHoc!S833+Medium_Press!S332+High_Press!S262+Dom_Meters!S283+Dom_Meters!S537+Com_Meters!S283+Com_Meters!S572+Net_Reg!S304+Net_Reg!S558+Cust_Reg!S283+Cust_Reg!S558+CP_SCADA!S311+CP_SCADA!S614+Aug!S297+Aug!S579+Cust_Conn!S267+Cust_Conn!S524+Cust_Conn!S779+Cust_Conn!S1034+New_Towns!S262+New_Towns!S517+New_Towns!S785+IT!S388+Other!S262</f>
        <v>0</v>
      </c>
      <c r="T258" s="81">
        <f ca="1">Low_Press!T339+AdHoc!T283+AdHoc!T558+AdHoc!T833+Medium_Press!T332+High_Press!T262+Dom_Meters!T283+Dom_Meters!T537+Com_Meters!T283+Com_Meters!T572+Net_Reg!T304+Net_Reg!T558+Cust_Reg!T283+Cust_Reg!T558+CP_SCADA!T311+CP_SCADA!T614+Aug!T297+Aug!T579+Cust_Conn!T267+Cust_Conn!T524+Cust_Conn!T779+Cust_Conn!T1034+New_Towns!T262+New_Towns!T517+New_Towns!T785+IT!T388+Other!T262</f>
        <v>0</v>
      </c>
    </row>
    <row r="259" spans="3:20" s="41" customFormat="1" outlineLevel="1">
      <c r="F259" s="249" t="str">
        <f>"Total "&amp;E250</f>
        <v>Total Direct Costs + Overheads</v>
      </c>
      <c r="G259" s="249"/>
      <c r="H259" s="249"/>
      <c r="I259" s="249"/>
      <c r="J259" s="82">
        <f t="shared" ref="J259:T259" ca="1" si="19">SUM(J252:J258)</f>
        <v>0</v>
      </c>
      <c r="K259" s="82">
        <f t="shared" ca="1" si="19"/>
        <v>0</v>
      </c>
      <c r="L259" s="82">
        <f t="shared" ca="1" si="19"/>
        <v>0</v>
      </c>
      <c r="M259" s="82">
        <f t="shared" ca="1" si="19"/>
        <v>0</v>
      </c>
      <c r="N259" s="82">
        <f t="shared" ca="1" si="19"/>
        <v>102369449.87117787</v>
      </c>
      <c r="O259" s="82">
        <f t="shared" ca="1" si="19"/>
        <v>60187431.692997575</v>
      </c>
      <c r="P259" s="82">
        <f t="shared" ca="1" si="19"/>
        <v>111670869.16538733</v>
      </c>
      <c r="Q259" s="82">
        <f t="shared" ca="1" si="19"/>
        <v>115782153.05384918</v>
      </c>
      <c r="R259" s="82">
        <f t="shared" ca="1" si="19"/>
        <v>113308054.15449698</v>
      </c>
      <c r="S259" s="82">
        <f t="shared" ca="1" si="19"/>
        <v>101227438.49209861</v>
      </c>
      <c r="T259" s="82">
        <f t="shared" ca="1" si="19"/>
        <v>91629085.806791753</v>
      </c>
    </row>
    <row r="260" spans="3:20" s="41" customFormat="1" outlineLevel="1">
      <c r="C260" s="109"/>
      <c r="D260" s="109"/>
      <c r="E260" s="109"/>
      <c r="F260" s="109"/>
      <c r="G260" s="109"/>
      <c r="H260" s="109"/>
      <c r="I260" s="109"/>
      <c r="J260" s="109"/>
      <c r="K260" s="109"/>
      <c r="L260" s="109"/>
      <c r="M260" s="109"/>
      <c r="N260" s="109"/>
      <c r="O260" s="109"/>
      <c r="P260" s="109"/>
      <c r="Q260" s="109"/>
      <c r="R260" s="109"/>
      <c r="S260" s="109"/>
      <c r="T260" s="109"/>
    </row>
    <row r="261" spans="3:20" s="41" customFormat="1" outlineLevel="1"/>
    <row r="262" spans="3:20" s="41" customFormat="1" outlineLevel="1">
      <c r="D262" s="50" t="s">
        <v>19</v>
      </c>
    </row>
    <row r="263" spans="3:20" s="41" customFormat="1" ht="5.9" customHeight="1" outlineLevel="1"/>
    <row r="264" spans="3:20" s="41" customFormat="1" outlineLevel="1">
      <c r="F264" s="52" t="s">
        <v>349</v>
      </c>
      <c r="I264" s="130">
        <f ca="1">IF(ISERROR(SUM(J264:T264)),1,MIN(SUM(J264:T264),1))</f>
        <v>0</v>
      </c>
      <c r="J264" s="81">
        <f t="shared" ref="J264:T264" ca="1" si="20">J94-J117</f>
        <v>0</v>
      </c>
      <c r="K264" s="81">
        <f t="shared" ca="1" si="20"/>
        <v>0</v>
      </c>
      <c r="L264" s="81">
        <f t="shared" ca="1" si="20"/>
        <v>0</v>
      </c>
      <c r="M264" s="81">
        <f t="shared" ca="1" si="20"/>
        <v>0</v>
      </c>
      <c r="N264" s="81">
        <f t="shared" ca="1" si="20"/>
        <v>0</v>
      </c>
      <c r="O264" s="81">
        <f t="shared" ca="1" si="20"/>
        <v>0</v>
      </c>
      <c r="P264" s="81">
        <f t="shared" ca="1" si="20"/>
        <v>0</v>
      </c>
      <c r="Q264" s="81">
        <f t="shared" ca="1" si="20"/>
        <v>0</v>
      </c>
      <c r="R264" s="81">
        <f t="shared" ca="1" si="20"/>
        <v>0</v>
      </c>
      <c r="S264" s="81">
        <f t="shared" ca="1" si="20"/>
        <v>0</v>
      </c>
      <c r="T264" s="81">
        <f t="shared" ca="1" si="20"/>
        <v>0</v>
      </c>
    </row>
    <row r="265" spans="3:20" s="41" customFormat="1" outlineLevel="1">
      <c r="F265" s="52" t="s">
        <v>350</v>
      </c>
      <c r="J265" s="80">
        <f t="shared" ref="J265:T265" ca="1" si="21">J94-J198</f>
        <v>0</v>
      </c>
      <c r="K265" s="80">
        <f t="shared" ca="1" si="21"/>
        <v>0</v>
      </c>
      <c r="L265" s="80">
        <f t="shared" ca="1" si="21"/>
        <v>0</v>
      </c>
      <c r="M265" s="80">
        <f t="shared" ca="1" si="21"/>
        <v>0</v>
      </c>
      <c r="N265" s="80">
        <f t="shared" ca="1" si="21"/>
        <v>0</v>
      </c>
      <c r="O265" s="80">
        <f t="shared" ca="1" si="21"/>
        <v>0</v>
      </c>
      <c r="P265" s="80">
        <f t="shared" ca="1" si="21"/>
        <v>0</v>
      </c>
      <c r="Q265" s="80">
        <f t="shared" ca="1" si="21"/>
        <v>0</v>
      </c>
      <c r="R265" s="80">
        <f t="shared" ca="1" si="21"/>
        <v>0</v>
      </c>
      <c r="S265" s="80">
        <f t="shared" ca="1" si="21"/>
        <v>0</v>
      </c>
      <c r="T265" s="80">
        <f t="shared" ca="1" si="21"/>
        <v>0</v>
      </c>
    </row>
    <row r="266" spans="3:20" s="41" customFormat="1" outlineLevel="1">
      <c r="F266" s="52" t="s">
        <v>351</v>
      </c>
      <c r="J266" s="80">
        <f t="shared" ref="J266:T266" ca="1" si="22">J94-J248</f>
        <v>0</v>
      </c>
      <c r="K266" s="80">
        <f t="shared" ca="1" si="22"/>
        <v>0</v>
      </c>
      <c r="L266" s="80">
        <f t="shared" ca="1" si="22"/>
        <v>0</v>
      </c>
      <c r="M266" s="80">
        <f t="shared" ca="1" si="22"/>
        <v>0</v>
      </c>
      <c r="N266" s="80">
        <f t="shared" ca="1" si="22"/>
        <v>0</v>
      </c>
      <c r="O266" s="80">
        <f t="shared" ca="1" si="22"/>
        <v>0</v>
      </c>
      <c r="P266" s="80">
        <f t="shared" ca="1" si="22"/>
        <v>0</v>
      </c>
      <c r="Q266" s="80">
        <f t="shared" ca="1" si="22"/>
        <v>0</v>
      </c>
      <c r="R266" s="80">
        <f t="shared" ca="1" si="22"/>
        <v>0</v>
      </c>
      <c r="S266" s="80">
        <f t="shared" ca="1" si="22"/>
        <v>0</v>
      </c>
      <c r="T266" s="80">
        <f t="shared" ca="1" si="22"/>
        <v>0</v>
      </c>
    </row>
    <row r="267" spans="3:20" s="41" customFormat="1" ht="5.9" customHeight="1" outlineLevel="1"/>
    <row r="268" spans="3:20" s="41" customFormat="1" outlineLevel="1">
      <c r="F268" s="52" t="s">
        <v>352</v>
      </c>
      <c r="J268" s="80">
        <f t="shared" ref="J268:T268" ca="1" si="23">J157-J216</f>
        <v>0</v>
      </c>
      <c r="K268" s="80">
        <f t="shared" ca="1" si="23"/>
        <v>0</v>
      </c>
      <c r="L268" s="80">
        <f t="shared" ca="1" si="23"/>
        <v>0</v>
      </c>
      <c r="M268" s="80">
        <f t="shared" ca="1" si="23"/>
        <v>0</v>
      </c>
      <c r="N268" s="80">
        <f t="shared" ca="1" si="23"/>
        <v>0</v>
      </c>
      <c r="O268" s="80">
        <f t="shared" ca="1" si="23"/>
        <v>0</v>
      </c>
      <c r="P268" s="80">
        <f t="shared" ca="1" si="23"/>
        <v>0</v>
      </c>
      <c r="Q268" s="80">
        <f t="shared" ca="1" si="23"/>
        <v>0</v>
      </c>
      <c r="R268" s="80">
        <f t="shared" ca="1" si="23"/>
        <v>0</v>
      </c>
      <c r="S268" s="80">
        <f t="shared" ca="1" si="23"/>
        <v>0</v>
      </c>
      <c r="T268" s="80">
        <f t="shared" ca="1" si="23"/>
        <v>0</v>
      </c>
    </row>
    <row r="269" spans="3:20" s="41" customFormat="1" outlineLevel="1">
      <c r="F269" s="52" t="s">
        <v>353</v>
      </c>
      <c r="J269" s="80">
        <f t="shared" ref="J269:T269" ca="1" si="24">J157-J259</f>
        <v>0</v>
      </c>
      <c r="K269" s="80">
        <f t="shared" ca="1" si="24"/>
        <v>0</v>
      </c>
      <c r="L269" s="80">
        <f t="shared" ca="1" si="24"/>
        <v>0</v>
      </c>
      <c r="M269" s="80">
        <f t="shared" ca="1" si="24"/>
        <v>0</v>
      </c>
      <c r="N269" s="80">
        <f t="shared" ca="1" si="24"/>
        <v>0</v>
      </c>
      <c r="O269" s="80">
        <f t="shared" ca="1" si="24"/>
        <v>0</v>
      </c>
      <c r="P269" s="80">
        <f t="shared" ca="1" si="24"/>
        <v>0</v>
      </c>
      <c r="Q269" s="80">
        <f t="shared" ca="1" si="24"/>
        <v>0</v>
      </c>
      <c r="R269" s="80">
        <f t="shared" ca="1" si="24"/>
        <v>0</v>
      </c>
      <c r="S269" s="80">
        <f t="shared" ca="1" si="24"/>
        <v>0</v>
      </c>
      <c r="T269" s="80">
        <f t="shared" ca="1" si="24"/>
        <v>0</v>
      </c>
    </row>
  </sheetData>
  <sheetProtection formatColumns="0" formatRows="0"/>
  <mergeCells count="131">
    <mergeCell ref="F229:I229"/>
    <mergeCell ref="F230:I230"/>
    <mergeCell ref="F231:I231"/>
    <mergeCell ref="F232:I232"/>
    <mergeCell ref="F233:I233"/>
    <mergeCell ref="F234:I234"/>
    <mergeCell ref="F220:I220"/>
    <mergeCell ref="F221:I221"/>
    <mergeCell ref="F222:I222"/>
    <mergeCell ref="F223:I223"/>
    <mergeCell ref="F224:I224"/>
    <mergeCell ref="F225:I225"/>
    <mergeCell ref="F226:I226"/>
    <mergeCell ref="F227:I227"/>
    <mergeCell ref="F228:I228"/>
    <mergeCell ref="F112:I112"/>
    <mergeCell ref="F117:I117"/>
    <mergeCell ref="F132:I132"/>
    <mergeCell ref="F137:I137"/>
    <mergeCell ref="F121:I121"/>
    <mergeCell ref="F122:I122"/>
    <mergeCell ref="F146:I146"/>
    <mergeCell ref="F141:I141"/>
    <mergeCell ref="F142:I142"/>
    <mergeCell ref="F169:I169"/>
    <mergeCell ref="F171:I171"/>
    <mergeCell ref="F172:I172"/>
    <mergeCell ref="F174:I174"/>
    <mergeCell ref="F175:I175"/>
    <mergeCell ref="F176:I176"/>
    <mergeCell ref="F62:I62"/>
    <mergeCell ref="F101:I101"/>
    <mergeCell ref="F102:I102"/>
    <mergeCell ref="F103:I103"/>
    <mergeCell ref="F104:I104"/>
    <mergeCell ref="F94:I94"/>
    <mergeCell ref="F109:I109"/>
    <mergeCell ref="F110:I110"/>
    <mergeCell ref="F111:I111"/>
    <mergeCell ref="F131:I131"/>
    <mergeCell ref="F123:I123"/>
    <mergeCell ref="F151:I151"/>
    <mergeCell ref="F124:I124"/>
    <mergeCell ref="F125:I125"/>
    <mergeCell ref="F105:I105"/>
    <mergeCell ref="F106:I106"/>
    <mergeCell ref="F107:I107"/>
    <mergeCell ref="F108:I108"/>
    <mergeCell ref="F246:I246"/>
    <mergeCell ref="F214:I214"/>
    <mergeCell ref="F192:I192"/>
    <mergeCell ref="F197:I197"/>
    <mergeCell ref="F196:I196"/>
    <mergeCell ref="F191:I191"/>
    <mergeCell ref="F194:I194"/>
    <mergeCell ref="F143:I143"/>
    <mergeCell ref="F157:I157"/>
    <mergeCell ref="F147:I147"/>
    <mergeCell ref="F144:I144"/>
    <mergeCell ref="F184:I184"/>
    <mergeCell ref="F152:I152"/>
    <mergeCell ref="F145:I145"/>
    <mergeCell ref="F185:I185"/>
    <mergeCell ref="F186:I186"/>
    <mergeCell ref="F187:I187"/>
    <mergeCell ref="F177:I177"/>
    <mergeCell ref="F161:I161"/>
    <mergeCell ref="F162:I162"/>
    <mergeCell ref="F170:I170"/>
    <mergeCell ref="F163:I163"/>
    <mergeCell ref="F164:I164"/>
    <mergeCell ref="F168:I168"/>
    <mergeCell ref="F188:I188"/>
    <mergeCell ref="F189:I189"/>
    <mergeCell ref="F190:I190"/>
    <mergeCell ref="F195:I195"/>
    <mergeCell ref="F193:I193"/>
    <mergeCell ref="F211:I211"/>
    <mergeCell ref="F203:I203"/>
    <mergeCell ref="F204:I204"/>
    <mergeCell ref="F205:I205"/>
    <mergeCell ref="F202:I202"/>
    <mergeCell ref="F198:I198"/>
    <mergeCell ref="F259:I259"/>
    <mergeCell ref="F248:I248"/>
    <mergeCell ref="F206:I206"/>
    <mergeCell ref="F255:I255"/>
    <mergeCell ref="F207:I207"/>
    <mergeCell ref="F256:I256"/>
    <mergeCell ref="F208:I208"/>
    <mergeCell ref="F212:I212"/>
    <mergeCell ref="F213:I213"/>
    <mergeCell ref="F215:I215"/>
    <mergeCell ref="F247:I247"/>
    <mergeCell ref="F216:I216"/>
    <mergeCell ref="F241:I241"/>
    <mergeCell ref="F253:I253"/>
    <mergeCell ref="F254:I254"/>
    <mergeCell ref="F257:I257"/>
    <mergeCell ref="F209:I209"/>
    <mergeCell ref="F242:I242"/>
    <mergeCell ref="F243:I243"/>
    <mergeCell ref="F258:I258"/>
    <mergeCell ref="F210:I210"/>
    <mergeCell ref="F244:I244"/>
    <mergeCell ref="F245:I245"/>
    <mergeCell ref="F252:I252"/>
    <mergeCell ref="F153:I153"/>
    <mergeCell ref="F154:I154"/>
    <mergeCell ref="F155:I155"/>
    <mergeCell ref="F156:I156"/>
    <mergeCell ref="F173:I173"/>
    <mergeCell ref="F113:I113"/>
    <mergeCell ref="F114:I114"/>
    <mergeCell ref="F115:I115"/>
    <mergeCell ref="F116:I116"/>
    <mergeCell ref="F133:I133"/>
    <mergeCell ref="F126:I126"/>
    <mergeCell ref="F127:I127"/>
    <mergeCell ref="F148:I148"/>
    <mergeCell ref="F149:I149"/>
    <mergeCell ref="F150:I150"/>
    <mergeCell ref="F134:I134"/>
    <mergeCell ref="F135:I135"/>
    <mergeCell ref="F136:I136"/>
    <mergeCell ref="F128:I128"/>
    <mergeCell ref="F129:I129"/>
    <mergeCell ref="F130:I130"/>
    <mergeCell ref="F165:I165"/>
    <mergeCell ref="F166:I166"/>
    <mergeCell ref="F167:I167"/>
  </mergeCells>
  <conditionalFormatting sqref="I264">
    <cfRule type="cellIs" dxfId="659" priority="1" operator="notEqual">
      <formula>0</formula>
    </cfRule>
  </conditionalFormatting>
  <conditionalFormatting sqref="J264:T264">
    <cfRule type="cellIs" dxfId="658" priority="2" operator="notEqual">
      <formula>0</formula>
    </cfRule>
  </conditionalFormatting>
  <hyperlinks>
    <hyperlink ref="A1" location="HL_Home" tooltip="Go to Table of Contents" display="HL_Home" xr:uid="{C73E5451-33AE-4888-90D6-1EFA5CC23DCA}"/>
    <hyperlink ref="A2" location="HL_Err_Chk" tooltip="Go to Error Checks" display="HL_Err_Chk" xr:uid="{60BD133D-4BCE-4BD5-BE33-D5808522D13C}"/>
  </hyperlinks>
  <pageMargins left="0.39370078740157499" right="0.39370078740157499" top="0.59055118110236204" bottom="0.98425196850393704" header="0" footer="0.31496062992126"/>
  <pageSetup paperSize="9" orientation="landscape" r:id="rId1"/>
  <headerFooter>
    <oddFooter>&amp;L&amp;F
&amp;A
Printed: &amp;T on &amp;D&amp;CPage &amp;P of &amp;N</oddFooter>
  </headerFooter>
  <customProperties>
    <customPr name="EpmWorksheetKeyString_GUID" r:id="rId2"/>
  </customProperties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B50ACD-BF69-4392-9F40-1D0AA550AD2D}">
  <sheetPr>
    <pageSetUpPr autoPageBreaks="0" fitToPage="1"/>
  </sheetPr>
  <dimension ref="C9:G20"/>
  <sheetViews>
    <sheetView showGridLines="0" zoomScaleNormal="100" workbookViewId="0">
      <selection activeCell="I248" sqref="I248"/>
    </sheetView>
  </sheetViews>
  <sheetFormatPr defaultColWidth="11.59765625" defaultRowHeight="11.5"/>
  <cols>
    <col min="3" max="6" width="3.59765625" customWidth="1"/>
  </cols>
  <sheetData>
    <row r="9" spans="3:7" ht="14">
      <c r="C9" s="6" t="s">
        <v>117</v>
      </c>
    </row>
    <row r="10" spans="3:7" ht="13">
      <c r="C10" s="9" t="s">
        <v>113</v>
      </c>
    </row>
    <row r="11" spans="3:7" ht="13">
      <c r="C11" s="7" t="str">
        <f ca="1">Model_Name</f>
        <v>GAAR Capex Forecast</v>
      </c>
    </row>
    <row r="12" spans="3:7">
      <c r="C12" s="224" t="s">
        <v>8</v>
      </c>
      <c r="D12" s="224"/>
      <c r="E12" s="224"/>
      <c r="F12" s="224"/>
      <c r="G12" s="224"/>
    </row>
    <row r="13" spans="3:7">
      <c r="C13" s="8" t="s">
        <v>9</v>
      </c>
      <c r="D13" s="22" t="s">
        <v>24</v>
      </c>
    </row>
    <row r="17" spans="3:3">
      <c r="C17" s="1" t="s">
        <v>109</v>
      </c>
    </row>
    <row r="18" spans="3:3">
      <c r="C18" s="5" t="s">
        <v>110</v>
      </c>
    </row>
    <row r="19" spans="3:3">
      <c r="C19" s="5" t="s">
        <v>111</v>
      </c>
    </row>
    <row r="20" spans="3:3">
      <c r="C20" s="5" t="s">
        <v>112</v>
      </c>
    </row>
  </sheetData>
  <mergeCells count="1">
    <mergeCell ref="C12:G12"/>
  </mergeCells>
  <hyperlinks>
    <hyperlink ref="C13" location="HL_Sheet_Main_4" tooltip="Go to Previous Sheet" display="HL_Sheet_Main_4" xr:uid="{EAA92F5E-BC1C-4244-AA43-6AD4934C04A7}"/>
    <hyperlink ref="D13" location="HL_Sheet_Main_5" tooltip="Go to Next Sheet" display="HL_Sheet_Main_5" xr:uid="{48BDE441-6A3C-45A6-9233-65705928AB20}"/>
    <hyperlink ref="C12" location="HL_Home" tooltip="Go to Table of Contents" display="HL_Home" xr:uid="{4D8D12C0-0CA4-4998-9D25-96EBFFB7D6BC}"/>
  </hyperlinks>
  <pageMargins left="0.39370078740157499" right="0.39370078740157499" top="0.59055118110236204" bottom="0.98425196850393704" header="0" footer="0.31496062992126"/>
  <pageSetup paperSize="9" orientation="landscape" r:id="rId1"/>
  <headerFooter>
    <oddFooter>&amp;L&amp;F
&amp;A
Printed: &amp;T on &amp;D&amp;CPage &amp;P of &amp;N</oddFooter>
  </headerFooter>
  <customProperties>
    <customPr name="EpmWorksheetKeyString_GUID" r:id="rId2"/>
  </customPropertie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7BF80D-13E6-4867-85B2-DD30A18C0DE6}">
  <sheetPr>
    <pageSetUpPr autoPageBreaks="0"/>
  </sheetPr>
  <dimension ref="A1:T289"/>
  <sheetViews>
    <sheetView showGridLines="0" zoomScaleNormal="100" workbookViewId="0">
      <pane xSplit="9" ySplit="21" topLeftCell="J182" activePane="bottomRight" state="frozen"/>
      <selection activeCell="I248" sqref="I248"/>
      <selection pane="topRight" activeCell="I248" sqref="I248"/>
      <selection pane="bottomLeft" activeCell="I248" sqref="I248"/>
      <selection pane="bottomRight" activeCell="J186" sqref="J186"/>
    </sheetView>
  </sheetViews>
  <sheetFormatPr defaultColWidth="11.59765625" defaultRowHeight="11.5" outlineLevelRow="3"/>
  <cols>
    <col min="1" max="5" width="3.59765625" customWidth="1"/>
    <col min="6" max="7" width="15.59765625" customWidth="1"/>
    <col min="10" max="13" width="12.69921875" bestFit="1" customWidth="1"/>
    <col min="14" max="14" width="13.69921875" bestFit="1" customWidth="1"/>
    <col min="15" max="15" width="13.09765625" bestFit="1" customWidth="1"/>
    <col min="16" max="20" width="13.8984375" bestFit="1" customWidth="1"/>
  </cols>
  <sheetData>
    <row r="1" spans="1:20" ht="14">
      <c r="A1" s="10" t="s">
        <v>11</v>
      </c>
      <c r="B1" s="6" t="s">
        <v>330</v>
      </c>
    </row>
    <row r="2" spans="1:20" ht="13">
      <c r="A2" s="23" t="s">
        <v>26</v>
      </c>
      <c r="B2" s="7" t="str">
        <f ca="1">Model_Name</f>
        <v>GAAR Capex Forecast</v>
      </c>
    </row>
    <row r="3" spans="1:20" s="41" customFormat="1">
      <c r="B3" s="42"/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</row>
    <row r="4" spans="1:20" s="41" customFormat="1">
      <c r="B4" s="195" t="s">
        <v>74</v>
      </c>
      <c r="C4" s="196"/>
      <c r="D4" s="196"/>
      <c r="E4" s="196"/>
      <c r="F4" s="196"/>
      <c r="G4" s="196"/>
      <c r="H4" s="196"/>
      <c r="I4" s="196"/>
      <c r="J4" s="197">
        <f t="shared" ref="J4:T4" si="0">J8</f>
        <v>43465</v>
      </c>
      <c r="K4" s="197">
        <f t="shared" si="0"/>
        <v>43830</v>
      </c>
      <c r="L4" s="197">
        <f t="shared" si="0"/>
        <v>44196</v>
      </c>
      <c r="M4" s="197">
        <f t="shared" si="0"/>
        <v>44561</v>
      </c>
      <c r="N4" s="197">
        <f t="shared" si="0"/>
        <v>44926</v>
      </c>
      <c r="O4" s="121">
        <f t="shared" si="0"/>
        <v>45107</v>
      </c>
      <c r="P4" s="121">
        <f t="shared" si="0"/>
        <v>45473</v>
      </c>
      <c r="Q4" s="121">
        <f t="shared" si="0"/>
        <v>45838</v>
      </c>
      <c r="R4" s="121">
        <f t="shared" si="0"/>
        <v>46203</v>
      </c>
      <c r="S4" s="121">
        <f t="shared" si="0"/>
        <v>46568</v>
      </c>
      <c r="T4" s="121">
        <f t="shared" si="0"/>
        <v>46934</v>
      </c>
    </row>
    <row r="5" spans="1:20" s="41" customFormat="1">
      <c r="B5" s="152" t="s">
        <v>100</v>
      </c>
      <c r="C5" s="152"/>
      <c r="D5" s="152"/>
      <c r="E5" s="152"/>
      <c r="F5" s="152"/>
      <c r="G5" s="152"/>
      <c r="H5" s="152"/>
      <c r="I5" s="152"/>
      <c r="J5" s="153">
        <f t="shared" ref="J5:T5" si="1">YEAR(J8)</f>
        <v>2018</v>
      </c>
      <c r="K5" s="153">
        <f t="shared" si="1"/>
        <v>2019</v>
      </c>
      <c r="L5" s="153">
        <f t="shared" si="1"/>
        <v>2020</v>
      </c>
      <c r="M5" s="153">
        <f t="shared" si="1"/>
        <v>2021</v>
      </c>
      <c r="N5" s="153">
        <f t="shared" si="1"/>
        <v>2022</v>
      </c>
      <c r="O5" s="153">
        <f t="shared" si="1"/>
        <v>2023</v>
      </c>
      <c r="P5" s="153">
        <f t="shared" si="1"/>
        <v>2024</v>
      </c>
      <c r="Q5" s="153">
        <f t="shared" si="1"/>
        <v>2025</v>
      </c>
      <c r="R5" s="153">
        <f t="shared" si="1"/>
        <v>2026</v>
      </c>
      <c r="S5" s="153">
        <f t="shared" si="1"/>
        <v>2027</v>
      </c>
      <c r="T5" s="153">
        <f t="shared" si="1"/>
        <v>2028</v>
      </c>
    </row>
    <row r="6" spans="1:20" s="41" customFormat="1">
      <c r="B6" s="149" t="s">
        <v>91</v>
      </c>
      <c r="C6" s="149"/>
      <c r="D6" s="149"/>
      <c r="E6" s="149"/>
      <c r="F6" s="149"/>
      <c r="G6" s="149"/>
      <c r="H6" s="149"/>
      <c r="I6" s="149"/>
      <c r="J6" s="151" t="str">
        <f t="shared" ref="J6:T6" si="2">IF(J$17,"Actual","Forecast")</f>
        <v>Actual</v>
      </c>
      <c r="K6" s="151" t="str">
        <f t="shared" si="2"/>
        <v>Actual</v>
      </c>
      <c r="L6" s="151" t="str">
        <f t="shared" si="2"/>
        <v>Actual</v>
      </c>
      <c r="M6" s="151" t="str">
        <f t="shared" si="2"/>
        <v>Actual</v>
      </c>
      <c r="N6" s="151" t="str">
        <f t="shared" si="2"/>
        <v>Forecast</v>
      </c>
      <c r="O6" s="150" t="str">
        <f t="shared" si="2"/>
        <v>Forecast</v>
      </c>
      <c r="P6" s="150" t="str">
        <f t="shared" si="2"/>
        <v>Forecast</v>
      </c>
      <c r="Q6" s="150" t="str">
        <f t="shared" si="2"/>
        <v>Forecast</v>
      </c>
      <c r="R6" s="150" t="str">
        <f t="shared" si="2"/>
        <v>Forecast</v>
      </c>
      <c r="S6" s="150" t="str">
        <f t="shared" si="2"/>
        <v>Forecast</v>
      </c>
      <c r="T6" s="150" t="str">
        <f t="shared" si="2"/>
        <v>Forecast</v>
      </c>
    </row>
    <row r="7" spans="1:20" s="41" customFormat="1" hidden="1" outlineLevel="3">
      <c r="B7" s="42" t="s">
        <v>101</v>
      </c>
      <c r="C7" s="42"/>
      <c r="D7" s="42"/>
      <c r="E7" s="42"/>
      <c r="F7" s="42"/>
      <c r="G7" s="42"/>
      <c r="H7" s="42"/>
      <c r="I7" s="42"/>
      <c r="J7" s="204">
        <f>EDATE(Ts_Start_Date,(J10-1)*Ts_Mths_In_Yr)</f>
        <v>43101</v>
      </c>
      <c r="K7" s="204">
        <f>EDATE(Ts_Start_Date,(K10-1)*Ts_Mths_In_Yr)</f>
        <v>43466</v>
      </c>
      <c r="L7" s="204">
        <f>EDATE(Ts_Start_Date,(L10-1)*Ts_Mths_In_Yr)</f>
        <v>43831</v>
      </c>
      <c r="M7" s="204">
        <f>EDATE(Ts_Start_Date,(M10-1)*Ts_Mths_In_Yr)</f>
        <v>44197</v>
      </c>
      <c r="N7" s="204">
        <f>EDATE(Ts_Start_Date,(N10-1)*Ts_Mths_In_Yr)</f>
        <v>44562</v>
      </c>
      <c r="O7" s="204">
        <f>Ts_Stub_Start_Date</f>
        <v>44927</v>
      </c>
      <c r="P7" s="204">
        <f>EDATE(Ts_Forecast_Reg_Start_Date,(P16-1)*Ts_Mths_In_Yr)</f>
        <v>45108</v>
      </c>
      <c r="Q7" s="204">
        <f>EDATE(Ts_Forecast_Reg_Start_Date,(Q16-1)*Ts_Mths_In_Yr)</f>
        <v>45474</v>
      </c>
      <c r="R7" s="204">
        <f>EDATE(Ts_Forecast_Reg_Start_Date,(R16-1)*Ts_Mths_In_Yr)</f>
        <v>45839</v>
      </c>
      <c r="S7" s="204">
        <f>EDATE(Ts_Forecast_Reg_Start_Date,(S16-1)*Ts_Mths_In_Yr)</f>
        <v>46204</v>
      </c>
      <c r="T7" s="204">
        <f>EDATE(Ts_Forecast_Reg_Start_Date,(T16-1)*Ts_Mths_In_Yr)</f>
        <v>46569</v>
      </c>
    </row>
    <row r="8" spans="1:20" s="41" customFormat="1" hidden="1" outlineLevel="3">
      <c r="B8" s="42" t="s">
        <v>102</v>
      </c>
      <c r="C8" s="42"/>
      <c r="D8" s="42"/>
      <c r="E8" s="42"/>
      <c r="F8" s="42"/>
      <c r="G8" s="42"/>
      <c r="H8" s="42"/>
      <c r="I8" s="42"/>
      <c r="J8" s="204">
        <f>EOMONTH(J7,Ts_Mths_In_Yr-1)</f>
        <v>43465</v>
      </c>
      <c r="K8" s="204">
        <f>EOMONTH(K7,Ts_Mths_In_Yr-1)</f>
        <v>43830</v>
      </c>
      <c r="L8" s="204">
        <f>EOMONTH(L7,Ts_Mths_In_Yr-1)</f>
        <v>44196</v>
      </c>
      <c r="M8" s="204">
        <f>EOMONTH(M7,Ts_Mths_In_Yr-1)</f>
        <v>44561</v>
      </c>
      <c r="N8" s="204">
        <f>EOMONTH(N7,Ts_Mths_In_Yr-1)</f>
        <v>44926</v>
      </c>
      <c r="O8" s="204">
        <f>EOMONTH(O7,Ts_Stub_Length-1)</f>
        <v>45107</v>
      </c>
      <c r="P8" s="204">
        <f>EOMONTH(P7,Ts_Mths_In_Yr-1)</f>
        <v>45473</v>
      </c>
      <c r="Q8" s="204">
        <f>EOMONTH(Q7,Ts_Mths_In_Yr-1)</f>
        <v>45838</v>
      </c>
      <c r="R8" s="204">
        <f>EOMONTH(R7,Ts_Mths_In_Yr-1)</f>
        <v>46203</v>
      </c>
      <c r="S8" s="204">
        <f>EOMONTH(S7,Ts_Mths_In_Yr-1)</f>
        <v>46568</v>
      </c>
      <c r="T8" s="204">
        <f>EOMONTH(T7,Ts_Mths_In_Yr-1)</f>
        <v>46934</v>
      </c>
    </row>
    <row r="9" spans="1:20" s="41" customFormat="1" hidden="1" outlineLevel="3">
      <c r="B9" s="42" t="s">
        <v>87</v>
      </c>
      <c r="C9" s="42"/>
      <c r="D9" s="42"/>
      <c r="E9" s="42"/>
      <c r="F9" s="42"/>
      <c r="G9" s="42"/>
      <c r="H9" s="42"/>
      <c r="I9" s="42"/>
      <c r="J9" s="87">
        <f t="shared" ref="J9:T9" si="3">DATEDIF(J7,J8,"m")+1</f>
        <v>12</v>
      </c>
      <c r="K9" s="87">
        <f t="shared" si="3"/>
        <v>12</v>
      </c>
      <c r="L9" s="87">
        <f t="shared" si="3"/>
        <v>12</v>
      </c>
      <c r="M9" s="87">
        <f t="shared" si="3"/>
        <v>12</v>
      </c>
      <c r="N9" s="87">
        <f t="shared" si="3"/>
        <v>12</v>
      </c>
      <c r="O9" s="87">
        <f t="shared" si="3"/>
        <v>6</v>
      </c>
      <c r="P9" s="88">
        <f t="shared" si="3"/>
        <v>12</v>
      </c>
      <c r="Q9" s="88">
        <f t="shared" si="3"/>
        <v>12</v>
      </c>
      <c r="R9" s="88">
        <f t="shared" si="3"/>
        <v>12</v>
      </c>
      <c r="S9" s="88">
        <f t="shared" si="3"/>
        <v>12</v>
      </c>
      <c r="T9" s="88">
        <f t="shared" si="3"/>
        <v>12</v>
      </c>
    </row>
    <row r="10" spans="1:20" s="41" customFormat="1" hidden="1" outlineLevel="3">
      <c r="B10" s="42" t="s">
        <v>72</v>
      </c>
      <c r="C10" s="42"/>
      <c r="D10" s="42"/>
      <c r="E10" s="42"/>
      <c r="F10" s="42"/>
      <c r="G10" s="42"/>
      <c r="H10" s="42"/>
      <c r="I10" s="42"/>
      <c r="J10" s="44">
        <f>COLUMNS($J$10:J10)</f>
        <v>1</v>
      </c>
      <c r="K10" s="44">
        <f>COLUMNS($J$10:K10)</f>
        <v>2</v>
      </c>
      <c r="L10" s="44">
        <f>COLUMNS($J$10:L10)</f>
        <v>3</v>
      </c>
      <c r="M10" s="44">
        <f>COLUMNS($J$10:M10)</f>
        <v>4</v>
      </c>
      <c r="N10" s="44">
        <f>COLUMNS($J$10:N10)</f>
        <v>5</v>
      </c>
      <c r="O10" s="44">
        <f>COLUMNS($J$10:O10)</f>
        <v>6</v>
      </c>
      <c r="P10" s="44">
        <f>COLUMNS($J$10:P10)</f>
        <v>7</v>
      </c>
      <c r="Q10" s="44">
        <f>COLUMNS($J$10:Q10)</f>
        <v>8</v>
      </c>
      <c r="R10" s="44">
        <f>COLUMNS($J$10:R10)</f>
        <v>9</v>
      </c>
      <c r="S10" s="44">
        <f>COLUMNS($J$10:S10)</f>
        <v>10</v>
      </c>
      <c r="T10" s="44">
        <f>COLUMNS($J$10:T10)</f>
        <v>11</v>
      </c>
    </row>
    <row r="11" spans="1:20" s="41" customFormat="1" hidden="1" outlineLevel="3">
      <c r="B11" s="42" t="s">
        <v>76</v>
      </c>
      <c r="C11" s="42"/>
      <c r="D11" s="42"/>
      <c r="E11" s="42"/>
      <c r="F11" s="42"/>
      <c r="G11" s="42"/>
      <c r="H11" s="42"/>
      <c r="I11" s="42"/>
      <c r="J11" s="44">
        <f>(J12&lt;&gt;0)*1</f>
        <v>1</v>
      </c>
      <c r="K11" s="44">
        <f>(K12&lt;&gt;0)*1</f>
        <v>1</v>
      </c>
      <c r="L11" s="44">
        <f>(L12&lt;&gt;0)*1</f>
        <v>1</v>
      </c>
      <c r="M11" s="44">
        <f>(M12&lt;&gt;0)*1</f>
        <v>1</v>
      </c>
      <c r="N11" s="44">
        <f>(N12&lt;&gt;0)*1</f>
        <v>1</v>
      </c>
      <c r="O11" s="46">
        <v>0</v>
      </c>
      <c r="P11" s="46">
        <v>0</v>
      </c>
      <c r="Q11" s="46">
        <v>0</v>
      </c>
      <c r="R11" s="46">
        <v>0</v>
      </c>
      <c r="S11" s="46">
        <v>0</v>
      </c>
      <c r="T11" s="46">
        <v>0</v>
      </c>
    </row>
    <row r="12" spans="1:20" s="41" customFormat="1" hidden="1" outlineLevel="3">
      <c r="B12" s="42" t="s">
        <v>96</v>
      </c>
      <c r="C12" s="42"/>
      <c r="D12" s="42"/>
      <c r="E12" s="42"/>
      <c r="F12" s="42"/>
      <c r="G12" s="42"/>
      <c r="H12" s="42"/>
      <c r="I12" s="42"/>
      <c r="J12" s="44">
        <f>COLUMNS($J$10:J10)</f>
        <v>1</v>
      </c>
      <c r="K12" s="44">
        <f>COLUMNS($J$10:K10)</f>
        <v>2</v>
      </c>
      <c r="L12" s="44">
        <f>COLUMNS($J$10:L10)</f>
        <v>3</v>
      </c>
      <c r="M12" s="44">
        <f>COLUMNS($J$10:M10)</f>
        <v>4</v>
      </c>
      <c r="N12" s="44">
        <f>COLUMNS($J$10:N10)</f>
        <v>5</v>
      </c>
      <c r="O12" s="46">
        <v>0</v>
      </c>
      <c r="P12" s="46">
        <v>0</v>
      </c>
      <c r="Q12" s="46">
        <v>0</v>
      </c>
      <c r="R12" s="46">
        <v>0</v>
      </c>
      <c r="S12" s="46">
        <v>0</v>
      </c>
      <c r="T12" s="46">
        <v>0</v>
      </c>
    </row>
    <row r="13" spans="1:20" s="41" customFormat="1" hidden="1" outlineLevel="3">
      <c r="B13" s="42" t="s">
        <v>79</v>
      </c>
      <c r="C13" s="42"/>
      <c r="D13" s="42"/>
      <c r="E13" s="42"/>
      <c r="F13" s="42"/>
      <c r="G13" s="42"/>
      <c r="H13" s="42"/>
      <c r="I13" s="42"/>
      <c r="J13" s="46">
        <v>0</v>
      </c>
      <c r="K13" s="46">
        <v>0</v>
      </c>
      <c r="L13" s="46">
        <v>0</v>
      </c>
      <c r="M13" s="46">
        <v>0</v>
      </c>
      <c r="N13" s="46">
        <v>0</v>
      </c>
      <c r="O13" s="44">
        <f>(O14&lt;&gt;0)*1</f>
        <v>1</v>
      </c>
      <c r="P13" s="46">
        <v>0</v>
      </c>
      <c r="Q13" s="46">
        <v>0</v>
      </c>
      <c r="R13" s="46">
        <v>0</v>
      </c>
      <c r="S13" s="46">
        <v>0</v>
      </c>
      <c r="T13" s="46">
        <v>0</v>
      </c>
    </row>
    <row r="14" spans="1:20" s="41" customFormat="1" hidden="1" outlineLevel="3">
      <c r="B14" s="42" t="s">
        <v>97</v>
      </c>
      <c r="C14" s="42"/>
      <c r="D14" s="42"/>
      <c r="E14" s="42"/>
      <c r="F14" s="42"/>
      <c r="G14" s="42"/>
      <c r="H14" s="42"/>
      <c r="I14" s="42"/>
      <c r="J14" s="46">
        <v>0</v>
      </c>
      <c r="K14" s="46">
        <v>0</v>
      </c>
      <c r="L14" s="46">
        <v>0</v>
      </c>
      <c r="M14" s="46">
        <v>0</v>
      </c>
      <c r="N14" s="46">
        <v>0</v>
      </c>
      <c r="O14" s="44">
        <f>COLUMNS($O$14:O14)</f>
        <v>1</v>
      </c>
      <c r="P14" s="46">
        <v>0</v>
      </c>
      <c r="Q14" s="46">
        <v>0</v>
      </c>
      <c r="R14" s="46">
        <v>0</v>
      </c>
      <c r="S14" s="46">
        <v>0</v>
      </c>
      <c r="T14" s="46">
        <v>0</v>
      </c>
    </row>
    <row r="15" spans="1:20" s="41" customFormat="1" hidden="1" outlineLevel="3">
      <c r="B15" s="42" t="s">
        <v>82</v>
      </c>
      <c r="C15" s="42"/>
      <c r="D15" s="42"/>
      <c r="E15" s="42"/>
      <c r="F15" s="42"/>
      <c r="G15" s="42"/>
      <c r="H15" s="42"/>
      <c r="I15" s="42"/>
      <c r="J15" s="46">
        <v>0</v>
      </c>
      <c r="K15" s="46">
        <v>0</v>
      </c>
      <c r="L15" s="46">
        <v>0</v>
      </c>
      <c r="M15" s="46">
        <v>0</v>
      </c>
      <c r="N15" s="46">
        <v>0</v>
      </c>
      <c r="O15" s="46">
        <v>0</v>
      </c>
      <c r="P15" s="89">
        <f>(P16&lt;&gt;0)*1</f>
        <v>1</v>
      </c>
      <c r="Q15" s="89">
        <f>(Q16&lt;&gt;0)*1</f>
        <v>1</v>
      </c>
      <c r="R15" s="89">
        <f>(R16&lt;&gt;0)*1</f>
        <v>1</v>
      </c>
      <c r="S15" s="89">
        <f>(S16&lt;&gt;0)*1</f>
        <v>1</v>
      </c>
      <c r="T15" s="89">
        <f>(T16&lt;&gt;0)*1</f>
        <v>1</v>
      </c>
    </row>
    <row r="16" spans="1:20" s="41" customFormat="1" hidden="1" outlineLevel="3">
      <c r="B16" s="42" t="s">
        <v>98</v>
      </c>
      <c r="C16" s="42"/>
      <c r="D16" s="42"/>
      <c r="E16" s="42"/>
      <c r="F16" s="42"/>
      <c r="G16" s="42"/>
      <c r="H16" s="42"/>
      <c r="I16" s="42"/>
      <c r="J16" s="46">
        <v>0</v>
      </c>
      <c r="K16" s="46">
        <v>0</v>
      </c>
      <c r="L16" s="46">
        <v>0</v>
      </c>
      <c r="M16" s="46">
        <v>0</v>
      </c>
      <c r="N16" s="46">
        <v>0</v>
      </c>
      <c r="O16" s="46">
        <v>0</v>
      </c>
      <c r="P16" s="89">
        <f>COLUMNS($P$16:P16)</f>
        <v>1</v>
      </c>
      <c r="Q16" s="89">
        <f>COLUMNS($P$16:Q16)</f>
        <v>2</v>
      </c>
      <c r="R16" s="89">
        <f>COLUMNS($P$16:R16)</f>
        <v>3</v>
      </c>
      <c r="S16" s="89">
        <f>COLUMNS($P$16:S16)</f>
        <v>4</v>
      </c>
      <c r="T16" s="89">
        <f>COLUMNS($P$16:T16)</f>
        <v>5</v>
      </c>
    </row>
    <row r="17" spans="2:20" s="41" customFormat="1" hidden="1" outlineLevel="3">
      <c r="B17" s="42" t="s">
        <v>206</v>
      </c>
      <c r="C17" s="42"/>
      <c r="D17" s="42"/>
      <c r="E17" s="42"/>
      <c r="F17" s="42"/>
      <c r="G17" s="42"/>
      <c r="H17" s="42"/>
      <c r="I17" s="42"/>
      <c r="J17" s="89">
        <f t="shared" ref="J17:T17" si="4">IF(J$5&lt;=Ts_Last_Actual_Year,1,0)</f>
        <v>1</v>
      </c>
      <c r="K17" s="89">
        <f t="shared" si="4"/>
        <v>1</v>
      </c>
      <c r="L17" s="89">
        <f t="shared" si="4"/>
        <v>1</v>
      </c>
      <c r="M17" s="89">
        <f t="shared" si="4"/>
        <v>1</v>
      </c>
      <c r="N17" s="89">
        <f t="shared" si="4"/>
        <v>0</v>
      </c>
      <c r="O17" s="89">
        <f t="shared" si="4"/>
        <v>0</v>
      </c>
      <c r="P17" s="89">
        <f t="shared" si="4"/>
        <v>0</v>
      </c>
      <c r="Q17" s="89">
        <f t="shared" si="4"/>
        <v>0</v>
      </c>
      <c r="R17" s="89">
        <f t="shared" si="4"/>
        <v>0</v>
      </c>
      <c r="S17" s="89">
        <f t="shared" si="4"/>
        <v>0</v>
      </c>
      <c r="T17" s="89">
        <f t="shared" si="4"/>
        <v>0</v>
      </c>
    </row>
    <row r="18" spans="2:20" s="41" customFormat="1" hidden="1" outlineLevel="3">
      <c r="B18" s="42" t="s">
        <v>207</v>
      </c>
      <c r="C18" s="42"/>
      <c r="D18" s="42"/>
      <c r="E18" s="42"/>
      <c r="F18" s="42"/>
      <c r="G18" s="42"/>
      <c r="H18" s="42"/>
      <c r="I18" s="42"/>
      <c r="J18" s="89">
        <f t="shared" ref="J18:T18" si="5">IF(J$5&gt;Ts_Last_Actual_Year,1,0)</f>
        <v>0</v>
      </c>
      <c r="K18" s="89">
        <f t="shared" si="5"/>
        <v>0</v>
      </c>
      <c r="L18" s="89">
        <f t="shared" si="5"/>
        <v>0</v>
      </c>
      <c r="M18" s="89">
        <f t="shared" si="5"/>
        <v>0</v>
      </c>
      <c r="N18" s="89">
        <f t="shared" si="5"/>
        <v>1</v>
      </c>
      <c r="O18" s="44">
        <f t="shared" si="5"/>
        <v>1</v>
      </c>
      <c r="P18" s="44">
        <f t="shared" si="5"/>
        <v>1</v>
      </c>
      <c r="Q18" s="44">
        <f t="shared" si="5"/>
        <v>1</v>
      </c>
      <c r="R18" s="44">
        <f t="shared" si="5"/>
        <v>1</v>
      </c>
      <c r="S18" s="44">
        <f t="shared" si="5"/>
        <v>1</v>
      </c>
      <c r="T18" s="44">
        <f t="shared" si="5"/>
        <v>1</v>
      </c>
    </row>
    <row r="19" spans="2:20" s="41" customFormat="1" hidden="1" outlineLevel="3">
      <c r="B19" s="42" t="s">
        <v>208</v>
      </c>
      <c r="C19" s="42"/>
      <c r="D19" s="42"/>
      <c r="E19" s="42"/>
      <c r="F19" s="42"/>
      <c r="G19" s="42"/>
      <c r="H19" s="42"/>
      <c r="I19" s="42"/>
      <c r="J19" s="89">
        <f>SUM($J18:J18)</f>
        <v>0</v>
      </c>
      <c r="K19" s="89">
        <f>SUM($J18:K18)</f>
        <v>0</v>
      </c>
      <c r="L19" s="89">
        <f>SUM($J18:L18)</f>
        <v>0</v>
      </c>
      <c r="M19" s="89">
        <f>SUM($J18:M18)</f>
        <v>0</v>
      </c>
      <c r="N19" s="89">
        <f>SUM($J18:N18)</f>
        <v>1</v>
      </c>
      <c r="O19" s="44">
        <f>SUM($J18:O18)</f>
        <v>2</v>
      </c>
      <c r="P19" s="44">
        <f>SUM($J18:P18)</f>
        <v>3</v>
      </c>
      <c r="Q19" s="44">
        <f>SUM($J18:Q18)</f>
        <v>4</v>
      </c>
      <c r="R19" s="44">
        <f>SUM($J18:R18)</f>
        <v>5</v>
      </c>
      <c r="S19" s="44">
        <f>SUM($J18:S18)</f>
        <v>6</v>
      </c>
      <c r="T19" s="44">
        <f>SUM($J18:T18)</f>
        <v>7</v>
      </c>
    </row>
    <row r="20" spans="2:20" s="41" customFormat="1" hidden="1" outlineLevel="3">
      <c r="B20" s="42" t="s">
        <v>481</v>
      </c>
      <c r="C20" s="42"/>
      <c r="D20" s="42"/>
      <c r="E20" s="42"/>
      <c r="F20" s="42"/>
      <c r="G20" s="42"/>
      <c r="H20" s="42"/>
      <c r="I20" s="42"/>
      <c r="J20" s="88">
        <f t="shared" ref="J20:N20" si="6">J9/12</f>
        <v>1</v>
      </c>
      <c r="K20" s="88">
        <f t="shared" si="6"/>
        <v>1</v>
      </c>
      <c r="L20" s="88">
        <f t="shared" si="6"/>
        <v>1</v>
      </c>
      <c r="M20" s="88">
        <f t="shared" si="6"/>
        <v>1</v>
      </c>
      <c r="N20" s="88">
        <f t="shared" si="6"/>
        <v>1</v>
      </c>
      <c r="O20" s="88">
        <f>O9/12</f>
        <v>0.5</v>
      </c>
      <c r="P20" s="88">
        <f t="shared" ref="P20:T20" si="7">P9/12</f>
        <v>1</v>
      </c>
      <c r="Q20" s="88">
        <f t="shared" si="7"/>
        <v>1</v>
      </c>
      <c r="R20" s="88">
        <f t="shared" si="7"/>
        <v>1</v>
      </c>
      <c r="S20" s="88">
        <f t="shared" si="7"/>
        <v>1</v>
      </c>
      <c r="T20" s="88">
        <f t="shared" si="7"/>
        <v>1</v>
      </c>
    </row>
    <row r="21" spans="2:20" s="41" customFormat="1" hidden="1" outlineLevel="3">
      <c r="B21" s="42"/>
      <c r="C21" s="42"/>
      <c r="D21" s="42"/>
      <c r="E21" s="42"/>
      <c r="F21" s="42"/>
      <c r="G21" s="42"/>
      <c r="H21" s="42"/>
      <c r="I21" s="42"/>
      <c r="J21" s="42"/>
      <c r="K21" s="42"/>
      <c r="L21" s="42"/>
      <c r="M21" s="42"/>
      <c r="N21" s="42"/>
      <c r="O21" s="42"/>
      <c r="P21" s="42"/>
      <c r="Q21" s="42"/>
      <c r="R21" s="42"/>
      <c r="S21" s="42"/>
      <c r="T21" s="42"/>
    </row>
    <row r="22" spans="2:20" s="41" customFormat="1" collapsed="1"/>
    <row r="23" spans="2:20" s="41" customFormat="1">
      <c r="B23" s="47" t="s">
        <v>292</v>
      </c>
      <c r="C23" s="47"/>
      <c r="D23" s="47"/>
      <c r="E23" s="47"/>
      <c r="F23" s="47"/>
      <c r="G23" s="47"/>
      <c r="H23" s="47"/>
      <c r="I23" s="47"/>
      <c r="J23" s="47"/>
      <c r="K23" s="47"/>
      <c r="L23" s="47"/>
      <c r="M23" s="47"/>
      <c r="N23" s="47"/>
      <c r="O23" s="47"/>
      <c r="P23" s="47"/>
      <c r="Q23" s="47"/>
      <c r="R23" s="47"/>
      <c r="S23" s="47"/>
      <c r="T23" s="47"/>
    </row>
    <row r="24" spans="2:20" s="41" customFormat="1" outlineLevel="1"/>
    <row r="25" spans="2:20" s="41" customFormat="1" outlineLevel="1">
      <c r="D25" s="37" t="str">
        <f>'CapexSum$FY22'!D25</f>
        <v>Escalation Factor</v>
      </c>
      <c r="E25"/>
    </row>
    <row r="26" spans="2:20" s="41" customFormat="1" ht="5.9" customHeight="1" outlineLevel="1"/>
    <row r="27" spans="2:20" s="41" customFormat="1" outlineLevel="1">
      <c r="F27" s="177" t="str">
        <f>Rates!F31</f>
        <v>$2021/22 to $Nominal</v>
      </c>
      <c r="J27" s="100">
        <f>Rates!J31</f>
        <v>0</v>
      </c>
      <c r="K27" s="100">
        <f>Rates!K31</f>
        <v>0</v>
      </c>
      <c r="L27" s="100">
        <f>Rates!L31</f>
        <v>0</v>
      </c>
      <c r="M27" s="100">
        <f>Rates!M31</f>
        <v>0</v>
      </c>
      <c r="N27" s="100">
        <f>Rates!N31</f>
        <v>1</v>
      </c>
      <c r="O27" s="100">
        <f>Rates!O31</f>
        <v>1.0549999999999999</v>
      </c>
      <c r="P27" s="100">
        <f>Rates!P31</f>
        <v>1.0998375</v>
      </c>
      <c r="Q27" s="100">
        <f>Rates!Q31</f>
        <v>1.132832625</v>
      </c>
      <c r="R27" s="100">
        <f>Rates!R31</f>
        <v>1.1611534406249999</v>
      </c>
      <c r="S27" s="100">
        <f>Rates!S31</f>
        <v>1.1901822766406249</v>
      </c>
      <c r="T27" s="100">
        <f>Rates!T31</f>
        <v>1.2199368335566405</v>
      </c>
    </row>
    <row r="28" spans="2:20" outlineLevel="1"/>
    <row r="29" spans="2:20" outlineLevel="1"/>
    <row r="30" spans="2:20" outlineLevel="1">
      <c r="D30" s="37" t="str">
        <f>'CapexSum$FY22'!D30</f>
        <v>Capex by Workcode</v>
      </c>
    </row>
    <row r="31" spans="2:20" s="41" customFormat="1" ht="5.9" customHeight="1" outlineLevel="1"/>
    <row r="32" spans="2:20" s="41" customFormat="1" outlineLevel="1">
      <c r="E32" s="37" t="str">
        <f>'CapexSum$FY22'!E32</f>
        <v>Direct Capex (Unescalated)</v>
      </c>
    </row>
    <row r="33" spans="6:20" s="41" customFormat="1" ht="5.9" customHeight="1" outlineLevel="1"/>
    <row r="34" spans="6:20" s="41" customFormat="1" outlineLevel="1">
      <c r="F34" s="134">
        <f>GC!C8</f>
        <v>3001</v>
      </c>
      <c r="G34" s="103" t="str">
        <f>GC!F8</f>
        <v>Low Pressure Replacement - Planned</v>
      </c>
      <c r="J34" s="80">
        <f>'CapexSum$FY22'!J34*J$27</f>
        <v>0</v>
      </c>
      <c r="K34" s="80">
        <f>'CapexSum$FY22'!K34*K$27</f>
        <v>0</v>
      </c>
      <c r="L34" s="80">
        <f>'CapexSum$FY22'!L34*L$27</f>
        <v>0</v>
      </c>
      <c r="M34" s="80">
        <f>'CapexSum$FY22'!M34*M$27</f>
        <v>0</v>
      </c>
      <c r="N34" s="80">
        <f>'CapexSum$FY22'!N34*N$27</f>
        <v>17340833.066654302</v>
      </c>
      <c r="O34" s="80">
        <f>'CapexSum$FY22'!O34*O$27</f>
        <v>18249991.487149999</v>
      </c>
      <c r="P34" s="80">
        <f>'CapexSum$FY22'!P34*P$27</f>
        <v>24031870.245416775</v>
      </c>
      <c r="Q34" s="80">
        <f>'CapexSum$FY22'!Q34*Q$27</f>
        <v>20776779.064606875</v>
      </c>
      <c r="R34" s="80">
        <f>'CapexSum$FY22'!R34*R$27</f>
        <v>15120749.111438062</v>
      </c>
      <c r="S34" s="80">
        <f>'CapexSum$FY22'!S34*S$27</f>
        <v>16337453.584104363</v>
      </c>
      <c r="T34" s="80">
        <f>'CapexSum$FY22'!T34*T$27</f>
        <v>9894541.6759278439</v>
      </c>
    </row>
    <row r="35" spans="6:20" s="41" customFormat="1" outlineLevel="1">
      <c r="F35" s="134">
        <f>GC!C9</f>
        <v>3002</v>
      </c>
      <c r="G35" s="103" t="str">
        <f>GC!F9</f>
        <v>Low Pressure Replacement - Ad Hoc</v>
      </c>
      <c r="J35" s="80">
        <f>'CapexSum$FY22'!J35*J$27</f>
        <v>0</v>
      </c>
      <c r="K35" s="80">
        <f>'CapexSum$FY22'!K35*K$27</f>
        <v>0</v>
      </c>
      <c r="L35" s="80">
        <f>'CapexSum$FY22'!L35*L$27</f>
        <v>0</v>
      </c>
      <c r="M35" s="80">
        <f>'CapexSum$FY22'!M35*M$27</f>
        <v>0</v>
      </c>
      <c r="N35" s="80">
        <f>'CapexSum$FY22'!N35*N$27</f>
        <v>491696.03074271942</v>
      </c>
      <c r="O35" s="80">
        <f>'CapexSum$FY22'!O35*O$27</f>
        <v>272527.59999999998</v>
      </c>
      <c r="P35" s="80">
        <f>'CapexSum$FY22'!P35*P$27</f>
        <v>568220.04599999997</v>
      </c>
      <c r="Q35" s="80">
        <f>'CapexSum$FY22'!Q35*Q$27</f>
        <v>468211.05223875004</v>
      </c>
      <c r="R35" s="80">
        <f>'CapexSum$FY22'!R35*R$27</f>
        <v>359934.34352493746</v>
      </c>
      <c r="S35" s="80">
        <f>'CapexSum$FY22'!S35*S$27</f>
        <v>245963.06929055156</v>
      </c>
      <c r="T35" s="80">
        <f>'CapexSum$FY22'!T35*T$27</f>
        <v>126056.07301140766</v>
      </c>
    </row>
    <row r="36" spans="6:20" s="41" customFormat="1" outlineLevel="1">
      <c r="F36" s="134">
        <f>GC!C10</f>
        <v>3003</v>
      </c>
      <c r="G36" s="103" t="str">
        <f>GC!F10</f>
        <v>Medium Pressure Replacement - Planned</v>
      </c>
      <c r="J36" s="80">
        <f>'CapexSum$FY22'!J36*J$27</f>
        <v>0</v>
      </c>
      <c r="K36" s="80">
        <f>'CapexSum$FY22'!K36*K$27</f>
        <v>0</v>
      </c>
      <c r="L36" s="80">
        <f>'CapexSum$FY22'!L36*L$27</f>
        <v>0</v>
      </c>
      <c r="M36" s="80">
        <f>'CapexSum$FY22'!M36*M$27</f>
        <v>0</v>
      </c>
      <c r="N36" s="80">
        <f>'CapexSum$FY22'!N36*N$27</f>
        <v>396906.43742264062</v>
      </c>
      <c r="O36" s="80">
        <f>'CapexSum$FY22'!O36*O$27</f>
        <v>2110000</v>
      </c>
      <c r="P36" s="80">
        <f>'CapexSum$FY22'!P36*P$27</f>
        <v>2067694.5</v>
      </c>
      <c r="Q36" s="80">
        <f>'CapexSum$FY22'!Q36*Q$27</f>
        <v>3568422.7687500003</v>
      </c>
      <c r="R36" s="80">
        <f>'CapexSum$FY22'!R36*R$27</f>
        <v>7228180.1678906241</v>
      </c>
      <c r="S36" s="80">
        <f>'CapexSum$FY22'!S36*S$27</f>
        <v>10602143.720314687</v>
      </c>
      <c r="T36" s="80">
        <f>'CapexSum$FY22'!T36*T$27</f>
        <v>8078421.7118120734</v>
      </c>
    </row>
    <row r="37" spans="6:20" s="41" customFormat="1" outlineLevel="1">
      <c r="F37" s="134">
        <f>GC!C11</f>
        <v>3004</v>
      </c>
      <c r="G37" s="103" t="str">
        <f>GC!F11</f>
        <v>Medium Pressure Replacement - Ad Hoc</v>
      </c>
      <c r="J37" s="80">
        <f>'CapexSum$FY22'!J37*J$27</f>
        <v>0</v>
      </c>
      <c r="K37" s="80">
        <f>'CapexSum$FY22'!K37*K$27</f>
        <v>0</v>
      </c>
      <c r="L37" s="80">
        <f>'CapexSum$FY22'!L37*L$27</f>
        <v>0</v>
      </c>
      <c r="M37" s="80">
        <f>'CapexSum$FY22'!M37*M$27</f>
        <v>0</v>
      </c>
      <c r="N37" s="80">
        <f>'CapexSum$FY22'!N37*N$27</f>
        <v>281780.374862617</v>
      </c>
      <c r="O37" s="80">
        <f>'CapexSum$FY22'!O37*O$27</f>
        <v>146801.87146666661</v>
      </c>
      <c r="P37" s="80">
        <f>'CapexSum$FY22'!P37*P$27</f>
        <v>394291.74375000002</v>
      </c>
      <c r="Q37" s="80">
        <f>'CapexSum$FY22'!Q37*Q$27</f>
        <v>406120.49606249999</v>
      </c>
      <c r="R37" s="80">
        <f>'CapexSum$FY22'!R37*R$27</f>
        <v>416273.50846406247</v>
      </c>
      <c r="S37" s="80">
        <f>'CapexSum$FY22'!S37*S$27</f>
        <v>426680.34617566405</v>
      </c>
      <c r="T37" s="80">
        <f>'CapexSum$FY22'!T37*T$27</f>
        <v>437347.35483005561</v>
      </c>
    </row>
    <row r="38" spans="6:20" s="41" customFormat="1" outlineLevel="1">
      <c r="F38" s="134">
        <f>GC!C12</f>
        <v>3005</v>
      </c>
      <c r="G38" s="103" t="str">
        <f>GC!F12</f>
        <v>High Pressure Replacement - Planned</v>
      </c>
      <c r="J38" s="80">
        <f>'CapexSum$FY22'!J38*J$27</f>
        <v>0</v>
      </c>
      <c r="K38" s="80">
        <f>'CapexSum$FY22'!K38*K$27</f>
        <v>0</v>
      </c>
      <c r="L38" s="80">
        <f>'CapexSum$FY22'!L38*L$27</f>
        <v>0</v>
      </c>
      <c r="M38" s="80">
        <f>'CapexSum$FY22'!M38*M$27</f>
        <v>0</v>
      </c>
      <c r="N38" s="80">
        <f>'CapexSum$FY22'!N38*N$27</f>
        <v>0</v>
      </c>
      <c r="O38" s="80">
        <f>'CapexSum$FY22'!O38*O$27</f>
        <v>0</v>
      </c>
      <c r="P38" s="80">
        <f>'CapexSum$FY22'!P38*P$27</f>
        <v>2232670.125</v>
      </c>
      <c r="Q38" s="80">
        <f>'CapexSum$FY22'!Q38*Q$27</f>
        <v>2299650.2287500002</v>
      </c>
      <c r="R38" s="80">
        <f>'CapexSum$FY22'!R38*R$27</f>
        <v>2357141.4844687497</v>
      </c>
      <c r="S38" s="80">
        <f>'CapexSum$FY22'!S38*S$27</f>
        <v>2416070.0215804684</v>
      </c>
      <c r="T38" s="80">
        <f>'CapexSum$FY22'!T38*T$27</f>
        <v>2476471.7721199803</v>
      </c>
    </row>
    <row r="39" spans="6:20" s="41" customFormat="1" outlineLevel="1">
      <c r="F39" s="134">
        <f>GC!C13</f>
        <v>3006</v>
      </c>
      <c r="G39" s="103" t="str">
        <f>GC!F13</f>
        <v>High Pressure Replacement - Ad Hoc</v>
      </c>
      <c r="J39" s="80">
        <f>'CapexSum$FY22'!J39*J$27</f>
        <v>0</v>
      </c>
      <c r="K39" s="80">
        <f>'CapexSum$FY22'!K39*K$27</f>
        <v>0</v>
      </c>
      <c r="L39" s="80">
        <f>'CapexSum$FY22'!L39*L$27</f>
        <v>0</v>
      </c>
      <c r="M39" s="80">
        <f>'CapexSum$FY22'!M39*M$27</f>
        <v>0</v>
      </c>
      <c r="N39" s="80">
        <f>'CapexSum$FY22'!N39*N$27</f>
        <v>2214168.0266666687</v>
      </c>
      <c r="O39" s="80">
        <f>'CapexSum$FY22'!O39*O$27</f>
        <v>1067443.7249999999</v>
      </c>
      <c r="P39" s="80">
        <f>'CapexSum$FY22'!P39*P$27</f>
        <v>2225620.1666250001</v>
      </c>
      <c r="Q39" s="80">
        <f>'CapexSum$FY22'!Q39*Q$27</f>
        <v>2063148.76162875</v>
      </c>
      <c r="R39" s="80">
        <f>'CapexSum$FY22'!R39*R$27</f>
        <v>1903258.2160628436</v>
      </c>
      <c r="S39" s="80">
        <f>'CapexSum$FY22'!S39*S$27</f>
        <v>1755756.89450025</v>
      </c>
      <c r="T39" s="80">
        <f>'CapexSum$FY22'!T39*T$27</f>
        <v>1619685.7351764804</v>
      </c>
    </row>
    <row r="40" spans="6:20" s="41" customFormat="1" outlineLevel="1">
      <c r="F40" s="134">
        <f>GC!C14</f>
        <v>3007</v>
      </c>
      <c r="G40" s="103" t="str">
        <f>GC!F14</f>
        <v>Domestic Meters - Planned</v>
      </c>
      <c r="J40" s="80">
        <f>'CapexSum$FY22'!J40*J$27</f>
        <v>0</v>
      </c>
      <c r="K40" s="80">
        <f>'CapexSum$FY22'!K40*K$27</f>
        <v>0</v>
      </c>
      <c r="L40" s="80">
        <f>'CapexSum$FY22'!L40*L$27</f>
        <v>0</v>
      </c>
      <c r="M40" s="80">
        <f>'CapexSum$FY22'!M40*M$27</f>
        <v>0</v>
      </c>
      <c r="N40" s="80">
        <f>'CapexSum$FY22'!N40*N$27</f>
        <v>3204350.2706936467</v>
      </c>
      <c r="O40" s="80">
        <f>'CapexSum$FY22'!O40*O$27</f>
        <v>1992196.2321439998</v>
      </c>
      <c r="P40" s="80">
        <f>'CapexSum$FY22'!P40*P$27</f>
        <v>4153729.1440202398</v>
      </c>
      <c r="Q40" s="80">
        <f>'CapexSum$FY22'!Q40*Q$27</f>
        <v>5248288.7655800255</v>
      </c>
      <c r="R40" s="80">
        <f>'CapexSum$FY22'!R40*R$27</f>
        <v>5697168.4049526798</v>
      </c>
      <c r="S40" s="80">
        <f>'CapexSum$FY22'!S40*S$27</f>
        <v>4268561.5118943518</v>
      </c>
      <c r="T40" s="80">
        <f>'CapexSum$FY22'!T40*T$27</f>
        <v>3961216.2893281239</v>
      </c>
    </row>
    <row r="41" spans="6:20" s="41" customFormat="1" outlineLevel="1">
      <c r="F41" s="134">
        <f>GC!C15</f>
        <v>3008</v>
      </c>
      <c r="G41" s="103" t="str">
        <f>GC!F15</f>
        <v>Domestic Meters - Ad Hoc</v>
      </c>
      <c r="J41" s="80">
        <f>'CapexSum$FY22'!J41*J$27</f>
        <v>0</v>
      </c>
      <c r="K41" s="80">
        <f>'CapexSum$FY22'!K41*K$27</f>
        <v>0</v>
      </c>
      <c r="L41" s="80">
        <f>'CapexSum$FY22'!L41*L$27</f>
        <v>0</v>
      </c>
      <c r="M41" s="80">
        <f>'CapexSum$FY22'!M41*M$27</f>
        <v>0</v>
      </c>
      <c r="N41" s="80">
        <f>'CapexSum$FY22'!N41*N$27</f>
        <v>765787.0358946413</v>
      </c>
      <c r="O41" s="80">
        <f>'CapexSum$FY22'!O41*O$27</f>
        <v>399802.8</v>
      </c>
      <c r="P41" s="80">
        <f>'CapexSum$FY22'!P41*P$27</f>
        <v>833588.83799999999</v>
      </c>
      <c r="Q41" s="80">
        <f>'CapexSum$FY22'!Q41*Q$27</f>
        <v>858596.50314000004</v>
      </c>
      <c r="R41" s="80">
        <f>'CapexSum$FY22'!R41*R$27</f>
        <v>880061.41571849992</v>
      </c>
      <c r="S41" s="80">
        <f>'CapexSum$FY22'!S41*S$27</f>
        <v>902062.95111146243</v>
      </c>
      <c r="T41" s="80">
        <f>'CapexSum$FY22'!T41*T$27</f>
        <v>924614.52488924901</v>
      </c>
    </row>
    <row r="42" spans="6:20" s="41" customFormat="1" outlineLevel="1">
      <c r="F42" s="134">
        <f>GC!C16</f>
        <v>3009</v>
      </c>
      <c r="G42" s="103" t="str">
        <f>GC!F16</f>
        <v>Industrial &amp; Commercial Meters - Planned</v>
      </c>
      <c r="J42" s="80">
        <f>'CapexSum$FY22'!J42*J$27</f>
        <v>0</v>
      </c>
      <c r="K42" s="80">
        <f>'CapexSum$FY22'!K42*K$27</f>
        <v>0</v>
      </c>
      <c r="L42" s="80">
        <f>'CapexSum$FY22'!L42*L$27</f>
        <v>0</v>
      </c>
      <c r="M42" s="80">
        <f>'CapexSum$FY22'!M42*M$27</f>
        <v>0</v>
      </c>
      <c r="N42" s="80">
        <f>'CapexSum$FY22'!N42*N$27</f>
        <v>843199.11110906955</v>
      </c>
      <c r="O42" s="80">
        <f>'CapexSum$FY22'!O42*O$27</f>
        <v>498379.88999999996</v>
      </c>
      <c r="P42" s="80">
        <f>'CapexSum$FY22'!P42*P$27</f>
        <v>1153820.8240125</v>
      </c>
      <c r="Q42" s="80">
        <f>'CapexSum$FY22'!Q42*Q$27</f>
        <v>1389456.5980391251</v>
      </c>
      <c r="R42" s="80">
        <f>'CapexSum$FY22'!R42*R$27</f>
        <v>1405871.1728504812</v>
      </c>
      <c r="S42" s="80">
        <f>'CapexSum$FY22'!S42*S$27</f>
        <v>1666152.8316210839</v>
      </c>
      <c r="T42" s="80">
        <f>'CapexSum$FY22'!T42*T$27</f>
        <v>1222153.4587832128</v>
      </c>
    </row>
    <row r="43" spans="6:20" s="41" customFormat="1" outlineLevel="1">
      <c r="F43" s="134">
        <f>GC!C17</f>
        <v>3010</v>
      </c>
      <c r="G43" s="103" t="str">
        <f>GC!F17</f>
        <v>Industrial &amp; Commercial Meters - Ad Hoc</v>
      </c>
      <c r="J43" s="80">
        <f>'CapexSum$FY22'!J43*J$27</f>
        <v>0</v>
      </c>
      <c r="K43" s="80">
        <f>'CapexSum$FY22'!K43*K$27</f>
        <v>0</v>
      </c>
      <c r="L43" s="80">
        <f>'CapexSum$FY22'!L43*L$27</f>
        <v>0</v>
      </c>
      <c r="M43" s="80">
        <f>'CapexSum$FY22'!M43*M$27</f>
        <v>0</v>
      </c>
      <c r="N43" s="80">
        <f>'CapexSum$FY22'!N43*N$27</f>
        <v>0</v>
      </c>
      <c r="O43" s="80">
        <f>'CapexSum$FY22'!O43*O$27</f>
        <v>154193.52499999999</v>
      </c>
      <c r="P43" s="80">
        <f>'CapexSum$FY22'!P43*P$27</f>
        <v>344590.08712500002</v>
      </c>
      <c r="Q43" s="80">
        <f>'CapexSum$FY22'!Q43*Q$27</f>
        <v>339198.40874062502</v>
      </c>
      <c r="R43" s="80">
        <f>'CapexSum$FY22'!R43*R$27</f>
        <v>656678.71681106242</v>
      </c>
      <c r="S43" s="80">
        <f>'CapexSum$FY22'!S43*S$27</f>
        <v>323318.96636080899</v>
      </c>
      <c r="T43" s="80">
        <f>'CapexSum$FY22'!T43*T$27</f>
        <v>318751.19555584679</v>
      </c>
    </row>
    <row r="44" spans="6:20" s="41" customFormat="1" outlineLevel="1">
      <c r="F44" s="134">
        <f>GC!C18</f>
        <v>3011</v>
      </c>
      <c r="G44" s="103" t="str">
        <f>GC!F18</f>
        <v>Network Regulators - Planned</v>
      </c>
      <c r="J44" s="80">
        <f>'CapexSum$FY22'!J44*J$27</f>
        <v>0</v>
      </c>
      <c r="K44" s="80">
        <f>'CapexSum$FY22'!K44*K$27</f>
        <v>0</v>
      </c>
      <c r="L44" s="80">
        <f>'CapexSum$FY22'!L44*L$27</f>
        <v>0</v>
      </c>
      <c r="M44" s="80">
        <f>'CapexSum$FY22'!M44*M$27</f>
        <v>0</v>
      </c>
      <c r="N44" s="80">
        <f>'CapexSum$FY22'!N44*N$27</f>
        <v>503129.992728554</v>
      </c>
      <c r="O44" s="80">
        <f>'CapexSum$FY22'!O44*O$27</f>
        <v>569700</v>
      </c>
      <c r="P44" s="80">
        <f>'CapexSum$FY22'!P44*P$27</f>
        <v>2386647.375</v>
      </c>
      <c r="Q44" s="80">
        <f>'CapexSum$FY22'!Q44*Q$27</f>
        <v>1993785.4200000002</v>
      </c>
      <c r="R44" s="80">
        <f>'CapexSum$FY22'!R44*R$27</f>
        <v>1753341.6953437498</v>
      </c>
      <c r="S44" s="80">
        <f>'CapexSum$FY22'!S44*S$27</f>
        <v>1928095.2881578123</v>
      </c>
      <c r="T44" s="80">
        <f>'CapexSum$FY22'!T44*T$27</f>
        <v>2317879.983757617</v>
      </c>
    </row>
    <row r="45" spans="6:20" s="41" customFormat="1" outlineLevel="1">
      <c r="F45" s="134">
        <f>GC!C19</f>
        <v>3012</v>
      </c>
      <c r="G45" s="103" t="str">
        <f>GC!F19</f>
        <v>Network Regulators - Ad Hoc</v>
      </c>
      <c r="J45" s="80">
        <f>'CapexSum$FY22'!J45*J$27</f>
        <v>0</v>
      </c>
      <c r="K45" s="80">
        <f>'CapexSum$FY22'!K45*K$27</f>
        <v>0</v>
      </c>
      <c r="L45" s="80">
        <f>'CapexSum$FY22'!L45*L$27</f>
        <v>0</v>
      </c>
      <c r="M45" s="80">
        <f>'CapexSum$FY22'!M45*M$27</f>
        <v>0</v>
      </c>
      <c r="N45" s="80">
        <f>'CapexSum$FY22'!N45*N$27</f>
        <v>100625.9985457108</v>
      </c>
      <c r="O45" s="80">
        <f>'CapexSum$FY22'!O45*O$27</f>
        <v>52750</v>
      </c>
      <c r="P45" s="80">
        <f>'CapexSum$FY22'!P45*P$27</f>
        <v>109983.75</v>
      </c>
      <c r="Q45" s="80">
        <f>'CapexSum$FY22'!Q45*Q$27</f>
        <v>113283.2625</v>
      </c>
      <c r="R45" s="80">
        <f>'CapexSum$FY22'!R45*R$27</f>
        <v>116115.34406249999</v>
      </c>
      <c r="S45" s="80">
        <f>'CapexSum$FY22'!S45*S$27</f>
        <v>119018.22766406249</v>
      </c>
      <c r="T45" s="80">
        <f>'CapexSum$FY22'!T45*T$27</f>
        <v>121993.68335566405</v>
      </c>
    </row>
    <row r="46" spans="6:20" s="41" customFormat="1" outlineLevel="1">
      <c r="F46" s="134">
        <f>GC!C20</f>
        <v>3013</v>
      </c>
      <c r="G46" s="103" t="str">
        <f>GC!F20</f>
        <v>Customer Regulators - Planned</v>
      </c>
      <c r="J46" s="80">
        <f>'CapexSum$FY22'!J46*J$27</f>
        <v>0</v>
      </c>
      <c r="K46" s="80">
        <f>'CapexSum$FY22'!K46*K$27</f>
        <v>0</v>
      </c>
      <c r="L46" s="80">
        <f>'CapexSum$FY22'!L46*L$27</f>
        <v>0</v>
      </c>
      <c r="M46" s="80">
        <f>'CapexSum$FY22'!M46*M$27</f>
        <v>0</v>
      </c>
      <c r="N46" s="80">
        <f>'CapexSum$FY22'!N46*N$27</f>
        <v>0</v>
      </c>
      <c r="O46" s="80">
        <f>'CapexSum$FY22'!O46*O$27</f>
        <v>584470</v>
      </c>
      <c r="P46" s="80">
        <f>'CapexSum$FY22'!P46*P$27</f>
        <v>1264785.6290625001</v>
      </c>
      <c r="Q46" s="80">
        <f>'CapexSum$FY22'!Q46*Q$27</f>
        <v>1139119.8460687501</v>
      </c>
      <c r="R46" s="80">
        <f>'CapexSum$FY22'!R46*R$27</f>
        <v>829353.84496640624</v>
      </c>
      <c r="S46" s="80">
        <f>'CapexSum$FY22'!S46*S$27</f>
        <v>781414.17372840224</v>
      </c>
      <c r="T46" s="80">
        <f>'CapexSum$FY22'!T46*T$27</f>
        <v>850021.48720142816</v>
      </c>
    </row>
    <row r="47" spans="6:20" s="41" customFormat="1" outlineLevel="1">
      <c r="F47" s="134">
        <f>GC!C21</f>
        <v>3014</v>
      </c>
      <c r="G47" s="103" t="str">
        <f>GC!F21</f>
        <v>Customer Regulators - Ad Hoc</v>
      </c>
      <c r="J47" s="80">
        <f>'CapexSum$FY22'!J47*J$27</f>
        <v>0</v>
      </c>
      <c r="K47" s="80">
        <f>'CapexSum$FY22'!K47*K$27</f>
        <v>0</v>
      </c>
      <c r="L47" s="80">
        <f>'CapexSum$FY22'!L47*L$27</f>
        <v>0</v>
      </c>
      <c r="M47" s="80">
        <f>'CapexSum$FY22'!M47*M$27</f>
        <v>0</v>
      </c>
      <c r="N47" s="80">
        <f>'CapexSum$FY22'!N47*N$27</f>
        <v>0</v>
      </c>
      <c r="O47" s="80">
        <f>'CapexSum$FY22'!O47*O$27</f>
        <v>923758</v>
      </c>
      <c r="P47" s="80">
        <f>'CapexSum$FY22'!P47*P$27</f>
        <v>1926035.43</v>
      </c>
      <c r="Q47" s="80">
        <f>'CapexSum$FY22'!Q47*Q$27</f>
        <v>1983816.4929</v>
      </c>
      <c r="R47" s="80">
        <f>'CapexSum$FY22'!R47*R$27</f>
        <v>2033411.9052225</v>
      </c>
      <c r="S47" s="80">
        <f>'CapexSum$FY22'!S47*S$27</f>
        <v>2084247.2028530624</v>
      </c>
      <c r="T47" s="80">
        <f>'CapexSum$FY22'!T47*T$27</f>
        <v>2136353.3829243886</v>
      </c>
    </row>
    <row r="48" spans="6:20" s="41" customFormat="1" outlineLevel="1">
      <c r="F48" s="134">
        <f>GC!C22</f>
        <v>3015</v>
      </c>
      <c r="G48" s="103" t="str">
        <f>GC!F22</f>
        <v>Cathodic Protection</v>
      </c>
      <c r="J48" s="80">
        <f>'CapexSum$FY22'!J48*J$27</f>
        <v>0</v>
      </c>
      <c r="K48" s="80">
        <f>'CapexSum$FY22'!K48*K$27</f>
        <v>0</v>
      </c>
      <c r="L48" s="80">
        <f>'CapexSum$FY22'!L48*L$27</f>
        <v>0</v>
      </c>
      <c r="M48" s="80">
        <f>'CapexSum$FY22'!M48*M$27</f>
        <v>0</v>
      </c>
      <c r="N48" s="80">
        <f>'CapexSum$FY22'!N48*N$27</f>
        <v>202503.22321251826</v>
      </c>
      <c r="O48" s="80">
        <f>'CapexSum$FY22'!O48*O$27</f>
        <v>202560</v>
      </c>
      <c r="P48" s="80">
        <f>'CapexSum$FY22'!P48*P$27</f>
        <v>422337.60000000003</v>
      </c>
      <c r="Q48" s="80">
        <f>'CapexSum$FY22'!Q48*Q$27</f>
        <v>457664.38050000003</v>
      </c>
      <c r="R48" s="80">
        <f>'CapexSum$FY22'!R48*R$27</f>
        <v>454010.99528437498</v>
      </c>
      <c r="S48" s="80">
        <f>'CapexSum$FY22'!S48*S$27</f>
        <v>465361.27016648435</v>
      </c>
      <c r="T48" s="80">
        <f>'CapexSum$FY22'!T48*T$27</f>
        <v>476995.30192064645</v>
      </c>
    </row>
    <row r="49" spans="5:20" s="41" customFormat="1" outlineLevel="1">
      <c r="F49" s="134">
        <f>GC!C23</f>
        <v>3016</v>
      </c>
      <c r="G49" s="103" t="str">
        <f>GC!F23</f>
        <v>SCADA</v>
      </c>
      <c r="J49" s="80">
        <f>'CapexSum$FY22'!J49*J$27</f>
        <v>0</v>
      </c>
      <c r="K49" s="80">
        <f>'CapexSum$FY22'!K49*K$27</f>
        <v>0</v>
      </c>
      <c r="L49" s="80">
        <f>'CapexSum$FY22'!L49*L$27</f>
        <v>0</v>
      </c>
      <c r="M49" s="80">
        <f>'CapexSum$FY22'!M49*M$27</f>
        <v>0</v>
      </c>
      <c r="N49" s="80">
        <f>'CapexSum$FY22'!N49*N$27</f>
        <v>1261735.9153766783</v>
      </c>
      <c r="O49" s="80">
        <f>'CapexSum$FY22'!O49*O$27</f>
        <v>147700</v>
      </c>
      <c r="P49" s="80">
        <f>'CapexSum$FY22'!P49*P$27</f>
        <v>1270312.3125</v>
      </c>
      <c r="Q49" s="80">
        <f>'CapexSum$FY22'!Q49*Q$27</f>
        <v>1251780.0506250001</v>
      </c>
      <c r="R49" s="80">
        <f>'CapexSum$FY22'!R49*R$27</f>
        <v>296094.12735937501</v>
      </c>
      <c r="S49" s="80">
        <f>'CapexSum$FY22'!S49*S$27</f>
        <v>276717.37931894528</v>
      </c>
      <c r="T49" s="80">
        <f>'CapexSum$FY22'!T49*T$27</f>
        <v>311083.89255694335</v>
      </c>
    </row>
    <row r="50" spans="5:20" s="41" customFormat="1" outlineLevel="1">
      <c r="F50" s="134">
        <f>GC!C24</f>
        <v>3017</v>
      </c>
      <c r="G50" s="103" t="str">
        <f>GC!F24</f>
        <v>Augmentation</v>
      </c>
      <c r="J50" s="80">
        <f>'CapexSum$FY22'!J50*J$27</f>
        <v>0</v>
      </c>
      <c r="K50" s="80">
        <f>'CapexSum$FY22'!K50*K$27</f>
        <v>0</v>
      </c>
      <c r="L50" s="80">
        <f>'CapexSum$FY22'!L50*L$27</f>
        <v>0</v>
      </c>
      <c r="M50" s="80">
        <f>'CapexSum$FY22'!M50*M$27</f>
        <v>0</v>
      </c>
      <c r="N50" s="80">
        <f>'CapexSum$FY22'!N50*N$27</f>
        <v>3589875.6988584171</v>
      </c>
      <c r="O50" s="80">
        <f>'CapexSum$FY22'!O50*O$27</f>
        <v>2634862.5</v>
      </c>
      <c r="P50" s="80">
        <f>'CapexSum$FY22'!P50*P$27</f>
        <v>5088948.1124999998</v>
      </c>
      <c r="Q50" s="80">
        <f>'CapexSum$FY22'!Q50*Q$27</f>
        <v>6915943.1756250001</v>
      </c>
      <c r="R50" s="80">
        <f>'CapexSum$FY22'!R50*R$27</f>
        <v>3931665.5499562495</v>
      </c>
      <c r="S50" s="80">
        <f>'CapexSum$FY22'!S50*S$27</f>
        <v>2356560.9077484375</v>
      </c>
      <c r="T50" s="80">
        <f>'CapexSum$FY22'!T50*T$27</f>
        <v>6569359.848702509</v>
      </c>
    </row>
    <row r="51" spans="5:20" s="41" customFormat="1" outlineLevel="1">
      <c r="F51" s="134">
        <f>GC!C25</f>
        <v>3018</v>
      </c>
      <c r="G51" s="103" t="str">
        <f>GC!F25</f>
        <v>Other Non-Demand</v>
      </c>
      <c r="J51" s="80">
        <f>'CapexSum$FY22'!J51*J$27</f>
        <v>0</v>
      </c>
      <c r="K51" s="80">
        <f>'CapexSum$FY22'!K51*K$27</f>
        <v>0</v>
      </c>
      <c r="L51" s="80">
        <f>'CapexSum$FY22'!L51*L$27</f>
        <v>0</v>
      </c>
      <c r="M51" s="80">
        <f>'CapexSum$FY22'!M51*M$27</f>
        <v>0</v>
      </c>
      <c r="N51" s="80">
        <f>'CapexSum$FY22'!N51*N$27</f>
        <v>0</v>
      </c>
      <c r="O51" s="80">
        <f>'CapexSum$FY22'!O51*O$27</f>
        <v>0</v>
      </c>
      <c r="P51" s="80">
        <f>'CapexSum$FY22'!P51*P$27</f>
        <v>598421.58374999999</v>
      </c>
      <c r="Q51" s="80">
        <f>'CapexSum$FY22'!Q51*Q$27</f>
        <v>1902371.491325625</v>
      </c>
      <c r="R51" s="80">
        <f>'CapexSum$FY22'!R51*R$27</f>
        <v>2955599.9677668749</v>
      </c>
      <c r="S51" s="80">
        <f>'CapexSum$FY22'!S51*S$27</f>
        <v>851494.48654155561</v>
      </c>
      <c r="T51" s="80">
        <f>'CapexSum$FY22'!T51*T$27</f>
        <v>146.39242002679686</v>
      </c>
    </row>
    <row r="52" spans="5:20" s="41" customFormat="1" outlineLevel="1">
      <c r="F52" s="134">
        <f>GC!C26</f>
        <v>3019</v>
      </c>
      <c r="G52" s="103" t="str">
        <f>GC!F26</f>
        <v>Residential Connections</v>
      </c>
      <c r="J52" s="80">
        <f>'CapexSum$FY22'!J52*J$27</f>
        <v>0</v>
      </c>
      <c r="K52" s="80">
        <f>'CapexSum$FY22'!K52*K$27</f>
        <v>0</v>
      </c>
      <c r="L52" s="80">
        <f>'CapexSum$FY22'!L52*L$27</f>
        <v>0</v>
      </c>
      <c r="M52" s="80">
        <f>'CapexSum$FY22'!M52*M$27</f>
        <v>0</v>
      </c>
      <c r="N52" s="80">
        <f>'CapexSum$FY22'!N52*N$27</f>
        <v>47697854.9240655</v>
      </c>
      <c r="O52" s="80">
        <f>'CapexSum$FY22'!O52*O$27</f>
        <v>20855464.181098431</v>
      </c>
      <c r="P52" s="80">
        <f>'CapexSum$FY22'!P52*P$27</f>
        <v>39958251.821638629</v>
      </c>
      <c r="Q52" s="80">
        <f>'CapexSum$FY22'!Q52*Q$27</f>
        <v>42441698.749661244</v>
      </c>
      <c r="R52" s="80">
        <f>'CapexSum$FY22'!R52*R$27</f>
        <v>44787940.974601164</v>
      </c>
      <c r="S52" s="80">
        <f>'CapexSum$FY22'!S52*S$27</f>
        <v>44783096.190567322</v>
      </c>
      <c r="T52" s="80">
        <f>'CapexSum$FY22'!T52*T$27</f>
        <v>44706675.678026408</v>
      </c>
    </row>
    <row r="53" spans="5:20" s="41" customFormat="1" outlineLevel="1">
      <c r="F53" s="134">
        <f>GC!C27</f>
        <v>3020</v>
      </c>
      <c r="G53" s="103" t="str">
        <f>GC!F27</f>
        <v>Industrial &amp; Commercial Connections</v>
      </c>
      <c r="J53" s="80">
        <f>'CapexSum$FY22'!J53*J$27</f>
        <v>0</v>
      </c>
      <c r="K53" s="80">
        <f>'CapexSum$FY22'!K53*K$27</f>
        <v>0</v>
      </c>
      <c r="L53" s="80">
        <f>'CapexSum$FY22'!L53*L$27</f>
        <v>0</v>
      </c>
      <c r="M53" s="80">
        <f>'CapexSum$FY22'!M53*M$27</f>
        <v>0</v>
      </c>
      <c r="N53" s="80">
        <f>'CapexSum$FY22'!N53*N$27</f>
        <v>2699784.4687852166</v>
      </c>
      <c r="O53" s="80">
        <f>'CapexSum$FY22'!O53*O$27</f>
        <v>3774353.8735499997</v>
      </c>
      <c r="P53" s="80">
        <f>'CapexSum$FY22'!P53*P$27</f>
        <v>5288382.4162612502</v>
      </c>
      <c r="Q53" s="80">
        <f>'CapexSum$FY22'!Q53*Q$27</f>
        <v>5546822.4865136473</v>
      </c>
      <c r="R53" s="80">
        <f>'CapexSum$FY22'!R53*R$27</f>
        <v>5785582.1761745512</v>
      </c>
      <c r="S53" s="80">
        <f>'CapexSum$FY22'!S53*S$27</f>
        <v>5851792.0272550266</v>
      </c>
      <c r="T53" s="80">
        <f>'CapexSum$FY22'!T53*T$27</f>
        <v>5914321.3901812769</v>
      </c>
    </row>
    <row r="54" spans="5:20" s="41" customFormat="1" outlineLevel="1">
      <c r="F54" s="134">
        <f>GC!C28</f>
        <v>3021</v>
      </c>
      <c r="G54" s="103" t="str">
        <f>GC!F28</f>
        <v>Industrial &amp; Commercial (Tariff D)</v>
      </c>
      <c r="J54" s="80">
        <f>'CapexSum$FY22'!J54*J$27</f>
        <v>0</v>
      </c>
      <c r="K54" s="80">
        <f>'CapexSum$FY22'!K54*K$27</f>
        <v>0</v>
      </c>
      <c r="L54" s="80">
        <f>'CapexSum$FY22'!L54*L$27</f>
        <v>0</v>
      </c>
      <c r="M54" s="80">
        <f>'CapexSum$FY22'!M54*M$27</f>
        <v>0</v>
      </c>
      <c r="N54" s="80">
        <f>'CapexSum$FY22'!N54*N$27</f>
        <v>802199.70711525122</v>
      </c>
      <c r="O54" s="80">
        <f>'CapexSum$FY22'!O54*O$27</f>
        <v>881384.28369999991</v>
      </c>
      <c r="P54" s="80">
        <f>'CapexSum$FY22'!P54*P$27</f>
        <v>1759344.21247725</v>
      </c>
      <c r="Q54" s="80">
        <f>'CapexSum$FY22'!Q54*Q$27</f>
        <v>1840673.4163406326</v>
      </c>
      <c r="R54" s="80">
        <f>'CapexSum$FY22'!R54*R$27</f>
        <v>1915250.2372285177</v>
      </c>
      <c r="S54" s="80">
        <f>'CapexSum$FY22'!S54*S$27</f>
        <v>1938141.6524604042</v>
      </c>
      <c r="T54" s="80">
        <f>'CapexSum$FY22'!T54*T$27</f>
        <v>1960017.4547261561</v>
      </c>
    </row>
    <row r="55" spans="5:20" s="41" customFormat="1" outlineLevel="1">
      <c r="F55" s="134">
        <f>GC!C29</f>
        <v>3022</v>
      </c>
      <c r="G55" s="103" t="str">
        <f>GC!F29</f>
        <v>Major Alterations</v>
      </c>
      <c r="J55" s="80">
        <f>'CapexSum$FY22'!J55*J$27</f>
        <v>0</v>
      </c>
      <c r="K55" s="80">
        <f>'CapexSum$FY22'!K55*K$27</f>
        <v>0</v>
      </c>
      <c r="L55" s="80">
        <f>'CapexSum$FY22'!L55*L$27</f>
        <v>0</v>
      </c>
      <c r="M55" s="80">
        <f>'CapexSum$FY22'!M55*M$27</f>
        <v>0</v>
      </c>
      <c r="N55" s="80">
        <f>'CapexSum$FY22'!N55*N$27</f>
        <v>953684.54962736613</v>
      </c>
      <c r="O55" s="80">
        <f>'CapexSum$FY22'!O55*O$27</f>
        <v>1657272.7451999998</v>
      </c>
      <c r="P55" s="80">
        <f>'CapexSum$FY22'!P55*P$27</f>
        <v>3259558.6151505001</v>
      </c>
      <c r="Q55" s="80">
        <f>'CapexSum$FY22'!Q55*Q$27</f>
        <v>3428717.5673276777</v>
      </c>
      <c r="R55" s="80">
        <f>'CapexSum$FY22'!R55*R$27</f>
        <v>3585835.4934323616</v>
      </c>
      <c r="S55" s="80">
        <f>'CapexSum$FY22'!S55*S$27</f>
        <v>3613006.7492665481</v>
      </c>
      <c r="T55" s="80">
        <f>'CapexSum$FY22'!T55*T$27</f>
        <v>3636887.5947825518</v>
      </c>
    </row>
    <row r="56" spans="5:20" s="41" customFormat="1" outlineLevel="1">
      <c r="F56" s="134">
        <f>GC!C30</f>
        <v>3023</v>
      </c>
      <c r="G56" s="103" t="str">
        <f>GC!F30</f>
        <v>Extensions - New Towns</v>
      </c>
      <c r="J56" s="80">
        <f>'CapexSum$FY22'!J56*J$27</f>
        <v>0</v>
      </c>
      <c r="K56" s="80">
        <f>'CapexSum$FY22'!K56*K$27</f>
        <v>0</v>
      </c>
      <c r="L56" s="80">
        <f>'CapexSum$FY22'!L56*L$27</f>
        <v>0</v>
      </c>
      <c r="M56" s="80">
        <f>'CapexSum$FY22'!M56*M$27</f>
        <v>0</v>
      </c>
      <c r="N56" s="80">
        <f>'CapexSum$FY22'!N56*N$27</f>
        <v>0</v>
      </c>
      <c r="O56" s="80">
        <f>'CapexSum$FY22'!O56*O$27</f>
        <v>0</v>
      </c>
      <c r="P56" s="80">
        <f>'CapexSum$FY22'!P56*P$27</f>
        <v>0</v>
      </c>
      <c r="Q56" s="80">
        <f>'CapexSum$FY22'!Q56*Q$27</f>
        <v>0</v>
      </c>
      <c r="R56" s="80">
        <f>'CapexSum$FY22'!R56*R$27</f>
        <v>0</v>
      </c>
      <c r="S56" s="80">
        <f>'CapexSum$FY22'!S56*S$27</f>
        <v>0</v>
      </c>
      <c r="T56" s="80">
        <f>'CapexSum$FY22'!T56*T$27</f>
        <v>0</v>
      </c>
    </row>
    <row r="57" spans="5:20" s="41" customFormat="1" outlineLevel="1">
      <c r="F57" s="134">
        <f>GC!C31</f>
        <v>3024</v>
      </c>
      <c r="G57" s="103" t="str">
        <f>GC!F31</f>
        <v>Extensions - Other</v>
      </c>
      <c r="J57" s="80">
        <f>'CapexSum$FY22'!J57*J$27</f>
        <v>0</v>
      </c>
      <c r="K57" s="80">
        <f>'CapexSum$FY22'!K57*K$27</f>
        <v>0</v>
      </c>
      <c r="L57" s="80">
        <f>'CapexSum$FY22'!L57*L$27</f>
        <v>0</v>
      </c>
      <c r="M57" s="80">
        <f>'CapexSum$FY22'!M57*M$27</f>
        <v>0</v>
      </c>
      <c r="N57" s="80">
        <f>'CapexSum$FY22'!N57*N$27</f>
        <v>8226516.2891243435</v>
      </c>
      <c r="O57" s="80">
        <f>'CapexSum$FY22'!O57*O$27</f>
        <v>446265</v>
      </c>
      <c r="P57" s="80">
        <f>'CapexSum$FY22'!P57*P$27</f>
        <v>0</v>
      </c>
      <c r="Q57" s="80">
        <f>'CapexSum$FY22'!Q57*Q$27</f>
        <v>0</v>
      </c>
      <c r="R57" s="80">
        <f>'CapexSum$FY22'!R57*R$27</f>
        <v>0</v>
      </c>
      <c r="S57" s="80">
        <f>'CapexSum$FY22'!S57*S$27</f>
        <v>0</v>
      </c>
      <c r="T57" s="80">
        <f>'CapexSum$FY22'!T57*T$27</f>
        <v>0</v>
      </c>
    </row>
    <row r="58" spans="5:20" s="41" customFormat="1" outlineLevel="1">
      <c r="F58" s="134">
        <f>GC!C32</f>
        <v>3025</v>
      </c>
      <c r="G58" s="103" t="str">
        <f>GC!F32</f>
        <v xml:space="preserve">City Gate Security Fence Upgrades </v>
      </c>
      <c r="J58" s="80">
        <f>'CapexSum$FY22'!J58*J$27</f>
        <v>0</v>
      </c>
      <c r="K58" s="80">
        <f>'CapexSum$FY22'!K58*K$27</f>
        <v>0</v>
      </c>
      <c r="L58" s="80">
        <f>'CapexSum$FY22'!L58*L$27</f>
        <v>0</v>
      </c>
      <c r="M58" s="80">
        <f>'CapexSum$FY22'!M58*M$27</f>
        <v>0</v>
      </c>
      <c r="N58" s="80">
        <f>'CapexSum$FY22'!N58*N$27</f>
        <v>0</v>
      </c>
      <c r="O58" s="80">
        <f>'CapexSum$FY22'!O58*O$27</f>
        <v>0</v>
      </c>
      <c r="P58" s="80">
        <f>'CapexSum$FY22'!P58*P$27</f>
        <v>610409.8125</v>
      </c>
      <c r="Q58" s="80">
        <f>'CapexSum$FY22'!Q58*Q$27</f>
        <v>628722.10687500006</v>
      </c>
      <c r="R58" s="80">
        <f>'CapexSum$FY22'!R58*R$27</f>
        <v>644440.15954687493</v>
      </c>
      <c r="S58" s="80">
        <f>'CapexSum$FY22'!S58*S$27</f>
        <v>660551.16353554686</v>
      </c>
      <c r="T58" s="80">
        <f>'CapexSum$FY22'!T58*T$27</f>
        <v>603868.73261053709</v>
      </c>
    </row>
    <row r="59" spans="5:20" s="41" customFormat="1" outlineLevel="1">
      <c r="F59" s="134">
        <f>GC!C33</f>
        <v>3027</v>
      </c>
      <c r="G59" s="103" t="str">
        <f>GC!F33</f>
        <v>IT</v>
      </c>
      <c r="J59" s="80">
        <f>'CapexSum$FY22'!J59*J$27</f>
        <v>0</v>
      </c>
      <c r="K59" s="80">
        <f>'CapexSum$FY22'!K59*K$27</f>
        <v>0</v>
      </c>
      <c r="L59" s="80">
        <f>'CapexSum$FY22'!L59*L$27</f>
        <v>0</v>
      </c>
      <c r="M59" s="80">
        <f>'CapexSum$FY22'!M59*M$27</f>
        <v>0</v>
      </c>
      <c r="N59" s="80">
        <f>'CapexSum$FY22'!N59*N$27</f>
        <v>6495387.0956881428</v>
      </c>
      <c r="O59" s="80">
        <f>'CapexSum$FY22'!O59*O$27</f>
        <v>3418200</v>
      </c>
      <c r="P59" s="80">
        <f>'CapexSum$FY22'!P59*P$27</f>
        <v>16518911.898370882</v>
      </c>
      <c r="Q59" s="80">
        <f>'CapexSum$FY22'!Q59*Q$27</f>
        <v>19528486.9327203</v>
      </c>
      <c r="R59" s="80">
        <f>'CapexSum$FY22'!R59*R$27</f>
        <v>21636540.694248378</v>
      </c>
      <c r="S59" s="80">
        <f>'CapexSum$FY22'!S59*S$27</f>
        <v>10852105.075190404</v>
      </c>
      <c r="T59" s="80">
        <f>'CapexSum$FY22'!T59*T$27</f>
        <v>8111962.6964070005</v>
      </c>
    </row>
    <row r="60" spans="5:20" s="41" customFormat="1" outlineLevel="1">
      <c r="F60" s="134">
        <f>GC!C34</f>
        <v>3031</v>
      </c>
      <c r="G60" s="103" t="str">
        <f>GC!F34</f>
        <v>Other Non-IT</v>
      </c>
      <c r="J60" s="80">
        <f>'CapexSum$FY22'!J60*J$27</f>
        <v>0</v>
      </c>
      <c r="K60" s="80">
        <f>'CapexSum$FY22'!K60*K$27</f>
        <v>0</v>
      </c>
      <c r="L60" s="80">
        <f>'CapexSum$FY22'!L60*L$27</f>
        <v>0</v>
      </c>
      <c r="M60" s="80">
        <f>'CapexSum$FY22'!M60*M$27</f>
        <v>0</v>
      </c>
      <c r="N60" s="80">
        <f>'CapexSum$FY22'!N60*N$27</f>
        <v>361092.5049599809</v>
      </c>
      <c r="O60" s="80">
        <f>'CapexSum$FY22'!O60*O$27</f>
        <v>266104.96813298337</v>
      </c>
      <c r="P60" s="80">
        <f>'CapexSum$FY22'!P60*P$27</f>
        <v>1109657.7171145407</v>
      </c>
      <c r="Q60" s="80">
        <f>'CapexSum$FY22'!Q60*Q$27</f>
        <v>1142947.4486279769</v>
      </c>
      <c r="R60" s="80">
        <f>'CapexSum$FY22'!R60*R$27</f>
        <v>1171521.1348436764</v>
      </c>
      <c r="S60" s="80">
        <f>'CapexSum$FY22'!S60*S$27</f>
        <v>1200809.1632147683</v>
      </c>
      <c r="T60" s="80">
        <f>'CapexSum$FY22'!T60*T$27</f>
        <v>1230829.3922951373</v>
      </c>
    </row>
    <row r="61" spans="5:20" s="41" customFormat="1" ht="5.9" customHeight="1" outlineLevel="1"/>
    <row r="62" spans="5:20" s="41" customFormat="1" outlineLevel="1">
      <c r="F62" s="249" t="str">
        <f>"Total "&amp;E32</f>
        <v>Total Direct Capex (Unescalated)</v>
      </c>
      <c r="G62" s="249"/>
      <c r="H62" s="249"/>
      <c r="I62" s="249"/>
      <c r="J62" s="82">
        <f t="shared" ref="J62:T62" si="8">SUM(J34:J61)</f>
        <v>0</v>
      </c>
      <c r="K62" s="82">
        <f t="shared" si="8"/>
        <v>0</v>
      </c>
      <c r="L62" s="82">
        <f t="shared" si="8"/>
        <v>0</v>
      </c>
      <c r="M62" s="82">
        <f t="shared" si="8"/>
        <v>0</v>
      </c>
      <c r="N62" s="82">
        <f t="shared" si="8"/>
        <v>98433110.722133979</v>
      </c>
      <c r="O62" s="82">
        <f t="shared" si="8"/>
        <v>61306182.682442077</v>
      </c>
      <c r="P62" s="82">
        <f t="shared" si="8"/>
        <v>119578084.00627507</v>
      </c>
      <c r="Q62" s="82">
        <f t="shared" si="8"/>
        <v>127733705.47514752</v>
      </c>
      <c r="R62" s="82">
        <f t="shared" si="8"/>
        <v>127922020.84221955</v>
      </c>
      <c r="S62" s="82">
        <f t="shared" si="8"/>
        <v>116706574.8546225</v>
      </c>
      <c r="T62" s="82">
        <f t="shared" si="8"/>
        <v>108007656.70330256</v>
      </c>
    </row>
    <row r="63" spans="5:20" s="41" customFormat="1" outlineLevel="1"/>
    <row r="64" spans="5:20" s="41" customFormat="1" outlineLevel="1">
      <c r="E64" s="37" t="str">
        <f>'CapexSum$FY22'!E64</f>
        <v>Direct Capex including Non-CPI Escalation</v>
      </c>
    </row>
    <row r="65" spans="6:20" s="41" customFormat="1" ht="5.9" customHeight="1" outlineLevel="1"/>
    <row r="66" spans="6:20" s="41" customFormat="1" outlineLevel="1">
      <c r="F66" s="134">
        <f>GC!C8</f>
        <v>3001</v>
      </c>
      <c r="G66" s="205" t="str">
        <f>GC!F8</f>
        <v>Low Pressure Replacement - Planned</v>
      </c>
      <c r="J66" s="80">
        <f>'CapexSum$FY22'!J66*J$27</f>
        <v>0</v>
      </c>
      <c r="K66" s="80">
        <f>'CapexSum$FY22'!K66*K$27</f>
        <v>0</v>
      </c>
      <c r="L66" s="80">
        <f>'CapexSum$FY22'!L66*L$27</f>
        <v>0</v>
      </c>
      <c r="M66" s="80">
        <f>'CapexSum$FY22'!M66*M$27</f>
        <v>0</v>
      </c>
      <c r="N66" s="80">
        <f>'CapexSum$FY22'!N66*N$27</f>
        <v>17340833.066654302</v>
      </c>
      <c r="O66" s="80">
        <f>'CapexSum$FY22'!O66*O$27</f>
        <v>18253784.509588372</v>
      </c>
      <c r="P66" s="80">
        <f>'CapexSum$FY22'!P66*P$27</f>
        <v>24041704.254118156</v>
      </c>
      <c r="Q66" s="80">
        <f>'CapexSum$FY22'!Q66*Q$27</f>
        <v>20791827.508951336</v>
      </c>
      <c r="R66" s="80">
        <f>'CapexSum$FY22'!R66*R$27</f>
        <v>15138479.743371183</v>
      </c>
      <c r="S66" s="80">
        <f>'CapexSum$FY22'!S66*S$27</f>
        <v>16364015.820105497</v>
      </c>
      <c r="T66" s="80">
        <f>'CapexSum$FY22'!T66*T$27</f>
        <v>9915162.7439313084</v>
      </c>
    </row>
    <row r="67" spans="6:20" s="41" customFormat="1" outlineLevel="1">
      <c r="F67" s="134">
        <f>GC!C9</f>
        <v>3002</v>
      </c>
      <c r="G67" s="205" t="str">
        <f>GC!F9</f>
        <v>Low Pressure Replacement - Ad Hoc</v>
      </c>
      <c r="J67" s="80">
        <f>'CapexSum$FY22'!J67*J$27</f>
        <v>0</v>
      </c>
      <c r="K67" s="80">
        <f>'CapexSum$FY22'!K67*K$27</f>
        <v>0</v>
      </c>
      <c r="L67" s="80">
        <f>'CapexSum$FY22'!L67*L$27</f>
        <v>0</v>
      </c>
      <c r="M67" s="80">
        <f>'CapexSum$FY22'!M67*M$27</f>
        <v>0</v>
      </c>
      <c r="N67" s="80">
        <f>'CapexSum$FY22'!N67*N$27</f>
        <v>491696.03074271942</v>
      </c>
      <c r="O67" s="80">
        <f>'CapexSum$FY22'!O67*O$27</f>
        <v>272584.24130323587</v>
      </c>
      <c r="P67" s="80">
        <f>'CapexSum$FY22'!P67*P$27</f>
        <v>568452.56560082978</v>
      </c>
      <c r="Q67" s="80">
        <f>'CapexSum$FY22'!Q67*Q$27</f>
        <v>468550.17352117621</v>
      </c>
      <c r="R67" s="80">
        <f>'CapexSum$FY22'!R67*R$27</f>
        <v>360356.40352461714</v>
      </c>
      <c r="S67" s="80">
        <f>'CapexSum$FY22'!S67*S$27</f>
        <v>246362.96815241675</v>
      </c>
      <c r="T67" s="80">
        <f>'CapexSum$FY22'!T67*T$27</f>
        <v>126318.78460927197</v>
      </c>
    </row>
    <row r="68" spans="6:20" s="41" customFormat="1" outlineLevel="1">
      <c r="F68" s="134">
        <f>GC!C10</f>
        <v>3003</v>
      </c>
      <c r="G68" s="205" t="str">
        <f>GC!F10</f>
        <v>Medium Pressure Replacement - Planned</v>
      </c>
      <c r="J68" s="80">
        <f>'CapexSum$FY22'!J68*J$27</f>
        <v>0</v>
      </c>
      <c r="K68" s="80">
        <f>'CapexSum$FY22'!K68*K$27</f>
        <v>0</v>
      </c>
      <c r="L68" s="80">
        <f>'CapexSum$FY22'!L68*L$27</f>
        <v>0</v>
      </c>
      <c r="M68" s="80">
        <f>'CapexSum$FY22'!M68*M$27</f>
        <v>0</v>
      </c>
      <c r="N68" s="80">
        <f>'CapexSum$FY22'!N68*N$27</f>
        <v>396906.43742264062</v>
      </c>
      <c r="O68" s="80">
        <f>'CapexSum$FY22'!O68*O$27</f>
        <v>2110438.5359494877</v>
      </c>
      <c r="P68" s="80">
        <f>'CapexSum$FY22'!P68*P$27</f>
        <v>2068540.6149921804</v>
      </c>
      <c r="Q68" s="80">
        <f>'CapexSum$FY22'!Q68*Q$27</f>
        <v>3571007.3470075852</v>
      </c>
      <c r="R68" s="80">
        <f>'CapexSum$FY22'!R68*R$27</f>
        <v>7236655.9518057359</v>
      </c>
      <c r="S68" s="80">
        <f>'CapexSum$FY22'!S68*S$27</f>
        <v>10619381.207305374</v>
      </c>
      <c r="T68" s="80">
        <f>'CapexSum$FY22'!T68*T$27</f>
        <v>8095257.8310519597</v>
      </c>
    </row>
    <row r="69" spans="6:20" s="41" customFormat="1" outlineLevel="1">
      <c r="F69" s="134">
        <f>GC!C11</f>
        <v>3004</v>
      </c>
      <c r="G69" s="205" t="str">
        <f>GC!F11</f>
        <v>Medium Pressure Replacement - Ad Hoc</v>
      </c>
      <c r="J69" s="80">
        <f>'CapexSum$FY22'!J69*J$27</f>
        <v>0</v>
      </c>
      <c r="K69" s="80">
        <f>'CapexSum$FY22'!K69*K$27</f>
        <v>0</v>
      </c>
      <c r="L69" s="80">
        <f>'CapexSum$FY22'!L69*L$27</f>
        <v>0</v>
      </c>
      <c r="M69" s="80">
        <f>'CapexSum$FY22'!M69*M$27</f>
        <v>0</v>
      </c>
      <c r="N69" s="80">
        <f>'CapexSum$FY22'!N69*N$27</f>
        <v>281780.374862617</v>
      </c>
      <c r="O69" s="80">
        <f>'CapexSum$FY22'!O69*O$27</f>
        <v>146832.38231884208</v>
      </c>
      <c r="P69" s="80">
        <f>'CapexSum$FY22'!P69*P$27</f>
        <v>394453.09067803016</v>
      </c>
      <c r="Q69" s="80">
        <f>'CapexSum$FY22'!Q69*Q$27</f>
        <v>406414.64568324422</v>
      </c>
      <c r="R69" s="80">
        <f>'CapexSum$FY22'!R69*R$27</f>
        <v>416761.63192327006</v>
      </c>
      <c r="S69" s="80">
        <f>'CapexSum$FY22'!S69*S$27</f>
        <v>427374.06407936418</v>
      </c>
      <c r="T69" s="80">
        <f>'CapexSum$FY22'!T69*T$27</f>
        <v>438258.82398552215</v>
      </c>
    </row>
    <row r="70" spans="6:20" s="41" customFormat="1" outlineLevel="1">
      <c r="F70" s="134">
        <f>GC!C12</f>
        <v>3005</v>
      </c>
      <c r="G70" s="205" t="str">
        <f>GC!F12</f>
        <v>High Pressure Replacement - Planned</v>
      </c>
      <c r="J70" s="80">
        <f>'CapexSum$FY22'!J70*J$27</f>
        <v>0</v>
      </c>
      <c r="K70" s="80">
        <f>'CapexSum$FY22'!K70*K$27</f>
        <v>0</v>
      </c>
      <c r="L70" s="80">
        <f>'CapexSum$FY22'!L70*L$27</f>
        <v>0</v>
      </c>
      <c r="M70" s="80">
        <f>'CapexSum$FY22'!M70*M$27</f>
        <v>0</v>
      </c>
      <c r="N70" s="80">
        <f>'CapexSum$FY22'!N70*N$27</f>
        <v>0</v>
      </c>
      <c r="O70" s="80">
        <f>'CapexSum$FY22'!O70*O$27</f>
        <v>0</v>
      </c>
      <c r="P70" s="80">
        <f>'CapexSum$FY22'!P70*P$27</f>
        <v>2233583.7491670884</v>
      </c>
      <c r="Q70" s="80">
        <f>'CapexSum$FY22'!Q70*Q$27</f>
        <v>2301315.8458493329</v>
      </c>
      <c r="R70" s="80">
        <f>'CapexSum$FY22'!R70*R$27</f>
        <v>2359905.4750466896</v>
      </c>
      <c r="S70" s="80">
        <f>'CapexSum$FY22'!S70*S$27</f>
        <v>2419998.1871160651</v>
      </c>
      <c r="T70" s="80">
        <f>'CapexSum$FY22'!T70*T$27</f>
        <v>2481632.9503224823</v>
      </c>
    </row>
    <row r="71" spans="6:20" s="41" customFormat="1" outlineLevel="1">
      <c r="F71" s="134">
        <f>GC!C13</f>
        <v>3006</v>
      </c>
      <c r="G71" s="205" t="str">
        <f>GC!F13</f>
        <v>High Pressure Replacement - Ad Hoc</v>
      </c>
      <c r="J71" s="80">
        <f>'CapexSum$FY22'!J71*J$27</f>
        <v>0</v>
      </c>
      <c r="K71" s="80">
        <f>'CapexSum$FY22'!K71*K$27</f>
        <v>0</v>
      </c>
      <c r="L71" s="80">
        <f>'CapexSum$FY22'!L71*L$27</f>
        <v>0</v>
      </c>
      <c r="M71" s="80">
        <f>'CapexSum$FY22'!M71*M$27</f>
        <v>0</v>
      </c>
      <c r="N71" s="80">
        <f>'CapexSum$FY22'!N71*N$27</f>
        <v>2214168.0266666687</v>
      </c>
      <c r="O71" s="80">
        <f>'CapexSum$FY22'!O71*O$27</f>
        <v>1067443.7249999999</v>
      </c>
      <c r="P71" s="80">
        <f>'CapexSum$FY22'!P71*P$27</f>
        <v>2225689.1835653288</v>
      </c>
      <c r="Q71" s="80">
        <f>'CapexSum$FY22'!Q71*Q$27</f>
        <v>2063276.4729318193</v>
      </c>
      <c r="R71" s="80">
        <f>'CapexSum$FY22'!R71*R$27</f>
        <v>1903473.3241636786</v>
      </c>
      <c r="S71" s="80">
        <f>'CapexSum$FY22'!S71*S$27</f>
        <v>1756067.190395755</v>
      </c>
      <c r="T71" s="80">
        <f>'CapexSum$FY22'!T71*T$27</f>
        <v>1620099.5453338323</v>
      </c>
    </row>
    <row r="72" spans="6:20" s="41" customFormat="1" outlineLevel="1">
      <c r="F72" s="134">
        <f>GC!C14</f>
        <v>3007</v>
      </c>
      <c r="G72" s="205" t="str">
        <f>GC!F14</f>
        <v>Domestic Meters - Planned</v>
      </c>
      <c r="J72" s="80">
        <f>'CapexSum$FY22'!J72*J$27</f>
        <v>0</v>
      </c>
      <c r="K72" s="80">
        <f>'CapexSum$FY22'!K72*K$27</f>
        <v>0</v>
      </c>
      <c r="L72" s="80">
        <f>'CapexSum$FY22'!L72*L$27</f>
        <v>0</v>
      </c>
      <c r="M72" s="80">
        <f>'CapexSum$FY22'!M72*M$27</f>
        <v>0</v>
      </c>
      <c r="N72" s="80">
        <f>'CapexSum$FY22'!N72*N$27</f>
        <v>3204350.2706936467</v>
      </c>
      <c r="O72" s="80">
        <f>'CapexSum$FY22'!O72*O$27</f>
        <v>1992519.5940623025</v>
      </c>
      <c r="P72" s="80">
        <f>'CapexSum$FY22'!P72*P$27</f>
        <v>4155056.5849488871</v>
      </c>
      <c r="Q72" s="80">
        <f>'CapexSum$FY22'!Q72*Q$27</f>
        <v>5252670.1445803083</v>
      </c>
      <c r="R72" s="80">
        <f>'CapexSum$FY22'!R72*R$27</f>
        <v>5704367.6959296046</v>
      </c>
      <c r="S72" s="80">
        <f>'CapexSum$FY22'!S72*S$27</f>
        <v>4273413.2987965932</v>
      </c>
      <c r="T72" s="80">
        <f>'CapexSum$FY22'!T72*T$27</f>
        <v>3967426.9817492752</v>
      </c>
    </row>
    <row r="73" spans="6:20" s="41" customFormat="1" outlineLevel="1">
      <c r="F73" s="134">
        <f>GC!C15</f>
        <v>3008</v>
      </c>
      <c r="G73" s="205" t="str">
        <f>GC!F15</f>
        <v>Domestic Meters - Ad Hoc</v>
      </c>
      <c r="J73" s="80">
        <f>'CapexSum$FY22'!J73*J$27</f>
        <v>0</v>
      </c>
      <c r="K73" s="80">
        <f>'CapexSum$FY22'!K73*K$27</f>
        <v>0</v>
      </c>
      <c r="L73" s="80">
        <f>'CapexSum$FY22'!L73*L$27</f>
        <v>0</v>
      </c>
      <c r="M73" s="80">
        <f>'CapexSum$FY22'!M73*M$27</f>
        <v>0</v>
      </c>
      <c r="N73" s="80">
        <f>'CapexSum$FY22'!N73*N$27</f>
        <v>765787.0358946413</v>
      </c>
      <c r="O73" s="80">
        <f>'CapexSum$FY22'!O73*O$27</f>
        <v>399823.57344792725</v>
      </c>
      <c r="P73" s="80">
        <f>'CapexSum$FY22'!P73*P$27</f>
        <v>833674.11558974383</v>
      </c>
      <c r="Q73" s="80">
        <f>'CapexSum$FY22'!Q73*Q$27</f>
        <v>858751.97167595162</v>
      </c>
      <c r="R73" s="80">
        <f>'CapexSum$FY22'!R73*R$27</f>
        <v>880319.4063267305</v>
      </c>
      <c r="S73" s="80">
        <f>'CapexSum$FY22'!S73*S$27</f>
        <v>902429.60569554358</v>
      </c>
      <c r="T73" s="80">
        <f>'CapexSum$FY22'!T73*T$27</f>
        <v>925096.26875418006</v>
      </c>
    </row>
    <row r="74" spans="6:20" s="41" customFormat="1" outlineLevel="1">
      <c r="F74" s="134">
        <f>GC!C16</f>
        <v>3009</v>
      </c>
      <c r="G74" s="205" t="str">
        <f>GC!F16</f>
        <v>Industrial &amp; Commercial Meters - Planned</v>
      </c>
      <c r="J74" s="80">
        <f>'CapexSum$FY22'!J74*J$27</f>
        <v>0</v>
      </c>
      <c r="K74" s="80">
        <f>'CapexSum$FY22'!K74*K$27</f>
        <v>0</v>
      </c>
      <c r="L74" s="80">
        <f>'CapexSum$FY22'!L74*L$27</f>
        <v>0</v>
      </c>
      <c r="M74" s="80">
        <f>'CapexSum$FY22'!M74*M$27</f>
        <v>0</v>
      </c>
      <c r="N74" s="80">
        <f>'CapexSum$FY22'!N74*N$27</f>
        <v>843199.11110906955</v>
      </c>
      <c r="O74" s="80">
        <f>'CapexSum$FY22'!O74*O$27</f>
        <v>498405.78543818329</v>
      </c>
      <c r="P74" s="80">
        <f>'CapexSum$FY22'!P74*P$27</f>
        <v>1153938.8618920667</v>
      </c>
      <c r="Q74" s="80">
        <f>'CapexSum$FY22'!Q74*Q$27</f>
        <v>1389708.190937856</v>
      </c>
      <c r="R74" s="80">
        <f>'CapexSum$FY22'!R74*R$27</f>
        <v>1406283.3049500133</v>
      </c>
      <c r="S74" s="80">
        <f>'CapexSum$FY22'!S74*S$27</f>
        <v>1666830.0599372906</v>
      </c>
      <c r="T74" s="80">
        <f>'CapexSum$FY22'!T74*T$27</f>
        <v>1222790.2267713035</v>
      </c>
    </row>
    <row r="75" spans="6:20" s="41" customFormat="1" outlineLevel="1">
      <c r="F75" s="134">
        <f>GC!C17</f>
        <v>3010</v>
      </c>
      <c r="G75" s="205" t="str">
        <f>GC!F17</f>
        <v>Industrial &amp; Commercial Meters - Ad Hoc</v>
      </c>
      <c r="J75" s="80">
        <f>'CapexSum$FY22'!J75*J$27</f>
        <v>0</v>
      </c>
      <c r="K75" s="80">
        <f>'CapexSum$FY22'!K75*K$27</f>
        <v>0</v>
      </c>
      <c r="L75" s="80">
        <f>'CapexSum$FY22'!L75*L$27</f>
        <v>0</v>
      </c>
      <c r="M75" s="80">
        <f>'CapexSum$FY22'!M75*M$27</f>
        <v>0</v>
      </c>
      <c r="N75" s="80">
        <f>'CapexSum$FY22'!N75*N$27</f>
        <v>0</v>
      </c>
      <c r="O75" s="80">
        <f>'CapexSum$FY22'!O75*O$27</f>
        <v>154201.53677771217</v>
      </c>
      <c r="P75" s="80">
        <f>'CapexSum$FY22'!P75*P$27</f>
        <v>344625.33929098403</v>
      </c>
      <c r="Q75" s="80">
        <f>'CapexSum$FY22'!Q75*Q$27</f>
        <v>339259.82837116288</v>
      </c>
      <c r="R75" s="80">
        <f>'CapexSum$FY22'!R75*R$27</f>
        <v>656871.22262774326</v>
      </c>
      <c r="S75" s="80">
        <f>'CapexSum$FY22'!S75*S$27</f>
        <v>323450.38333230803</v>
      </c>
      <c r="T75" s="80">
        <f>'CapexSum$FY22'!T75*T$27</f>
        <v>318917.27171922621</v>
      </c>
    </row>
    <row r="76" spans="6:20" s="41" customFormat="1" outlineLevel="1">
      <c r="F76" s="134">
        <f>GC!C18</f>
        <v>3011</v>
      </c>
      <c r="G76" s="205" t="str">
        <f>GC!F18</f>
        <v>Network Regulators - Planned</v>
      </c>
      <c r="J76" s="80">
        <f>'CapexSum$FY22'!J76*J$27</f>
        <v>0</v>
      </c>
      <c r="K76" s="80">
        <f>'CapexSum$FY22'!K76*K$27</f>
        <v>0</v>
      </c>
      <c r="L76" s="80">
        <f>'CapexSum$FY22'!L76*L$27</f>
        <v>0</v>
      </c>
      <c r="M76" s="80">
        <f>'CapexSum$FY22'!M76*M$27</f>
        <v>0</v>
      </c>
      <c r="N76" s="80">
        <f>'CapexSum$FY22'!N76*N$27</f>
        <v>503129.99272855395</v>
      </c>
      <c r="O76" s="80">
        <f>'CapexSum$FY22'!O76*O$27</f>
        <v>569759.20235318097</v>
      </c>
      <c r="P76" s="80">
        <f>'CapexSum$FY22'!P76*P$27</f>
        <v>2387135.6913651684</v>
      </c>
      <c r="Q76" s="80">
        <f>'CapexSum$FY22'!Q76*Q$27</f>
        <v>1994507.4609100558</v>
      </c>
      <c r="R76" s="80">
        <f>'CapexSum$FY22'!R76*R$27</f>
        <v>1754369.6819872695</v>
      </c>
      <c r="S76" s="80">
        <f>'CapexSum$FY22'!S76*S$27</f>
        <v>1929662.6842582228</v>
      </c>
      <c r="T76" s="80">
        <f>'CapexSum$FY22'!T76*T$27</f>
        <v>2320295.3134582955</v>
      </c>
    </row>
    <row r="77" spans="6:20" s="41" customFormat="1" outlineLevel="1">
      <c r="F77" s="134">
        <f>GC!C19</f>
        <v>3012</v>
      </c>
      <c r="G77" s="205" t="str">
        <f>GC!F19</f>
        <v>Network Regulators - Ad Hoc</v>
      </c>
      <c r="J77" s="80">
        <f>'CapexSum$FY22'!J77*J$27</f>
        <v>0</v>
      </c>
      <c r="K77" s="80">
        <f>'CapexSum$FY22'!K77*K$27</f>
        <v>0</v>
      </c>
      <c r="L77" s="80">
        <f>'CapexSum$FY22'!L77*L$27</f>
        <v>0</v>
      </c>
      <c r="M77" s="80">
        <f>'CapexSum$FY22'!M77*M$27</f>
        <v>0</v>
      </c>
      <c r="N77" s="80">
        <f>'CapexSum$FY22'!N77*N$27</f>
        <v>100625.9985457108</v>
      </c>
      <c r="O77" s="80">
        <f>'CapexSum$FY22'!O77*O$27</f>
        <v>52755.481699368604</v>
      </c>
      <c r="P77" s="80">
        <f>'CapexSum$FY22'!P77*P$27</f>
        <v>110006.25305830267</v>
      </c>
      <c r="Q77" s="80">
        <f>'CapexSum$FY22'!Q77*Q$27</f>
        <v>113324.2875517077</v>
      </c>
      <c r="R77" s="80">
        <f>'CapexSum$FY22'!R77*R$27</f>
        <v>116183.42264816354</v>
      </c>
      <c r="S77" s="80">
        <f>'CapexSum$FY22'!S77*S$27</f>
        <v>119114.98050976684</v>
      </c>
      <c r="T77" s="80">
        <f>'CapexSum$FY22'!T77*T$27</f>
        <v>122120.80597148923</v>
      </c>
    </row>
    <row r="78" spans="6:20" s="41" customFormat="1" outlineLevel="1">
      <c r="F78" s="134">
        <f>GC!C20</f>
        <v>3013</v>
      </c>
      <c r="G78" s="205" t="str">
        <f>GC!F20</f>
        <v>Customer Regulators - Planned</v>
      </c>
      <c r="J78" s="80">
        <f>'CapexSum$FY22'!J78*J$27</f>
        <v>0</v>
      </c>
      <c r="K78" s="80">
        <f>'CapexSum$FY22'!K78*K$27</f>
        <v>0</v>
      </c>
      <c r="L78" s="80">
        <f>'CapexSum$FY22'!L78*L$27</f>
        <v>0</v>
      </c>
      <c r="M78" s="80">
        <f>'CapexSum$FY22'!M78*M$27</f>
        <v>0</v>
      </c>
      <c r="N78" s="80">
        <f>'CapexSum$FY22'!N78*N$27</f>
        <v>0</v>
      </c>
      <c r="O78" s="80">
        <f>'CapexSum$FY22'!O78*O$27</f>
        <v>584530.73722900415</v>
      </c>
      <c r="P78" s="80">
        <f>'CapexSum$FY22'!P78*P$27</f>
        <v>1265044.4086072161</v>
      </c>
      <c r="Q78" s="80">
        <f>'CapexSum$FY22'!Q78*Q$27</f>
        <v>1139532.3734761968</v>
      </c>
      <c r="R78" s="80">
        <f>'CapexSum$FY22'!R78*R$27</f>
        <v>829840.09626450797</v>
      </c>
      <c r="S78" s="80">
        <f>'CapexSum$FY22'!S78*S$27</f>
        <v>782049.40453687415</v>
      </c>
      <c r="T78" s="80">
        <f>'CapexSum$FY22'!T78*T$27</f>
        <v>850907.24580784421</v>
      </c>
    </row>
    <row r="79" spans="6:20" s="41" customFormat="1" outlineLevel="1">
      <c r="F79" s="134">
        <f>GC!C21</f>
        <v>3014</v>
      </c>
      <c r="G79" s="205" t="str">
        <f>GC!F21</f>
        <v>Customer Regulators - Ad Hoc</v>
      </c>
      <c r="J79" s="80">
        <f>'CapexSum$FY22'!J79*J$27</f>
        <v>0</v>
      </c>
      <c r="K79" s="80">
        <f>'CapexSum$FY22'!K79*K$27</f>
        <v>0</v>
      </c>
      <c r="L79" s="80">
        <f>'CapexSum$FY22'!L79*L$27</f>
        <v>0</v>
      </c>
      <c r="M79" s="80">
        <f>'CapexSum$FY22'!M79*M$27</f>
        <v>0</v>
      </c>
      <c r="N79" s="80">
        <f>'CapexSum$FY22'!N79*N$27</f>
        <v>0</v>
      </c>
      <c r="O79" s="80">
        <f>'CapexSum$FY22'!O79*O$27</f>
        <v>923853.99551934295</v>
      </c>
      <c r="P79" s="80">
        <f>'CapexSum$FY22'!P79*P$27</f>
        <v>1926429.5035569966</v>
      </c>
      <c r="Q79" s="80">
        <f>'CapexSum$FY22'!Q79*Q$27</f>
        <v>1984534.9236055054</v>
      </c>
      <c r="R79" s="80">
        <f>'CapexSum$FY22'!R79*R$27</f>
        <v>2034604.0974146402</v>
      </c>
      <c r="S79" s="80">
        <f>'CapexSum$FY22'!S79*S$27</f>
        <v>2085941.5386870371</v>
      </c>
      <c r="T79" s="80">
        <f>'CapexSum$FY22'!T79*T$27</f>
        <v>2138579.5541727194</v>
      </c>
    </row>
    <row r="80" spans="6:20" s="41" customFormat="1" outlineLevel="1">
      <c r="F80" s="134">
        <f>GC!C22</f>
        <v>3015</v>
      </c>
      <c r="G80" s="205" t="str">
        <f>GC!F22</f>
        <v>Cathodic Protection</v>
      </c>
      <c r="J80" s="80">
        <f>'CapexSum$FY22'!J80*J$27</f>
        <v>0</v>
      </c>
      <c r="K80" s="80">
        <f>'CapexSum$FY22'!K80*K$27</f>
        <v>0</v>
      </c>
      <c r="L80" s="80">
        <f>'CapexSum$FY22'!L80*L$27</f>
        <v>0</v>
      </c>
      <c r="M80" s="80">
        <f>'CapexSum$FY22'!M80*M$27</f>
        <v>0</v>
      </c>
      <c r="N80" s="80">
        <f>'CapexSum$FY22'!N80*N$27</f>
        <v>202503.22321251823</v>
      </c>
      <c r="O80" s="80">
        <f>'CapexSum$FY22'!O80*O$27</f>
        <v>202602.09945115086</v>
      </c>
      <c r="P80" s="80">
        <f>'CapexSum$FY22'!P80*P$27</f>
        <v>422510.42348776449</v>
      </c>
      <c r="Q80" s="80">
        <f>'CapexSum$FY22'!Q80*Q$27</f>
        <v>457995.86291779828</v>
      </c>
      <c r="R80" s="80">
        <f>'CapexSum$FY22'!R80*R$27</f>
        <v>454543.36982426385</v>
      </c>
      <c r="S80" s="80">
        <f>'CapexSum$FY22'!S80*S$27</f>
        <v>466117.87741989235</v>
      </c>
      <c r="T80" s="80">
        <f>'CapexSum$FY22'!T80*T$27</f>
        <v>477989.40077639936</v>
      </c>
    </row>
    <row r="81" spans="3:20" s="41" customFormat="1" outlineLevel="1">
      <c r="F81" s="134">
        <f>GC!C23</f>
        <v>3016</v>
      </c>
      <c r="G81" s="205" t="str">
        <f>GC!F23</f>
        <v>SCADA</v>
      </c>
      <c r="J81" s="80">
        <f>'CapexSum$FY22'!J81*J$27</f>
        <v>0</v>
      </c>
      <c r="K81" s="80">
        <f>'CapexSum$FY22'!K81*K$27</f>
        <v>0</v>
      </c>
      <c r="L81" s="80">
        <f>'CapexSum$FY22'!L81*L$27</f>
        <v>0</v>
      </c>
      <c r="M81" s="80">
        <f>'CapexSum$FY22'!M81*M$27</f>
        <v>0</v>
      </c>
      <c r="N81" s="80">
        <f>'CapexSum$FY22'!N81*N$27</f>
        <v>1261735.9153766781</v>
      </c>
      <c r="O81" s="80">
        <f>'CapexSum$FY22'!O81*O$27</f>
        <v>147723.02313734809</v>
      </c>
      <c r="P81" s="80">
        <f>'CapexSum$FY22'!P81*P$27</f>
        <v>1270702.1779850938</v>
      </c>
      <c r="Q81" s="80">
        <f>'CapexSum$FY22'!Q81*Q$27</f>
        <v>1252460.0408570552</v>
      </c>
      <c r="R81" s="80">
        <f>'CapexSum$FY22'!R81*R$27</f>
        <v>296354.52794953808</v>
      </c>
      <c r="S81" s="80">
        <f>'CapexSum$FY22'!S81*S$27</f>
        <v>277054.80486833921</v>
      </c>
      <c r="T81" s="80">
        <f>'CapexSum$FY22'!T81*T$27</f>
        <v>311570.13656247465</v>
      </c>
    </row>
    <row r="82" spans="3:20" s="41" customFormat="1" outlineLevel="1">
      <c r="F82" s="134">
        <f>GC!C24</f>
        <v>3017</v>
      </c>
      <c r="G82" s="205" t="str">
        <f>GC!F24</f>
        <v>Augmentation</v>
      </c>
      <c r="J82" s="80">
        <f>'CapexSum$FY22'!J82*J$27</f>
        <v>0</v>
      </c>
      <c r="K82" s="80">
        <f>'CapexSum$FY22'!K82*K$27</f>
        <v>0</v>
      </c>
      <c r="L82" s="80">
        <f>'CapexSum$FY22'!L82*L$27</f>
        <v>0</v>
      </c>
      <c r="M82" s="80">
        <f>'CapexSum$FY22'!M82*M$27</f>
        <v>0</v>
      </c>
      <c r="N82" s="80">
        <f>'CapexSum$FY22'!N82*N$27</f>
        <v>3589875.6988584171</v>
      </c>
      <c r="O82" s="80">
        <f>'CapexSum$FY22'!O82*O$27</f>
        <v>2635396.5545609859</v>
      </c>
      <c r="P82" s="80">
        <f>'CapexSum$FY22'!P82*P$27</f>
        <v>5090891.0265538525</v>
      </c>
      <c r="Q82" s="80">
        <f>'CapexSum$FY22'!Q82*Q$27</f>
        <v>6920340.0355417738</v>
      </c>
      <c r="R82" s="80">
        <f>'CapexSum$FY22'!R82*R$27</f>
        <v>3936275.831777385</v>
      </c>
      <c r="S82" s="80">
        <f>'CapexSum$FY22'!S82*S$27</f>
        <v>2360392.3204383296</v>
      </c>
      <c r="T82" s="80">
        <f>'CapexSum$FY22'!T82*T$27</f>
        <v>6581153.6493856898</v>
      </c>
    </row>
    <row r="83" spans="3:20" s="41" customFormat="1" outlineLevel="1">
      <c r="F83" s="134">
        <f>GC!C25</f>
        <v>3018</v>
      </c>
      <c r="G83" s="205" t="str">
        <f>GC!F25</f>
        <v>Other Non-Demand</v>
      </c>
      <c r="J83" s="80">
        <f>'CapexSum$FY22'!J83*J$27</f>
        <v>0</v>
      </c>
      <c r="K83" s="80">
        <f>'CapexSum$FY22'!K83*K$27</f>
        <v>0</v>
      </c>
      <c r="L83" s="80">
        <f>'CapexSum$FY22'!L83*L$27</f>
        <v>0</v>
      </c>
      <c r="M83" s="80">
        <f>'CapexSum$FY22'!M83*M$27</f>
        <v>0</v>
      </c>
      <c r="N83" s="80">
        <f>'CapexSum$FY22'!N83*N$27</f>
        <v>0</v>
      </c>
      <c r="O83" s="80">
        <f>'CapexSum$FY22'!O83*O$27</f>
        <v>0</v>
      </c>
      <c r="P83" s="80">
        <f>'CapexSum$FY22'!P83*P$27</f>
        <v>598666.46203044965</v>
      </c>
      <c r="Q83" s="80">
        <f>'CapexSum$FY22'!Q83*Q$27</f>
        <v>1903749.3628147852</v>
      </c>
      <c r="R83" s="80">
        <f>'CapexSum$FY22'!R83*R$27</f>
        <v>2959065.7124058343</v>
      </c>
      <c r="S83" s="80">
        <f>'CapexSum$FY22'!S83*S$27</f>
        <v>852878.88817971468</v>
      </c>
      <c r="T83" s="80">
        <f>'CapexSum$FY22'!T83*T$27</f>
        <v>146.69751430477729</v>
      </c>
    </row>
    <row r="84" spans="3:20" s="41" customFormat="1" outlineLevel="1">
      <c r="F84" s="134">
        <f>GC!C26</f>
        <v>3019</v>
      </c>
      <c r="G84" s="205" t="str">
        <f>GC!F26</f>
        <v>Residential Connections</v>
      </c>
      <c r="J84" s="80">
        <f>'CapexSum$FY22'!J84*J$27</f>
        <v>0</v>
      </c>
      <c r="K84" s="80">
        <f>'CapexSum$FY22'!K84*K$27</f>
        <v>0</v>
      </c>
      <c r="L84" s="80">
        <f>'CapexSum$FY22'!L84*L$27</f>
        <v>0</v>
      </c>
      <c r="M84" s="80">
        <f>'CapexSum$FY22'!M84*M$27</f>
        <v>0</v>
      </c>
      <c r="N84" s="80">
        <f>'CapexSum$FY22'!N84*N$27</f>
        <v>47697854.9240655</v>
      </c>
      <c r="O84" s="80">
        <f>'CapexSum$FY22'!O84*O$27</f>
        <v>20859798.717016291</v>
      </c>
      <c r="P84" s="80">
        <f>'CapexSum$FY22'!P84*P$27</f>
        <v>39974603.01661817</v>
      </c>
      <c r="Q84" s="80">
        <f>'CapexSum$FY22'!Q84*Q$27</f>
        <v>42472438.911046818</v>
      </c>
      <c r="R84" s="80">
        <f>'CapexSum$FY22'!R84*R$27</f>
        <v>44840459.437185958</v>
      </c>
      <c r="S84" s="80">
        <f>'CapexSum$FY22'!S84*S$27</f>
        <v>44855906.752124645</v>
      </c>
      <c r="T84" s="80">
        <f>'CapexSum$FY22'!T84*T$27</f>
        <v>44799848.199762128</v>
      </c>
    </row>
    <row r="85" spans="3:20" s="41" customFormat="1" outlineLevel="1">
      <c r="F85" s="134">
        <f>GC!C27</f>
        <v>3020</v>
      </c>
      <c r="G85" s="205" t="str">
        <f>GC!F27</f>
        <v>Industrial &amp; Commercial Connections</v>
      </c>
      <c r="J85" s="80">
        <f>'CapexSum$FY22'!J85*J$27</f>
        <v>0</v>
      </c>
      <c r="K85" s="80">
        <f>'CapexSum$FY22'!K85*K$27</f>
        <v>0</v>
      </c>
      <c r="L85" s="80">
        <f>'CapexSum$FY22'!L85*L$27</f>
        <v>0</v>
      </c>
      <c r="M85" s="80">
        <f>'CapexSum$FY22'!M85*M$27</f>
        <v>0</v>
      </c>
      <c r="N85" s="80">
        <f>'CapexSum$FY22'!N85*N$27</f>
        <v>2699784.4687852161</v>
      </c>
      <c r="O85" s="80">
        <f>'CapexSum$FY22'!O85*O$27</f>
        <v>3775138.3237204454</v>
      </c>
      <c r="P85" s="80">
        <f>'CapexSum$FY22'!P85*P$27</f>
        <v>5290546.4591828631</v>
      </c>
      <c r="Q85" s="80">
        <f>'CapexSum$FY22'!Q85*Q$27</f>
        <v>5550840.0028580884</v>
      </c>
      <c r="R85" s="80">
        <f>'CapexSum$FY22'!R85*R$27</f>
        <v>5792366.3657228714</v>
      </c>
      <c r="S85" s="80">
        <f>'CapexSum$FY22'!S85*S$27</f>
        <v>5861306.1586989099</v>
      </c>
      <c r="T85" s="80">
        <f>'CapexSum$FY22'!T85*T$27</f>
        <v>5926647.3399398178</v>
      </c>
    </row>
    <row r="86" spans="3:20" s="41" customFormat="1" outlineLevel="1">
      <c r="F86" s="134">
        <f>GC!C28</f>
        <v>3021</v>
      </c>
      <c r="G86" s="205" t="str">
        <f>GC!F28</f>
        <v>Industrial &amp; Commercial (Tariff D)</v>
      </c>
      <c r="J86" s="80">
        <f>'CapexSum$FY22'!J86*J$27</f>
        <v>0</v>
      </c>
      <c r="K86" s="80">
        <f>'CapexSum$FY22'!K86*K$27</f>
        <v>0</v>
      </c>
      <c r="L86" s="80">
        <f>'CapexSum$FY22'!L86*L$27</f>
        <v>0</v>
      </c>
      <c r="M86" s="80">
        <f>'CapexSum$FY22'!M86*M$27</f>
        <v>0</v>
      </c>
      <c r="N86" s="80">
        <f>'CapexSum$FY22'!N86*N$27</f>
        <v>802199.70711525122</v>
      </c>
      <c r="O86" s="80">
        <f>'CapexSum$FY22'!O86*O$27</f>
        <v>881567.46791503136</v>
      </c>
      <c r="P86" s="80">
        <f>'CapexSum$FY22'!P86*P$27</f>
        <v>1760064.148383924</v>
      </c>
      <c r="Q86" s="80">
        <f>'CapexSum$FY22'!Q86*Q$27</f>
        <v>1842006.6004388989</v>
      </c>
      <c r="R86" s="80">
        <f>'CapexSum$FY22'!R86*R$27</f>
        <v>1917496.0649164086</v>
      </c>
      <c r="S86" s="80">
        <f>'CapexSum$FY22'!S86*S$27</f>
        <v>1941292.7785346888</v>
      </c>
      <c r="T86" s="80">
        <f>'CapexSum$FY22'!T86*T$27</f>
        <v>1964102.2981222093</v>
      </c>
    </row>
    <row r="87" spans="3:20" s="41" customFormat="1" outlineLevel="1">
      <c r="F87" s="134">
        <f>GC!C29</f>
        <v>3022</v>
      </c>
      <c r="G87" s="205" t="str">
        <f>GC!F29</f>
        <v>Major Alterations</v>
      </c>
      <c r="J87" s="80">
        <f>'CapexSum$FY22'!J87*J$27</f>
        <v>0</v>
      </c>
      <c r="K87" s="80">
        <f>'CapexSum$FY22'!K87*K$27</f>
        <v>0</v>
      </c>
      <c r="L87" s="80">
        <f>'CapexSum$FY22'!L87*L$27</f>
        <v>0</v>
      </c>
      <c r="M87" s="80">
        <f>'CapexSum$FY22'!M87*M$27</f>
        <v>0</v>
      </c>
      <c r="N87" s="80">
        <f>'CapexSum$FY22'!N87*N$27</f>
        <v>953684.54962736601</v>
      </c>
      <c r="O87" s="80">
        <f>'CapexSum$FY22'!O87*O$27</f>
        <v>1657789.408951334</v>
      </c>
      <c r="P87" s="80">
        <f>'CapexSum$FY22'!P87*P$27</f>
        <v>3261559.3662857637</v>
      </c>
      <c r="Q87" s="80">
        <f>'CapexSum$FY22'!Q87*Q$27</f>
        <v>3432442.6537805167</v>
      </c>
      <c r="R87" s="80">
        <f>'CapexSum$FY22'!R87*R$27</f>
        <v>3592142.6342530516</v>
      </c>
      <c r="S87" s="80">
        <f>'CapexSum$FY22'!S87*S$27</f>
        <v>3621818.0555194165</v>
      </c>
      <c r="T87" s="80">
        <f>'CapexSum$FY22'!T87*T$27</f>
        <v>3648256.9702729941</v>
      </c>
    </row>
    <row r="88" spans="3:20" s="41" customFormat="1" outlineLevel="1">
      <c r="F88" s="134">
        <f>GC!C30</f>
        <v>3023</v>
      </c>
      <c r="G88" s="205" t="str">
        <f>GC!F30</f>
        <v>Extensions - New Towns</v>
      </c>
      <c r="J88" s="80">
        <f>'CapexSum$FY22'!J88*J$27</f>
        <v>0</v>
      </c>
      <c r="K88" s="80">
        <f>'CapexSum$FY22'!K88*K$27</f>
        <v>0</v>
      </c>
      <c r="L88" s="80">
        <f>'CapexSum$FY22'!L88*L$27</f>
        <v>0</v>
      </c>
      <c r="M88" s="80">
        <f>'CapexSum$FY22'!M88*M$27</f>
        <v>0</v>
      </c>
      <c r="N88" s="80">
        <f>'CapexSum$FY22'!N88*N$27</f>
        <v>0</v>
      </c>
      <c r="O88" s="80">
        <f>'CapexSum$FY22'!O88*O$27</f>
        <v>0</v>
      </c>
      <c r="P88" s="80">
        <f>'CapexSum$FY22'!P88*P$27</f>
        <v>0</v>
      </c>
      <c r="Q88" s="80">
        <f>'CapexSum$FY22'!Q88*Q$27</f>
        <v>0</v>
      </c>
      <c r="R88" s="80">
        <f>'CapexSum$FY22'!R88*R$27</f>
        <v>0</v>
      </c>
      <c r="S88" s="80">
        <f>'CapexSum$FY22'!S88*S$27</f>
        <v>0</v>
      </c>
      <c r="T88" s="80">
        <f>'CapexSum$FY22'!T88*T$27</f>
        <v>0</v>
      </c>
    </row>
    <row r="89" spans="3:20" s="41" customFormat="1" outlineLevel="1">
      <c r="F89" s="134">
        <f>GC!C31</f>
        <v>3024</v>
      </c>
      <c r="G89" s="205" t="str">
        <f>GC!F31</f>
        <v>Extensions - Other</v>
      </c>
      <c r="J89" s="80">
        <f>'CapexSum$FY22'!J89*J$27</f>
        <v>0</v>
      </c>
      <c r="K89" s="80">
        <f>'CapexSum$FY22'!K89*K$27</f>
        <v>0</v>
      </c>
      <c r="L89" s="80">
        <f>'CapexSum$FY22'!L89*L$27</f>
        <v>0</v>
      </c>
      <c r="M89" s="80">
        <f>'CapexSum$FY22'!M89*M$27</f>
        <v>0</v>
      </c>
      <c r="N89" s="80">
        <f>'CapexSum$FY22'!N89*N$27</f>
        <v>8226516.2891243435</v>
      </c>
      <c r="O89" s="80">
        <f>'CapexSum$FY22'!O89*O$27</f>
        <v>446334.56276498747</v>
      </c>
      <c r="P89" s="80">
        <f>'CapexSum$FY22'!P89*P$27</f>
        <v>0</v>
      </c>
      <c r="Q89" s="80">
        <f>'CapexSum$FY22'!Q89*Q$27</f>
        <v>0</v>
      </c>
      <c r="R89" s="80">
        <f>'CapexSum$FY22'!R89*R$27</f>
        <v>0</v>
      </c>
      <c r="S89" s="80">
        <f>'CapexSum$FY22'!S89*S$27</f>
        <v>0</v>
      </c>
      <c r="T89" s="80">
        <f>'CapexSum$FY22'!T89*T$27</f>
        <v>0</v>
      </c>
    </row>
    <row r="90" spans="3:20" s="41" customFormat="1" outlineLevel="1">
      <c r="F90" s="134">
        <f>GC!C32</f>
        <v>3025</v>
      </c>
      <c r="G90" s="205" t="str">
        <f>GC!F32</f>
        <v xml:space="preserve">City Gate Security Fence Upgrades </v>
      </c>
      <c r="J90" s="80">
        <f>'CapexSum$FY22'!J90*J$27</f>
        <v>0</v>
      </c>
      <c r="K90" s="80">
        <f>'CapexSum$FY22'!K90*K$27</f>
        <v>0</v>
      </c>
      <c r="L90" s="80">
        <f>'CapexSum$FY22'!L90*L$27</f>
        <v>0</v>
      </c>
      <c r="M90" s="80">
        <f>'CapexSum$FY22'!M90*M$27</f>
        <v>0</v>
      </c>
      <c r="N90" s="80">
        <f>'CapexSum$FY22'!N90*N$27</f>
        <v>0</v>
      </c>
      <c r="O90" s="80">
        <f>'CapexSum$FY22'!O90*O$27</f>
        <v>0</v>
      </c>
      <c r="P90" s="80">
        <f>'CapexSum$FY22'!P90*P$27</f>
        <v>610597.15046036977</v>
      </c>
      <c r="Q90" s="80">
        <f>'CapexSum$FY22'!Q90*Q$27</f>
        <v>629063.64043046674</v>
      </c>
      <c r="R90" s="80">
        <f>'CapexSum$FY22'!R90*R$27</f>
        <v>645006.9137725241</v>
      </c>
      <c r="S90" s="80">
        <f>'CapexSum$FY22'!S90*S$27</f>
        <v>661356.63097603549</v>
      </c>
      <c r="T90" s="80">
        <f>'CapexSum$FY22'!T90*T$27</f>
        <v>604812.61803303903</v>
      </c>
    </row>
    <row r="91" spans="3:20" s="41" customFormat="1" outlineLevel="1">
      <c r="F91" s="134">
        <f>GC!C33</f>
        <v>3027</v>
      </c>
      <c r="G91" s="205" t="str">
        <f>GC!F33</f>
        <v>IT</v>
      </c>
      <c r="J91" s="80">
        <f>'CapexSum$FY22'!J91*J$27</f>
        <v>0</v>
      </c>
      <c r="K91" s="80">
        <f>'CapexSum$FY22'!K91*K$27</f>
        <v>0</v>
      </c>
      <c r="L91" s="80">
        <f>'CapexSum$FY22'!L91*L$27</f>
        <v>0</v>
      </c>
      <c r="M91" s="80">
        <f>'CapexSum$FY22'!M91*M$27</f>
        <v>0</v>
      </c>
      <c r="N91" s="80">
        <f>'CapexSum$FY22'!N91*N$27</f>
        <v>6495387.0956881428</v>
      </c>
      <c r="O91" s="80">
        <f>'CapexSum$FY22'!O91*O$27</f>
        <v>3426284.774147653</v>
      </c>
      <c r="P91" s="80">
        <f>'CapexSum$FY22'!P91*P$27</f>
        <v>16588198.349957483</v>
      </c>
      <c r="Q91" s="80">
        <f>'CapexSum$FY22'!Q91*Q$27</f>
        <v>19673466.181679111</v>
      </c>
      <c r="R91" s="80">
        <f>'CapexSum$FY22'!R91*R$27</f>
        <v>21896594.131377477</v>
      </c>
      <c r="S91" s="80">
        <f>'CapexSum$FY22'!S91*S$27</f>
        <v>11032954.911426026</v>
      </c>
      <c r="T91" s="80">
        <f>'CapexSum$FY22'!T91*T$27</f>
        <v>8285249.4168838337</v>
      </c>
    </row>
    <row r="92" spans="3:20" s="41" customFormat="1" outlineLevel="1">
      <c r="F92" s="134">
        <f>GC!C34</f>
        <v>3031</v>
      </c>
      <c r="G92" s="205" t="str">
        <f>GC!F34</f>
        <v>Other Non-IT</v>
      </c>
      <c r="J92" s="80">
        <f>'CapexSum$FY22'!J92*J$27</f>
        <v>0</v>
      </c>
      <c r="K92" s="80">
        <f>'CapexSum$FY22'!K92*K$27</f>
        <v>0</v>
      </c>
      <c r="L92" s="80">
        <f>'CapexSum$FY22'!L92*L$27</f>
        <v>0</v>
      </c>
      <c r="M92" s="80">
        <f>'CapexSum$FY22'!M92*M$27</f>
        <v>0</v>
      </c>
      <c r="N92" s="80">
        <f>'CapexSum$FY22'!N92*N$27</f>
        <v>361092.5049599809</v>
      </c>
      <c r="O92" s="80">
        <f>'CapexSum$FY22'!O92*O$27</f>
        <v>266160.2745760468</v>
      </c>
      <c r="P92" s="80">
        <f>'CapexSum$FY22'!P92*P$27</f>
        <v>1110111.7967818414</v>
      </c>
      <c r="Q92" s="80">
        <f>'CapexSum$FY22'!Q92*Q$27</f>
        <v>1143775.2757428458</v>
      </c>
      <c r="R92" s="80">
        <f>'CapexSum$FY22'!R92*R$27</f>
        <v>1172894.8637436603</v>
      </c>
      <c r="S92" s="80">
        <f>'CapexSum$FY22'!S92*S$27</f>
        <v>1202761.4978439952</v>
      </c>
      <c r="T92" s="80">
        <f>'CapexSum$FY22'!T92*T$27</f>
        <v>1233394.5456322476</v>
      </c>
    </row>
    <row r="93" spans="3:20" s="41" customFormat="1" ht="5.9" customHeight="1" outlineLevel="1"/>
    <row r="94" spans="3:20" s="41" customFormat="1" outlineLevel="1">
      <c r="F94" s="250" t="str">
        <f>"Total "&amp;E64</f>
        <v>Total Direct Capex including Non-CPI Escalation</v>
      </c>
      <c r="G94" s="250"/>
      <c r="H94" s="250"/>
      <c r="I94" s="250"/>
      <c r="J94" s="101">
        <f t="shared" ref="J94:T94" si="9">SUM(J66:J93)</f>
        <v>0</v>
      </c>
      <c r="K94" s="101">
        <f t="shared" si="9"/>
        <v>0</v>
      </c>
      <c r="L94" s="101">
        <f t="shared" si="9"/>
        <v>0</v>
      </c>
      <c r="M94" s="101">
        <f t="shared" si="9"/>
        <v>0</v>
      </c>
      <c r="N94" s="101">
        <f t="shared" si="9"/>
        <v>98433110.722133979</v>
      </c>
      <c r="O94" s="101">
        <f t="shared" si="9"/>
        <v>61325728.506928235</v>
      </c>
      <c r="P94" s="101">
        <f t="shared" si="9"/>
        <v>119686784.59415855</v>
      </c>
      <c r="Q94" s="101">
        <f t="shared" si="9"/>
        <v>127953259.74316138</v>
      </c>
      <c r="R94" s="101">
        <f t="shared" si="9"/>
        <v>128301671.31091282</v>
      </c>
      <c r="S94" s="101">
        <f t="shared" si="9"/>
        <v>117049932.06893809</v>
      </c>
      <c r="T94" s="101">
        <f t="shared" si="9"/>
        <v>108376035.62052384</v>
      </c>
    </row>
    <row r="95" spans="3:20" s="41" customFormat="1" outlineLevel="1">
      <c r="C95" s="109"/>
      <c r="D95" s="109"/>
      <c r="E95" s="109"/>
      <c r="F95" s="109"/>
      <c r="G95" s="109"/>
      <c r="H95" s="109"/>
      <c r="I95" s="109"/>
      <c r="J95" s="109"/>
      <c r="K95" s="109"/>
      <c r="L95" s="109"/>
      <c r="M95" s="109"/>
      <c r="N95" s="109"/>
      <c r="O95" s="109"/>
      <c r="P95" s="109"/>
      <c r="Q95" s="109"/>
      <c r="R95" s="109"/>
      <c r="S95" s="109"/>
      <c r="T95" s="109"/>
    </row>
    <row r="96" spans="3:20" s="41" customFormat="1" outlineLevel="1"/>
    <row r="97" spans="4:20" s="41" customFormat="1" outlineLevel="1">
      <c r="D97" s="50" t="str">
        <f>'CapexSum$FY22'!D97</f>
        <v>RAB Category Allocation</v>
      </c>
    </row>
    <row r="98" spans="4:20" s="41" customFormat="1" ht="5.9" customHeight="1" outlineLevel="1"/>
    <row r="99" spans="4:20" s="41" customFormat="1" outlineLevel="1">
      <c r="E99" s="50" t="str">
        <f>'CapexSum$FY22'!E99</f>
        <v>Direct Costs</v>
      </c>
    </row>
    <row r="100" spans="4:20" s="41" customFormat="1" ht="5.9" customHeight="1" outlineLevel="1"/>
    <row r="101" spans="4:20" s="41" customFormat="1" outlineLevel="1">
      <c r="F101" s="254" t="str">
        <f>GC!C40</f>
        <v>Transmission pipelines</v>
      </c>
      <c r="G101" s="254"/>
      <c r="H101" s="254"/>
      <c r="I101" s="254"/>
      <c r="J101" s="80">
        <f ca="1">Historical!J29*J$17+'CapexSum$FY22'!J101*J$27</f>
        <v>0</v>
      </c>
      <c r="K101" s="80">
        <f ca="1">Historical!K29*K$17+'CapexSum$FY22'!K101*K$27</f>
        <v>-4495.9271930200057</v>
      </c>
      <c r="L101" s="80">
        <f ca="1">Historical!L29*L$17+'CapexSum$FY22'!L101*L$27</f>
        <v>3326300.281206029</v>
      </c>
      <c r="M101" s="80">
        <f ca="1">Historical!M29*M$17+'CapexSum$FY22'!M101*M$27</f>
        <v>4247217.95740127</v>
      </c>
      <c r="N101" s="80">
        <f ca="1">Historical!N29*N$17+'CapexSum$FY22'!N101*N$27</f>
        <v>0</v>
      </c>
      <c r="O101" s="80">
        <f ca="1">Historical!O29*O$17+'CapexSum$FY22'!O101*O$27</f>
        <v>0</v>
      </c>
      <c r="P101" s="80">
        <f ca="1">Historical!P29*P$17+'CapexSum$FY22'!P101*P$27</f>
        <v>0</v>
      </c>
      <c r="Q101" s="80">
        <f ca="1">Historical!Q29*Q$17+'CapexSum$FY22'!Q101*Q$27</f>
        <v>0</v>
      </c>
      <c r="R101" s="80">
        <f ca="1">Historical!R29*R$17+'CapexSum$FY22'!R101*R$27</f>
        <v>0</v>
      </c>
      <c r="S101" s="80">
        <f ca="1">Historical!S29*S$17+'CapexSum$FY22'!S101*S$27</f>
        <v>0</v>
      </c>
      <c r="T101" s="80">
        <f ca="1">Historical!T29*T$17+'CapexSum$FY22'!T101*T$27</f>
        <v>0</v>
      </c>
    </row>
    <row r="102" spans="4:20" s="41" customFormat="1" outlineLevel="1">
      <c r="F102" s="254" t="str">
        <f>GC!C41</f>
        <v>Distribution pipelines</v>
      </c>
      <c r="G102" s="254"/>
      <c r="H102" s="254"/>
      <c r="I102" s="254"/>
      <c r="J102" s="80">
        <f ca="1">Historical!J30*J$17+'CapexSum$FY22'!J102*J$27</f>
        <v>43777425.585992448</v>
      </c>
      <c r="K102" s="80">
        <f ca="1">Historical!K30*K$17+'CapexSum$FY22'!K102*K$27</f>
        <v>40640366.711034037</v>
      </c>
      <c r="L102" s="80">
        <f ca="1">Historical!L30*L$17+'CapexSum$FY22'!L102*L$27</f>
        <v>36657301.86392808</v>
      </c>
      <c r="M102" s="80">
        <f ca="1">Historical!M30*M$17+'CapexSum$FY22'!M102*M$27</f>
        <v>37472427.866207406</v>
      </c>
      <c r="N102" s="80">
        <f ca="1">Historical!N30*N$17+'CapexSum$FY22'!N102*N$27</f>
        <v>0</v>
      </c>
      <c r="O102" s="80">
        <f ca="1">Historical!O30*O$17+'CapexSum$FY22'!O102*O$27</f>
        <v>0</v>
      </c>
      <c r="P102" s="80">
        <f ca="1">Historical!P30*P$17+'CapexSum$FY22'!P102*P$27</f>
        <v>0</v>
      </c>
      <c r="Q102" s="80">
        <f ca="1">Historical!Q30*Q$17+'CapexSum$FY22'!Q102*Q$27</f>
        <v>0</v>
      </c>
      <c r="R102" s="80">
        <f ca="1">Historical!R30*R$17+'CapexSum$FY22'!R102*R$27</f>
        <v>0</v>
      </c>
      <c r="S102" s="80">
        <f ca="1">Historical!S30*S$17+'CapexSum$FY22'!S102*S$27</f>
        <v>0</v>
      </c>
      <c r="T102" s="80">
        <f ca="1">Historical!T30*T$17+'CapexSum$FY22'!T102*T$27</f>
        <v>0</v>
      </c>
    </row>
    <row r="103" spans="4:20" s="41" customFormat="1" outlineLevel="1">
      <c r="F103" s="254" t="str">
        <f>GC!C42</f>
        <v>Service pipes</v>
      </c>
      <c r="G103" s="254"/>
      <c r="H103" s="254"/>
      <c r="I103" s="254"/>
      <c r="J103" s="80">
        <f ca="1">Historical!J31*J$17+'CapexSum$FY22'!J103*J$27</f>
        <v>24382843.142516576</v>
      </c>
      <c r="K103" s="80">
        <f ca="1">Historical!K31*K$17+'CapexSum$FY22'!K103*K$27</f>
        <v>34723791.029748268</v>
      </c>
      <c r="L103" s="80">
        <f ca="1">Historical!L31*L$17+'CapexSum$FY22'!L103*L$27</f>
        <v>35952700.101527527</v>
      </c>
      <c r="M103" s="80">
        <f ca="1">Historical!M31*M$17+'CapexSum$FY22'!M103*M$27</f>
        <v>35443673.371927865</v>
      </c>
      <c r="N103" s="80">
        <f ca="1">Historical!N31*N$17+'CapexSum$FY22'!N103*N$27</f>
        <v>0</v>
      </c>
      <c r="O103" s="80">
        <f ca="1">Historical!O31*O$17+'CapexSum$FY22'!O103*O$27</f>
        <v>0</v>
      </c>
      <c r="P103" s="80">
        <f ca="1">Historical!P31*P$17+'CapexSum$FY22'!P103*P$27</f>
        <v>0</v>
      </c>
      <c r="Q103" s="80">
        <f ca="1">Historical!Q31*Q$17+'CapexSum$FY22'!Q103*Q$27</f>
        <v>0</v>
      </c>
      <c r="R103" s="80">
        <f ca="1">Historical!R31*R$17+'CapexSum$FY22'!R103*R$27</f>
        <v>0</v>
      </c>
      <c r="S103" s="80">
        <f ca="1">Historical!S31*S$17+'CapexSum$FY22'!S103*S$27</f>
        <v>0</v>
      </c>
      <c r="T103" s="80">
        <f ca="1">Historical!T31*T$17+'CapexSum$FY22'!T103*T$27</f>
        <v>0</v>
      </c>
    </row>
    <row r="104" spans="4:20" s="41" customFormat="1" outlineLevel="1">
      <c r="F104" s="254" t="str">
        <f>GC!C43</f>
        <v>Cathodic protection</v>
      </c>
      <c r="G104" s="254"/>
      <c r="H104" s="254"/>
      <c r="I104" s="254"/>
      <c r="J104" s="80">
        <f ca="1">Historical!J32*J$17+'CapexSum$FY22'!J104*J$27</f>
        <v>94718.072755021945</v>
      </c>
      <c r="K104" s="80">
        <f ca="1">Historical!K32*K$17+'CapexSum$FY22'!K104*K$27</f>
        <v>182909.31509421553</v>
      </c>
      <c r="L104" s="80">
        <f ca="1">Historical!L32*L$17+'CapexSum$FY22'!L104*L$27</f>
        <v>140085.51207888353</v>
      </c>
      <c r="M104" s="80">
        <f ca="1">Historical!M32*M$17+'CapexSum$FY22'!M104*M$27</f>
        <v>113182.96394814715</v>
      </c>
      <c r="N104" s="80">
        <f ca="1">Historical!N32*N$17+'CapexSum$FY22'!N104*N$27</f>
        <v>0</v>
      </c>
      <c r="O104" s="80">
        <f ca="1">Historical!O32*O$17+'CapexSum$FY22'!O104*O$27</f>
        <v>0</v>
      </c>
      <c r="P104" s="80">
        <f ca="1">Historical!P32*P$17+'CapexSum$FY22'!P104*P$27</f>
        <v>0</v>
      </c>
      <c r="Q104" s="80">
        <f ca="1">Historical!Q32*Q$17+'CapexSum$FY22'!Q104*Q$27</f>
        <v>0</v>
      </c>
      <c r="R104" s="80">
        <f ca="1">Historical!R32*R$17+'CapexSum$FY22'!R104*R$27</f>
        <v>0</v>
      </c>
      <c r="S104" s="80">
        <f ca="1">Historical!S32*S$17+'CapexSum$FY22'!S104*S$27</f>
        <v>0</v>
      </c>
      <c r="T104" s="80">
        <f ca="1">Historical!T32*T$17+'CapexSum$FY22'!T104*T$27</f>
        <v>0</v>
      </c>
    </row>
    <row r="105" spans="4:20" s="41" customFormat="1" outlineLevel="1">
      <c r="F105" s="254" t="str">
        <f>GC!C44</f>
        <v>Supply Regulators / Valve Stations</v>
      </c>
      <c r="G105" s="254"/>
      <c r="H105" s="254"/>
      <c r="I105" s="254"/>
      <c r="J105" s="80">
        <f ca="1">Historical!J33*J$17+'CapexSum$FY22'!J105*J$27</f>
        <v>1615221.6722513002</v>
      </c>
      <c r="K105" s="80">
        <f ca="1">Historical!K33*K$17+'CapexSum$FY22'!K105*K$27</f>
        <v>590241.43122282578</v>
      </c>
      <c r="L105" s="80">
        <f ca="1">Historical!L33*L$17+'CapexSum$FY22'!L105*L$27</f>
        <v>1413403.7325182527</v>
      </c>
      <c r="M105" s="80">
        <f ca="1">Historical!M33*M$17+'CapexSum$FY22'!M105*M$27</f>
        <v>5218228.7832809687</v>
      </c>
      <c r="N105" s="80">
        <f ca="1">Historical!N33*N$17+'CapexSum$FY22'!N105*N$27</f>
        <v>8249873.7993068593</v>
      </c>
      <c r="O105" s="80">
        <f ca="1">Historical!O33*O$17+'CapexSum$FY22'!O105*O$27</f>
        <v>2771436.9967689482</v>
      </c>
      <c r="P105" s="80">
        <f ca="1">Historical!P33*P$17+'CapexSum$FY22'!P105*P$27</f>
        <v>7052832.9134721132</v>
      </c>
      <c r="Q105" s="80">
        <f ca="1">Historical!Q33*Q$17+'CapexSum$FY22'!Q105*Q$27</f>
        <v>8615241.327858679</v>
      </c>
      <c r="R105" s="80">
        <f ca="1">Historical!R33*R$17+'CapexSum$FY22'!R105*R$27</f>
        <v>4734997.2983145816</v>
      </c>
      <c r="S105" s="80">
        <f ca="1">Historical!S33*S$17+'CapexSum$FY22'!S105*S$27</f>
        <v>4916768.6079919003</v>
      </c>
      <c r="T105" s="80">
        <f ca="1">Historical!T33*T$17+'CapexSum$FY22'!T105*T$27</f>
        <v>9079106.2827004939</v>
      </c>
    </row>
    <row r="106" spans="4:20" s="41" customFormat="1" outlineLevel="1">
      <c r="F106" s="254" t="str">
        <f>GC!C45</f>
        <v>Meters</v>
      </c>
      <c r="G106" s="254"/>
      <c r="H106" s="254"/>
      <c r="I106" s="254"/>
      <c r="J106" s="80">
        <f ca="1">Historical!J34*J$17+'CapexSum$FY22'!J106*J$27</f>
        <v>14880760.72623197</v>
      </c>
      <c r="K106" s="80">
        <f ca="1">Historical!K34*K$17+'CapexSum$FY22'!K106*K$27</f>
        <v>15082094.527111748</v>
      </c>
      <c r="L106" s="80">
        <f ca="1">Historical!L34*L$17+'CapexSum$FY22'!L106*L$27</f>
        <v>11844663.511139749</v>
      </c>
      <c r="M106" s="80">
        <f ca="1">Historical!M34*M$17+'CapexSum$FY22'!M106*M$27</f>
        <v>16942542.22846856</v>
      </c>
      <c r="N106" s="80">
        <f ca="1">Historical!N34*N$17+'CapexSum$FY22'!N106*N$27</f>
        <v>15188293.461129813</v>
      </c>
      <c r="O106" s="80">
        <f ca="1">Historical!O34*O$17+'CapexSum$FY22'!O106*O$27</f>
        <v>8337008.3076425008</v>
      </c>
      <c r="P106" s="80">
        <f ca="1">Historical!P34*P$17+'CapexSum$FY22'!P106*P$27</f>
        <v>16156864.949517816</v>
      </c>
      <c r="Q106" s="80">
        <f ca="1">Historical!Q34*Q$17+'CapexSum$FY22'!Q106*Q$27</f>
        <v>18090989.238576945</v>
      </c>
      <c r="R106" s="80">
        <f ca="1">Historical!R34*R$17+'CapexSum$FY22'!R106*R$27</f>
        <v>19447524.321685281</v>
      </c>
      <c r="S106" s="80">
        <f ca="1">Historical!S34*S$17+'CapexSum$FY22'!S106*S$27</f>
        <v>17990889.793568332</v>
      </c>
      <c r="T106" s="80">
        <f ca="1">Historical!T34*T$17+'CapexSum$FY22'!T106*T$27</f>
        <v>17268682.683555804</v>
      </c>
    </row>
    <row r="107" spans="4:20" s="41" customFormat="1" outlineLevel="1">
      <c r="F107" s="254" t="str">
        <f>GC!C46</f>
        <v>SCADA and remote control</v>
      </c>
      <c r="G107" s="254"/>
      <c r="H107" s="254"/>
      <c r="I107" s="254"/>
      <c r="J107" s="80">
        <f ca="1">Historical!J35*J$17+'CapexSum$FY22'!J107*J$27</f>
        <v>286930.85931012052</v>
      </c>
      <c r="K107" s="80">
        <f ca="1">Historical!K35*K$17+'CapexSum$FY22'!K107*K$27</f>
        <v>415527.53519299289</v>
      </c>
      <c r="L107" s="80">
        <f ca="1">Historical!L35*L$17+'CapexSum$FY22'!L107*L$27</f>
        <v>362372.76508955518</v>
      </c>
      <c r="M107" s="80">
        <f ca="1">Historical!M35*M$17+'CapexSum$FY22'!M107*M$27</f>
        <v>515518.14910206525</v>
      </c>
      <c r="N107" s="80">
        <f ca="1">Historical!N35*N$17+'CapexSum$FY22'!N107*N$27</f>
        <v>1261735.9153766781</v>
      </c>
      <c r="O107" s="80">
        <f ca="1">Historical!O35*O$17+'CapexSum$FY22'!O107*O$27</f>
        <v>147723.02313734809</v>
      </c>
      <c r="P107" s="80">
        <f ca="1">Historical!P35*P$17+'CapexSum$FY22'!P107*P$27</f>
        <v>1270702.1779850938</v>
      </c>
      <c r="Q107" s="80">
        <f ca="1">Historical!Q35*Q$17+'CapexSum$FY22'!Q107*Q$27</f>
        <v>1252460.0408570552</v>
      </c>
      <c r="R107" s="80">
        <f ca="1">Historical!R35*R$17+'CapexSum$FY22'!R107*R$27</f>
        <v>296354.52794953808</v>
      </c>
      <c r="S107" s="80">
        <f ca="1">Historical!S35*S$17+'CapexSum$FY22'!S107*S$27</f>
        <v>277054.80486833921</v>
      </c>
      <c r="T107" s="80">
        <f ca="1">Historical!T35*T$17+'CapexSum$FY22'!T107*T$27</f>
        <v>311570.13656247465</v>
      </c>
    </row>
    <row r="108" spans="4:20" s="41" customFormat="1" outlineLevel="1">
      <c r="F108" s="254" t="str">
        <f>GC!C47</f>
        <v>Buildings</v>
      </c>
      <c r="G108" s="254"/>
      <c r="H108" s="254"/>
      <c r="I108" s="254"/>
      <c r="J108" s="80">
        <f ca="1">Historical!J36*J$17+'CapexSum$FY22'!J108*J$27</f>
        <v>0</v>
      </c>
      <c r="K108" s="80">
        <f ca="1">Historical!K36*K$17+'CapexSum$FY22'!K108*K$27</f>
        <v>0</v>
      </c>
      <c r="L108" s="80">
        <f ca="1">Historical!L36*L$17+'CapexSum$FY22'!L108*L$27</f>
        <v>0</v>
      </c>
      <c r="M108" s="80">
        <f ca="1">Historical!M36*M$17+'CapexSum$FY22'!M108*M$27</f>
        <v>0</v>
      </c>
      <c r="N108" s="80">
        <f ca="1">Historical!N36*N$17+'CapexSum$FY22'!N108*N$27</f>
        <v>0</v>
      </c>
      <c r="O108" s="80">
        <f ca="1">Historical!O36*O$17+'CapexSum$FY22'!O108*O$27</f>
        <v>0</v>
      </c>
      <c r="P108" s="80">
        <f ca="1">Historical!P36*P$17+'CapexSum$FY22'!P108*P$27</f>
        <v>0</v>
      </c>
      <c r="Q108" s="80">
        <f ca="1">Historical!Q36*Q$17+'CapexSum$FY22'!Q108*Q$27</f>
        <v>0</v>
      </c>
      <c r="R108" s="80">
        <f ca="1">Historical!R36*R$17+'CapexSum$FY22'!R108*R$27</f>
        <v>0</v>
      </c>
      <c r="S108" s="80">
        <f ca="1">Historical!S36*S$17+'CapexSum$FY22'!S108*S$27</f>
        <v>0</v>
      </c>
      <c r="T108" s="80">
        <f ca="1">Historical!T36*T$17+'CapexSum$FY22'!T108*T$27</f>
        <v>0</v>
      </c>
    </row>
    <row r="109" spans="4:20" s="41" customFormat="1" outlineLevel="1">
      <c r="F109" s="254" t="str">
        <f>GC!C48</f>
        <v>Other - IT</v>
      </c>
      <c r="G109" s="254"/>
      <c r="H109" s="254"/>
      <c r="I109" s="254"/>
      <c r="J109" s="80">
        <f ca="1">Historical!J37*J$17+'CapexSum$FY22'!J109*J$27</f>
        <v>8221381.4400000013</v>
      </c>
      <c r="K109" s="80">
        <f ca="1">Historical!K37*K$17+'CapexSum$FY22'!K109*K$27</f>
        <v>7191495.790000001</v>
      </c>
      <c r="L109" s="80">
        <f ca="1">Historical!L37*L$17+'CapexSum$FY22'!L109*L$27</f>
        <v>5733648.04</v>
      </c>
      <c r="M109" s="80">
        <f ca="1">Historical!M37*M$17+'CapexSum$FY22'!M109*M$27</f>
        <v>6770127.3438302651</v>
      </c>
      <c r="N109" s="80">
        <f ca="1">Historical!N37*N$17+'CapexSum$FY22'!N109*N$27</f>
        <v>6495387.0956881428</v>
      </c>
      <c r="O109" s="80">
        <f ca="1">Historical!O37*O$17+'CapexSum$FY22'!O109*O$27</f>
        <v>3426284.774147653</v>
      </c>
      <c r="P109" s="80">
        <f ca="1">Historical!P37*P$17+'CapexSum$FY22'!P109*P$27</f>
        <v>16588198.349957483</v>
      </c>
      <c r="Q109" s="80">
        <f ca="1">Historical!Q37*Q$17+'CapexSum$FY22'!Q109*Q$27</f>
        <v>19673466.181679111</v>
      </c>
      <c r="R109" s="80">
        <f ca="1">Historical!R37*R$17+'CapexSum$FY22'!R109*R$27</f>
        <v>21896594.131377477</v>
      </c>
      <c r="S109" s="80">
        <f ca="1">Historical!S37*S$17+'CapexSum$FY22'!S109*S$27</f>
        <v>11032954.911426026</v>
      </c>
      <c r="T109" s="80">
        <f ca="1">Historical!T37*T$17+'CapexSum$FY22'!T109*T$27</f>
        <v>8285249.4168838337</v>
      </c>
    </row>
    <row r="110" spans="4:20" s="41" customFormat="1" outlineLevel="1">
      <c r="F110" s="254" t="str">
        <f>GC!C49</f>
        <v>Other - non IT</v>
      </c>
      <c r="G110" s="254"/>
      <c r="H110" s="254"/>
      <c r="I110" s="254"/>
      <c r="J110" s="80">
        <f ca="1">Historical!J38*J$17+'CapexSum$FY22'!J110*J$27</f>
        <v>707175.11990894924</v>
      </c>
      <c r="K110" s="80">
        <f ca="1">Historical!K38*K$17+'CapexSum$FY22'!K110*K$27</f>
        <v>254524.12778893881</v>
      </c>
      <c r="L110" s="80">
        <f ca="1">Historical!L38*L$17+'CapexSum$FY22'!L110*L$27</f>
        <v>-275841.05748808506</v>
      </c>
      <c r="M110" s="80">
        <f ca="1">Historical!M38*M$17+'CapexSum$FY22'!M110*M$27</f>
        <v>436833.11294260086</v>
      </c>
      <c r="N110" s="80">
        <f ca="1">Historical!N38*N$17+'CapexSum$FY22'!N110*N$27</f>
        <v>361092.5049599809</v>
      </c>
      <c r="O110" s="80">
        <f ca="1">Historical!O38*O$17+'CapexSum$FY22'!O110*O$27</f>
        <v>266160.2745760468</v>
      </c>
      <c r="P110" s="80">
        <f ca="1">Historical!P38*P$17+'CapexSum$FY22'!P110*P$27</f>
        <v>1720708.9472422113</v>
      </c>
      <c r="Q110" s="80">
        <f ca="1">Historical!Q38*Q$17+'CapexSum$FY22'!Q110*Q$27</f>
        <v>1772838.9161733126</v>
      </c>
      <c r="R110" s="80">
        <f ca="1">Historical!R38*R$17+'CapexSum$FY22'!R110*R$27</f>
        <v>1817901.7775161844</v>
      </c>
      <c r="S110" s="80">
        <f ca="1">Historical!S38*S$17+'CapexSum$FY22'!S110*S$27</f>
        <v>1864118.1288200307</v>
      </c>
      <c r="T110" s="80">
        <f ca="1">Historical!T38*T$17+'CapexSum$FY22'!T110*T$27</f>
        <v>1838207.1636652865</v>
      </c>
    </row>
    <row r="111" spans="4:20" s="41" customFormat="1" outlineLevel="1">
      <c r="F111" s="254" t="str">
        <f>GC!C50</f>
        <v>Land</v>
      </c>
      <c r="G111" s="254"/>
      <c r="H111" s="254"/>
      <c r="I111" s="254"/>
      <c r="J111" s="80">
        <f ca="1">Historical!J39*J$17+'CapexSum$FY22'!J111*J$27</f>
        <v>0</v>
      </c>
      <c r="K111" s="80">
        <f ca="1">Historical!K39*K$17+'CapexSum$FY22'!K111*K$27</f>
        <v>0</v>
      </c>
      <c r="L111" s="80">
        <f ca="1">Historical!L39*L$17+'CapexSum$FY22'!L111*L$27</f>
        <v>0</v>
      </c>
      <c r="M111" s="80">
        <f ca="1">Historical!M39*M$17+'CapexSum$FY22'!M111*M$27</f>
        <v>0</v>
      </c>
      <c r="N111" s="80">
        <f ca="1">Historical!N39*N$17+'CapexSum$FY22'!N111*N$27</f>
        <v>0</v>
      </c>
      <c r="O111" s="80">
        <f ca="1">Historical!O39*O$17+'CapexSum$FY22'!O111*O$27</f>
        <v>0</v>
      </c>
      <c r="P111" s="80">
        <f ca="1">Historical!P39*P$17+'CapexSum$FY22'!P111*P$27</f>
        <v>0</v>
      </c>
      <c r="Q111" s="80">
        <f ca="1">Historical!Q39*Q$17+'CapexSum$FY22'!Q111*Q$27</f>
        <v>0</v>
      </c>
      <c r="R111" s="80">
        <f ca="1">Historical!R39*R$17+'CapexSum$FY22'!R111*R$27</f>
        <v>0</v>
      </c>
      <c r="S111" s="80">
        <f ca="1">Historical!S39*S$17+'CapexSum$FY22'!S111*S$27</f>
        <v>0</v>
      </c>
      <c r="T111" s="80">
        <f ca="1">Historical!T39*T$17+'CapexSum$FY22'!T111*T$27</f>
        <v>0</v>
      </c>
    </row>
    <row r="112" spans="4:20" s="41" customFormat="1" outlineLevel="1">
      <c r="F112" s="254" t="str">
        <f>GC!C51</f>
        <v>Capitalised Leases</v>
      </c>
      <c r="G112" s="254"/>
      <c r="H112" s="254"/>
      <c r="I112" s="254"/>
      <c r="J112" s="80">
        <f ca="1">Historical!J40*J$17+'CapexSum$FY22'!J112*J$27</f>
        <v>0</v>
      </c>
      <c r="K112" s="80">
        <f ca="1">Historical!K40*K$17+'CapexSum$FY22'!K112*K$27</f>
        <v>9576833.6300000008</v>
      </c>
      <c r="L112" s="80">
        <f ca="1">Historical!L40*L$17+'CapexSum$FY22'!L112*L$27</f>
        <v>519381.27535376884</v>
      </c>
      <c r="M112" s="80">
        <f ca="1">Historical!M40*M$17+'CapexSum$FY22'!M112*M$27</f>
        <v>-1349647.4423711495</v>
      </c>
      <c r="N112" s="80">
        <f ca="1">Historical!N40*N$17+'CapexSum$FY22'!N112*N$27</f>
        <v>0</v>
      </c>
      <c r="O112" s="80">
        <f ca="1">Historical!O40*O$17+'CapexSum$FY22'!O112*O$27</f>
        <v>0</v>
      </c>
      <c r="P112" s="80">
        <f ca="1">Historical!P40*P$17+'CapexSum$FY22'!P112*P$27</f>
        <v>0</v>
      </c>
      <c r="Q112" s="80">
        <f ca="1">Historical!Q40*Q$17+'CapexSum$FY22'!Q112*Q$27</f>
        <v>0</v>
      </c>
      <c r="R112" s="80">
        <f ca="1">Historical!R40*R$17+'CapexSum$FY22'!R112*R$27</f>
        <v>0</v>
      </c>
      <c r="S112" s="80">
        <f ca="1">Historical!S40*S$17+'CapexSum$FY22'!S112*S$27</f>
        <v>0</v>
      </c>
      <c r="T112" s="80">
        <f ca="1">Historical!T40*T$17+'CapexSum$FY22'!T112*T$27</f>
        <v>0</v>
      </c>
    </row>
    <row r="113" spans="5:20" s="41" customFormat="1" outlineLevel="1">
      <c r="F113" s="254" t="str">
        <f>GC!C52</f>
        <v>Transmission pipelines - post 1998</v>
      </c>
      <c r="G113" s="254"/>
      <c r="H113" s="254"/>
      <c r="I113" s="254"/>
      <c r="J113" s="80">
        <f ca="1">Historical!J41*J$17+'CapexSum$FY22'!J113*J$27</f>
        <v>0</v>
      </c>
      <c r="K113" s="80">
        <f ca="1">Historical!K41*K$17+'CapexSum$FY22'!K113*K$27</f>
        <v>0</v>
      </c>
      <c r="L113" s="80">
        <f ca="1">Historical!L41*L$17+'CapexSum$FY22'!L113*L$27</f>
        <v>0</v>
      </c>
      <c r="M113" s="80">
        <f ca="1">Historical!M41*M$17+'CapexSum$FY22'!M113*M$27</f>
        <v>0</v>
      </c>
      <c r="N113" s="80">
        <f ca="1">Historical!N41*N$17+'CapexSum$FY22'!N113*N$27</f>
        <v>658135.47544068424</v>
      </c>
      <c r="O113" s="80">
        <f ca="1">Historical!O41*O$17+'CapexSum$FY22'!O113*O$27</f>
        <v>263804.81699368596</v>
      </c>
      <c r="P113" s="80">
        <f ca="1">Historical!P41*P$17+'CapexSum$FY22'!P113*P$27</f>
        <v>598666.46203044965</v>
      </c>
      <c r="Q113" s="80">
        <f ca="1">Historical!Q41*Q$17+'CapexSum$FY22'!Q113*Q$27</f>
        <v>1903749.3628147852</v>
      </c>
      <c r="R113" s="80">
        <f ca="1">Historical!R41*R$17+'CapexSum$FY22'!R113*R$27</f>
        <v>5690975.9914007699</v>
      </c>
      <c r="S113" s="80">
        <f ca="1">Historical!S41*S$17+'CapexSum$FY22'!S113*S$27</f>
        <v>852878.88817971468</v>
      </c>
      <c r="T113" s="80">
        <f ca="1">Historical!T41*T$17+'CapexSum$FY22'!T113*T$27</f>
        <v>146.69751430477729</v>
      </c>
    </row>
    <row r="114" spans="5:20" s="41" customFormat="1" outlineLevel="1">
      <c r="F114" s="254" t="str">
        <f>GC!C53</f>
        <v>Distribution pipelines - post 1998</v>
      </c>
      <c r="G114" s="254"/>
      <c r="H114" s="254"/>
      <c r="I114" s="254"/>
      <c r="J114" s="80">
        <f ca="1">Historical!J42*J$17+'CapexSum$FY22'!J114*J$27</f>
        <v>0</v>
      </c>
      <c r="K114" s="80">
        <f ca="1">Historical!K42*K$17+'CapexSum$FY22'!K114*K$27</f>
        <v>0</v>
      </c>
      <c r="L114" s="80">
        <f ca="1">Historical!L42*L$17+'CapexSum$FY22'!L114*L$27</f>
        <v>0</v>
      </c>
      <c r="M114" s="80">
        <f ca="1">Historical!M42*M$17+'CapexSum$FY22'!M114*M$27</f>
        <v>0</v>
      </c>
      <c r="N114" s="80">
        <f ca="1">Historical!N42*N$17+'CapexSum$FY22'!N114*N$27</f>
        <v>25684302.873133689</v>
      </c>
      <c r="O114" s="80">
        <f ca="1">Historical!O42*O$17+'CapexSum$FY22'!O114*O$27</f>
        <v>20560617.726956069</v>
      </c>
      <c r="P114" s="80">
        <f ca="1">Historical!P42*P$17+'CapexSum$FY22'!P114*P$27</f>
        <v>33305282.310185764</v>
      </c>
      <c r="Q114" s="80">
        <f ca="1">Historical!Q42*Q$17+'CapexSum$FY22'!Q114*Q$27</f>
        <v>32933052.209839545</v>
      </c>
      <c r="R114" s="80">
        <f ca="1">Historical!R42*R$17+'CapexSum$FY22'!R114*R$27</f>
        <v>30242322.141196877</v>
      </c>
      <c r="S114" s="80">
        <f ca="1">Historical!S42*S$17+'CapexSum$FY22'!S114*S$27</f>
        <v>33663482.128171116</v>
      </c>
      <c r="T114" s="80">
        <f ca="1">Historical!T42*T$17+'CapexSum$FY22'!T114*T$27</f>
        <v>29695220.635382455</v>
      </c>
    </row>
    <row r="115" spans="5:20" s="41" customFormat="1" outlineLevel="1">
      <c r="F115" s="254" t="str">
        <f>GC!C54</f>
        <v>Service pipes - post 1998</v>
      </c>
      <c r="G115" s="254"/>
      <c r="H115" s="254"/>
      <c r="I115" s="254"/>
      <c r="J115" s="80">
        <f ca="1">Historical!J43*J$17+'CapexSum$FY22'!J115*J$27</f>
        <v>0</v>
      </c>
      <c r="K115" s="80">
        <f ca="1">Historical!K43*K$17+'CapexSum$FY22'!K115*K$27</f>
        <v>0</v>
      </c>
      <c r="L115" s="80">
        <f ca="1">Historical!L43*L$17+'CapexSum$FY22'!L115*L$27</f>
        <v>0</v>
      </c>
      <c r="M115" s="80">
        <f ca="1">Historical!M43*M$17+'CapexSum$FY22'!M115*M$27</f>
        <v>0</v>
      </c>
      <c r="N115" s="80">
        <f ca="1">Historical!N43*N$17+'CapexSum$FY22'!N115*N$27</f>
        <v>40331786.373885624</v>
      </c>
      <c r="O115" s="80">
        <f ca="1">Historical!O43*O$17+'CapexSum$FY22'!O115*O$27</f>
        <v>25350090.487254828</v>
      </c>
      <c r="P115" s="80">
        <f ca="1">Historical!P43*P$17+'CapexSum$FY22'!P115*P$27</f>
        <v>42571018.060279854</v>
      </c>
      <c r="Q115" s="80">
        <f ca="1">Historical!Q43*Q$17+'CapexSum$FY22'!Q115*Q$27</f>
        <v>43253466.602444164</v>
      </c>
      <c r="R115" s="80">
        <f ca="1">Historical!R43*R$17+'CapexSum$FY22'!R115*R$27</f>
        <v>43720457.751647837</v>
      </c>
      <c r="S115" s="80">
        <f ca="1">Historical!S43*S$17+'CapexSum$FY22'!S115*S$27</f>
        <v>45985666.928492755</v>
      </c>
      <c r="T115" s="80">
        <f ca="1">Historical!T43*T$17+'CapexSum$FY22'!T115*T$27</f>
        <v>41419863.203482807</v>
      </c>
    </row>
    <row r="116" spans="5:20" s="41" customFormat="1" outlineLevel="1">
      <c r="F116" s="254" t="str">
        <f>GC!C55</f>
        <v>Cathodic protection - post 1998</v>
      </c>
      <c r="G116" s="254"/>
      <c r="H116" s="254"/>
      <c r="I116" s="254"/>
      <c r="J116" s="80">
        <f ca="1">Historical!J44*J$17+'CapexSum$FY22'!J116*J$27</f>
        <v>0</v>
      </c>
      <c r="K116" s="80">
        <f ca="1">Historical!K44*K$17+'CapexSum$FY22'!K116*K$27</f>
        <v>0</v>
      </c>
      <c r="L116" s="80">
        <f ca="1">Historical!L44*L$17+'CapexSum$FY22'!L116*L$27</f>
        <v>0</v>
      </c>
      <c r="M116" s="80">
        <f ca="1">Historical!M44*M$17+'CapexSum$FY22'!M116*M$27</f>
        <v>0</v>
      </c>
      <c r="N116" s="80">
        <f ca="1">Historical!N44*N$17+'CapexSum$FY22'!N116*N$27</f>
        <v>202503.22321251823</v>
      </c>
      <c r="O116" s="80">
        <f ca="1">Historical!O44*O$17+'CapexSum$FY22'!O116*O$27</f>
        <v>202602.09945115086</v>
      </c>
      <c r="P116" s="80">
        <f ca="1">Historical!P44*P$17+'CapexSum$FY22'!P116*P$27</f>
        <v>422510.42348776449</v>
      </c>
      <c r="Q116" s="80">
        <f ca="1">Historical!Q44*Q$17+'CapexSum$FY22'!Q116*Q$27</f>
        <v>457995.86291779828</v>
      </c>
      <c r="R116" s="80">
        <f ca="1">Historical!R44*R$17+'CapexSum$FY22'!R116*R$27</f>
        <v>454543.36982426385</v>
      </c>
      <c r="S116" s="80">
        <f ca="1">Historical!S44*S$17+'CapexSum$FY22'!S116*S$27</f>
        <v>466117.87741989235</v>
      </c>
      <c r="T116" s="80">
        <f ca="1">Historical!T44*T$17+'CapexSum$FY22'!T116*T$27</f>
        <v>477989.40077639936</v>
      </c>
    </row>
    <row r="117" spans="5:20" s="41" customFormat="1" outlineLevel="1">
      <c r="F117" s="255" t="str">
        <f>"Total "&amp;E99</f>
        <v>Total Direct Costs</v>
      </c>
      <c r="G117" s="255"/>
      <c r="H117" s="255"/>
      <c r="I117" s="255"/>
      <c r="J117" s="101">
        <f t="shared" ref="J117:T117" ca="1" si="10">SUM(J101:J116)</f>
        <v>93966456.618966386</v>
      </c>
      <c r="K117" s="101">
        <f t="shared" ca="1" si="10"/>
        <v>108653288.17000002</v>
      </c>
      <c r="L117" s="101">
        <f t="shared" ca="1" si="10"/>
        <v>95674016.025353774</v>
      </c>
      <c r="M117" s="101">
        <f t="shared" ca="1" si="10"/>
        <v>105810104.334738</v>
      </c>
      <c r="N117" s="101">
        <f t="shared" ca="1" si="10"/>
        <v>98433110.722134009</v>
      </c>
      <c r="O117" s="101">
        <f t="shared" ca="1" si="10"/>
        <v>61325728.506928235</v>
      </c>
      <c r="P117" s="101">
        <f t="shared" ca="1" si="10"/>
        <v>119686784.59415855</v>
      </c>
      <c r="Q117" s="101">
        <f t="shared" ca="1" si="10"/>
        <v>127953259.7431614</v>
      </c>
      <c r="R117" s="101">
        <f t="shared" ca="1" si="10"/>
        <v>128301671.31091282</v>
      </c>
      <c r="S117" s="101">
        <f t="shared" ca="1" si="10"/>
        <v>117049932.06893811</v>
      </c>
      <c r="T117" s="101">
        <f t="shared" ca="1" si="10"/>
        <v>108376035.62052386</v>
      </c>
    </row>
    <row r="118" spans="5:20" s="41" customFormat="1" outlineLevel="1"/>
    <row r="119" spans="5:20" s="41" customFormat="1" outlineLevel="1">
      <c r="E119" s="50" t="str">
        <f>'CapexSum$FY22'!E119</f>
        <v>Overheads</v>
      </c>
    </row>
    <row r="120" spans="5:20" s="41" customFormat="1" ht="5.9" customHeight="1" outlineLevel="1"/>
    <row r="121" spans="5:20" s="41" customFormat="1" outlineLevel="1">
      <c r="F121" s="251" t="str">
        <f>GC!C40</f>
        <v>Transmission pipelines</v>
      </c>
      <c r="G121" s="251"/>
      <c r="H121" s="251"/>
      <c r="I121" s="251"/>
      <c r="J121" s="80">
        <f ca="1">Historical!J49*J$17+'CapexSum$FY22'!J121*J$27*J$18</f>
        <v>0</v>
      </c>
      <c r="K121" s="80">
        <f ca="1">Historical!K49*K$17+'CapexSum$FY22'!K121*K$27*K$18</f>
        <v>-146.94480697999188</v>
      </c>
      <c r="L121" s="80">
        <f ca="1">Historical!L49*L$17+'CapexSum$FY22'!L121*L$27*L$18</f>
        <v>120141.19879397161</v>
      </c>
      <c r="M121" s="80">
        <f ca="1">Historical!M49*M$17+'CapexSum$FY22'!M121*M$27*M$18</f>
        <v>107148.46124316768</v>
      </c>
      <c r="N121" s="80">
        <f ca="1">Historical!N49*N$17+'CapexSum$FY22'!N121*N$27*N$18</f>
        <v>0</v>
      </c>
      <c r="O121" s="80">
        <f ca="1">Historical!O49*O$17+'CapexSum$FY22'!O121*O$27*O$18</f>
        <v>0</v>
      </c>
      <c r="P121" s="80">
        <f ca="1">Historical!P49*P$17+'CapexSum$FY22'!P121*P$27*P$18</f>
        <v>0</v>
      </c>
      <c r="Q121" s="80">
        <f ca="1">Historical!Q49*Q$17+'CapexSum$FY22'!Q121*Q$27*Q$18</f>
        <v>0</v>
      </c>
      <c r="R121" s="80">
        <f ca="1">Historical!R49*R$17+'CapexSum$FY22'!R121*R$27*R$18</f>
        <v>0</v>
      </c>
      <c r="S121" s="80">
        <f ca="1">Historical!S49*S$17+'CapexSum$FY22'!S121*S$27*S$18</f>
        <v>0</v>
      </c>
      <c r="T121" s="80">
        <f ca="1">Historical!T49*T$17+'CapexSum$FY22'!T121*T$27*T$18</f>
        <v>0</v>
      </c>
    </row>
    <row r="122" spans="5:20" s="41" customFormat="1" outlineLevel="1">
      <c r="F122" s="251" t="str">
        <f>GC!C41</f>
        <v>Distribution pipelines</v>
      </c>
      <c r="G122" s="251"/>
      <c r="H122" s="251"/>
      <c r="I122" s="251"/>
      <c r="J122" s="80">
        <f ca="1">Historical!J50*J$17+'CapexSum$FY22'!J122*J$27*J$18</f>
        <v>2413019.590007544</v>
      </c>
      <c r="K122" s="80">
        <f ca="1">Historical!K50*K$17+'CapexSum$FY22'!K122*K$27*K$18</f>
        <v>1328289.0459659654</v>
      </c>
      <c r="L122" s="80">
        <f ca="1">Historical!L50*L$17+'CapexSum$FY22'!L122*L$27*L$18</f>
        <v>1324009.2048719116</v>
      </c>
      <c r="M122" s="80">
        <f ca="1">Historical!M50*M$17+'CapexSum$FY22'!M122*M$27*M$18</f>
        <v>945351.29234724597</v>
      </c>
      <c r="N122" s="80">
        <f ca="1">Historical!N50*N$17+'CapexSum$FY22'!N122*N$27*N$18</f>
        <v>0</v>
      </c>
      <c r="O122" s="80">
        <f ca="1">Historical!O50*O$17+'CapexSum$FY22'!O122*O$27*O$18</f>
        <v>0</v>
      </c>
      <c r="P122" s="80">
        <f ca="1">Historical!P50*P$17+'CapexSum$FY22'!P122*P$27*P$18</f>
        <v>0</v>
      </c>
      <c r="Q122" s="80">
        <f ca="1">Historical!Q50*Q$17+'CapexSum$FY22'!Q122*Q$27*Q$18</f>
        <v>0</v>
      </c>
      <c r="R122" s="80">
        <f ca="1">Historical!R50*R$17+'CapexSum$FY22'!R122*R$27*R$18</f>
        <v>0</v>
      </c>
      <c r="S122" s="80">
        <f ca="1">Historical!S50*S$17+'CapexSum$FY22'!S122*S$27*S$18</f>
        <v>0</v>
      </c>
      <c r="T122" s="80">
        <f ca="1">Historical!T50*T$17+'CapexSum$FY22'!T122*T$27*T$18</f>
        <v>0</v>
      </c>
    </row>
    <row r="123" spans="5:20" s="41" customFormat="1" outlineLevel="1">
      <c r="F123" s="251" t="str">
        <f>GC!C42</f>
        <v>Service pipes</v>
      </c>
      <c r="G123" s="251"/>
      <c r="H123" s="251"/>
      <c r="I123" s="251"/>
      <c r="J123" s="80">
        <f ca="1">Historical!J51*J$17+'CapexSum$FY22'!J123*J$27*J$18</f>
        <v>1343986.7094834277</v>
      </c>
      <c r="K123" s="80">
        <f ca="1">Historical!K51*K$17+'CapexSum$FY22'!K123*K$27*K$18</f>
        <v>1134911.7882517339</v>
      </c>
      <c r="L123" s="80">
        <f ca="1">Historical!L51*L$17+'CapexSum$FY22'!L123*L$27*L$18</f>
        <v>1298559.9990724714</v>
      </c>
      <c r="M123" s="80">
        <f ca="1">Historical!M51*M$17+'CapexSum$FY22'!M123*M$27*M$18</f>
        <v>894170.04276635079</v>
      </c>
      <c r="N123" s="80">
        <f ca="1">Historical!N51*N$17+'CapexSum$FY22'!N123*N$27*N$18</f>
        <v>0</v>
      </c>
      <c r="O123" s="80">
        <f ca="1">Historical!O51*O$17+'CapexSum$FY22'!O123*O$27*O$18</f>
        <v>0</v>
      </c>
      <c r="P123" s="80">
        <f ca="1">Historical!P51*P$17+'CapexSum$FY22'!P123*P$27*P$18</f>
        <v>0</v>
      </c>
      <c r="Q123" s="80">
        <f ca="1">Historical!Q51*Q$17+'CapexSum$FY22'!Q123*Q$27*Q$18</f>
        <v>0</v>
      </c>
      <c r="R123" s="80">
        <f ca="1">Historical!R51*R$17+'CapexSum$FY22'!R123*R$27*R$18</f>
        <v>0</v>
      </c>
      <c r="S123" s="80">
        <f ca="1">Historical!S51*S$17+'CapexSum$FY22'!S123*S$27*S$18</f>
        <v>0</v>
      </c>
      <c r="T123" s="80">
        <f ca="1">Historical!T51*T$17+'CapexSum$FY22'!T123*T$27*T$18</f>
        <v>0</v>
      </c>
    </row>
    <row r="124" spans="5:20" s="41" customFormat="1" outlineLevel="1">
      <c r="F124" s="251" t="str">
        <f>GC!C43</f>
        <v>Cathodic protection</v>
      </c>
      <c r="G124" s="251"/>
      <c r="H124" s="251"/>
      <c r="I124" s="251"/>
      <c r="J124" s="80">
        <f ca="1">Historical!J52*J$17+'CapexSum$FY22'!J124*J$27*J$18</f>
        <v>5220.8772449780481</v>
      </c>
      <c r="K124" s="80">
        <f ca="1">Historical!K52*K$17+'CapexSum$FY22'!K124*K$27*K$18</f>
        <v>5978.2049057844752</v>
      </c>
      <c r="L124" s="80">
        <f ca="1">Historical!L52*L$17+'CapexSum$FY22'!L124*L$27*L$18</f>
        <v>5059.6879211164696</v>
      </c>
      <c r="M124" s="80">
        <f ca="1">Historical!M52*M$17+'CapexSum$FY22'!M124*M$27*M$18</f>
        <v>2855.3703971917716</v>
      </c>
      <c r="N124" s="80">
        <f ca="1">Historical!N52*N$17+'CapexSum$FY22'!N124*N$27*N$18</f>
        <v>0</v>
      </c>
      <c r="O124" s="80">
        <f ca="1">Historical!O52*O$17+'CapexSum$FY22'!O124*O$27*O$18</f>
        <v>0</v>
      </c>
      <c r="P124" s="80">
        <f ca="1">Historical!P52*P$17+'CapexSum$FY22'!P124*P$27*P$18</f>
        <v>0</v>
      </c>
      <c r="Q124" s="80">
        <f ca="1">Historical!Q52*Q$17+'CapexSum$FY22'!Q124*Q$27*Q$18</f>
        <v>0</v>
      </c>
      <c r="R124" s="80">
        <f ca="1">Historical!R52*R$17+'CapexSum$FY22'!R124*R$27*R$18</f>
        <v>0</v>
      </c>
      <c r="S124" s="80">
        <f ca="1">Historical!S52*S$17+'CapexSum$FY22'!S124*S$27*S$18</f>
        <v>0</v>
      </c>
      <c r="T124" s="80">
        <f ca="1">Historical!T52*T$17+'CapexSum$FY22'!T124*T$27*T$18</f>
        <v>0</v>
      </c>
    </row>
    <row r="125" spans="5:20" s="41" customFormat="1" outlineLevel="1">
      <c r="F125" s="251" t="str">
        <f>GC!C44</f>
        <v>Supply Regulators / Valve Stations</v>
      </c>
      <c r="G125" s="251"/>
      <c r="H125" s="251"/>
      <c r="I125" s="251"/>
      <c r="J125" s="80">
        <f ca="1">Historical!J53*J$17+'CapexSum$FY22'!J125*J$27*J$18</f>
        <v>89031.309748699394</v>
      </c>
      <c r="K125" s="80">
        <f ca="1">Historical!K53*K$17+'CapexSum$FY22'!K125*K$27*K$18</f>
        <v>19291.440777174157</v>
      </c>
      <c r="L125" s="80">
        <f ca="1">Historical!L53*L$17+'CapexSum$FY22'!L125*L$27*L$18</f>
        <v>51050.117081747339</v>
      </c>
      <c r="M125" s="80">
        <f ca="1">Historical!M53*M$17+'CapexSum$FY22'!M125*M$27*M$18</f>
        <v>131645.04156633222</v>
      </c>
      <c r="N125" s="80">
        <f ca="1">Historical!N53*N$17+'CapexSum$FY22'!N125*N$27*N$18</f>
        <v>311111.05175395997</v>
      </c>
      <c r="O125" s="80">
        <f ca="1">Historical!O53*O$17+'CapexSum$FY22'!O125*O$27*O$18</f>
        <v>92244.423237527139</v>
      </c>
      <c r="P125" s="80">
        <f ca="1">Historical!P53*P$17+'CapexSum$FY22'!P125*P$27*P$18</f>
        <v>188682.04459217394</v>
      </c>
      <c r="Q125" s="80">
        <f ca="1">Historical!Q53*Q$17+'CapexSum$FY22'!Q125*Q$27*Q$18</f>
        <v>224518.24915732219</v>
      </c>
      <c r="R125" s="80">
        <f ca="1">Historical!R53*R$17+'CapexSum$FY22'!R125*R$27*R$18</f>
        <v>127243.61074881669</v>
      </c>
      <c r="S125" s="80">
        <f ca="1">Historical!S53*S$17+'CapexSum$FY22'!S125*S$27*S$18</f>
        <v>140354.95643182172</v>
      </c>
      <c r="T125" s="80">
        <f ca="1">Historical!T53*T$17+'CapexSum$FY22'!T125*T$27*T$18</f>
        <v>271650.29372986528</v>
      </c>
    </row>
    <row r="126" spans="5:20" s="41" customFormat="1" outlineLevel="1">
      <c r="F126" s="251" t="str">
        <f>GC!C45</f>
        <v>Meters</v>
      </c>
      <c r="G126" s="251"/>
      <c r="H126" s="251"/>
      <c r="I126" s="251"/>
      <c r="J126" s="80">
        <f ca="1">Historical!J54*J$17+'CapexSum$FY22'!J126*J$27*J$18</f>
        <v>820230.2137680304</v>
      </c>
      <c r="K126" s="80">
        <f ca="1">Historical!K54*K$17+'CapexSum$FY22'!K126*K$27*K$18</f>
        <v>492942.91788825375</v>
      </c>
      <c r="L126" s="80">
        <f ca="1">Historical!L54*L$17+'CapexSum$FY22'!L126*L$27*L$18</f>
        <v>427812.26986025093</v>
      </c>
      <c r="M126" s="80">
        <f ca="1">Historical!M54*M$17+'CapexSum$FY22'!M126*M$27*M$18</f>
        <v>427425.04565001355</v>
      </c>
      <c r="N126" s="80">
        <f ca="1">Historical!N54*N$17+'CapexSum$FY22'!N126*N$27*N$18</f>
        <v>572765.84684688097</v>
      </c>
      <c r="O126" s="80">
        <f ca="1">Historical!O54*O$17+'CapexSum$FY22'!O126*O$27*O$18</f>
        <v>277488.72652040632</v>
      </c>
      <c r="P126" s="80">
        <f ca="1">Historical!P54*P$17+'CapexSum$FY22'!P126*P$27*P$18</f>
        <v>432239.1229560363</v>
      </c>
      <c r="Q126" s="80">
        <f ca="1">Historical!Q54*Q$17+'CapexSum$FY22'!Q126*Q$27*Q$18</f>
        <v>471461.80528164085</v>
      </c>
      <c r="R126" s="80">
        <f ca="1">Historical!R54*R$17+'CapexSum$FY22'!R126*R$27*R$18</f>
        <v>522613.43754039507</v>
      </c>
      <c r="S126" s="80">
        <f ca="1">Historical!S54*S$17+'CapexSum$FY22'!S126*S$27*S$18</f>
        <v>513571.15912300174</v>
      </c>
      <c r="T126" s="80">
        <f ca="1">Historical!T54*T$17+'CapexSum$FY22'!T126*T$27*T$18</f>
        <v>516685.51697144232</v>
      </c>
    </row>
    <row r="127" spans="5:20" s="41" customFormat="1" outlineLevel="1">
      <c r="F127" s="251" t="str">
        <f>GC!C46</f>
        <v>SCADA and remote control</v>
      </c>
      <c r="G127" s="251"/>
      <c r="H127" s="251"/>
      <c r="I127" s="251"/>
      <c r="J127" s="80">
        <f ca="1">Historical!J55*J$17+'CapexSum$FY22'!J127*J$27*J$18</f>
        <v>15815.68068987954</v>
      </c>
      <c r="K127" s="80">
        <f ca="1">Historical!K55*K$17+'CapexSum$FY22'!K127*K$27*K$18</f>
        <v>13581.094807007126</v>
      </c>
      <c r="L127" s="80">
        <f ca="1">Historical!L55*L$17+'CapexSum$FY22'!L127*L$27*L$18</f>
        <v>13088.384910444842</v>
      </c>
      <c r="M127" s="80">
        <f ca="1">Historical!M55*M$17+'CapexSum$FY22'!M127*M$27*M$18</f>
        <v>13005.448972298524</v>
      </c>
      <c r="N127" s="80">
        <f ca="1">Historical!N55*N$17+'CapexSum$FY22'!N127*N$27*N$18</f>
        <v>47581.33242008675</v>
      </c>
      <c r="O127" s="80">
        <f ca="1">Historical!O55*O$17+'CapexSum$FY22'!O127*O$27*O$18</f>
        <v>4916.8085307712272</v>
      </c>
      <c r="P127" s="80">
        <f ca="1">Historical!P55*P$17+'CapexSum$FY22'!P127*P$27*P$18</f>
        <v>33994.663981330967</v>
      </c>
      <c r="Q127" s="80">
        <f ca="1">Historical!Q55*Q$17+'CapexSum$FY22'!Q127*Q$27*Q$18</f>
        <v>32639.844295879597</v>
      </c>
      <c r="R127" s="80">
        <f ca="1">Historical!R55*R$17+'CapexSum$FY22'!R127*R$27*R$18</f>
        <v>7963.9370040364965</v>
      </c>
      <c r="S127" s="80">
        <f ca="1">Historical!S55*S$17+'CapexSum$FY22'!S127*S$27*S$18</f>
        <v>7908.8560326625538</v>
      </c>
      <c r="T127" s="80">
        <f ca="1">Historical!T55*T$17+'CapexSum$FY22'!T127*T$27*T$18</f>
        <v>9322.2963229235029</v>
      </c>
    </row>
    <row r="128" spans="5:20" s="41" customFormat="1" outlineLevel="1">
      <c r="F128" s="251" t="str">
        <f>GC!C47</f>
        <v>Buildings</v>
      </c>
      <c r="G128" s="251"/>
      <c r="H128" s="251"/>
      <c r="I128" s="251"/>
      <c r="J128" s="80">
        <f ca="1">Historical!J56*J$17+'CapexSum$FY22'!J128*J$27*J$18</f>
        <v>0</v>
      </c>
      <c r="K128" s="80">
        <f ca="1">Historical!K56*K$17+'CapexSum$FY22'!K128*K$27*K$18</f>
        <v>0</v>
      </c>
      <c r="L128" s="80">
        <f ca="1">Historical!L56*L$17+'CapexSum$FY22'!L128*L$27*L$18</f>
        <v>0</v>
      </c>
      <c r="M128" s="80">
        <f ca="1">Historical!M56*M$17+'CapexSum$FY22'!M128*M$27*M$18</f>
        <v>0</v>
      </c>
      <c r="N128" s="80">
        <f ca="1">Historical!N56*N$17+'CapexSum$FY22'!N128*N$27*N$18</f>
        <v>0</v>
      </c>
      <c r="O128" s="80">
        <f ca="1">Historical!O56*O$17+'CapexSum$FY22'!O128*O$27*O$18</f>
        <v>0</v>
      </c>
      <c r="P128" s="80">
        <f ca="1">Historical!P56*P$17+'CapexSum$FY22'!P128*P$27*P$18</f>
        <v>0</v>
      </c>
      <c r="Q128" s="80">
        <f ca="1">Historical!Q56*Q$17+'CapexSum$FY22'!Q128*Q$27*Q$18</f>
        <v>0</v>
      </c>
      <c r="R128" s="80">
        <f ca="1">Historical!R56*R$17+'CapexSum$FY22'!R128*R$27*R$18</f>
        <v>0</v>
      </c>
      <c r="S128" s="80">
        <f ca="1">Historical!S56*S$17+'CapexSum$FY22'!S128*S$27*S$18</f>
        <v>0</v>
      </c>
      <c r="T128" s="80">
        <f ca="1">Historical!T56*T$17+'CapexSum$FY22'!T128*T$27*T$18</f>
        <v>0</v>
      </c>
    </row>
    <row r="129" spans="5:20" s="41" customFormat="1" outlineLevel="1">
      <c r="F129" s="251" t="str">
        <f>GC!C48</f>
        <v>Other - IT</v>
      </c>
      <c r="G129" s="251"/>
      <c r="H129" s="251"/>
      <c r="I129" s="251"/>
      <c r="J129" s="80">
        <f ca="1">Historical!J57*J$17+'CapexSum$FY22'!J129*J$27*J$18</f>
        <v>599335.85000000009</v>
      </c>
      <c r="K129" s="80">
        <f ca="1">Historical!K57*K$17+'CapexSum$FY22'!K129*K$27*K$18</f>
        <v>438304.14999999991</v>
      </c>
      <c r="L129" s="80">
        <f ca="1">Historical!L57*L$17+'CapexSum$FY22'!L129*L$27*L$18</f>
        <v>375127.92</v>
      </c>
      <c r="M129" s="80">
        <f ca="1">Historical!M57*M$17+'CapexSum$FY22'!M129*M$27*M$18</f>
        <v>477940.18000000005</v>
      </c>
      <c r="N129" s="80">
        <f ca="1">Historical!N57*N$17+'CapexSum$FY22'!N129*N$27*N$18</f>
        <v>482892.13671703276</v>
      </c>
      <c r="O129" s="80">
        <f ca="1">Historical!O57*O$17+'CapexSum$FY22'!O129*O$27*O$18</f>
        <v>253747.50604017256</v>
      </c>
      <c r="P129" s="80">
        <f ca="1">Historical!P57*P$17+'CapexSum$FY22'!P129*P$27*P$18</f>
        <v>404561.9383521179</v>
      </c>
      <c r="Q129" s="80">
        <f ca="1">Historical!Q57*Q$17+'CapexSum$FY22'!Q129*Q$27*Q$18</f>
        <v>416513.06622340961</v>
      </c>
      <c r="R129" s="80">
        <f ca="1">Historical!R57*R$17+'CapexSum$FY22'!R129*R$27*R$18</f>
        <v>438460.55564604513</v>
      </c>
      <c r="S129" s="80">
        <f ca="1">Historical!S57*S$17+'CapexSum$FY22'!S129*S$27*S$18</f>
        <v>437125.77965686453</v>
      </c>
      <c r="T129" s="80">
        <f ca="1">Historical!T57*T$17+'CapexSum$FY22'!T129*T$27*T$18</f>
        <v>447810.63366582565</v>
      </c>
    </row>
    <row r="130" spans="5:20" s="41" customFormat="1" outlineLevel="1">
      <c r="F130" s="251" t="str">
        <f>GC!C49</f>
        <v>Other - non IT</v>
      </c>
      <c r="G130" s="251"/>
      <c r="H130" s="251"/>
      <c r="I130" s="251"/>
      <c r="J130" s="80">
        <f ca="1">Historical!J58*J$17+'CapexSum$FY22'!J130*J$27*J$18</f>
        <v>38979.62009105071</v>
      </c>
      <c r="K130" s="80">
        <f ca="1">Historical!K58*K$17+'CapexSum$FY22'!K130*K$27*K$18</f>
        <v>8318.8622110611614</v>
      </c>
      <c r="L130" s="80">
        <f ca="1">Historical!L58*L$17+'CapexSum$FY22'!L130*L$27*L$18</f>
        <v>-9941.3125119147353</v>
      </c>
      <c r="M130" s="80">
        <f ca="1">Historical!M58*M$17+'CapexSum$FY22'!M130*M$27*M$18</f>
        <v>11341.347057399154</v>
      </c>
      <c r="N130" s="80">
        <f ca="1">Historical!N58*N$17+'CapexSum$FY22'!N130*N$27*N$18</f>
        <v>0</v>
      </c>
      <c r="O130" s="80">
        <f ca="1">Historical!O58*O$17+'CapexSum$FY22'!O130*O$27*O$18</f>
        <v>0</v>
      </c>
      <c r="P130" s="80">
        <f ca="1">Historical!P58*P$17+'CapexSum$FY22'!P130*P$27*P$18</f>
        <v>16335.098276743453</v>
      </c>
      <c r="Q130" s="80">
        <f ca="1">Historical!Q58*Q$17+'CapexSum$FY22'!Q130*Q$27*Q$18</f>
        <v>16393.767949514189</v>
      </c>
      <c r="R130" s="80">
        <f ca="1">Historical!R58*R$17+'CapexSum$FY22'!R130*R$27*R$18</f>
        <v>17333.274655844139</v>
      </c>
      <c r="S130" s="80">
        <f ca="1">Historical!S58*S$17+'CapexSum$FY22'!S130*S$27*S$18</f>
        <v>18879.204723129966</v>
      </c>
      <c r="T130" s="80">
        <f ca="1">Historical!T58*T$17+'CapexSum$FY22'!T130*T$27*T$18</f>
        <v>18096.222273910327</v>
      </c>
    </row>
    <row r="131" spans="5:20" s="41" customFormat="1" outlineLevel="1">
      <c r="F131" s="251" t="str">
        <f>GC!C50</f>
        <v>Land</v>
      </c>
      <c r="G131" s="251"/>
      <c r="H131" s="251"/>
      <c r="I131" s="251"/>
      <c r="J131" s="80">
        <f ca="1">Historical!J59*J$17+'CapexSum$FY22'!J131*J$27*J$18</f>
        <v>0</v>
      </c>
      <c r="K131" s="80">
        <f ca="1">Historical!K59*K$17+'CapexSum$FY22'!K131*K$27*K$18</f>
        <v>0</v>
      </c>
      <c r="L131" s="80">
        <f ca="1">Historical!L59*L$17+'CapexSum$FY22'!L131*L$27*L$18</f>
        <v>0</v>
      </c>
      <c r="M131" s="80">
        <f ca="1">Historical!M59*M$17+'CapexSum$FY22'!M131*M$27*M$18</f>
        <v>0</v>
      </c>
      <c r="N131" s="80">
        <f ca="1">Historical!N59*N$17+'CapexSum$FY22'!N131*N$27*N$18</f>
        <v>0</v>
      </c>
      <c r="O131" s="80">
        <f ca="1">Historical!O59*O$17+'CapexSum$FY22'!O131*O$27*O$18</f>
        <v>0</v>
      </c>
      <c r="P131" s="80">
        <f ca="1">Historical!P59*P$17+'CapexSum$FY22'!P131*P$27*P$18</f>
        <v>0</v>
      </c>
      <c r="Q131" s="80">
        <f ca="1">Historical!Q59*Q$17+'CapexSum$FY22'!Q131*Q$27*Q$18</f>
        <v>0</v>
      </c>
      <c r="R131" s="80">
        <f ca="1">Historical!R59*R$17+'CapexSum$FY22'!R131*R$27*R$18</f>
        <v>0</v>
      </c>
      <c r="S131" s="80">
        <f ca="1">Historical!S59*S$17+'CapexSum$FY22'!S131*S$27*S$18</f>
        <v>0</v>
      </c>
      <c r="T131" s="80">
        <f ca="1">Historical!T59*T$17+'CapexSum$FY22'!T131*T$27*T$18</f>
        <v>0</v>
      </c>
    </row>
    <row r="132" spans="5:20" s="41" customFormat="1" outlineLevel="1">
      <c r="F132" s="251" t="str">
        <f>GC!C51</f>
        <v>Capitalised Leases</v>
      </c>
      <c r="G132" s="251"/>
      <c r="H132" s="251"/>
      <c r="I132" s="251"/>
      <c r="J132" s="80">
        <f ca="1">Historical!J60*J$17+'CapexSum$FY22'!J132*J$27*J$18</f>
        <v>0</v>
      </c>
      <c r="K132" s="80">
        <f ca="1">Historical!K60*K$17+'CapexSum$FY22'!K132*K$27*K$18</f>
        <v>0</v>
      </c>
      <c r="L132" s="80">
        <f ca="1">Historical!L60*L$17+'CapexSum$FY22'!L132*L$27*L$18</f>
        <v>0</v>
      </c>
      <c r="M132" s="80">
        <f ca="1">Historical!M60*M$17+'CapexSum$FY22'!M132*M$27*M$18</f>
        <v>0</v>
      </c>
      <c r="N132" s="80">
        <f ca="1">Historical!N60*N$17+'CapexSum$FY22'!N132*N$27*N$18</f>
        <v>0</v>
      </c>
      <c r="O132" s="80">
        <f ca="1">Historical!O60*O$17+'CapexSum$FY22'!O132*O$27*O$18</f>
        <v>0</v>
      </c>
      <c r="P132" s="80">
        <f ca="1">Historical!P60*P$17+'CapexSum$FY22'!P132*P$27*P$18</f>
        <v>0</v>
      </c>
      <c r="Q132" s="80">
        <f ca="1">Historical!Q60*Q$17+'CapexSum$FY22'!Q132*Q$27*Q$18</f>
        <v>0</v>
      </c>
      <c r="R132" s="80">
        <f ca="1">Historical!R60*R$17+'CapexSum$FY22'!R132*R$27*R$18</f>
        <v>0</v>
      </c>
      <c r="S132" s="80">
        <f ca="1">Historical!S60*S$17+'CapexSum$FY22'!S132*S$27*S$18</f>
        <v>0</v>
      </c>
      <c r="T132" s="80">
        <f ca="1">Historical!T60*T$17+'CapexSum$FY22'!T132*T$27*T$18</f>
        <v>0</v>
      </c>
    </row>
    <row r="133" spans="5:20" s="41" customFormat="1" outlineLevel="1">
      <c r="F133" s="251" t="str">
        <f>GC!C52</f>
        <v>Transmission pipelines - post 1998</v>
      </c>
      <c r="G133" s="251"/>
      <c r="H133" s="251"/>
      <c r="I133" s="251"/>
      <c r="J133" s="80">
        <f ca="1">Historical!J61*J$17+'CapexSum$FY22'!J133*J$27*J$18</f>
        <v>0</v>
      </c>
      <c r="K133" s="80">
        <f ca="1">Historical!K61*K$17+'CapexSum$FY22'!K133*K$27*K$18</f>
        <v>0</v>
      </c>
      <c r="L133" s="80">
        <f ca="1">Historical!L61*L$17+'CapexSum$FY22'!L133*L$27*L$18</f>
        <v>0</v>
      </c>
      <c r="M133" s="80">
        <f ca="1">Historical!M61*M$17+'CapexSum$FY22'!M133*M$27*M$18</f>
        <v>0</v>
      </c>
      <c r="N133" s="80">
        <f ca="1">Historical!N61*N$17+'CapexSum$FY22'!N133*N$27*N$18</f>
        <v>24818.951773316432</v>
      </c>
      <c r="O133" s="80">
        <f ca="1">Historical!O61*O$17+'CapexSum$FY22'!O133*O$27*O$18</f>
        <v>8780.4713653004292</v>
      </c>
      <c r="P133" s="80">
        <f ca="1">Historical!P61*P$17+'CapexSum$FY22'!P133*P$27*P$18</f>
        <v>16015.920619486109</v>
      </c>
      <c r="Q133" s="80">
        <f ca="1">Historical!Q61*Q$17+'CapexSum$FY22'!Q133*Q$27*Q$18</f>
        <v>49612.826560225949</v>
      </c>
      <c r="R133" s="80">
        <f ca="1">Historical!R61*R$17+'CapexSum$FY22'!R133*R$27*R$18</f>
        <v>152933.6318921276</v>
      </c>
      <c r="S133" s="80">
        <f ca="1">Historical!S61*S$17+'CapexSum$FY22'!S133*S$27*S$18</f>
        <v>24346.433345980549</v>
      </c>
      <c r="T133" s="80">
        <f ca="1">Historical!T61*T$17+'CapexSum$FY22'!T133*T$27*T$18</f>
        <v>4.3892451095396519</v>
      </c>
    </row>
    <row r="134" spans="5:20" s="41" customFormat="1" outlineLevel="1">
      <c r="F134" s="251" t="str">
        <f>GC!C53</f>
        <v>Distribution pipelines - post 1998</v>
      </c>
      <c r="G134" s="251"/>
      <c r="H134" s="251"/>
      <c r="I134" s="251"/>
      <c r="J134" s="80">
        <f ca="1">Historical!J62*J$17+'CapexSum$FY22'!J134*J$27*J$18</f>
        <v>0</v>
      </c>
      <c r="K134" s="80">
        <f ca="1">Historical!K62*K$17+'CapexSum$FY22'!K134*K$27*K$18</f>
        <v>0</v>
      </c>
      <c r="L134" s="80">
        <f ca="1">Historical!L62*L$17+'CapexSum$FY22'!L134*L$27*L$18</f>
        <v>0</v>
      </c>
      <c r="M134" s="80">
        <f ca="1">Historical!M62*M$17+'CapexSum$FY22'!M134*M$27*M$18</f>
        <v>0</v>
      </c>
      <c r="N134" s="80">
        <f ca="1">Historical!N62*N$17+'CapexSum$FY22'!N134*N$27*N$18</f>
        <v>968580.9352743359</v>
      </c>
      <c r="O134" s="80">
        <f ca="1">Historical!O62*O$17+'CapexSum$FY22'!O134*O$27*O$18</f>
        <v>684338.9641696614</v>
      </c>
      <c r="P134" s="80">
        <f ca="1">Historical!P62*P$17+'CapexSum$FY22'!P134*P$27*P$18</f>
        <v>891004.91094886023</v>
      </c>
      <c r="Q134" s="80">
        <f ca="1">Historical!Q62*Q$17+'CapexSum$FY22'!Q134*Q$27*Q$18</f>
        <v>858254.68378349592</v>
      </c>
      <c r="R134" s="80">
        <f ca="1">Historical!R62*R$17+'CapexSum$FY22'!R134*R$27*R$18</f>
        <v>812702.10397892294</v>
      </c>
      <c r="S134" s="80">
        <f ca="1">Historical!S62*S$17+'CapexSum$FY22'!S134*S$27*S$18</f>
        <v>960963.78417380434</v>
      </c>
      <c r="T134" s="80">
        <f ca="1">Historical!T62*T$17+'CapexSum$FY22'!T134*T$27*T$18</f>
        <v>888492.23225255974</v>
      </c>
    </row>
    <row r="135" spans="5:20" s="41" customFormat="1" outlineLevel="1">
      <c r="F135" s="251" t="str">
        <f>GC!C54</f>
        <v>Service pipes - post 1998</v>
      </c>
      <c r="G135" s="251"/>
      <c r="H135" s="251"/>
      <c r="I135" s="251"/>
      <c r="J135" s="80">
        <f ca="1">Historical!J63*J$17+'CapexSum$FY22'!J135*J$27*J$18</f>
        <v>0</v>
      </c>
      <c r="K135" s="80">
        <f ca="1">Historical!K63*K$17+'CapexSum$FY22'!K135*K$27*K$18</f>
        <v>0</v>
      </c>
      <c r="L135" s="80">
        <f ca="1">Historical!L63*L$17+'CapexSum$FY22'!L135*L$27*L$18</f>
        <v>0</v>
      </c>
      <c r="M135" s="80">
        <f ca="1">Historical!M63*M$17+'CapexSum$FY22'!M135*M$27*M$18</f>
        <v>0</v>
      </c>
      <c r="N135" s="80">
        <f ca="1">Historical!N63*N$17+'CapexSum$FY22'!N135*N$27*N$18</f>
        <v>1520952.2937126409</v>
      </c>
      <c r="O135" s="80">
        <f ca="1">Historical!O63*O$17+'CapexSum$FY22'!O135*O$27*O$18</f>
        <v>843751.62731180619</v>
      </c>
      <c r="P135" s="80">
        <f ca="1">Historical!P63*P$17+'CapexSum$FY22'!P135*P$27*P$18</f>
        <v>1138887.9938784228</v>
      </c>
      <c r="Q135" s="80">
        <f ca="1">Historical!Q63*Q$17+'CapexSum$FY22'!Q135*Q$27*Q$18</f>
        <v>1127210.744539781</v>
      </c>
      <c r="R135" s="80">
        <f ca="1">Historical!R63*R$17+'CapexSum$FY22'!R135*R$27*R$18</f>
        <v>1174900.1229400828</v>
      </c>
      <c r="S135" s="80">
        <f ca="1">Historical!S63*S$17+'CapexSum$FY22'!S135*S$27*S$18</f>
        <v>1312715.0762689493</v>
      </c>
      <c r="T135" s="80">
        <f ca="1">Historical!T63*T$17+'CapexSum$FY22'!T135*T$27*T$18</f>
        <v>1239297.9721931645</v>
      </c>
    </row>
    <row r="136" spans="5:20" s="41" customFormat="1" outlineLevel="1">
      <c r="F136" s="251" t="str">
        <f>GC!C55</f>
        <v>Cathodic protection - post 1998</v>
      </c>
      <c r="G136" s="251"/>
      <c r="H136" s="251"/>
      <c r="I136" s="251"/>
      <c r="J136" s="80">
        <f ca="1">Historical!J64*J$17+'CapexSum$FY22'!J136*J$27*J$18</f>
        <v>0</v>
      </c>
      <c r="K136" s="80">
        <f ca="1">Historical!K64*K$17+'CapexSum$FY22'!K136*K$27*K$18</f>
        <v>0</v>
      </c>
      <c r="L136" s="80">
        <f ca="1">Historical!L64*L$17+'CapexSum$FY22'!L136*L$27*L$18</f>
        <v>0</v>
      </c>
      <c r="M136" s="80">
        <f ca="1">Historical!M64*M$17+'CapexSum$FY22'!M136*M$27*M$18</f>
        <v>0</v>
      </c>
      <c r="N136" s="80">
        <f ca="1">Historical!N64*N$17+'CapexSum$FY22'!N136*N$27*N$18</f>
        <v>7636.6005456358253</v>
      </c>
      <c r="O136" s="80">
        <f ca="1">Historical!O64*O$17+'CapexSum$FY22'!O136*O$27*O$18</f>
        <v>6743.4020085507309</v>
      </c>
      <c r="P136" s="80">
        <f ca="1">Historical!P64*P$17+'CapexSum$FY22'!P136*P$27*P$18</f>
        <v>11303.277922960237</v>
      </c>
      <c r="Q136" s="80">
        <f ca="1">Historical!Q64*Q$17+'CapexSum$FY22'!Q136*Q$27*Q$18</f>
        <v>11935.64119104706</v>
      </c>
      <c r="R136" s="80">
        <f ca="1">Historical!R64*R$17+'CapexSum$FY22'!R136*R$27*R$18</f>
        <v>12214.946698905478</v>
      </c>
      <c r="S136" s="80">
        <f ca="1">Historical!S64*S$17+'CapexSum$FY22'!S136*S$27*S$18</f>
        <v>13305.8843304163</v>
      </c>
      <c r="T136" s="80">
        <f ca="1">Historical!T64*T$17+'CapexSum$FY22'!T136*T$27*T$18</f>
        <v>14301.623648583365</v>
      </c>
    </row>
    <row r="137" spans="5:20" s="41" customFormat="1" outlineLevel="1">
      <c r="F137" s="250" t="s">
        <v>275</v>
      </c>
      <c r="G137" s="250"/>
      <c r="H137" s="250"/>
      <c r="I137" s="250"/>
      <c r="J137" s="101">
        <f t="shared" ref="J137:T137" ca="1" si="11">SUM(J121:J136)</f>
        <v>5325619.8510336094</v>
      </c>
      <c r="K137" s="101">
        <f t="shared" ca="1" si="11"/>
        <v>3441470.5600000005</v>
      </c>
      <c r="L137" s="101">
        <f t="shared" ca="1" si="11"/>
        <v>3604907.4699999993</v>
      </c>
      <c r="M137" s="101">
        <f t="shared" ca="1" si="11"/>
        <v>3010882.23</v>
      </c>
      <c r="N137" s="101">
        <f t="shared" ca="1" si="11"/>
        <v>3936339.1490438893</v>
      </c>
      <c r="O137" s="101">
        <f t="shared" ca="1" si="11"/>
        <v>2172011.9291841961</v>
      </c>
      <c r="P137" s="101">
        <f t="shared" ca="1" si="11"/>
        <v>3133024.971528132</v>
      </c>
      <c r="Q137" s="101">
        <f t="shared" ca="1" si="11"/>
        <v>3208540.6289823167</v>
      </c>
      <c r="R137" s="101">
        <f t="shared" ca="1" si="11"/>
        <v>3266365.6211051759</v>
      </c>
      <c r="S137" s="101">
        <f t="shared" ca="1" si="11"/>
        <v>3429171.1340866312</v>
      </c>
      <c r="T137" s="101">
        <f t="shared" ca="1" si="11"/>
        <v>3405661.1803033841</v>
      </c>
    </row>
    <row r="138" spans="5:20" s="41" customFormat="1" outlineLevel="1"/>
    <row r="139" spans="5:20" s="41" customFormat="1" outlineLevel="1">
      <c r="E139" s="50" t="str">
        <f>'CapexSum$FY22'!E139</f>
        <v>Direct Costs + Overheads</v>
      </c>
    </row>
    <row r="140" spans="5:20" s="41" customFormat="1" ht="5.9" customHeight="1" outlineLevel="1"/>
    <row r="141" spans="5:20" s="41" customFormat="1" outlineLevel="1">
      <c r="F141" s="254" t="str">
        <f>GC!C40</f>
        <v>Transmission pipelines</v>
      </c>
      <c r="G141" s="254"/>
      <c r="H141" s="254"/>
      <c r="I141" s="254"/>
      <c r="J141" s="80">
        <f ca="1">Historical!J69*J$17+'CapexSum$FY22'!J141*J$27*J$18</f>
        <v>0</v>
      </c>
      <c r="K141" s="80">
        <f ca="1">Historical!K69*K$17+'CapexSum$FY22'!K141*K$27*K$18</f>
        <v>-4642.8719999999976</v>
      </c>
      <c r="L141" s="80">
        <f ca="1">Historical!L69*L$17+'CapexSum$FY22'!L141*L$27*L$18</f>
        <v>3446441.4800000004</v>
      </c>
      <c r="M141" s="80">
        <f ca="1">Historical!M69*M$17+'CapexSum$FY22'!M141*M$27*M$18</f>
        <v>4354366.4186444376</v>
      </c>
      <c r="N141" s="80">
        <f ca="1">Historical!N69*N$17+'CapexSum$FY22'!N141*N$27*N$18</f>
        <v>0</v>
      </c>
      <c r="O141" s="80">
        <f ca="1">Historical!O69*O$17+'CapexSum$FY22'!O141*O$27*O$18</f>
        <v>0</v>
      </c>
      <c r="P141" s="80">
        <f ca="1">Historical!P69*P$17+'CapexSum$FY22'!P141*P$27*P$18</f>
        <v>0</v>
      </c>
      <c r="Q141" s="80">
        <f ca="1">Historical!Q69*Q$17+'CapexSum$FY22'!Q141*Q$27*Q$18</f>
        <v>0</v>
      </c>
      <c r="R141" s="80">
        <f ca="1">Historical!R69*R$17+'CapexSum$FY22'!R141*R$27*R$18</f>
        <v>0</v>
      </c>
      <c r="S141" s="80">
        <f ca="1">Historical!S69*S$17+'CapexSum$FY22'!S141*S$27*S$18</f>
        <v>0</v>
      </c>
      <c r="T141" s="80">
        <f ca="1">Historical!T69*T$17+'CapexSum$FY22'!T141*T$27*T$18</f>
        <v>0</v>
      </c>
    </row>
    <row r="142" spans="5:20" s="41" customFormat="1" outlineLevel="1">
      <c r="F142" s="254" t="str">
        <f>GC!C41</f>
        <v>Distribution pipelines</v>
      </c>
      <c r="G142" s="254"/>
      <c r="H142" s="254"/>
      <c r="I142" s="254"/>
      <c r="J142" s="80">
        <f ca="1">Historical!J70*J$17+'CapexSum$FY22'!J142*J$27*J$18</f>
        <v>46190445.175999992</v>
      </c>
      <c r="K142" s="80">
        <f ca="1">Historical!K70*K$17+'CapexSum$FY22'!K142*K$27*K$18</f>
        <v>41968655.756999999</v>
      </c>
      <c r="L142" s="80">
        <f ca="1">Historical!L70*L$17+'CapexSum$FY22'!L142*L$27*L$18</f>
        <v>37981311.068799987</v>
      </c>
      <c r="M142" s="80">
        <f ca="1">Historical!M70*M$17+'CapexSum$FY22'!M142*M$27*M$18</f>
        <v>38417779.158554651</v>
      </c>
      <c r="N142" s="80">
        <f ca="1">Historical!N70*N$17+'CapexSum$FY22'!N142*N$27*N$18</f>
        <v>0</v>
      </c>
      <c r="O142" s="80">
        <f ca="1">Historical!O70*O$17+'CapexSum$FY22'!O142*O$27*O$18</f>
        <v>0</v>
      </c>
      <c r="P142" s="80">
        <f ca="1">Historical!P70*P$17+'CapexSum$FY22'!P142*P$27*P$18</f>
        <v>0</v>
      </c>
      <c r="Q142" s="80">
        <f ca="1">Historical!Q70*Q$17+'CapexSum$FY22'!Q142*Q$27*Q$18</f>
        <v>0</v>
      </c>
      <c r="R142" s="80">
        <f ca="1">Historical!R70*R$17+'CapexSum$FY22'!R142*R$27*R$18</f>
        <v>0</v>
      </c>
      <c r="S142" s="80">
        <f ca="1">Historical!S70*S$17+'CapexSum$FY22'!S142*S$27*S$18</f>
        <v>0</v>
      </c>
      <c r="T142" s="80">
        <f ca="1">Historical!T70*T$17+'CapexSum$FY22'!T142*T$27*T$18</f>
        <v>0</v>
      </c>
    </row>
    <row r="143" spans="5:20" s="41" customFormat="1" outlineLevel="1">
      <c r="F143" s="254" t="str">
        <f>GC!C42</f>
        <v>Service pipes</v>
      </c>
      <c r="G143" s="254"/>
      <c r="H143" s="254"/>
      <c r="I143" s="254"/>
      <c r="J143" s="80">
        <f ca="1">Historical!J71*J$17+'CapexSum$FY22'!J143*J$27*J$18</f>
        <v>25726829.852000002</v>
      </c>
      <c r="K143" s="80">
        <f ca="1">Historical!K71*K$17+'CapexSum$FY22'!K143*K$27*K$18</f>
        <v>35858702.818000004</v>
      </c>
      <c r="L143" s="80">
        <f ca="1">Historical!L71*L$17+'CapexSum$FY22'!L143*L$27*L$18</f>
        <v>37251260.100599997</v>
      </c>
      <c r="M143" s="80">
        <f ca="1">Historical!M71*M$17+'CapexSum$FY22'!M143*M$27*M$18</f>
        <v>36337843.414694212</v>
      </c>
      <c r="N143" s="80">
        <f ca="1">Historical!N71*N$17+'CapexSum$FY22'!N143*N$27*N$18</f>
        <v>0</v>
      </c>
      <c r="O143" s="80">
        <f ca="1">Historical!O71*O$17+'CapexSum$FY22'!O143*O$27*O$18</f>
        <v>0</v>
      </c>
      <c r="P143" s="80">
        <f ca="1">Historical!P71*P$17+'CapexSum$FY22'!P143*P$27*P$18</f>
        <v>0</v>
      </c>
      <c r="Q143" s="80">
        <f ca="1">Historical!Q71*Q$17+'CapexSum$FY22'!Q143*Q$27*Q$18</f>
        <v>0</v>
      </c>
      <c r="R143" s="80">
        <f ca="1">Historical!R71*R$17+'CapexSum$FY22'!R143*R$27*R$18</f>
        <v>0</v>
      </c>
      <c r="S143" s="80">
        <f ca="1">Historical!S71*S$17+'CapexSum$FY22'!S143*S$27*S$18</f>
        <v>0</v>
      </c>
      <c r="T143" s="80">
        <f ca="1">Historical!T71*T$17+'CapexSum$FY22'!T143*T$27*T$18</f>
        <v>0</v>
      </c>
    </row>
    <row r="144" spans="5:20" s="41" customFormat="1" outlineLevel="1">
      <c r="F144" s="254" t="str">
        <f>GC!C43</f>
        <v>Cathodic protection</v>
      </c>
      <c r="G144" s="254"/>
      <c r="H144" s="254"/>
      <c r="I144" s="254"/>
      <c r="J144" s="80">
        <f ca="1">Historical!J72*J$17+'CapexSum$FY22'!J144*J$27*J$18</f>
        <v>99938.95</v>
      </c>
      <c r="K144" s="80">
        <f ca="1">Historical!K72*K$17+'CapexSum$FY22'!K144*K$27*K$18</f>
        <v>188887.52000000002</v>
      </c>
      <c r="L144" s="80">
        <f ca="1">Historical!L72*L$17+'CapexSum$FY22'!L144*L$27*L$18</f>
        <v>145145.20000000001</v>
      </c>
      <c r="M144" s="80">
        <f ca="1">Historical!M72*M$17+'CapexSum$FY22'!M144*M$27*M$18</f>
        <v>116038.33434533892</v>
      </c>
      <c r="N144" s="80">
        <f ca="1">Historical!N72*N$17+'CapexSum$FY22'!N144*N$27*N$18</f>
        <v>0</v>
      </c>
      <c r="O144" s="80">
        <f ca="1">Historical!O72*O$17+'CapexSum$FY22'!O144*O$27*O$18</f>
        <v>0</v>
      </c>
      <c r="P144" s="80">
        <f ca="1">Historical!P72*P$17+'CapexSum$FY22'!P144*P$27*P$18</f>
        <v>0</v>
      </c>
      <c r="Q144" s="80">
        <f ca="1">Historical!Q72*Q$17+'CapexSum$FY22'!Q144*Q$27*Q$18</f>
        <v>0</v>
      </c>
      <c r="R144" s="80">
        <f ca="1">Historical!R72*R$17+'CapexSum$FY22'!R144*R$27*R$18</f>
        <v>0</v>
      </c>
      <c r="S144" s="80">
        <f ca="1">Historical!S72*S$17+'CapexSum$FY22'!S144*S$27*S$18</f>
        <v>0</v>
      </c>
      <c r="T144" s="80">
        <f ca="1">Historical!T72*T$17+'CapexSum$FY22'!T144*T$27*T$18</f>
        <v>0</v>
      </c>
    </row>
    <row r="145" spans="5:20" s="41" customFormat="1" outlineLevel="1">
      <c r="F145" s="254" t="str">
        <f>GC!C44</f>
        <v>Supply Regulators / Valve Stations</v>
      </c>
      <c r="G145" s="254"/>
      <c r="H145" s="254"/>
      <c r="I145" s="254"/>
      <c r="J145" s="80">
        <f ca="1">Historical!J73*J$17+'CapexSum$FY22'!J145*J$27*J$18</f>
        <v>1704252.9819999996</v>
      </c>
      <c r="K145" s="80">
        <f ca="1">Historical!K73*K$17+'CapexSum$FY22'!K145*K$27*K$18</f>
        <v>609532.87199999997</v>
      </c>
      <c r="L145" s="80">
        <f ca="1">Historical!L73*L$17+'CapexSum$FY22'!L145*L$27*L$18</f>
        <v>1464453.8496000001</v>
      </c>
      <c r="M145" s="80">
        <f ca="1">Historical!M73*M$17+'CapexSum$FY22'!M145*M$27*M$18</f>
        <v>5349873.8248473005</v>
      </c>
      <c r="N145" s="80">
        <f ca="1">Historical!N73*N$17+'CapexSum$FY22'!N145*N$27*N$18</f>
        <v>8560984.8510608189</v>
      </c>
      <c r="O145" s="80">
        <f ca="1">Historical!O73*O$17+'CapexSum$FY22'!O145*O$27*O$18</f>
        <v>2863681.4200064749</v>
      </c>
      <c r="P145" s="80">
        <f ca="1">Historical!P73*P$17+'CapexSum$FY22'!P145*P$27*P$18</f>
        <v>7241514.958064287</v>
      </c>
      <c r="Q145" s="80">
        <f ca="1">Historical!Q73*Q$17+'CapexSum$FY22'!Q145*Q$27*Q$18</f>
        <v>8839759.5770160016</v>
      </c>
      <c r="R145" s="80">
        <f ca="1">Historical!R73*R$17+'CapexSum$FY22'!R145*R$27*R$18</f>
        <v>4862240.9090633988</v>
      </c>
      <c r="S145" s="80">
        <f ca="1">Historical!S73*S$17+'CapexSum$FY22'!S145*S$27*S$18</f>
        <v>5057123.5644237231</v>
      </c>
      <c r="T145" s="80">
        <f ca="1">Historical!T73*T$17+'CapexSum$FY22'!T145*T$27*T$18</f>
        <v>9350756.576430358</v>
      </c>
    </row>
    <row r="146" spans="5:20" s="41" customFormat="1" outlineLevel="1">
      <c r="F146" s="254" t="str">
        <f>GC!C45</f>
        <v>Meters</v>
      </c>
      <c r="G146" s="254"/>
      <c r="H146" s="254"/>
      <c r="I146" s="254"/>
      <c r="J146" s="80">
        <f ca="1">Historical!J74*J$17+'CapexSum$FY22'!J146*J$27*J$18</f>
        <v>15700990.939999999</v>
      </c>
      <c r="K146" s="80">
        <f ca="1">Historical!K74*K$17+'CapexSum$FY22'!K146*K$27*K$18</f>
        <v>15575037.445000002</v>
      </c>
      <c r="L146" s="80">
        <f ca="1">Historical!L74*L$17+'CapexSum$FY22'!L146*L$27*L$18</f>
        <v>12272475.780999999</v>
      </c>
      <c r="M146" s="80">
        <f ca="1">Historical!M74*M$17+'CapexSum$FY22'!M146*M$27*M$18</f>
        <v>17369967.274118572</v>
      </c>
      <c r="N146" s="80">
        <f ca="1">Historical!N74*N$17+'CapexSum$FY22'!N146*N$27*N$18</f>
        <v>15761059.307976691</v>
      </c>
      <c r="O146" s="80">
        <f ca="1">Historical!O74*O$17+'CapexSum$FY22'!O146*O$27*O$18</f>
        <v>8614497.0341629069</v>
      </c>
      <c r="P146" s="80">
        <f ca="1">Historical!P74*P$17+'CapexSum$FY22'!P146*P$27*P$18</f>
        <v>16589104.07247385</v>
      </c>
      <c r="Q146" s="80">
        <f ca="1">Historical!Q74*Q$17+'CapexSum$FY22'!Q146*Q$27*Q$18</f>
        <v>18562451.043858584</v>
      </c>
      <c r="R146" s="80">
        <f ca="1">Historical!R74*R$17+'CapexSum$FY22'!R146*R$27*R$18</f>
        <v>19970137.759225678</v>
      </c>
      <c r="S146" s="80">
        <f ca="1">Historical!S74*S$17+'CapexSum$FY22'!S146*S$27*S$18</f>
        <v>18504460.952691332</v>
      </c>
      <c r="T146" s="80">
        <f ca="1">Historical!T74*T$17+'CapexSum$FY22'!T146*T$27*T$18</f>
        <v>17785368.200527251</v>
      </c>
    </row>
    <row r="147" spans="5:20" s="41" customFormat="1" outlineLevel="1">
      <c r="F147" s="254" t="str">
        <f>GC!C46</f>
        <v>SCADA and remote control</v>
      </c>
      <c r="G147" s="254"/>
      <c r="H147" s="254"/>
      <c r="I147" s="254"/>
      <c r="J147" s="80">
        <f ca="1">Historical!J75*J$17+'CapexSum$FY22'!J147*J$27*J$18</f>
        <v>302746.54000000004</v>
      </c>
      <c r="K147" s="80">
        <f ca="1">Historical!K75*K$17+'CapexSum$FY22'!K147*K$27*K$18</f>
        <v>429108.63</v>
      </c>
      <c r="L147" s="80">
        <f ca="1">Historical!L75*L$17+'CapexSum$FY22'!L147*L$27*L$18</f>
        <v>375461.15</v>
      </c>
      <c r="M147" s="80">
        <f ca="1">Historical!M75*M$17+'CapexSum$FY22'!M147*M$27*M$18</f>
        <v>528523.59807436378</v>
      </c>
      <c r="N147" s="80">
        <f ca="1">Historical!N75*N$17+'CapexSum$FY22'!N147*N$27*N$18</f>
        <v>1309317.2477967648</v>
      </c>
      <c r="O147" s="80">
        <f ca="1">Historical!O75*O$17+'CapexSum$FY22'!O147*O$27*O$18</f>
        <v>152639.83166811935</v>
      </c>
      <c r="P147" s="80">
        <f ca="1">Historical!P75*P$17+'CapexSum$FY22'!P147*P$27*P$18</f>
        <v>1304696.8419664246</v>
      </c>
      <c r="Q147" s="80">
        <f ca="1">Historical!Q75*Q$17+'CapexSum$FY22'!Q147*Q$27*Q$18</f>
        <v>1285099.8851529348</v>
      </c>
      <c r="R147" s="80">
        <f ca="1">Historical!R75*R$17+'CapexSum$FY22'!R147*R$27*R$18</f>
        <v>304318.46495357458</v>
      </c>
      <c r="S147" s="80">
        <f ca="1">Historical!S75*S$17+'CapexSum$FY22'!S147*S$27*S$18</f>
        <v>284963.66090100177</v>
      </c>
      <c r="T147" s="80">
        <f ca="1">Historical!T75*T$17+'CapexSum$FY22'!T147*T$27*T$18</f>
        <v>320892.43288539816</v>
      </c>
    </row>
    <row r="148" spans="5:20" s="41" customFormat="1" outlineLevel="1">
      <c r="F148" s="254" t="str">
        <f>GC!C47</f>
        <v>Buildings</v>
      </c>
      <c r="G148" s="254"/>
      <c r="H148" s="254"/>
      <c r="I148" s="254"/>
      <c r="J148" s="80">
        <f ca="1">Historical!J76*J$17+'CapexSum$FY22'!J148*J$27*J$18</f>
        <v>0</v>
      </c>
      <c r="K148" s="80">
        <f ca="1">Historical!K76*K$17+'CapexSum$FY22'!K148*K$27*K$18</f>
        <v>0</v>
      </c>
      <c r="L148" s="80">
        <f ca="1">Historical!L76*L$17+'CapexSum$FY22'!L148*L$27*L$18</f>
        <v>0</v>
      </c>
      <c r="M148" s="80">
        <f ca="1">Historical!M76*M$17+'CapexSum$FY22'!M148*M$27*M$18</f>
        <v>0</v>
      </c>
      <c r="N148" s="80">
        <f ca="1">Historical!N76*N$17+'CapexSum$FY22'!N148*N$27*N$18</f>
        <v>0</v>
      </c>
      <c r="O148" s="80">
        <f ca="1">Historical!O76*O$17+'CapexSum$FY22'!O148*O$27*O$18</f>
        <v>0</v>
      </c>
      <c r="P148" s="80">
        <f ca="1">Historical!P76*P$17+'CapexSum$FY22'!P148*P$27*P$18</f>
        <v>0</v>
      </c>
      <c r="Q148" s="80">
        <f ca="1">Historical!Q76*Q$17+'CapexSum$FY22'!Q148*Q$27*Q$18</f>
        <v>0</v>
      </c>
      <c r="R148" s="80">
        <f ca="1">Historical!R76*R$17+'CapexSum$FY22'!R148*R$27*R$18</f>
        <v>0</v>
      </c>
      <c r="S148" s="80">
        <f ca="1">Historical!S76*S$17+'CapexSum$FY22'!S148*S$27*S$18</f>
        <v>0</v>
      </c>
      <c r="T148" s="80">
        <f ca="1">Historical!T76*T$17+'CapexSum$FY22'!T148*T$27*T$18</f>
        <v>0</v>
      </c>
    </row>
    <row r="149" spans="5:20" s="41" customFormat="1" outlineLevel="1">
      <c r="F149" s="254" t="str">
        <f>GC!C48</f>
        <v>Other - IT</v>
      </c>
      <c r="G149" s="254"/>
      <c r="H149" s="254"/>
      <c r="I149" s="254"/>
      <c r="J149" s="80">
        <f ca="1">Historical!J77*J$17+'CapexSum$FY22'!J149*J$27*J$18</f>
        <v>8820717.290000001</v>
      </c>
      <c r="K149" s="80">
        <f ca="1">Historical!K77*K$17+'CapexSum$FY22'!K149*K$27*K$18</f>
        <v>7629799.9400000013</v>
      </c>
      <c r="L149" s="80">
        <f ca="1">Historical!L77*L$17+'CapexSum$FY22'!L149*L$27*L$18</f>
        <v>6108775.96</v>
      </c>
      <c r="M149" s="80">
        <f ca="1">Historical!M77*M$17+'CapexSum$FY22'!M149*M$27*M$18</f>
        <v>7248067.5238302648</v>
      </c>
      <c r="N149" s="80">
        <f ca="1">Historical!N77*N$17+'CapexSum$FY22'!N149*N$27*N$18</f>
        <v>6978279.2324051764</v>
      </c>
      <c r="O149" s="80">
        <f ca="1">Historical!O77*O$17+'CapexSum$FY22'!O149*O$27*O$18</f>
        <v>3680032.2801878252</v>
      </c>
      <c r="P149" s="80">
        <f ca="1">Historical!P77*P$17+'CapexSum$FY22'!P149*P$27*P$18</f>
        <v>16992760.2883096</v>
      </c>
      <c r="Q149" s="80">
        <f ca="1">Historical!Q77*Q$17+'CapexSum$FY22'!Q149*Q$27*Q$18</f>
        <v>20089979.24790252</v>
      </c>
      <c r="R149" s="80">
        <f ca="1">Historical!R77*R$17+'CapexSum$FY22'!R149*R$27*R$18</f>
        <v>22335054.687023528</v>
      </c>
      <c r="S149" s="80">
        <f ca="1">Historical!S77*S$17+'CapexSum$FY22'!S149*S$27*S$18</f>
        <v>11470080.691082889</v>
      </c>
      <c r="T149" s="80">
        <f ca="1">Historical!T77*T$17+'CapexSum$FY22'!T149*T$27*T$18</f>
        <v>8733060.0505496599</v>
      </c>
    </row>
    <row r="150" spans="5:20" s="41" customFormat="1" outlineLevel="1">
      <c r="F150" s="254" t="str">
        <f>GC!C49</f>
        <v>Other - non IT</v>
      </c>
      <c r="G150" s="254"/>
      <c r="H150" s="254"/>
      <c r="I150" s="254"/>
      <c r="J150" s="80">
        <f ca="1">Historical!J78*J$17+'CapexSum$FY22'!J150*J$27*J$18</f>
        <v>746154.74</v>
      </c>
      <c r="K150" s="80">
        <f ca="1">Historical!K78*K$17+'CapexSum$FY22'!K150*K$27*K$18</f>
        <v>262842.99</v>
      </c>
      <c r="L150" s="80">
        <f ca="1">Historical!L78*L$17+'CapexSum$FY22'!L150*L$27*L$18</f>
        <v>-285782.36999999982</v>
      </c>
      <c r="M150" s="80">
        <f ca="1">Historical!M78*M$17+'CapexSum$FY22'!M150*M$27*M$18</f>
        <v>448174.46</v>
      </c>
      <c r="N150" s="80">
        <f ca="1">Historical!N78*N$17+'CapexSum$FY22'!N150*N$27*N$18</f>
        <v>361092.5049599809</v>
      </c>
      <c r="O150" s="80">
        <f ca="1">Historical!O78*O$17+'CapexSum$FY22'!O150*O$27*O$18</f>
        <v>266160.2745760468</v>
      </c>
      <c r="P150" s="80">
        <f ca="1">Historical!P78*P$17+'CapexSum$FY22'!P150*P$27*P$18</f>
        <v>1737044.0455189545</v>
      </c>
      <c r="Q150" s="80">
        <f ca="1">Historical!Q78*Q$17+'CapexSum$FY22'!Q150*Q$27*Q$18</f>
        <v>1789232.6841228269</v>
      </c>
      <c r="R150" s="80">
        <f ca="1">Historical!R78*R$17+'CapexSum$FY22'!R150*R$27*R$18</f>
        <v>1835235.0521720287</v>
      </c>
      <c r="S150" s="80">
        <f ca="1">Historical!S78*S$17+'CapexSum$FY22'!S150*S$27*S$18</f>
        <v>1882997.3335431607</v>
      </c>
      <c r="T150" s="80">
        <f ca="1">Historical!T78*T$17+'CapexSum$FY22'!T150*T$27*T$18</f>
        <v>1856303.3859391969</v>
      </c>
    </row>
    <row r="151" spans="5:20" s="41" customFormat="1" outlineLevel="1">
      <c r="F151" s="254" t="str">
        <f>GC!C50</f>
        <v>Land</v>
      </c>
      <c r="G151" s="254"/>
      <c r="H151" s="254"/>
      <c r="I151" s="254"/>
      <c r="J151" s="80">
        <f ca="1">Historical!J79*J$17+'CapexSum$FY22'!J151*J$27*J$18</f>
        <v>0</v>
      </c>
      <c r="K151" s="80">
        <f ca="1">Historical!K79*K$17+'CapexSum$FY22'!K151*K$27*K$18</f>
        <v>0</v>
      </c>
      <c r="L151" s="80">
        <f ca="1">Historical!L79*L$17+'CapexSum$FY22'!L151*L$27*L$18</f>
        <v>0</v>
      </c>
      <c r="M151" s="80">
        <f ca="1">Historical!M79*M$17+'CapexSum$FY22'!M151*M$27*M$18</f>
        <v>0</v>
      </c>
      <c r="N151" s="80">
        <f ca="1">Historical!N79*N$17+'CapexSum$FY22'!N151*N$27*N$18</f>
        <v>0</v>
      </c>
      <c r="O151" s="80">
        <f ca="1">Historical!O79*O$17+'CapexSum$FY22'!O151*O$27*O$18</f>
        <v>0</v>
      </c>
      <c r="P151" s="80">
        <f ca="1">Historical!P79*P$17+'CapexSum$FY22'!P151*P$27*P$18</f>
        <v>0</v>
      </c>
      <c r="Q151" s="80">
        <f ca="1">Historical!Q79*Q$17+'CapexSum$FY22'!Q151*Q$27*Q$18</f>
        <v>0</v>
      </c>
      <c r="R151" s="80">
        <f ca="1">Historical!R79*R$17+'CapexSum$FY22'!R151*R$27*R$18</f>
        <v>0</v>
      </c>
      <c r="S151" s="80">
        <f ca="1">Historical!S79*S$17+'CapexSum$FY22'!S151*S$27*S$18</f>
        <v>0</v>
      </c>
      <c r="T151" s="80">
        <f ca="1">Historical!T79*T$17+'CapexSum$FY22'!T151*T$27*T$18</f>
        <v>0</v>
      </c>
    </row>
    <row r="152" spans="5:20" s="41" customFormat="1" outlineLevel="1">
      <c r="F152" s="254" t="str">
        <f>GC!C51</f>
        <v>Capitalised Leases</v>
      </c>
      <c r="G152" s="254"/>
      <c r="H152" s="254"/>
      <c r="I152" s="254"/>
      <c r="J152" s="80">
        <f ca="1">Historical!J80*J$17+'CapexSum$FY22'!J152*J$27*J$18</f>
        <v>0</v>
      </c>
      <c r="K152" s="80">
        <f ca="1">Historical!K80*K$17+'CapexSum$FY22'!K152*K$27*K$18</f>
        <v>9576833.6300000008</v>
      </c>
      <c r="L152" s="80">
        <f ca="1">Historical!L80*L$17+'CapexSum$FY22'!L152*L$27*L$18</f>
        <v>519381.27535376884</v>
      </c>
      <c r="M152" s="80">
        <f ca="1">Historical!M80*M$17+'CapexSum$FY22'!M152*M$27*M$18</f>
        <v>-1349647.4423711495</v>
      </c>
      <c r="N152" s="80">
        <f ca="1">Historical!N80*N$17+'CapexSum$FY22'!N152*N$27*N$18</f>
        <v>0</v>
      </c>
      <c r="O152" s="80">
        <f ca="1">Historical!O80*O$17+'CapexSum$FY22'!O152*O$27*O$18</f>
        <v>0</v>
      </c>
      <c r="P152" s="80">
        <f ca="1">Historical!P80*P$17+'CapexSum$FY22'!P152*P$27*P$18</f>
        <v>0</v>
      </c>
      <c r="Q152" s="80">
        <f ca="1">Historical!Q80*Q$17+'CapexSum$FY22'!Q152*Q$27*Q$18</f>
        <v>0</v>
      </c>
      <c r="R152" s="80">
        <f ca="1">Historical!R80*R$17+'CapexSum$FY22'!R152*R$27*R$18</f>
        <v>0</v>
      </c>
      <c r="S152" s="80">
        <f ca="1">Historical!S80*S$17+'CapexSum$FY22'!S152*S$27*S$18</f>
        <v>0</v>
      </c>
      <c r="T152" s="80">
        <f ca="1">Historical!T80*T$17+'CapexSum$FY22'!T152*T$27*T$18</f>
        <v>0</v>
      </c>
    </row>
    <row r="153" spans="5:20" s="41" customFormat="1" outlineLevel="1">
      <c r="F153" s="254" t="str">
        <f>GC!C52</f>
        <v>Transmission pipelines - post 1998</v>
      </c>
      <c r="G153" s="254"/>
      <c r="H153" s="254"/>
      <c r="I153" s="254"/>
      <c r="J153" s="80">
        <f ca="1">Historical!J81*J$17+'CapexSum$FY22'!J153*J$27*J$18</f>
        <v>0</v>
      </c>
      <c r="K153" s="80">
        <f ca="1">Historical!K81*K$17+'CapexSum$FY22'!K153*K$27*K$18</f>
        <v>0</v>
      </c>
      <c r="L153" s="80">
        <f ca="1">Historical!L81*L$17+'CapexSum$FY22'!L153*L$27*L$18</f>
        <v>0</v>
      </c>
      <c r="M153" s="80">
        <f ca="1">Historical!M81*M$17+'CapexSum$FY22'!M153*M$27*M$18</f>
        <v>0</v>
      </c>
      <c r="N153" s="80">
        <f ca="1">Historical!N81*N$17+'CapexSum$FY22'!N153*N$27*N$18</f>
        <v>682954.42721400061</v>
      </c>
      <c r="O153" s="80">
        <f ca="1">Historical!O81*O$17+'CapexSum$FY22'!O153*O$27*O$18</f>
        <v>272585.28835898644</v>
      </c>
      <c r="P153" s="80">
        <f ca="1">Historical!P81*P$17+'CapexSum$FY22'!P153*P$27*P$18</f>
        <v>614682.38264993567</v>
      </c>
      <c r="Q153" s="80">
        <f ca="1">Historical!Q81*Q$17+'CapexSum$FY22'!Q153*Q$27*Q$18</f>
        <v>1953362.1893750115</v>
      </c>
      <c r="R153" s="80">
        <f ca="1">Historical!R81*R$17+'CapexSum$FY22'!R153*R$27*R$18</f>
        <v>5843909.6232928988</v>
      </c>
      <c r="S153" s="80">
        <f ca="1">Historical!S81*S$17+'CapexSum$FY22'!S153*S$27*S$18</f>
        <v>877225.32152569527</v>
      </c>
      <c r="T153" s="80">
        <f ca="1">Historical!T81*T$17+'CapexSum$FY22'!T153*T$27*T$18</f>
        <v>151.08675941431693</v>
      </c>
    </row>
    <row r="154" spans="5:20" s="41" customFormat="1" outlineLevel="1">
      <c r="F154" s="254" t="str">
        <f>GC!C53</f>
        <v>Distribution pipelines - post 1998</v>
      </c>
      <c r="G154" s="254"/>
      <c r="H154" s="254"/>
      <c r="I154" s="254"/>
      <c r="J154" s="80">
        <f ca="1">Historical!J82*J$17+'CapexSum$FY22'!J154*J$27*J$18</f>
        <v>0</v>
      </c>
      <c r="K154" s="80">
        <f ca="1">Historical!K82*K$17+'CapexSum$FY22'!K154*K$27*K$18</f>
        <v>0</v>
      </c>
      <c r="L154" s="80">
        <f ca="1">Historical!L82*L$17+'CapexSum$FY22'!L154*L$27*L$18</f>
        <v>0</v>
      </c>
      <c r="M154" s="80">
        <f ca="1">Historical!M82*M$17+'CapexSum$FY22'!M154*M$27*M$18</f>
        <v>0</v>
      </c>
      <c r="N154" s="80">
        <f ca="1">Historical!N82*N$17+'CapexSum$FY22'!N154*N$27*N$18</f>
        <v>26652883.808408018</v>
      </c>
      <c r="O154" s="80">
        <f ca="1">Historical!O82*O$17+'CapexSum$FY22'!O154*O$27*O$18</f>
        <v>21244956.691125728</v>
      </c>
      <c r="P154" s="80">
        <f ca="1">Historical!P82*P$17+'CapexSum$FY22'!P154*P$27*P$18</f>
        <v>34196287.221134625</v>
      </c>
      <c r="Q154" s="80">
        <f ca="1">Historical!Q82*Q$17+'CapexSum$FY22'!Q154*Q$27*Q$18</f>
        <v>33791306.893623054</v>
      </c>
      <c r="R154" s="80">
        <f ca="1">Historical!R82*R$17+'CapexSum$FY22'!R154*R$27*R$18</f>
        <v>31055024.245175809</v>
      </c>
      <c r="S154" s="80">
        <f ca="1">Historical!S82*S$17+'CapexSum$FY22'!S154*S$27*S$18</f>
        <v>34624445.912344925</v>
      </c>
      <c r="T154" s="80">
        <f ca="1">Historical!T82*T$17+'CapexSum$FY22'!T154*T$27*T$18</f>
        <v>30583712.867635015</v>
      </c>
    </row>
    <row r="155" spans="5:20" s="41" customFormat="1" outlineLevel="1">
      <c r="F155" s="254" t="str">
        <f>GC!C54</f>
        <v>Service pipes - post 1998</v>
      </c>
      <c r="G155" s="254"/>
      <c r="H155" s="254"/>
      <c r="I155" s="254"/>
      <c r="J155" s="80">
        <f ca="1">Historical!J83*J$17+'CapexSum$FY22'!J155*J$27*J$18</f>
        <v>0</v>
      </c>
      <c r="K155" s="80">
        <f ca="1">Historical!K83*K$17+'CapexSum$FY22'!K155*K$27*K$18</f>
        <v>0</v>
      </c>
      <c r="L155" s="80">
        <f ca="1">Historical!L83*L$17+'CapexSum$FY22'!L155*L$27*L$18</f>
        <v>0</v>
      </c>
      <c r="M155" s="80">
        <f ca="1">Historical!M83*M$17+'CapexSum$FY22'!M155*M$27*M$18</f>
        <v>0</v>
      </c>
      <c r="N155" s="80">
        <f ca="1">Historical!N83*N$17+'CapexSum$FY22'!N155*N$27*N$18</f>
        <v>41852738.667598262</v>
      </c>
      <c r="O155" s="80">
        <f ca="1">Historical!O83*O$17+'CapexSum$FY22'!O155*O$27*O$18</f>
        <v>26193842.114566635</v>
      </c>
      <c r="P155" s="80">
        <f ca="1">Historical!P83*P$17+'CapexSum$FY22'!P155*P$27*P$18</f>
        <v>43709906.05415827</v>
      </c>
      <c r="Q155" s="80">
        <f ca="1">Historical!Q83*Q$17+'CapexSum$FY22'!Q155*Q$27*Q$18</f>
        <v>44380677.346983954</v>
      </c>
      <c r="R155" s="80">
        <f ca="1">Historical!R83*R$17+'CapexSum$FY22'!R155*R$27*R$18</f>
        <v>44895357.874587923</v>
      </c>
      <c r="S155" s="80">
        <f ca="1">Historical!S83*S$17+'CapexSum$FY22'!S155*S$27*S$18</f>
        <v>47298382.004761703</v>
      </c>
      <c r="T155" s="80">
        <f ca="1">Historical!T83*T$17+'CapexSum$FY22'!T155*T$27*T$18</f>
        <v>42659161.175675958</v>
      </c>
    </row>
    <row r="156" spans="5:20" s="41" customFormat="1" outlineLevel="1">
      <c r="F156" s="254" t="str">
        <f>GC!C55</f>
        <v>Cathodic protection - post 1998</v>
      </c>
      <c r="G156" s="254"/>
      <c r="H156" s="254"/>
      <c r="I156" s="254"/>
      <c r="J156" s="80">
        <f ca="1">Historical!J84*J$17+'CapexSum$FY22'!J156*J$27*J$18</f>
        <v>0</v>
      </c>
      <c r="K156" s="80">
        <f ca="1">Historical!K84*K$17+'CapexSum$FY22'!K156*K$27*K$18</f>
        <v>0</v>
      </c>
      <c r="L156" s="80">
        <f ca="1">Historical!L84*L$17+'CapexSum$FY22'!L156*L$27*L$18</f>
        <v>0</v>
      </c>
      <c r="M156" s="80">
        <f ca="1">Historical!M84*M$17+'CapexSum$FY22'!M156*M$27*M$18</f>
        <v>0</v>
      </c>
      <c r="N156" s="80">
        <f ca="1">Historical!N84*N$17+'CapexSum$FY22'!N156*N$27*N$18</f>
        <v>210139.82375815403</v>
      </c>
      <c r="O156" s="80">
        <f ca="1">Historical!O84*O$17+'CapexSum$FY22'!O156*O$27*O$18</f>
        <v>209345.50145970163</v>
      </c>
      <c r="P156" s="80">
        <f ca="1">Historical!P84*P$17+'CapexSum$FY22'!P156*P$27*P$18</f>
        <v>433813.70141072467</v>
      </c>
      <c r="Q156" s="80">
        <f ca="1">Historical!Q84*Q$17+'CapexSum$FY22'!Q156*Q$27*Q$18</f>
        <v>469931.50410884537</v>
      </c>
      <c r="R156" s="80">
        <f ca="1">Historical!R84*R$17+'CapexSum$FY22'!R156*R$27*R$18</f>
        <v>466758.31652316934</v>
      </c>
      <c r="S156" s="80">
        <f ca="1">Historical!S84*S$17+'CapexSum$FY22'!S156*S$27*S$18</f>
        <v>479423.76175030868</v>
      </c>
      <c r="T156" s="80">
        <f ca="1">Historical!T84*T$17+'CapexSum$FY22'!T156*T$27*T$18</f>
        <v>492291.02442498272</v>
      </c>
    </row>
    <row r="157" spans="5:20" s="41" customFormat="1" outlineLevel="1">
      <c r="F157" s="255" t="str">
        <f>"Total "&amp;E139</f>
        <v>Total Direct Costs + Overheads</v>
      </c>
      <c r="G157" s="255"/>
      <c r="H157" s="255"/>
      <c r="I157" s="255"/>
      <c r="J157" s="101">
        <f t="shared" ref="J157:T157" ca="1" si="12">SUM(J141:J156)</f>
        <v>99292076.469999999</v>
      </c>
      <c r="K157" s="101">
        <f t="shared" ca="1" si="12"/>
        <v>112094758.72999999</v>
      </c>
      <c r="L157" s="101">
        <f t="shared" ca="1" si="12"/>
        <v>99278923.495353773</v>
      </c>
      <c r="M157" s="101">
        <f t="shared" ca="1" si="12"/>
        <v>108820986.56473798</v>
      </c>
      <c r="N157" s="101">
        <f t="shared" ca="1" si="12"/>
        <v>102369449.87117787</v>
      </c>
      <c r="O157" s="101">
        <f t="shared" ca="1" si="12"/>
        <v>63497740.436112434</v>
      </c>
      <c r="P157" s="101">
        <f t="shared" ca="1" si="12"/>
        <v>122819809.56568669</v>
      </c>
      <c r="Q157" s="101">
        <f t="shared" ca="1" si="12"/>
        <v>131161800.37214373</v>
      </c>
      <c r="R157" s="101">
        <f t="shared" ca="1" si="12"/>
        <v>131568036.93201801</v>
      </c>
      <c r="S157" s="101">
        <f t="shared" ca="1" si="12"/>
        <v>120479103.20302474</v>
      </c>
      <c r="T157" s="101">
        <f t="shared" ca="1" si="12"/>
        <v>111781696.80082723</v>
      </c>
    </row>
    <row r="158" spans="5:20" s="41" customFormat="1" outlineLevel="1"/>
    <row r="159" spans="5:20" s="41" customFormat="1" outlineLevel="1">
      <c r="E159" s="50" t="str">
        <f>'CapexSum$FY22'!E159</f>
        <v>Customer Contributions</v>
      </c>
    </row>
    <row r="160" spans="5:20" s="41" customFormat="1" ht="5.9" customHeight="1" outlineLevel="1"/>
    <row r="161" spans="6:20" s="41" customFormat="1" outlineLevel="1">
      <c r="F161" s="251" t="str">
        <f>GC!C40</f>
        <v>Transmission pipelines</v>
      </c>
      <c r="G161" s="251"/>
      <c r="H161" s="251"/>
      <c r="I161" s="251"/>
      <c r="J161" s="80">
        <f ca="1">Historical!J89*J$17+'CapexSum$FY22'!J161*J$27*J$18</f>
        <v>0</v>
      </c>
      <c r="K161" s="80">
        <f ca="1">Historical!K89*K$17+'CapexSum$FY22'!K161*K$27*K$18</f>
        <v>0</v>
      </c>
      <c r="L161" s="80">
        <f ca="1">Historical!L89*L$17+'CapexSum$FY22'!L161*L$27*L$18</f>
        <v>0</v>
      </c>
      <c r="M161" s="80">
        <f ca="1">Historical!M89*M$17+'CapexSum$FY22'!M161*M$27*M$18</f>
        <v>0</v>
      </c>
      <c r="N161" s="80">
        <f ca="1">Historical!N89*N$17+'CapexSum$FY22'!N161*N$27*N$18</f>
        <v>0</v>
      </c>
      <c r="O161" s="80">
        <f ca="1">Historical!O89*O$17+'CapexSum$FY22'!O161*O$27*O$18</f>
        <v>0</v>
      </c>
      <c r="P161" s="80">
        <f ca="1">Historical!P89*P$17+'CapexSum$FY22'!P161*P$27*P$18</f>
        <v>0</v>
      </c>
      <c r="Q161" s="80">
        <f ca="1">Historical!Q89*Q$17+'CapexSum$FY22'!Q161*Q$27*Q$18</f>
        <v>0</v>
      </c>
      <c r="R161" s="80">
        <f ca="1">Historical!R89*R$17+'CapexSum$FY22'!R161*R$27*R$18</f>
        <v>0</v>
      </c>
      <c r="S161" s="80">
        <f ca="1">Historical!S89*S$17+'CapexSum$FY22'!S161*S$27*S$18</f>
        <v>0</v>
      </c>
      <c r="T161" s="80">
        <f ca="1">Historical!T89*T$17+'CapexSum$FY22'!T161*T$27*T$18</f>
        <v>0</v>
      </c>
    </row>
    <row r="162" spans="6:20" s="41" customFormat="1" outlineLevel="1">
      <c r="F162" s="251" t="str">
        <f>GC!C41</f>
        <v>Distribution pipelines</v>
      </c>
      <c r="G162" s="251"/>
      <c r="H162" s="251"/>
      <c r="I162" s="251"/>
      <c r="J162" s="80">
        <f ca="1">Historical!J90*J$17+'CapexSum$FY22'!J162*J$27*J$18</f>
        <v>-3558986.3020000001</v>
      </c>
      <c r="K162" s="80">
        <f ca="1">Historical!K90*K$17+'CapexSum$FY22'!K162*K$27*K$18</f>
        <v>-3411596.2239999999</v>
      </c>
      <c r="L162" s="80">
        <f ca="1">Historical!L90*L$17+'CapexSum$FY22'!L162*L$27*L$18</f>
        <v>-4238729.6780000003</v>
      </c>
      <c r="M162" s="80">
        <f ca="1">Historical!M90*M$17+'CapexSum$FY22'!M162*M$27*M$18</f>
        <v>-6545705.0862000007</v>
      </c>
      <c r="N162" s="80">
        <f ca="1">Historical!N90*N$17+'CapexSum$FY22'!N162*N$27*N$18</f>
        <v>0</v>
      </c>
      <c r="O162" s="80">
        <f ca="1">Historical!O90*O$17+'CapexSum$FY22'!O162*O$27*O$18</f>
        <v>0</v>
      </c>
      <c r="P162" s="80">
        <f ca="1">Historical!P90*P$17+'CapexSum$FY22'!P162*P$27*P$18</f>
        <v>0</v>
      </c>
      <c r="Q162" s="80">
        <f ca="1">Historical!Q90*Q$17+'CapexSum$FY22'!Q162*Q$27*Q$18</f>
        <v>0</v>
      </c>
      <c r="R162" s="80">
        <f ca="1">Historical!R90*R$17+'CapexSum$FY22'!R162*R$27*R$18</f>
        <v>0</v>
      </c>
      <c r="S162" s="80">
        <f ca="1">Historical!S90*S$17+'CapexSum$FY22'!S162*S$27*S$18</f>
        <v>0</v>
      </c>
      <c r="T162" s="80">
        <f ca="1">Historical!T90*T$17+'CapexSum$FY22'!T162*T$27*T$18</f>
        <v>0</v>
      </c>
    </row>
    <row r="163" spans="6:20" s="41" customFormat="1" outlineLevel="1">
      <c r="F163" s="251" t="str">
        <f>GC!C42</f>
        <v>Service pipes</v>
      </c>
      <c r="G163" s="251"/>
      <c r="H163" s="251"/>
      <c r="I163" s="251"/>
      <c r="J163" s="80">
        <f ca="1">Historical!J91*J$17+'CapexSum$FY22'!J163*J$27*J$18</f>
        <v>-1482923.6520000002</v>
      </c>
      <c r="K163" s="80">
        <f ca="1">Historical!K91*K$17+'CapexSum$FY22'!K163*K$27*K$18</f>
        <v>-3138494.0219999999</v>
      </c>
      <c r="L163" s="80">
        <f ca="1">Historical!L91*L$17+'CapexSum$FY22'!L163*L$27*L$18</f>
        <v>-2596717.1289999997</v>
      </c>
      <c r="M163" s="80">
        <f ca="1">Historical!M91*M$17+'CapexSum$FY22'!M163*M$27*M$18</f>
        <v>-2107659.7429999998</v>
      </c>
      <c r="N163" s="80">
        <f ca="1">Historical!N91*N$17+'CapexSum$FY22'!N163*N$27*N$18</f>
        <v>0</v>
      </c>
      <c r="O163" s="80">
        <f ca="1">Historical!O91*O$17+'CapexSum$FY22'!O163*O$27*O$18</f>
        <v>0</v>
      </c>
      <c r="P163" s="80">
        <f ca="1">Historical!P91*P$17+'CapexSum$FY22'!P163*P$27*P$18</f>
        <v>0</v>
      </c>
      <c r="Q163" s="80">
        <f ca="1">Historical!Q91*Q$17+'CapexSum$FY22'!Q163*Q$27*Q$18</f>
        <v>0</v>
      </c>
      <c r="R163" s="80">
        <f ca="1">Historical!R91*R$17+'CapexSum$FY22'!R163*R$27*R$18</f>
        <v>0</v>
      </c>
      <c r="S163" s="80">
        <f ca="1">Historical!S91*S$17+'CapexSum$FY22'!S163*S$27*S$18</f>
        <v>0</v>
      </c>
      <c r="T163" s="80">
        <f ca="1">Historical!T91*T$17+'CapexSum$FY22'!T163*T$27*T$18</f>
        <v>0</v>
      </c>
    </row>
    <row r="164" spans="6:20" s="41" customFormat="1" outlineLevel="1">
      <c r="F164" s="251" t="str">
        <f>GC!C43</f>
        <v>Cathodic protection</v>
      </c>
      <c r="G164" s="251"/>
      <c r="H164" s="251"/>
      <c r="I164" s="251"/>
      <c r="J164" s="80">
        <f ca="1">Historical!J92*J$17+'CapexSum$FY22'!J164*J$27*J$18</f>
        <v>0</v>
      </c>
      <c r="K164" s="80">
        <f ca="1">Historical!K92*K$17+'CapexSum$FY22'!K164*K$27*K$18</f>
        <v>0</v>
      </c>
      <c r="L164" s="80">
        <f ca="1">Historical!L92*L$17+'CapexSum$FY22'!L164*L$27*L$18</f>
        <v>0</v>
      </c>
      <c r="M164" s="80">
        <f ca="1">Historical!M92*M$17+'CapexSum$FY22'!M164*M$27*M$18</f>
        <v>0</v>
      </c>
      <c r="N164" s="80">
        <f ca="1">Historical!N92*N$17+'CapexSum$FY22'!N164*N$27*N$18</f>
        <v>0</v>
      </c>
      <c r="O164" s="80">
        <f ca="1">Historical!O92*O$17+'CapexSum$FY22'!O164*O$27*O$18</f>
        <v>0</v>
      </c>
      <c r="P164" s="80">
        <f ca="1">Historical!P92*P$17+'CapexSum$FY22'!P164*P$27*P$18</f>
        <v>0</v>
      </c>
      <c r="Q164" s="80">
        <f ca="1">Historical!Q92*Q$17+'CapexSum$FY22'!Q164*Q$27*Q$18</f>
        <v>0</v>
      </c>
      <c r="R164" s="80">
        <f ca="1">Historical!R92*R$17+'CapexSum$FY22'!R164*R$27*R$18</f>
        <v>0</v>
      </c>
      <c r="S164" s="80">
        <f ca="1">Historical!S92*S$17+'CapexSum$FY22'!S164*S$27*S$18</f>
        <v>0</v>
      </c>
      <c r="T164" s="80">
        <f ca="1">Historical!T92*T$17+'CapexSum$FY22'!T164*T$27*T$18</f>
        <v>0</v>
      </c>
    </row>
    <row r="165" spans="6:20" s="41" customFormat="1" outlineLevel="1">
      <c r="F165" s="251" t="str">
        <f>GC!C44</f>
        <v>Supply Regulators / Valve Stations</v>
      </c>
      <c r="G165" s="251"/>
      <c r="H165" s="251"/>
      <c r="I165" s="251"/>
      <c r="J165" s="80">
        <f ca="1">Historical!J93*J$17+'CapexSum$FY22'!J165*J$27*J$18</f>
        <v>-433640.60000000003</v>
      </c>
      <c r="K165" s="80">
        <f ca="1">Historical!K93*K$17+'CapexSum$FY22'!K165*K$27*K$18</f>
        <v>0</v>
      </c>
      <c r="L165" s="80">
        <f ca="1">Historical!L93*L$17+'CapexSum$FY22'!L165*L$27*L$18</f>
        <v>0</v>
      </c>
      <c r="M165" s="80">
        <f ca="1">Historical!M93*M$17+'CapexSum$FY22'!M165*M$27*M$18</f>
        <v>-4340583.9327999996</v>
      </c>
      <c r="N165" s="80">
        <f ca="1">Historical!N93*N$17+'CapexSum$FY22'!N165*N$27*N$18</f>
        <v>-9707000</v>
      </c>
      <c r="O165" s="80">
        <f ca="1">Historical!O93*O$17+'CapexSum$FY22'!O165*O$27*O$18</f>
        <v>-1097324.2789999999</v>
      </c>
      <c r="P165" s="80">
        <f ca="1">Historical!P93*P$17+'CapexSum$FY22'!P165*P$27*P$18</f>
        <v>0</v>
      </c>
      <c r="Q165" s="80">
        <f ca="1">Historical!Q93*Q$17+'CapexSum$FY22'!Q165*Q$27*Q$18</f>
        <v>0</v>
      </c>
      <c r="R165" s="80">
        <f ca="1">Historical!R93*R$17+'CapexSum$FY22'!R165*R$27*R$18</f>
        <v>0</v>
      </c>
      <c r="S165" s="80">
        <f ca="1">Historical!S93*S$17+'CapexSum$FY22'!S165*S$27*S$18</f>
        <v>0</v>
      </c>
      <c r="T165" s="80">
        <f ca="1">Historical!T93*T$17+'CapexSum$FY22'!T165*T$27*T$18</f>
        <v>0</v>
      </c>
    </row>
    <row r="166" spans="6:20" s="41" customFormat="1" outlineLevel="1">
      <c r="F166" s="251" t="str">
        <f>GC!C45</f>
        <v>Meters</v>
      </c>
      <c r="G166" s="251"/>
      <c r="H166" s="251"/>
      <c r="I166" s="251"/>
      <c r="J166" s="80">
        <f ca="1">Historical!J94*J$17+'CapexSum$FY22'!J166*J$27*J$18</f>
        <v>-411747.89600000007</v>
      </c>
      <c r="K166" s="80">
        <f ca="1">Historical!K94*K$17+'CapexSum$FY22'!K166*K$27*K$18</f>
        <v>-1593261.4239999996</v>
      </c>
      <c r="L166" s="80">
        <f ca="1">Historical!L94*L$17+'CapexSum$FY22'!L166*L$27*L$18</f>
        <v>-886146.81299999997</v>
      </c>
      <c r="M166" s="80">
        <f ca="1">Historical!M94*M$17+'CapexSum$FY22'!M166*M$27*M$18</f>
        <v>-658811.3280000001</v>
      </c>
      <c r="N166" s="80">
        <f ca="1">Historical!N94*N$17+'CapexSum$FY22'!N166*N$27*N$18</f>
        <v>-853835.73199300002</v>
      </c>
      <c r="O166" s="80">
        <f ca="1">Historical!O94*O$17+'CapexSum$FY22'!O166*O$27*O$18</f>
        <v>-458455.37413499999</v>
      </c>
      <c r="P166" s="80">
        <f ca="1">Historical!P94*P$17+'CapexSum$FY22'!P166*P$27*P$18</f>
        <v>-955879.45507147501</v>
      </c>
      <c r="Q166" s="80">
        <f ca="1">Historical!Q94*Q$17+'CapexSum$FY22'!Q166*Q$27*Q$18</f>
        <v>-1001326.8151399594</v>
      </c>
      <c r="R166" s="80">
        <f ca="1">Historical!R94*R$17+'CapexSum$FY22'!R166*R$27*R$18</f>
        <v>-1043168.6290727129</v>
      </c>
      <c r="S166" s="80">
        <f ca="1">Historical!S94*S$17+'CapexSum$FY22'!S166*S$27*S$18</f>
        <v>-1055628.9520135263</v>
      </c>
      <c r="T166" s="80">
        <f ca="1">Historical!T94*T$17+'CapexSum$FY22'!T166*T$27*T$18</f>
        <v>-1067493.5097562871</v>
      </c>
    </row>
    <row r="167" spans="6:20" s="41" customFormat="1" outlineLevel="1">
      <c r="F167" s="251" t="str">
        <f>GC!C46</f>
        <v>SCADA and remote control</v>
      </c>
      <c r="G167" s="251"/>
      <c r="H167" s="251"/>
      <c r="I167" s="251"/>
      <c r="J167" s="80">
        <f ca="1">Historical!J95*J$17+'CapexSum$FY22'!J167*J$27*J$18</f>
        <v>0</v>
      </c>
      <c r="K167" s="80">
        <f ca="1">Historical!K95*K$17+'CapexSum$FY22'!K167*K$27*K$18</f>
        <v>0</v>
      </c>
      <c r="L167" s="80">
        <f ca="1">Historical!L95*L$17+'CapexSum$FY22'!L167*L$27*L$18</f>
        <v>0</v>
      </c>
      <c r="M167" s="80">
        <f ca="1">Historical!M95*M$17+'CapexSum$FY22'!M167*M$27*M$18</f>
        <v>0</v>
      </c>
      <c r="N167" s="80">
        <f ca="1">Historical!N95*N$17+'CapexSum$FY22'!N167*N$27*N$18</f>
        <v>0</v>
      </c>
      <c r="O167" s="80">
        <f ca="1">Historical!O95*O$17+'CapexSum$FY22'!O167*O$27*O$18</f>
        <v>0</v>
      </c>
      <c r="P167" s="80">
        <f ca="1">Historical!P95*P$17+'CapexSum$FY22'!P167*P$27*P$18</f>
        <v>0</v>
      </c>
      <c r="Q167" s="80">
        <f ca="1">Historical!Q95*Q$17+'CapexSum$FY22'!Q167*Q$27*Q$18</f>
        <v>0</v>
      </c>
      <c r="R167" s="80">
        <f ca="1">Historical!R95*R$17+'CapexSum$FY22'!R167*R$27*R$18</f>
        <v>0</v>
      </c>
      <c r="S167" s="80">
        <f ca="1">Historical!S95*S$17+'CapexSum$FY22'!S167*S$27*S$18</f>
        <v>0</v>
      </c>
      <c r="T167" s="80">
        <f ca="1">Historical!T95*T$17+'CapexSum$FY22'!T167*T$27*T$18</f>
        <v>0</v>
      </c>
    </row>
    <row r="168" spans="6:20" s="41" customFormat="1" outlineLevel="1">
      <c r="F168" s="251" t="str">
        <f>GC!C47</f>
        <v>Buildings</v>
      </c>
      <c r="G168" s="251"/>
      <c r="H168" s="251"/>
      <c r="I168" s="251"/>
      <c r="J168" s="80">
        <f ca="1">Historical!J96*J$17+'CapexSum$FY22'!J168*J$27*J$18</f>
        <v>0</v>
      </c>
      <c r="K168" s="80">
        <f ca="1">Historical!K96*K$17+'CapexSum$FY22'!K168*K$27*K$18</f>
        <v>0</v>
      </c>
      <c r="L168" s="80">
        <f ca="1">Historical!L96*L$17+'CapexSum$FY22'!L168*L$27*L$18</f>
        <v>0</v>
      </c>
      <c r="M168" s="80">
        <f ca="1">Historical!M96*M$17+'CapexSum$FY22'!M168*M$27*M$18</f>
        <v>0</v>
      </c>
      <c r="N168" s="80">
        <f ca="1">Historical!N96*N$17+'CapexSum$FY22'!N168*N$27*N$18</f>
        <v>0</v>
      </c>
      <c r="O168" s="80">
        <f ca="1">Historical!O96*O$17+'CapexSum$FY22'!O168*O$27*O$18</f>
        <v>0</v>
      </c>
      <c r="P168" s="80">
        <f ca="1">Historical!P96*P$17+'CapexSum$FY22'!P168*P$27*P$18</f>
        <v>0</v>
      </c>
      <c r="Q168" s="80">
        <f ca="1">Historical!Q96*Q$17+'CapexSum$FY22'!Q168*Q$27*Q$18</f>
        <v>0</v>
      </c>
      <c r="R168" s="80">
        <f ca="1">Historical!R96*R$17+'CapexSum$FY22'!R168*R$27*R$18</f>
        <v>0</v>
      </c>
      <c r="S168" s="80">
        <f ca="1">Historical!S96*S$17+'CapexSum$FY22'!S168*S$27*S$18</f>
        <v>0</v>
      </c>
      <c r="T168" s="80">
        <f ca="1">Historical!T96*T$17+'CapexSum$FY22'!T168*T$27*T$18</f>
        <v>0</v>
      </c>
    </row>
    <row r="169" spans="6:20" s="41" customFormat="1" outlineLevel="1">
      <c r="F169" s="251" t="str">
        <f>GC!C48</f>
        <v>Other - IT</v>
      </c>
      <c r="G169" s="251"/>
      <c r="H169" s="251"/>
      <c r="I169" s="251"/>
      <c r="J169" s="80">
        <f ca="1">Historical!J97*J$17+'CapexSum$FY22'!J169*J$27*J$18</f>
        <v>0</v>
      </c>
      <c r="K169" s="80">
        <f ca="1">Historical!K97*K$17+'CapexSum$FY22'!K169*K$27*K$18</f>
        <v>0</v>
      </c>
      <c r="L169" s="80">
        <f ca="1">Historical!L97*L$17+'CapexSum$FY22'!L169*L$27*L$18</f>
        <v>0</v>
      </c>
      <c r="M169" s="80">
        <f ca="1">Historical!M97*M$17+'CapexSum$FY22'!M169*M$27*M$18</f>
        <v>0</v>
      </c>
      <c r="N169" s="80">
        <f ca="1">Historical!N97*N$17+'CapexSum$FY22'!N169*N$27*N$18</f>
        <v>0</v>
      </c>
      <c r="O169" s="80">
        <f ca="1">Historical!O97*O$17+'CapexSum$FY22'!O169*O$27*O$18</f>
        <v>0</v>
      </c>
      <c r="P169" s="80">
        <f ca="1">Historical!P97*P$17+'CapexSum$FY22'!P169*P$27*P$18</f>
        <v>0</v>
      </c>
      <c r="Q169" s="80">
        <f ca="1">Historical!Q97*Q$17+'CapexSum$FY22'!Q169*Q$27*Q$18</f>
        <v>0</v>
      </c>
      <c r="R169" s="80">
        <f ca="1">Historical!R97*R$17+'CapexSum$FY22'!R169*R$27*R$18</f>
        <v>0</v>
      </c>
      <c r="S169" s="80">
        <f ca="1">Historical!S97*S$17+'CapexSum$FY22'!S169*S$27*S$18</f>
        <v>0</v>
      </c>
      <c r="T169" s="80">
        <f ca="1">Historical!T97*T$17+'CapexSum$FY22'!T169*T$27*T$18</f>
        <v>0</v>
      </c>
    </row>
    <row r="170" spans="6:20" s="41" customFormat="1" outlineLevel="1">
      <c r="F170" s="251" t="str">
        <f>GC!C49</f>
        <v>Other - non IT</v>
      </c>
      <c r="G170" s="251"/>
      <c r="H170" s="251"/>
      <c r="I170" s="251"/>
      <c r="J170" s="80">
        <f ca="1">Historical!J98*J$17+'CapexSum$FY22'!J170*J$27*J$18</f>
        <v>0</v>
      </c>
      <c r="K170" s="80">
        <f ca="1">Historical!K98*K$17+'CapexSum$FY22'!K170*K$27*K$18</f>
        <v>0</v>
      </c>
      <c r="L170" s="80">
        <f ca="1">Historical!L98*L$17+'CapexSum$FY22'!L170*L$27*L$18</f>
        <v>0</v>
      </c>
      <c r="M170" s="80">
        <f ca="1">Historical!M98*M$17+'CapexSum$FY22'!M170*M$27*M$18</f>
        <v>0</v>
      </c>
      <c r="N170" s="80">
        <f ca="1">Historical!N98*N$17+'CapexSum$FY22'!N170*N$27*N$18</f>
        <v>0</v>
      </c>
      <c r="O170" s="80">
        <f ca="1">Historical!O98*O$17+'CapexSum$FY22'!O170*O$27*O$18</f>
        <v>0</v>
      </c>
      <c r="P170" s="80">
        <f ca="1">Historical!P98*P$17+'CapexSum$FY22'!P170*P$27*P$18</f>
        <v>0</v>
      </c>
      <c r="Q170" s="80">
        <f ca="1">Historical!Q98*Q$17+'CapexSum$FY22'!Q170*Q$27*Q$18</f>
        <v>0</v>
      </c>
      <c r="R170" s="80">
        <f ca="1">Historical!R98*R$17+'CapexSum$FY22'!R170*R$27*R$18</f>
        <v>0</v>
      </c>
      <c r="S170" s="80">
        <f ca="1">Historical!S98*S$17+'CapexSum$FY22'!S170*S$27*S$18</f>
        <v>0</v>
      </c>
      <c r="T170" s="80">
        <f ca="1">Historical!T98*T$17+'CapexSum$FY22'!T170*T$27*T$18</f>
        <v>0</v>
      </c>
    </row>
    <row r="171" spans="6:20" s="41" customFormat="1" outlineLevel="1">
      <c r="F171" s="251" t="str">
        <f>GC!C50</f>
        <v>Land</v>
      </c>
      <c r="G171" s="251"/>
      <c r="H171" s="251"/>
      <c r="I171" s="251"/>
      <c r="J171" s="80">
        <f ca="1">Historical!J99*J$17+'CapexSum$FY22'!J171*J$27*J$18</f>
        <v>0</v>
      </c>
      <c r="K171" s="80">
        <f ca="1">Historical!K99*K$17+'CapexSum$FY22'!K171*K$27*K$18</f>
        <v>0</v>
      </c>
      <c r="L171" s="80">
        <f ca="1">Historical!L99*L$17+'CapexSum$FY22'!L171*L$27*L$18</f>
        <v>0</v>
      </c>
      <c r="M171" s="80">
        <f ca="1">Historical!M99*M$17+'CapexSum$FY22'!M171*M$27*M$18</f>
        <v>0</v>
      </c>
      <c r="N171" s="80">
        <f ca="1">Historical!N99*N$17+'CapexSum$FY22'!N171*N$27*N$18</f>
        <v>0</v>
      </c>
      <c r="O171" s="80">
        <f ca="1">Historical!O99*O$17+'CapexSum$FY22'!O171*O$27*O$18</f>
        <v>0</v>
      </c>
      <c r="P171" s="80">
        <f ca="1">Historical!P99*P$17+'CapexSum$FY22'!P171*P$27*P$18</f>
        <v>0</v>
      </c>
      <c r="Q171" s="80">
        <f ca="1">Historical!Q99*Q$17+'CapexSum$FY22'!Q171*Q$27*Q$18</f>
        <v>0</v>
      </c>
      <c r="R171" s="80">
        <f ca="1">Historical!R99*R$17+'CapexSum$FY22'!R171*R$27*R$18</f>
        <v>0</v>
      </c>
      <c r="S171" s="80">
        <f ca="1">Historical!S99*S$17+'CapexSum$FY22'!S171*S$27*S$18</f>
        <v>0</v>
      </c>
      <c r="T171" s="80">
        <f ca="1">Historical!T99*T$17+'CapexSum$FY22'!T171*T$27*T$18</f>
        <v>0</v>
      </c>
    </row>
    <row r="172" spans="6:20" s="41" customFormat="1" outlineLevel="1">
      <c r="F172" s="251" t="str">
        <f>GC!C51</f>
        <v>Capitalised Leases</v>
      </c>
      <c r="G172" s="251"/>
      <c r="H172" s="251"/>
      <c r="I172" s="251"/>
      <c r="J172" s="80">
        <f ca="1">Historical!J100*J$17+'CapexSum$FY22'!J172*J$27*J$18</f>
        <v>0</v>
      </c>
      <c r="K172" s="80">
        <f ca="1">Historical!K100*K$17+'CapexSum$FY22'!K172*K$27*K$18</f>
        <v>0</v>
      </c>
      <c r="L172" s="80">
        <f ca="1">Historical!L100*L$17+'CapexSum$FY22'!L172*L$27*L$18</f>
        <v>0</v>
      </c>
      <c r="M172" s="80">
        <f ca="1">Historical!M100*M$17+'CapexSum$FY22'!M172*M$27*M$18</f>
        <v>0</v>
      </c>
      <c r="N172" s="80">
        <f ca="1">Historical!N100*N$17+'CapexSum$FY22'!N172*N$27*N$18</f>
        <v>0</v>
      </c>
      <c r="O172" s="80">
        <f ca="1">Historical!O100*O$17+'CapexSum$FY22'!O172*O$27*O$18</f>
        <v>0</v>
      </c>
      <c r="P172" s="80">
        <f ca="1">Historical!P100*P$17+'CapexSum$FY22'!P172*P$27*P$18</f>
        <v>0</v>
      </c>
      <c r="Q172" s="80">
        <f ca="1">Historical!Q100*Q$17+'CapexSum$FY22'!Q172*Q$27*Q$18</f>
        <v>0</v>
      </c>
      <c r="R172" s="80">
        <f ca="1">Historical!R100*R$17+'CapexSum$FY22'!R172*R$27*R$18</f>
        <v>0</v>
      </c>
      <c r="S172" s="80">
        <f ca="1">Historical!S100*S$17+'CapexSum$FY22'!S172*S$27*S$18</f>
        <v>0</v>
      </c>
      <c r="T172" s="80">
        <f ca="1">Historical!T100*T$17+'CapexSum$FY22'!T172*T$27*T$18</f>
        <v>0</v>
      </c>
    </row>
    <row r="173" spans="6:20" s="41" customFormat="1" outlineLevel="1">
      <c r="F173" s="251" t="str">
        <f>GC!C52</f>
        <v>Transmission pipelines - post 1998</v>
      </c>
      <c r="G173" s="251"/>
      <c r="H173" s="251"/>
      <c r="I173" s="251"/>
      <c r="J173" s="80">
        <f ca="1">Historical!J101*J$17+'CapexSum$FY22'!J173*J$27*J$18</f>
        <v>0</v>
      </c>
      <c r="K173" s="80">
        <f ca="1">Historical!K101*K$17+'CapexSum$FY22'!K173*K$27*K$18</f>
        <v>0</v>
      </c>
      <c r="L173" s="80">
        <f ca="1">Historical!L101*L$17+'CapexSum$FY22'!L173*L$27*L$18</f>
        <v>0</v>
      </c>
      <c r="M173" s="80">
        <f ca="1">Historical!M101*M$17+'CapexSum$FY22'!M173*M$27*M$18</f>
        <v>0</v>
      </c>
      <c r="N173" s="80">
        <f ca="1">Historical!N101*N$17+'CapexSum$FY22'!N173*N$27*N$18</f>
        <v>0</v>
      </c>
      <c r="O173" s="80">
        <f ca="1">Historical!O101*O$17+'CapexSum$FY22'!O173*O$27*O$18</f>
        <v>0</v>
      </c>
      <c r="P173" s="80">
        <f ca="1">Historical!P101*P$17+'CapexSum$FY22'!P173*P$27*P$18</f>
        <v>0</v>
      </c>
      <c r="Q173" s="80">
        <f ca="1">Historical!Q101*Q$17+'CapexSum$FY22'!Q173*Q$27*Q$18</f>
        <v>0</v>
      </c>
      <c r="R173" s="80">
        <f ca="1">Historical!R101*R$17+'CapexSum$FY22'!R173*R$27*R$18</f>
        <v>0</v>
      </c>
      <c r="S173" s="80">
        <f ca="1">Historical!S101*S$17+'CapexSum$FY22'!S173*S$27*S$18</f>
        <v>0</v>
      </c>
      <c r="T173" s="80">
        <f ca="1">Historical!T101*T$17+'CapexSum$FY22'!T173*T$27*T$18</f>
        <v>0</v>
      </c>
    </row>
    <row r="174" spans="6:20" s="41" customFormat="1" outlineLevel="1">
      <c r="F174" s="251" t="str">
        <f>GC!C53</f>
        <v>Distribution pipelines - post 1998</v>
      </c>
      <c r="G174" s="251"/>
      <c r="H174" s="251"/>
      <c r="I174" s="251"/>
      <c r="J174" s="80">
        <f ca="1">Historical!J102*J$17+'CapexSum$FY22'!J174*J$27*J$18</f>
        <v>0</v>
      </c>
      <c r="K174" s="80">
        <f ca="1">Historical!K102*K$17+'CapexSum$FY22'!K174*K$27*K$18</f>
        <v>0</v>
      </c>
      <c r="L174" s="80">
        <f ca="1">Historical!L102*L$17+'CapexSum$FY22'!L174*L$27*L$18</f>
        <v>0</v>
      </c>
      <c r="M174" s="80">
        <f ca="1">Historical!M102*M$17+'CapexSum$FY22'!M174*M$27*M$18</f>
        <v>0</v>
      </c>
      <c r="N174" s="80">
        <f ca="1">Historical!N102*N$17+'CapexSum$FY22'!N174*N$27*N$18</f>
        <v>-5923250.4239459997</v>
      </c>
      <c r="O174" s="80">
        <f ca="1">Historical!O102*O$17+'CapexSum$FY22'!O174*O$27*O$18</f>
        <v>-1655067.3651181094</v>
      </c>
      <c r="P174" s="80">
        <f ca="1">Historical!P102*P$17+'CapexSum$FY22'!P174*P$27*P$18</f>
        <v>-3047064.6700862586</v>
      </c>
      <c r="Q174" s="80">
        <f ca="1">Historical!Q102*Q$17+'CapexSum$FY22'!Q174*Q$27*Q$18</f>
        <v>-3178692.4436546746</v>
      </c>
      <c r="R174" s="80">
        <f ca="1">Historical!R102*R$17+'CapexSum$FY22'!R174*R$27*R$18</f>
        <v>-3298438.2795658279</v>
      </c>
      <c r="S174" s="80">
        <f ca="1">Historical!S102*S$17+'CapexSum$FY22'!S174*S$27*S$18</f>
        <v>-3347300.0350209083</v>
      </c>
      <c r="T174" s="80">
        <f ca="1">Historical!T102*T$17+'CapexSum$FY22'!T174*T$27*T$18</f>
        <v>-3395185.110811763</v>
      </c>
    </row>
    <row r="175" spans="6:20" s="41" customFormat="1" outlineLevel="1">
      <c r="F175" s="251" t="str">
        <f>GC!C54</f>
        <v>Service pipes - post 1998</v>
      </c>
      <c r="G175" s="251"/>
      <c r="H175" s="251"/>
      <c r="I175" s="251"/>
      <c r="J175" s="80">
        <f ca="1">Historical!J103*J$17+'CapexSum$FY22'!J175*J$27*J$18</f>
        <v>0</v>
      </c>
      <c r="K175" s="80">
        <f ca="1">Historical!K103*K$17+'CapexSum$FY22'!K175*K$27*K$18</f>
        <v>0</v>
      </c>
      <c r="L175" s="80">
        <f ca="1">Historical!L103*L$17+'CapexSum$FY22'!L175*L$27*L$18</f>
        <v>0</v>
      </c>
      <c r="M175" s="80">
        <f ca="1">Historical!M103*M$17+'CapexSum$FY22'!M175*M$27*M$18</f>
        <v>0</v>
      </c>
      <c r="N175" s="80">
        <f ca="1">Historical!N103*N$17+'CapexSum$FY22'!N175*N$27*N$18</f>
        <v>-3719970.170041</v>
      </c>
      <c r="O175" s="80">
        <f ca="1">Historical!O103*O$17+'CapexSum$FY22'!O175*O$27*O$18</f>
        <v>-2118103.2228225679</v>
      </c>
      <c r="P175" s="80">
        <f ca="1">Historical!P103*P$17+'CapexSum$FY22'!P175*P$27*P$18</f>
        <v>-4416245.2195850536</v>
      </c>
      <c r="Q175" s="80">
        <f ca="1">Historical!Q103*Q$17+'CapexSum$FY22'!Q175*Q$27*Q$18</f>
        <v>-4652844.8969989773</v>
      </c>
      <c r="R175" s="80">
        <f ca="1">Historical!R103*R$17+'CapexSum$FY22'!R175*R$27*R$18</f>
        <v>-4873357.8039276367</v>
      </c>
      <c r="S175" s="80">
        <f ca="1">Historical!S103*S$17+'CapexSum$FY22'!S175*S$27*S$18</f>
        <v>-4905385.1932948437</v>
      </c>
      <c r="T175" s="80">
        <f ca="1">Historical!T103*T$17+'CapexSum$FY22'!T175*T$27*T$18</f>
        <v>-4932454.47437324</v>
      </c>
    </row>
    <row r="176" spans="6:20" s="41" customFormat="1" outlineLevel="1">
      <c r="F176" s="251" t="str">
        <f>GC!C55</f>
        <v>Cathodic protection - post 1998</v>
      </c>
      <c r="G176" s="251"/>
      <c r="H176" s="251"/>
      <c r="I176" s="251"/>
      <c r="J176" s="80">
        <f ca="1">Historical!J104*J$17+'CapexSum$FY22'!J176*J$27*J$18</f>
        <v>0</v>
      </c>
      <c r="K176" s="80">
        <f ca="1">Historical!K104*K$17+'CapexSum$FY22'!K176*K$27*K$18</f>
        <v>0</v>
      </c>
      <c r="L176" s="80">
        <f ca="1">Historical!L104*L$17+'CapexSum$FY22'!L176*L$27*L$18</f>
        <v>0</v>
      </c>
      <c r="M176" s="80">
        <f ca="1">Historical!M104*M$17+'CapexSum$FY22'!M176*M$27*M$18</f>
        <v>0</v>
      </c>
      <c r="N176" s="80">
        <f ca="1">Historical!N104*N$17+'CapexSum$FY22'!N176*N$27*N$18</f>
        <v>0</v>
      </c>
      <c r="O176" s="80">
        <f ca="1">Historical!O104*O$17+'CapexSum$FY22'!O176*O$27*O$18</f>
        <v>0</v>
      </c>
      <c r="P176" s="80">
        <f ca="1">Historical!P104*P$17+'CapexSum$FY22'!P176*P$27*P$18</f>
        <v>0</v>
      </c>
      <c r="Q176" s="80">
        <f ca="1">Historical!Q104*Q$17+'CapexSum$FY22'!Q176*Q$27*Q$18</f>
        <v>0</v>
      </c>
      <c r="R176" s="80">
        <f ca="1">Historical!R104*R$17+'CapexSum$FY22'!R176*R$27*R$18</f>
        <v>0</v>
      </c>
      <c r="S176" s="80">
        <f ca="1">Historical!S104*S$17+'CapexSum$FY22'!S176*S$27*S$18</f>
        <v>0</v>
      </c>
      <c r="T176" s="80">
        <f ca="1">Historical!T104*T$17+'CapexSum$FY22'!T176*T$27*T$18</f>
        <v>0</v>
      </c>
    </row>
    <row r="177" spans="3:20" s="41" customFormat="1" outlineLevel="1">
      <c r="F177" s="250" t="str">
        <f>"Total "&amp;E159</f>
        <v>Total Customer Contributions</v>
      </c>
      <c r="G177" s="250"/>
      <c r="H177" s="250"/>
      <c r="I177" s="250"/>
      <c r="J177" s="101">
        <f t="shared" ref="J177:T177" ca="1" si="13">SUM(J161:J176)</f>
        <v>-5887298.4499999993</v>
      </c>
      <c r="K177" s="101">
        <f t="shared" ca="1" si="13"/>
        <v>-8143351.669999999</v>
      </c>
      <c r="L177" s="101">
        <f t="shared" ca="1" si="13"/>
        <v>-7721593.6200000001</v>
      </c>
      <c r="M177" s="101">
        <f t="shared" ca="1" si="13"/>
        <v>-13652760.089999998</v>
      </c>
      <c r="N177" s="101">
        <f t="shared" ca="1" si="13"/>
        <v>-20204056.32598</v>
      </c>
      <c r="O177" s="101">
        <f t="shared" ca="1" si="13"/>
        <v>-5328950.2410756778</v>
      </c>
      <c r="P177" s="101">
        <f t="shared" ca="1" si="13"/>
        <v>-8419189.3447427861</v>
      </c>
      <c r="Q177" s="101">
        <f t="shared" ca="1" si="13"/>
        <v>-8832864.155793611</v>
      </c>
      <c r="R177" s="101">
        <f t="shared" ca="1" si="13"/>
        <v>-9214964.7125661783</v>
      </c>
      <c r="S177" s="101">
        <f t="shared" ca="1" si="13"/>
        <v>-9308314.1803292781</v>
      </c>
      <c r="T177" s="101">
        <f t="shared" ca="1" si="13"/>
        <v>-9395133.0949412901</v>
      </c>
    </row>
    <row r="178" spans="3:20" s="41" customFormat="1" outlineLevel="1">
      <c r="C178" s="109"/>
      <c r="D178" s="109"/>
      <c r="E178" s="109"/>
      <c r="F178" s="109"/>
      <c r="G178" s="109"/>
      <c r="H178" s="109"/>
      <c r="I178" s="109"/>
      <c r="J178" s="109"/>
      <c r="K178" s="109"/>
      <c r="L178" s="109"/>
      <c r="M178" s="109"/>
      <c r="N178" s="109"/>
      <c r="O178" s="109"/>
      <c r="P178" s="109"/>
      <c r="Q178" s="109"/>
      <c r="R178" s="109"/>
      <c r="S178" s="109"/>
      <c r="T178" s="109"/>
    </row>
    <row r="179" spans="3:20" s="41" customFormat="1" outlineLevel="1"/>
    <row r="180" spans="3:20" outlineLevel="1">
      <c r="D180" s="37" t="str">
        <f>'CapexSum$FY22'!D180</f>
        <v>RIN Category Allocation</v>
      </c>
    </row>
    <row r="181" spans="3:20" ht="5.9" customHeight="1" outlineLevel="1"/>
    <row r="182" spans="3:20" outlineLevel="1">
      <c r="E182" s="37" t="str">
        <f>'CapexSum$FY22'!E182</f>
        <v>Direct Costs</v>
      </c>
    </row>
    <row r="183" spans="3:20" ht="5.9" customHeight="1" outlineLevel="1"/>
    <row r="184" spans="3:20" outlineLevel="1">
      <c r="F184" s="247" t="str">
        <f>GC!C60</f>
        <v>Mains replacement</v>
      </c>
      <c r="G184" s="247"/>
      <c r="H184" s="247"/>
      <c r="I184" s="247"/>
      <c r="J184" s="81">
        <f ca="1">Historical!J112*J$17+'CapexSum$FY22'!J184*J$27*J$18</f>
        <v>24506351.370000005</v>
      </c>
      <c r="K184" s="81">
        <f ca="1">Historical!K112*K$17+'CapexSum$FY22'!K184*K$27*K$18</f>
        <v>26450061.760000005</v>
      </c>
      <c r="L184" s="81">
        <f ca="1">Historical!L112*L$17+'CapexSum$FY22'!L184*L$27*L$18</f>
        <v>19921550.27</v>
      </c>
      <c r="M184" s="81">
        <f ca="1">Historical!M112*M$17+'CapexSum$FY22'!M184*M$27*M$18</f>
        <v>22893951.110000003</v>
      </c>
      <c r="N184" s="81">
        <f ca="1">Historical!N112*N$17+'CapexSum$FY22'!N184*N$27*N$18</f>
        <v>20725383.936348949</v>
      </c>
      <c r="O184" s="81">
        <f ca="1">Historical!O112*O$17+'CapexSum$FY22'!O184*O$27*O$18</f>
        <v>21851083.394159939</v>
      </c>
      <c r="P184" s="81">
        <f ca="1">Historical!P112*P$17+'CapexSum$FY22'!P184*P$27*P$18</f>
        <v>31532423.458121613</v>
      </c>
      <c r="Q184" s="81">
        <f ca="1">Historical!Q112*Q$17+'CapexSum$FY22'!Q184*Q$27*Q$18</f>
        <v>29602391.993944496</v>
      </c>
      <c r="R184" s="81">
        <f ca="1">Historical!R112*R$17+'CapexSum$FY22'!R184*R$27*R$18</f>
        <v>27415632.529835172</v>
      </c>
      <c r="S184" s="81">
        <f ca="1">Historical!S112*S$17+'CapexSum$FY22'!S184*S$27*S$18</f>
        <v>31833199.437154472</v>
      </c>
      <c r="T184" s="81">
        <f ca="1">Historical!T112*T$17+'CapexSum$FY22'!T184*T$27*T$18</f>
        <v>22676730.679234374</v>
      </c>
    </row>
    <row r="185" spans="3:20" outlineLevel="1">
      <c r="F185" s="247" t="str">
        <f>GC!C61</f>
        <v>Residential new customer connections</v>
      </c>
      <c r="G185" s="247"/>
      <c r="H185" s="247"/>
      <c r="I185" s="247"/>
      <c r="J185" s="81">
        <f ca="1">Historical!J113*J$17+'CapexSum$FY22'!J185*J$27*J$18</f>
        <v>41720742.220000006</v>
      </c>
      <c r="K185" s="81">
        <f ca="1">Historical!K113*K$17+'CapexSum$FY22'!K185*K$27*K$18</f>
        <v>47533588.010000005</v>
      </c>
      <c r="L185" s="81">
        <f ca="1">Historical!L113*L$17+'CapexSum$FY22'!L185*L$27*L$18</f>
        <v>48225423.68</v>
      </c>
      <c r="M185" s="81">
        <f ca="1">Historical!M113*M$17+'CapexSum$FY22'!M185*M$27*M$18</f>
        <v>44282932.260000005</v>
      </c>
      <c r="N185" s="81">
        <f ca="1">Historical!N113*N$17+'CapexSum$FY22'!N185*N$27*N$18</f>
        <v>47697854.9240655</v>
      </c>
      <c r="O185" s="81">
        <f ca="1">Historical!O113*O$17+'CapexSum$FY22'!O185*O$27*O$18</f>
        <v>20859798.717016291</v>
      </c>
      <c r="P185" s="81">
        <f ca="1">Historical!P113*P$17+'CapexSum$FY22'!P185*P$27*P$18</f>
        <v>39974603.01661817</v>
      </c>
      <c r="Q185" s="81">
        <f ca="1">Historical!Q113*Q$17+'CapexSum$FY22'!Q185*Q$27*Q$18</f>
        <v>42472438.911046818</v>
      </c>
      <c r="R185" s="81">
        <f ca="1">Historical!R113*R$17+'CapexSum$FY22'!R185*R$27*R$18</f>
        <v>44840459.437185958</v>
      </c>
      <c r="S185" s="81">
        <f ca="1">Historical!S113*S$17+'CapexSum$FY22'!S185*S$27*S$18</f>
        <v>44855906.752124645</v>
      </c>
      <c r="T185" s="81">
        <f ca="1">Historical!T113*T$17+'CapexSum$FY22'!T185*T$27*T$18</f>
        <v>44799848.199762128</v>
      </c>
    </row>
    <row r="186" spans="3:20" outlineLevel="1">
      <c r="F186" s="247" t="str">
        <f>GC!C62</f>
        <v>Commercial and industrial new customer connections</v>
      </c>
      <c r="G186" s="247"/>
      <c r="H186" s="247"/>
      <c r="I186" s="247"/>
      <c r="J186" s="81">
        <f ca="1">Historical!J114*J$17+'CapexSum$FY22'!J186*J$27*J$18</f>
        <v>4507858.2789663905</v>
      </c>
      <c r="K186" s="81">
        <f ca="1">Historical!K114*K$17+'CapexSum$FY22'!K186*K$27*K$18</f>
        <v>5750705.6399999997</v>
      </c>
      <c r="L186" s="81">
        <f ca="1">Historical!L114*L$17+'CapexSum$FY22'!L186*L$27*L$18</f>
        <v>6162075.1300000018</v>
      </c>
      <c r="M186" s="81">
        <f ca="1">Historical!M114*M$17+'CapexSum$FY22'!M186*M$27*M$18</f>
        <v>10879059.18</v>
      </c>
      <c r="N186" s="81">
        <f ca="1">Historical!N114*N$17+'CapexSum$FY22'!N186*N$27*N$18</f>
        <v>3501984.1759004672</v>
      </c>
      <c r="O186" s="81">
        <f ca="1">Historical!O114*O$17+'CapexSum$FY22'!O186*O$27*O$18</f>
        <v>4656705.7916354761</v>
      </c>
      <c r="P186" s="81">
        <f ca="1">Historical!P114*P$17+'CapexSum$FY22'!P186*P$27*P$18</f>
        <v>7050610.6075667869</v>
      </c>
      <c r="Q186" s="81">
        <f ca="1">Historical!Q114*Q$17+'CapexSum$FY22'!Q186*Q$27*Q$18</f>
        <v>7392846.6032969868</v>
      </c>
      <c r="R186" s="81">
        <f ca="1">Historical!R114*R$17+'CapexSum$FY22'!R186*R$27*R$18</f>
        <v>7709862.43063928</v>
      </c>
      <c r="S186" s="81">
        <f ca="1">Historical!S114*S$17+'CapexSum$FY22'!S186*S$27*S$18</f>
        <v>7802598.9372335989</v>
      </c>
      <c r="T186" s="81">
        <f ca="1">Historical!T114*T$17+'CapexSum$FY22'!T186*T$27*T$18</f>
        <v>7890749.6380620273</v>
      </c>
    </row>
    <row r="187" spans="3:20" outlineLevel="1">
      <c r="F187" s="247" t="str">
        <f>GC!C63</f>
        <v>Residential meter replacement</v>
      </c>
      <c r="G187" s="247"/>
      <c r="H187" s="247"/>
      <c r="I187" s="247"/>
      <c r="J187" s="81">
        <f ca="1">Historical!J115*J$17+'CapexSum$FY22'!J187*J$27*J$18</f>
        <v>7410801.6899999995</v>
      </c>
      <c r="K187" s="81">
        <f ca="1">Historical!K115*K$17+'CapexSum$FY22'!K187*K$27*K$18</f>
        <v>7699045.4099999992</v>
      </c>
      <c r="L187" s="81">
        <f ca="1">Historical!L115*L$17+'CapexSum$FY22'!L187*L$27*L$18</f>
        <v>5856175.96</v>
      </c>
      <c r="M187" s="81">
        <f ca="1">Historical!M115*M$17+'CapexSum$FY22'!M187*M$27*M$18</f>
        <v>7351910.0499999998</v>
      </c>
      <c r="N187" s="81">
        <f ca="1">Historical!N115*N$17+'CapexSum$FY22'!N187*N$27*N$18</f>
        <v>3970137.3065882879</v>
      </c>
      <c r="O187" s="81">
        <f ca="1">Historical!O115*O$17+'CapexSum$FY22'!O187*O$27*O$18</f>
        <v>2392343.1675102296</v>
      </c>
      <c r="P187" s="81">
        <f ca="1">Historical!P115*P$17+'CapexSum$FY22'!P187*P$27*P$18</f>
        <v>4988730.7005386315</v>
      </c>
      <c r="Q187" s="81">
        <f ca="1">Historical!Q115*Q$17+'CapexSum$FY22'!Q187*Q$27*Q$18</f>
        <v>6111422.1162562612</v>
      </c>
      <c r="R187" s="81">
        <f ca="1">Historical!R115*R$17+'CapexSum$FY22'!R187*R$27*R$18</f>
        <v>6584687.1022563344</v>
      </c>
      <c r="S187" s="81">
        <f ca="1">Historical!S115*S$17+'CapexSum$FY22'!S187*S$27*S$18</f>
        <v>5175842.9044921361</v>
      </c>
      <c r="T187" s="81">
        <f ca="1">Historical!T115*T$17+'CapexSum$FY22'!T187*T$27*T$18</f>
        <v>4892523.2505034553</v>
      </c>
    </row>
    <row r="188" spans="3:20" outlineLevel="1">
      <c r="F188" s="247" t="str">
        <f>GC!C64</f>
        <v>Commercial and industrial meter replacement</v>
      </c>
      <c r="G188" s="247"/>
      <c r="H188" s="247"/>
      <c r="I188" s="247"/>
      <c r="J188" s="81">
        <f ca="1">Historical!J116*J$17+'CapexSum$FY22'!J188*J$27*J$18</f>
        <v>962128.48</v>
      </c>
      <c r="K188" s="81">
        <f ca="1">Historical!K116*K$17+'CapexSum$FY22'!K188*K$27*K$18</f>
        <v>491485.69000000006</v>
      </c>
      <c r="L188" s="81">
        <f ca="1">Historical!L116*L$17+'CapexSum$FY22'!L188*L$27*L$18</f>
        <v>219027.49</v>
      </c>
      <c r="M188" s="81">
        <f ca="1">Historical!M116*M$17+'CapexSum$FY22'!M188*M$27*M$18</f>
        <v>3571454.6300000004</v>
      </c>
      <c r="N188" s="81">
        <f ca="1">Historical!N116*N$17+'CapexSum$FY22'!N188*N$27*N$18</f>
        <v>843199.11110906955</v>
      </c>
      <c r="O188" s="81">
        <f ca="1">Historical!O116*O$17+'CapexSum$FY22'!O188*O$27*O$18</f>
        <v>652607.32221589552</v>
      </c>
      <c r="P188" s="81">
        <f ca="1">Historical!P116*P$17+'CapexSum$FY22'!P188*P$27*P$18</f>
        <v>1498564.2011830509</v>
      </c>
      <c r="Q188" s="81">
        <f ca="1">Historical!Q116*Q$17+'CapexSum$FY22'!Q188*Q$27*Q$18</f>
        <v>1728968.019309019</v>
      </c>
      <c r="R188" s="81">
        <f ca="1">Historical!R116*R$17+'CapexSum$FY22'!R188*R$27*R$18</f>
        <v>2063154.5275777567</v>
      </c>
      <c r="S188" s="81">
        <f ca="1">Historical!S116*S$17+'CapexSum$FY22'!S188*S$27*S$18</f>
        <v>1990280.4432695985</v>
      </c>
      <c r="T188" s="81">
        <f ca="1">Historical!T116*T$17+'CapexSum$FY22'!T188*T$27*T$18</f>
        <v>1541707.4984905298</v>
      </c>
    </row>
    <row r="189" spans="3:20" outlineLevel="1">
      <c r="F189" s="247" t="str">
        <f>GC!C65</f>
        <v>Augmentation</v>
      </c>
      <c r="G189" s="247"/>
      <c r="H189" s="247"/>
      <c r="I189" s="247"/>
      <c r="J189" s="81">
        <f ca="1">Historical!J117*J$17+'CapexSum$FY22'!J189*J$27*J$18</f>
        <v>356053.01</v>
      </c>
      <c r="K189" s="81">
        <f ca="1">Historical!K117*K$17+'CapexSum$FY22'!K189*K$27*K$18</f>
        <v>1155693.1200000001</v>
      </c>
      <c r="L189" s="81">
        <f ca="1">Historical!L117*L$17+'CapexSum$FY22'!L189*L$27*L$18</f>
        <v>4083285.25</v>
      </c>
      <c r="M189" s="81">
        <f ca="1">Historical!M117*M$17+'CapexSum$FY22'!M189*M$27*M$18</f>
        <v>5382193.1299999999</v>
      </c>
      <c r="N189" s="81">
        <f ca="1">Historical!N117*N$17+'CapexSum$FY22'!N189*N$27*N$18</f>
        <v>3589875.6988584171</v>
      </c>
      <c r="O189" s="81">
        <f ca="1">Historical!O117*O$17+'CapexSum$FY22'!O189*O$27*O$18</f>
        <v>2635396.5545609859</v>
      </c>
      <c r="P189" s="81">
        <f ca="1">Historical!P117*P$17+'CapexSum$FY22'!P189*P$27*P$18</f>
        <v>5090891.0265538525</v>
      </c>
      <c r="Q189" s="81">
        <f ca="1">Historical!Q117*Q$17+'CapexSum$FY22'!Q189*Q$27*Q$18</f>
        <v>6920340.0355417738</v>
      </c>
      <c r="R189" s="81">
        <f ca="1">Historical!R117*R$17+'CapexSum$FY22'!R189*R$27*R$18</f>
        <v>3936275.831777385</v>
      </c>
      <c r="S189" s="81">
        <f ca="1">Historical!S117*S$17+'CapexSum$FY22'!S189*S$27*S$18</f>
        <v>2360392.3204383296</v>
      </c>
      <c r="T189" s="81">
        <f ca="1">Historical!T117*T$17+'CapexSum$FY22'!T189*T$27*T$18</f>
        <v>6581153.6493856898</v>
      </c>
    </row>
    <row r="190" spans="3:20" outlineLevel="1">
      <c r="F190" s="247" t="str">
        <f>GC!C66</f>
        <v>IT capex</v>
      </c>
      <c r="G190" s="247"/>
      <c r="H190" s="247"/>
      <c r="I190" s="247"/>
      <c r="J190" s="81">
        <f ca="1">Historical!J118*J$17+'CapexSum$FY22'!J190*J$27*J$18</f>
        <v>8221381.4399999976</v>
      </c>
      <c r="K190" s="81">
        <f ca="1">Historical!K118*K$17+'CapexSum$FY22'!K190*K$27*K$18</f>
        <v>7191495.7899999991</v>
      </c>
      <c r="L190" s="81">
        <f ca="1">Historical!L118*L$17+'CapexSum$FY22'!L190*L$27*L$18</f>
        <v>5733648.04</v>
      </c>
      <c r="M190" s="81">
        <f ca="1">Historical!M118*M$17+'CapexSum$FY22'!M190*M$27*M$18</f>
        <v>6779190.4100000001</v>
      </c>
      <c r="N190" s="81">
        <f ca="1">Historical!N118*N$17+'CapexSum$FY22'!N190*N$27*N$18</f>
        <v>6495387.0956881428</v>
      </c>
      <c r="O190" s="81">
        <f ca="1">Historical!O118*O$17+'CapexSum$FY22'!O190*O$27*O$18</f>
        <v>3426284.774147653</v>
      </c>
      <c r="P190" s="81">
        <f ca="1">Historical!P118*P$17+'CapexSum$FY22'!P190*P$27*P$18</f>
        <v>16588198.349957483</v>
      </c>
      <c r="Q190" s="81">
        <f ca="1">Historical!Q118*Q$17+'CapexSum$FY22'!Q190*Q$27*Q$18</f>
        <v>19673466.181679111</v>
      </c>
      <c r="R190" s="81">
        <f ca="1">Historical!R118*R$17+'CapexSum$FY22'!R190*R$27*R$18</f>
        <v>21896594.131377477</v>
      </c>
      <c r="S190" s="81">
        <f ca="1">Historical!S118*S$17+'CapexSum$FY22'!S190*S$27*S$18</f>
        <v>11032954.911426026</v>
      </c>
      <c r="T190" s="81">
        <f ca="1">Historical!T118*T$17+'CapexSum$FY22'!T190*T$27*T$18</f>
        <v>8285249.4168838337</v>
      </c>
    </row>
    <row r="191" spans="3:20" outlineLevel="1">
      <c r="F191" s="247" t="str">
        <f>GC!C67</f>
        <v>SCADA</v>
      </c>
      <c r="G191" s="247"/>
      <c r="H191" s="247"/>
      <c r="I191" s="247"/>
      <c r="J191" s="81">
        <f ca="1">Historical!J119*J$17+'CapexSum$FY22'!J191*J$27*J$18</f>
        <v>607634.74</v>
      </c>
      <c r="K191" s="81">
        <f ca="1">Historical!K119*K$17+'CapexSum$FY22'!K191*K$27*K$18</f>
        <v>394821.65</v>
      </c>
      <c r="L191" s="81">
        <f ca="1">Historical!L119*L$17+'CapexSum$FY22'!L191*L$27*L$18</f>
        <v>312405.5</v>
      </c>
      <c r="M191" s="81">
        <f ca="1">Historical!M119*M$17+'CapexSum$FY22'!M191*M$27*M$18</f>
        <v>475093.34</v>
      </c>
      <c r="N191" s="81">
        <f ca="1">Historical!N119*N$17+'CapexSum$FY22'!N191*N$27*N$18</f>
        <v>1261735.9153766781</v>
      </c>
      <c r="O191" s="81">
        <f ca="1">Historical!O119*O$17+'CapexSum$FY22'!O191*O$27*O$18</f>
        <v>147723.02313734809</v>
      </c>
      <c r="P191" s="81">
        <f ca="1">Historical!P119*P$17+'CapexSum$FY22'!P191*P$27*P$18</f>
        <v>1270702.1779850938</v>
      </c>
      <c r="Q191" s="81">
        <f ca="1">Historical!Q119*Q$17+'CapexSum$FY22'!Q191*Q$27*Q$18</f>
        <v>1252460.0408570552</v>
      </c>
      <c r="R191" s="81">
        <f ca="1">Historical!R119*R$17+'CapexSum$FY22'!R191*R$27*R$18</f>
        <v>296354.52794953808</v>
      </c>
      <c r="S191" s="81">
        <f ca="1">Historical!S119*S$17+'CapexSum$FY22'!S191*S$27*S$18</f>
        <v>277054.80486833921</v>
      </c>
      <c r="T191" s="81">
        <f ca="1">Historical!T119*T$17+'CapexSum$FY22'!T191*T$27*T$18</f>
        <v>311570.13656247465</v>
      </c>
    </row>
    <row r="192" spans="3:20" outlineLevel="1">
      <c r="F192" s="247" t="str">
        <f>GC!C68</f>
        <v>Other</v>
      </c>
      <c r="G192" s="247"/>
      <c r="H192" s="247"/>
      <c r="I192" s="247"/>
      <c r="J192" s="81">
        <f ca="1">Historical!J120*J$17+'CapexSum$FY22'!J192*J$27*J$18</f>
        <v>3960643.9699999993</v>
      </c>
      <c r="K192" s="81">
        <f ca="1">Historical!K120*K$17+'CapexSum$FY22'!K192*K$27*K$18</f>
        <v>2402547.6700000004</v>
      </c>
      <c r="L192" s="81">
        <f ca="1">Historical!L120*L$17+'CapexSum$FY22'!L192*L$27*L$18</f>
        <v>4641643.43</v>
      </c>
      <c r="M192" s="81">
        <f ca="1">Historical!M120*M$17+'CapexSum$FY22'!M192*M$27*M$18</f>
        <v>5693888.1999999993</v>
      </c>
      <c r="N192" s="81">
        <f ca="1">Historical!N120*N$17+'CapexSum$FY22'!N192*N$27*N$18</f>
        <v>10347552.558198472</v>
      </c>
      <c r="O192" s="81">
        <f ca="1">Historical!O120*O$17+'CapexSum$FY22'!O192*O$27*O$18</f>
        <v>4703785.7625444159</v>
      </c>
      <c r="P192" s="81">
        <f ca="1">Historical!P120*P$17+'CapexSum$FY22'!P192*P$27*P$18</f>
        <v>11692061.055633873</v>
      </c>
      <c r="Q192" s="81">
        <f ca="1">Historical!Q120*Q$17+'CapexSum$FY22'!Q192*Q$27*Q$18</f>
        <v>12798925.841229878</v>
      </c>
      <c r="R192" s="81">
        <f ca="1">Historical!R120*R$17+'CapexSum$FY22'!R192*R$27*R$18</f>
        <v>13558650.792313917</v>
      </c>
      <c r="S192" s="81">
        <f ca="1">Historical!S120*S$17+'CapexSum$FY22'!S192*S$27*S$18</f>
        <v>11721701.557930954</v>
      </c>
      <c r="T192" s="81">
        <f ca="1">Historical!T120*T$17+'CapexSum$FY22'!T192*T$27*T$18</f>
        <v>11396503.151639333</v>
      </c>
    </row>
    <row r="193" spans="5:20" outlineLevel="1">
      <c r="F193" s="247" t="str">
        <f>GC!C69</f>
        <v>Capitalised Leases</v>
      </c>
      <c r="G193" s="247"/>
      <c r="H193" s="247"/>
      <c r="I193" s="247"/>
      <c r="J193" s="81">
        <f ca="1">Historical!J121*J$17+'CapexSum$FY22'!J193*J$27*J$18</f>
        <v>0</v>
      </c>
      <c r="K193" s="81">
        <f ca="1">Historical!K121*K$17+'CapexSum$FY22'!K193*K$27*K$18</f>
        <v>8601645.3350000009</v>
      </c>
      <c r="L193" s="81">
        <f ca="1">Historical!L121*L$17+'CapexSum$FY22'!L193*L$27*L$18</f>
        <v>2357023.895353769</v>
      </c>
      <c r="M193" s="81">
        <f ca="1">Historical!M121*M$17+'CapexSum$FY22'!M193*M$27*M$18</f>
        <v>-1349647.4423711495</v>
      </c>
      <c r="N193" s="81">
        <f ca="1">Historical!N121*N$17+'CapexSum$FY22'!N193*N$27*N$18</f>
        <v>0</v>
      </c>
      <c r="O193" s="81">
        <f ca="1">Historical!O121*O$17+'CapexSum$FY22'!O193*O$27*O$18</f>
        <v>0</v>
      </c>
      <c r="P193" s="81">
        <f ca="1">Historical!P121*P$17+'CapexSum$FY22'!P193*P$27*P$18</f>
        <v>0</v>
      </c>
      <c r="Q193" s="81">
        <f ca="1">Historical!Q121*Q$17+'CapexSum$FY22'!Q193*Q$27*Q$18</f>
        <v>0</v>
      </c>
      <c r="R193" s="81">
        <f ca="1">Historical!R121*R$17+'CapexSum$FY22'!R193*R$27*R$18</f>
        <v>0</v>
      </c>
      <c r="S193" s="81">
        <f ca="1">Historical!S121*S$17+'CapexSum$FY22'!S193*S$27*S$18</f>
        <v>0</v>
      </c>
      <c r="T193" s="81">
        <f ca="1">Historical!T121*T$17+'CapexSum$FY22'!T193*T$27*T$18</f>
        <v>0</v>
      </c>
    </row>
    <row r="194" spans="5:20" outlineLevel="1">
      <c r="F194" s="247" t="str">
        <f>GC!C70</f>
        <v>Gas Extensions - Energy for the Regions</v>
      </c>
      <c r="G194" s="247"/>
      <c r="H194" s="247"/>
      <c r="I194" s="247"/>
      <c r="J194" s="81">
        <f ca="1">Historical!J122*J$17+'CapexSum$FY22'!J194*J$27*J$18</f>
        <v>1712861.4200000002</v>
      </c>
      <c r="K194" s="81">
        <f ca="1">Historical!K122*K$17+'CapexSum$FY22'!K194*K$27*K$18</f>
        <v>7009.8</v>
      </c>
      <c r="L194" s="81">
        <f ca="1">Historical!L122*L$17+'CapexSum$FY22'!L194*L$27*L$18</f>
        <v>0</v>
      </c>
      <c r="M194" s="81">
        <f ca="1">Historical!M122*M$17+'CapexSum$FY22'!M194*M$27*M$18</f>
        <v>0</v>
      </c>
      <c r="N194" s="81">
        <f ca="1">Historical!N122*N$17+'CapexSum$FY22'!N194*N$27*N$18</f>
        <v>0</v>
      </c>
      <c r="O194" s="81">
        <f ca="1">Historical!O122*O$17+'CapexSum$FY22'!O194*O$27*O$18</f>
        <v>0</v>
      </c>
      <c r="P194" s="81">
        <f ca="1">Historical!P122*P$17+'CapexSum$FY22'!P194*P$27*P$18</f>
        <v>0</v>
      </c>
      <c r="Q194" s="81">
        <f ca="1">Historical!Q122*Q$17+'CapexSum$FY22'!Q194*Q$27*Q$18</f>
        <v>0</v>
      </c>
      <c r="R194" s="81">
        <f ca="1">Historical!R122*R$17+'CapexSum$FY22'!R194*R$27*R$18</f>
        <v>0</v>
      </c>
      <c r="S194" s="81">
        <f ca="1">Historical!S122*S$17+'CapexSum$FY22'!S194*S$27*S$18</f>
        <v>0</v>
      </c>
      <c r="T194" s="81">
        <f ca="1">Historical!T122*T$17+'CapexSum$FY22'!T194*T$27*T$18</f>
        <v>0</v>
      </c>
    </row>
    <row r="195" spans="5:20" outlineLevel="1">
      <c r="F195" s="247" t="str">
        <f>GC!C71</f>
        <v>Gas Extensions - Other</v>
      </c>
      <c r="G195" s="247"/>
      <c r="H195" s="247"/>
      <c r="I195" s="247"/>
      <c r="J195" s="81">
        <f ca="1">Historical!J123*J$17+'CapexSum$FY22'!J195*J$27*J$18</f>
        <v>0</v>
      </c>
      <c r="K195" s="81">
        <f ca="1">Historical!K123*K$17+'CapexSum$FY22'!K195*K$27*K$18</f>
        <v>0</v>
      </c>
      <c r="L195" s="81">
        <f ca="1">Historical!L123*L$17+'CapexSum$FY22'!L195*L$27*L$18</f>
        <v>0</v>
      </c>
      <c r="M195" s="81">
        <f ca="1">Historical!M123*M$17+'CapexSum$FY22'!M195*M$27*M$18</f>
        <v>0</v>
      </c>
      <c r="N195" s="81">
        <f ca="1">Historical!N123*N$17+'CapexSum$FY22'!N195*N$27*N$18</f>
        <v>0</v>
      </c>
      <c r="O195" s="81">
        <f ca="1">Historical!O123*O$17+'CapexSum$FY22'!O195*O$27*O$18</f>
        <v>0</v>
      </c>
      <c r="P195" s="81">
        <f ca="1">Historical!P123*P$17+'CapexSum$FY22'!P195*P$27*P$18</f>
        <v>0</v>
      </c>
      <c r="Q195" s="81">
        <f ca="1">Historical!Q123*Q$17+'CapexSum$FY22'!Q195*Q$27*Q$18</f>
        <v>0</v>
      </c>
      <c r="R195" s="81">
        <f ca="1">Historical!R123*R$17+'CapexSum$FY22'!R195*R$27*R$18</f>
        <v>0</v>
      </c>
      <c r="S195" s="81">
        <f ca="1">Historical!S123*S$17+'CapexSum$FY22'!S195*S$27*S$18</f>
        <v>0</v>
      </c>
      <c r="T195" s="81">
        <f ca="1">Historical!T123*T$17+'CapexSum$FY22'!T195*T$27*T$18</f>
        <v>0</v>
      </c>
    </row>
    <row r="196" spans="5:20" outlineLevel="1">
      <c r="F196" s="247" t="str">
        <f>GC!C72</f>
        <v>Customer contributions</v>
      </c>
      <c r="G196" s="247"/>
      <c r="H196" s="247"/>
      <c r="I196" s="247"/>
      <c r="J196" s="81">
        <f ca="1">Historical!J124*J$17+'CapexSum$FY22'!J196*J$27*J$18</f>
        <v>0</v>
      </c>
      <c r="K196" s="81">
        <f ca="1">Historical!K124*K$17+'CapexSum$FY22'!K196*K$27*K$18</f>
        <v>0</v>
      </c>
      <c r="L196" s="81">
        <f ca="1">Historical!L124*L$17+'CapexSum$FY22'!L196*L$27*L$18</f>
        <v>0</v>
      </c>
      <c r="M196" s="81">
        <f ca="1">Historical!M124*M$17+'CapexSum$FY22'!M196*M$27*M$18</f>
        <v>0</v>
      </c>
      <c r="N196" s="81">
        <f ca="1">Historical!N124*N$17+'CapexSum$FY22'!N196*N$27*N$18</f>
        <v>0</v>
      </c>
      <c r="O196" s="81">
        <f ca="1">Historical!O124*O$17+'CapexSum$FY22'!O196*O$27*O$18</f>
        <v>0</v>
      </c>
      <c r="P196" s="81">
        <f ca="1">Historical!P124*P$17+'CapexSum$FY22'!P196*P$27*P$18</f>
        <v>0</v>
      </c>
      <c r="Q196" s="81">
        <f ca="1">Historical!Q124*Q$17+'CapexSum$FY22'!Q196*Q$27*Q$18</f>
        <v>0</v>
      </c>
      <c r="R196" s="81">
        <f ca="1">Historical!R124*R$17+'CapexSum$FY22'!R196*R$27*R$18</f>
        <v>0</v>
      </c>
      <c r="S196" s="81">
        <f ca="1">Historical!S124*S$17+'CapexSum$FY22'!S196*S$27*S$18</f>
        <v>0</v>
      </c>
      <c r="T196" s="81">
        <f ca="1">Historical!T124*T$17+'CapexSum$FY22'!T196*T$27*T$18</f>
        <v>0</v>
      </c>
    </row>
    <row r="197" spans="5:20" outlineLevel="1">
      <c r="F197" s="247" t="str">
        <f>GC!C73</f>
        <v>Government contributions</v>
      </c>
      <c r="G197" s="247"/>
      <c r="H197" s="247"/>
      <c r="I197" s="247"/>
      <c r="J197" s="81">
        <f ca="1">Historical!J125*J$17+'CapexSum$FY22'!J197*J$27*J$18</f>
        <v>0</v>
      </c>
      <c r="K197" s="81">
        <f ca="1">Historical!K125*K$17+'CapexSum$FY22'!K197*K$27*K$18</f>
        <v>0</v>
      </c>
      <c r="L197" s="81">
        <f ca="1">Historical!L125*L$17+'CapexSum$FY22'!L197*L$27*L$18</f>
        <v>0</v>
      </c>
      <c r="M197" s="81">
        <f ca="1">Historical!M125*M$17+'CapexSum$FY22'!M197*M$27*M$18</f>
        <v>0</v>
      </c>
      <c r="N197" s="81">
        <f ca="1">Historical!N125*N$17+'CapexSum$FY22'!N197*N$27*N$18</f>
        <v>0</v>
      </c>
      <c r="O197" s="81">
        <f ca="1">Historical!O125*O$17+'CapexSum$FY22'!O197*O$27*O$18</f>
        <v>0</v>
      </c>
      <c r="P197" s="81">
        <f ca="1">Historical!P125*P$17+'CapexSum$FY22'!P197*P$27*P$18</f>
        <v>0</v>
      </c>
      <c r="Q197" s="81">
        <f ca="1">Historical!Q125*Q$17+'CapexSum$FY22'!Q197*Q$27*Q$18</f>
        <v>0</v>
      </c>
      <c r="R197" s="81">
        <f ca="1">Historical!R125*R$17+'CapexSum$FY22'!R197*R$27*R$18</f>
        <v>0</v>
      </c>
      <c r="S197" s="81">
        <f ca="1">Historical!S125*S$17+'CapexSum$FY22'!S197*S$27*S$18</f>
        <v>0</v>
      </c>
      <c r="T197" s="81">
        <f ca="1">Historical!T125*T$17+'CapexSum$FY22'!T197*T$27*T$18</f>
        <v>0</v>
      </c>
    </row>
    <row r="198" spans="5:20" outlineLevel="1">
      <c r="F198" s="249" t="str">
        <f>"Total "&amp;E182</f>
        <v>Total Direct Costs</v>
      </c>
      <c r="G198" s="249"/>
      <c r="H198" s="249"/>
      <c r="I198" s="249"/>
      <c r="J198" s="82">
        <f t="shared" ref="J198:T198" ca="1" si="14">SUM(J184:J197)</f>
        <v>93966456.618966401</v>
      </c>
      <c r="K198" s="82">
        <f t="shared" ca="1" si="14"/>
        <v>107678099.87500001</v>
      </c>
      <c r="L198" s="82">
        <f t="shared" ca="1" si="14"/>
        <v>97512258.645353764</v>
      </c>
      <c r="M198" s="82">
        <f t="shared" ca="1" si="14"/>
        <v>105960024.86762886</v>
      </c>
      <c r="N198" s="82">
        <f t="shared" ca="1" si="14"/>
        <v>98433110.722133979</v>
      </c>
      <c r="O198" s="82">
        <f t="shared" ca="1" si="14"/>
        <v>61325728.506928228</v>
      </c>
      <c r="P198" s="82">
        <f t="shared" ca="1" si="14"/>
        <v>119686784.59415856</v>
      </c>
      <c r="Q198" s="82">
        <f t="shared" ca="1" si="14"/>
        <v>127953259.74316141</v>
      </c>
      <c r="R198" s="82">
        <f t="shared" ca="1" si="14"/>
        <v>128301671.31091282</v>
      </c>
      <c r="S198" s="82">
        <f t="shared" ca="1" si="14"/>
        <v>117049932.06893808</v>
      </c>
      <c r="T198" s="82">
        <f t="shared" ca="1" si="14"/>
        <v>108376035.62052384</v>
      </c>
    </row>
    <row r="199" spans="5:20" outlineLevel="1"/>
    <row r="200" spans="5:20" outlineLevel="1">
      <c r="E200" s="37" t="str">
        <f>'CapexSum$FY22'!E200</f>
        <v>Direct Costs + Overheads</v>
      </c>
    </row>
    <row r="201" spans="5:20" ht="5.9" customHeight="1" outlineLevel="1"/>
    <row r="202" spans="5:20" outlineLevel="1">
      <c r="F202" s="247" t="str">
        <f>GC!C60</f>
        <v>Mains replacement</v>
      </c>
      <c r="G202" s="247"/>
      <c r="H202" s="247"/>
      <c r="I202" s="247"/>
      <c r="J202" s="81">
        <f ca="1">Historical!J130*J$17+'CapexSum$FY22'!J202*J$27*J$18</f>
        <v>25826265.170000006</v>
      </c>
      <c r="K202" s="81">
        <f ca="1">Historical!K130*K$17+'CapexSum$FY22'!K202*K$27*K$18</f>
        <v>27300766.600000005</v>
      </c>
      <c r="L202" s="81">
        <f ca="1">Historical!L130*L$17+'CapexSum$FY22'!L202*L$27*L$18</f>
        <v>20686814.060000002</v>
      </c>
      <c r="M202" s="81">
        <f ca="1">Historical!M130*M$17+'CapexSum$FY22'!M202*M$27*M$18</f>
        <v>23481348.089999996</v>
      </c>
      <c r="N202" s="81">
        <f ca="1">Historical!N130*N$17+'CapexSum$FY22'!N202*N$27*N$18</f>
        <v>21506959.042986806</v>
      </c>
      <c r="O202" s="81">
        <f ca="1">Historical!O130*O$17+'CapexSum$FY22'!O202*O$27*O$18</f>
        <v>22578374.177662972</v>
      </c>
      <c r="P202" s="81">
        <f ca="1">Historical!P130*P$17+'CapexSum$FY22'!P202*P$27*P$18</f>
        <v>32375999.678062938</v>
      </c>
      <c r="Q202" s="81">
        <f ca="1">Historical!Q130*Q$17+'CapexSum$FY22'!Q202*Q$27*Q$18</f>
        <v>30373847.71624184</v>
      </c>
      <c r="R202" s="81">
        <f ca="1">Historical!R130*R$17+'CapexSum$FY22'!R202*R$27*R$18</f>
        <v>28152372.986962926</v>
      </c>
      <c r="S202" s="81">
        <f ca="1">Historical!S130*S$17+'CapexSum$FY22'!S202*S$27*S$18</f>
        <v>32741915.644141506</v>
      </c>
      <c r="T202" s="81">
        <f ca="1">Historical!T130*T$17+'CapexSum$FY22'!T202*T$27*T$18</f>
        <v>23355227.037580207</v>
      </c>
    </row>
    <row r="203" spans="5:20" outlineLevel="1">
      <c r="F203" s="247" t="str">
        <f>GC!C61</f>
        <v>Residential new customer connections</v>
      </c>
      <c r="G203" s="247"/>
      <c r="H203" s="247"/>
      <c r="I203" s="247"/>
      <c r="J203" s="81">
        <f ca="1">Historical!J131*J$17+'CapexSum$FY22'!J203*J$27*J$18</f>
        <v>44143424.400000006</v>
      </c>
      <c r="K203" s="81">
        <f ca="1">Historical!K131*K$17+'CapexSum$FY22'!K203*K$27*K$18</f>
        <v>49092500.600000009</v>
      </c>
      <c r="L203" s="81">
        <f ca="1">Historical!L131*L$17+'CapexSum$FY22'!L203*L$27*L$18</f>
        <v>50100897.039999999</v>
      </c>
      <c r="M203" s="81">
        <f ca="1">Historical!M131*M$17+'CapexSum$FY22'!M203*M$27*M$18</f>
        <v>45476540.800000004</v>
      </c>
      <c r="N203" s="81">
        <f ca="1">Historical!N131*N$17+'CapexSum$FY22'!N203*N$27*N$18</f>
        <v>49496589.083257191</v>
      </c>
      <c r="O203" s="81">
        <f ca="1">Historical!O131*O$17+'CapexSum$FY22'!O203*O$27*O$18</f>
        <v>21554095.612000871</v>
      </c>
      <c r="P203" s="81">
        <f ca="1">Historical!P131*P$17+'CapexSum$FY22'!P203*P$27*P$18</f>
        <v>41044030.000281505</v>
      </c>
      <c r="Q203" s="81">
        <f ca="1">Historical!Q131*Q$17+'CapexSum$FY22'!Q203*Q$27*Q$18</f>
        <v>43579295.615212962</v>
      </c>
      <c r="R203" s="81">
        <f ca="1">Historical!R131*R$17+'CapexSum$FY22'!R203*R$27*R$18</f>
        <v>46045457.372127615</v>
      </c>
      <c r="S203" s="81">
        <f ca="1">Historical!S131*S$17+'CapexSum$FY22'!S203*S$27*S$18</f>
        <v>46136371.492253147</v>
      </c>
      <c r="T203" s="81">
        <f ca="1">Historical!T131*T$17+'CapexSum$FY22'!T203*T$27*T$18</f>
        <v>46140276.601366751</v>
      </c>
    </row>
    <row r="204" spans="5:20" outlineLevel="1">
      <c r="F204" s="247" t="str">
        <f>GC!C62</f>
        <v>Commercial and industrial new customer connections</v>
      </c>
      <c r="G204" s="247"/>
      <c r="H204" s="247"/>
      <c r="I204" s="247"/>
      <c r="J204" s="81">
        <f ca="1">Historical!J132*J$17+'CapexSum$FY22'!J204*J$27*J$18</f>
        <v>4733222.91</v>
      </c>
      <c r="K204" s="81">
        <f ca="1">Historical!K132*K$17+'CapexSum$FY22'!K204*K$27*K$18</f>
        <v>5950071.5</v>
      </c>
      <c r="L204" s="81">
        <f ca="1">Historical!L132*L$17+'CapexSum$FY22'!L204*L$27*L$18</f>
        <v>6410869.1800000016</v>
      </c>
      <c r="M204" s="81">
        <f ca="1">Historical!M132*M$17+'CapexSum$FY22'!M204*M$27*M$18</f>
        <v>11128032.390000001</v>
      </c>
      <c r="N204" s="81">
        <f ca="1">Historical!N132*N$17+'CapexSum$FY22'!N204*N$27*N$18</f>
        <v>3634047.5270127784</v>
      </c>
      <c r="O204" s="81">
        <f ca="1">Historical!O132*O$17+'CapexSum$FY22'!O204*O$27*O$18</f>
        <v>4811699.4431011463</v>
      </c>
      <c r="P204" s="81">
        <f ca="1">Historical!P132*P$17+'CapexSum$FY22'!P204*P$27*P$18</f>
        <v>7239233.1995635182</v>
      </c>
      <c r="Q204" s="81">
        <f ca="1">Historical!Q132*Q$17+'CapexSum$FY22'!Q204*Q$27*Q$18</f>
        <v>7585508.5279599195</v>
      </c>
      <c r="R204" s="81">
        <f ca="1">Historical!R132*R$17+'CapexSum$FY22'!R204*R$27*R$18</f>
        <v>7917049.6099013221</v>
      </c>
      <c r="S204" s="81">
        <f ca="1">Historical!S132*S$17+'CapexSum$FY22'!S204*S$27*S$18</f>
        <v>8025333.322600103</v>
      </c>
      <c r="T204" s="81">
        <f ca="1">Historical!T132*T$17+'CapexSum$FY22'!T204*T$27*T$18</f>
        <v>8126843.851543447</v>
      </c>
    </row>
    <row r="205" spans="5:20" outlineLevel="1">
      <c r="F205" s="247" t="str">
        <f>GC!C63</f>
        <v>Residential meter replacement</v>
      </c>
      <c r="G205" s="247"/>
      <c r="H205" s="247"/>
      <c r="I205" s="247"/>
      <c r="J205" s="81">
        <f ca="1">Historical!J133*J$17+'CapexSum$FY22'!J205*J$27*J$18</f>
        <v>7711086.8999999994</v>
      </c>
      <c r="K205" s="81">
        <f ca="1">Historical!K133*K$17+'CapexSum$FY22'!K205*K$27*K$18</f>
        <v>7944402.3699999992</v>
      </c>
      <c r="L205" s="81">
        <f ca="1">Historical!L133*L$17+'CapexSum$FY22'!L205*L$27*L$18</f>
        <v>6007969.46</v>
      </c>
      <c r="M205" s="81">
        <f ca="1">Historical!M133*M$17+'CapexSum$FY22'!M205*M$27*M$18</f>
        <v>7533956.1499999994</v>
      </c>
      <c r="N205" s="81">
        <f ca="1">Historical!N133*N$17+'CapexSum$FY22'!N205*N$27*N$18</f>
        <v>4119855.1838683123</v>
      </c>
      <c r="O205" s="81">
        <f ca="1">Historical!O133*O$17+'CapexSum$FY22'!O205*O$27*O$18</f>
        <v>2471969.84346588</v>
      </c>
      <c r="P205" s="81">
        <f ca="1">Historical!P133*P$17+'CapexSum$FY22'!P205*P$27*P$18</f>
        <v>5122192.5193631425</v>
      </c>
      <c r="Q205" s="81">
        <f ca="1">Historical!Q133*Q$17+'CapexSum$FY22'!Q205*Q$27*Q$18</f>
        <v>6270689.3661435293</v>
      </c>
      <c r="R205" s="81">
        <f ca="1">Historical!R133*R$17+'CapexSum$FY22'!R205*R$27*R$18</f>
        <v>6761637.4381816583</v>
      </c>
      <c r="S205" s="81">
        <f ca="1">Historical!S133*S$17+'CapexSum$FY22'!S205*S$27*S$18</f>
        <v>5323593.4421475269</v>
      </c>
      <c r="T205" s="81">
        <f ca="1">Historical!T133*T$17+'CapexSum$FY22'!T205*T$27*T$18</f>
        <v>5038909.3965288484</v>
      </c>
    </row>
    <row r="206" spans="5:20" outlineLevel="1">
      <c r="F206" s="247" t="str">
        <f>GC!C64</f>
        <v>Commercial and industrial meter replacement</v>
      </c>
      <c r="G206" s="247"/>
      <c r="H206" s="247"/>
      <c r="I206" s="247"/>
      <c r="J206" s="81">
        <f ca="1">Historical!J134*J$17+'CapexSum$FY22'!J206*J$27*J$18</f>
        <v>1002007.98</v>
      </c>
      <c r="K206" s="81">
        <f ca="1">Historical!K134*K$17+'CapexSum$FY22'!K206*K$27*K$18</f>
        <v>507055.18000000005</v>
      </c>
      <c r="L206" s="81">
        <f ca="1">Historical!L134*L$17+'CapexSum$FY22'!L206*L$27*L$18</f>
        <v>227326.75</v>
      </c>
      <c r="M206" s="81">
        <f ca="1">Historical!M134*M$17+'CapexSum$FY22'!M206*M$27*M$18</f>
        <v>3598874.89</v>
      </c>
      <c r="N206" s="81">
        <f ca="1">Historical!N134*N$17+'CapexSum$FY22'!N206*N$27*N$18</f>
        <v>874996.99901338958</v>
      </c>
      <c r="O206" s="81">
        <f ca="1">Historical!O134*O$17+'CapexSum$FY22'!O206*O$27*O$18</f>
        <v>674328.6841334044</v>
      </c>
      <c r="P206" s="81">
        <f ca="1">Historical!P134*P$17+'CapexSum$FY22'!P206*P$27*P$18</f>
        <v>1538654.7805149029</v>
      </c>
      <c r="Q206" s="81">
        <f ca="1">Historical!Q134*Q$17+'CapexSum$FY22'!Q206*Q$27*Q$18</f>
        <v>1774025.9413998385</v>
      </c>
      <c r="R206" s="81">
        <f ca="1">Historical!R134*R$17+'CapexSum$FY22'!R206*R$27*R$18</f>
        <v>2118597.6915506716</v>
      </c>
      <c r="S206" s="81">
        <f ca="1">Historical!S134*S$17+'CapexSum$FY22'!S206*S$27*S$18</f>
        <v>2047095.3449202785</v>
      </c>
      <c r="T206" s="81">
        <f ca="1">Historical!T134*T$17+'CapexSum$FY22'!T206*T$27*T$18</f>
        <v>1587835.9699248259</v>
      </c>
    </row>
    <row r="207" spans="5:20" outlineLevel="1">
      <c r="F207" s="247" t="str">
        <f>GC!C65</f>
        <v>Augmentation</v>
      </c>
      <c r="G207" s="247"/>
      <c r="H207" s="247"/>
      <c r="I207" s="247"/>
      <c r="J207" s="81">
        <f ca="1">Historical!J135*J$17+'CapexSum$FY22'!J207*J$27*J$18</f>
        <v>375959.52</v>
      </c>
      <c r="K207" s="81">
        <f ca="1">Historical!K135*K$17+'CapexSum$FY22'!K207*K$27*K$18</f>
        <v>1196332.9700000002</v>
      </c>
      <c r="L207" s="81">
        <f ca="1">Historical!L135*L$17+'CapexSum$FY22'!L207*L$27*L$18</f>
        <v>4071745.96</v>
      </c>
      <c r="M207" s="81">
        <f ca="1">Historical!M135*M$17+'CapexSum$FY22'!M207*M$27*M$18</f>
        <v>5498970.8600000003</v>
      </c>
      <c r="N207" s="81">
        <f ca="1">Historical!N135*N$17+'CapexSum$FY22'!N207*N$27*N$18</f>
        <v>3725253.527841893</v>
      </c>
      <c r="O207" s="81">
        <f ca="1">Historical!O135*O$17+'CapexSum$FY22'!O207*O$27*O$18</f>
        <v>2723113.0119298748</v>
      </c>
      <c r="P207" s="81">
        <f ca="1">Historical!P135*P$17+'CapexSum$FY22'!P207*P$27*P$18</f>
        <v>5227085.9058981929</v>
      </c>
      <c r="Q207" s="81">
        <f ca="1">Historical!Q135*Q$17+'CapexSum$FY22'!Q207*Q$27*Q$18</f>
        <v>7100688.1615227498</v>
      </c>
      <c r="R207" s="81">
        <f ca="1">Historical!R135*R$17+'CapexSum$FY22'!R207*R$27*R$18</f>
        <v>4042055.3957735337</v>
      </c>
      <c r="S207" s="81">
        <f ca="1">Historical!S135*S$17+'CapexSum$FY22'!S207*S$27*S$18</f>
        <v>2427772.5019580848</v>
      </c>
      <c r="T207" s="81">
        <f ca="1">Historical!T135*T$17+'CapexSum$FY22'!T207*T$27*T$18</f>
        <v>6778064.2555918824</v>
      </c>
    </row>
    <row r="208" spans="5:20" outlineLevel="1">
      <c r="F208" s="247" t="str">
        <f>GC!C66</f>
        <v>IT capex</v>
      </c>
      <c r="G208" s="247"/>
      <c r="H208" s="247"/>
      <c r="I208" s="247"/>
      <c r="J208" s="81">
        <f ca="1">Historical!J136*J$17+'CapexSum$FY22'!J208*J$27*J$18</f>
        <v>8820717.2899999972</v>
      </c>
      <c r="K208" s="81">
        <f ca="1">Historical!K136*K$17+'CapexSum$FY22'!K208*K$27*K$18</f>
        <v>7629799.9399999995</v>
      </c>
      <c r="L208" s="81">
        <f ca="1">Historical!L136*L$17+'CapexSum$FY22'!L208*L$27*L$18</f>
        <v>6108775.96</v>
      </c>
      <c r="M208" s="81">
        <f ca="1">Historical!M136*M$17+'CapexSum$FY22'!M208*M$27*M$18</f>
        <v>7257130.5899999999</v>
      </c>
      <c r="N208" s="81">
        <f ca="1">Historical!N136*N$17+'CapexSum$FY22'!N208*N$27*N$18</f>
        <v>6978279.2324051764</v>
      </c>
      <c r="O208" s="81">
        <f ca="1">Historical!O136*O$17+'CapexSum$FY22'!O208*O$27*O$18</f>
        <v>3680032.2801878252</v>
      </c>
      <c r="P208" s="81">
        <f ca="1">Historical!P136*P$17+'CapexSum$FY22'!P208*P$27*P$18</f>
        <v>16992760.2883096</v>
      </c>
      <c r="Q208" s="81">
        <f ca="1">Historical!Q136*Q$17+'CapexSum$FY22'!Q208*Q$27*Q$18</f>
        <v>20089979.24790252</v>
      </c>
      <c r="R208" s="81">
        <f ca="1">Historical!R136*R$17+'CapexSum$FY22'!R208*R$27*R$18</f>
        <v>22335054.687023528</v>
      </c>
      <c r="S208" s="81">
        <f ca="1">Historical!S136*S$17+'CapexSum$FY22'!S208*S$27*S$18</f>
        <v>11470080.691082889</v>
      </c>
      <c r="T208" s="81">
        <f ca="1">Historical!T136*T$17+'CapexSum$FY22'!T208*T$27*T$18</f>
        <v>8733060.0505496599</v>
      </c>
    </row>
    <row r="209" spans="5:20" outlineLevel="1">
      <c r="F209" s="247" t="str">
        <f>GC!C67</f>
        <v>SCADA</v>
      </c>
      <c r="G209" s="247"/>
      <c r="H209" s="247"/>
      <c r="I209" s="247"/>
      <c r="J209" s="81">
        <f ca="1">Historical!J137*J$17+'CapexSum$FY22'!J209*J$27*J$18</f>
        <v>650368.73</v>
      </c>
      <c r="K209" s="81">
        <f ca="1">Historical!K137*K$17+'CapexSum$FY22'!K209*K$27*K$18</f>
        <v>412223.4</v>
      </c>
      <c r="L209" s="81">
        <f ca="1">Historical!L137*L$17+'CapexSum$FY22'!L209*L$27*L$18</f>
        <v>331854.40999999997</v>
      </c>
      <c r="M209" s="81">
        <f ca="1">Historical!M137*M$17+'CapexSum$FY22'!M209*M$27*M$18</f>
        <v>507734.47000000003</v>
      </c>
      <c r="N209" s="81">
        <f ca="1">Historical!N137*N$17+'CapexSum$FY22'!N209*N$27*N$18</f>
        <v>1309317.2477967648</v>
      </c>
      <c r="O209" s="81">
        <f ca="1">Historical!O137*O$17+'CapexSum$FY22'!O209*O$27*O$18</f>
        <v>152639.83166811935</v>
      </c>
      <c r="P209" s="81">
        <f ca="1">Historical!P137*P$17+'CapexSum$FY22'!P209*P$27*P$18</f>
        <v>1304696.8419664246</v>
      </c>
      <c r="Q209" s="81">
        <f ca="1">Historical!Q137*Q$17+'CapexSum$FY22'!Q209*Q$27*Q$18</f>
        <v>1285099.8851529348</v>
      </c>
      <c r="R209" s="81">
        <f ca="1">Historical!R137*R$17+'CapexSum$FY22'!R209*R$27*R$18</f>
        <v>304318.46495357458</v>
      </c>
      <c r="S209" s="81">
        <f ca="1">Historical!S137*S$17+'CapexSum$FY22'!S209*S$27*S$18</f>
        <v>284963.66090100177</v>
      </c>
      <c r="T209" s="81">
        <f ca="1">Historical!T137*T$17+'CapexSum$FY22'!T209*T$27*T$18</f>
        <v>320892.43288539816</v>
      </c>
    </row>
    <row r="210" spans="5:20" outlineLevel="1">
      <c r="F210" s="247" t="str">
        <f>GC!C68</f>
        <v>Other</v>
      </c>
      <c r="G210" s="247"/>
      <c r="H210" s="247"/>
      <c r="I210" s="247"/>
      <c r="J210" s="81">
        <f ca="1">Historical!J138*J$17+'CapexSum$FY22'!J210*J$27*J$18</f>
        <v>4175181.6599999992</v>
      </c>
      <c r="K210" s="81">
        <f ca="1">Historical!K138*K$17+'CapexSum$FY22'!K210*K$27*K$18</f>
        <v>2477582.8200000003</v>
      </c>
      <c r="L210" s="81">
        <f ca="1">Historical!L138*L$17+'CapexSum$FY22'!L210*L$27*L$18</f>
        <v>4813889.3999999994</v>
      </c>
      <c r="M210" s="81">
        <f ca="1">Historical!M138*M$17+'CapexSum$FY22'!M210*M$27*M$18</f>
        <v>5837966.2999999989</v>
      </c>
      <c r="N210" s="81">
        <f ca="1">Historical!N138*N$17+'CapexSum$FY22'!N210*N$27*N$18</f>
        <v>10724152.026995555</v>
      </c>
      <c r="O210" s="81">
        <f ca="1">Historical!O138*O$17+'CapexSum$FY22'!O210*O$27*O$18</f>
        <v>4851487.5519623347</v>
      </c>
      <c r="P210" s="81">
        <f ca="1">Historical!P138*P$17+'CapexSum$FY22'!P210*P$27*P$18</f>
        <v>11975156.351726444</v>
      </c>
      <c r="Q210" s="81">
        <f ca="1">Historical!Q138*Q$17+'CapexSum$FY22'!Q210*Q$27*Q$18</f>
        <v>13102665.910607427</v>
      </c>
      <c r="R210" s="81">
        <f ca="1">Historical!R138*R$17+'CapexSum$FY22'!R210*R$27*R$18</f>
        <v>13891493.285543179</v>
      </c>
      <c r="S210" s="81">
        <f ca="1">Historical!S138*S$17+'CapexSum$FY22'!S210*S$27*S$18</f>
        <v>12021977.103020199</v>
      </c>
      <c r="T210" s="81">
        <f ca="1">Historical!T138*T$17+'CapexSum$FY22'!T210*T$27*T$18</f>
        <v>11700587.204856208</v>
      </c>
    </row>
    <row r="211" spans="5:20" outlineLevel="1">
      <c r="F211" s="247" t="str">
        <f>GC!C69</f>
        <v>Capitalised Leases</v>
      </c>
      <c r="G211" s="247"/>
      <c r="H211" s="247"/>
      <c r="I211" s="247"/>
      <c r="J211" s="81">
        <f ca="1">Historical!J139*J$17+'CapexSum$FY22'!J211*J$27*J$18</f>
        <v>0</v>
      </c>
      <c r="K211" s="81">
        <f ca="1">Historical!K139*K$17+'CapexSum$FY22'!K211*K$27*K$18</f>
        <v>9576833.6300000008</v>
      </c>
      <c r="L211" s="81">
        <f ca="1">Historical!L139*L$17+'CapexSum$FY22'!L211*L$27*L$18</f>
        <v>2357023.895353769</v>
      </c>
      <c r="M211" s="81">
        <f ca="1">Historical!M139*M$17+'CapexSum$FY22'!M211*M$27*M$18</f>
        <v>-1349647.4423711495</v>
      </c>
      <c r="N211" s="81">
        <f ca="1">Historical!N139*N$17+'CapexSum$FY22'!N211*N$27*N$18</f>
        <v>0</v>
      </c>
      <c r="O211" s="81">
        <f ca="1">Historical!O139*O$17+'CapexSum$FY22'!O211*O$27*O$18</f>
        <v>0</v>
      </c>
      <c r="P211" s="81">
        <f ca="1">Historical!P139*P$17+'CapexSum$FY22'!P211*P$27*P$18</f>
        <v>0</v>
      </c>
      <c r="Q211" s="81">
        <f ca="1">Historical!Q139*Q$17+'CapexSum$FY22'!Q211*Q$27*Q$18</f>
        <v>0</v>
      </c>
      <c r="R211" s="81">
        <f ca="1">Historical!R139*R$17+'CapexSum$FY22'!R211*R$27*R$18</f>
        <v>0</v>
      </c>
      <c r="S211" s="81">
        <f ca="1">Historical!S139*S$17+'CapexSum$FY22'!S211*S$27*S$18</f>
        <v>0</v>
      </c>
      <c r="T211" s="81">
        <f ca="1">Historical!T139*T$17+'CapexSum$FY22'!T211*T$27*T$18</f>
        <v>0</v>
      </c>
    </row>
    <row r="212" spans="5:20" outlineLevel="1">
      <c r="F212" s="247" t="str">
        <f>GC!C70</f>
        <v>Gas Extensions - Energy for the Regions</v>
      </c>
      <c r="G212" s="247"/>
      <c r="H212" s="247"/>
      <c r="I212" s="247"/>
      <c r="J212" s="81">
        <f ca="1">Historical!J140*J$17+'CapexSum$FY22'!J212*J$27*J$18</f>
        <v>1853841.9100000001</v>
      </c>
      <c r="K212" s="81">
        <f ca="1">Historical!K140*K$17+'CapexSum$FY22'!K212*K$27*K$18</f>
        <v>7189.72</v>
      </c>
      <c r="L212" s="81">
        <f ca="1">Historical!L140*L$17+'CapexSum$FY22'!L212*L$27*L$18</f>
        <v>0</v>
      </c>
      <c r="M212" s="81">
        <f ca="1">Historical!M140*M$17+'CapexSum$FY22'!M212*M$27*M$18</f>
        <v>0</v>
      </c>
      <c r="N212" s="81">
        <f ca="1">Historical!N140*N$17+'CapexSum$FY22'!N212*N$27*N$18</f>
        <v>0</v>
      </c>
      <c r="O212" s="81">
        <f ca="1">Historical!O140*O$17+'CapexSum$FY22'!O212*O$27*O$18</f>
        <v>0</v>
      </c>
      <c r="P212" s="81">
        <f ca="1">Historical!P140*P$17+'CapexSum$FY22'!P212*P$27*P$18</f>
        <v>0</v>
      </c>
      <c r="Q212" s="81">
        <f ca="1">Historical!Q140*Q$17+'CapexSum$FY22'!Q212*Q$27*Q$18</f>
        <v>0</v>
      </c>
      <c r="R212" s="81">
        <f ca="1">Historical!R140*R$17+'CapexSum$FY22'!R212*R$27*R$18</f>
        <v>0</v>
      </c>
      <c r="S212" s="81">
        <f ca="1">Historical!S140*S$17+'CapexSum$FY22'!S212*S$27*S$18</f>
        <v>0</v>
      </c>
      <c r="T212" s="81">
        <f ca="1">Historical!T140*T$17+'CapexSum$FY22'!T212*T$27*T$18</f>
        <v>0</v>
      </c>
    </row>
    <row r="213" spans="5:20" outlineLevel="1">
      <c r="F213" s="247" t="str">
        <f>GC!C71</f>
        <v>Gas Extensions - Other</v>
      </c>
      <c r="G213" s="247"/>
      <c r="H213" s="247"/>
      <c r="I213" s="247"/>
      <c r="J213" s="81">
        <f ca="1">Historical!J141*J$17+'CapexSum$FY22'!J213*J$27*J$18</f>
        <v>0</v>
      </c>
      <c r="K213" s="81">
        <f ca="1">Historical!K141*K$17+'CapexSum$FY22'!K213*K$27*K$18</f>
        <v>0</v>
      </c>
      <c r="L213" s="81">
        <f ca="1">Historical!L141*L$17+'CapexSum$FY22'!L213*L$27*L$18</f>
        <v>0</v>
      </c>
      <c r="M213" s="81">
        <f ca="1">Historical!M141*M$17+'CapexSum$FY22'!M213*M$27*M$18</f>
        <v>0</v>
      </c>
      <c r="N213" s="81">
        <f ca="1">Historical!N141*N$17+'CapexSum$FY22'!N213*N$27*N$18</f>
        <v>0</v>
      </c>
      <c r="O213" s="81">
        <f ca="1">Historical!O141*O$17+'CapexSum$FY22'!O213*O$27*O$18</f>
        <v>0</v>
      </c>
      <c r="P213" s="81">
        <f ca="1">Historical!P141*P$17+'CapexSum$FY22'!P213*P$27*P$18</f>
        <v>0</v>
      </c>
      <c r="Q213" s="81">
        <f ca="1">Historical!Q141*Q$17+'CapexSum$FY22'!Q213*Q$27*Q$18</f>
        <v>0</v>
      </c>
      <c r="R213" s="81">
        <f ca="1">Historical!R141*R$17+'CapexSum$FY22'!R213*R$27*R$18</f>
        <v>0</v>
      </c>
      <c r="S213" s="81">
        <f ca="1">Historical!S141*S$17+'CapexSum$FY22'!S213*S$27*S$18</f>
        <v>0</v>
      </c>
      <c r="T213" s="81">
        <f ca="1">Historical!T141*T$17+'CapexSum$FY22'!T213*T$27*T$18</f>
        <v>0</v>
      </c>
    </row>
    <row r="214" spans="5:20" outlineLevel="1">
      <c r="F214" s="247" t="str">
        <f>GC!C72</f>
        <v>Customer contributions</v>
      </c>
      <c r="G214" s="247"/>
      <c r="H214" s="247"/>
      <c r="I214" s="247"/>
      <c r="J214" s="81">
        <f ca="1">Historical!J142*J$17+'CapexSum$FY22'!J214*J$27*J$18</f>
        <v>0</v>
      </c>
      <c r="K214" s="81">
        <f ca="1">Historical!K142*K$17+'CapexSum$FY22'!K214*K$27*K$18</f>
        <v>0</v>
      </c>
      <c r="L214" s="81">
        <f ca="1">Historical!L142*L$17+'CapexSum$FY22'!L214*L$27*L$18</f>
        <v>0</v>
      </c>
      <c r="M214" s="81">
        <f ca="1">Historical!M142*M$17+'CapexSum$FY22'!M214*M$27*M$18</f>
        <v>0</v>
      </c>
      <c r="N214" s="81">
        <f ca="1">Historical!N142*N$17+'CapexSum$FY22'!N214*N$27*N$18</f>
        <v>0</v>
      </c>
      <c r="O214" s="81">
        <f ca="1">Historical!O142*O$17+'CapexSum$FY22'!O214*O$27*O$18</f>
        <v>0</v>
      </c>
      <c r="P214" s="81">
        <f ca="1">Historical!P142*P$17+'CapexSum$FY22'!P214*P$27*P$18</f>
        <v>0</v>
      </c>
      <c r="Q214" s="81">
        <f ca="1">Historical!Q142*Q$17+'CapexSum$FY22'!Q214*Q$27*Q$18</f>
        <v>0</v>
      </c>
      <c r="R214" s="81">
        <f ca="1">Historical!R142*R$17+'CapexSum$FY22'!R214*R$27*R$18</f>
        <v>0</v>
      </c>
      <c r="S214" s="81">
        <f ca="1">Historical!S142*S$17+'CapexSum$FY22'!S214*S$27*S$18</f>
        <v>0</v>
      </c>
      <c r="T214" s="81">
        <f ca="1">Historical!T142*T$17+'CapexSum$FY22'!T214*T$27*T$18</f>
        <v>0</v>
      </c>
    </row>
    <row r="215" spans="5:20" outlineLevel="1">
      <c r="F215" s="247" t="str">
        <f>GC!C73</f>
        <v>Government contributions</v>
      </c>
      <c r="G215" s="247"/>
      <c r="H215" s="247"/>
      <c r="I215" s="247"/>
      <c r="J215" s="81">
        <f ca="1">Historical!J143*J$17+'CapexSum$FY22'!J215*J$27*J$18</f>
        <v>0</v>
      </c>
      <c r="K215" s="81">
        <f ca="1">Historical!K143*K$17+'CapexSum$FY22'!K215*K$27*K$18</f>
        <v>0</v>
      </c>
      <c r="L215" s="81">
        <f ca="1">Historical!L143*L$17+'CapexSum$FY22'!L215*L$27*L$18</f>
        <v>0</v>
      </c>
      <c r="M215" s="81">
        <f ca="1">Historical!M143*M$17+'CapexSum$FY22'!M215*M$27*M$18</f>
        <v>0</v>
      </c>
      <c r="N215" s="81">
        <f ca="1">Historical!N143*N$17+'CapexSum$FY22'!N215*N$27*N$18</f>
        <v>0</v>
      </c>
      <c r="O215" s="81">
        <f ca="1">Historical!O143*O$17+'CapexSum$FY22'!O215*O$27*O$18</f>
        <v>0</v>
      </c>
      <c r="P215" s="81">
        <f ca="1">Historical!P143*P$17+'CapexSum$FY22'!P215*P$27*P$18</f>
        <v>0</v>
      </c>
      <c r="Q215" s="81">
        <f ca="1">Historical!Q143*Q$17+'CapexSum$FY22'!Q215*Q$27*Q$18</f>
        <v>0</v>
      </c>
      <c r="R215" s="81">
        <f ca="1">Historical!R143*R$17+'CapexSum$FY22'!R215*R$27*R$18</f>
        <v>0</v>
      </c>
      <c r="S215" s="81">
        <f ca="1">Historical!S143*S$17+'CapexSum$FY22'!S215*S$27*S$18</f>
        <v>0</v>
      </c>
      <c r="T215" s="81">
        <f ca="1">Historical!T143*T$17+'CapexSum$FY22'!T215*T$27*T$18</f>
        <v>0</v>
      </c>
    </row>
    <row r="216" spans="5:20" outlineLevel="1">
      <c r="F216" s="249" t="str">
        <f>"Total "&amp;E200</f>
        <v>Total Direct Costs + Overheads</v>
      </c>
      <c r="G216" s="249"/>
      <c r="H216" s="249"/>
      <c r="I216" s="249"/>
      <c r="J216" s="82">
        <f t="shared" ref="J216:T216" ca="1" si="15">SUM(J202:J215)</f>
        <v>99292076.469999999</v>
      </c>
      <c r="K216" s="82">
        <f t="shared" ca="1" si="15"/>
        <v>112094758.73000002</v>
      </c>
      <c r="L216" s="82">
        <f t="shared" ca="1" si="15"/>
        <v>101117166.11535375</v>
      </c>
      <c r="M216" s="82">
        <f t="shared" ca="1" si="15"/>
        <v>108970907.09762886</v>
      </c>
      <c r="N216" s="82">
        <f t="shared" ca="1" si="15"/>
        <v>102369449.87117787</v>
      </c>
      <c r="O216" s="82">
        <f t="shared" ca="1" si="15"/>
        <v>63497740.436112419</v>
      </c>
      <c r="P216" s="82">
        <f t="shared" ca="1" si="15"/>
        <v>122819809.56568666</v>
      </c>
      <c r="Q216" s="82">
        <f t="shared" ca="1" si="15"/>
        <v>131161800.37214372</v>
      </c>
      <c r="R216" s="82">
        <f t="shared" ca="1" si="15"/>
        <v>131568036.93201798</v>
      </c>
      <c r="S216" s="82">
        <f t="shared" ca="1" si="15"/>
        <v>120479103.20302472</v>
      </c>
      <c r="T216" s="82">
        <f t="shared" ca="1" si="15"/>
        <v>111781696.80082721</v>
      </c>
    </row>
    <row r="217" spans="5:20" outlineLevel="1"/>
    <row r="218" spans="5:20" outlineLevel="1">
      <c r="E218" s="37" t="s">
        <v>367</v>
      </c>
    </row>
    <row r="219" spans="5:20" ht="5.75" customHeight="1" outlineLevel="1"/>
    <row r="220" spans="5:20" outlineLevel="1">
      <c r="F220" s="247" t="str">
        <f>GC!C60</f>
        <v>Mains replacement</v>
      </c>
      <c r="G220" s="247"/>
      <c r="H220" s="247"/>
      <c r="I220" s="247"/>
      <c r="J220" s="81">
        <f ca="1">Historical!J148*J$17+'CapexSum$FY22'!J220*J$27*J$18</f>
        <v>0</v>
      </c>
      <c r="K220" s="81">
        <f ca="1">Historical!K148*K$17+'CapexSum$FY22'!K220*K$27*K$18</f>
        <v>0</v>
      </c>
      <c r="L220" s="81">
        <f ca="1">Historical!L148*L$17+'CapexSum$FY22'!L220*L$27*L$18</f>
        <v>0</v>
      </c>
      <c r="M220" s="81">
        <f ca="1">Historical!M148*M$17+'CapexSum$FY22'!M220*M$27*M$18</f>
        <v>0</v>
      </c>
      <c r="N220" s="81">
        <f ca="1">Historical!N148*N$17+'CapexSum$FY22'!N220*N$27*N$18</f>
        <v>0</v>
      </c>
      <c r="O220" s="81">
        <f ca="1">Historical!O148*O$17+'CapexSum$FY22'!O220*O$27*O$18</f>
        <v>0</v>
      </c>
      <c r="P220" s="81">
        <f ca="1">Historical!P148*P$17+'CapexSum$FY22'!P220*P$27*P$18</f>
        <v>0</v>
      </c>
      <c r="Q220" s="81">
        <f ca="1">Historical!Q148*Q$17+'CapexSum$FY22'!Q220*Q$27*Q$18</f>
        <v>0</v>
      </c>
      <c r="R220" s="81">
        <f ca="1">Historical!R148*R$17+'CapexSum$FY22'!R220*R$27*R$18</f>
        <v>0</v>
      </c>
      <c r="S220" s="81">
        <f ca="1">Historical!S148*S$17+'CapexSum$FY22'!S220*S$27*S$18</f>
        <v>0</v>
      </c>
      <c r="T220" s="81">
        <f ca="1">Historical!T148*T$17+'CapexSum$FY22'!T220*T$27*T$18</f>
        <v>0</v>
      </c>
    </row>
    <row r="221" spans="5:20" outlineLevel="1">
      <c r="F221" s="247" t="str">
        <f>GC!C61</f>
        <v>Residential new customer connections</v>
      </c>
      <c r="G221" s="247"/>
      <c r="H221" s="247"/>
      <c r="I221" s="247"/>
      <c r="J221" s="81">
        <f ca="1">Historical!J149*J$17+'CapexSum$FY22'!J221*J$27*J$18</f>
        <v>0</v>
      </c>
      <c r="K221" s="81">
        <f ca="1">Historical!K149*K$17+'CapexSum$FY22'!K221*K$27*K$18</f>
        <v>0</v>
      </c>
      <c r="L221" s="81">
        <f ca="1">Historical!L149*L$17+'CapexSum$FY22'!L221*L$27*L$18</f>
        <v>0</v>
      </c>
      <c r="M221" s="81">
        <f ca="1">Historical!M149*M$17+'CapexSum$FY22'!M221*M$27*M$18</f>
        <v>0</v>
      </c>
      <c r="N221" s="81">
        <f ca="1">Historical!N149*N$17+'CapexSum$FY22'!N221*N$27*N$18</f>
        <v>-2911528.3490499998</v>
      </c>
      <c r="O221" s="81">
        <f ca="1">Historical!O149*O$17+'CapexSum$FY22'!O221*O$27*O$18</f>
        <v>-2022933.0813249999</v>
      </c>
      <c r="P221" s="81">
        <f ca="1">Historical!P149*P$17+'CapexSum$FY22'!P221*P$27*P$18</f>
        <v>-4217815.4745626254</v>
      </c>
      <c r="Q221" s="81">
        <f ca="1">Historical!Q149*Q$17+'CapexSum$FY22'!Q221*Q$27*Q$18</f>
        <v>-4479957.0955442367</v>
      </c>
      <c r="R221" s="81">
        <f ca="1">Historical!R149*R$17+'CapexSum$FY22'!R221*R$27*R$18</f>
        <v>-4727615.9946002178</v>
      </c>
      <c r="S221" s="81">
        <f ca="1">Historical!S149*S$17+'CapexSum$FY22'!S221*S$27*S$18</f>
        <v>-4727104.6005630502</v>
      </c>
      <c r="T221" s="81">
        <f ca="1">Historical!T149*T$17+'CapexSum$FY22'!T221*T$27*T$18</f>
        <v>-4719037.9917078791</v>
      </c>
    </row>
    <row r="222" spans="5:20" outlineLevel="1">
      <c r="F222" s="247" t="str">
        <f>GC!C62</f>
        <v>Commercial and industrial new customer connections</v>
      </c>
      <c r="G222" s="247"/>
      <c r="H222" s="247"/>
      <c r="I222" s="247"/>
      <c r="J222" s="81">
        <f ca="1">Historical!J150*J$17+'CapexSum$FY22'!J222*J$27*J$18</f>
        <v>0</v>
      </c>
      <c r="K222" s="81">
        <f ca="1">Historical!K150*K$17+'CapexSum$FY22'!K222*K$27*K$18</f>
        <v>0</v>
      </c>
      <c r="L222" s="81">
        <f ca="1">Historical!L150*L$17+'CapexSum$FY22'!L222*L$27*L$18</f>
        <v>0</v>
      </c>
      <c r="M222" s="81">
        <f ca="1">Historical!M150*M$17+'CapexSum$FY22'!M222*M$27*M$18</f>
        <v>0</v>
      </c>
      <c r="N222" s="81">
        <f ca="1">Historical!N150*N$17+'CapexSum$FY22'!N222*N$27*N$18</f>
        <v>-2392185.7932199999</v>
      </c>
      <c r="O222" s="81">
        <f ca="1">Historical!O150*O$17+'CapexSum$FY22'!O222*O$27*O$18</f>
        <v>-1267093.649925</v>
      </c>
      <c r="P222" s="81">
        <f ca="1">Historical!P150*P$17+'CapexSum$FY22'!P222*P$27*P$18</f>
        <v>-2641890.2600936252</v>
      </c>
      <c r="Q222" s="81">
        <f ca="1">Historical!Q150*Q$17+'CapexSum$FY22'!Q222*Q$27*Q$18</f>
        <v>-2746638.9418602413</v>
      </c>
      <c r="R222" s="81">
        <f ca="1">Historical!R150*R$17+'CapexSum$FY22'!R222*R$27*R$18</f>
        <v>-2840923.8966170982</v>
      </c>
      <c r="S222" s="81">
        <f ca="1">Historical!S150*S$17+'CapexSum$FY22'!S222*S$27*S$18</f>
        <v>-2893624.1378836432</v>
      </c>
      <c r="T222" s="81">
        <f ca="1">Historical!T150*T$17+'CapexSum$FY22'!T222*T$27*T$18</f>
        <v>-2946320.0253037619</v>
      </c>
    </row>
    <row r="223" spans="5:20" outlineLevel="1">
      <c r="F223" s="247" t="str">
        <f>GC!C63</f>
        <v>Residential meter replacement</v>
      </c>
      <c r="G223" s="247"/>
      <c r="H223" s="247"/>
      <c r="I223" s="247"/>
      <c r="J223" s="81">
        <f ca="1">Historical!J151*J$17+'CapexSum$FY22'!J223*J$27*J$18</f>
        <v>0</v>
      </c>
      <c r="K223" s="81">
        <f ca="1">Historical!K151*K$17+'CapexSum$FY22'!K223*K$27*K$18</f>
        <v>0</v>
      </c>
      <c r="L223" s="81">
        <f ca="1">Historical!L151*L$17+'CapexSum$FY22'!L223*L$27*L$18</f>
        <v>0</v>
      </c>
      <c r="M223" s="81">
        <f ca="1">Historical!M151*M$17+'CapexSum$FY22'!M223*M$27*M$18</f>
        <v>0</v>
      </c>
      <c r="N223" s="81">
        <f ca="1">Historical!N151*N$17+'CapexSum$FY22'!N223*N$27*N$18</f>
        <v>0</v>
      </c>
      <c r="O223" s="81">
        <f ca="1">Historical!O151*O$17+'CapexSum$FY22'!O223*O$27*O$18</f>
        <v>0</v>
      </c>
      <c r="P223" s="81">
        <f ca="1">Historical!P151*P$17+'CapexSum$FY22'!P223*P$27*P$18</f>
        <v>0</v>
      </c>
      <c r="Q223" s="81">
        <f ca="1">Historical!Q151*Q$17+'CapexSum$FY22'!Q223*Q$27*Q$18</f>
        <v>0</v>
      </c>
      <c r="R223" s="81">
        <f ca="1">Historical!R151*R$17+'CapexSum$FY22'!R223*R$27*R$18</f>
        <v>0</v>
      </c>
      <c r="S223" s="81">
        <f ca="1">Historical!S151*S$17+'CapexSum$FY22'!S223*S$27*S$18</f>
        <v>0</v>
      </c>
      <c r="T223" s="81">
        <f ca="1">Historical!T151*T$17+'CapexSum$FY22'!T223*T$27*T$18</f>
        <v>0</v>
      </c>
    </row>
    <row r="224" spans="5:20" outlineLevel="1">
      <c r="F224" s="247" t="str">
        <f>GC!C64</f>
        <v>Commercial and industrial meter replacement</v>
      </c>
      <c r="G224" s="247"/>
      <c r="H224" s="247"/>
      <c r="I224" s="247"/>
      <c r="J224" s="81">
        <f ca="1">Historical!J152*J$17+'CapexSum$FY22'!J224*J$27*J$18</f>
        <v>0</v>
      </c>
      <c r="K224" s="81">
        <f ca="1">Historical!K152*K$17+'CapexSum$FY22'!K224*K$27*K$18</f>
        <v>0</v>
      </c>
      <c r="L224" s="81">
        <f ca="1">Historical!L152*L$17+'CapexSum$FY22'!L224*L$27*L$18</f>
        <v>0</v>
      </c>
      <c r="M224" s="81">
        <f ca="1">Historical!M152*M$17+'CapexSum$FY22'!M224*M$27*M$18</f>
        <v>0</v>
      </c>
      <c r="N224" s="81">
        <f ca="1">Historical!N152*N$17+'CapexSum$FY22'!N224*N$27*N$18</f>
        <v>0</v>
      </c>
      <c r="O224" s="81">
        <f ca="1">Historical!O152*O$17+'CapexSum$FY22'!O224*O$27*O$18</f>
        <v>0</v>
      </c>
      <c r="P224" s="81">
        <f ca="1">Historical!P152*P$17+'CapexSum$FY22'!P224*P$27*P$18</f>
        <v>0</v>
      </c>
      <c r="Q224" s="81">
        <f ca="1">Historical!Q152*Q$17+'CapexSum$FY22'!Q224*Q$27*Q$18</f>
        <v>0</v>
      </c>
      <c r="R224" s="81">
        <f ca="1">Historical!R152*R$17+'CapexSum$FY22'!R224*R$27*R$18</f>
        <v>0</v>
      </c>
      <c r="S224" s="81">
        <f ca="1">Historical!S152*S$17+'CapexSum$FY22'!S224*S$27*S$18</f>
        <v>0</v>
      </c>
      <c r="T224" s="81">
        <f ca="1">Historical!T152*T$17+'CapexSum$FY22'!T224*T$27*T$18</f>
        <v>0</v>
      </c>
    </row>
    <row r="225" spans="3:20" outlineLevel="1">
      <c r="F225" s="247" t="str">
        <f>GC!C65</f>
        <v>Augmentation</v>
      </c>
      <c r="G225" s="247"/>
      <c r="H225" s="247"/>
      <c r="I225" s="247"/>
      <c r="J225" s="81">
        <f ca="1">Historical!J153*J$17+'CapexSum$FY22'!J225*J$27*J$18</f>
        <v>0</v>
      </c>
      <c r="K225" s="81">
        <f ca="1">Historical!K153*K$17+'CapexSum$FY22'!K225*K$27*K$18</f>
        <v>0</v>
      </c>
      <c r="L225" s="81">
        <f ca="1">Historical!L153*L$17+'CapexSum$FY22'!L225*L$27*L$18</f>
        <v>0</v>
      </c>
      <c r="M225" s="81">
        <f ca="1">Historical!M153*M$17+'CapexSum$FY22'!M225*M$27*M$18</f>
        <v>0</v>
      </c>
      <c r="N225" s="81">
        <f ca="1">Historical!N153*N$17+'CapexSum$FY22'!N225*N$27*N$18</f>
        <v>0</v>
      </c>
      <c r="O225" s="81">
        <f ca="1">Historical!O153*O$17+'CapexSum$FY22'!O225*O$27*O$18</f>
        <v>0</v>
      </c>
      <c r="P225" s="81">
        <f ca="1">Historical!P153*P$17+'CapexSum$FY22'!P225*P$27*P$18</f>
        <v>0</v>
      </c>
      <c r="Q225" s="81">
        <f ca="1">Historical!Q153*Q$17+'CapexSum$FY22'!Q225*Q$27*Q$18</f>
        <v>0</v>
      </c>
      <c r="R225" s="81">
        <f ca="1">Historical!R153*R$17+'CapexSum$FY22'!R225*R$27*R$18</f>
        <v>0</v>
      </c>
      <c r="S225" s="81">
        <f ca="1">Historical!S153*S$17+'CapexSum$FY22'!S225*S$27*S$18</f>
        <v>0</v>
      </c>
      <c r="T225" s="81">
        <f ca="1">Historical!T153*T$17+'CapexSum$FY22'!T225*T$27*T$18</f>
        <v>0</v>
      </c>
    </row>
    <row r="226" spans="3:20" outlineLevel="1">
      <c r="F226" s="247" t="str">
        <f>GC!C66</f>
        <v>IT capex</v>
      </c>
      <c r="G226" s="247"/>
      <c r="H226" s="247"/>
      <c r="I226" s="247"/>
      <c r="J226" s="81">
        <f ca="1">Historical!J154*J$17+'CapexSum$FY22'!J226*J$27*J$18</f>
        <v>0</v>
      </c>
      <c r="K226" s="81">
        <f ca="1">Historical!K154*K$17+'CapexSum$FY22'!K226*K$27*K$18</f>
        <v>0</v>
      </c>
      <c r="L226" s="81">
        <f ca="1">Historical!L154*L$17+'CapexSum$FY22'!L226*L$27*L$18</f>
        <v>0</v>
      </c>
      <c r="M226" s="81">
        <f ca="1">Historical!M154*M$17+'CapexSum$FY22'!M226*M$27*M$18</f>
        <v>0</v>
      </c>
      <c r="N226" s="81">
        <f ca="1">Historical!N154*N$17+'CapexSum$FY22'!N226*N$27*N$18</f>
        <v>0</v>
      </c>
      <c r="O226" s="81">
        <f ca="1">Historical!O154*O$17+'CapexSum$FY22'!O226*O$27*O$18</f>
        <v>0</v>
      </c>
      <c r="P226" s="81">
        <f ca="1">Historical!P154*P$17+'CapexSum$FY22'!P226*P$27*P$18</f>
        <v>0</v>
      </c>
      <c r="Q226" s="81">
        <f ca="1">Historical!Q154*Q$17+'CapexSum$FY22'!Q226*Q$27*Q$18</f>
        <v>0</v>
      </c>
      <c r="R226" s="81">
        <f ca="1">Historical!R154*R$17+'CapexSum$FY22'!R226*R$27*R$18</f>
        <v>0</v>
      </c>
      <c r="S226" s="81">
        <f ca="1">Historical!S154*S$17+'CapexSum$FY22'!S226*S$27*S$18</f>
        <v>0</v>
      </c>
      <c r="T226" s="81">
        <f ca="1">Historical!T154*T$17+'CapexSum$FY22'!T226*T$27*T$18</f>
        <v>0</v>
      </c>
    </row>
    <row r="227" spans="3:20" outlineLevel="1">
      <c r="F227" s="247" t="str">
        <f>GC!C67</f>
        <v>SCADA</v>
      </c>
      <c r="G227" s="247"/>
      <c r="H227" s="247"/>
      <c r="I227" s="247"/>
      <c r="J227" s="81">
        <f ca="1">Historical!J155*J$17+'CapexSum$FY22'!J227*J$27*J$18</f>
        <v>0</v>
      </c>
      <c r="K227" s="81">
        <f ca="1">Historical!K155*K$17+'CapexSum$FY22'!K227*K$27*K$18</f>
        <v>0</v>
      </c>
      <c r="L227" s="81">
        <f ca="1">Historical!L155*L$17+'CapexSum$FY22'!L227*L$27*L$18</f>
        <v>0</v>
      </c>
      <c r="M227" s="81">
        <f ca="1">Historical!M155*M$17+'CapexSum$FY22'!M227*M$27*M$18</f>
        <v>0</v>
      </c>
      <c r="N227" s="81">
        <f ca="1">Historical!N155*N$17+'CapexSum$FY22'!N227*N$27*N$18</f>
        <v>0</v>
      </c>
      <c r="O227" s="81">
        <f ca="1">Historical!O155*O$17+'CapexSum$FY22'!O227*O$27*O$18</f>
        <v>0</v>
      </c>
      <c r="P227" s="81">
        <f ca="1">Historical!P155*P$17+'CapexSum$FY22'!P227*P$27*P$18</f>
        <v>0</v>
      </c>
      <c r="Q227" s="81">
        <f ca="1">Historical!Q155*Q$17+'CapexSum$FY22'!Q227*Q$27*Q$18</f>
        <v>0</v>
      </c>
      <c r="R227" s="81">
        <f ca="1">Historical!R155*R$17+'CapexSum$FY22'!R227*R$27*R$18</f>
        <v>0</v>
      </c>
      <c r="S227" s="81">
        <f ca="1">Historical!S155*S$17+'CapexSum$FY22'!S227*S$27*S$18</f>
        <v>0</v>
      </c>
      <c r="T227" s="81">
        <f ca="1">Historical!T155*T$17+'CapexSum$FY22'!T227*T$27*T$18</f>
        <v>0</v>
      </c>
    </row>
    <row r="228" spans="3:20" outlineLevel="1">
      <c r="F228" s="247" t="str">
        <f>GC!C68</f>
        <v>Other</v>
      </c>
      <c r="G228" s="247"/>
      <c r="H228" s="247"/>
      <c r="I228" s="247"/>
      <c r="J228" s="81">
        <f ca="1">Historical!J156*J$17+'CapexSum$FY22'!J228*J$27*J$18</f>
        <v>0</v>
      </c>
      <c r="K228" s="81">
        <f ca="1">Historical!K156*K$17+'CapexSum$FY22'!K228*K$27*K$18</f>
        <v>0</v>
      </c>
      <c r="L228" s="81">
        <f ca="1">Historical!L156*L$17+'CapexSum$FY22'!L228*L$27*L$18</f>
        <v>0</v>
      </c>
      <c r="M228" s="81">
        <f ca="1">Historical!M156*M$17+'CapexSum$FY22'!M228*M$27*M$18</f>
        <v>0</v>
      </c>
      <c r="N228" s="81">
        <f ca="1">Historical!N156*N$17+'CapexSum$FY22'!N228*N$27*N$18</f>
        <v>-14900342.18371</v>
      </c>
      <c r="O228" s="81">
        <f ca="1">Historical!O156*O$17+'CapexSum$FY22'!O228*O$27*O$18</f>
        <v>-2038923.5098256774</v>
      </c>
      <c r="P228" s="81">
        <f ca="1">Historical!P156*P$17+'CapexSum$FY22'!P228*P$27*P$18</f>
        <v>-1559483.6100865374</v>
      </c>
      <c r="Q228" s="81">
        <f ca="1">Historical!Q156*Q$17+'CapexSum$FY22'!Q228*Q$27*Q$18</f>
        <v>-1606268.1183891336</v>
      </c>
      <c r="R228" s="81">
        <f ca="1">Historical!R156*R$17+'CapexSum$FY22'!R228*R$27*R$18</f>
        <v>-1646424.8213488618</v>
      </c>
      <c r="S228" s="81">
        <f ca="1">Historical!S156*S$17+'CapexSum$FY22'!S228*S$27*S$18</f>
        <v>-1687585.4418825833</v>
      </c>
      <c r="T228" s="81">
        <f ca="1">Historical!T156*T$17+'CapexSum$FY22'!T228*T$27*T$18</f>
        <v>-1729775.0779296479</v>
      </c>
    </row>
    <row r="229" spans="3:20" outlineLevel="1">
      <c r="F229" s="247" t="str">
        <f>GC!C69</f>
        <v>Capitalised Leases</v>
      </c>
      <c r="G229" s="247"/>
      <c r="H229" s="247"/>
      <c r="I229" s="247"/>
      <c r="J229" s="81">
        <f ca="1">Historical!J157*J$17+'CapexSum$FY22'!J229*J$27*J$18</f>
        <v>0</v>
      </c>
      <c r="K229" s="81">
        <f ca="1">Historical!K157*K$17+'CapexSum$FY22'!K229*K$27*K$18</f>
        <v>0</v>
      </c>
      <c r="L229" s="81">
        <f ca="1">Historical!L157*L$17+'CapexSum$FY22'!L229*L$27*L$18</f>
        <v>0</v>
      </c>
      <c r="M229" s="81">
        <f ca="1">Historical!M157*M$17+'CapexSum$FY22'!M229*M$27*M$18</f>
        <v>0</v>
      </c>
      <c r="N229" s="81">
        <f ca="1">Historical!N157*N$17+'CapexSum$FY22'!N229*N$27*N$18</f>
        <v>0</v>
      </c>
      <c r="O229" s="81">
        <f ca="1">Historical!O157*O$17+'CapexSum$FY22'!O229*O$27*O$18</f>
        <v>0</v>
      </c>
      <c r="P229" s="81">
        <f ca="1">Historical!P157*P$17+'CapexSum$FY22'!P229*P$27*P$18</f>
        <v>0</v>
      </c>
      <c r="Q229" s="81">
        <f ca="1">Historical!Q157*Q$17+'CapexSum$FY22'!Q229*Q$27*Q$18</f>
        <v>0</v>
      </c>
      <c r="R229" s="81">
        <f ca="1">Historical!R157*R$17+'CapexSum$FY22'!R229*R$27*R$18</f>
        <v>0</v>
      </c>
      <c r="S229" s="81">
        <f ca="1">Historical!S157*S$17+'CapexSum$FY22'!S229*S$27*S$18</f>
        <v>0</v>
      </c>
      <c r="T229" s="81">
        <f ca="1">Historical!T157*T$17+'CapexSum$FY22'!T229*T$27*T$18</f>
        <v>0</v>
      </c>
    </row>
    <row r="230" spans="3:20" outlineLevel="1">
      <c r="F230" s="247" t="str">
        <f>GC!C70</f>
        <v>Gas Extensions - Energy for the Regions</v>
      </c>
      <c r="G230" s="247"/>
      <c r="H230" s="247"/>
      <c r="I230" s="247"/>
      <c r="J230" s="81">
        <f ca="1">Historical!J158*J$17+'CapexSum$FY22'!J230*J$27*J$18</f>
        <v>0</v>
      </c>
      <c r="K230" s="81">
        <f ca="1">Historical!K158*K$17+'CapexSum$FY22'!K230*K$27*K$18</f>
        <v>0</v>
      </c>
      <c r="L230" s="81">
        <f ca="1">Historical!L158*L$17+'CapexSum$FY22'!L230*L$27*L$18</f>
        <v>0</v>
      </c>
      <c r="M230" s="81">
        <f ca="1">Historical!M158*M$17+'CapexSum$FY22'!M230*M$27*M$18</f>
        <v>0</v>
      </c>
      <c r="N230" s="81">
        <f ca="1">Historical!N158*N$17+'CapexSum$FY22'!N230*N$27*N$18</f>
        <v>0</v>
      </c>
      <c r="O230" s="81">
        <f ca="1">Historical!O158*O$17+'CapexSum$FY22'!O230*O$27*O$18</f>
        <v>0</v>
      </c>
      <c r="P230" s="81">
        <f ca="1">Historical!P158*P$17+'CapexSum$FY22'!P230*P$27*P$18</f>
        <v>0</v>
      </c>
      <c r="Q230" s="81">
        <f ca="1">Historical!Q158*Q$17+'CapexSum$FY22'!Q230*Q$27*Q$18</f>
        <v>0</v>
      </c>
      <c r="R230" s="81">
        <f ca="1">Historical!R158*R$17+'CapexSum$FY22'!R230*R$27*R$18</f>
        <v>0</v>
      </c>
      <c r="S230" s="81">
        <f ca="1">Historical!S158*S$17+'CapexSum$FY22'!S230*S$27*S$18</f>
        <v>0</v>
      </c>
      <c r="T230" s="81">
        <f ca="1">Historical!T158*T$17+'CapexSum$FY22'!T230*T$27*T$18</f>
        <v>0</v>
      </c>
    </row>
    <row r="231" spans="3:20" outlineLevel="1">
      <c r="F231" s="247" t="str">
        <f>GC!C71</f>
        <v>Gas Extensions - Other</v>
      </c>
      <c r="G231" s="247"/>
      <c r="H231" s="247"/>
      <c r="I231" s="247"/>
      <c r="J231" s="81">
        <f ca="1">Historical!J159*J$17+'CapexSum$FY22'!J231*J$27*J$18</f>
        <v>0</v>
      </c>
      <c r="K231" s="81">
        <f ca="1">Historical!K159*K$17+'CapexSum$FY22'!K231*K$27*K$18</f>
        <v>0</v>
      </c>
      <c r="L231" s="81">
        <f ca="1">Historical!L159*L$17+'CapexSum$FY22'!L231*L$27*L$18</f>
        <v>0</v>
      </c>
      <c r="M231" s="81">
        <f ca="1">Historical!M159*M$17+'CapexSum$FY22'!M231*M$27*M$18</f>
        <v>0</v>
      </c>
      <c r="N231" s="81">
        <f ca="1">Historical!N159*N$17+'CapexSum$FY22'!N231*N$27*N$18</f>
        <v>0</v>
      </c>
      <c r="O231" s="81">
        <f ca="1">Historical!O159*O$17+'CapexSum$FY22'!O231*O$27*O$18</f>
        <v>0</v>
      </c>
      <c r="P231" s="81">
        <f ca="1">Historical!P159*P$17+'CapexSum$FY22'!P231*P$27*P$18</f>
        <v>0</v>
      </c>
      <c r="Q231" s="81">
        <f ca="1">Historical!Q159*Q$17+'CapexSum$FY22'!Q231*Q$27*Q$18</f>
        <v>0</v>
      </c>
      <c r="R231" s="81">
        <f ca="1">Historical!R159*R$17+'CapexSum$FY22'!R231*R$27*R$18</f>
        <v>0</v>
      </c>
      <c r="S231" s="81">
        <f ca="1">Historical!S159*S$17+'CapexSum$FY22'!S231*S$27*S$18</f>
        <v>0</v>
      </c>
      <c r="T231" s="81">
        <f ca="1">Historical!T159*T$17+'CapexSum$FY22'!T231*T$27*T$18</f>
        <v>0</v>
      </c>
    </row>
    <row r="232" spans="3:20" outlineLevel="1">
      <c r="F232" s="247" t="str">
        <f>GC!C72</f>
        <v>Customer contributions</v>
      </c>
      <c r="G232" s="247"/>
      <c r="H232" s="247"/>
      <c r="I232" s="247"/>
      <c r="J232" s="81">
        <f ca="1">Historical!J160*J$17+'CapexSum$FY22'!J232*J$27*J$18</f>
        <v>0</v>
      </c>
      <c r="K232" s="81">
        <f ca="1">Historical!K160*K$17+'CapexSum$FY22'!K232*K$27*K$18</f>
        <v>0</v>
      </c>
      <c r="L232" s="81">
        <f ca="1">Historical!L160*L$17+'CapexSum$FY22'!L232*L$27*L$18</f>
        <v>0</v>
      </c>
      <c r="M232" s="81">
        <f ca="1">Historical!M160*M$17+'CapexSum$FY22'!M232*M$27*M$18</f>
        <v>0</v>
      </c>
      <c r="N232" s="81">
        <f ca="1">Historical!N160*N$17+'CapexSum$FY22'!N232*N$27*N$18</f>
        <v>0</v>
      </c>
      <c r="O232" s="81">
        <f ca="1">Historical!O160*O$17+'CapexSum$FY22'!O232*O$27*O$18</f>
        <v>0</v>
      </c>
      <c r="P232" s="81">
        <f ca="1">Historical!P160*P$17+'CapexSum$FY22'!P232*P$27*P$18</f>
        <v>0</v>
      </c>
      <c r="Q232" s="81">
        <f ca="1">Historical!Q160*Q$17+'CapexSum$FY22'!Q232*Q$27*Q$18</f>
        <v>0</v>
      </c>
      <c r="R232" s="81">
        <f ca="1">Historical!R160*R$17+'CapexSum$FY22'!R232*R$27*R$18</f>
        <v>0</v>
      </c>
      <c r="S232" s="81">
        <f ca="1">Historical!S160*S$17+'CapexSum$FY22'!S232*S$27*S$18</f>
        <v>0</v>
      </c>
      <c r="T232" s="81">
        <f ca="1">Historical!T160*T$17+'CapexSum$FY22'!T232*T$27*T$18</f>
        <v>0</v>
      </c>
    </row>
    <row r="233" spans="3:20" outlineLevel="1">
      <c r="F233" s="247" t="str">
        <f>GC!C73</f>
        <v>Government contributions</v>
      </c>
      <c r="G233" s="247"/>
      <c r="H233" s="247"/>
      <c r="I233" s="247"/>
      <c r="J233" s="81">
        <f ca="1">Historical!J161*J$17+'CapexSum$FY22'!J233*J$27*J$18</f>
        <v>0</v>
      </c>
      <c r="K233" s="81">
        <f ca="1">Historical!K161*K$17+'CapexSum$FY22'!K233*K$27*K$18</f>
        <v>0</v>
      </c>
      <c r="L233" s="81">
        <f ca="1">Historical!L161*L$17+'CapexSum$FY22'!L233*L$27*L$18</f>
        <v>0</v>
      </c>
      <c r="M233" s="81">
        <f ca="1">Historical!M161*M$17+'CapexSum$FY22'!M233*M$27*M$18</f>
        <v>0</v>
      </c>
      <c r="N233" s="81">
        <f ca="1">Historical!N161*N$17+'CapexSum$FY22'!N233*N$27*N$18</f>
        <v>0</v>
      </c>
      <c r="O233" s="81">
        <f ca="1">Historical!O161*O$17+'CapexSum$FY22'!O233*O$27*O$18</f>
        <v>0</v>
      </c>
      <c r="P233" s="81">
        <f ca="1">Historical!P161*P$17+'CapexSum$FY22'!P233*P$27*P$18</f>
        <v>0</v>
      </c>
      <c r="Q233" s="81">
        <f ca="1">Historical!Q161*Q$17+'CapexSum$FY22'!Q233*Q$27*Q$18</f>
        <v>0</v>
      </c>
      <c r="R233" s="81">
        <f ca="1">Historical!R161*R$17+'CapexSum$FY22'!R233*R$27*R$18</f>
        <v>0</v>
      </c>
      <c r="S233" s="81">
        <f ca="1">Historical!S161*S$17+'CapexSum$FY22'!S233*S$27*S$18</f>
        <v>0</v>
      </c>
      <c r="T233" s="81">
        <f ca="1">Historical!T161*T$17+'CapexSum$FY22'!T233*T$27*T$18</f>
        <v>0</v>
      </c>
    </row>
    <row r="234" spans="3:20" outlineLevel="1">
      <c r="F234" s="249" t="str">
        <f t="shared" ref="F234" si="16">"Total "&amp;E218</f>
        <v>Total Customer Contributions</v>
      </c>
      <c r="G234" s="249"/>
      <c r="H234" s="249"/>
      <c r="I234" s="249"/>
      <c r="J234" s="82">
        <f t="shared" ref="J234:T234" ca="1" si="17">SUM(J220:J233)</f>
        <v>0</v>
      </c>
      <c r="K234" s="82">
        <f t="shared" ca="1" si="17"/>
        <v>0</v>
      </c>
      <c r="L234" s="82">
        <f t="shared" ca="1" si="17"/>
        <v>0</v>
      </c>
      <c r="M234" s="82">
        <f t="shared" ca="1" si="17"/>
        <v>0</v>
      </c>
      <c r="N234" s="82">
        <f t="shared" ca="1" si="17"/>
        <v>-20204056.32598</v>
      </c>
      <c r="O234" s="82">
        <f t="shared" ca="1" si="17"/>
        <v>-5328950.2410756778</v>
      </c>
      <c r="P234" s="82">
        <f t="shared" ca="1" si="17"/>
        <v>-8419189.344742788</v>
      </c>
      <c r="Q234" s="82">
        <f t="shared" ca="1" si="17"/>
        <v>-8832864.155793611</v>
      </c>
      <c r="R234" s="82">
        <f t="shared" ca="1" si="17"/>
        <v>-9214964.7125661783</v>
      </c>
      <c r="S234" s="82">
        <f t="shared" ca="1" si="17"/>
        <v>-9308314.1803292781</v>
      </c>
      <c r="T234" s="82">
        <f t="shared" ca="1" si="17"/>
        <v>-9395133.0949412882</v>
      </c>
    </row>
    <row r="235" spans="3:20" outlineLevel="1">
      <c r="C235" s="12"/>
      <c r="D235" s="12"/>
      <c r="E235" s="12"/>
      <c r="F235" s="12"/>
      <c r="G235" s="12"/>
      <c r="H235" s="12"/>
      <c r="I235" s="12"/>
      <c r="J235" s="12"/>
      <c r="K235" s="12"/>
      <c r="L235" s="12"/>
      <c r="M235" s="12"/>
      <c r="N235" s="12"/>
      <c r="O235" s="12"/>
      <c r="P235" s="12"/>
      <c r="Q235" s="12"/>
      <c r="R235" s="12"/>
      <c r="S235" s="12"/>
      <c r="T235" s="12"/>
    </row>
    <row r="236" spans="3:20" outlineLevel="1"/>
    <row r="237" spans="3:20" outlineLevel="1">
      <c r="D237" s="37" t="s">
        <v>311</v>
      </c>
    </row>
    <row r="238" spans="3:20" ht="5.9" customHeight="1" outlineLevel="1"/>
    <row r="239" spans="3:20" outlineLevel="1">
      <c r="E239" s="37" t="str">
        <f>'CapexSum$FY22'!E239</f>
        <v>Direct Costs</v>
      </c>
    </row>
    <row r="240" spans="3:20" ht="5.9" customHeight="1" outlineLevel="1"/>
    <row r="241" spans="5:20" outlineLevel="1">
      <c r="F241" s="247" t="str">
        <f>GC!C78</f>
        <v>Mains &amp; Services</v>
      </c>
      <c r="G241" s="247"/>
      <c r="H241" s="247"/>
      <c r="I241" s="247"/>
      <c r="J241" s="81">
        <f ca="1">'CapexSum$FY22'!J241*J$27</f>
        <v>0</v>
      </c>
      <c r="K241" s="81">
        <f ca="1">'CapexSum$FY22'!K241*K$27</f>
        <v>0</v>
      </c>
      <c r="L241" s="81">
        <f ca="1">'CapexSum$FY22'!L241*L$27</f>
        <v>0</v>
      </c>
      <c r="M241" s="81">
        <f ca="1">'CapexSum$FY22'!M241*M$27</f>
        <v>0</v>
      </c>
      <c r="N241" s="81">
        <f ca="1">'CapexSum$FY22'!N241*N$27</f>
        <v>65440247.279091343</v>
      </c>
      <c r="O241" s="81">
        <f ca="1">'CapexSum$FY22'!O241*O$27</f>
        <v>46107562.846789837</v>
      </c>
      <c r="P241" s="81">
        <f ca="1">'CapexSum$FY22'!P241*P$27</f>
        <v>76474966.832496077</v>
      </c>
      <c r="Q241" s="81">
        <f ca="1">'CapexSum$FY22'!Q241*Q$27</f>
        <v>78090268.175098494</v>
      </c>
      <c r="R241" s="81">
        <f ca="1">'CapexSum$FY22'!R241*R$27</f>
        <v>79653755.884245485</v>
      </c>
      <c r="S241" s="81">
        <f ca="1">'CapexSum$FY22'!S241*S$27</f>
        <v>80502027.944843575</v>
      </c>
      <c r="T241" s="81">
        <f ca="1">'CapexSum$FY22'!T241*T$27</f>
        <v>71115230.536379561</v>
      </c>
    </row>
    <row r="242" spans="5:20" outlineLevel="1">
      <c r="F242" s="247" t="str">
        <f>GC!C79</f>
        <v>Meters Domestic</v>
      </c>
      <c r="G242" s="247"/>
      <c r="H242" s="247"/>
      <c r="I242" s="247"/>
      <c r="J242" s="81">
        <f ca="1">'CapexSum$FY22'!J242*J$27</f>
        <v>0</v>
      </c>
      <c r="K242" s="81">
        <f ca="1">'CapexSum$FY22'!K242*K$27</f>
        <v>0</v>
      </c>
      <c r="L242" s="81">
        <f ca="1">'CapexSum$FY22'!L242*L$27</f>
        <v>0</v>
      </c>
      <c r="M242" s="81">
        <f ca="1">'CapexSum$FY22'!M242*M$27</f>
        <v>0</v>
      </c>
      <c r="N242" s="81">
        <f ca="1">'CapexSum$FY22'!N242*N$27</f>
        <v>13509708.291401388</v>
      </c>
      <c r="O242" s="81">
        <f ca="1">'CapexSum$FY22'!O242*O$27</f>
        <v>6564302.9109134879</v>
      </c>
      <c r="P242" s="81">
        <f ca="1">'CapexSum$FY22'!P242*P$27</f>
        <v>12983651.303862264</v>
      </c>
      <c r="Q242" s="81">
        <f ca="1">'CapexSum$FY22'!Q242*Q$27</f>
        <v>14605909.898465626</v>
      </c>
      <c r="R242" s="81">
        <f ca="1">'CapexSum$FY22'!R242*R$27</f>
        <v>15552778.989693526</v>
      </c>
      <c r="S242" s="81">
        <f ca="1">'CapexSum$FY22'!S242*S$27</f>
        <v>14147024.254917065</v>
      </c>
      <c r="T242" s="81">
        <f ca="1">'CapexSum$FY22'!T242*T$27</f>
        <v>13852492.890455883</v>
      </c>
    </row>
    <row r="243" spans="5:20" outlineLevel="1">
      <c r="F243" s="247" t="str">
        <f>GC!C80</f>
        <v>Meters Industrial &amp; Commercial</v>
      </c>
      <c r="G243" s="247"/>
      <c r="H243" s="247"/>
      <c r="I243" s="247"/>
      <c r="J243" s="81">
        <f ca="1">'CapexSum$FY22'!J243*J$27</f>
        <v>0</v>
      </c>
      <c r="K243" s="81">
        <f ca="1">'CapexSum$FY22'!K243*K$27</f>
        <v>0</v>
      </c>
      <c r="L243" s="81">
        <f ca="1">'CapexSum$FY22'!L243*L$27</f>
        <v>0</v>
      </c>
      <c r="M243" s="81">
        <f ca="1">'CapexSum$FY22'!M243*M$27</f>
        <v>0</v>
      </c>
      <c r="N243" s="81">
        <f ca="1">'CapexSum$FY22'!N243*N$27</f>
        <v>1678585.1697284239</v>
      </c>
      <c r="O243" s="81">
        <f ca="1">'CapexSum$FY22'!O243*O$27</f>
        <v>1772705.3967290134</v>
      </c>
      <c r="P243" s="81">
        <f ca="1">'CapexSum$FY22'!P243*P$27</f>
        <v>3173213.6456555515</v>
      </c>
      <c r="Q243" s="81">
        <f ca="1">'CapexSum$FY22'!Q243*Q$27</f>
        <v>3485079.3401113208</v>
      </c>
      <c r="R243" s="81">
        <f ca="1">'CapexSum$FY22'!R243*R$27</f>
        <v>3894745.3319917559</v>
      </c>
      <c r="S243" s="81">
        <f ca="1">'CapexSum$FY22'!S243*S$27</f>
        <v>3843865.5386512638</v>
      </c>
      <c r="T243" s="81">
        <f ca="1">'CapexSum$FY22'!T243*T$27</f>
        <v>3416189.7930999263</v>
      </c>
    </row>
    <row r="244" spans="5:20" outlineLevel="1">
      <c r="F244" s="247" t="str">
        <f>GC!C81</f>
        <v>Buildings</v>
      </c>
      <c r="G244" s="247"/>
      <c r="H244" s="247"/>
      <c r="I244" s="247"/>
      <c r="J244" s="81">
        <f ca="1">'CapexSum$FY22'!J244*J$27</f>
        <v>0</v>
      </c>
      <c r="K244" s="81">
        <f ca="1">'CapexSum$FY22'!K244*K$27</f>
        <v>0</v>
      </c>
      <c r="L244" s="81">
        <f ca="1">'CapexSum$FY22'!L244*L$27</f>
        <v>0</v>
      </c>
      <c r="M244" s="81">
        <f ca="1">'CapexSum$FY22'!M244*M$27</f>
        <v>0</v>
      </c>
      <c r="N244" s="81">
        <f ca="1">'CapexSum$FY22'!N244*N$27</f>
        <v>0</v>
      </c>
      <c r="O244" s="81">
        <f ca="1">'CapexSum$FY22'!O244*O$27</f>
        <v>0</v>
      </c>
      <c r="P244" s="81">
        <f ca="1">'CapexSum$FY22'!P244*P$27</f>
        <v>0</v>
      </c>
      <c r="Q244" s="81">
        <f ca="1">'CapexSum$FY22'!Q244*Q$27</f>
        <v>0</v>
      </c>
      <c r="R244" s="81">
        <f ca="1">'CapexSum$FY22'!R244*R$27</f>
        <v>0</v>
      </c>
      <c r="S244" s="81">
        <f ca="1">'CapexSum$FY22'!S244*S$27</f>
        <v>0</v>
      </c>
      <c r="T244" s="81">
        <f ca="1">'CapexSum$FY22'!T244*T$27</f>
        <v>0</v>
      </c>
    </row>
    <row r="245" spans="5:20" outlineLevel="1">
      <c r="F245" s="247" t="str">
        <f>GC!C82</f>
        <v>Other Assets</v>
      </c>
      <c r="G245" s="247"/>
      <c r="H245" s="247"/>
      <c r="I245" s="247"/>
      <c r="J245" s="81">
        <f ca="1">'CapexSum$FY22'!J245*J$27</f>
        <v>0</v>
      </c>
      <c r="K245" s="81">
        <f ca="1">'CapexSum$FY22'!K245*K$27</f>
        <v>0</v>
      </c>
      <c r="L245" s="81">
        <f ca="1">'CapexSum$FY22'!L245*L$27</f>
        <v>0</v>
      </c>
      <c r="M245" s="81">
        <f ca="1">'CapexSum$FY22'!M245*M$27</f>
        <v>0</v>
      </c>
      <c r="N245" s="81">
        <f ca="1">'CapexSum$FY22'!N245*N$27</f>
        <v>17804569.981912833</v>
      </c>
      <c r="O245" s="81">
        <f ca="1">'CapexSum$FY22'!O245*O$27</f>
        <v>6881157.3524958948</v>
      </c>
      <c r="P245" s="81">
        <f ca="1">'CapexSum$FY22'!P245*P$27</f>
        <v>27054952.812144667</v>
      </c>
      <c r="Q245" s="81">
        <f ca="1">'CapexSum$FY22'!Q245*Q$27</f>
        <v>31772002.329485957</v>
      </c>
      <c r="R245" s="81">
        <f ca="1">'CapexSum$FY22'!R245*R$27</f>
        <v>29200391.104982045</v>
      </c>
      <c r="S245" s="81">
        <f ca="1">'CapexSum$FY22'!S245*S$27</f>
        <v>18557014.330526188</v>
      </c>
      <c r="T245" s="81">
        <f ca="1">'CapexSum$FY22'!T245*T$27</f>
        <v>19992122.400588486</v>
      </c>
    </row>
    <row r="246" spans="5:20" outlineLevel="1">
      <c r="F246" s="247" t="str">
        <f>GC!C83</f>
        <v>Repairs</v>
      </c>
      <c r="G246" s="247"/>
      <c r="H246" s="247"/>
      <c r="I246" s="247"/>
      <c r="J246" s="81">
        <f ca="1">'CapexSum$FY22'!J246*J$27</f>
        <v>0</v>
      </c>
      <c r="K246" s="81">
        <f ca="1">'CapexSum$FY22'!K246*K$27</f>
        <v>0</v>
      </c>
      <c r="L246" s="81">
        <f ca="1">'CapexSum$FY22'!L246*L$27</f>
        <v>0</v>
      </c>
      <c r="M246" s="81">
        <f ca="1">'CapexSum$FY22'!M246*M$27</f>
        <v>0</v>
      </c>
      <c r="N246" s="81">
        <f ca="1">'CapexSum$FY22'!N246*N$27</f>
        <v>0</v>
      </c>
      <c r="O246" s="81">
        <f ca="1">'CapexSum$FY22'!O246*O$27</f>
        <v>0</v>
      </c>
      <c r="P246" s="81">
        <f ca="1">'CapexSum$FY22'!P246*P$27</f>
        <v>0</v>
      </c>
      <c r="Q246" s="81">
        <f ca="1">'CapexSum$FY22'!Q246*Q$27</f>
        <v>0</v>
      </c>
      <c r="R246" s="81">
        <f ca="1">'CapexSum$FY22'!R246*R$27</f>
        <v>0</v>
      </c>
      <c r="S246" s="81">
        <f ca="1">'CapexSum$FY22'!S246*S$27</f>
        <v>0</v>
      </c>
      <c r="T246" s="81">
        <f ca="1">'CapexSum$FY22'!T246*T$27</f>
        <v>0</v>
      </c>
    </row>
    <row r="247" spans="5:20" outlineLevel="1">
      <c r="F247" s="247" t="str">
        <f>GC!C84</f>
        <v>Land</v>
      </c>
      <c r="G247" s="247"/>
      <c r="H247" s="247"/>
      <c r="I247" s="247"/>
      <c r="J247" s="81">
        <f ca="1">'CapexSum$FY22'!J247*J$27</f>
        <v>0</v>
      </c>
      <c r="K247" s="81">
        <f ca="1">'CapexSum$FY22'!K247*K$27</f>
        <v>0</v>
      </c>
      <c r="L247" s="81">
        <f ca="1">'CapexSum$FY22'!L247*L$27</f>
        <v>0</v>
      </c>
      <c r="M247" s="81">
        <f ca="1">'CapexSum$FY22'!M247*M$27</f>
        <v>0</v>
      </c>
      <c r="N247" s="81">
        <f ca="1">'CapexSum$FY22'!N247*N$27</f>
        <v>0</v>
      </c>
      <c r="O247" s="81">
        <f ca="1">'CapexSum$FY22'!O247*O$27</f>
        <v>0</v>
      </c>
      <c r="P247" s="81">
        <f ca="1">'CapexSum$FY22'!P247*P$27</f>
        <v>0</v>
      </c>
      <c r="Q247" s="81">
        <f ca="1">'CapexSum$FY22'!Q247*Q$27</f>
        <v>0</v>
      </c>
      <c r="R247" s="81">
        <f ca="1">'CapexSum$FY22'!R247*R$27</f>
        <v>0</v>
      </c>
      <c r="S247" s="81">
        <f ca="1">'CapexSum$FY22'!S247*S$27</f>
        <v>0</v>
      </c>
      <c r="T247" s="81">
        <f ca="1">'CapexSum$FY22'!T247*T$27</f>
        <v>0</v>
      </c>
    </row>
    <row r="248" spans="5:20" outlineLevel="1">
      <c r="F248" s="249" t="str">
        <f>"Total "&amp;E239</f>
        <v>Total Direct Costs</v>
      </c>
      <c r="G248" s="249"/>
      <c r="H248" s="249"/>
      <c r="I248" s="249"/>
      <c r="J248" s="82">
        <f t="shared" ref="J248:T248" ca="1" si="18">SUM(J241:J247)</f>
        <v>0</v>
      </c>
      <c r="K248" s="82">
        <f t="shared" ca="1" si="18"/>
        <v>0</v>
      </c>
      <c r="L248" s="82">
        <f t="shared" ca="1" si="18"/>
        <v>0</v>
      </c>
      <c r="M248" s="82">
        <f t="shared" ca="1" si="18"/>
        <v>0</v>
      </c>
      <c r="N248" s="82">
        <f t="shared" ca="1" si="18"/>
        <v>98433110.722133994</v>
      </c>
      <c r="O248" s="82">
        <f t="shared" ca="1" si="18"/>
        <v>61325728.506928235</v>
      </c>
      <c r="P248" s="82">
        <f t="shared" ca="1" si="18"/>
        <v>119686784.59415856</v>
      </c>
      <c r="Q248" s="82">
        <f t="shared" ca="1" si="18"/>
        <v>127953259.74316138</v>
      </c>
      <c r="R248" s="82">
        <f t="shared" ca="1" si="18"/>
        <v>128301671.31091282</v>
      </c>
      <c r="S248" s="82">
        <f t="shared" ca="1" si="18"/>
        <v>117049932.06893809</v>
      </c>
      <c r="T248" s="82">
        <f t="shared" ca="1" si="18"/>
        <v>108376035.62052386</v>
      </c>
    </row>
    <row r="249" spans="5:20" outlineLevel="1"/>
    <row r="250" spans="5:20" outlineLevel="1">
      <c r="E250" s="37" t="str">
        <f>'CapexSum$FY22'!E250</f>
        <v>Direct Costs + Overheads</v>
      </c>
    </row>
    <row r="251" spans="5:20" ht="5.9" customHeight="1" outlineLevel="1"/>
    <row r="252" spans="5:20" outlineLevel="1">
      <c r="F252" s="247" t="str">
        <f>GC!C78</f>
        <v>Mains &amp; Services</v>
      </c>
      <c r="G252" s="247"/>
      <c r="H252" s="247"/>
      <c r="I252" s="247"/>
      <c r="J252" s="81">
        <f ca="1">'CapexSum$FY22'!J252*J$27</f>
        <v>0</v>
      </c>
      <c r="K252" s="81">
        <f ca="1">'CapexSum$FY22'!K252*K$27</f>
        <v>0</v>
      </c>
      <c r="L252" s="81">
        <f ca="1">'CapexSum$FY22'!L252*L$27</f>
        <v>0</v>
      </c>
      <c r="M252" s="81">
        <f ca="1">'CapexSum$FY22'!M252*M$27</f>
        <v>0</v>
      </c>
      <c r="N252" s="81">
        <f ca="1">'CapexSum$FY22'!N252*N$27</f>
        <v>67908064.927374378</v>
      </c>
      <c r="O252" s="81">
        <f ca="1">'CapexSum$FY22'!O252*O$27</f>
        <v>47642205.541770339</v>
      </c>
      <c r="P252" s="81">
        <f ca="1">'CapexSum$FY22'!P252*P$27</f>
        <v>78520875.657942832</v>
      </c>
      <c r="Q252" s="81">
        <f ca="1">'CapexSum$FY22'!Q252*Q$27</f>
        <v>80125346.429982021</v>
      </c>
      <c r="R252" s="81">
        <f ca="1">'CapexSum$FY22'!R252*R$27</f>
        <v>81794291.743056625</v>
      </c>
      <c r="S252" s="81">
        <f ca="1">'CapexSum$FY22'!S252*S$27</f>
        <v>82800053.238632336</v>
      </c>
      <c r="T252" s="81">
        <f ca="1">'CapexSum$FY22'!T252*T$27</f>
        <v>73243025.130070388</v>
      </c>
    </row>
    <row r="253" spans="5:20" outlineLevel="1">
      <c r="F253" s="247" t="str">
        <f>GC!C79</f>
        <v>Meters Domestic</v>
      </c>
      <c r="G253" s="247"/>
      <c r="H253" s="247"/>
      <c r="I253" s="247"/>
      <c r="J253" s="81">
        <f ca="1">'CapexSum$FY22'!J253*J$27</f>
        <v>0</v>
      </c>
      <c r="K253" s="81">
        <f ca="1">'CapexSum$FY22'!K253*K$27</f>
        <v>0</v>
      </c>
      <c r="L253" s="81">
        <f ca="1">'CapexSum$FY22'!L253*L$27</f>
        <v>0</v>
      </c>
      <c r="M253" s="81">
        <f ca="1">'CapexSum$FY22'!M253*M$27</f>
        <v>0</v>
      </c>
      <c r="N253" s="81">
        <f ca="1">'CapexSum$FY22'!N253*N$27</f>
        <v>14019173.000519749</v>
      </c>
      <c r="O253" s="81">
        <f ca="1">'CapexSum$FY22'!O253*O$27</f>
        <v>6782788.9658660544</v>
      </c>
      <c r="P253" s="81">
        <f ca="1">'CapexSum$FY22'!P253*P$27</f>
        <v>13330998.519419443</v>
      </c>
      <c r="Q253" s="81">
        <f ca="1">'CapexSum$FY22'!Q253*Q$27</f>
        <v>14986548.489186121</v>
      </c>
      <c r="R253" s="81">
        <f ca="1">'CapexSum$FY22'!R253*R$27</f>
        <v>15970728.912607182</v>
      </c>
      <c r="S253" s="81">
        <f ca="1">'CapexSum$FY22'!S253*S$27</f>
        <v>14550867.740598157</v>
      </c>
      <c r="T253" s="81">
        <f ca="1">'CapexSum$FY22'!T253*T$27</f>
        <v>14266964.716802198</v>
      </c>
    </row>
    <row r="254" spans="5:20" outlineLevel="1">
      <c r="F254" s="247" t="str">
        <f>GC!C80</f>
        <v>Meters Industrial &amp; Commercial</v>
      </c>
      <c r="G254" s="247"/>
      <c r="H254" s="247"/>
      <c r="I254" s="247"/>
      <c r="J254" s="81">
        <f ca="1">'CapexSum$FY22'!J254*J$27</f>
        <v>0</v>
      </c>
      <c r="K254" s="81">
        <f ca="1">'CapexSum$FY22'!K254*K$27</f>
        <v>0</v>
      </c>
      <c r="L254" s="81">
        <f ca="1">'CapexSum$FY22'!L254*L$27</f>
        <v>0</v>
      </c>
      <c r="M254" s="81">
        <f ca="1">'CapexSum$FY22'!M254*M$27</f>
        <v>0</v>
      </c>
      <c r="N254" s="81">
        <f ca="1">'CapexSum$FY22'!N254*N$27</f>
        <v>1741886.3074569409</v>
      </c>
      <c r="O254" s="81">
        <f ca="1">'CapexSum$FY22'!O254*O$27</f>
        <v>1831708.0682968535</v>
      </c>
      <c r="P254" s="81">
        <f ca="1">'CapexSum$FY22'!P254*P$27</f>
        <v>3258105.5530544063</v>
      </c>
      <c r="Q254" s="81">
        <f ca="1">'CapexSum$FY22'!Q254*Q$27</f>
        <v>3575902.5546724652</v>
      </c>
      <c r="R254" s="81">
        <f ca="1">'CapexSum$FY22'!R254*R$27</f>
        <v>3999408.8466184987</v>
      </c>
      <c r="S254" s="81">
        <f ca="1">'CapexSum$FY22'!S254*S$27</f>
        <v>3953593.2120931754</v>
      </c>
      <c r="T254" s="81">
        <f ca="1">'CapexSum$FY22'!T254*T$27</f>
        <v>3518403.4837250495</v>
      </c>
    </row>
    <row r="255" spans="5:20" outlineLevel="1">
      <c r="F255" s="247" t="str">
        <f>GC!C81</f>
        <v>Buildings</v>
      </c>
      <c r="G255" s="247"/>
      <c r="H255" s="247"/>
      <c r="I255" s="247"/>
      <c r="J255" s="81">
        <f ca="1">'CapexSum$FY22'!J255*J$27</f>
        <v>0</v>
      </c>
      <c r="K255" s="81">
        <f ca="1">'CapexSum$FY22'!K255*K$27</f>
        <v>0</v>
      </c>
      <c r="L255" s="81">
        <f ca="1">'CapexSum$FY22'!L255*L$27</f>
        <v>0</v>
      </c>
      <c r="M255" s="81">
        <f ca="1">'CapexSum$FY22'!M255*M$27</f>
        <v>0</v>
      </c>
      <c r="N255" s="81">
        <f ca="1">'CapexSum$FY22'!N255*N$27</f>
        <v>0</v>
      </c>
      <c r="O255" s="81">
        <f ca="1">'CapexSum$FY22'!O255*O$27</f>
        <v>0</v>
      </c>
      <c r="P255" s="81">
        <f ca="1">'CapexSum$FY22'!P255*P$27</f>
        <v>0</v>
      </c>
      <c r="Q255" s="81">
        <f ca="1">'CapexSum$FY22'!Q255*Q$27</f>
        <v>0</v>
      </c>
      <c r="R255" s="81">
        <f ca="1">'CapexSum$FY22'!R255*R$27</f>
        <v>0</v>
      </c>
      <c r="S255" s="81">
        <f ca="1">'CapexSum$FY22'!S255*S$27</f>
        <v>0</v>
      </c>
      <c r="T255" s="81">
        <f ca="1">'CapexSum$FY22'!T255*T$27</f>
        <v>0</v>
      </c>
    </row>
    <row r="256" spans="5:20" outlineLevel="1">
      <c r="F256" s="247" t="str">
        <f>GC!C82</f>
        <v>Other Assets</v>
      </c>
      <c r="G256" s="247"/>
      <c r="H256" s="247"/>
      <c r="I256" s="247"/>
      <c r="J256" s="81">
        <f ca="1">'CapexSum$FY22'!J256*J$27</f>
        <v>0</v>
      </c>
      <c r="K256" s="81">
        <f ca="1">'CapexSum$FY22'!K256*K$27</f>
        <v>0</v>
      </c>
      <c r="L256" s="81">
        <f ca="1">'CapexSum$FY22'!L256*L$27</f>
        <v>0</v>
      </c>
      <c r="M256" s="81">
        <f ca="1">'CapexSum$FY22'!M256*M$27</f>
        <v>0</v>
      </c>
      <c r="N256" s="81">
        <f ca="1">'CapexSum$FY22'!N256*N$27</f>
        <v>18700325.6358268</v>
      </c>
      <c r="O256" s="81">
        <f ca="1">'CapexSum$FY22'!O256*O$27</f>
        <v>7241037.8601791831</v>
      </c>
      <c r="P256" s="81">
        <f ca="1">'CapexSum$FY22'!P256*P$27</f>
        <v>27709829.835269995</v>
      </c>
      <c r="Q256" s="81">
        <f ca="1">'CapexSum$FY22'!Q256*Q$27</f>
        <v>32474002.898303125</v>
      </c>
      <c r="R256" s="81">
        <f ca="1">'CapexSum$FY22'!R256*R$27</f>
        <v>29803607.429735694</v>
      </c>
      <c r="S256" s="81">
        <f ca="1">'CapexSum$FY22'!S256*S$27</f>
        <v>19174589.011701085</v>
      </c>
      <c r="T256" s="81">
        <f ca="1">'CapexSum$FY22'!T256*T$27</f>
        <v>20753303.470229596</v>
      </c>
    </row>
    <row r="257" spans="3:20" outlineLevel="1">
      <c r="F257" s="247" t="str">
        <f>GC!C83</f>
        <v>Repairs</v>
      </c>
      <c r="G257" s="247"/>
      <c r="H257" s="247"/>
      <c r="I257" s="247"/>
      <c r="J257" s="81">
        <f ca="1">'CapexSum$FY22'!J257*J$27</f>
        <v>0</v>
      </c>
      <c r="K257" s="81">
        <f ca="1">'CapexSum$FY22'!K257*K$27</f>
        <v>0</v>
      </c>
      <c r="L257" s="81">
        <f ca="1">'CapexSum$FY22'!L257*L$27</f>
        <v>0</v>
      </c>
      <c r="M257" s="81">
        <f ca="1">'CapexSum$FY22'!M257*M$27</f>
        <v>0</v>
      </c>
      <c r="N257" s="81">
        <f ca="1">'CapexSum$FY22'!N257*N$27</f>
        <v>0</v>
      </c>
      <c r="O257" s="81">
        <f ca="1">'CapexSum$FY22'!O257*O$27</f>
        <v>0</v>
      </c>
      <c r="P257" s="81">
        <f ca="1">'CapexSum$FY22'!P257*P$27</f>
        <v>0</v>
      </c>
      <c r="Q257" s="81">
        <f ca="1">'CapexSum$FY22'!Q257*Q$27</f>
        <v>0</v>
      </c>
      <c r="R257" s="81">
        <f ca="1">'CapexSum$FY22'!R257*R$27</f>
        <v>0</v>
      </c>
      <c r="S257" s="81">
        <f ca="1">'CapexSum$FY22'!S257*S$27</f>
        <v>0</v>
      </c>
      <c r="T257" s="81">
        <f ca="1">'CapexSum$FY22'!T257*T$27</f>
        <v>0</v>
      </c>
    </row>
    <row r="258" spans="3:20" outlineLevel="1">
      <c r="F258" s="247" t="str">
        <f>GC!C84</f>
        <v>Land</v>
      </c>
      <c r="G258" s="247"/>
      <c r="H258" s="247"/>
      <c r="I258" s="247"/>
      <c r="J258" s="81">
        <f ca="1">'CapexSum$FY22'!J258*J$27</f>
        <v>0</v>
      </c>
      <c r="K258" s="81">
        <f ca="1">'CapexSum$FY22'!K258*K$27</f>
        <v>0</v>
      </c>
      <c r="L258" s="81">
        <f ca="1">'CapexSum$FY22'!L258*L$27</f>
        <v>0</v>
      </c>
      <c r="M258" s="81">
        <f ca="1">'CapexSum$FY22'!M258*M$27</f>
        <v>0</v>
      </c>
      <c r="N258" s="81">
        <f ca="1">'CapexSum$FY22'!N258*N$27</f>
        <v>0</v>
      </c>
      <c r="O258" s="81">
        <f ca="1">'CapexSum$FY22'!O258*O$27</f>
        <v>0</v>
      </c>
      <c r="P258" s="81">
        <f ca="1">'CapexSum$FY22'!P258*P$27</f>
        <v>0</v>
      </c>
      <c r="Q258" s="81">
        <f ca="1">'CapexSum$FY22'!Q258*Q$27</f>
        <v>0</v>
      </c>
      <c r="R258" s="81">
        <f ca="1">'CapexSum$FY22'!R258*R$27</f>
        <v>0</v>
      </c>
      <c r="S258" s="81">
        <f ca="1">'CapexSum$FY22'!S258*S$27</f>
        <v>0</v>
      </c>
      <c r="T258" s="81">
        <f ca="1">'CapexSum$FY22'!T258*T$27</f>
        <v>0</v>
      </c>
    </row>
    <row r="259" spans="3:20" outlineLevel="1">
      <c r="F259" s="249" t="str">
        <f>"Total "&amp;E250</f>
        <v>Total Direct Costs + Overheads</v>
      </c>
      <c r="G259" s="249"/>
      <c r="H259" s="249"/>
      <c r="I259" s="249"/>
      <c r="J259" s="82">
        <f t="shared" ref="J259:T259" ca="1" si="19">SUM(J252:J258)</f>
        <v>0</v>
      </c>
      <c r="K259" s="82">
        <f t="shared" ca="1" si="19"/>
        <v>0</v>
      </c>
      <c r="L259" s="82">
        <f t="shared" ca="1" si="19"/>
        <v>0</v>
      </c>
      <c r="M259" s="82">
        <f t="shared" ca="1" si="19"/>
        <v>0</v>
      </c>
      <c r="N259" s="82">
        <f t="shared" ca="1" si="19"/>
        <v>102369449.87117787</v>
      </c>
      <c r="O259" s="82">
        <f t="shared" ca="1" si="19"/>
        <v>63497740.436112434</v>
      </c>
      <c r="P259" s="82">
        <f t="shared" ca="1" si="19"/>
        <v>122819809.56568667</v>
      </c>
      <c r="Q259" s="82">
        <f t="shared" ca="1" si="19"/>
        <v>131161800.37214373</v>
      </c>
      <c r="R259" s="82">
        <f t="shared" ca="1" si="19"/>
        <v>131568036.932018</v>
      </c>
      <c r="S259" s="82">
        <f t="shared" ca="1" si="19"/>
        <v>120479103.20302474</v>
      </c>
      <c r="T259" s="82">
        <f t="shared" ca="1" si="19"/>
        <v>111781696.80082723</v>
      </c>
    </row>
    <row r="260" spans="3:20" outlineLevel="1">
      <c r="C260" s="12"/>
      <c r="D260" s="12"/>
      <c r="E260" s="12"/>
      <c r="F260" s="12"/>
      <c r="G260" s="12"/>
      <c r="H260" s="12"/>
      <c r="I260" s="12"/>
      <c r="J260" s="12"/>
      <c r="K260" s="12"/>
      <c r="L260" s="12"/>
      <c r="M260" s="12"/>
      <c r="N260" s="12"/>
      <c r="O260" s="12"/>
      <c r="P260" s="12"/>
      <c r="Q260" s="12"/>
      <c r="R260" s="12"/>
      <c r="S260" s="12"/>
      <c r="T260" s="12"/>
    </row>
    <row r="261" spans="3:20" outlineLevel="1"/>
    <row r="262" spans="3:20" outlineLevel="1">
      <c r="D262" s="37" t="s">
        <v>19</v>
      </c>
    </row>
    <row r="263" spans="3:20" ht="5.9" customHeight="1" outlineLevel="1"/>
    <row r="264" spans="3:20" outlineLevel="1">
      <c r="F264" s="51" t="s">
        <v>349</v>
      </c>
      <c r="J264" s="81">
        <f t="shared" ref="J264:T264" ca="1" si="20">J94-J117</f>
        <v>-93966456.618966386</v>
      </c>
      <c r="K264" s="81">
        <f t="shared" ca="1" si="20"/>
        <v>-108653288.17000002</v>
      </c>
      <c r="L264" s="81">
        <f t="shared" ca="1" si="20"/>
        <v>-95674016.025353774</v>
      </c>
      <c r="M264" s="81">
        <f t="shared" ca="1" si="20"/>
        <v>-105810104.334738</v>
      </c>
      <c r="N264" s="81">
        <f t="shared" ca="1" si="20"/>
        <v>0</v>
      </c>
      <c r="O264" s="81">
        <f t="shared" ca="1" si="20"/>
        <v>0</v>
      </c>
      <c r="P264" s="81">
        <f t="shared" ca="1" si="20"/>
        <v>0</v>
      </c>
      <c r="Q264" s="81">
        <f t="shared" ca="1" si="20"/>
        <v>0</v>
      </c>
      <c r="R264" s="81">
        <f t="shared" ca="1" si="20"/>
        <v>0</v>
      </c>
      <c r="S264" s="81">
        <f t="shared" ca="1" si="20"/>
        <v>0</v>
      </c>
      <c r="T264" s="81">
        <f t="shared" ca="1" si="20"/>
        <v>0</v>
      </c>
    </row>
    <row r="265" spans="3:20" outlineLevel="1">
      <c r="F265" s="51" t="s">
        <v>350</v>
      </c>
      <c r="J265" s="81">
        <f t="shared" ref="J265:T265" ca="1" si="21">J94-J198</f>
        <v>-93966456.618966401</v>
      </c>
      <c r="K265" s="81">
        <f t="shared" ca="1" si="21"/>
        <v>-107678099.87500001</v>
      </c>
      <c r="L265" s="81">
        <f t="shared" ca="1" si="21"/>
        <v>-97512258.645353764</v>
      </c>
      <c r="M265" s="81">
        <f t="shared" ca="1" si="21"/>
        <v>-105960024.86762886</v>
      </c>
      <c r="N265" s="81">
        <f t="shared" ca="1" si="21"/>
        <v>0</v>
      </c>
      <c r="O265" s="81">
        <f t="shared" ca="1" si="21"/>
        <v>0</v>
      </c>
      <c r="P265" s="81">
        <f t="shared" ca="1" si="21"/>
        <v>0</v>
      </c>
      <c r="Q265" s="81">
        <f t="shared" ca="1" si="21"/>
        <v>0</v>
      </c>
      <c r="R265" s="81">
        <f t="shared" ca="1" si="21"/>
        <v>0</v>
      </c>
      <c r="S265" s="81">
        <f t="shared" ca="1" si="21"/>
        <v>0</v>
      </c>
      <c r="T265" s="81">
        <f t="shared" ca="1" si="21"/>
        <v>0</v>
      </c>
    </row>
    <row r="266" spans="3:20" outlineLevel="1">
      <c r="F266" s="51" t="s">
        <v>351</v>
      </c>
      <c r="J266" s="81">
        <f t="shared" ref="J266:T266" ca="1" si="22">J94-J248</f>
        <v>0</v>
      </c>
      <c r="K266" s="81">
        <f t="shared" ca="1" si="22"/>
        <v>0</v>
      </c>
      <c r="L266" s="81">
        <f t="shared" ca="1" si="22"/>
        <v>0</v>
      </c>
      <c r="M266" s="81">
        <f t="shared" ca="1" si="22"/>
        <v>0</v>
      </c>
      <c r="N266" s="81">
        <f t="shared" ca="1" si="22"/>
        <v>0</v>
      </c>
      <c r="O266" s="81">
        <f t="shared" ca="1" si="22"/>
        <v>0</v>
      </c>
      <c r="P266" s="81">
        <f t="shared" ca="1" si="22"/>
        <v>0</v>
      </c>
      <c r="Q266" s="81">
        <f t="shared" ca="1" si="22"/>
        <v>0</v>
      </c>
      <c r="R266" s="81">
        <f t="shared" ca="1" si="22"/>
        <v>0</v>
      </c>
      <c r="S266" s="81">
        <f t="shared" ca="1" si="22"/>
        <v>0</v>
      </c>
      <c r="T266" s="81">
        <f t="shared" ca="1" si="22"/>
        <v>0</v>
      </c>
    </row>
    <row r="267" spans="3:20" ht="5.9" customHeight="1" outlineLevel="1"/>
    <row r="268" spans="3:20" outlineLevel="1">
      <c r="F268" s="51" t="s">
        <v>352</v>
      </c>
      <c r="J268" s="81">
        <f t="shared" ref="J268:T268" ca="1" si="23">J157-J216</f>
        <v>0</v>
      </c>
      <c r="K268" s="81">
        <f t="shared" ca="1" si="23"/>
        <v>0</v>
      </c>
      <c r="L268" s="81">
        <f t="shared" ca="1" si="23"/>
        <v>-1838242.619999975</v>
      </c>
      <c r="M268" s="81">
        <f t="shared" ca="1" si="23"/>
        <v>-149920.53289088607</v>
      </c>
      <c r="N268" s="81">
        <f t="shared" ca="1" si="23"/>
        <v>0</v>
      </c>
      <c r="O268" s="81">
        <f t="shared" ca="1" si="23"/>
        <v>0</v>
      </c>
      <c r="P268" s="81">
        <f t="shared" ca="1" si="23"/>
        <v>0</v>
      </c>
      <c r="Q268" s="81">
        <f t="shared" ca="1" si="23"/>
        <v>0</v>
      </c>
      <c r="R268" s="81">
        <f t="shared" ca="1" si="23"/>
        <v>0</v>
      </c>
      <c r="S268" s="81">
        <f t="shared" ca="1" si="23"/>
        <v>0</v>
      </c>
      <c r="T268" s="81">
        <f t="shared" ca="1" si="23"/>
        <v>0</v>
      </c>
    </row>
    <row r="269" spans="3:20" outlineLevel="1">
      <c r="F269" s="51" t="s">
        <v>353</v>
      </c>
      <c r="J269" s="81">
        <f t="shared" ref="J269:T269" ca="1" si="24">J157-J259</f>
        <v>99292076.469999999</v>
      </c>
      <c r="K269" s="81">
        <f t="shared" ca="1" si="24"/>
        <v>112094758.72999999</v>
      </c>
      <c r="L269" s="81">
        <f t="shared" ca="1" si="24"/>
        <v>99278923.495353773</v>
      </c>
      <c r="M269" s="81">
        <f t="shared" ca="1" si="24"/>
        <v>108820986.56473798</v>
      </c>
      <c r="N269" s="81">
        <f t="shared" ca="1" si="24"/>
        <v>0</v>
      </c>
      <c r="O269" s="81">
        <f t="shared" ca="1" si="24"/>
        <v>0</v>
      </c>
      <c r="P269" s="81">
        <f t="shared" ca="1" si="24"/>
        <v>0</v>
      </c>
      <c r="Q269" s="81">
        <f t="shared" ca="1" si="24"/>
        <v>0</v>
      </c>
      <c r="R269" s="81">
        <f t="shared" ca="1" si="24"/>
        <v>0</v>
      </c>
      <c r="S269" s="81">
        <f t="shared" ca="1" si="24"/>
        <v>0</v>
      </c>
      <c r="T269" s="81">
        <f t="shared" ca="1" si="24"/>
        <v>0</v>
      </c>
    </row>
    <row r="270" spans="3:20" outlineLevel="1"/>
    <row r="271" spans="3:20" outlineLevel="1"/>
    <row r="272" spans="3:20" outlineLevel="1"/>
    <row r="273" outlineLevel="1"/>
    <row r="274" outlineLevel="1"/>
    <row r="275" outlineLevel="1"/>
    <row r="276" outlineLevel="1"/>
    <row r="277" outlineLevel="1"/>
    <row r="278" outlineLevel="1"/>
    <row r="279" outlineLevel="1"/>
    <row r="280" outlineLevel="1"/>
    <row r="281" outlineLevel="1"/>
    <row r="282" outlineLevel="1"/>
    <row r="283" outlineLevel="1"/>
    <row r="284" outlineLevel="1"/>
    <row r="285" outlineLevel="1"/>
    <row r="286" outlineLevel="1"/>
    <row r="287" outlineLevel="1"/>
    <row r="288" outlineLevel="1"/>
    <row r="289" outlineLevel="1"/>
  </sheetData>
  <sheetProtection formatColumns="0" formatRows="0"/>
  <mergeCells count="131">
    <mergeCell ref="F226:I226"/>
    <mergeCell ref="F227:I227"/>
    <mergeCell ref="F228:I228"/>
    <mergeCell ref="F229:I229"/>
    <mergeCell ref="F230:I230"/>
    <mergeCell ref="F231:I231"/>
    <mergeCell ref="F232:I232"/>
    <mergeCell ref="F233:I233"/>
    <mergeCell ref="F62:I62"/>
    <mergeCell ref="F94:I94"/>
    <mergeCell ref="F117:I117"/>
    <mergeCell ref="F101:I101"/>
    <mergeCell ref="F102:I102"/>
    <mergeCell ref="F103:I103"/>
    <mergeCell ref="F104:I104"/>
    <mergeCell ref="F105:I105"/>
    <mergeCell ref="F106:I106"/>
    <mergeCell ref="F107:I107"/>
    <mergeCell ref="F108:I108"/>
    <mergeCell ref="F109:I109"/>
    <mergeCell ref="F110:I110"/>
    <mergeCell ref="F111:I111"/>
    <mergeCell ref="F112:I112"/>
    <mergeCell ref="F113:I113"/>
    <mergeCell ref="F114:I114"/>
    <mergeCell ref="F115:I115"/>
    <mergeCell ref="F116:I116"/>
    <mergeCell ref="F121:I121"/>
    <mergeCell ref="F127:I127"/>
    <mergeCell ref="F128:I128"/>
    <mergeCell ref="F129:I129"/>
    <mergeCell ref="F130:I130"/>
    <mergeCell ref="F125:I125"/>
    <mergeCell ref="F126:I126"/>
    <mergeCell ref="F122:I122"/>
    <mergeCell ref="F123:I123"/>
    <mergeCell ref="F124:I124"/>
    <mergeCell ref="F213:I213"/>
    <mergeCell ref="F206:I206"/>
    <mergeCell ref="F198:I198"/>
    <mergeCell ref="F174:I174"/>
    <mergeCell ref="F175:I175"/>
    <mergeCell ref="F176:I176"/>
    <mergeCell ref="F169:I169"/>
    <mergeCell ref="F170:I170"/>
    <mergeCell ref="F147:I147"/>
    <mergeCell ref="F148:I148"/>
    <mergeCell ref="F149:I149"/>
    <mergeCell ref="F150:I150"/>
    <mergeCell ref="F151:I151"/>
    <mergeCell ref="F187:I187"/>
    <mergeCell ref="F188:I188"/>
    <mergeCell ref="F157:I157"/>
    <mergeCell ref="F177:I177"/>
    <mergeCell ref="F161:I161"/>
    <mergeCell ref="F162:I162"/>
    <mergeCell ref="F163:I163"/>
    <mergeCell ref="F164:I164"/>
    <mergeCell ref="F165:I165"/>
    <mergeCell ref="F194:I194"/>
    <mergeCell ref="F196:I196"/>
    <mergeCell ref="F197:I197"/>
    <mergeCell ref="F202:I202"/>
    <mergeCell ref="F190:I190"/>
    <mergeCell ref="F191:I191"/>
    <mergeCell ref="F192:I192"/>
    <mergeCell ref="F189:I189"/>
    <mergeCell ref="F166:I166"/>
    <mergeCell ref="F167:I167"/>
    <mergeCell ref="F168:I168"/>
    <mergeCell ref="F171:I171"/>
    <mergeCell ref="F172:I172"/>
    <mergeCell ref="F173:I173"/>
    <mergeCell ref="F259:I259"/>
    <mergeCell ref="F252:I252"/>
    <mergeCell ref="F253:I253"/>
    <mergeCell ref="F254:I254"/>
    <mergeCell ref="F255:I255"/>
    <mergeCell ref="F256:I256"/>
    <mergeCell ref="F257:I257"/>
    <mergeCell ref="F258:I258"/>
    <mergeCell ref="F215:I215"/>
    <mergeCell ref="F248:I248"/>
    <mergeCell ref="F241:I241"/>
    <mergeCell ref="F242:I242"/>
    <mergeCell ref="F216:I216"/>
    <mergeCell ref="F246:I246"/>
    <mergeCell ref="F243:I243"/>
    <mergeCell ref="F244:I244"/>
    <mergeCell ref="F245:I245"/>
    <mergeCell ref="F234:I234"/>
    <mergeCell ref="F220:I220"/>
    <mergeCell ref="F221:I221"/>
    <mergeCell ref="F222:I222"/>
    <mergeCell ref="F223:I223"/>
    <mergeCell ref="F224:I224"/>
    <mergeCell ref="F225:I225"/>
    <mergeCell ref="F133:I133"/>
    <mergeCell ref="F134:I134"/>
    <mergeCell ref="F152:I152"/>
    <mergeCell ref="F247:I247"/>
    <mergeCell ref="F131:I131"/>
    <mergeCell ref="F132:I132"/>
    <mergeCell ref="F207:I207"/>
    <mergeCell ref="F208:I208"/>
    <mergeCell ref="F209:I209"/>
    <mergeCell ref="F210:I210"/>
    <mergeCell ref="F212:I212"/>
    <mergeCell ref="F214:I214"/>
    <mergeCell ref="F211:I211"/>
    <mergeCell ref="F203:I203"/>
    <mergeCell ref="F184:I184"/>
    <mergeCell ref="F185:I185"/>
    <mergeCell ref="F186:I186"/>
    <mergeCell ref="F204:I204"/>
    <mergeCell ref="F205:I205"/>
    <mergeCell ref="F195:I195"/>
    <mergeCell ref="F193:I193"/>
    <mergeCell ref="F156:I156"/>
    <mergeCell ref="F144:I144"/>
    <mergeCell ref="F137:I137"/>
    <mergeCell ref="F155:I155"/>
    <mergeCell ref="F145:I145"/>
    <mergeCell ref="F141:I141"/>
    <mergeCell ref="F142:I142"/>
    <mergeCell ref="F143:I143"/>
    <mergeCell ref="F146:I146"/>
    <mergeCell ref="F135:I135"/>
    <mergeCell ref="F136:I136"/>
    <mergeCell ref="F153:I153"/>
    <mergeCell ref="F154:I154"/>
  </mergeCells>
  <hyperlinks>
    <hyperlink ref="A1" location="HL_Home" tooltip="Go to Table of Contents" display="HL_Home" xr:uid="{79812702-E663-4F29-804C-D5D25958810E}"/>
    <hyperlink ref="A2" location="HL_Err_Chk" tooltip="Go to Error Checks" display="HL_Err_Chk" xr:uid="{4C2E0B0D-8764-457C-9C85-8B34AC12DF55}"/>
  </hyperlinks>
  <pageMargins left="0.39370078740157499" right="0.39370078740157499" top="0.59055118110236204" bottom="0.98425196850393704" header="0" footer="0.31496062992126"/>
  <pageSetup paperSize="9" orientation="landscape" r:id="rId1"/>
  <headerFooter>
    <oddFooter>&amp;L&amp;F
&amp;A
Printed: &amp;T on &amp;D&amp;CPage &amp;P of &amp;N</oddFooter>
  </headerFooter>
  <customProperties>
    <customPr name="EpmWorksheetKeyString_GUID" r:id="rId2"/>
  </customPropertie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91BCCA-CE26-4D28-B160-35686583DB8F}">
  <sheetPr>
    <pageSetUpPr autoPageBreaks="0"/>
  </sheetPr>
  <dimension ref="A1:T331"/>
  <sheetViews>
    <sheetView showGridLines="0" zoomScaleNormal="100" workbookViewId="0">
      <pane xSplit="9" ySplit="21" topLeftCell="J22" activePane="bottomRight" state="frozen"/>
      <selection activeCell="I248" sqref="I248"/>
      <selection pane="topRight" activeCell="I248" sqref="I248"/>
      <selection pane="bottomLeft" activeCell="I248" sqref="I248"/>
      <selection pane="bottomRight"/>
    </sheetView>
  </sheetViews>
  <sheetFormatPr defaultColWidth="11.59765625" defaultRowHeight="11.5" outlineLevelRow="3"/>
  <cols>
    <col min="1" max="5" width="3.59765625" customWidth="1"/>
    <col min="6" max="7" width="15.59765625" customWidth="1"/>
    <col min="10" max="13" width="12.59765625" bestFit="1" customWidth="1"/>
    <col min="14" max="14" width="13.09765625" bestFit="1" customWidth="1"/>
    <col min="15" max="15" width="13" bestFit="1" customWidth="1"/>
    <col min="16" max="20" width="13.8984375" bestFit="1" customWidth="1"/>
  </cols>
  <sheetData>
    <row r="1" spans="1:20" ht="14">
      <c r="A1" s="10" t="s">
        <v>11</v>
      </c>
      <c r="B1" s="6" t="s">
        <v>362</v>
      </c>
    </row>
    <row r="2" spans="1:20" ht="13">
      <c r="A2" s="23" t="s">
        <v>26</v>
      </c>
      <c r="B2" s="7" t="str">
        <f ca="1">Model_Name</f>
        <v>GAAR Capex Forecast</v>
      </c>
    </row>
    <row r="3" spans="1:20">
      <c r="B3" s="30"/>
      <c r="C3" s="30"/>
      <c r="D3" s="30"/>
      <c r="E3" s="30"/>
      <c r="F3" s="30"/>
      <c r="G3" s="30"/>
      <c r="H3" s="30"/>
      <c r="I3" s="30"/>
      <c r="J3" s="30"/>
      <c r="K3" s="30"/>
      <c r="L3" s="30"/>
      <c r="M3" s="30"/>
      <c r="N3" s="30"/>
      <c r="O3" s="30"/>
      <c r="P3" s="30"/>
      <c r="Q3" s="30"/>
      <c r="R3" s="30"/>
      <c r="S3" s="30"/>
      <c r="T3" s="30"/>
    </row>
    <row r="4" spans="1:20">
      <c r="B4" s="116" t="s">
        <v>74</v>
      </c>
      <c r="C4" s="118"/>
      <c r="D4" s="118"/>
      <c r="E4" s="118"/>
      <c r="F4" s="118"/>
      <c r="G4" s="118"/>
      <c r="H4" s="118"/>
      <c r="I4" s="118"/>
      <c r="J4" s="119">
        <f t="shared" ref="J4:T4" si="0">J8</f>
        <v>43465</v>
      </c>
      <c r="K4" s="119">
        <f t="shared" si="0"/>
        <v>43830</v>
      </c>
      <c r="L4" s="119">
        <f t="shared" si="0"/>
        <v>44196</v>
      </c>
      <c r="M4" s="119">
        <f t="shared" si="0"/>
        <v>44561</v>
      </c>
      <c r="N4" s="119">
        <f t="shared" si="0"/>
        <v>44926</v>
      </c>
      <c r="O4" s="121">
        <f t="shared" si="0"/>
        <v>45107</v>
      </c>
      <c r="P4" s="121">
        <f t="shared" si="0"/>
        <v>45473</v>
      </c>
      <c r="Q4" s="121">
        <f t="shared" si="0"/>
        <v>45838</v>
      </c>
      <c r="R4" s="121">
        <f t="shared" si="0"/>
        <v>46203</v>
      </c>
      <c r="S4" s="121">
        <f t="shared" si="0"/>
        <v>46568</v>
      </c>
      <c r="T4" s="121">
        <f t="shared" si="0"/>
        <v>46934</v>
      </c>
    </row>
    <row r="5" spans="1:20">
      <c r="B5" s="117" t="s">
        <v>100</v>
      </c>
      <c r="C5" s="117"/>
      <c r="D5" s="117"/>
      <c r="E5" s="117"/>
      <c r="F5" s="117"/>
      <c r="G5" s="117"/>
      <c r="H5" s="117"/>
      <c r="I5" s="117"/>
      <c r="J5" s="120">
        <f t="shared" ref="J5:T5" si="1">YEAR(J8)</f>
        <v>2018</v>
      </c>
      <c r="K5" s="120">
        <f t="shared" si="1"/>
        <v>2019</v>
      </c>
      <c r="L5" s="120">
        <f t="shared" si="1"/>
        <v>2020</v>
      </c>
      <c r="M5" s="120">
        <f t="shared" si="1"/>
        <v>2021</v>
      </c>
      <c r="N5" s="120">
        <f t="shared" si="1"/>
        <v>2022</v>
      </c>
      <c r="O5" s="120">
        <f t="shared" si="1"/>
        <v>2023</v>
      </c>
      <c r="P5" s="120">
        <f t="shared" si="1"/>
        <v>2024</v>
      </c>
      <c r="Q5" s="120">
        <f t="shared" si="1"/>
        <v>2025</v>
      </c>
      <c r="R5" s="120">
        <f t="shared" si="1"/>
        <v>2026</v>
      </c>
      <c r="S5" s="120">
        <f t="shared" si="1"/>
        <v>2027</v>
      </c>
      <c r="T5" s="120">
        <f t="shared" si="1"/>
        <v>2028</v>
      </c>
    </row>
    <row r="6" spans="1:20">
      <c r="B6" s="113" t="s">
        <v>91</v>
      </c>
      <c r="C6" s="113"/>
      <c r="D6" s="113"/>
      <c r="E6" s="113"/>
      <c r="F6" s="113"/>
      <c r="G6" s="113"/>
      <c r="H6" s="113"/>
      <c r="I6" s="113"/>
      <c r="J6" s="115" t="str">
        <f t="shared" ref="J6:T6" si="2">IF(J$17,"Actual","Forecast")</f>
        <v>Actual</v>
      </c>
      <c r="K6" s="115" t="str">
        <f t="shared" si="2"/>
        <v>Actual</v>
      </c>
      <c r="L6" s="115" t="str">
        <f t="shared" si="2"/>
        <v>Actual</v>
      </c>
      <c r="M6" s="115" t="str">
        <f t="shared" si="2"/>
        <v>Actual</v>
      </c>
      <c r="N6" s="115" t="str">
        <f t="shared" si="2"/>
        <v>Forecast</v>
      </c>
      <c r="O6" s="114" t="str">
        <f t="shared" si="2"/>
        <v>Forecast</v>
      </c>
      <c r="P6" s="114" t="str">
        <f t="shared" si="2"/>
        <v>Forecast</v>
      </c>
      <c r="Q6" s="114" t="str">
        <f t="shared" si="2"/>
        <v>Forecast</v>
      </c>
      <c r="R6" s="114" t="str">
        <f t="shared" si="2"/>
        <v>Forecast</v>
      </c>
      <c r="S6" s="114" t="str">
        <f t="shared" si="2"/>
        <v>Forecast</v>
      </c>
      <c r="T6" s="114" t="str">
        <f t="shared" si="2"/>
        <v>Forecast</v>
      </c>
    </row>
    <row r="7" spans="1:20" hidden="1" outlineLevel="3">
      <c r="B7" s="30" t="s">
        <v>101</v>
      </c>
      <c r="C7" s="30"/>
      <c r="D7" s="30"/>
      <c r="E7" s="30"/>
      <c r="F7" s="30"/>
      <c r="G7" s="30"/>
      <c r="H7" s="30"/>
      <c r="I7" s="30"/>
      <c r="J7" s="36">
        <f>EDATE(Ts_Start_Date,(J10-1)*Ts_Mths_In_Yr)</f>
        <v>43101</v>
      </c>
      <c r="K7" s="36">
        <f>EDATE(Ts_Start_Date,(K10-1)*Ts_Mths_In_Yr)</f>
        <v>43466</v>
      </c>
      <c r="L7" s="36">
        <f>EDATE(Ts_Start_Date,(L10-1)*Ts_Mths_In_Yr)</f>
        <v>43831</v>
      </c>
      <c r="M7" s="36">
        <f>EDATE(Ts_Start_Date,(M10-1)*Ts_Mths_In_Yr)</f>
        <v>44197</v>
      </c>
      <c r="N7" s="36">
        <f>EDATE(Ts_Start_Date,(N10-1)*Ts_Mths_In_Yr)</f>
        <v>44562</v>
      </c>
      <c r="O7" s="36">
        <f>Ts_Stub_Start_Date</f>
        <v>44927</v>
      </c>
      <c r="P7" s="36">
        <f>EDATE(Ts_Forecast_Reg_Start_Date,(P16-1)*Ts_Mths_In_Yr)</f>
        <v>45108</v>
      </c>
      <c r="Q7" s="36">
        <f>EDATE(Ts_Forecast_Reg_Start_Date,(Q16-1)*Ts_Mths_In_Yr)</f>
        <v>45474</v>
      </c>
      <c r="R7" s="36">
        <f>EDATE(Ts_Forecast_Reg_Start_Date,(R16-1)*Ts_Mths_In_Yr)</f>
        <v>45839</v>
      </c>
      <c r="S7" s="36">
        <f>EDATE(Ts_Forecast_Reg_Start_Date,(S16-1)*Ts_Mths_In_Yr)</f>
        <v>46204</v>
      </c>
      <c r="T7" s="36">
        <f>EDATE(Ts_Forecast_Reg_Start_Date,(T16-1)*Ts_Mths_In_Yr)</f>
        <v>46569</v>
      </c>
    </row>
    <row r="8" spans="1:20" hidden="1" outlineLevel="3">
      <c r="B8" s="30" t="s">
        <v>102</v>
      </c>
      <c r="C8" s="30"/>
      <c r="D8" s="30"/>
      <c r="E8" s="30"/>
      <c r="F8" s="30"/>
      <c r="G8" s="30"/>
      <c r="H8" s="30"/>
      <c r="I8" s="30"/>
      <c r="J8" s="36">
        <f>EOMONTH(J7,Ts_Mths_In_Yr-1)</f>
        <v>43465</v>
      </c>
      <c r="K8" s="36">
        <f>EOMONTH(K7,Ts_Mths_In_Yr-1)</f>
        <v>43830</v>
      </c>
      <c r="L8" s="36">
        <f>EOMONTH(L7,Ts_Mths_In_Yr-1)</f>
        <v>44196</v>
      </c>
      <c r="M8" s="36">
        <f>EOMONTH(M7,Ts_Mths_In_Yr-1)</f>
        <v>44561</v>
      </c>
      <c r="N8" s="36">
        <f>EOMONTH(N7,Ts_Mths_In_Yr-1)</f>
        <v>44926</v>
      </c>
      <c r="O8" s="36">
        <f>EOMONTH(O7,Ts_Stub_Length-1)</f>
        <v>45107</v>
      </c>
      <c r="P8" s="36">
        <f>EOMONTH(P7,Ts_Mths_In_Yr-1)</f>
        <v>45473</v>
      </c>
      <c r="Q8" s="36">
        <f>EOMONTH(Q7,Ts_Mths_In_Yr-1)</f>
        <v>45838</v>
      </c>
      <c r="R8" s="36">
        <f>EOMONTH(R7,Ts_Mths_In_Yr-1)</f>
        <v>46203</v>
      </c>
      <c r="S8" s="36">
        <f>EOMONTH(S7,Ts_Mths_In_Yr-1)</f>
        <v>46568</v>
      </c>
      <c r="T8" s="36">
        <f>EOMONTH(T7,Ts_Mths_In_Yr-1)</f>
        <v>46934</v>
      </c>
    </row>
    <row r="9" spans="1:20" hidden="1" outlineLevel="3">
      <c r="B9" s="30" t="s">
        <v>87</v>
      </c>
      <c r="C9" s="30"/>
      <c r="D9" s="30"/>
      <c r="E9" s="30"/>
      <c r="F9" s="30"/>
      <c r="G9" s="30"/>
      <c r="H9" s="30"/>
      <c r="I9" s="30"/>
      <c r="J9" s="14">
        <f t="shared" ref="J9:T9" si="3">DATEDIF(J7,J8,"m")+1</f>
        <v>12</v>
      </c>
      <c r="K9" s="14">
        <f t="shared" si="3"/>
        <v>12</v>
      </c>
      <c r="L9" s="14">
        <f t="shared" si="3"/>
        <v>12</v>
      </c>
      <c r="M9" s="14">
        <f t="shared" si="3"/>
        <v>12</v>
      </c>
      <c r="N9" s="14">
        <f t="shared" si="3"/>
        <v>12</v>
      </c>
      <c r="O9" s="14">
        <f t="shared" si="3"/>
        <v>6</v>
      </c>
      <c r="P9" s="38">
        <f t="shared" si="3"/>
        <v>12</v>
      </c>
      <c r="Q9" s="38">
        <f t="shared" si="3"/>
        <v>12</v>
      </c>
      <c r="R9" s="38">
        <f t="shared" si="3"/>
        <v>12</v>
      </c>
      <c r="S9" s="38">
        <f t="shared" si="3"/>
        <v>12</v>
      </c>
      <c r="T9" s="38">
        <f t="shared" si="3"/>
        <v>12</v>
      </c>
    </row>
    <row r="10" spans="1:20" hidden="1" outlineLevel="3">
      <c r="B10" s="30" t="s">
        <v>72</v>
      </c>
      <c r="C10" s="30"/>
      <c r="D10" s="30"/>
      <c r="E10" s="30"/>
      <c r="F10" s="30"/>
      <c r="G10" s="30"/>
      <c r="H10" s="30"/>
      <c r="I10" s="30"/>
      <c r="J10" s="40">
        <f>COLUMNS($J$10:J10)</f>
        <v>1</v>
      </c>
      <c r="K10" s="40">
        <f>COLUMNS($J$10:K10)</f>
        <v>2</v>
      </c>
      <c r="L10" s="40">
        <f>COLUMNS($J$10:L10)</f>
        <v>3</v>
      </c>
      <c r="M10" s="40">
        <f>COLUMNS($J$10:M10)</f>
        <v>4</v>
      </c>
      <c r="N10" s="40">
        <f>COLUMNS($J$10:N10)</f>
        <v>5</v>
      </c>
      <c r="O10" s="40">
        <f>COLUMNS($J$10:O10)</f>
        <v>6</v>
      </c>
      <c r="P10" s="40">
        <f>COLUMNS($J$10:P10)</f>
        <v>7</v>
      </c>
      <c r="Q10" s="40">
        <f>COLUMNS($J$10:Q10)</f>
        <v>8</v>
      </c>
      <c r="R10" s="40">
        <f>COLUMNS($J$10:R10)</f>
        <v>9</v>
      </c>
      <c r="S10" s="40">
        <f>COLUMNS($J$10:S10)</f>
        <v>10</v>
      </c>
      <c r="T10" s="40">
        <f>COLUMNS($J$10:T10)</f>
        <v>11</v>
      </c>
    </row>
    <row r="11" spans="1:20" hidden="1" outlineLevel="3">
      <c r="B11" s="30" t="s">
        <v>76</v>
      </c>
      <c r="C11" s="30"/>
      <c r="D11" s="30"/>
      <c r="E11" s="30"/>
      <c r="F11" s="30"/>
      <c r="G11" s="30"/>
      <c r="H11" s="30"/>
      <c r="I11" s="30"/>
      <c r="J11" s="40">
        <f>(J12&lt;&gt;0)*1</f>
        <v>1</v>
      </c>
      <c r="K11" s="40">
        <f>(K12&lt;&gt;0)*1</f>
        <v>1</v>
      </c>
      <c r="L11" s="40">
        <f>(L12&lt;&gt;0)*1</f>
        <v>1</v>
      </c>
      <c r="M11" s="40">
        <f>(M12&lt;&gt;0)*1</f>
        <v>1</v>
      </c>
      <c r="N11" s="40">
        <f>(N12&lt;&gt;0)*1</f>
        <v>1</v>
      </c>
      <c r="O11" s="45">
        <v>0</v>
      </c>
      <c r="P11" s="45">
        <v>0</v>
      </c>
      <c r="Q11" s="45">
        <v>0</v>
      </c>
      <c r="R11" s="45">
        <v>0</v>
      </c>
      <c r="S11" s="45">
        <v>0</v>
      </c>
      <c r="T11" s="45">
        <v>0</v>
      </c>
    </row>
    <row r="12" spans="1:20" hidden="1" outlineLevel="3">
      <c r="B12" s="30" t="s">
        <v>96</v>
      </c>
      <c r="C12" s="30"/>
      <c r="D12" s="30"/>
      <c r="E12" s="30"/>
      <c r="F12" s="30"/>
      <c r="G12" s="30"/>
      <c r="H12" s="30"/>
      <c r="I12" s="30"/>
      <c r="J12" s="40">
        <f>COLUMNS($J$10:J10)</f>
        <v>1</v>
      </c>
      <c r="K12" s="40">
        <f>COLUMNS($J$10:K10)</f>
        <v>2</v>
      </c>
      <c r="L12" s="40">
        <f>COLUMNS($J$10:L10)</f>
        <v>3</v>
      </c>
      <c r="M12" s="40">
        <f>COLUMNS($J$10:M10)</f>
        <v>4</v>
      </c>
      <c r="N12" s="40">
        <f>COLUMNS($J$10:N10)</f>
        <v>5</v>
      </c>
      <c r="O12" s="45">
        <v>0</v>
      </c>
      <c r="P12" s="45">
        <v>0</v>
      </c>
      <c r="Q12" s="45">
        <v>0</v>
      </c>
      <c r="R12" s="45">
        <v>0</v>
      </c>
      <c r="S12" s="45">
        <v>0</v>
      </c>
      <c r="T12" s="45">
        <v>0</v>
      </c>
    </row>
    <row r="13" spans="1:20" hidden="1" outlineLevel="3">
      <c r="B13" s="30" t="s">
        <v>79</v>
      </c>
      <c r="C13" s="30"/>
      <c r="D13" s="30"/>
      <c r="E13" s="30"/>
      <c r="F13" s="30"/>
      <c r="G13" s="30"/>
      <c r="H13" s="30"/>
      <c r="I13" s="30"/>
      <c r="J13" s="45">
        <v>0</v>
      </c>
      <c r="K13" s="45">
        <v>0</v>
      </c>
      <c r="L13" s="45">
        <v>0</v>
      </c>
      <c r="M13" s="45">
        <v>0</v>
      </c>
      <c r="N13" s="45">
        <v>0</v>
      </c>
      <c r="O13" s="40">
        <f>(O14&lt;&gt;0)*1</f>
        <v>1</v>
      </c>
      <c r="P13" s="45">
        <v>0</v>
      </c>
      <c r="Q13" s="45">
        <v>0</v>
      </c>
      <c r="R13" s="45">
        <v>0</v>
      </c>
      <c r="S13" s="45">
        <v>0</v>
      </c>
      <c r="T13" s="45">
        <v>0</v>
      </c>
    </row>
    <row r="14" spans="1:20" hidden="1" outlineLevel="3">
      <c r="B14" s="30" t="s">
        <v>97</v>
      </c>
      <c r="C14" s="30"/>
      <c r="D14" s="30"/>
      <c r="E14" s="30"/>
      <c r="F14" s="30"/>
      <c r="G14" s="30"/>
      <c r="H14" s="30"/>
      <c r="I14" s="30"/>
      <c r="J14" s="45">
        <v>0</v>
      </c>
      <c r="K14" s="45">
        <v>0</v>
      </c>
      <c r="L14" s="45">
        <v>0</v>
      </c>
      <c r="M14" s="45">
        <v>0</v>
      </c>
      <c r="N14" s="45">
        <v>0</v>
      </c>
      <c r="O14" s="40">
        <f>COLUMNS($O$14:O14)</f>
        <v>1</v>
      </c>
      <c r="P14" s="45">
        <v>0</v>
      </c>
      <c r="Q14" s="45">
        <v>0</v>
      </c>
      <c r="R14" s="45">
        <v>0</v>
      </c>
      <c r="S14" s="45">
        <v>0</v>
      </c>
      <c r="T14" s="45">
        <v>0</v>
      </c>
    </row>
    <row r="15" spans="1:20" hidden="1" outlineLevel="3">
      <c r="B15" s="30" t="s">
        <v>82</v>
      </c>
      <c r="C15" s="30"/>
      <c r="D15" s="30"/>
      <c r="E15" s="30"/>
      <c r="F15" s="30"/>
      <c r="G15" s="30"/>
      <c r="H15" s="30"/>
      <c r="I15" s="30"/>
      <c r="J15" s="45">
        <v>0</v>
      </c>
      <c r="K15" s="45">
        <v>0</v>
      </c>
      <c r="L15" s="45">
        <v>0</v>
      </c>
      <c r="M15" s="45">
        <v>0</v>
      </c>
      <c r="N15" s="45">
        <v>0</v>
      </c>
      <c r="O15" s="45">
        <v>0</v>
      </c>
      <c r="P15" s="39">
        <f>(P16&lt;&gt;0)*1</f>
        <v>1</v>
      </c>
      <c r="Q15" s="39">
        <f>(Q16&lt;&gt;0)*1</f>
        <v>1</v>
      </c>
      <c r="R15" s="39">
        <f>(R16&lt;&gt;0)*1</f>
        <v>1</v>
      </c>
      <c r="S15" s="39">
        <f>(S16&lt;&gt;0)*1</f>
        <v>1</v>
      </c>
      <c r="T15" s="39">
        <f>(T16&lt;&gt;0)*1</f>
        <v>1</v>
      </c>
    </row>
    <row r="16" spans="1:20" hidden="1" outlineLevel="3">
      <c r="B16" s="30" t="s">
        <v>98</v>
      </c>
      <c r="C16" s="30"/>
      <c r="D16" s="30"/>
      <c r="E16" s="30"/>
      <c r="F16" s="30"/>
      <c r="G16" s="30"/>
      <c r="H16" s="30"/>
      <c r="I16" s="30"/>
      <c r="J16" s="45">
        <v>0</v>
      </c>
      <c r="K16" s="45">
        <v>0</v>
      </c>
      <c r="L16" s="45">
        <v>0</v>
      </c>
      <c r="M16" s="45">
        <v>0</v>
      </c>
      <c r="N16" s="45">
        <v>0</v>
      </c>
      <c r="O16" s="45">
        <v>0</v>
      </c>
      <c r="P16" s="39">
        <f>COLUMNS($P$16:P16)</f>
        <v>1</v>
      </c>
      <c r="Q16" s="39">
        <f>COLUMNS($P$16:Q16)</f>
        <v>2</v>
      </c>
      <c r="R16" s="39">
        <f>COLUMNS($P$16:R16)</f>
        <v>3</v>
      </c>
      <c r="S16" s="39">
        <f>COLUMNS($P$16:S16)</f>
        <v>4</v>
      </c>
      <c r="T16" s="39">
        <f>COLUMNS($P$16:T16)</f>
        <v>5</v>
      </c>
    </row>
    <row r="17" spans="2:20" hidden="1" outlineLevel="3">
      <c r="B17" s="30" t="s">
        <v>206</v>
      </c>
      <c r="C17" s="30"/>
      <c r="D17" s="30"/>
      <c r="E17" s="30"/>
      <c r="F17" s="30"/>
      <c r="G17" s="30"/>
      <c r="H17" s="30"/>
      <c r="I17" s="30"/>
      <c r="J17" s="39">
        <f t="shared" ref="J17:T17" si="4">IF(J$5&lt;=Ts_Last_Actual_Year,1,0)</f>
        <v>1</v>
      </c>
      <c r="K17" s="39">
        <f t="shared" si="4"/>
        <v>1</v>
      </c>
      <c r="L17" s="39">
        <f t="shared" si="4"/>
        <v>1</v>
      </c>
      <c r="M17" s="39">
        <f t="shared" si="4"/>
        <v>1</v>
      </c>
      <c r="N17" s="39">
        <f t="shared" si="4"/>
        <v>0</v>
      </c>
      <c r="O17" s="39">
        <f t="shared" si="4"/>
        <v>0</v>
      </c>
      <c r="P17" s="39">
        <f t="shared" si="4"/>
        <v>0</v>
      </c>
      <c r="Q17" s="39">
        <f t="shared" si="4"/>
        <v>0</v>
      </c>
      <c r="R17" s="39">
        <f t="shared" si="4"/>
        <v>0</v>
      </c>
      <c r="S17" s="39">
        <f t="shared" si="4"/>
        <v>0</v>
      </c>
      <c r="T17" s="39">
        <f t="shared" si="4"/>
        <v>0</v>
      </c>
    </row>
    <row r="18" spans="2:20" hidden="1" outlineLevel="3">
      <c r="B18" s="30" t="s">
        <v>207</v>
      </c>
      <c r="C18" s="30"/>
      <c r="D18" s="30"/>
      <c r="E18" s="30"/>
      <c r="F18" s="30"/>
      <c r="G18" s="30"/>
      <c r="H18" s="30"/>
      <c r="I18" s="30"/>
      <c r="J18" s="39">
        <f t="shared" ref="J18:T18" si="5">IF(J$5&gt;Ts_Last_Actual_Year,1,0)</f>
        <v>0</v>
      </c>
      <c r="K18" s="39">
        <f t="shared" si="5"/>
        <v>0</v>
      </c>
      <c r="L18" s="39">
        <f t="shared" si="5"/>
        <v>0</v>
      </c>
      <c r="M18" s="39">
        <f t="shared" si="5"/>
        <v>0</v>
      </c>
      <c r="N18" s="39">
        <f t="shared" si="5"/>
        <v>1</v>
      </c>
      <c r="O18" s="40">
        <f t="shared" si="5"/>
        <v>1</v>
      </c>
      <c r="P18" s="40">
        <f t="shared" si="5"/>
        <v>1</v>
      </c>
      <c r="Q18" s="40">
        <f t="shared" si="5"/>
        <v>1</v>
      </c>
      <c r="R18" s="40">
        <f t="shared" si="5"/>
        <v>1</v>
      </c>
      <c r="S18" s="40">
        <f t="shared" si="5"/>
        <v>1</v>
      </c>
      <c r="T18" s="40">
        <f t="shared" si="5"/>
        <v>1</v>
      </c>
    </row>
    <row r="19" spans="2:20" hidden="1" outlineLevel="3">
      <c r="B19" s="30" t="s">
        <v>208</v>
      </c>
      <c r="C19" s="30"/>
      <c r="D19" s="30"/>
      <c r="E19" s="30"/>
      <c r="F19" s="30"/>
      <c r="G19" s="30"/>
      <c r="H19" s="30"/>
      <c r="I19" s="30"/>
      <c r="J19" s="39">
        <f>SUM($J18:J18)</f>
        <v>0</v>
      </c>
      <c r="K19" s="39">
        <f>SUM($J18:K18)</f>
        <v>0</v>
      </c>
      <c r="L19" s="39">
        <f>SUM($J18:L18)</f>
        <v>0</v>
      </c>
      <c r="M19" s="39">
        <f>SUM($J18:M18)</f>
        <v>0</v>
      </c>
      <c r="N19" s="39">
        <f>SUM($J18:N18)</f>
        <v>1</v>
      </c>
      <c r="O19" s="40">
        <f>SUM($J18:O18)</f>
        <v>2</v>
      </c>
      <c r="P19" s="40">
        <f>SUM($J18:P18)</f>
        <v>3</v>
      </c>
      <c r="Q19" s="40">
        <f>SUM($J18:Q18)</f>
        <v>4</v>
      </c>
      <c r="R19" s="40">
        <f>SUM($J18:R18)</f>
        <v>5</v>
      </c>
      <c r="S19" s="40">
        <f>SUM($J18:S18)</f>
        <v>6</v>
      </c>
      <c r="T19" s="40">
        <f>SUM($J18:T18)</f>
        <v>7</v>
      </c>
    </row>
    <row r="20" spans="2:20" hidden="1" outlineLevel="3">
      <c r="B20" s="30" t="s">
        <v>481</v>
      </c>
      <c r="C20" s="30"/>
      <c r="D20" s="30"/>
      <c r="E20" s="30"/>
      <c r="F20" s="30"/>
      <c r="G20" s="30"/>
      <c r="H20" s="30"/>
      <c r="I20" s="30"/>
      <c r="J20" s="38">
        <f t="shared" ref="J20:N20" si="6">J9/12</f>
        <v>1</v>
      </c>
      <c r="K20" s="38">
        <f t="shared" si="6"/>
        <v>1</v>
      </c>
      <c r="L20" s="38">
        <f t="shared" si="6"/>
        <v>1</v>
      </c>
      <c r="M20" s="38">
        <f t="shared" si="6"/>
        <v>1</v>
      </c>
      <c r="N20" s="38">
        <f t="shared" si="6"/>
        <v>1</v>
      </c>
      <c r="O20" s="38">
        <f>O9/12</f>
        <v>0.5</v>
      </c>
      <c r="P20" s="38">
        <f t="shared" ref="P20:T20" si="7">P9/12</f>
        <v>1</v>
      </c>
      <c r="Q20" s="38">
        <f t="shared" si="7"/>
        <v>1</v>
      </c>
      <c r="R20" s="38">
        <f t="shared" si="7"/>
        <v>1</v>
      </c>
      <c r="S20" s="38">
        <f t="shared" si="7"/>
        <v>1</v>
      </c>
      <c r="T20" s="38">
        <f t="shared" si="7"/>
        <v>1</v>
      </c>
    </row>
    <row r="21" spans="2:20" hidden="1" outlineLevel="3">
      <c r="B21" s="30"/>
      <c r="C21" s="30"/>
      <c r="D21" s="30"/>
      <c r="E21" s="30"/>
      <c r="F21" s="30"/>
      <c r="G21" s="30"/>
      <c r="H21" s="30"/>
      <c r="I21" s="30"/>
      <c r="J21" s="30"/>
      <c r="K21" s="30"/>
      <c r="L21" s="30"/>
      <c r="M21" s="30"/>
      <c r="N21" s="30"/>
      <c r="O21" s="30"/>
      <c r="P21" s="30"/>
      <c r="Q21" s="30"/>
      <c r="R21" s="30"/>
      <c r="S21" s="30"/>
      <c r="T21" s="30"/>
    </row>
    <row r="22" spans="2:20" collapsed="1"/>
    <row r="23" spans="2:20">
      <c r="B23" s="2" t="s">
        <v>293</v>
      </c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</row>
    <row r="24" spans="2:20" outlineLevel="1"/>
    <row r="25" spans="2:20" outlineLevel="1">
      <c r="D25" s="37" t="str">
        <f>'CapexSum$FY22'!D25</f>
        <v>Escalation Factor</v>
      </c>
    </row>
    <row r="26" spans="2:20" outlineLevel="1"/>
    <row r="27" spans="2:20" outlineLevel="1">
      <c r="F27" s="51" t="str">
        <f>Rates!F30</f>
        <v>$FY2022 to $FY2023</v>
      </c>
      <c r="J27" s="100">
        <f>Rates!J30</f>
        <v>0</v>
      </c>
      <c r="K27" s="100">
        <f>Rates!K30</f>
        <v>0</v>
      </c>
      <c r="L27" s="100">
        <f>Rates!L30</f>
        <v>0</v>
      </c>
      <c r="M27" s="100">
        <f>Rates!M30</f>
        <v>0</v>
      </c>
      <c r="N27" s="100">
        <f>Rates!N30</f>
        <v>1.0549999999999999</v>
      </c>
      <c r="O27" s="100">
        <f>Rates!O30</f>
        <v>1.0549999999999999</v>
      </c>
      <c r="P27" s="100">
        <f>Rates!P30</f>
        <v>1.0549999999999999</v>
      </c>
      <c r="Q27" s="100">
        <f>Rates!Q30</f>
        <v>1.0549999999999999</v>
      </c>
      <c r="R27" s="100">
        <f>Rates!R30</f>
        <v>1.0549999999999999</v>
      </c>
      <c r="S27" s="100">
        <f>Rates!S30</f>
        <v>1.0549999999999999</v>
      </c>
      <c r="T27" s="100">
        <f>Rates!T30</f>
        <v>1.0549999999999999</v>
      </c>
    </row>
    <row r="28" spans="2:20" outlineLevel="1">
      <c r="F28" s="51" t="s">
        <v>387</v>
      </c>
      <c r="J28" s="100">
        <f>Rates!J29</f>
        <v>1.1321951219512194</v>
      </c>
      <c r="K28" s="100">
        <f>Rates!K29</f>
        <v>1.109150442477876</v>
      </c>
      <c r="L28" s="100">
        <f>Rates!L29</f>
        <v>1.0917595818815329</v>
      </c>
      <c r="M28" s="100">
        <f>Rates!M29</f>
        <v>1.0955769230769228</v>
      </c>
      <c r="N28" s="100">
        <f>Rates!N29</f>
        <v>1.0549999999999999</v>
      </c>
      <c r="O28" s="100">
        <f>Rates!O29</f>
        <v>1</v>
      </c>
      <c r="P28" s="100">
        <f>Rates!P29</f>
        <v>0.95923261390887304</v>
      </c>
      <c r="Q28" s="100">
        <f>Rates!Q29</f>
        <v>0.93129379991152716</v>
      </c>
      <c r="R28" s="100">
        <f>Rates!R29</f>
        <v>0.9085793169868559</v>
      </c>
      <c r="S28" s="100">
        <f>Rates!S29</f>
        <v>0.88641884584083508</v>
      </c>
      <c r="T28" s="100">
        <f>Rates!T29</f>
        <v>0.86479887399105859</v>
      </c>
    </row>
    <row r="29" spans="2:20" outlineLevel="1"/>
    <row r="30" spans="2:20" outlineLevel="1">
      <c r="D30" s="37" t="str">
        <f>'CapexSum$FY22'!D30</f>
        <v>Capex by Workcode</v>
      </c>
    </row>
    <row r="31" spans="2:20" ht="5.9" customHeight="1" outlineLevel="1"/>
    <row r="32" spans="2:20" outlineLevel="1">
      <c r="E32" s="37" t="str">
        <f>'CapexSum$FY22'!E32</f>
        <v>Direct Capex (Unescalated)</v>
      </c>
    </row>
    <row r="33" spans="6:20" ht="5.9" customHeight="1" outlineLevel="1"/>
    <row r="34" spans="6:20" outlineLevel="1">
      <c r="F34" s="129">
        <f>GC!C8</f>
        <v>3001</v>
      </c>
      <c r="G34" s="102" t="str">
        <f>GC!F8</f>
        <v>Low Pressure Replacement - Planned</v>
      </c>
      <c r="J34" s="81">
        <f>'CapexSum$FY22'!J34*J$27</f>
        <v>0</v>
      </c>
      <c r="K34" s="81">
        <f>'CapexSum$FY22'!K34*K$27</f>
        <v>0</v>
      </c>
      <c r="L34" s="81">
        <f>'CapexSum$FY22'!L34*L$27</f>
        <v>0</v>
      </c>
      <c r="M34" s="81">
        <f>'CapexSum$FY22'!M34*M$27</f>
        <v>0</v>
      </c>
      <c r="N34" s="81">
        <f>'CapexSum$FY22'!N34*N$27</f>
        <v>18294578.885320287</v>
      </c>
      <c r="O34" s="81">
        <f>'CapexSum$FY22'!O34*O$27</f>
        <v>18249991.487149999</v>
      </c>
      <c r="P34" s="81">
        <f>'CapexSum$FY22'!P34*P$27</f>
        <v>23052153.71263</v>
      </c>
      <c r="Q34" s="81">
        <f>'CapexSum$FY22'!Q34*Q$27</f>
        <v>19349285.524999999</v>
      </c>
      <c r="R34" s="81">
        <f>'CapexSum$FY22'!R34*R$27</f>
        <v>13738399.899999999</v>
      </c>
      <c r="S34" s="81">
        <f>'CapexSum$FY22'!S34*S$27</f>
        <v>14481826.75</v>
      </c>
      <c r="T34" s="81">
        <f>'CapexSum$FY22'!T34*T$27</f>
        <v>8556788.5</v>
      </c>
    </row>
    <row r="35" spans="6:20" outlineLevel="1">
      <c r="F35" s="129">
        <f>GC!C9</f>
        <v>3002</v>
      </c>
      <c r="G35" s="102" t="str">
        <f>GC!F9</f>
        <v>Low Pressure Replacement - Ad Hoc</v>
      </c>
      <c r="J35" s="81">
        <f>'CapexSum$FY22'!J35*J$27</f>
        <v>0</v>
      </c>
      <c r="K35" s="81">
        <f>'CapexSum$FY22'!K35*K$27</f>
        <v>0</v>
      </c>
      <c r="L35" s="81">
        <f>'CapexSum$FY22'!L35*L$27</f>
        <v>0</v>
      </c>
      <c r="M35" s="81">
        <f>'CapexSum$FY22'!M35*M$27</f>
        <v>0</v>
      </c>
      <c r="N35" s="81">
        <f>'CapexSum$FY22'!N35*N$27</f>
        <v>518739.31243356894</v>
      </c>
      <c r="O35" s="81">
        <f>'CapexSum$FY22'!O35*O$27</f>
        <v>272527.59999999998</v>
      </c>
      <c r="P35" s="81">
        <f>'CapexSum$FY22'!P35*P$27</f>
        <v>545055.19999999995</v>
      </c>
      <c r="Q35" s="81">
        <f>'CapexSum$FY22'!Q35*Q$27</f>
        <v>436042.05</v>
      </c>
      <c r="R35" s="81">
        <f>'CapexSum$FY22'!R35*R$27</f>
        <v>327028.89999999997</v>
      </c>
      <c r="S35" s="81">
        <f>'CapexSum$FY22'!S35*S$27</f>
        <v>218026.3</v>
      </c>
      <c r="T35" s="81">
        <f>'CapexSum$FY22'!T35*T$27</f>
        <v>109013.15</v>
      </c>
    </row>
    <row r="36" spans="6:20" outlineLevel="1">
      <c r="F36" s="129">
        <f>GC!C10</f>
        <v>3003</v>
      </c>
      <c r="G36" s="102" t="str">
        <f>GC!F10</f>
        <v>Medium Pressure Replacement - Planned</v>
      </c>
      <c r="J36" s="81">
        <f>'CapexSum$FY22'!J36*J$27</f>
        <v>0</v>
      </c>
      <c r="K36" s="81">
        <f>'CapexSum$FY22'!K36*K$27</f>
        <v>0</v>
      </c>
      <c r="L36" s="81">
        <f>'CapexSum$FY22'!L36*L$27</f>
        <v>0</v>
      </c>
      <c r="M36" s="81">
        <f>'CapexSum$FY22'!M36*M$27</f>
        <v>0</v>
      </c>
      <c r="N36" s="81">
        <f>'CapexSum$FY22'!N36*N$27</f>
        <v>418736.29148088582</v>
      </c>
      <c r="O36" s="81">
        <f>'CapexSum$FY22'!O36*O$27</f>
        <v>2110000</v>
      </c>
      <c r="P36" s="81">
        <f>'CapexSum$FY22'!P36*P$27</f>
        <v>1983399.9999999998</v>
      </c>
      <c r="Q36" s="81">
        <f>'CapexSum$FY22'!Q36*Q$27</f>
        <v>3323250</v>
      </c>
      <c r="R36" s="81">
        <f>'CapexSum$FY22'!R36*R$27</f>
        <v>6567375</v>
      </c>
      <c r="S36" s="81">
        <f>'CapexSum$FY22'!S36*S$27</f>
        <v>9397940</v>
      </c>
      <c r="T36" s="81">
        <f>'CapexSum$FY22'!T36*T$27</f>
        <v>6986210</v>
      </c>
    </row>
    <row r="37" spans="6:20" outlineLevel="1">
      <c r="F37" s="129">
        <f>GC!C11</f>
        <v>3004</v>
      </c>
      <c r="G37" s="102" t="str">
        <f>GC!F11</f>
        <v>Medium Pressure Replacement - Ad Hoc</v>
      </c>
      <c r="J37" s="81">
        <f>'CapexSum$FY22'!J37*J$27</f>
        <v>0</v>
      </c>
      <c r="K37" s="81">
        <f>'CapexSum$FY22'!K37*K$27</f>
        <v>0</v>
      </c>
      <c r="L37" s="81">
        <f>'CapexSum$FY22'!L37*L$27</f>
        <v>0</v>
      </c>
      <c r="M37" s="81">
        <f>'CapexSum$FY22'!M37*M$27</f>
        <v>0</v>
      </c>
      <c r="N37" s="81">
        <f>'CapexSum$FY22'!N37*N$27</f>
        <v>297278.29548006091</v>
      </c>
      <c r="O37" s="81">
        <f>'CapexSum$FY22'!O37*O$27</f>
        <v>146801.87146666661</v>
      </c>
      <c r="P37" s="81">
        <f>'CapexSum$FY22'!P37*P$27</f>
        <v>378217.5</v>
      </c>
      <c r="Q37" s="81">
        <f>'CapexSum$FY22'!Q37*Q$27</f>
        <v>378217.5</v>
      </c>
      <c r="R37" s="81">
        <f>'CapexSum$FY22'!R37*R$27</f>
        <v>378217.5</v>
      </c>
      <c r="S37" s="81">
        <f>'CapexSum$FY22'!S37*S$27</f>
        <v>378217.5</v>
      </c>
      <c r="T37" s="81">
        <f>'CapexSum$FY22'!T37*T$27</f>
        <v>378217.5</v>
      </c>
    </row>
    <row r="38" spans="6:20" outlineLevel="1">
      <c r="F38" s="129">
        <f>GC!C12</f>
        <v>3005</v>
      </c>
      <c r="G38" s="102" t="str">
        <f>GC!F12</f>
        <v>High Pressure Replacement - Planned</v>
      </c>
      <c r="J38" s="81">
        <f>'CapexSum$FY22'!J38*J$27</f>
        <v>0</v>
      </c>
      <c r="K38" s="81">
        <f>'CapexSum$FY22'!K38*K$27</f>
        <v>0</v>
      </c>
      <c r="L38" s="81">
        <f>'CapexSum$FY22'!L38*L$27</f>
        <v>0</v>
      </c>
      <c r="M38" s="81">
        <f>'CapexSum$FY22'!M38*M$27</f>
        <v>0</v>
      </c>
      <c r="N38" s="81">
        <f>'CapexSum$FY22'!N38*N$27</f>
        <v>0</v>
      </c>
      <c r="O38" s="81">
        <f>'CapexSum$FY22'!O38*O$27</f>
        <v>0</v>
      </c>
      <c r="P38" s="81">
        <f>'CapexSum$FY22'!P38*P$27</f>
        <v>2141650</v>
      </c>
      <c r="Q38" s="81">
        <f>'CapexSum$FY22'!Q38*Q$27</f>
        <v>2141650</v>
      </c>
      <c r="R38" s="81">
        <f>'CapexSum$FY22'!R38*R$27</f>
        <v>2141650</v>
      </c>
      <c r="S38" s="81">
        <f>'CapexSum$FY22'!S38*S$27</f>
        <v>2141650</v>
      </c>
      <c r="T38" s="81">
        <f>'CapexSum$FY22'!T38*T$27</f>
        <v>2141650</v>
      </c>
    </row>
    <row r="39" spans="6:20" outlineLevel="1">
      <c r="F39" s="129">
        <f>GC!C13</f>
        <v>3006</v>
      </c>
      <c r="G39" s="102" t="str">
        <f>GC!F13</f>
        <v>High Pressure Replacement - Ad Hoc</v>
      </c>
      <c r="J39" s="81">
        <f>'CapexSum$FY22'!J39*J$27</f>
        <v>0</v>
      </c>
      <c r="K39" s="81">
        <f>'CapexSum$FY22'!K39*K$27</f>
        <v>0</v>
      </c>
      <c r="L39" s="81">
        <f>'CapexSum$FY22'!L39*L$27</f>
        <v>0</v>
      </c>
      <c r="M39" s="81">
        <f>'CapexSum$FY22'!M39*M$27</f>
        <v>0</v>
      </c>
      <c r="N39" s="81">
        <f>'CapexSum$FY22'!N39*N$27</f>
        <v>2335947.2681333353</v>
      </c>
      <c r="O39" s="81">
        <f>'CapexSum$FY22'!O39*O$27</f>
        <v>1067443.7249999999</v>
      </c>
      <c r="P39" s="81">
        <f>'CapexSum$FY22'!P39*P$27</f>
        <v>2134887.4499999997</v>
      </c>
      <c r="Q39" s="81">
        <f>'CapexSum$FY22'!Q39*Q$27</f>
        <v>1921397.65</v>
      </c>
      <c r="R39" s="81">
        <f>'CapexSum$FY22'!R39*R$27</f>
        <v>1729261.0499999998</v>
      </c>
      <c r="S39" s="81">
        <f>'CapexSum$FY22'!S39*S$27</f>
        <v>1556336</v>
      </c>
      <c r="T39" s="81">
        <f>'CapexSum$FY22'!T39*T$27</f>
        <v>1400702.4</v>
      </c>
    </row>
    <row r="40" spans="6:20" outlineLevel="1">
      <c r="F40" s="129">
        <f>GC!C14</f>
        <v>3007</v>
      </c>
      <c r="G40" s="102" t="str">
        <f>GC!F14</f>
        <v>Domestic Meters - Planned</v>
      </c>
      <c r="J40" s="81">
        <f>'CapexSum$FY22'!J40*J$27</f>
        <v>0</v>
      </c>
      <c r="K40" s="81">
        <f>'CapexSum$FY22'!K40*K$27</f>
        <v>0</v>
      </c>
      <c r="L40" s="81">
        <f>'CapexSum$FY22'!L40*L$27</f>
        <v>0</v>
      </c>
      <c r="M40" s="81">
        <f>'CapexSum$FY22'!M40*M$27</f>
        <v>0</v>
      </c>
      <c r="N40" s="81">
        <f>'CapexSum$FY22'!N40*N$27</f>
        <v>3380589.5355817969</v>
      </c>
      <c r="O40" s="81">
        <f>'CapexSum$FY22'!O40*O$27</f>
        <v>1992196.2321439998</v>
      </c>
      <c r="P40" s="81">
        <f>'CapexSum$FY22'!P40*P$27</f>
        <v>3984392.4642879996</v>
      </c>
      <c r="Q40" s="81">
        <f>'CapexSum$FY22'!Q40*Q$27</f>
        <v>4887698.7875299994</v>
      </c>
      <c r="R40" s="81">
        <f>'CapexSum$FY22'!R40*R$27</f>
        <v>5176329.3781310003</v>
      </c>
      <c r="S40" s="81">
        <f>'CapexSum$FY22'!S40*S$27</f>
        <v>3783733.3687740001</v>
      </c>
      <c r="T40" s="81">
        <f>'CapexSum$FY22'!T40*T$27</f>
        <v>3425655.3866460002</v>
      </c>
    </row>
    <row r="41" spans="6:20" outlineLevel="1">
      <c r="F41" s="129">
        <f>GC!C15</f>
        <v>3008</v>
      </c>
      <c r="G41" s="102" t="str">
        <f>GC!F15</f>
        <v>Domestic Meters - Ad Hoc</v>
      </c>
      <c r="J41" s="81">
        <f>'CapexSum$FY22'!J41*J$27</f>
        <v>0</v>
      </c>
      <c r="K41" s="81">
        <f>'CapexSum$FY22'!K41*K$27</f>
        <v>0</v>
      </c>
      <c r="L41" s="81">
        <f>'CapexSum$FY22'!L41*L$27</f>
        <v>0</v>
      </c>
      <c r="M41" s="81">
        <f>'CapexSum$FY22'!M41*M$27</f>
        <v>0</v>
      </c>
      <c r="N41" s="81">
        <f>'CapexSum$FY22'!N41*N$27</f>
        <v>807905.32286884647</v>
      </c>
      <c r="O41" s="81">
        <f>'CapexSum$FY22'!O41*O$27</f>
        <v>399802.8</v>
      </c>
      <c r="P41" s="81">
        <f>'CapexSum$FY22'!P41*P$27</f>
        <v>799605.6</v>
      </c>
      <c r="Q41" s="81">
        <f>'CapexSum$FY22'!Q41*Q$27</f>
        <v>799605.6</v>
      </c>
      <c r="R41" s="81">
        <f>'CapexSum$FY22'!R41*R$27</f>
        <v>799605.6</v>
      </c>
      <c r="S41" s="81">
        <f>'CapexSum$FY22'!S41*S$27</f>
        <v>799605.6</v>
      </c>
      <c r="T41" s="81">
        <f>'CapexSum$FY22'!T41*T$27</f>
        <v>799605.6</v>
      </c>
    </row>
    <row r="42" spans="6:20" outlineLevel="1">
      <c r="F42" s="129">
        <f>GC!C16</f>
        <v>3009</v>
      </c>
      <c r="G42" s="102" t="str">
        <f>GC!F16</f>
        <v>Industrial &amp; Commercial Meters - Planned</v>
      </c>
      <c r="J42" s="81">
        <f>'CapexSum$FY22'!J42*J$27</f>
        <v>0</v>
      </c>
      <c r="K42" s="81">
        <f>'CapexSum$FY22'!K42*K$27</f>
        <v>0</v>
      </c>
      <c r="L42" s="81">
        <f>'CapexSum$FY22'!L42*L$27</f>
        <v>0</v>
      </c>
      <c r="M42" s="81">
        <f>'CapexSum$FY22'!M42*M$27</f>
        <v>0</v>
      </c>
      <c r="N42" s="81">
        <f>'CapexSum$FY22'!N42*N$27</f>
        <v>889575.0622200683</v>
      </c>
      <c r="O42" s="81">
        <f>'CapexSum$FY22'!O42*O$27</f>
        <v>498379.88999999996</v>
      </c>
      <c r="P42" s="81">
        <f>'CapexSum$FY22'!P42*P$27</f>
        <v>1106782.5649999999</v>
      </c>
      <c r="Q42" s="81">
        <f>'CapexSum$FY22'!Q42*Q$27</f>
        <v>1293992.3149999999</v>
      </c>
      <c r="R42" s="81">
        <f>'CapexSum$FY22'!R42*R$27</f>
        <v>1277345.47</v>
      </c>
      <c r="S42" s="81">
        <f>'CapexSum$FY22'!S42*S$27</f>
        <v>1476909.27</v>
      </c>
      <c r="T42" s="81">
        <f>'CapexSum$FY22'!T42*T$27</f>
        <v>1056916.9349999998</v>
      </c>
    </row>
    <row r="43" spans="6:20" outlineLevel="1">
      <c r="F43" s="129">
        <f>GC!C17</f>
        <v>3010</v>
      </c>
      <c r="G43" s="102" t="str">
        <f>GC!F17</f>
        <v>Industrial &amp; Commercial Meters - Ad Hoc</v>
      </c>
      <c r="J43" s="81">
        <f>'CapexSum$FY22'!J43*J$27</f>
        <v>0</v>
      </c>
      <c r="K43" s="81">
        <f>'CapexSum$FY22'!K43*K$27</f>
        <v>0</v>
      </c>
      <c r="L43" s="81">
        <f>'CapexSum$FY22'!L43*L$27</f>
        <v>0</v>
      </c>
      <c r="M43" s="81">
        <f>'CapexSum$FY22'!M43*M$27</f>
        <v>0</v>
      </c>
      <c r="N43" s="81">
        <f>'CapexSum$FY22'!N43*N$27</f>
        <v>0</v>
      </c>
      <c r="O43" s="81">
        <f>'CapexSum$FY22'!O43*O$27</f>
        <v>154193.52499999999</v>
      </c>
      <c r="P43" s="81">
        <f>'CapexSum$FY22'!P43*P$27</f>
        <v>330542.05</v>
      </c>
      <c r="Q43" s="81">
        <f>'CapexSum$FY22'!Q43*Q$27</f>
        <v>315893.375</v>
      </c>
      <c r="R43" s="81">
        <f>'CapexSum$FY22'!R43*R$27</f>
        <v>596644.69999999995</v>
      </c>
      <c r="S43" s="81">
        <f>'CapexSum$FY22'!S43*S$27</f>
        <v>286596.02499999997</v>
      </c>
      <c r="T43" s="81">
        <f>'CapexSum$FY22'!T43*T$27</f>
        <v>275655.67499999999</v>
      </c>
    </row>
    <row r="44" spans="6:20" outlineLevel="1">
      <c r="F44" s="129">
        <f>GC!C18</f>
        <v>3011</v>
      </c>
      <c r="G44" s="102" t="str">
        <f>GC!F18</f>
        <v>Network Regulators - Planned</v>
      </c>
      <c r="J44" s="81">
        <f>'CapexSum$FY22'!J44*J$27</f>
        <v>0</v>
      </c>
      <c r="K44" s="81">
        <f>'CapexSum$FY22'!K44*K$27</f>
        <v>0</v>
      </c>
      <c r="L44" s="81">
        <f>'CapexSum$FY22'!L44*L$27</f>
        <v>0</v>
      </c>
      <c r="M44" s="81">
        <f>'CapexSum$FY22'!M44*M$27</f>
        <v>0</v>
      </c>
      <c r="N44" s="81">
        <f>'CapexSum$FY22'!N44*N$27</f>
        <v>530802.1423286245</v>
      </c>
      <c r="O44" s="81">
        <f>'CapexSum$FY22'!O44*O$27</f>
        <v>569700</v>
      </c>
      <c r="P44" s="81">
        <f>'CapexSum$FY22'!P44*P$27</f>
        <v>2289350</v>
      </c>
      <c r="Q44" s="81">
        <f>'CapexSum$FY22'!Q44*Q$27</f>
        <v>1856800</v>
      </c>
      <c r="R44" s="81">
        <f>'CapexSum$FY22'!R44*R$27</f>
        <v>1593050</v>
      </c>
      <c r="S44" s="81">
        <f>'CapexSum$FY22'!S44*S$27</f>
        <v>1709100</v>
      </c>
      <c r="T44" s="81">
        <f>'CapexSum$FY22'!T44*T$27</f>
        <v>2004499.9999999998</v>
      </c>
    </row>
    <row r="45" spans="6:20" outlineLevel="1">
      <c r="F45" s="129">
        <f>GC!C19</f>
        <v>3012</v>
      </c>
      <c r="G45" s="102" t="str">
        <f>GC!F19</f>
        <v>Network Regulators - Ad Hoc</v>
      </c>
      <c r="J45" s="81">
        <f>'CapexSum$FY22'!J45*J$27</f>
        <v>0</v>
      </c>
      <c r="K45" s="81">
        <f>'CapexSum$FY22'!K45*K$27</f>
        <v>0</v>
      </c>
      <c r="L45" s="81">
        <f>'CapexSum$FY22'!L45*L$27</f>
        <v>0</v>
      </c>
      <c r="M45" s="81">
        <f>'CapexSum$FY22'!M45*M$27</f>
        <v>0</v>
      </c>
      <c r="N45" s="81">
        <f>'CapexSum$FY22'!N45*N$27</f>
        <v>106160.42846572488</v>
      </c>
      <c r="O45" s="81">
        <f>'CapexSum$FY22'!O45*O$27</f>
        <v>52750</v>
      </c>
      <c r="P45" s="81">
        <f>'CapexSum$FY22'!P45*P$27</f>
        <v>105500</v>
      </c>
      <c r="Q45" s="81">
        <f>'CapexSum$FY22'!Q45*Q$27</f>
        <v>105500</v>
      </c>
      <c r="R45" s="81">
        <f>'CapexSum$FY22'!R45*R$27</f>
        <v>105500</v>
      </c>
      <c r="S45" s="81">
        <f>'CapexSum$FY22'!S45*S$27</f>
        <v>105500</v>
      </c>
      <c r="T45" s="81">
        <f>'CapexSum$FY22'!T45*T$27</f>
        <v>105500</v>
      </c>
    </row>
    <row r="46" spans="6:20" outlineLevel="1">
      <c r="F46" s="129">
        <f>GC!C20</f>
        <v>3013</v>
      </c>
      <c r="G46" s="102" t="str">
        <f>GC!F20</f>
        <v>Customer Regulators - Planned</v>
      </c>
      <c r="J46" s="81">
        <f>'CapexSum$FY22'!J46*J$27</f>
        <v>0</v>
      </c>
      <c r="K46" s="81">
        <f>'CapexSum$FY22'!K46*K$27</f>
        <v>0</v>
      </c>
      <c r="L46" s="81">
        <f>'CapexSum$FY22'!L46*L$27</f>
        <v>0</v>
      </c>
      <c r="M46" s="81">
        <f>'CapexSum$FY22'!M46*M$27</f>
        <v>0</v>
      </c>
      <c r="N46" s="81">
        <f>'CapexSum$FY22'!N46*N$27</f>
        <v>0</v>
      </c>
      <c r="O46" s="81">
        <f>'CapexSum$FY22'!O46*O$27</f>
        <v>584470</v>
      </c>
      <c r="P46" s="81">
        <f>'CapexSum$FY22'!P46*P$27</f>
        <v>1213223.625</v>
      </c>
      <c r="Q46" s="81">
        <f>'CapexSum$FY22'!Q46*Q$27</f>
        <v>1060855.25</v>
      </c>
      <c r="R46" s="81">
        <f>'CapexSum$FY22'!R46*R$27</f>
        <v>753533.75</v>
      </c>
      <c r="S46" s="81">
        <f>'CapexSum$FY22'!S46*S$27</f>
        <v>692660.25</v>
      </c>
      <c r="T46" s="81">
        <f>'CapexSum$FY22'!T46*T$27</f>
        <v>735097.625</v>
      </c>
    </row>
    <row r="47" spans="6:20" outlineLevel="1">
      <c r="F47" s="129">
        <f>GC!C21</f>
        <v>3014</v>
      </c>
      <c r="G47" s="102" t="str">
        <f>GC!F21</f>
        <v>Customer Regulators - Ad Hoc</v>
      </c>
      <c r="J47" s="81">
        <f>'CapexSum$FY22'!J47*J$27</f>
        <v>0</v>
      </c>
      <c r="K47" s="81">
        <f>'CapexSum$FY22'!K47*K$27</f>
        <v>0</v>
      </c>
      <c r="L47" s="81">
        <f>'CapexSum$FY22'!L47*L$27</f>
        <v>0</v>
      </c>
      <c r="M47" s="81">
        <f>'CapexSum$FY22'!M47*M$27</f>
        <v>0</v>
      </c>
      <c r="N47" s="81">
        <f>'CapexSum$FY22'!N47*N$27</f>
        <v>0</v>
      </c>
      <c r="O47" s="81">
        <f>'CapexSum$FY22'!O47*O$27</f>
        <v>923758</v>
      </c>
      <c r="P47" s="81">
        <f>'CapexSum$FY22'!P47*P$27</f>
        <v>1847516</v>
      </c>
      <c r="Q47" s="81">
        <f>'CapexSum$FY22'!Q47*Q$27</f>
        <v>1847516</v>
      </c>
      <c r="R47" s="81">
        <f>'CapexSum$FY22'!R47*R$27</f>
        <v>1847516</v>
      </c>
      <c r="S47" s="81">
        <f>'CapexSum$FY22'!S47*S$27</f>
        <v>1847516</v>
      </c>
      <c r="T47" s="81">
        <f>'CapexSum$FY22'!T47*T$27</f>
        <v>1847516</v>
      </c>
    </row>
    <row r="48" spans="6:20" outlineLevel="1">
      <c r="F48" s="129">
        <f>GC!C22</f>
        <v>3015</v>
      </c>
      <c r="G48" s="102" t="str">
        <f>GC!F22</f>
        <v>Cathodic Protection</v>
      </c>
      <c r="J48" s="81">
        <f>'CapexSum$FY22'!J48*J$27</f>
        <v>0</v>
      </c>
      <c r="K48" s="81">
        <f>'CapexSum$FY22'!K48*K$27</f>
        <v>0</v>
      </c>
      <c r="L48" s="81">
        <f>'CapexSum$FY22'!L48*L$27</f>
        <v>0</v>
      </c>
      <c r="M48" s="81">
        <f>'CapexSum$FY22'!M48*M$27</f>
        <v>0</v>
      </c>
      <c r="N48" s="81">
        <f>'CapexSum$FY22'!N48*N$27</f>
        <v>213640.90048920675</v>
      </c>
      <c r="O48" s="81">
        <f>'CapexSum$FY22'!O48*O$27</f>
        <v>202560</v>
      </c>
      <c r="P48" s="81">
        <f>'CapexSum$FY22'!P48*P$27</f>
        <v>405120</v>
      </c>
      <c r="Q48" s="81">
        <f>'CapexSum$FY22'!Q48*Q$27</f>
        <v>426220</v>
      </c>
      <c r="R48" s="81">
        <f>'CapexSum$FY22'!R48*R$27</f>
        <v>412505</v>
      </c>
      <c r="S48" s="81">
        <f>'CapexSum$FY22'!S48*S$27</f>
        <v>412505</v>
      </c>
      <c r="T48" s="81">
        <f>'CapexSum$FY22'!T48*T$27</f>
        <v>412505</v>
      </c>
    </row>
    <row r="49" spans="5:20" outlineLevel="1">
      <c r="F49" s="129">
        <f>GC!C23</f>
        <v>3016</v>
      </c>
      <c r="G49" s="102" t="str">
        <f>GC!F23</f>
        <v>SCADA</v>
      </c>
      <c r="J49" s="81">
        <f>'CapexSum$FY22'!J49*J$27</f>
        <v>0</v>
      </c>
      <c r="K49" s="81">
        <f>'CapexSum$FY22'!K49*K$27</f>
        <v>0</v>
      </c>
      <c r="L49" s="81">
        <f>'CapexSum$FY22'!L49*L$27</f>
        <v>0</v>
      </c>
      <c r="M49" s="81">
        <f>'CapexSum$FY22'!M49*M$27</f>
        <v>0</v>
      </c>
      <c r="N49" s="81">
        <f>'CapexSum$FY22'!N49*N$27</f>
        <v>1331131.3907223956</v>
      </c>
      <c r="O49" s="81">
        <f>'CapexSum$FY22'!O49*O$27</f>
        <v>147700</v>
      </c>
      <c r="P49" s="81">
        <f>'CapexSum$FY22'!P49*P$27</f>
        <v>1218525</v>
      </c>
      <c r="Q49" s="81">
        <f>'CapexSum$FY22'!Q49*Q$27</f>
        <v>1165775</v>
      </c>
      <c r="R49" s="81">
        <f>'CapexSum$FY22'!R49*R$27</f>
        <v>269025</v>
      </c>
      <c r="S49" s="81">
        <f>'CapexSum$FY22'!S49*S$27</f>
        <v>245287.5</v>
      </c>
      <c r="T49" s="81">
        <f>'CapexSum$FY22'!T49*T$27</f>
        <v>269025</v>
      </c>
    </row>
    <row r="50" spans="5:20" outlineLevel="1">
      <c r="F50" s="129">
        <f>GC!C24</f>
        <v>3017</v>
      </c>
      <c r="G50" s="102" t="str">
        <f>GC!F24</f>
        <v>Augmentation</v>
      </c>
      <c r="J50" s="81">
        <f>'CapexSum$FY22'!J50*J$27</f>
        <v>0</v>
      </c>
      <c r="K50" s="81">
        <f>'CapexSum$FY22'!K50*K$27</f>
        <v>0</v>
      </c>
      <c r="L50" s="81">
        <f>'CapexSum$FY22'!L50*L$27</f>
        <v>0</v>
      </c>
      <c r="M50" s="81">
        <f>'CapexSum$FY22'!M50*M$27</f>
        <v>0</v>
      </c>
      <c r="N50" s="81">
        <f>'CapexSum$FY22'!N50*N$27</f>
        <v>3787318.8622956299</v>
      </c>
      <c r="O50" s="81">
        <f>'CapexSum$FY22'!O50*O$27</f>
        <v>2634862.5</v>
      </c>
      <c r="P50" s="81">
        <f>'CapexSum$FY22'!P50*P$27</f>
        <v>4881485</v>
      </c>
      <c r="Q50" s="81">
        <f>'CapexSum$FY22'!Q50*Q$27</f>
        <v>6440775</v>
      </c>
      <c r="R50" s="81">
        <f>'CapexSum$FY22'!R50*R$27</f>
        <v>3572230</v>
      </c>
      <c r="S50" s="81">
        <f>'CapexSum$FY22'!S50*S$27</f>
        <v>2088899.9999999998</v>
      </c>
      <c r="T50" s="81">
        <f>'CapexSum$FY22'!T50*T$27</f>
        <v>5681175</v>
      </c>
    </row>
    <row r="51" spans="5:20" outlineLevel="1">
      <c r="F51" s="129">
        <f>GC!C25</f>
        <v>3018</v>
      </c>
      <c r="G51" s="102" t="str">
        <f>GC!F25</f>
        <v>Other Non-Demand</v>
      </c>
      <c r="J51" s="81">
        <f>'CapexSum$FY22'!J51*J$27</f>
        <v>0</v>
      </c>
      <c r="K51" s="81">
        <f>'CapexSum$FY22'!K51*K$27</f>
        <v>0</v>
      </c>
      <c r="L51" s="81">
        <f>'CapexSum$FY22'!L51*L$27</f>
        <v>0</v>
      </c>
      <c r="M51" s="81">
        <f>'CapexSum$FY22'!M51*M$27</f>
        <v>0</v>
      </c>
      <c r="N51" s="81">
        <f>'CapexSum$FY22'!N51*N$27</f>
        <v>0</v>
      </c>
      <c r="O51" s="81">
        <f>'CapexSum$FY22'!O51*O$27</f>
        <v>0</v>
      </c>
      <c r="P51" s="81">
        <f>'CapexSum$FY22'!P51*P$27</f>
        <v>574025.5</v>
      </c>
      <c r="Q51" s="81">
        <f>'CapexSum$FY22'!Q51*Q$27</f>
        <v>1771666.7749999999</v>
      </c>
      <c r="R51" s="81">
        <f>'CapexSum$FY22'!R51*R$27</f>
        <v>2685397</v>
      </c>
      <c r="S51" s="81">
        <f>'CapexSum$FY22'!S51*S$27</f>
        <v>754780.76</v>
      </c>
      <c r="T51" s="81">
        <f>'CapexSum$FY22'!T51*T$27</f>
        <v>126.6</v>
      </c>
    </row>
    <row r="52" spans="5:20" outlineLevel="1">
      <c r="F52" s="129">
        <f>GC!C26</f>
        <v>3019</v>
      </c>
      <c r="G52" s="102" t="str">
        <f>GC!F26</f>
        <v>Residential Connections</v>
      </c>
      <c r="J52" s="81">
        <f>'CapexSum$FY22'!J52*J$27</f>
        <v>0</v>
      </c>
      <c r="K52" s="81">
        <f>'CapexSum$FY22'!K52*K$27</f>
        <v>0</v>
      </c>
      <c r="L52" s="81">
        <f>'CapexSum$FY22'!L52*L$27</f>
        <v>0</v>
      </c>
      <c r="M52" s="81">
        <f>'CapexSum$FY22'!M52*M$27</f>
        <v>0</v>
      </c>
      <c r="N52" s="81">
        <f>'CapexSum$FY22'!N52*N$27</f>
        <v>50321236.944889098</v>
      </c>
      <c r="O52" s="81">
        <f>'CapexSum$FY22'!O52*O$27</f>
        <v>20855464.181098431</v>
      </c>
      <c r="P52" s="81">
        <f>'CapexSum$FY22'!P52*P$27</f>
        <v>38329258.342099406</v>
      </c>
      <c r="Q52" s="81">
        <f>'CapexSum$FY22'!Q52*Q$27</f>
        <v>39525690.903272323</v>
      </c>
      <c r="R52" s="81">
        <f>'CapexSum$FY22'!R52*R$27</f>
        <v>40693396.81995073</v>
      </c>
      <c r="S52" s="81">
        <f>'CapexSum$FY22'!S52*S$27</f>
        <v>39696580.438421771</v>
      </c>
      <c r="T52" s="81">
        <f>'CapexSum$FY22'!T52*T$27</f>
        <v>38662282.786240675</v>
      </c>
    </row>
    <row r="53" spans="5:20" outlineLevel="1">
      <c r="F53" s="129">
        <f>GC!C27</f>
        <v>3020</v>
      </c>
      <c r="G53" s="102" t="str">
        <f>GC!F27</f>
        <v>Industrial &amp; Commercial Connections</v>
      </c>
      <c r="J53" s="81">
        <f>'CapexSum$FY22'!J53*J$27</f>
        <v>0</v>
      </c>
      <c r="K53" s="81">
        <f>'CapexSum$FY22'!K53*K$27</f>
        <v>0</v>
      </c>
      <c r="L53" s="81">
        <f>'CapexSum$FY22'!L53*L$27</f>
        <v>0</v>
      </c>
      <c r="M53" s="81">
        <f>'CapexSum$FY22'!M53*M$27</f>
        <v>0</v>
      </c>
      <c r="N53" s="81">
        <f>'CapexSum$FY22'!N53*N$27</f>
        <v>2848272.6145684035</v>
      </c>
      <c r="O53" s="81">
        <f>'CapexSum$FY22'!O53*O$27</f>
        <v>3774353.8735499997</v>
      </c>
      <c r="P53" s="81">
        <f>'CapexSum$FY22'!P53*P$27</f>
        <v>5072788.8885000004</v>
      </c>
      <c r="Q53" s="81">
        <f>'CapexSum$FY22'!Q53*Q$27</f>
        <v>5165721.3909</v>
      </c>
      <c r="R53" s="81">
        <f>'CapexSum$FY22'!R53*R$27</f>
        <v>5256660.3020000001</v>
      </c>
      <c r="S53" s="81">
        <f>'CapexSum$FY22'!S53*S$27</f>
        <v>5187138.7348999996</v>
      </c>
      <c r="T53" s="81">
        <f>'CapexSum$FY22'!T53*T$27</f>
        <v>5114698.478649999</v>
      </c>
    </row>
    <row r="54" spans="5:20" outlineLevel="1">
      <c r="F54" s="129">
        <f>GC!C28</f>
        <v>3021</v>
      </c>
      <c r="G54" s="102" t="str">
        <f>GC!F28</f>
        <v>Industrial &amp; Commercial (Tariff D)</v>
      </c>
      <c r="J54" s="81">
        <f>'CapexSum$FY22'!J54*J$27</f>
        <v>0</v>
      </c>
      <c r="K54" s="81">
        <f>'CapexSum$FY22'!K54*K$27</f>
        <v>0</v>
      </c>
      <c r="L54" s="81">
        <f>'CapexSum$FY22'!L54*L$27</f>
        <v>0</v>
      </c>
      <c r="M54" s="81">
        <f>'CapexSum$FY22'!M54*M$27</f>
        <v>0</v>
      </c>
      <c r="N54" s="81">
        <f>'CapexSum$FY22'!N54*N$27</f>
        <v>846320.69100659003</v>
      </c>
      <c r="O54" s="81">
        <f>'CapexSum$FY22'!O54*O$27</f>
        <v>881384.28369999991</v>
      </c>
      <c r="P54" s="81">
        <f>'CapexSum$FY22'!P54*P$27</f>
        <v>1687620.3476999998</v>
      </c>
      <c r="Q54" s="81">
        <f>'CapexSum$FY22'!Q54*Q$27</f>
        <v>1714207.7402999999</v>
      </c>
      <c r="R54" s="81">
        <f>'CapexSum$FY22'!R54*R$27</f>
        <v>1740156.7523999999</v>
      </c>
      <c r="S54" s="81">
        <f>'CapexSum$FY22'!S54*S$27</f>
        <v>1718005.2866499999</v>
      </c>
      <c r="T54" s="81">
        <f>'CapexSum$FY22'!T54*T$27</f>
        <v>1695020.8878500001</v>
      </c>
    </row>
    <row r="55" spans="5:20" outlineLevel="1">
      <c r="F55" s="129">
        <f>GC!C29</f>
        <v>3022</v>
      </c>
      <c r="G55" s="102" t="str">
        <f>GC!F29</f>
        <v>Major Alterations</v>
      </c>
      <c r="J55" s="81">
        <f>'CapexSum$FY22'!J55*J$27</f>
        <v>0</v>
      </c>
      <c r="K55" s="81">
        <f>'CapexSum$FY22'!K55*K$27</f>
        <v>0</v>
      </c>
      <c r="L55" s="81">
        <f>'CapexSum$FY22'!L55*L$27</f>
        <v>0</v>
      </c>
      <c r="M55" s="81">
        <f>'CapexSum$FY22'!M55*M$27</f>
        <v>0</v>
      </c>
      <c r="N55" s="81">
        <f>'CapexSum$FY22'!N55*N$27</f>
        <v>1006137.1998568712</v>
      </c>
      <c r="O55" s="81">
        <f>'CapexSum$FY22'!O55*O$27</f>
        <v>1657272.7451999998</v>
      </c>
      <c r="P55" s="81">
        <f>'CapexSum$FY22'!P55*P$27</f>
        <v>3126674.9305999996</v>
      </c>
      <c r="Q55" s="81">
        <f>'CapexSum$FY22'!Q55*Q$27</f>
        <v>3193143.4120999998</v>
      </c>
      <c r="R55" s="81">
        <f>'CapexSum$FY22'!R55*R$27</f>
        <v>3258015.9634499997</v>
      </c>
      <c r="S55" s="81">
        <f>'CapexSum$FY22'!S55*S$27</f>
        <v>3202637.2727000001</v>
      </c>
      <c r="T55" s="81">
        <f>'CapexSum$FY22'!T55*T$27</f>
        <v>3145176.2967999997</v>
      </c>
    </row>
    <row r="56" spans="5:20" outlineLevel="1">
      <c r="F56" s="129">
        <f>GC!C30</f>
        <v>3023</v>
      </c>
      <c r="G56" s="102" t="str">
        <f>GC!F30</f>
        <v>Extensions - New Towns</v>
      </c>
      <c r="J56" s="81">
        <f>'CapexSum$FY22'!J56*J$27</f>
        <v>0</v>
      </c>
      <c r="K56" s="81">
        <f>'CapexSum$FY22'!K56*K$27</f>
        <v>0</v>
      </c>
      <c r="L56" s="81">
        <f>'CapexSum$FY22'!L56*L$27</f>
        <v>0</v>
      </c>
      <c r="M56" s="81">
        <f>'CapexSum$FY22'!M56*M$27</f>
        <v>0</v>
      </c>
      <c r="N56" s="81">
        <f>'CapexSum$FY22'!N56*N$27</f>
        <v>0</v>
      </c>
      <c r="O56" s="81">
        <f>'CapexSum$FY22'!O56*O$27</f>
        <v>0</v>
      </c>
      <c r="P56" s="81">
        <f>'CapexSum$FY22'!P56*P$27</f>
        <v>0</v>
      </c>
      <c r="Q56" s="81">
        <f>'CapexSum$FY22'!Q56*Q$27</f>
        <v>0</v>
      </c>
      <c r="R56" s="81">
        <f>'CapexSum$FY22'!R56*R$27</f>
        <v>0</v>
      </c>
      <c r="S56" s="81">
        <f>'CapexSum$FY22'!S56*S$27</f>
        <v>0</v>
      </c>
      <c r="T56" s="81">
        <f>'CapexSum$FY22'!T56*T$27</f>
        <v>0</v>
      </c>
    </row>
    <row r="57" spans="5:20" outlineLevel="1">
      <c r="F57" s="129">
        <f>GC!C31</f>
        <v>3024</v>
      </c>
      <c r="G57" s="102" t="str">
        <f>GC!F31</f>
        <v>Extensions - Other</v>
      </c>
      <c r="J57" s="81">
        <f>'CapexSum$FY22'!J57*J$27</f>
        <v>0</v>
      </c>
      <c r="K57" s="81">
        <f>'CapexSum$FY22'!K57*K$27</f>
        <v>0</v>
      </c>
      <c r="L57" s="81">
        <f>'CapexSum$FY22'!L57*L$27</f>
        <v>0</v>
      </c>
      <c r="M57" s="81">
        <f>'CapexSum$FY22'!M57*M$27</f>
        <v>0</v>
      </c>
      <c r="N57" s="81">
        <f>'CapexSum$FY22'!N57*N$27</f>
        <v>8678974.6850261819</v>
      </c>
      <c r="O57" s="81">
        <f>'CapexSum$FY22'!O57*O$27</f>
        <v>446265</v>
      </c>
      <c r="P57" s="81">
        <f>'CapexSum$FY22'!P57*P$27</f>
        <v>0</v>
      </c>
      <c r="Q57" s="81">
        <f>'CapexSum$FY22'!Q57*Q$27</f>
        <v>0</v>
      </c>
      <c r="R57" s="81">
        <f>'CapexSum$FY22'!R57*R$27</f>
        <v>0</v>
      </c>
      <c r="S57" s="81">
        <f>'CapexSum$FY22'!S57*S$27</f>
        <v>0</v>
      </c>
      <c r="T57" s="81">
        <f>'CapexSum$FY22'!T57*T$27</f>
        <v>0</v>
      </c>
    </row>
    <row r="58" spans="5:20" outlineLevel="1">
      <c r="F58" s="129">
        <f>GC!C32</f>
        <v>3025</v>
      </c>
      <c r="G58" s="102" t="str">
        <f>GC!F32</f>
        <v xml:space="preserve">City Gate Security Fence Upgrades </v>
      </c>
      <c r="J58" s="81">
        <f>'CapexSum$FY22'!J58*J$27</f>
        <v>0</v>
      </c>
      <c r="K58" s="81">
        <f>'CapexSum$FY22'!K58*K$27</f>
        <v>0</v>
      </c>
      <c r="L58" s="81">
        <f>'CapexSum$FY22'!L58*L$27</f>
        <v>0</v>
      </c>
      <c r="M58" s="81">
        <f>'CapexSum$FY22'!M58*M$27</f>
        <v>0</v>
      </c>
      <c r="N58" s="81">
        <f>'CapexSum$FY22'!N58*N$27</f>
        <v>0</v>
      </c>
      <c r="O58" s="81">
        <f>'CapexSum$FY22'!O58*O$27</f>
        <v>0</v>
      </c>
      <c r="P58" s="81">
        <f>'CapexSum$FY22'!P58*P$27</f>
        <v>585525</v>
      </c>
      <c r="Q58" s="81">
        <f>'CapexSum$FY22'!Q58*Q$27</f>
        <v>585525</v>
      </c>
      <c r="R58" s="81">
        <f>'CapexSum$FY22'!R58*R$27</f>
        <v>585525</v>
      </c>
      <c r="S58" s="81">
        <f>'CapexSum$FY22'!S58*S$27</f>
        <v>585525</v>
      </c>
      <c r="T58" s="81">
        <f>'CapexSum$FY22'!T58*T$27</f>
        <v>522224.99999999994</v>
      </c>
    </row>
    <row r="59" spans="5:20" outlineLevel="1">
      <c r="F59" s="129">
        <f>GC!C33</f>
        <v>3027</v>
      </c>
      <c r="G59" s="102" t="str">
        <f>GC!F33</f>
        <v>IT</v>
      </c>
      <c r="J59" s="81">
        <f>'CapexSum$FY22'!J59*J$27</f>
        <v>0</v>
      </c>
      <c r="K59" s="81">
        <f>'CapexSum$FY22'!K59*K$27</f>
        <v>0</v>
      </c>
      <c r="L59" s="81">
        <f>'CapexSum$FY22'!L59*L$27</f>
        <v>0</v>
      </c>
      <c r="M59" s="81">
        <f>'CapexSum$FY22'!M59*M$27</f>
        <v>0</v>
      </c>
      <c r="N59" s="81">
        <f>'CapexSum$FY22'!N59*N$27</f>
        <v>6852633.38595099</v>
      </c>
      <c r="O59" s="81">
        <f>'CapexSum$FY22'!O59*O$27</f>
        <v>3418200</v>
      </c>
      <c r="P59" s="81">
        <f>'CapexSum$FY22'!P59*P$27</f>
        <v>15845479.039204681</v>
      </c>
      <c r="Q59" s="81">
        <f>'CapexSum$FY22'!Q59*Q$27</f>
        <v>18186758.802095685</v>
      </c>
      <c r="R59" s="81">
        <f>'CapexSum$FY22'!R59*R$27</f>
        <v>19658513.3659385</v>
      </c>
      <c r="S59" s="81">
        <f>'CapexSum$FY22'!S59*S$27</f>
        <v>9619510.4556937441</v>
      </c>
      <c r="T59" s="81">
        <f>'CapexSum$FY22'!T59*T$27</f>
        <v>7015216.2057102434</v>
      </c>
    </row>
    <row r="60" spans="5:20" outlineLevel="1">
      <c r="F60" s="129">
        <f>GC!C34</f>
        <v>3031</v>
      </c>
      <c r="G60" s="102" t="str">
        <f>GC!F34</f>
        <v>Other Non-IT</v>
      </c>
      <c r="J60" s="81">
        <f>'CapexSum$FY22'!J60*J$27</f>
        <v>0</v>
      </c>
      <c r="K60" s="81">
        <f>'CapexSum$FY22'!K60*K$27</f>
        <v>0</v>
      </c>
      <c r="L60" s="81">
        <f>'CapexSum$FY22'!L60*L$27</f>
        <v>0</v>
      </c>
      <c r="M60" s="81">
        <f>'CapexSum$FY22'!M60*M$27</f>
        <v>0</v>
      </c>
      <c r="N60" s="81">
        <f>'CapexSum$FY22'!N60*N$27</f>
        <v>380952.5927327798</v>
      </c>
      <c r="O60" s="81">
        <f>'CapexSum$FY22'!O60*O$27</f>
        <v>266104.96813298337</v>
      </c>
      <c r="P60" s="81">
        <f>'CapexSum$FY22'!P60*P$27</f>
        <v>1064419.8725319335</v>
      </c>
      <c r="Q60" s="81">
        <f>'CapexSum$FY22'!Q60*Q$27</f>
        <v>1064419.8725319335</v>
      </c>
      <c r="R60" s="81">
        <f>'CapexSum$FY22'!R60*R$27</f>
        <v>1064419.8725319335</v>
      </c>
      <c r="S60" s="81">
        <f>'CapexSum$FY22'!S60*S$27</f>
        <v>1064419.8725319335</v>
      </c>
      <c r="T60" s="81">
        <f>'CapexSum$FY22'!T60*T$27</f>
        <v>1064419.8725319335</v>
      </c>
    </row>
    <row r="61" spans="5:20" ht="5.9" customHeight="1" outlineLevel="1"/>
    <row r="62" spans="5:20" outlineLevel="1">
      <c r="F62" s="249" t="str">
        <f>"Total "&amp;E32</f>
        <v>Total Direct Capex (Unescalated)</v>
      </c>
      <c r="G62" s="249"/>
      <c r="H62" s="249"/>
      <c r="I62" s="249"/>
      <c r="J62" s="82">
        <f t="shared" ref="J62:T62" si="8">SUM(J34:J61)</f>
        <v>0</v>
      </c>
      <c r="K62" s="82">
        <f t="shared" si="8"/>
        <v>0</v>
      </c>
      <c r="L62" s="82">
        <f t="shared" si="8"/>
        <v>0</v>
      </c>
      <c r="M62" s="82">
        <f t="shared" si="8"/>
        <v>0</v>
      </c>
      <c r="N62" s="82">
        <f t="shared" si="8"/>
        <v>103846931.81185135</v>
      </c>
      <c r="O62" s="82">
        <f t="shared" si="8"/>
        <v>61306182.682442077</v>
      </c>
      <c r="P62" s="82">
        <f t="shared" si="8"/>
        <v>114703198.08755404</v>
      </c>
      <c r="Q62" s="82">
        <f t="shared" si="8"/>
        <v>118957607.94872995</v>
      </c>
      <c r="R62" s="82">
        <f t="shared" si="8"/>
        <v>116227302.32440215</v>
      </c>
      <c r="S62" s="82">
        <f t="shared" si="8"/>
        <v>103450907.38467143</v>
      </c>
      <c r="T62" s="82">
        <f t="shared" si="8"/>
        <v>93404899.899428859</v>
      </c>
    </row>
    <row r="63" spans="5:20" outlineLevel="1"/>
    <row r="64" spans="5:20" outlineLevel="1">
      <c r="E64" s="37" t="str">
        <f>'CapexSum$FY22'!E64</f>
        <v>Direct Capex including Non-CPI Escalation</v>
      </c>
    </row>
    <row r="65" spans="6:20" ht="5.9" customHeight="1" outlineLevel="1"/>
    <row r="66" spans="6:20" s="41" customFormat="1" outlineLevel="1">
      <c r="F66" s="134">
        <f>GC!C8</f>
        <v>3001</v>
      </c>
      <c r="G66" s="205" t="str">
        <f>GC!F8</f>
        <v>Low Pressure Replacement - Planned</v>
      </c>
      <c r="J66" s="80">
        <f>'CapexSum$FY22'!J66*J$27</f>
        <v>0</v>
      </c>
      <c r="K66" s="80">
        <f>'CapexSum$FY22'!K66*K$27</f>
        <v>0</v>
      </c>
      <c r="L66" s="80">
        <f>'CapexSum$FY22'!L66*L$27</f>
        <v>0</v>
      </c>
      <c r="M66" s="80">
        <f>'CapexSum$FY22'!M66*M$27</f>
        <v>0</v>
      </c>
      <c r="N66" s="80">
        <f>'CapexSum$FY22'!N66*N$27</f>
        <v>18294578.885320287</v>
      </c>
      <c r="O66" s="80">
        <f>'CapexSum$FY22'!O66*O$27</f>
        <v>18253784.509588372</v>
      </c>
      <c r="P66" s="80">
        <f>'CapexSum$FY22'!P66*P$27</f>
        <v>23061586.814501826</v>
      </c>
      <c r="Q66" s="80">
        <f>'CapexSum$FY22'!Q66*Q$27</f>
        <v>19363300.047916308</v>
      </c>
      <c r="R66" s="80">
        <f>'CapexSum$FY22'!R66*R$27</f>
        <v>13754509.58545154</v>
      </c>
      <c r="S66" s="80">
        <f>'CapexSum$FY22'!S66*S$27</f>
        <v>14505372.016579077</v>
      </c>
      <c r="T66" s="80">
        <f>'CapexSum$FY22'!T66*T$27</f>
        <v>8574621.5763898883</v>
      </c>
    </row>
    <row r="67" spans="6:20" s="41" customFormat="1" outlineLevel="1">
      <c r="F67" s="134">
        <f>GC!C9</f>
        <v>3002</v>
      </c>
      <c r="G67" s="205" t="str">
        <f>GC!F9</f>
        <v>Low Pressure Replacement - Ad Hoc</v>
      </c>
      <c r="J67" s="80">
        <f>'CapexSum$FY22'!J67*J$27</f>
        <v>0</v>
      </c>
      <c r="K67" s="80">
        <f>'CapexSum$FY22'!K67*K$27</f>
        <v>0</v>
      </c>
      <c r="L67" s="80">
        <f>'CapexSum$FY22'!L67*L$27</f>
        <v>0</v>
      </c>
      <c r="M67" s="80">
        <f>'CapexSum$FY22'!M67*M$27</f>
        <v>0</v>
      </c>
      <c r="N67" s="80">
        <f>'CapexSum$FY22'!N67*N$27</f>
        <v>518739.31243356894</v>
      </c>
      <c r="O67" s="80">
        <f>'CapexSum$FY22'!O67*O$27</f>
        <v>272584.24130323587</v>
      </c>
      <c r="P67" s="80">
        <f>'CapexSum$FY22'!P67*P$27</f>
        <v>545278.24038448895</v>
      </c>
      <c r="Q67" s="80">
        <f>'CapexSum$FY22'!Q67*Q$27</f>
        <v>436357.87154774158</v>
      </c>
      <c r="R67" s="80">
        <f>'CapexSum$FY22'!R67*R$27</f>
        <v>327412.37498623639</v>
      </c>
      <c r="S67" s="80">
        <f>'CapexSum$FY22'!S67*S$27</f>
        <v>218380.77788758761</v>
      </c>
      <c r="T67" s="80">
        <f>'CapexSum$FY22'!T67*T$27</f>
        <v>109240.34269401744</v>
      </c>
    </row>
    <row r="68" spans="6:20" s="41" customFormat="1" outlineLevel="1">
      <c r="F68" s="134">
        <f>GC!C10</f>
        <v>3003</v>
      </c>
      <c r="G68" s="205" t="str">
        <f>GC!F10</f>
        <v>Medium Pressure Replacement - Planned</v>
      </c>
      <c r="J68" s="80">
        <f>'CapexSum$FY22'!J68*J$27</f>
        <v>0</v>
      </c>
      <c r="K68" s="80">
        <f>'CapexSum$FY22'!K68*K$27</f>
        <v>0</v>
      </c>
      <c r="L68" s="80">
        <f>'CapexSum$FY22'!L68*L$27</f>
        <v>0</v>
      </c>
      <c r="M68" s="80">
        <f>'CapexSum$FY22'!M68*M$27</f>
        <v>0</v>
      </c>
      <c r="N68" s="80">
        <f>'CapexSum$FY22'!N68*N$27</f>
        <v>418736.29148088582</v>
      </c>
      <c r="O68" s="80">
        <f>'CapexSum$FY22'!O68*O$27</f>
        <v>2110438.5359494877</v>
      </c>
      <c r="P68" s="80">
        <f>'CapexSum$FY22'!P68*P$27</f>
        <v>1984211.6210956166</v>
      </c>
      <c r="Q68" s="80">
        <f>'CapexSum$FY22'!Q68*Q$27</f>
        <v>3325657.0017066747</v>
      </c>
      <c r="R68" s="80">
        <f>'CapexSum$FY22'!R68*R$27</f>
        <v>6575075.9219605196</v>
      </c>
      <c r="S68" s="80">
        <f>'CapexSum$FY22'!S68*S$27</f>
        <v>9413219.6333234813</v>
      </c>
      <c r="T68" s="80">
        <f>'CapexSum$FY22'!T68*T$27</f>
        <v>7000769.8569610324</v>
      </c>
    </row>
    <row r="69" spans="6:20" s="41" customFormat="1" outlineLevel="1">
      <c r="F69" s="134">
        <f>GC!C11</f>
        <v>3004</v>
      </c>
      <c r="G69" s="205" t="str">
        <f>GC!F11</f>
        <v>Medium Pressure Replacement - Ad Hoc</v>
      </c>
      <c r="J69" s="80">
        <f>'CapexSum$FY22'!J69*J$27</f>
        <v>0</v>
      </c>
      <c r="K69" s="80">
        <f>'CapexSum$FY22'!K69*K$27</f>
        <v>0</v>
      </c>
      <c r="L69" s="80">
        <f>'CapexSum$FY22'!L69*L$27</f>
        <v>0</v>
      </c>
      <c r="M69" s="80">
        <f>'CapexSum$FY22'!M69*M$27</f>
        <v>0</v>
      </c>
      <c r="N69" s="80">
        <f>'CapexSum$FY22'!N69*N$27</f>
        <v>297278.29548006091</v>
      </c>
      <c r="O69" s="80">
        <f>'CapexSum$FY22'!O69*O$27</f>
        <v>146832.38231884208</v>
      </c>
      <c r="P69" s="80">
        <f>'CapexSum$FY22'!P69*P$27</f>
        <v>378372.26923552051</v>
      </c>
      <c r="Q69" s="80">
        <f>'CapexSum$FY22'!Q69*Q$27</f>
        <v>378491.43971804535</v>
      </c>
      <c r="R69" s="80">
        <f>'CapexSum$FY22'!R69*R$27</f>
        <v>378660.99887917208</v>
      </c>
      <c r="S69" s="80">
        <f>'CapexSum$FY22'!S69*S$27</f>
        <v>378832.42462353699</v>
      </c>
      <c r="T69" s="80">
        <f>'CapexSum$FY22'!T69*T$27</f>
        <v>379005.73749932501</v>
      </c>
    </row>
    <row r="70" spans="6:20" s="41" customFormat="1" outlineLevel="1">
      <c r="F70" s="134">
        <f>GC!C12</f>
        <v>3005</v>
      </c>
      <c r="G70" s="205" t="str">
        <f>GC!F12</f>
        <v>High Pressure Replacement - Planned</v>
      </c>
      <c r="J70" s="80">
        <f>'CapexSum$FY22'!J70*J$27</f>
        <v>0</v>
      </c>
      <c r="K70" s="80">
        <f>'CapexSum$FY22'!K70*K$27</f>
        <v>0</v>
      </c>
      <c r="L70" s="80">
        <f>'CapexSum$FY22'!L70*L$27</f>
        <v>0</v>
      </c>
      <c r="M70" s="80">
        <f>'CapexSum$FY22'!M70*M$27</f>
        <v>0</v>
      </c>
      <c r="N70" s="80">
        <f>'CapexSum$FY22'!N70*N$27</f>
        <v>0</v>
      </c>
      <c r="O70" s="80">
        <f>'CapexSum$FY22'!O70*O$27</f>
        <v>0</v>
      </c>
      <c r="P70" s="80">
        <f>'CapexSum$FY22'!P70*P$27</f>
        <v>2142526.3780979263</v>
      </c>
      <c r="Q70" s="80">
        <f>'CapexSum$FY22'!Q70*Q$27</f>
        <v>2143201.1788776349</v>
      </c>
      <c r="R70" s="80">
        <f>'CapexSum$FY22'!R70*R$27</f>
        <v>2144161.3046714626</v>
      </c>
      <c r="S70" s="80">
        <f>'CapexSum$FY22'!S70*S$27</f>
        <v>2145131.999960335</v>
      </c>
      <c r="T70" s="80">
        <f>'CapexSum$FY22'!T70*T$27</f>
        <v>2146113.381097991</v>
      </c>
    </row>
    <row r="71" spans="6:20" s="41" customFormat="1" outlineLevel="1">
      <c r="F71" s="134">
        <f>GC!C13</f>
        <v>3006</v>
      </c>
      <c r="G71" s="205" t="str">
        <f>GC!F13</f>
        <v>High Pressure Replacement - Ad Hoc</v>
      </c>
      <c r="J71" s="80">
        <f>'CapexSum$FY22'!J71*J$27</f>
        <v>0</v>
      </c>
      <c r="K71" s="80">
        <f>'CapexSum$FY22'!K71*K$27</f>
        <v>0</v>
      </c>
      <c r="L71" s="80">
        <f>'CapexSum$FY22'!L71*L$27</f>
        <v>0</v>
      </c>
      <c r="M71" s="80">
        <f>'CapexSum$FY22'!M71*M$27</f>
        <v>0</v>
      </c>
      <c r="N71" s="80">
        <f>'CapexSum$FY22'!N71*N$27</f>
        <v>2335947.2681333353</v>
      </c>
      <c r="O71" s="80">
        <f>'CapexSum$FY22'!O71*O$27</f>
        <v>1067443.7249999999</v>
      </c>
      <c r="P71" s="80">
        <f>'CapexSum$FY22'!P71*P$27</f>
        <v>2134953.6533000753</v>
      </c>
      <c r="Q71" s="80">
        <f>'CapexSum$FY22'!Q71*Q$27</f>
        <v>1921516.5867447269</v>
      </c>
      <c r="R71" s="80">
        <f>'CapexSum$FY22'!R71*R$27</f>
        <v>1729456.4927713349</v>
      </c>
      <c r="S71" s="80">
        <f>'CapexSum$FY22'!S71*S$27</f>
        <v>1556611.0521295627</v>
      </c>
      <c r="T71" s="80">
        <f>'CapexSum$FY22'!T71*T$27</f>
        <v>1401060.2625581238</v>
      </c>
    </row>
    <row r="72" spans="6:20" s="41" customFormat="1" outlineLevel="1">
      <c r="F72" s="134">
        <f>GC!C14</f>
        <v>3007</v>
      </c>
      <c r="G72" s="205" t="str">
        <f>GC!F14</f>
        <v>Domestic Meters - Planned</v>
      </c>
      <c r="J72" s="80">
        <f>'CapexSum$FY22'!J72*J$27</f>
        <v>0</v>
      </c>
      <c r="K72" s="80">
        <f>'CapexSum$FY22'!K72*K$27</f>
        <v>0</v>
      </c>
      <c r="L72" s="80">
        <f>'CapexSum$FY22'!L72*L$27</f>
        <v>0</v>
      </c>
      <c r="M72" s="80">
        <f>'CapexSum$FY22'!M72*M$27</f>
        <v>0</v>
      </c>
      <c r="N72" s="80">
        <f>'CapexSum$FY22'!N72*N$27</f>
        <v>3380589.5355817969</v>
      </c>
      <c r="O72" s="80">
        <f>'CapexSum$FY22'!O72*O$27</f>
        <v>1992519.5940623025</v>
      </c>
      <c r="P72" s="80">
        <f>'CapexSum$FY22'!P72*P$27</f>
        <v>3985665.7889197953</v>
      </c>
      <c r="Q72" s="80">
        <f>'CapexSum$FY22'!Q72*Q$27</f>
        <v>4891779.1386280255</v>
      </c>
      <c r="R72" s="80">
        <f>'CapexSum$FY22'!R72*R$27</f>
        <v>5182870.5050096037</v>
      </c>
      <c r="S72" s="80">
        <f>'CapexSum$FY22'!S72*S$27</f>
        <v>3788034.0841201507</v>
      </c>
      <c r="T72" s="80">
        <f>'CapexSum$FY22'!T72*T$27</f>
        <v>3431026.3864585166</v>
      </c>
    </row>
    <row r="73" spans="6:20" s="41" customFormat="1" outlineLevel="1">
      <c r="F73" s="134">
        <f>GC!C15</f>
        <v>3008</v>
      </c>
      <c r="G73" s="205" t="str">
        <f>GC!F15</f>
        <v>Domestic Meters - Ad Hoc</v>
      </c>
      <c r="J73" s="80">
        <f>'CapexSum$FY22'!J73*J$27</f>
        <v>0</v>
      </c>
      <c r="K73" s="80">
        <f>'CapexSum$FY22'!K73*K$27</f>
        <v>0</v>
      </c>
      <c r="L73" s="80">
        <f>'CapexSum$FY22'!L73*L$27</f>
        <v>0</v>
      </c>
      <c r="M73" s="80">
        <f>'CapexSum$FY22'!M73*M$27</f>
        <v>0</v>
      </c>
      <c r="N73" s="80">
        <f>'CapexSum$FY22'!N73*N$27</f>
        <v>807905.32286884647</v>
      </c>
      <c r="O73" s="80">
        <f>'CapexSum$FY22'!O73*O$27</f>
        <v>399823.57344792725</v>
      </c>
      <c r="P73" s="80">
        <f>'CapexSum$FY22'!P73*P$27</f>
        <v>799687.40104531776</v>
      </c>
      <c r="Q73" s="80">
        <f>'CapexSum$FY22'!Q73*Q$27</f>
        <v>799750.38688361295</v>
      </c>
      <c r="R73" s="80">
        <f>'CapexSum$FY22'!R73*R$27</f>
        <v>799840.00493061508</v>
      </c>
      <c r="S73" s="80">
        <f>'CapexSum$FY22'!S73*S$27</f>
        <v>799930.60953324346</v>
      </c>
      <c r="T73" s="80">
        <f>'CapexSum$FY22'!T73*T$27</f>
        <v>800022.21155194438</v>
      </c>
    </row>
    <row r="74" spans="6:20" s="41" customFormat="1" outlineLevel="1">
      <c r="F74" s="134">
        <f>GC!C16</f>
        <v>3009</v>
      </c>
      <c r="G74" s="205" t="str">
        <f>GC!F16</f>
        <v>Industrial &amp; Commercial Meters - Planned</v>
      </c>
      <c r="J74" s="80">
        <f>'CapexSum$FY22'!J74*J$27</f>
        <v>0</v>
      </c>
      <c r="K74" s="80">
        <f>'CapexSum$FY22'!K74*K$27</f>
        <v>0</v>
      </c>
      <c r="L74" s="80">
        <f>'CapexSum$FY22'!L74*L$27</f>
        <v>0</v>
      </c>
      <c r="M74" s="80">
        <f>'CapexSum$FY22'!M74*M$27</f>
        <v>0</v>
      </c>
      <c r="N74" s="80">
        <f>'CapexSum$FY22'!N74*N$27</f>
        <v>889575.0622200683</v>
      </c>
      <c r="O74" s="80">
        <f>'CapexSum$FY22'!O74*O$27</f>
        <v>498405.78543818329</v>
      </c>
      <c r="P74" s="80">
        <f>'CapexSum$FY22'!P74*P$27</f>
        <v>1106895.7907837569</v>
      </c>
      <c r="Q74" s="80">
        <f>'CapexSum$FY22'!Q74*Q$27</f>
        <v>1294226.6219066898</v>
      </c>
      <c r="R74" s="80">
        <f>'CapexSum$FY22'!R74*R$27</f>
        <v>1277719.9247015014</v>
      </c>
      <c r="S74" s="80">
        <f>'CapexSum$FY22'!S74*S$27</f>
        <v>1477509.5779424226</v>
      </c>
      <c r="T74" s="80">
        <f>'CapexSum$FY22'!T74*T$27</f>
        <v>1057467.6112390943</v>
      </c>
    </row>
    <row r="75" spans="6:20" s="41" customFormat="1" outlineLevel="1">
      <c r="F75" s="134">
        <f>GC!C17</f>
        <v>3010</v>
      </c>
      <c r="G75" s="205" t="str">
        <f>GC!F17</f>
        <v>Industrial &amp; Commercial Meters - Ad Hoc</v>
      </c>
      <c r="J75" s="80">
        <f>'CapexSum$FY22'!J75*J$27</f>
        <v>0</v>
      </c>
      <c r="K75" s="80">
        <f>'CapexSum$FY22'!K75*K$27</f>
        <v>0</v>
      </c>
      <c r="L75" s="80">
        <f>'CapexSum$FY22'!L75*L$27</f>
        <v>0</v>
      </c>
      <c r="M75" s="80">
        <f>'CapexSum$FY22'!M75*M$27</f>
        <v>0</v>
      </c>
      <c r="N75" s="80">
        <f>'CapexSum$FY22'!N75*N$27</f>
        <v>0</v>
      </c>
      <c r="O75" s="80">
        <f>'CapexSum$FY22'!O75*O$27</f>
        <v>154201.53677771217</v>
      </c>
      <c r="P75" s="80">
        <f>'CapexSum$FY22'!P75*P$27</f>
        <v>330575.86502732278</v>
      </c>
      <c r="Q75" s="80">
        <f>'CapexSum$FY22'!Q75*Q$27</f>
        <v>315950.57472111273</v>
      </c>
      <c r="R75" s="80">
        <f>'CapexSum$FY22'!R75*R$27</f>
        <v>596819.60680343583</v>
      </c>
      <c r="S75" s="80">
        <f>'CapexSum$FY22'!S75*S$27</f>
        <v>286712.51548020006</v>
      </c>
      <c r="T75" s="80">
        <f>'CapexSum$FY22'!T75*T$27</f>
        <v>275799.29747908725</v>
      </c>
    </row>
    <row r="76" spans="6:20" s="41" customFormat="1" outlineLevel="1">
      <c r="F76" s="134">
        <f>GC!C18</f>
        <v>3011</v>
      </c>
      <c r="G76" s="205" t="str">
        <f>GC!F18</f>
        <v>Network Regulators - Planned</v>
      </c>
      <c r="J76" s="80">
        <f>'CapexSum$FY22'!J76*J$27</f>
        <v>0</v>
      </c>
      <c r="K76" s="80">
        <f>'CapexSum$FY22'!K76*K$27</f>
        <v>0</v>
      </c>
      <c r="L76" s="80">
        <f>'CapexSum$FY22'!L76*L$27</f>
        <v>0</v>
      </c>
      <c r="M76" s="80">
        <f>'CapexSum$FY22'!M76*M$27</f>
        <v>0</v>
      </c>
      <c r="N76" s="80">
        <f>'CapexSum$FY22'!N76*N$27</f>
        <v>530802.14232862438</v>
      </c>
      <c r="O76" s="80">
        <f>'CapexSum$FY22'!O76*O$27</f>
        <v>569759.20235318097</v>
      </c>
      <c r="P76" s="80">
        <f>'CapexSum$FY22'!P76*P$27</f>
        <v>2289818.4089833745</v>
      </c>
      <c r="Q76" s="80">
        <f>'CapexSum$FY22'!Q76*Q$27</f>
        <v>1857472.4322228173</v>
      </c>
      <c r="R76" s="80">
        <f>'CapexSum$FY22'!R76*R$27</f>
        <v>1593984.0074024405</v>
      </c>
      <c r="S76" s="80">
        <f>'CapexSum$FY22'!S76*S$27</f>
        <v>1710489.3694423011</v>
      </c>
      <c r="T76" s="80">
        <f>'CapexSum$FY22'!T76*T$27</f>
        <v>2006588.7744054638</v>
      </c>
    </row>
    <row r="77" spans="6:20" s="41" customFormat="1" outlineLevel="1">
      <c r="F77" s="134">
        <f>GC!C19</f>
        <v>3012</v>
      </c>
      <c r="G77" s="205" t="str">
        <f>GC!F19</f>
        <v>Network Regulators - Ad Hoc</v>
      </c>
      <c r="J77" s="80">
        <f>'CapexSum$FY22'!J77*J$27</f>
        <v>0</v>
      </c>
      <c r="K77" s="80">
        <f>'CapexSum$FY22'!K77*K$27</f>
        <v>0</v>
      </c>
      <c r="L77" s="80">
        <f>'CapexSum$FY22'!L77*L$27</f>
        <v>0</v>
      </c>
      <c r="M77" s="80">
        <f>'CapexSum$FY22'!M77*M$27</f>
        <v>0</v>
      </c>
      <c r="N77" s="80">
        <f>'CapexSum$FY22'!N77*N$27</f>
        <v>106160.42846572488</v>
      </c>
      <c r="O77" s="80">
        <f>'CapexSum$FY22'!O77*O$27</f>
        <v>52755.481699368604</v>
      </c>
      <c r="P77" s="80">
        <f>'CapexSum$FY22'!P77*P$27</f>
        <v>105521.58566743661</v>
      </c>
      <c r="Q77" s="80">
        <f>'CapexSum$FY22'!Q77*Q$27</f>
        <v>105538.20637629642</v>
      </c>
      <c r="R77" s="80">
        <f>'CapexSum$FY22'!R77*R$27</f>
        <v>105561.85479486361</v>
      </c>
      <c r="S77" s="80">
        <f>'CapexSum$FY22'!S77*S$27</f>
        <v>105585.76354582106</v>
      </c>
      <c r="T77" s="80">
        <f>'CapexSum$FY22'!T77*T$27</f>
        <v>105609.9354950244</v>
      </c>
    </row>
    <row r="78" spans="6:20" s="41" customFormat="1" outlineLevel="1">
      <c r="F78" s="134">
        <f>GC!C20</f>
        <v>3013</v>
      </c>
      <c r="G78" s="205" t="str">
        <f>GC!F20</f>
        <v>Customer Regulators - Planned</v>
      </c>
      <c r="J78" s="80">
        <f>'CapexSum$FY22'!J78*J$27</f>
        <v>0</v>
      </c>
      <c r="K78" s="80">
        <f>'CapexSum$FY22'!K78*K$27</f>
        <v>0</v>
      </c>
      <c r="L78" s="80">
        <f>'CapexSum$FY22'!L78*L$27</f>
        <v>0</v>
      </c>
      <c r="M78" s="80">
        <f>'CapexSum$FY22'!M78*M$27</f>
        <v>0</v>
      </c>
      <c r="N78" s="80">
        <f>'CapexSum$FY22'!N78*N$27</f>
        <v>0</v>
      </c>
      <c r="O78" s="80">
        <f>'CapexSum$FY22'!O78*O$27</f>
        <v>584530.73722900415</v>
      </c>
      <c r="P78" s="80">
        <f>'CapexSum$FY22'!P78*P$27</f>
        <v>1213471.8547791042</v>
      </c>
      <c r="Q78" s="80">
        <f>'CapexSum$FY22'!Q78*Q$27</f>
        <v>1061239.4342168486</v>
      </c>
      <c r="R78" s="80">
        <f>'CapexSum$FY22'!R78*R$27</f>
        <v>753975.5478723133</v>
      </c>
      <c r="S78" s="80">
        <f>'CapexSum$FY22'!S78*S$27</f>
        <v>693223.33056008816</v>
      </c>
      <c r="T78" s="80">
        <f>'CapexSum$FY22'!T78*T$27</f>
        <v>735863.62804545648</v>
      </c>
    </row>
    <row r="79" spans="6:20" s="41" customFormat="1" outlineLevel="1">
      <c r="F79" s="134">
        <f>GC!C21</f>
        <v>3014</v>
      </c>
      <c r="G79" s="205" t="str">
        <f>GC!F21</f>
        <v>Customer Regulators - Ad Hoc</v>
      </c>
      <c r="J79" s="80">
        <f>'CapexSum$FY22'!J79*J$27</f>
        <v>0</v>
      </c>
      <c r="K79" s="80">
        <f>'CapexSum$FY22'!K79*K$27</f>
        <v>0</v>
      </c>
      <c r="L79" s="80">
        <f>'CapexSum$FY22'!L79*L$27</f>
        <v>0</v>
      </c>
      <c r="M79" s="80">
        <f>'CapexSum$FY22'!M79*M$27</f>
        <v>0</v>
      </c>
      <c r="N79" s="80">
        <f>'CapexSum$FY22'!N79*N$27</f>
        <v>0</v>
      </c>
      <c r="O79" s="80">
        <f>'CapexSum$FY22'!O79*O$27</f>
        <v>923853.99551934295</v>
      </c>
      <c r="P79" s="80">
        <f>'CapexSum$FY22'!P79*P$27</f>
        <v>1847894.00820815</v>
      </c>
      <c r="Q79" s="80">
        <f>'CapexSum$FY22'!Q79*Q$27</f>
        <v>1848185.070061703</v>
      </c>
      <c r="R79" s="80">
        <f>'CapexSum$FY22'!R79*R$27</f>
        <v>1848599.2011676517</v>
      </c>
      <c r="S79" s="80">
        <f>'CapexSum$FY22'!S79*S$27</f>
        <v>1849017.8912144185</v>
      </c>
      <c r="T79" s="80">
        <f>'CapexSum$FY22'!T79*T$27</f>
        <v>1849441.1903888672</v>
      </c>
    </row>
    <row r="80" spans="6:20" s="41" customFormat="1" outlineLevel="1">
      <c r="F80" s="134">
        <f>GC!C22</f>
        <v>3015</v>
      </c>
      <c r="G80" s="205" t="str">
        <f>GC!F22</f>
        <v>Cathodic Protection</v>
      </c>
      <c r="J80" s="80">
        <f>'CapexSum$FY22'!J80*J$27</f>
        <v>0</v>
      </c>
      <c r="K80" s="80">
        <f>'CapexSum$FY22'!K80*K$27</f>
        <v>0</v>
      </c>
      <c r="L80" s="80">
        <f>'CapexSum$FY22'!L80*L$27</f>
        <v>0</v>
      </c>
      <c r="M80" s="80">
        <f>'CapexSum$FY22'!M80*M$27</f>
        <v>0</v>
      </c>
      <c r="N80" s="80">
        <f>'CapexSum$FY22'!N80*N$27</f>
        <v>213640.90048920672</v>
      </c>
      <c r="O80" s="80">
        <f>'CapexSum$FY22'!O80*O$27</f>
        <v>202602.09945115086</v>
      </c>
      <c r="P80" s="80">
        <f>'CapexSum$FY22'!P80*P$27</f>
        <v>405285.77792591311</v>
      </c>
      <c r="Q80" s="80">
        <f>'CapexSum$FY22'!Q80*Q$27</f>
        <v>426528.70752047515</v>
      </c>
      <c r="R80" s="80">
        <f>'CapexSum$FY22'!R80*R$27</f>
        <v>412988.70449583343</v>
      </c>
      <c r="S80" s="80">
        <f>'CapexSum$FY22'!S80*S$27</f>
        <v>413175.67092832067</v>
      </c>
      <c r="T80" s="80">
        <f>'CapexSum$FY22'!T80*T$27</f>
        <v>413364.69557109085</v>
      </c>
    </row>
    <row r="81" spans="3:20" s="41" customFormat="1" outlineLevel="1">
      <c r="F81" s="134">
        <f>GC!C23</f>
        <v>3016</v>
      </c>
      <c r="G81" s="205" t="str">
        <f>GC!F23</f>
        <v>SCADA</v>
      </c>
      <c r="J81" s="80">
        <f>'CapexSum$FY22'!J81*J$27</f>
        <v>0</v>
      </c>
      <c r="K81" s="80">
        <f>'CapexSum$FY22'!K81*K$27</f>
        <v>0</v>
      </c>
      <c r="L81" s="80">
        <f>'CapexSum$FY22'!L81*L$27</f>
        <v>0</v>
      </c>
      <c r="M81" s="80">
        <f>'CapexSum$FY22'!M81*M$27</f>
        <v>0</v>
      </c>
      <c r="N81" s="80">
        <f>'CapexSum$FY22'!N81*N$27</f>
        <v>1331131.3907223954</v>
      </c>
      <c r="O81" s="80">
        <f>'CapexSum$FY22'!O81*O$27</f>
        <v>147723.02313734809</v>
      </c>
      <c r="P81" s="80">
        <f>'CapexSum$FY22'!P81*P$27</f>
        <v>1218898.9716883393</v>
      </c>
      <c r="Q81" s="80">
        <f>'CapexSum$FY22'!Q81*Q$27</f>
        <v>1166408.2706871133</v>
      </c>
      <c r="R81" s="80">
        <f>'CapexSum$FY22'!R81*R$27</f>
        <v>269261.59459035331</v>
      </c>
      <c r="S81" s="80">
        <f>'CapexSum$FY22'!S81*S$27</f>
        <v>245586.60036605096</v>
      </c>
      <c r="T81" s="80">
        <f>'CapexSum$FY22'!T81*T$27</f>
        <v>269445.50326846837</v>
      </c>
    </row>
    <row r="82" spans="3:20" s="41" customFormat="1" outlineLevel="1">
      <c r="F82" s="134">
        <f>GC!C24</f>
        <v>3017</v>
      </c>
      <c r="G82" s="205" t="str">
        <f>GC!F24</f>
        <v>Augmentation</v>
      </c>
      <c r="J82" s="80">
        <f>'CapexSum$FY22'!J82*J$27</f>
        <v>0</v>
      </c>
      <c r="K82" s="80">
        <f>'CapexSum$FY22'!K82*K$27</f>
        <v>0</v>
      </c>
      <c r="L82" s="80">
        <f>'CapexSum$FY22'!L82*L$27</f>
        <v>0</v>
      </c>
      <c r="M82" s="80">
        <f>'CapexSum$FY22'!M82*M$27</f>
        <v>0</v>
      </c>
      <c r="N82" s="80">
        <f>'CapexSum$FY22'!N82*N$27</f>
        <v>3787318.8622956299</v>
      </c>
      <c r="O82" s="80">
        <f>'CapexSum$FY22'!O82*O$27</f>
        <v>2635396.5545609859</v>
      </c>
      <c r="P82" s="80">
        <f>'CapexSum$FY22'!P82*P$27</f>
        <v>4883348.7065264769</v>
      </c>
      <c r="Q82" s="80">
        <f>'CapexSum$FY22'!Q82*Q$27</f>
        <v>6444869.76837957</v>
      </c>
      <c r="R82" s="80">
        <f>'CapexSum$FY22'!R82*R$27</f>
        <v>3576418.806708164</v>
      </c>
      <c r="S82" s="80">
        <f>'CapexSum$FY22'!S82*S$27</f>
        <v>2092296.236414514</v>
      </c>
      <c r="T82" s="80">
        <f>'CapexSum$FY22'!T82*T$27</f>
        <v>5691374.2655508891</v>
      </c>
    </row>
    <row r="83" spans="3:20" s="41" customFormat="1" outlineLevel="1">
      <c r="F83" s="134">
        <f>GC!C25</f>
        <v>3018</v>
      </c>
      <c r="G83" s="205" t="str">
        <f>GC!F25</f>
        <v>Other Non-Demand</v>
      </c>
      <c r="J83" s="80">
        <f>'CapexSum$FY22'!J83*J$27</f>
        <v>0</v>
      </c>
      <c r="K83" s="80">
        <f>'CapexSum$FY22'!K83*K$27</f>
        <v>0</v>
      </c>
      <c r="L83" s="80">
        <f>'CapexSum$FY22'!L83*L$27</f>
        <v>0</v>
      </c>
      <c r="M83" s="80">
        <f>'CapexSum$FY22'!M83*M$27</f>
        <v>0</v>
      </c>
      <c r="N83" s="80">
        <f>'CapexSum$FY22'!N83*N$27</f>
        <v>0</v>
      </c>
      <c r="O83" s="80">
        <f>'CapexSum$FY22'!O83*O$27</f>
        <v>0</v>
      </c>
      <c r="P83" s="80">
        <f>'CapexSum$FY22'!P83*P$27</f>
        <v>574260.39523304522</v>
      </c>
      <c r="Q83" s="80">
        <f>'CapexSum$FY22'!Q83*Q$27</f>
        <v>1772949.9781749297</v>
      </c>
      <c r="R83" s="80">
        <f>'CapexSum$FY22'!R83*R$27</f>
        <v>2688545.9038969167</v>
      </c>
      <c r="S83" s="80">
        <f>'CapexSum$FY22'!S83*S$27</f>
        <v>756007.91970227705</v>
      </c>
      <c r="T83" s="80">
        <f>'CapexSum$FY22'!T83*T$27</f>
        <v>126.86384518805856</v>
      </c>
    </row>
    <row r="84" spans="3:20" s="41" customFormat="1" outlineLevel="1">
      <c r="F84" s="134">
        <f>GC!C26</f>
        <v>3019</v>
      </c>
      <c r="G84" s="205" t="str">
        <f>GC!F26</f>
        <v>Residential Connections</v>
      </c>
      <c r="J84" s="80">
        <f>'CapexSum$FY22'!J84*J$27</f>
        <v>0</v>
      </c>
      <c r="K84" s="80">
        <f>'CapexSum$FY22'!K84*K$27</f>
        <v>0</v>
      </c>
      <c r="L84" s="80">
        <f>'CapexSum$FY22'!L84*L$27</f>
        <v>0</v>
      </c>
      <c r="M84" s="80">
        <f>'CapexSum$FY22'!M84*M$27</f>
        <v>0</v>
      </c>
      <c r="N84" s="80">
        <f>'CapexSum$FY22'!N84*N$27</f>
        <v>50321236.944889098</v>
      </c>
      <c r="O84" s="80">
        <f>'CapexSum$FY22'!O84*O$27</f>
        <v>20859798.717016291</v>
      </c>
      <c r="P84" s="80">
        <f>'CapexSum$FY22'!P84*P$27</f>
        <v>38344942.941600159</v>
      </c>
      <c r="Q84" s="80">
        <f>'CapexSum$FY22'!Q84*Q$27</f>
        <v>39554319.024978995</v>
      </c>
      <c r="R84" s="80">
        <f>'CapexSum$FY22'!R84*R$27</f>
        <v>40741114.008815221</v>
      </c>
      <c r="S84" s="80">
        <f>'CapexSum$FY22'!S84*S$27</f>
        <v>39761121.092362441</v>
      </c>
      <c r="T84" s="80">
        <f>'CapexSum$FY22'!T84*T$27</f>
        <v>38742858.27812463</v>
      </c>
    </row>
    <row r="85" spans="3:20" s="41" customFormat="1" outlineLevel="1">
      <c r="F85" s="134">
        <f>GC!C27</f>
        <v>3020</v>
      </c>
      <c r="G85" s="205" t="str">
        <f>GC!F27</f>
        <v>Industrial &amp; Commercial Connections</v>
      </c>
      <c r="J85" s="80">
        <f>'CapexSum$FY22'!J85*J$27</f>
        <v>0</v>
      </c>
      <c r="K85" s="80">
        <f>'CapexSum$FY22'!K85*K$27</f>
        <v>0</v>
      </c>
      <c r="L85" s="80">
        <f>'CapexSum$FY22'!L85*L$27</f>
        <v>0</v>
      </c>
      <c r="M85" s="80">
        <f>'CapexSum$FY22'!M85*M$27</f>
        <v>0</v>
      </c>
      <c r="N85" s="80">
        <f>'CapexSum$FY22'!N85*N$27</f>
        <v>2848272.614568403</v>
      </c>
      <c r="O85" s="80">
        <f>'CapexSum$FY22'!O85*O$27</f>
        <v>3775138.3237204454</v>
      </c>
      <c r="P85" s="80">
        <f>'CapexSum$FY22'!P85*P$27</f>
        <v>5074864.7090483094</v>
      </c>
      <c r="Q85" s="80">
        <f>'CapexSum$FY22'!Q85*Q$27</f>
        <v>5169462.8789626202</v>
      </c>
      <c r="R85" s="80">
        <f>'CapexSum$FY22'!R85*R$27</f>
        <v>5262824.2763061216</v>
      </c>
      <c r="S85" s="80">
        <f>'CapexSum$FY22'!S85*S$27</f>
        <v>5195572.2403136641</v>
      </c>
      <c r="T85" s="80">
        <f>'CapexSum$FY22'!T85*T$27</f>
        <v>5125357.9461220559</v>
      </c>
    </row>
    <row r="86" spans="3:20" s="41" customFormat="1" outlineLevel="1">
      <c r="F86" s="134">
        <f>GC!C28</f>
        <v>3021</v>
      </c>
      <c r="G86" s="205" t="str">
        <f>GC!F28</f>
        <v>Industrial &amp; Commercial (Tariff D)</v>
      </c>
      <c r="J86" s="80">
        <f>'CapexSum$FY22'!J86*J$27</f>
        <v>0</v>
      </c>
      <c r="K86" s="80">
        <f>'CapexSum$FY22'!K86*K$27</f>
        <v>0</v>
      </c>
      <c r="L86" s="80">
        <f>'CapexSum$FY22'!L86*L$27</f>
        <v>0</v>
      </c>
      <c r="M86" s="80">
        <f>'CapexSum$FY22'!M86*M$27</f>
        <v>0</v>
      </c>
      <c r="N86" s="80">
        <f>'CapexSum$FY22'!N86*N$27</f>
        <v>846320.69100659003</v>
      </c>
      <c r="O86" s="80">
        <f>'CapexSum$FY22'!O86*O$27</f>
        <v>881567.46791503136</v>
      </c>
      <c r="P86" s="80">
        <f>'CapexSum$FY22'!P86*P$27</f>
        <v>1688310.9337016055</v>
      </c>
      <c r="Q86" s="80">
        <f>'CapexSum$FY22'!Q86*Q$27</f>
        <v>1715449.3263848559</v>
      </c>
      <c r="R86" s="80">
        <f>'CapexSum$FY22'!R86*R$27</f>
        <v>1742197.2649867341</v>
      </c>
      <c r="S86" s="80">
        <f>'CapexSum$FY22'!S86*S$27</f>
        <v>1720798.5041878661</v>
      </c>
      <c r="T86" s="80">
        <f>'CapexSum$FY22'!T86*T$27</f>
        <v>1698553.4558193365</v>
      </c>
    </row>
    <row r="87" spans="3:20" s="41" customFormat="1" outlineLevel="1">
      <c r="F87" s="134">
        <f>GC!C29</f>
        <v>3022</v>
      </c>
      <c r="G87" s="205" t="str">
        <f>GC!F29</f>
        <v>Major Alterations</v>
      </c>
      <c r="J87" s="80">
        <f>'CapexSum$FY22'!J87*J$27</f>
        <v>0</v>
      </c>
      <c r="K87" s="80">
        <f>'CapexSum$FY22'!K87*K$27</f>
        <v>0</v>
      </c>
      <c r="L87" s="80">
        <f>'CapexSum$FY22'!L87*L$27</f>
        <v>0</v>
      </c>
      <c r="M87" s="80">
        <f>'CapexSum$FY22'!M87*M$27</f>
        <v>0</v>
      </c>
      <c r="N87" s="80">
        <f>'CapexSum$FY22'!N87*N$27</f>
        <v>1006137.199856871</v>
      </c>
      <c r="O87" s="80">
        <f>'CapexSum$FY22'!O87*O$27</f>
        <v>1657789.408951334</v>
      </c>
      <c r="P87" s="80">
        <f>'CapexSum$FY22'!P87*P$27</f>
        <v>3128594.1163412598</v>
      </c>
      <c r="Q87" s="80">
        <f>'CapexSum$FY22'!Q87*Q$27</f>
        <v>3196612.5620176634</v>
      </c>
      <c r="R87" s="80">
        <f>'CapexSum$FY22'!R87*R$27</f>
        <v>3263746.501149002</v>
      </c>
      <c r="S87" s="80">
        <f>'CapexSum$FY22'!S87*S$27</f>
        <v>3210447.7806190178</v>
      </c>
      <c r="T87" s="80">
        <f>'CapexSum$FY22'!T87*T$27</f>
        <v>3155008.5199221154</v>
      </c>
    </row>
    <row r="88" spans="3:20" s="41" customFormat="1" outlineLevel="1">
      <c r="F88" s="134">
        <f>GC!C30</f>
        <v>3023</v>
      </c>
      <c r="G88" s="205" t="str">
        <f>GC!F30</f>
        <v>Extensions - New Towns</v>
      </c>
      <c r="J88" s="80">
        <f>'CapexSum$FY22'!J88*J$27</f>
        <v>0</v>
      </c>
      <c r="K88" s="80">
        <f>'CapexSum$FY22'!K88*K$27</f>
        <v>0</v>
      </c>
      <c r="L88" s="80">
        <f>'CapexSum$FY22'!L88*L$27</f>
        <v>0</v>
      </c>
      <c r="M88" s="80">
        <f>'CapexSum$FY22'!M88*M$27</f>
        <v>0</v>
      </c>
      <c r="N88" s="80">
        <f>'CapexSum$FY22'!N88*N$27</f>
        <v>0</v>
      </c>
      <c r="O88" s="80">
        <f>'CapexSum$FY22'!O88*O$27</f>
        <v>0</v>
      </c>
      <c r="P88" s="80">
        <f>'CapexSum$FY22'!P88*P$27</f>
        <v>0</v>
      </c>
      <c r="Q88" s="80">
        <f>'CapexSum$FY22'!Q88*Q$27</f>
        <v>0</v>
      </c>
      <c r="R88" s="80">
        <f>'CapexSum$FY22'!R88*R$27</f>
        <v>0</v>
      </c>
      <c r="S88" s="80">
        <f>'CapexSum$FY22'!S88*S$27</f>
        <v>0</v>
      </c>
      <c r="T88" s="80">
        <f>'CapexSum$FY22'!T88*T$27</f>
        <v>0</v>
      </c>
    </row>
    <row r="89" spans="3:20" s="41" customFormat="1" outlineLevel="1">
      <c r="F89" s="134">
        <f>GC!C31</f>
        <v>3024</v>
      </c>
      <c r="G89" s="205" t="str">
        <f>GC!F31</f>
        <v>Extensions - Other</v>
      </c>
      <c r="J89" s="80">
        <f>'CapexSum$FY22'!J89*J$27</f>
        <v>0</v>
      </c>
      <c r="K89" s="80">
        <f>'CapexSum$FY22'!K89*K$27</f>
        <v>0</v>
      </c>
      <c r="L89" s="80">
        <f>'CapexSum$FY22'!L89*L$27</f>
        <v>0</v>
      </c>
      <c r="M89" s="80">
        <f>'CapexSum$FY22'!M89*M$27</f>
        <v>0</v>
      </c>
      <c r="N89" s="80">
        <f>'CapexSum$FY22'!N89*N$27</f>
        <v>8678974.6850261819</v>
      </c>
      <c r="O89" s="80">
        <f>'CapexSum$FY22'!O89*O$27</f>
        <v>446334.56276498747</v>
      </c>
      <c r="P89" s="80">
        <f>'CapexSum$FY22'!P89*P$27</f>
        <v>0</v>
      </c>
      <c r="Q89" s="80">
        <f>'CapexSum$FY22'!Q89*Q$27</f>
        <v>0</v>
      </c>
      <c r="R89" s="80">
        <f>'CapexSum$FY22'!R89*R$27</f>
        <v>0</v>
      </c>
      <c r="S89" s="80">
        <f>'CapexSum$FY22'!S89*S$27</f>
        <v>0</v>
      </c>
      <c r="T89" s="80">
        <f>'CapexSum$FY22'!T89*T$27</f>
        <v>0</v>
      </c>
    </row>
    <row r="90" spans="3:20" s="41" customFormat="1" outlineLevel="1">
      <c r="F90" s="134">
        <f>GC!C32</f>
        <v>3025</v>
      </c>
      <c r="G90" s="205" t="str">
        <f>GC!F32</f>
        <v xml:space="preserve">City Gate Security Fence Upgrades </v>
      </c>
      <c r="J90" s="80">
        <f>'CapexSum$FY22'!J90*J$27</f>
        <v>0</v>
      </c>
      <c r="K90" s="80">
        <f>'CapexSum$FY22'!K90*K$27</f>
        <v>0</v>
      </c>
      <c r="L90" s="80">
        <f>'CapexSum$FY22'!L90*L$27</f>
        <v>0</v>
      </c>
      <c r="M90" s="80">
        <f>'CapexSum$FY22'!M90*M$27</f>
        <v>0</v>
      </c>
      <c r="N90" s="80">
        <f>'CapexSum$FY22'!N90*N$27</f>
        <v>0</v>
      </c>
      <c r="O90" s="80">
        <f>'CapexSum$FY22'!O90*O$27</f>
        <v>0</v>
      </c>
      <c r="P90" s="80">
        <f>'CapexSum$FY22'!P90*P$27</f>
        <v>585704.7006814098</v>
      </c>
      <c r="Q90" s="80">
        <f>'CapexSum$FY22'!Q90*Q$27</f>
        <v>585843.06808266777</v>
      </c>
      <c r="R90" s="80">
        <f>'CapexSum$FY22'!R90*R$27</f>
        <v>586039.94116723968</v>
      </c>
      <c r="S90" s="80">
        <f>'CapexSum$FY22'!S90*S$27</f>
        <v>586238.98151896033</v>
      </c>
      <c r="T90" s="80">
        <f>'CapexSum$FY22'!T90*T$27</f>
        <v>523041.27105055621</v>
      </c>
    </row>
    <row r="91" spans="3:20" s="41" customFormat="1" outlineLevel="1">
      <c r="F91" s="134">
        <f>GC!C33</f>
        <v>3027</v>
      </c>
      <c r="G91" s="205" t="str">
        <f>GC!F33</f>
        <v>IT</v>
      </c>
      <c r="J91" s="80">
        <f>'CapexSum$FY22'!J91*J$27</f>
        <v>0</v>
      </c>
      <c r="K91" s="80">
        <f>'CapexSum$FY22'!K91*K$27</f>
        <v>0</v>
      </c>
      <c r="L91" s="80">
        <f>'CapexSum$FY22'!L91*L$27</f>
        <v>0</v>
      </c>
      <c r="M91" s="80">
        <f>'CapexSum$FY22'!M91*M$27</f>
        <v>0</v>
      </c>
      <c r="N91" s="80">
        <f>'CapexSum$FY22'!N91*N$27</f>
        <v>6852633.38595099</v>
      </c>
      <c r="O91" s="80">
        <f>'CapexSum$FY22'!O91*O$27</f>
        <v>3426284.774147653</v>
      </c>
      <c r="P91" s="80">
        <f>'CapexSum$FY22'!P91*P$27</f>
        <v>15911940.863268567</v>
      </c>
      <c r="Q91" s="80">
        <f>'CapexSum$FY22'!Q91*Q$27</f>
        <v>18321777.077766862</v>
      </c>
      <c r="R91" s="80">
        <f>'CapexSum$FY22'!R91*R$27</f>
        <v>19894792.540225342</v>
      </c>
      <c r="S91" s="80">
        <f>'CapexSum$FY22'!S91*S$27</f>
        <v>9779819.1588002276</v>
      </c>
      <c r="T91" s="80">
        <f>'CapexSum$FY22'!T91*T$27</f>
        <v>7165074.3664562125</v>
      </c>
    </row>
    <row r="92" spans="3:20" s="41" customFormat="1" outlineLevel="1">
      <c r="F92" s="134">
        <f>GC!C34</f>
        <v>3031</v>
      </c>
      <c r="G92" s="205" t="str">
        <f>GC!F34</f>
        <v>Other Non-IT</v>
      </c>
      <c r="J92" s="80">
        <f>'CapexSum$FY22'!J92*J$27</f>
        <v>0</v>
      </c>
      <c r="K92" s="80">
        <f>'CapexSum$FY22'!K92*K$27</f>
        <v>0</v>
      </c>
      <c r="L92" s="80">
        <f>'CapexSum$FY22'!L92*L$27</f>
        <v>0</v>
      </c>
      <c r="M92" s="80">
        <f>'CapexSum$FY22'!M92*M$27</f>
        <v>0</v>
      </c>
      <c r="N92" s="80">
        <f>'CapexSum$FY22'!N92*N$27</f>
        <v>380952.5927327798</v>
      </c>
      <c r="O92" s="80">
        <f>'CapexSum$FY22'!O92*O$27</f>
        <v>266160.2745760468</v>
      </c>
      <c r="P92" s="80">
        <f>'CapexSum$FY22'!P92*P$27</f>
        <v>1064855.4405581213</v>
      </c>
      <c r="Q92" s="80">
        <f>'CapexSum$FY22'!Q92*Q$27</f>
        <v>1065190.8227914094</v>
      </c>
      <c r="R92" s="80">
        <f>'CapexSum$FY22'!R92*R$27</f>
        <v>1065668.0141976061</v>
      </c>
      <c r="S92" s="80">
        <f>'CapexSum$FY22'!S92*S$27</f>
        <v>1066150.4587406681</v>
      </c>
      <c r="T92" s="80">
        <f>'CapexSum$FY22'!T92*T$27</f>
        <v>1066638.2142494807</v>
      </c>
    </row>
    <row r="93" spans="3:20" s="41" customFormat="1" ht="5.9" customHeight="1" outlineLevel="1"/>
    <row r="94" spans="3:20" s="41" customFormat="1" outlineLevel="1">
      <c r="F94" s="250" t="str">
        <f>"Total "&amp;E64</f>
        <v>Total Direct Capex including Non-CPI Escalation</v>
      </c>
      <c r="G94" s="250"/>
      <c r="H94" s="250"/>
      <c r="I94" s="250"/>
      <c r="J94" s="101">
        <f t="shared" ref="J94:T94" si="9">SUM(J66:J93)</f>
        <v>0</v>
      </c>
      <c r="K94" s="101">
        <f t="shared" si="9"/>
        <v>0</v>
      </c>
      <c r="L94" s="101">
        <f t="shared" si="9"/>
        <v>0</v>
      </c>
      <c r="M94" s="101">
        <f t="shared" si="9"/>
        <v>0</v>
      </c>
      <c r="N94" s="101">
        <f t="shared" si="9"/>
        <v>103846931.81185135</v>
      </c>
      <c r="O94" s="101">
        <f t="shared" si="9"/>
        <v>61325728.506928235</v>
      </c>
      <c r="P94" s="101">
        <f t="shared" si="9"/>
        <v>114807467.2366029</v>
      </c>
      <c r="Q94" s="101">
        <f t="shared" si="9"/>
        <v>119162077.4772754</v>
      </c>
      <c r="R94" s="101">
        <f t="shared" si="9"/>
        <v>116572244.88794123</v>
      </c>
      <c r="S94" s="101">
        <f t="shared" si="9"/>
        <v>103755265.69029623</v>
      </c>
      <c r="T94" s="101">
        <f t="shared" si="9"/>
        <v>93723473.572243854</v>
      </c>
    </row>
    <row r="95" spans="3:20" s="41" customFormat="1" outlineLevel="1">
      <c r="C95" s="109"/>
      <c r="D95" s="109"/>
      <c r="E95" s="109"/>
      <c r="F95" s="109"/>
      <c r="G95" s="109"/>
      <c r="H95" s="109"/>
      <c r="I95" s="109"/>
      <c r="J95" s="109"/>
      <c r="K95" s="109"/>
      <c r="L95" s="109"/>
      <c r="M95" s="109"/>
      <c r="N95" s="109"/>
      <c r="O95" s="109"/>
      <c r="P95" s="109"/>
      <c r="Q95" s="109"/>
      <c r="R95" s="109"/>
      <c r="S95" s="109"/>
      <c r="T95" s="109"/>
    </row>
    <row r="96" spans="3:20" s="41" customFormat="1" outlineLevel="1"/>
    <row r="97" spans="4:20" s="41" customFormat="1" outlineLevel="1">
      <c r="D97" s="50" t="str">
        <f>'CapexSum$FY22'!D97</f>
        <v>RAB Category Allocation</v>
      </c>
    </row>
    <row r="98" spans="4:20" s="41" customFormat="1" ht="5.9" customHeight="1" outlineLevel="1"/>
    <row r="99" spans="4:20" s="41" customFormat="1" outlineLevel="1">
      <c r="E99" s="50" t="str">
        <f>'CapexSum$FY22'!E99</f>
        <v>Direct Costs</v>
      </c>
    </row>
    <row r="100" spans="4:20" s="41" customFormat="1" ht="5.9" customHeight="1" outlineLevel="1"/>
    <row r="101" spans="4:20" s="41" customFormat="1" outlineLevel="1">
      <c r="F101" s="251" t="str">
        <f>GC!C40</f>
        <v>Transmission pipelines</v>
      </c>
      <c r="G101" s="251"/>
      <c r="H101" s="251"/>
      <c r="I101" s="251"/>
      <c r="J101" s="80">
        <f ca="1">('CapexSum$Nom'!J101*J$28)*J$17+('CapexSum$FY22'!J101*J$27)*J$18</f>
        <v>0</v>
      </c>
      <c r="K101" s="80">
        <f ca="1">('CapexSum$Nom'!K101*K$28)*K$17+('CapexSum$FY22'!K101*K$27)*K$18</f>
        <v>-4986.6596354864541</v>
      </c>
      <c r="L101" s="80">
        <f ca="1">('CapexSum$Nom'!L101*L$28)*L$17+('CapexSum$FY22'!L101*L$27)*L$18</f>
        <v>3631520.2042219196</v>
      </c>
      <c r="M101" s="80">
        <f ca="1">('CapexSum$Nom'!M101*M$28)*M$17+('CapexSum$FY22'!M101*M$27)*M$18</f>
        <v>4653153.9814067362</v>
      </c>
      <c r="N101" s="80">
        <f ca="1">('CapexSum$Nom'!N101*N$28)*N$17+('CapexSum$FY22'!N101*N$27)*N$18</f>
        <v>0</v>
      </c>
      <c r="O101" s="80">
        <f ca="1">('CapexSum$Nom'!O101*O$28)*O$17+('CapexSum$FY22'!O101*O$27)*O$18</f>
        <v>0</v>
      </c>
      <c r="P101" s="80">
        <f ca="1">('CapexSum$Nom'!P101*P$28)*P$17+('CapexSum$FY22'!P101*P$27)*P$18</f>
        <v>0</v>
      </c>
      <c r="Q101" s="80">
        <f ca="1">('CapexSum$Nom'!Q101*Q$28)*Q$17+('CapexSum$FY22'!Q101*Q$27)*Q$18</f>
        <v>0</v>
      </c>
      <c r="R101" s="80">
        <f ca="1">('CapexSum$Nom'!R101*R$28)*R$17+('CapexSum$FY22'!R101*R$27)*R$18</f>
        <v>0</v>
      </c>
      <c r="S101" s="80">
        <f ca="1">('CapexSum$Nom'!S101*S$28)*S$17+('CapexSum$FY22'!S101*S$27)*S$18</f>
        <v>0</v>
      </c>
      <c r="T101" s="80">
        <f ca="1">('CapexSum$Nom'!T101*T$28)*T$17+('CapexSum$FY22'!T101*T$27)*T$18</f>
        <v>0</v>
      </c>
    </row>
    <row r="102" spans="4:20" s="41" customFormat="1" outlineLevel="1">
      <c r="F102" s="251" t="str">
        <f>GC!C41</f>
        <v>Distribution pipelines</v>
      </c>
      <c r="G102" s="251"/>
      <c r="H102" s="251"/>
      <c r="I102" s="251"/>
      <c r="J102" s="80">
        <f ca="1">('CapexSum$Nom'!J102*J$28)*J$17+('CapexSum$FY22'!J102*J$27)*J$18</f>
        <v>49564587.700043149</v>
      </c>
      <c r="K102" s="80">
        <f ca="1">('CapexSum$Nom'!K102*K$28)*K$17+('CapexSum$FY22'!K102*K$27)*K$18</f>
        <v>45076280.72000654</v>
      </c>
      <c r="L102" s="80">
        <f ca="1">('CapexSum$Nom'!L102*L$28)*L$17+('CapexSum$FY22'!L102*L$27)*L$18</f>
        <v>40020960.555867255</v>
      </c>
      <c r="M102" s="80">
        <f ca="1">('CapexSum$Nom'!M102*M$28)*M$17+('CapexSum$FY22'!M102*M$27)*M$18</f>
        <v>41053927.221881449</v>
      </c>
      <c r="N102" s="80">
        <f ca="1">('CapexSum$Nom'!N102*N$28)*N$17+('CapexSum$FY22'!N102*N$27)*N$18</f>
        <v>0</v>
      </c>
      <c r="O102" s="80">
        <f ca="1">('CapexSum$Nom'!O102*O$28)*O$17+('CapexSum$FY22'!O102*O$27)*O$18</f>
        <v>0</v>
      </c>
      <c r="P102" s="80">
        <f ca="1">('CapexSum$Nom'!P102*P$28)*P$17+('CapexSum$FY22'!P102*P$27)*P$18</f>
        <v>0</v>
      </c>
      <c r="Q102" s="80">
        <f ca="1">('CapexSum$Nom'!Q102*Q$28)*Q$17+('CapexSum$FY22'!Q102*Q$27)*Q$18</f>
        <v>0</v>
      </c>
      <c r="R102" s="80">
        <f ca="1">('CapexSum$Nom'!R102*R$28)*R$17+('CapexSum$FY22'!R102*R$27)*R$18</f>
        <v>0</v>
      </c>
      <c r="S102" s="80">
        <f ca="1">('CapexSum$Nom'!S102*S$28)*S$17+('CapexSum$FY22'!S102*S$27)*S$18</f>
        <v>0</v>
      </c>
      <c r="T102" s="80">
        <f ca="1">('CapexSum$Nom'!T102*T$28)*T$17+('CapexSum$FY22'!T102*T$27)*T$18</f>
        <v>0</v>
      </c>
    </row>
    <row r="103" spans="4:20" s="41" customFormat="1" outlineLevel="1">
      <c r="F103" s="251" t="str">
        <f>GC!C42</f>
        <v>Service pipes</v>
      </c>
      <c r="G103" s="251"/>
      <c r="H103" s="251"/>
      <c r="I103" s="251"/>
      <c r="J103" s="80">
        <f ca="1">('CapexSum$Nom'!J103*J$28)*J$17+('CapexSum$FY22'!J103*J$27)*J$18</f>
        <v>27606136.06525901</v>
      </c>
      <c r="K103" s="80">
        <f ca="1">('CapexSum$Nom'!K103*K$28)*K$17+('CapexSum$FY22'!K103*K$27)*K$18</f>
        <v>38513908.185154594</v>
      </c>
      <c r="L103" s="80">
        <f ca="1">('CapexSum$Nom'!L103*L$28)*L$17+('CapexSum$FY22'!L103*L$27)*L$18</f>
        <v>39251704.830355838</v>
      </c>
      <c r="M103" s="80">
        <f ca="1">('CapexSum$Nom'!M103*M$28)*M$17+('CapexSum$FY22'!M103*M$27)*M$18</f>
        <v>38831270.615360193</v>
      </c>
      <c r="N103" s="80">
        <f ca="1">('CapexSum$Nom'!N103*N$28)*N$17+('CapexSum$FY22'!N103*N$27)*N$18</f>
        <v>0</v>
      </c>
      <c r="O103" s="80">
        <f ca="1">('CapexSum$Nom'!O103*O$28)*O$17+('CapexSum$FY22'!O103*O$27)*O$18</f>
        <v>0</v>
      </c>
      <c r="P103" s="80">
        <f ca="1">('CapexSum$Nom'!P103*P$28)*P$17+('CapexSum$FY22'!P103*P$27)*P$18</f>
        <v>0</v>
      </c>
      <c r="Q103" s="80">
        <f ca="1">('CapexSum$Nom'!Q103*Q$28)*Q$17+('CapexSum$FY22'!Q103*Q$27)*Q$18</f>
        <v>0</v>
      </c>
      <c r="R103" s="80">
        <f ca="1">('CapexSum$Nom'!R103*R$28)*R$17+('CapexSum$FY22'!R103*R$27)*R$18</f>
        <v>0</v>
      </c>
      <c r="S103" s="80">
        <f ca="1">('CapexSum$Nom'!S103*S$28)*S$17+('CapexSum$FY22'!S103*S$27)*S$18</f>
        <v>0</v>
      </c>
      <c r="T103" s="80">
        <f ca="1">('CapexSum$Nom'!T103*T$28)*T$17+('CapexSum$FY22'!T103*T$27)*T$18</f>
        <v>0</v>
      </c>
    </row>
    <row r="104" spans="4:20" s="41" customFormat="1" outlineLevel="1">
      <c r="F104" s="251" t="str">
        <f>GC!C43</f>
        <v>Cathodic protection</v>
      </c>
      <c r="G104" s="251"/>
      <c r="H104" s="251"/>
      <c r="I104" s="251"/>
      <c r="J104" s="80">
        <f ca="1">('CapexSum$Nom'!J104*J$28)*J$17+('CapexSum$FY22'!J104*J$27)*J$18</f>
        <v>107239.33993385655</v>
      </c>
      <c r="K104" s="80">
        <f ca="1">('CapexSum$Nom'!K104*K$28)*K$17+('CapexSum$FY22'!K104*K$27)*K$18</f>
        <v>202873.94777007439</v>
      </c>
      <c r="L104" s="80">
        <f ca="1">('CapexSum$Nom'!L104*L$28)*L$17+('CapexSum$FY22'!L104*L$27)*L$18</f>
        <v>152939.70009490231</v>
      </c>
      <c r="M104" s="80">
        <f ca="1">('CapexSum$Nom'!M104*M$28)*M$17+('CapexSum$FY22'!M104*M$27)*M$18</f>
        <v>124000.64338703734</v>
      </c>
      <c r="N104" s="80">
        <f ca="1">('CapexSum$Nom'!N104*N$28)*N$17+('CapexSum$FY22'!N104*N$27)*N$18</f>
        <v>0</v>
      </c>
      <c r="O104" s="80">
        <f ca="1">('CapexSum$Nom'!O104*O$28)*O$17+('CapexSum$FY22'!O104*O$27)*O$18</f>
        <v>0</v>
      </c>
      <c r="P104" s="80">
        <f ca="1">('CapexSum$Nom'!P104*P$28)*P$17+('CapexSum$FY22'!P104*P$27)*P$18</f>
        <v>0</v>
      </c>
      <c r="Q104" s="80">
        <f ca="1">('CapexSum$Nom'!Q104*Q$28)*Q$17+('CapexSum$FY22'!Q104*Q$27)*Q$18</f>
        <v>0</v>
      </c>
      <c r="R104" s="80">
        <f ca="1">('CapexSum$Nom'!R104*R$28)*R$17+('CapexSum$FY22'!R104*R$27)*R$18</f>
        <v>0</v>
      </c>
      <c r="S104" s="80">
        <f ca="1">('CapexSum$Nom'!S104*S$28)*S$17+('CapexSum$FY22'!S104*S$27)*S$18</f>
        <v>0</v>
      </c>
      <c r="T104" s="80">
        <f ca="1">('CapexSum$Nom'!T104*T$28)*T$17+('CapexSum$FY22'!T104*T$27)*T$18</f>
        <v>0</v>
      </c>
    </row>
    <row r="105" spans="4:20" s="41" customFormat="1" outlineLevel="1">
      <c r="F105" s="251" t="str">
        <f>GC!C44</f>
        <v>Supply Regulators / Valve Stations</v>
      </c>
      <c r="G105" s="251"/>
      <c r="H105" s="251"/>
      <c r="I105" s="251"/>
      <c r="J105" s="80">
        <f ca="1">('CapexSum$Nom'!J105*J$28)*J$17+('CapexSum$FY22'!J105*J$27)*J$18</f>
        <v>1828746.0981928133</v>
      </c>
      <c r="K105" s="80">
        <f ca="1">('CapexSum$Nom'!K105*K$28)*K$17+('CapexSum$FY22'!K105*K$27)*K$18</f>
        <v>654666.54460957204</v>
      </c>
      <c r="L105" s="80">
        <f ca="1">('CapexSum$Nom'!L105*L$28)*L$17+('CapexSum$FY22'!L105*L$27)*L$18</f>
        <v>1543097.0680439256</v>
      </c>
      <c r="M105" s="80">
        <f ca="1">('CapexSum$Nom'!M105*M$28)*M$17+('CapexSum$FY22'!M105*M$27)*M$18</f>
        <v>5716971.0342983985</v>
      </c>
      <c r="N105" s="80">
        <f ca="1">('CapexSum$Nom'!N105*N$28)*N$17+('CapexSum$FY22'!N105*N$27)*N$18</f>
        <v>8703616.8582687359</v>
      </c>
      <c r="O105" s="80">
        <f ca="1">('CapexSum$Nom'!O105*O$28)*O$17+('CapexSum$FY22'!O105*O$27)*O$18</f>
        <v>2771436.9967689482</v>
      </c>
      <c r="P105" s="80">
        <f ca="1">('CapexSum$Nom'!P105*P$28)*P$17+('CapexSum$FY22'!P105*P$27)*P$18</f>
        <v>6765307.3510523867</v>
      </c>
      <c r="Q105" s="80">
        <f ca="1">('CapexSum$Nom'!Q105*Q$28)*Q$17+('CapexSum$FY22'!Q105*Q$27)*Q$18</f>
        <v>8023320.8333763387</v>
      </c>
      <c r="R105" s="80">
        <f ca="1">('CapexSum$Nom'!R105*R$28)*R$17+('CapexSum$FY22'!R105*R$27)*R$18</f>
        <v>4302120.6112372698</v>
      </c>
      <c r="S105" s="80">
        <f ca="1">('CapexSum$Nom'!S105*S$28)*S$17+('CapexSum$FY22'!S105*S$27)*S$18</f>
        <v>4358316.3547626287</v>
      </c>
      <c r="T105" s="80">
        <f ca="1">('CapexSum$Nom'!T105*T$28)*T$17+('CapexSum$FY22'!T105*T$27)*T$18</f>
        <v>7851600.8901245305</v>
      </c>
    </row>
    <row r="106" spans="4:20" s="41" customFormat="1" outlineLevel="1">
      <c r="F106" s="251" t="str">
        <f>GC!C45</f>
        <v>Meters</v>
      </c>
      <c r="G106" s="251"/>
      <c r="H106" s="251"/>
      <c r="I106" s="251"/>
      <c r="J106" s="80">
        <f ca="1">('CapexSum$Nom'!J106*J$28)*J$17+('CapexSum$FY22'!J106*J$27)*J$18</f>
        <v>16847924.705163121</v>
      </c>
      <c r="K106" s="80">
        <f ca="1">('CapexSum$Nom'!K106*K$28)*K$17+('CapexSum$FY22'!K106*K$27)*K$18</f>
        <v>16728311.818239147</v>
      </c>
      <c r="L106" s="80">
        <f ca="1">('CapexSum$Nom'!L106*L$28)*L$17+('CapexSum$FY22'!L106*L$27)*L$18</f>
        <v>12931524.882449381</v>
      </c>
      <c r="M106" s="80">
        <f ca="1">('CapexSum$Nom'!M106*M$28)*M$17+('CapexSum$FY22'!M106*M$27)*M$18</f>
        <v>18561858.283766415</v>
      </c>
      <c r="N106" s="80">
        <f ca="1">('CapexSum$Nom'!N106*N$28)*N$17+('CapexSum$FY22'!N106*N$27)*N$18</f>
        <v>16023649.60149195</v>
      </c>
      <c r="O106" s="80">
        <f ca="1">('CapexSum$Nom'!O106*O$28)*O$17+('CapexSum$FY22'!O106*O$27)*O$18</f>
        <v>8337008.3076425008</v>
      </c>
      <c r="P106" s="80">
        <f ca="1">('CapexSum$Nom'!P106*P$28)*P$17+('CapexSum$FY22'!P106*P$27)*P$18</f>
        <v>15498191.798098624</v>
      </c>
      <c r="Q106" s="80">
        <f ca="1">('CapexSum$Nom'!Q106*Q$28)*Q$17+('CapexSum$FY22'!Q106*Q$27)*Q$18</f>
        <v>16848026.112152867</v>
      </c>
      <c r="R106" s="80">
        <f ca="1">('CapexSum$Nom'!R106*R$28)*R$17+('CapexSum$FY22'!R106*R$27)*R$18</f>
        <v>17669618.365282077</v>
      </c>
      <c r="S106" s="80">
        <f ca="1">('CapexSum$Nom'!S106*S$28)*S$17+('CapexSum$FY22'!S106*S$27)*S$18</f>
        <v>15947463.766464494</v>
      </c>
      <c r="T106" s="80">
        <f ca="1">('CapexSum$Nom'!T106*T$28)*T$17+('CapexSum$FY22'!T106*T$27)*T$18</f>
        <v>14933937.34004795</v>
      </c>
    </row>
    <row r="107" spans="4:20" s="41" customFormat="1" outlineLevel="1">
      <c r="F107" s="251" t="str">
        <f>GC!C46</f>
        <v>SCADA and remote control</v>
      </c>
      <c r="G107" s="251"/>
      <c r="H107" s="251"/>
      <c r="I107" s="251"/>
      <c r="J107" s="80">
        <f ca="1">('CapexSum$Nom'!J107*J$28)*J$17+('CapexSum$FY22'!J107*J$27)*J$18</f>
        <v>324861.71924819006</v>
      </c>
      <c r="K107" s="80">
        <f ca="1">('CapexSum$Nom'!K107*K$28)*K$17+('CapexSum$FY22'!K107*K$27)*K$18</f>
        <v>460882.54952104925</v>
      </c>
      <c r="L107" s="80">
        <f ca="1">('CapexSum$Nom'!L107*L$28)*L$17+('CapexSum$FY22'!L107*L$27)*L$18</f>
        <v>395623.93849942769</v>
      </c>
      <c r="M107" s="80">
        <f ca="1">('CapexSum$Nom'!M107*M$28)*M$17+('CapexSum$FY22'!M107*M$27)*M$18</f>
        <v>564789.7875835509</v>
      </c>
      <c r="N107" s="80">
        <f ca="1">('CapexSum$Nom'!N107*N$28)*N$17+('CapexSum$FY22'!N107*N$27)*N$18</f>
        <v>1331131.3907223954</v>
      </c>
      <c r="O107" s="80">
        <f ca="1">('CapexSum$Nom'!O107*O$28)*O$17+('CapexSum$FY22'!O107*O$27)*O$18</f>
        <v>147723.02313734809</v>
      </c>
      <c r="P107" s="80">
        <f ca="1">('CapexSum$Nom'!P107*P$28)*P$17+('CapexSum$FY22'!P107*P$27)*P$18</f>
        <v>1218898.9716883393</v>
      </c>
      <c r="Q107" s="80">
        <f ca="1">('CapexSum$Nom'!Q107*Q$28)*Q$17+('CapexSum$FY22'!Q107*Q$27)*Q$18</f>
        <v>1166408.2706871133</v>
      </c>
      <c r="R107" s="80">
        <f ca="1">('CapexSum$Nom'!R107*R$28)*R$17+('CapexSum$FY22'!R107*R$27)*R$18</f>
        <v>269261.59459035331</v>
      </c>
      <c r="S107" s="80">
        <f ca="1">('CapexSum$Nom'!S107*S$28)*S$17+('CapexSum$FY22'!S107*S$27)*S$18</f>
        <v>245586.60036605096</v>
      </c>
      <c r="T107" s="80">
        <f ca="1">('CapexSum$Nom'!T107*T$28)*T$17+('CapexSum$FY22'!T107*T$27)*T$18</f>
        <v>269445.50326846837</v>
      </c>
    </row>
    <row r="108" spans="4:20" s="41" customFormat="1" outlineLevel="1">
      <c r="F108" s="251" t="str">
        <f>GC!C47</f>
        <v>Buildings</v>
      </c>
      <c r="G108" s="251"/>
      <c r="H108" s="251"/>
      <c r="I108" s="251"/>
      <c r="J108" s="80">
        <f ca="1">('CapexSum$Nom'!J108*J$28)*J$17+('CapexSum$FY22'!J108*J$27)*J$18</f>
        <v>0</v>
      </c>
      <c r="K108" s="80">
        <f ca="1">('CapexSum$Nom'!K108*K$28)*K$17+('CapexSum$FY22'!K108*K$27)*K$18</f>
        <v>0</v>
      </c>
      <c r="L108" s="80">
        <f ca="1">('CapexSum$Nom'!L108*L$28)*L$17+('CapexSum$FY22'!L108*L$27)*L$18</f>
        <v>0</v>
      </c>
      <c r="M108" s="80">
        <f ca="1">('CapexSum$Nom'!M108*M$28)*M$17+('CapexSum$FY22'!M108*M$27)*M$18</f>
        <v>0</v>
      </c>
      <c r="N108" s="80">
        <f ca="1">('CapexSum$Nom'!N108*N$28)*N$17+('CapexSum$FY22'!N108*N$27)*N$18</f>
        <v>0</v>
      </c>
      <c r="O108" s="80">
        <f ca="1">('CapexSum$Nom'!O108*O$28)*O$17+('CapexSum$FY22'!O108*O$27)*O$18</f>
        <v>0</v>
      </c>
      <c r="P108" s="80">
        <f ca="1">('CapexSum$Nom'!P108*P$28)*P$17+('CapexSum$FY22'!P108*P$27)*P$18</f>
        <v>0</v>
      </c>
      <c r="Q108" s="80">
        <f ca="1">('CapexSum$Nom'!Q108*Q$28)*Q$17+('CapexSum$FY22'!Q108*Q$27)*Q$18</f>
        <v>0</v>
      </c>
      <c r="R108" s="80">
        <f ca="1">('CapexSum$Nom'!R108*R$28)*R$17+('CapexSum$FY22'!R108*R$27)*R$18</f>
        <v>0</v>
      </c>
      <c r="S108" s="80">
        <f ca="1">('CapexSum$Nom'!S108*S$28)*S$17+('CapexSum$FY22'!S108*S$27)*S$18</f>
        <v>0</v>
      </c>
      <c r="T108" s="80">
        <f ca="1">('CapexSum$Nom'!T108*T$28)*T$17+('CapexSum$FY22'!T108*T$27)*T$18</f>
        <v>0</v>
      </c>
    </row>
    <row r="109" spans="4:20" s="41" customFormat="1" outlineLevel="1">
      <c r="F109" s="251" t="str">
        <f>GC!C48</f>
        <v>Other - IT</v>
      </c>
      <c r="G109" s="251"/>
      <c r="H109" s="251"/>
      <c r="I109" s="251"/>
      <c r="J109" s="80">
        <f ca="1">('CapexSum$Nom'!J109*J$28)*J$17+('CapexSum$FY22'!J109*J$27)*J$18</f>
        <v>9308207.9620682932</v>
      </c>
      <c r="K109" s="80">
        <f ca="1">('CapexSum$Nom'!K109*K$28)*K$17+('CapexSum$FY22'!K109*K$27)*K$18</f>
        <v>7976450.7375562834</v>
      </c>
      <c r="L109" s="80">
        <f ca="1">('CapexSum$Nom'!L109*L$28)*L$17+('CapexSum$FY22'!L109*L$27)*L$18</f>
        <v>6259765.1868062709</v>
      </c>
      <c r="M109" s="80">
        <f ca="1">('CapexSum$Nom'!M109*M$28)*M$17+('CapexSum$FY22'!M109*M$27)*M$18</f>
        <v>7417195.2841925016</v>
      </c>
      <c r="N109" s="80">
        <f ca="1">('CapexSum$Nom'!N109*N$28)*N$17+('CapexSum$FY22'!N109*N$27)*N$18</f>
        <v>6852633.38595099</v>
      </c>
      <c r="O109" s="80">
        <f ca="1">('CapexSum$Nom'!O109*O$28)*O$17+('CapexSum$FY22'!O109*O$27)*O$18</f>
        <v>3426284.774147653</v>
      </c>
      <c r="P109" s="80">
        <f ca="1">('CapexSum$Nom'!P109*P$28)*P$17+('CapexSum$FY22'!P109*P$27)*P$18</f>
        <v>15911940.863268567</v>
      </c>
      <c r="Q109" s="80">
        <f ca="1">('CapexSum$Nom'!Q109*Q$28)*Q$17+('CapexSum$FY22'!Q109*Q$27)*Q$18</f>
        <v>18321777.077766862</v>
      </c>
      <c r="R109" s="80">
        <f ca="1">('CapexSum$Nom'!R109*R$28)*R$17+('CapexSum$FY22'!R109*R$27)*R$18</f>
        <v>19894792.540225342</v>
      </c>
      <c r="S109" s="80">
        <f ca="1">('CapexSum$Nom'!S109*S$28)*S$17+('CapexSum$FY22'!S109*S$27)*S$18</f>
        <v>9779819.1588002276</v>
      </c>
      <c r="T109" s="80">
        <f ca="1">('CapexSum$Nom'!T109*T$28)*T$17+('CapexSum$FY22'!T109*T$27)*T$18</f>
        <v>7165074.3664562125</v>
      </c>
    </row>
    <row r="110" spans="4:20" s="41" customFormat="1" outlineLevel="1">
      <c r="F110" s="251" t="str">
        <f>GC!C49</f>
        <v>Other - non IT</v>
      </c>
      <c r="G110" s="251"/>
      <c r="H110" s="251"/>
      <c r="I110" s="251"/>
      <c r="J110" s="80">
        <f ca="1">('CapexSum$Nom'!J110*J$28)*J$17+('CapexSum$FY22'!J110*J$27)*J$18</f>
        <v>800660.22112618096</v>
      </c>
      <c r="K110" s="80">
        <f ca="1">('CapexSum$Nom'!K110*K$28)*K$17+('CapexSum$FY22'!K110*K$27)*K$18</f>
        <v>282305.54895839695</v>
      </c>
      <c r="L110" s="80">
        <f ca="1">('CapexSum$Nom'!L110*L$28)*L$17+('CapexSum$FY22'!L110*L$27)*L$18</f>
        <v>-301152.1175889516</v>
      </c>
      <c r="M110" s="80">
        <f ca="1">('CapexSum$Nom'!M110*M$28)*M$17+('CapexSum$FY22'!M110*M$27)*M$18</f>
        <v>478584.27777576854</v>
      </c>
      <c r="N110" s="80">
        <f ca="1">('CapexSum$Nom'!N110*N$28)*N$17+('CapexSum$FY22'!N110*N$27)*N$18</f>
        <v>380952.5927327798</v>
      </c>
      <c r="O110" s="80">
        <f ca="1">('CapexSum$Nom'!O110*O$28)*O$17+('CapexSum$FY22'!O110*O$27)*O$18</f>
        <v>266160.2745760468</v>
      </c>
      <c r="P110" s="80">
        <f ca="1">('CapexSum$Nom'!P110*P$28)*P$17+('CapexSum$FY22'!P110*P$27)*P$18</f>
        <v>1650560.1412395311</v>
      </c>
      <c r="Q110" s="80">
        <f ca="1">('CapexSum$Nom'!Q110*Q$28)*Q$17+('CapexSum$FY22'!Q110*Q$27)*Q$18</f>
        <v>1651033.8908740776</v>
      </c>
      <c r="R110" s="80">
        <f ca="1">('CapexSum$Nom'!R110*R$28)*R$17+('CapexSum$FY22'!R110*R$27)*R$18</f>
        <v>1651707.9553648457</v>
      </c>
      <c r="S110" s="80">
        <f ca="1">('CapexSum$Nom'!S110*S$28)*S$17+('CapexSum$FY22'!S110*S$27)*S$18</f>
        <v>1652389.4402596282</v>
      </c>
      <c r="T110" s="80">
        <f ca="1">('CapexSum$Nom'!T110*T$28)*T$17+('CapexSum$FY22'!T110*T$27)*T$18</f>
        <v>1589679.4853000371</v>
      </c>
    </row>
    <row r="111" spans="4:20" s="41" customFormat="1" outlineLevel="1">
      <c r="F111" s="251" t="str">
        <f>GC!C50</f>
        <v>Land</v>
      </c>
      <c r="G111" s="251"/>
      <c r="H111" s="251"/>
      <c r="I111" s="251"/>
      <c r="J111" s="80">
        <f ca="1">('CapexSum$Nom'!J111*J$28)*J$17+('CapexSum$FY22'!J111*J$27)*J$18</f>
        <v>0</v>
      </c>
      <c r="K111" s="80">
        <f ca="1">('CapexSum$Nom'!K111*K$28)*K$17+('CapexSum$FY22'!K111*K$27)*K$18</f>
        <v>0</v>
      </c>
      <c r="L111" s="80">
        <f ca="1">('CapexSum$Nom'!L111*L$28)*L$17+('CapexSum$FY22'!L111*L$27)*L$18</f>
        <v>0</v>
      </c>
      <c r="M111" s="80">
        <f ca="1">('CapexSum$Nom'!M111*M$28)*M$17+('CapexSum$FY22'!M111*M$27)*M$18</f>
        <v>0</v>
      </c>
      <c r="N111" s="80">
        <f ca="1">('CapexSum$Nom'!N111*N$28)*N$17+('CapexSum$FY22'!N111*N$27)*N$18</f>
        <v>0</v>
      </c>
      <c r="O111" s="80">
        <f ca="1">('CapexSum$Nom'!O111*O$28)*O$17+('CapexSum$FY22'!O111*O$27)*O$18</f>
        <v>0</v>
      </c>
      <c r="P111" s="80">
        <f ca="1">('CapexSum$Nom'!P111*P$28)*P$17+('CapexSum$FY22'!P111*P$27)*P$18</f>
        <v>0</v>
      </c>
      <c r="Q111" s="80">
        <f ca="1">('CapexSum$Nom'!Q111*Q$28)*Q$17+('CapexSum$FY22'!Q111*Q$27)*Q$18</f>
        <v>0</v>
      </c>
      <c r="R111" s="80">
        <f ca="1">('CapexSum$Nom'!R111*R$28)*R$17+('CapexSum$FY22'!R111*R$27)*R$18</f>
        <v>0</v>
      </c>
      <c r="S111" s="80">
        <f ca="1">('CapexSum$Nom'!S111*S$28)*S$17+('CapexSum$FY22'!S111*S$27)*S$18</f>
        <v>0</v>
      </c>
      <c r="T111" s="80">
        <f ca="1">('CapexSum$Nom'!T111*T$28)*T$17+('CapexSum$FY22'!T111*T$27)*T$18</f>
        <v>0</v>
      </c>
    </row>
    <row r="112" spans="4:20" s="41" customFormat="1" outlineLevel="1">
      <c r="F112" s="251" t="str">
        <f>GC!C51</f>
        <v>Capitalised Leases</v>
      </c>
      <c r="G112" s="251"/>
      <c r="H112" s="251"/>
      <c r="I112" s="251"/>
      <c r="J112" s="80">
        <f ca="1">('CapexSum$Nom'!J112*J$28)*J$17+('CapexSum$FY22'!J112*J$27)*J$18</f>
        <v>0</v>
      </c>
      <c r="K112" s="80">
        <f ca="1">('CapexSum$Nom'!K112*K$28)*K$17+('CapexSum$FY22'!K112*K$27)*K$18</f>
        <v>10622149.258251505</v>
      </c>
      <c r="L112" s="80">
        <f ca="1">('CapexSum$Nom'!L112*L$28)*L$17+('CapexSum$FY22'!L112*L$27)*L$18</f>
        <v>567039.48401732801</v>
      </c>
      <c r="M112" s="80">
        <f ca="1">('CapexSum$Nom'!M112*M$28)*M$17+('CapexSum$FY22'!M112*M$27)*M$18</f>
        <v>-1478642.5921516225</v>
      </c>
      <c r="N112" s="80">
        <f ca="1">('CapexSum$Nom'!N112*N$28)*N$17+('CapexSum$FY22'!N112*N$27)*N$18</f>
        <v>0</v>
      </c>
      <c r="O112" s="80">
        <f ca="1">('CapexSum$Nom'!O112*O$28)*O$17+('CapexSum$FY22'!O112*O$27)*O$18</f>
        <v>0</v>
      </c>
      <c r="P112" s="80">
        <f ca="1">('CapexSum$Nom'!P112*P$28)*P$17+('CapexSum$FY22'!P112*P$27)*P$18</f>
        <v>0</v>
      </c>
      <c r="Q112" s="80">
        <f ca="1">('CapexSum$Nom'!Q112*Q$28)*Q$17+('CapexSum$FY22'!Q112*Q$27)*Q$18</f>
        <v>0</v>
      </c>
      <c r="R112" s="80">
        <f ca="1">('CapexSum$Nom'!R112*R$28)*R$17+('CapexSum$FY22'!R112*R$27)*R$18</f>
        <v>0</v>
      </c>
      <c r="S112" s="80">
        <f ca="1">('CapexSum$Nom'!S112*S$28)*S$17+('CapexSum$FY22'!S112*S$27)*S$18</f>
        <v>0</v>
      </c>
      <c r="T112" s="80">
        <f ca="1">('CapexSum$Nom'!T112*T$28)*T$17+('CapexSum$FY22'!T112*T$27)*T$18</f>
        <v>0</v>
      </c>
    </row>
    <row r="113" spans="5:20" s="41" customFormat="1" outlineLevel="1">
      <c r="F113" s="251" t="str">
        <f>GC!C52</f>
        <v>Transmission pipelines - post 1998</v>
      </c>
      <c r="G113" s="251"/>
      <c r="H113" s="251"/>
      <c r="I113" s="251"/>
      <c r="J113" s="80">
        <f ca="1">('CapexSum$Nom'!J113*J$28)*J$17+('CapexSum$FY22'!J113*J$27)*J$18</f>
        <v>0</v>
      </c>
      <c r="K113" s="80">
        <f ca="1">('CapexSum$Nom'!K113*K$28)*K$17+('CapexSum$FY22'!K113*K$27)*K$18</f>
        <v>0</v>
      </c>
      <c r="L113" s="80">
        <f ca="1">('CapexSum$Nom'!L113*L$28)*L$17+('CapexSum$FY22'!L113*L$27)*L$18</f>
        <v>0</v>
      </c>
      <c r="M113" s="80">
        <f ca="1">('CapexSum$Nom'!M113*M$28)*M$17+('CapexSum$FY22'!M113*M$27)*M$18</f>
        <v>0</v>
      </c>
      <c r="N113" s="80">
        <f ca="1">('CapexSum$Nom'!N113*N$28)*N$17+('CapexSum$FY22'!N113*N$27)*N$18</f>
        <v>694332.92658992182</v>
      </c>
      <c r="O113" s="80">
        <f ca="1">('CapexSum$Nom'!O113*O$28)*O$17+('CapexSum$FY22'!O113*O$27)*O$18</f>
        <v>263804.81699368596</v>
      </c>
      <c r="P113" s="80">
        <f ca="1">('CapexSum$Nom'!P113*P$28)*P$17+('CapexSum$FY22'!P113*P$27)*P$18</f>
        <v>574260.39523304522</v>
      </c>
      <c r="Q113" s="80">
        <f ca="1">('CapexSum$Nom'!Q113*Q$28)*Q$17+('CapexSum$FY22'!Q113*Q$27)*Q$18</f>
        <v>1772949.9781749297</v>
      </c>
      <c r="R113" s="80">
        <f ca="1">('CapexSum$Nom'!R113*R$28)*R$17+('CapexSum$FY22'!R113*R$27)*R$18</f>
        <v>5170703.0792555055</v>
      </c>
      <c r="S113" s="80">
        <f ca="1">('CapexSum$Nom'!S113*S$28)*S$17+('CapexSum$FY22'!S113*S$27)*S$18</f>
        <v>756007.91970227705</v>
      </c>
      <c r="T113" s="80">
        <f ca="1">('CapexSum$Nom'!T113*T$28)*T$17+('CapexSum$FY22'!T113*T$27)*T$18</f>
        <v>126.86384518805856</v>
      </c>
    </row>
    <row r="114" spans="5:20" s="41" customFormat="1" outlineLevel="1">
      <c r="F114" s="251" t="str">
        <f>GC!C53</f>
        <v>Distribution pipelines - post 1998</v>
      </c>
      <c r="G114" s="251"/>
      <c r="H114" s="251"/>
      <c r="I114" s="251"/>
      <c r="J114" s="80">
        <f ca="1">('CapexSum$Nom'!J114*J$28)*J$17+('CapexSum$FY22'!J114*J$27)*J$18</f>
        <v>0</v>
      </c>
      <c r="K114" s="80">
        <f ca="1">('CapexSum$Nom'!K114*K$28)*K$17+('CapexSum$FY22'!K114*K$27)*K$18</f>
        <v>0</v>
      </c>
      <c r="L114" s="80">
        <f ca="1">('CapexSum$Nom'!L114*L$28)*L$17+('CapexSum$FY22'!L114*L$27)*L$18</f>
        <v>0</v>
      </c>
      <c r="M114" s="80">
        <f ca="1">('CapexSum$Nom'!M114*M$28)*M$17+('CapexSum$FY22'!M114*M$27)*M$18</f>
        <v>0</v>
      </c>
      <c r="N114" s="80">
        <f ca="1">('CapexSum$Nom'!N114*N$28)*N$17+('CapexSum$FY22'!N114*N$27)*N$18</f>
        <v>27096939.531156041</v>
      </c>
      <c r="O114" s="80">
        <f ca="1">('CapexSum$Nom'!O114*O$28)*O$17+('CapexSum$FY22'!O114*O$27)*O$18</f>
        <v>20560617.726956069</v>
      </c>
      <c r="P114" s="80">
        <f ca="1">('CapexSum$Nom'!P114*P$28)*P$17+('CapexSum$FY22'!P114*P$27)*P$18</f>
        <v>31947513.007372435</v>
      </c>
      <c r="Q114" s="80">
        <f ca="1">('CapexSum$Nom'!Q114*Q$28)*Q$17+('CapexSum$FY22'!Q114*Q$27)*Q$18</f>
        <v>30670347.335186183</v>
      </c>
      <c r="R114" s="80">
        <f ca="1">('CapexSum$Nom'!R114*R$28)*R$17+('CapexSum$FY22'!R114*R$27)*R$18</f>
        <v>27477548.395145122</v>
      </c>
      <c r="S114" s="80">
        <f ca="1">('CapexSum$Nom'!S114*S$28)*S$17+('CapexSum$FY22'!S114*S$27)*S$18</f>
        <v>29839944.975037012</v>
      </c>
      <c r="T114" s="80">
        <f ca="1">('CapexSum$Nom'!T114*T$28)*T$17+('CapexSum$FY22'!T114*T$27)*T$18</f>
        <v>25680393.368394792</v>
      </c>
    </row>
    <row r="115" spans="5:20" s="41" customFormat="1" outlineLevel="1">
      <c r="F115" s="251" t="str">
        <f>GC!C54</f>
        <v>Service pipes - post 1998</v>
      </c>
      <c r="G115" s="251"/>
      <c r="H115" s="251"/>
      <c r="I115" s="251"/>
      <c r="J115" s="80">
        <f ca="1">('CapexSum$Nom'!J115*J$28)*J$17+('CapexSum$FY22'!J115*J$27)*J$18</f>
        <v>0</v>
      </c>
      <c r="K115" s="80">
        <f ca="1">('CapexSum$Nom'!K115*K$28)*K$17+('CapexSum$FY22'!K115*K$27)*K$18</f>
        <v>0</v>
      </c>
      <c r="L115" s="80">
        <f ca="1">('CapexSum$Nom'!L115*L$28)*L$17+('CapexSum$FY22'!L115*L$27)*L$18</f>
        <v>0</v>
      </c>
      <c r="M115" s="80">
        <f ca="1">('CapexSum$Nom'!M115*M$28)*M$17+('CapexSum$FY22'!M115*M$27)*M$18</f>
        <v>0</v>
      </c>
      <c r="N115" s="80">
        <f ca="1">('CapexSum$Nom'!N115*N$28)*N$17+('CapexSum$FY22'!N115*N$27)*N$18</f>
        <v>42550034.624449328</v>
      </c>
      <c r="O115" s="80">
        <f ca="1">('CapexSum$Nom'!O115*O$28)*O$17+('CapexSum$FY22'!O115*O$27)*O$18</f>
        <v>25350090.487254828</v>
      </c>
      <c r="P115" s="80">
        <f ca="1">('CapexSum$Nom'!P115*P$28)*P$17+('CapexSum$FY22'!P115*P$27)*P$18</f>
        <v>40835508.930724077</v>
      </c>
      <c r="Q115" s="80">
        <f ca="1">('CapexSum$Nom'!Q115*Q$28)*Q$17+('CapexSum$FY22'!Q115*Q$27)*Q$18</f>
        <v>40281685.271536551</v>
      </c>
      <c r="R115" s="80">
        <f ca="1">('CapexSum$Nom'!R115*R$28)*R$17+('CapexSum$FY22'!R115*R$27)*R$18</f>
        <v>39723503.64234487</v>
      </c>
      <c r="S115" s="80">
        <f ca="1">('CapexSum$Nom'!S115*S$28)*S$17+('CapexSum$FY22'!S115*S$27)*S$18</f>
        <v>40762561.803975597</v>
      </c>
      <c r="T115" s="80">
        <f ca="1">('CapexSum$Nom'!T115*T$28)*T$17+('CapexSum$FY22'!T115*T$27)*T$18</f>
        <v>35819851.059235603</v>
      </c>
    </row>
    <row r="116" spans="5:20" s="41" customFormat="1" outlineLevel="1">
      <c r="F116" s="251" t="str">
        <f>GC!C55</f>
        <v>Cathodic protection - post 1998</v>
      </c>
      <c r="G116" s="251"/>
      <c r="H116" s="251"/>
      <c r="I116" s="251"/>
      <c r="J116" s="80">
        <f ca="1">('CapexSum$Nom'!J116*J$28)*J$17+('CapexSum$FY22'!J116*J$27)*J$18</f>
        <v>0</v>
      </c>
      <c r="K116" s="80">
        <f ca="1">('CapexSum$Nom'!K116*K$28)*K$17+('CapexSum$FY22'!K116*K$27)*K$18</f>
        <v>0</v>
      </c>
      <c r="L116" s="80">
        <f ca="1">('CapexSum$Nom'!L116*L$28)*L$17+('CapexSum$FY22'!L116*L$27)*L$18</f>
        <v>0</v>
      </c>
      <c r="M116" s="80">
        <f ca="1">('CapexSum$Nom'!M116*M$28)*M$17+('CapexSum$FY22'!M116*M$27)*M$18</f>
        <v>0</v>
      </c>
      <c r="N116" s="80">
        <f ca="1">('CapexSum$Nom'!N116*N$28)*N$17+('CapexSum$FY22'!N116*N$27)*N$18</f>
        <v>213640.90048920672</v>
      </c>
      <c r="O116" s="80">
        <f ca="1">('CapexSum$Nom'!O116*O$28)*O$17+('CapexSum$FY22'!O116*O$27)*O$18</f>
        <v>202602.09945115086</v>
      </c>
      <c r="P116" s="80">
        <f ca="1">('CapexSum$Nom'!P116*P$28)*P$17+('CapexSum$FY22'!P116*P$27)*P$18</f>
        <v>405285.77792591311</v>
      </c>
      <c r="Q116" s="80">
        <f ca="1">('CapexSum$Nom'!Q116*Q$28)*Q$17+('CapexSum$FY22'!Q116*Q$27)*Q$18</f>
        <v>426528.70752047515</v>
      </c>
      <c r="R116" s="80">
        <f ca="1">('CapexSum$Nom'!R116*R$28)*R$17+('CapexSum$FY22'!R116*R$27)*R$18</f>
        <v>412988.70449583343</v>
      </c>
      <c r="S116" s="80">
        <f ca="1">('CapexSum$Nom'!S116*S$28)*S$17+('CapexSum$FY22'!S116*S$27)*S$18</f>
        <v>413175.67092832067</v>
      </c>
      <c r="T116" s="80">
        <f ca="1">('CapexSum$Nom'!T116*T$28)*T$17+('CapexSum$FY22'!T116*T$27)*T$18</f>
        <v>413364.69557109085</v>
      </c>
    </row>
    <row r="117" spans="5:20" s="41" customFormat="1" outlineLevel="1">
      <c r="F117" s="250" t="str">
        <f>"Total "&amp;E99</f>
        <v>Total Direct Costs</v>
      </c>
      <c r="G117" s="250"/>
      <c r="H117" s="250"/>
      <c r="I117" s="250"/>
      <c r="J117" s="101">
        <f t="shared" ref="J117:T117" ca="1" si="10">SUM(J101:J116)</f>
        <v>106388363.8110346</v>
      </c>
      <c r="K117" s="101">
        <f t="shared" ca="1" si="10"/>
        <v>120512842.65043168</v>
      </c>
      <c r="L117" s="101">
        <f t="shared" ca="1" si="10"/>
        <v>104453023.7327673</v>
      </c>
      <c r="M117" s="101">
        <f t="shared" ca="1" si="10"/>
        <v>115923108.53750041</v>
      </c>
      <c r="N117" s="101">
        <f t="shared" ca="1" si="10"/>
        <v>103846931.81185135</v>
      </c>
      <c r="O117" s="101">
        <f t="shared" ca="1" si="10"/>
        <v>61325728.506928235</v>
      </c>
      <c r="P117" s="101">
        <f t="shared" ca="1" si="10"/>
        <v>114807467.2366029</v>
      </c>
      <c r="Q117" s="101">
        <f t="shared" ca="1" si="10"/>
        <v>119162077.47727542</v>
      </c>
      <c r="R117" s="101">
        <f t="shared" ca="1" si="10"/>
        <v>116572244.88794123</v>
      </c>
      <c r="S117" s="101">
        <f t="shared" ca="1" si="10"/>
        <v>103755265.69029623</v>
      </c>
      <c r="T117" s="101">
        <f t="shared" ca="1" si="10"/>
        <v>93723473.572243869</v>
      </c>
    </row>
    <row r="118" spans="5:20" s="41" customFormat="1" outlineLevel="1"/>
    <row r="119" spans="5:20" s="41" customFormat="1" outlineLevel="1">
      <c r="E119" s="50" t="str">
        <f>'CapexSum$FY22'!E119</f>
        <v>Overheads</v>
      </c>
    </row>
    <row r="120" spans="5:20" s="41" customFormat="1" ht="5.9" customHeight="1" outlineLevel="1"/>
    <row r="121" spans="5:20" s="41" customFormat="1" outlineLevel="1">
      <c r="F121" s="251" t="str">
        <f>GC!C40</f>
        <v>Transmission pipelines</v>
      </c>
      <c r="G121" s="251"/>
      <c r="H121" s="251"/>
      <c r="I121" s="251"/>
      <c r="J121" s="80">
        <f ca="1">('CapexSum$Nom'!J121*J$28)*J$17+('CapexSum$FY22'!J121*J$27)*J$18</f>
        <v>0</v>
      </c>
      <c r="K121" s="80">
        <f ca="1">('CapexSum$Nom'!K121*K$28)*K$17+('CapexSum$FY22'!K121*K$27)*K$18</f>
        <v>-162.98389768168408</v>
      </c>
      <c r="L121" s="80">
        <f ca="1">('CapexSum$Nom'!L121*L$28)*L$17+('CapexSum$FY22'!L121*L$27)*L$18</f>
        <v>131165.30496205256</v>
      </c>
      <c r="M121" s="80">
        <f ca="1">('CapexSum$Nom'!M121*M$28)*M$17+('CapexSum$FY22'!M121*M$27)*M$18</f>
        <v>117389.38148121657</v>
      </c>
      <c r="N121" s="80">
        <f ca="1">('CapexSum$Nom'!N121*N$28)*N$17+('CapexSum$FY22'!N121*N$27)*N$18</f>
        <v>0</v>
      </c>
      <c r="O121" s="80">
        <f ca="1">('CapexSum$Nom'!O121*O$28)*O$17+('CapexSum$FY22'!O121*O$27)*O$18</f>
        <v>0</v>
      </c>
      <c r="P121" s="80">
        <f ca="1">('CapexSum$Nom'!P121*P$28)*P$17+('CapexSum$FY22'!P121*P$27)*P$18</f>
        <v>0</v>
      </c>
      <c r="Q121" s="80">
        <f ca="1">('CapexSum$Nom'!Q121*Q$28)*Q$17+('CapexSum$FY22'!Q121*Q$27)*Q$18</f>
        <v>0</v>
      </c>
      <c r="R121" s="80">
        <f ca="1">('CapexSum$Nom'!R121*R$28)*R$17+('CapexSum$FY22'!R121*R$27)*R$18</f>
        <v>0</v>
      </c>
      <c r="S121" s="80">
        <f ca="1">('CapexSum$Nom'!S121*S$28)*S$17+('CapexSum$FY22'!S121*S$27)*S$18</f>
        <v>0</v>
      </c>
      <c r="T121" s="80">
        <f ca="1">('CapexSum$Nom'!T121*T$28)*T$17+('CapexSum$FY22'!T121*T$27)*T$18</f>
        <v>0</v>
      </c>
    </row>
    <row r="122" spans="5:20" s="41" customFormat="1" outlineLevel="1">
      <c r="F122" s="251" t="str">
        <f>GC!C41</f>
        <v>Distribution pipelines</v>
      </c>
      <c r="G122" s="251"/>
      <c r="H122" s="251"/>
      <c r="I122" s="251"/>
      <c r="J122" s="80">
        <f ca="1">('CapexSum$Nom'!J122*J$28)*J$17+('CapexSum$FY22'!J122*J$27)*J$18</f>
        <v>2732009.0089792726</v>
      </c>
      <c r="K122" s="80">
        <f ca="1">('CapexSum$Nom'!K122*K$28)*K$17+('CapexSum$FY22'!K122*K$27)*K$18</f>
        <v>1473272.3830716661</v>
      </c>
      <c r="L122" s="80">
        <f ca="1">('CapexSum$Nom'!L122*L$28)*L$17+('CapexSum$FY22'!L122*L$27)*L$18</f>
        <v>1445499.735918259</v>
      </c>
      <c r="M122" s="80">
        <f ca="1">('CapexSum$Nom'!M122*M$28)*M$17+('CapexSum$FY22'!M122*M$27)*M$18</f>
        <v>1035705.0600965882</v>
      </c>
      <c r="N122" s="80">
        <f ca="1">('CapexSum$Nom'!N122*N$28)*N$17+('CapexSum$FY22'!N122*N$27)*N$18</f>
        <v>0</v>
      </c>
      <c r="O122" s="80">
        <f ca="1">('CapexSum$Nom'!O122*O$28)*O$17+('CapexSum$FY22'!O122*O$27)*O$18</f>
        <v>0</v>
      </c>
      <c r="P122" s="80">
        <f ca="1">('CapexSum$Nom'!P122*P$28)*P$17+('CapexSum$FY22'!P122*P$27)*P$18</f>
        <v>0</v>
      </c>
      <c r="Q122" s="80">
        <f ca="1">('CapexSum$Nom'!Q122*Q$28)*Q$17+('CapexSum$FY22'!Q122*Q$27)*Q$18</f>
        <v>0</v>
      </c>
      <c r="R122" s="80">
        <f ca="1">('CapexSum$Nom'!R122*R$28)*R$17+('CapexSum$FY22'!R122*R$27)*R$18</f>
        <v>0</v>
      </c>
      <c r="S122" s="80">
        <f ca="1">('CapexSum$Nom'!S122*S$28)*S$17+('CapexSum$FY22'!S122*S$27)*S$18</f>
        <v>0</v>
      </c>
      <c r="T122" s="80">
        <f ca="1">('CapexSum$Nom'!T122*T$28)*T$17+('CapexSum$FY22'!T122*T$27)*T$18</f>
        <v>0</v>
      </c>
    </row>
    <row r="123" spans="5:20" s="41" customFormat="1" outlineLevel="1">
      <c r="F123" s="251" t="str">
        <f>GC!C42</f>
        <v>Service pipes</v>
      </c>
      <c r="G123" s="251"/>
      <c r="H123" s="251"/>
      <c r="I123" s="251"/>
      <c r="J123" s="80">
        <f ca="1">('CapexSum$Nom'!J123*J$28)*J$17+('CapexSum$FY22'!J123*J$27)*J$18</f>
        <v>1521655.1964444076</v>
      </c>
      <c r="K123" s="80">
        <f ca="1">('CapexSum$Nom'!K123*K$28)*K$17+('CapexSum$FY22'!K123*K$27)*K$18</f>
        <v>1258787.912112768</v>
      </c>
      <c r="L123" s="80">
        <f ca="1">('CapexSum$Nom'!L123*L$28)*L$17+('CapexSum$FY22'!L123*L$27)*L$18</f>
        <v>1417715.3216354451</v>
      </c>
      <c r="M123" s="80">
        <f ca="1">('CapexSum$Nom'!M123*M$28)*M$17+('CapexSum$FY22'!M123*M$27)*M$18</f>
        <v>979632.06416151905</v>
      </c>
      <c r="N123" s="80">
        <f ca="1">('CapexSum$Nom'!N123*N$28)*N$17+('CapexSum$FY22'!N123*N$27)*N$18</f>
        <v>0</v>
      </c>
      <c r="O123" s="80">
        <f ca="1">('CapexSum$Nom'!O123*O$28)*O$17+('CapexSum$FY22'!O123*O$27)*O$18</f>
        <v>0</v>
      </c>
      <c r="P123" s="80">
        <f ca="1">('CapexSum$Nom'!P123*P$28)*P$17+('CapexSum$FY22'!P123*P$27)*P$18</f>
        <v>0</v>
      </c>
      <c r="Q123" s="80">
        <f ca="1">('CapexSum$Nom'!Q123*Q$28)*Q$17+('CapexSum$FY22'!Q123*Q$27)*Q$18</f>
        <v>0</v>
      </c>
      <c r="R123" s="80">
        <f ca="1">('CapexSum$Nom'!R123*R$28)*R$17+('CapexSum$FY22'!R123*R$27)*R$18</f>
        <v>0</v>
      </c>
      <c r="S123" s="80">
        <f ca="1">('CapexSum$Nom'!S123*S$28)*S$17+('CapexSum$FY22'!S123*S$27)*S$18</f>
        <v>0</v>
      </c>
      <c r="T123" s="80">
        <f ca="1">('CapexSum$Nom'!T123*T$28)*T$17+('CapexSum$FY22'!T123*T$27)*T$18</f>
        <v>0</v>
      </c>
    </row>
    <row r="124" spans="5:20" s="41" customFormat="1" outlineLevel="1">
      <c r="F124" s="251" t="str">
        <f>GC!C43</f>
        <v>Cathodic protection</v>
      </c>
      <c r="G124" s="251"/>
      <c r="H124" s="251"/>
      <c r="I124" s="251"/>
      <c r="J124" s="80">
        <f ca="1">('CapexSum$Nom'!J124*J$28)*J$17+('CapexSum$FY22'!J124*J$27)*J$18</f>
        <v>5911.0517490702678</v>
      </c>
      <c r="K124" s="80">
        <f ca="1">('CapexSum$Nom'!K124*K$28)*K$17+('CapexSum$FY22'!K124*K$27)*K$18</f>
        <v>6630.7286164742591</v>
      </c>
      <c r="L124" s="80">
        <f ca="1">('CapexSum$Nom'!L124*L$28)*L$17+('CapexSum$FY22'!L124*L$27)*L$18</f>
        <v>5523.962769209159</v>
      </c>
      <c r="M124" s="80">
        <f ca="1">('CapexSum$Nom'!M124*M$28)*M$17+('CapexSum$FY22'!M124*M$27)*M$18</f>
        <v>3128.2779140002922</v>
      </c>
      <c r="N124" s="80">
        <f ca="1">('CapexSum$Nom'!N124*N$28)*N$17+('CapexSum$FY22'!N124*N$27)*N$18</f>
        <v>0</v>
      </c>
      <c r="O124" s="80">
        <f ca="1">('CapexSum$Nom'!O124*O$28)*O$17+('CapexSum$FY22'!O124*O$27)*O$18</f>
        <v>0</v>
      </c>
      <c r="P124" s="80">
        <f ca="1">('CapexSum$Nom'!P124*P$28)*P$17+('CapexSum$FY22'!P124*P$27)*P$18</f>
        <v>0</v>
      </c>
      <c r="Q124" s="80">
        <f ca="1">('CapexSum$Nom'!Q124*Q$28)*Q$17+('CapexSum$FY22'!Q124*Q$27)*Q$18</f>
        <v>0</v>
      </c>
      <c r="R124" s="80">
        <f ca="1">('CapexSum$Nom'!R124*R$28)*R$17+('CapexSum$FY22'!R124*R$27)*R$18</f>
        <v>0</v>
      </c>
      <c r="S124" s="80">
        <f ca="1">('CapexSum$Nom'!S124*S$28)*S$17+('CapexSum$FY22'!S124*S$27)*S$18</f>
        <v>0</v>
      </c>
      <c r="T124" s="80">
        <f ca="1">('CapexSum$Nom'!T124*T$28)*T$17+('CapexSum$FY22'!T124*T$27)*T$18</f>
        <v>0</v>
      </c>
    </row>
    <row r="125" spans="5:20" s="41" customFormat="1" outlineLevel="1">
      <c r="F125" s="251" t="str">
        <f>GC!C44</f>
        <v>Supply Regulators / Valve Stations</v>
      </c>
      <c r="G125" s="251"/>
      <c r="H125" s="251"/>
      <c r="I125" s="251"/>
      <c r="J125" s="80">
        <f ca="1">('CapexSum$Nom'!J125*J$28)*J$17+('CapexSum$FY22'!J125*J$27)*J$18</f>
        <v>100800.8145984055</v>
      </c>
      <c r="K125" s="80">
        <f ca="1">('CapexSum$Nom'!K125*K$28)*K$17+('CapexSum$FY22'!K125*K$27)*K$18</f>
        <v>21397.110074038457</v>
      </c>
      <c r="L125" s="80">
        <f ca="1">('CapexSum$Nom'!L125*L$28)*L$17+('CapexSum$FY22'!L125*L$27)*L$18</f>
        <v>55734.454480171778</v>
      </c>
      <c r="M125" s="80">
        <f ca="1">('CapexSum$Nom'!M125*M$28)*M$17+('CapexSum$FY22'!M125*M$27)*M$18</f>
        <v>144227.26957757585</v>
      </c>
      <c r="N125" s="80">
        <f ca="1">('CapexSum$Nom'!N125*N$28)*N$17+('CapexSum$FY22'!N125*N$27)*N$18</f>
        <v>328222.15960042772</v>
      </c>
      <c r="O125" s="80">
        <f ca="1">('CapexSum$Nom'!O125*O$28)*O$17+('CapexSum$FY22'!O125*O$27)*O$18</f>
        <v>92244.423237527139</v>
      </c>
      <c r="P125" s="80">
        <f ca="1">('CapexSum$Nom'!P125*P$28)*P$17+('CapexSum$FY22'!P125*P$27)*P$18</f>
        <v>180989.97083182153</v>
      </c>
      <c r="Q125" s="80">
        <f ca="1">('CapexSum$Nom'!Q125*Q$28)*Q$17+('CapexSum$FY22'!Q125*Q$27)*Q$18</f>
        <v>209092.45340720558</v>
      </c>
      <c r="R125" s="80">
        <f ca="1">('CapexSum$Nom'!R125*R$28)*R$17+('CapexSum$FY22'!R125*R$27)*R$18</f>
        <v>115610.9129451012</v>
      </c>
      <c r="S125" s="80">
        <f ca="1">('CapexSum$Nom'!S125*S$28)*S$17+('CapexSum$FY22'!S125*S$27)*S$18</f>
        <v>124413.27848833606</v>
      </c>
      <c r="T125" s="80">
        <f ca="1">('CapexSum$Nom'!T125*T$28)*T$17+('CapexSum$FY22'!T125*T$27)*T$18</f>
        <v>234922.86813692778</v>
      </c>
    </row>
    <row r="126" spans="5:20" s="41" customFormat="1" outlineLevel="1">
      <c r="F126" s="251" t="str">
        <f>GC!C45</f>
        <v>Meters</v>
      </c>
      <c r="G126" s="251"/>
      <c r="H126" s="251"/>
      <c r="I126" s="251"/>
      <c r="J126" s="80">
        <f ca="1">('CapexSum$Nom'!J126*J$28)*J$17+('CapexSum$FY22'!J126*J$27)*J$18</f>
        <v>928660.64690516994</v>
      </c>
      <c r="K126" s="80">
        <f ca="1">('CapexSum$Nom'!K126*K$28)*K$17+('CapexSum$FY22'!K126*K$27)*K$18</f>
        <v>546747.85549209197</v>
      </c>
      <c r="L126" s="80">
        <f ca="1">('CapexSum$Nom'!L126*L$28)*L$17+('CapexSum$FY22'!L126*L$27)*L$18</f>
        <v>467068.14486641705</v>
      </c>
      <c r="M126" s="80">
        <f ca="1">('CapexSum$Nom'!M126*M$28)*M$17+('CapexSum$FY22'!M126*M$27)*M$18</f>
        <v>468277.01635925513</v>
      </c>
      <c r="N126" s="80">
        <f ca="1">('CapexSum$Nom'!N126*N$28)*N$17+('CapexSum$FY22'!N126*N$27)*N$18</f>
        <v>604267.96842345945</v>
      </c>
      <c r="O126" s="80">
        <f ca="1">('CapexSum$Nom'!O126*O$28)*O$17+('CapexSum$FY22'!O126*O$27)*O$18</f>
        <v>277488.72652040632</v>
      </c>
      <c r="P126" s="80">
        <f ca="1">('CapexSum$Nom'!P126*P$28)*P$17+('CapexSum$FY22'!P126*P$27)*P$18</f>
        <v>414617.86374679737</v>
      </c>
      <c r="Q126" s="80">
        <f ca="1">('CapexSum$Nom'!Q126*Q$28)*Q$17+('CapexSum$FY22'!Q126*Q$27)*Q$18</f>
        <v>439069.45615388773</v>
      </c>
      <c r="R126" s="80">
        <f ca="1">('CapexSum$Nom'!R126*R$28)*R$17+('CapexSum$FY22'!R126*R$27)*R$18</f>
        <v>474835.76012860489</v>
      </c>
      <c r="S126" s="80">
        <f ca="1">('CapexSum$Nom'!S126*S$28)*S$17+('CapexSum$FY22'!S126*S$27)*S$18</f>
        <v>455239.15412695095</v>
      </c>
      <c r="T126" s="80">
        <f ca="1">('CapexSum$Nom'!T126*T$28)*T$17+('CapexSum$FY22'!T126*T$27)*T$18</f>
        <v>446829.05328439118</v>
      </c>
    </row>
    <row r="127" spans="5:20" s="41" customFormat="1" outlineLevel="1">
      <c r="F127" s="251" t="str">
        <f>GC!C46</f>
        <v>SCADA and remote control</v>
      </c>
      <c r="G127" s="251"/>
      <c r="H127" s="251"/>
      <c r="I127" s="251"/>
      <c r="J127" s="80">
        <f ca="1">('CapexSum$Nom'!J127*J$28)*J$17+('CapexSum$FY22'!J127*J$27)*J$18</f>
        <v>17906.436527419712</v>
      </c>
      <c r="K127" s="80">
        <f ca="1">('CapexSum$Nom'!K127*K$28)*K$17+('CapexSum$FY22'!K127*K$27)*K$18</f>
        <v>15063.477314525937</v>
      </c>
      <c r="L127" s="80">
        <f ca="1">('CapexSum$Nom'!L127*L$28)*L$17+('CapexSum$FY22'!L127*L$27)*L$18</f>
        <v>14289.369637331825</v>
      </c>
      <c r="M127" s="80">
        <f ca="1">('CapexSum$Nom'!M127*M$28)*M$17+('CapexSum$FY22'!M127*M$27)*M$18</f>
        <v>14248.469768304743</v>
      </c>
      <c r="N127" s="80">
        <f ca="1">('CapexSum$Nom'!N127*N$28)*N$17+('CapexSum$FY22'!N127*N$27)*N$18</f>
        <v>50198.305703191516</v>
      </c>
      <c r="O127" s="80">
        <f ca="1">('CapexSum$Nom'!O127*O$28)*O$17+('CapexSum$FY22'!O127*O$27)*O$18</f>
        <v>4916.8085307712272</v>
      </c>
      <c r="P127" s="80">
        <f ca="1">('CapexSum$Nom'!P127*P$28)*P$17+('CapexSum$FY22'!P127*P$27)*P$18</f>
        <v>32608.790389765913</v>
      </c>
      <c r="Q127" s="80">
        <f ca="1">('CapexSum$Nom'!Q127*Q$28)*Q$17+('CapexSum$FY22'!Q127*Q$27)*Q$18</f>
        <v>30397.284622830291</v>
      </c>
      <c r="R127" s="80">
        <f ca="1">('CapexSum$Nom'!R127*R$28)*R$17+('CapexSum$FY22'!R127*R$27)*R$18</f>
        <v>7235.868443653826</v>
      </c>
      <c r="S127" s="80">
        <f ca="1">('CapexSum$Nom'!S127*S$28)*S$17+('CapexSum$FY22'!S127*S$27)*S$18</f>
        <v>7010.5590363940646</v>
      </c>
      <c r="T127" s="80">
        <f ca="1">('CapexSum$Nom'!T127*T$28)*T$17+('CapexSum$FY22'!T127*T$27)*T$18</f>
        <v>8061.911363075229</v>
      </c>
    </row>
    <row r="128" spans="5:20" s="41" customFormat="1" outlineLevel="1">
      <c r="F128" s="251" t="str">
        <f>GC!C47</f>
        <v>Buildings</v>
      </c>
      <c r="G128" s="251"/>
      <c r="H128" s="251"/>
      <c r="I128" s="251"/>
      <c r="J128" s="80">
        <f ca="1">('CapexSum$Nom'!J128*J$28)*J$17+('CapexSum$FY22'!J128*J$27)*J$18</f>
        <v>0</v>
      </c>
      <c r="K128" s="80">
        <f ca="1">('CapexSum$Nom'!K128*K$28)*K$17+('CapexSum$FY22'!K128*K$27)*K$18</f>
        <v>0</v>
      </c>
      <c r="L128" s="80">
        <f ca="1">('CapexSum$Nom'!L128*L$28)*L$17+('CapexSum$FY22'!L128*L$27)*L$18</f>
        <v>0</v>
      </c>
      <c r="M128" s="80">
        <f ca="1">('CapexSum$Nom'!M128*M$28)*M$17+('CapexSum$FY22'!M128*M$27)*M$18</f>
        <v>0</v>
      </c>
      <c r="N128" s="80">
        <f ca="1">('CapexSum$Nom'!N128*N$28)*N$17+('CapexSum$FY22'!N128*N$27)*N$18</f>
        <v>0</v>
      </c>
      <c r="O128" s="80">
        <f ca="1">('CapexSum$Nom'!O128*O$28)*O$17+('CapexSum$FY22'!O128*O$27)*O$18</f>
        <v>0</v>
      </c>
      <c r="P128" s="80">
        <f ca="1">('CapexSum$Nom'!P128*P$28)*P$17+('CapexSum$FY22'!P128*P$27)*P$18</f>
        <v>0</v>
      </c>
      <c r="Q128" s="80">
        <f ca="1">('CapexSum$Nom'!Q128*Q$28)*Q$17+('CapexSum$FY22'!Q128*Q$27)*Q$18</f>
        <v>0</v>
      </c>
      <c r="R128" s="80">
        <f ca="1">('CapexSum$Nom'!R128*R$28)*R$17+('CapexSum$FY22'!R128*R$27)*R$18</f>
        <v>0</v>
      </c>
      <c r="S128" s="80">
        <f ca="1">('CapexSum$Nom'!S128*S$28)*S$17+('CapexSum$FY22'!S128*S$27)*S$18</f>
        <v>0</v>
      </c>
      <c r="T128" s="80">
        <f ca="1">('CapexSum$Nom'!T128*T$28)*T$17+('CapexSum$FY22'!T128*T$27)*T$18</f>
        <v>0</v>
      </c>
    </row>
    <row r="129" spans="5:20" s="41" customFormat="1" outlineLevel="1">
      <c r="F129" s="251" t="str">
        <f>GC!C48</f>
        <v>Other - IT</v>
      </c>
      <c r="G129" s="251"/>
      <c r="H129" s="251"/>
      <c r="I129" s="251"/>
      <c r="J129" s="80">
        <f ca="1">('CapexSum$Nom'!J129*J$28)*J$17+('CapexSum$FY22'!J129*J$27)*J$18</f>
        <v>678565.1257804879</v>
      </c>
      <c r="K129" s="80">
        <f ca="1">('CapexSum$Nom'!K129*K$28)*K$17+('CapexSum$FY22'!K129*K$27)*K$18</f>
        <v>486145.24191238923</v>
      </c>
      <c r="L129" s="80">
        <f ca="1">('CapexSum$Nom'!L129*L$28)*L$17+('CapexSum$FY22'!L129*L$27)*L$18</f>
        <v>409549.5010912891</v>
      </c>
      <c r="M129" s="80">
        <f ca="1">('CapexSum$Nom'!M129*M$28)*M$17+('CapexSum$FY22'!M129*M$27)*M$18</f>
        <v>523620.23181923066</v>
      </c>
      <c r="N129" s="80">
        <f ca="1">('CapexSum$Nom'!N129*N$28)*N$17+('CapexSum$FY22'!N129*N$27)*N$18</f>
        <v>509451.20423646952</v>
      </c>
      <c r="O129" s="80">
        <f ca="1">('CapexSum$Nom'!O129*O$28)*O$17+('CapexSum$FY22'!O129*O$27)*O$18</f>
        <v>253747.50604017256</v>
      </c>
      <c r="P129" s="80">
        <f ca="1">('CapexSum$Nom'!P129*P$28)*P$17+('CapexSum$FY22'!P129*P$27)*P$18</f>
        <v>388069.00561354234</v>
      </c>
      <c r="Q129" s="80">
        <f ca="1">('CapexSum$Nom'!Q129*Q$28)*Q$17+('CapexSum$FY22'!Q129*Q$27)*Q$18</f>
        <v>387896.03615600063</v>
      </c>
      <c r="R129" s="80">
        <f ca="1">('CapexSum$Nom'!R129*R$28)*R$17+('CapexSum$FY22'!R129*R$27)*R$18</f>
        <v>398376.19217456091</v>
      </c>
      <c r="S129" s="80">
        <f ca="1">('CapexSum$Nom'!S129*S$28)*S$17+('CapexSum$FY22'!S129*S$27)*S$18</f>
        <v>387476.52909071295</v>
      </c>
      <c r="T129" s="80">
        <f ca="1">('CapexSum$Nom'!T129*T$28)*T$17+('CapexSum$FY22'!T129*T$27)*T$18</f>
        <v>387266.13175542833</v>
      </c>
    </row>
    <row r="130" spans="5:20" s="41" customFormat="1" outlineLevel="1">
      <c r="F130" s="251" t="str">
        <f>GC!C49</f>
        <v>Other - non IT</v>
      </c>
      <c r="G130" s="251"/>
      <c r="H130" s="251"/>
      <c r="I130" s="251"/>
      <c r="J130" s="80">
        <f ca="1">('CapexSum$Nom'!J130*J$28)*J$17+('CapexSum$FY22'!J130*J$27)*J$18</f>
        <v>44132.535722599365</v>
      </c>
      <c r="K130" s="80">
        <f ca="1">('CapexSum$Nom'!K130*K$28)*K$17+('CapexSum$FY22'!K130*K$27)*K$18</f>
        <v>9226.8697023109689</v>
      </c>
      <c r="L130" s="80">
        <f ca="1">('CapexSum$Nom'!L130*L$28)*L$17+('CapexSum$FY22'!L130*L$27)*L$18</f>
        <v>-10853.523191361683</v>
      </c>
      <c r="M130" s="80">
        <f ca="1">('CapexSum$Nom'!M130*M$28)*M$17+('CapexSum$FY22'!M130*M$27)*M$18</f>
        <v>12425.318112692878</v>
      </c>
      <c r="N130" s="80">
        <f ca="1">('CapexSum$Nom'!N130*N$28)*N$17+('CapexSum$FY22'!N130*N$27)*N$18</f>
        <v>0</v>
      </c>
      <c r="O130" s="80">
        <f ca="1">('CapexSum$Nom'!O130*O$28)*O$17+('CapexSum$FY22'!O130*O$27)*O$18</f>
        <v>0</v>
      </c>
      <c r="P130" s="80">
        <f ca="1">('CapexSum$Nom'!P130*P$28)*P$17+('CapexSum$FY22'!P130*P$27)*P$18</f>
        <v>15669.159018458946</v>
      </c>
      <c r="Q130" s="80">
        <f ca="1">('CapexSum$Nom'!Q130*Q$28)*Q$17+('CapexSum$FY22'!Q130*Q$27)*Q$18</f>
        <v>15267.414448570873</v>
      </c>
      <c r="R130" s="80">
        <f ca="1">('CapexSum$Nom'!R130*R$28)*R$17+('CapexSum$FY22'!R130*R$27)*R$18</f>
        <v>15748.654847952446</v>
      </c>
      <c r="S130" s="80">
        <f ca="1">('CapexSum$Nom'!S130*S$28)*S$17+('CapexSum$FY22'!S130*S$27)*S$18</f>
        <v>16734.882861069702</v>
      </c>
      <c r="T130" s="80">
        <f ca="1">('CapexSum$Nom'!T130*T$28)*T$17+('CapexSum$FY22'!T130*T$27)*T$18</f>
        <v>15649.592645969562</v>
      </c>
    </row>
    <row r="131" spans="5:20" s="41" customFormat="1" outlineLevel="1">
      <c r="F131" s="251" t="str">
        <f>GC!C50</f>
        <v>Land</v>
      </c>
      <c r="G131" s="251"/>
      <c r="H131" s="251"/>
      <c r="I131" s="251"/>
      <c r="J131" s="80">
        <f ca="1">('CapexSum$Nom'!J131*J$28)*J$17+('CapexSum$FY22'!J131*J$27)*J$18</f>
        <v>0</v>
      </c>
      <c r="K131" s="80">
        <f ca="1">('CapexSum$Nom'!K131*K$28)*K$17+('CapexSum$FY22'!K131*K$27)*K$18</f>
        <v>0</v>
      </c>
      <c r="L131" s="80">
        <f ca="1">('CapexSum$Nom'!L131*L$28)*L$17+('CapexSum$FY22'!L131*L$27)*L$18</f>
        <v>0</v>
      </c>
      <c r="M131" s="80">
        <f ca="1">('CapexSum$Nom'!M131*M$28)*M$17+('CapexSum$FY22'!M131*M$27)*M$18</f>
        <v>0</v>
      </c>
      <c r="N131" s="80">
        <f ca="1">('CapexSum$Nom'!N131*N$28)*N$17+('CapexSum$FY22'!N131*N$27)*N$18</f>
        <v>0</v>
      </c>
      <c r="O131" s="80">
        <f ca="1">('CapexSum$Nom'!O131*O$28)*O$17+('CapexSum$FY22'!O131*O$27)*O$18</f>
        <v>0</v>
      </c>
      <c r="P131" s="80">
        <f ca="1">('CapexSum$Nom'!P131*P$28)*P$17+('CapexSum$FY22'!P131*P$27)*P$18</f>
        <v>0</v>
      </c>
      <c r="Q131" s="80">
        <f ca="1">('CapexSum$Nom'!Q131*Q$28)*Q$17+('CapexSum$FY22'!Q131*Q$27)*Q$18</f>
        <v>0</v>
      </c>
      <c r="R131" s="80">
        <f ca="1">('CapexSum$Nom'!R131*R$28)*R$17+('CapexSum$FY22'!R131*R$27)*R$18</f>
        <v>0</v>
      </c>
      <c r="S131" s="80">
        <f ca="1">('CapexSum$Nom'!S131*S$28)*S$17+('CapexSum$FY22'!S131*S$27)*S$18</f>
        <v>0</v>
      </c>
      <c r="T131" s="80">
        <f ca="1">('CapexSum$Nom'!T131*T$28)*T$17+('CapexSum$FY22'!T131*T$27)*T$18</f>
        <v>0</v>
      </c>
    </row>
    <row r="132" spans="5:20" s="41" customFormat="1" outlineLevel="1">
      <c r="F132" s="251" t="str">
        <f>GC!C51</f>
        <v>Capitalised Leases</v>
      </c>
      <c r="G132" s="251"/>
      <c r="H132" s="251"/>
      <c r="I132" s="251"/>
      <c r="J132" s="80">
        <f ca="1">('CapexSum$Nom'!J132*J$28)*J$17+('CapexSum$FY22'!J132*J$27)*J$18</f>
        <v>0</v>
      </c>
      <c r="K132" s="80">
        <f ca="1">('CapexSum$Nom'!K132*K$28)*K$17+('CapexSum$FY22'!K132*K$27)*K$18</f>
        <v>0</v>
      </c>
      <c r="L132" s="80">
        <f ca="1">('CapexSum$Nom'!L132*L$28)*L$17+('CapexSum$FY22'!L132*L$27)*L$18</f>
        <v>0</v>
      </c>
      <c r="M132" s="80">
        <f ca="1">('CapexSum$Nom'!M132*M$28)*M$17+('CapexSum$FY22'!M132*M$27)*M$18</f>
        <v>0</v>
      </c>
      <c r="N132" s="80">
        <f ca="1">('CapexSum$Nom'!N132*N$28)*N$17+('CapexSum$FY22'!N132*N$27)*N$18</f>
        <v>0</v>
      </c>
      <c r="O132" s="80">
        <f ca="1">('CapexSum$Nom'!O132*O$28)*O$17+('CapexSum$FY22'!O132*O$27)*O$18</f>
        <v>0</v>
      </c>
      <c r="P132" s="80">
        <f ca="1">('CapexSum$Nom'!P132*P$28)*P$17+('CapexSum$FY22'!P132*P$27)*P$18</f>
        <v>0</v>
      </c>
      <c r="Q132" s="80">
        <f ca="1">('CapexSum$Nom'!Q132*Q$28)*Q$17+('CapexSum$FY22'!Q132*Q$27)*Q$18</f>
        <v>0</v>
      </c>
      <c r="R132" s="80">
        <f ca="1">('CapexSum$Nom'!R132*R$28)*R$17+('CapexSum$FY22'!R132*R$27)*R$18</f>
        <v>0</v>
      </c>
      <c r="S132" s="80">
        <f ca="1">('CapexSum$Nom'!S132*S$28)*S$17+('CapexSum$FY22'!S132*S$27)*S$18</f>
        <v>0</v>
      </c>
      <c r="T132" s="80">
        <f ca="1">('CapexSum$Nom'!T132*T$28)*T$17+('CapexSum$FY22'!T132*T$27)*T$18</f>
        <v>0</v>
      </c>
    </row>
    <row r="133" spans="5:20" s="41" customFormat="1" outlineLevel="1">
      <c r="F133" s="251" t="str">
        <f>GC!C52</f>
        <v>Transmission pipelines - post 1998</v>
      </c>
      <c r="G133" s="251"/>
      <c r="H133" s="251"/>
      <c r="I133" s="251"/>
      <c r="J133" s="80">
        <f ca="1">('CapexSum$Nom'!J133*J$28)*J$17+('CapexSum$FY22'!J133*J$27)*J$18</f>
        <v>0</v>
      </c>
      <c r="K133" s="80">
        <f ca="1">('CapexSum$Nom'!K133*K$28)*K$17+('CapexSum$FY22'!K133*K$27)*K$18</f>
        <v>0</v>
      </c>
      <c r="L133" s="80">
        <f ca="1">('CapexSum$Nom'!L133*L$28)*L$17+('CapexSum$FY22'!L133*L$27)*L$18</f>
        <v>0</v>
      </c>
      <c r="M133" s="80">
        <f ca="1">('CapexSum$Nom'!M133*M$28)*M$17+('CapexSum$FY22'!M133*M$27)*M$18</f>
        <v>0</v>
      </c>
      <c r="N133" s="80">
        <f ca="1">('CapexSum$Nom'!N133*N$28)*N$17+('CapexSum$FY22'!N133*N$27)*N$18</f>
        <v>26183.994120848834</v>
      </c>
      <c r="O133" s="80">
        <f ca="1">('CapexSum$Nom'!O133*O$28)*O$17+('CapexSum$FY22'!O133*O$27)*O$18</f>
        <v>8780.4713653004292</v>
      </c>
      <c r="P133" s="80">
        <f ca="1">('CapexSum$Nom'!P133*P$28)*P$17+('CapexSum$FY22'!P133*P$27)*P$18</f>
        <v>15362.993399986673</v>
      </c>
      <c r="Q133" s="80">
        <f ca="1">('CapexSum$Nom'!Q133*Q$28)*Q$17+('CapexSum$FY22'!Q133*Q$27)*Q$18</f>
        <v>46204.117771624355</v>
      </c>
      <c r="R133" s="80">
        <f ca="1">('CapexSum$Nom'!R133*R$28)*R$17+('CapexSum$FY22'!R133*R$27)*R$18</f>
        <v>138952.3348088685</v>
      </c>
      <c r="S133" s="80">
        <f ca="1">('CapexSum$Nom'!S133*S$28)*S$17+('CapexSum$FY22'!S133*S$27)*S$18</f>
        <v>21581.137346884894</v>
      </c>
      <c r="T133" s="80">
        <f ca="1">('CapexSum$Nom'!T133*T$28)*T$17+('CapexSum$FY22'!T133*T$27)*T$18</f>
        <v>3.7958142284006504</v>
      </c>
    </row>
    <row r="134" spans="5:20" s="41" customFormat="1" outlineLevel="1">
      <c r="F134" s="251" t="str">
        <f>GC!C53</f>
        <v>Distribution pipelines - post 1998</v>
      </c>
      <c r="G134" s="251"/>
      <c r="H134" s="251"/>
      <c r="I134" s="251"/>
      <c r="J134" s="80">
        <f ca="1">('CapexSum$Nom'!J134*J$28)*J$17+('CapexSum$FY22'!J134*J$27)*J$18</f>
        <v>0</v>
      </c>
      <c r="K134" s="80">
        <f ca="1">('CapexSum$Nom'!K134*K$28)*K$17+('CapexSum$FY22'!K134*K$27)*K$18</f>
        <v>0</v>
      </c>
      <c r="L134" s="80">
        <f ca="1">('CapexSum$Nom'!L134*L$28)*L$17+('CapexSum$FY22'!L134*L$27)*L$18</f>
        <v>0</v>
      </c>
      <c r="M134" s="80">
        <f ca="1">('CapexSum$Nom'!M134*M$28)*M$17+('CapexSum$FY22'!M134*M$27)*M$18</f>
        <v>0</v>
      </c>
      <c r="N134" s="80">
        <f ca="1">('CapexSum$Nom'!N134*N$28)*N$17+('CapexSum$FY22'!N134*N$27)*N$18</f>
        <v>1021852.8867144244</v>
      </c>
      <c r="O134" s="80">
        <f ca="1">('CapexSum$Nom'!O134*O$28)*O$17+('CapexSum$FY22'!O134*O$27)*O$18</f>
        <v>684338.9641696614</v>
      </c>
      <c r="P134" s="80">
        <f ca="1">('CapexSum$Nom'!P134*P$28)*P$17+('CapexSum$FY22'!P134*P$27)*P$18</f>
        <v>854680.96973511775</v>
      </c>
      <c r="Q134" s="80">
        <f ca="1">('CapexSum$Nom'!Q134*Q$28)*Q$17+('CapexSum$FY22'!Q134*Q$27)*Q$18</f>
        <v>799287.26575259794</v>
      </c>
      <c r="R134" s="80">
        <f ca="1">('CapexSum$Nom'!R134*R$28)*R$17+('CapexSum$FY22'!R134*R$27)*R$18</f>
        <v>738404.32254695043</v>
      </c>
      <c r="S134" s="80">
        <f ca="1">('CapexSum$Nom'!S134*S$28)*S$17+('CapexSum$FY22'!S134*S$27)*S$18</f>
        <v>851816.40846218483</v>
      </c>
      <c r="T134" s="80">
        <f ca="1">('CapexSum$Nom'!T134*T$28)*T$17+('CapexSum$FY22'!T134*T$27)*T$18</f>
        <v>768367.08200181555</v>
      </c>
    </row>
    <row r="135" spans="5:20" s="41" customFormat="1" outlineLevel="1">
      <c r="F135" s="251" t="str">
        <f>GC!C54</f>
        <v>Service pipes - post 1998</v>
      </c>
      <c r="G135" s="251"/>
      <c r="H135" s="251"/>
      <c r="I135" s="251"/>
      <c r="J135" s="80">
        <f ca="1">('CapexSum$Nom'!J135*J$28)*J$17+('CapexSum$FY22'!J135*J$27)*J$18</f>
        <v>0</v>
      </c>
      <c r="K135" s="80">
        <f ca="1">('CapexSum$Nom'!K135*K$28)*K$17+('CapexSum$FY22'!K135*K$27)*K$18</f>
        <v>0</v>
      </c>
      <c r="L135" s="80">
        <f ca="1">('CapexSum$Nom'!L135*L$28)*L$17+('CapexSum$FY22'!L135*L$27)*L$18</f>
        <v>0</v>
      </c>
      <c r="M135" s="80">
        <f ca="1">('CapexSum$Nom'!M135*M$28)*M$17+('CapexSum$FY22'!M135*M$27)*M$18</f>
        <v>0</v>
      </c>
      <c r="N135" s="80">
        <f ca="1">('CapexSum$Nom'!N135*N$28)*N$17+('CapexSum$FY22'!N135*N$27)*N$18</f>
        <v>1604604.6698668359</v>
      </c>
      <c r="O135" s="80">
        <f ca="1">('CapexSum$Nom'!O135*O$28)*O$17+('CapexSum$FY22'!O135*O$27)*O$18</f>
        <v>843751.62731180619</v>
      </c>
      <c r="P135" s="80">
        <f ca="1">('CapexSum$Nom'!P135*P$28)*P$17+('CapexSum$FY22'!P135*P$27)*P$18</f>
        <v>1092458.5073174317</v>
      </c>
      <c r="Q135" s="80">
        <f ca="1">('CapexSum$Nom'!Q135*Q$28)*Q$17+('CapexSum$FY22'!Q135*Q$27)*Q$18</f>
        <v>1049764.3775835542</v>
      </c>
      <c r="R135" s="80">
        <f ca="1">('CapexSum$Nom'!R135*R$28)*R$17+('CapexSum$FY22'!R135*R$27)*R$18</f>
        <v>1067489.9512286733</v>
      </c>
      <c r="S135" s="80">
        <f ca="1">('CapexSum$Nom'!S135*S$28)*S$17+('CapexSum$FY22'!S135*S$27)*S$18</f>
        <v>1163615.3828241855</v>
      </c>
      <c r="T135" s="80">
        <f ca="1">('CapexSum$Nom'!T135*T$28)*T$17+('CapexSum$FY22'!T135*T$27)*T$18</f>
        <v>1071743.4908920506</v>
      </c>
    </row>
    <row r="136" spans="5:20" s="41" customFormat="1" outlineLevel="1">
      <c r="F136" s="251" t="str">
        <f>GC!C55</f>
        <v>Cathodic protection - post 1998</v>
      </c>
      <c r="G136" s="251"/>
      <c r="H136" s="251"/>
      <c r="I136" s="251"/>
      <c r="J136" s="80">
        <f ca="1">('CapexSum$Nom'!J136*J$28)*J$17+('CapexSum$FY22'!J136*J$27)*J$18</f>
        <v>0</v>
      </c>
      <c r="K136" s="80">
        <f ca="1">('CapexSum$Nom'!K136*K$28)*K$17+('CapexSum$FY22'!K136*K$27)*K$18</f>
        <v>0</v>
      </c>
      <c r="L136" s="80">
        <f ca="1">('CapexSum$Nom'!L136*L$28)*L$17+('CapexSum$FY22'!L136*L$27)*L$18</f>
        <v>0</v>
      </c>
      <c r="M136" s="80">
        <f ca="1">('CapexSum$Nom'!M136*M$28)*M$17+('CapexSum$FY22'!M136*M$27)*M$18</f>
        <v>0</v>
      </c>
      <c r="N136" s="80">
        <f ca="1">('CapexSum$Nom'!N136*N$28)*N$17+('CapexSum$FY22'!N136*N$27)*N$18</f>
        <v>8056.6135756457952</v>
      </c>
      <c r="O136" s="80">
        <f ca="1">('CapexSum$Nom'!O136*O$28)*O$17+('CapexSum$FY22'!O136*O$27)*O$18</f>
        <v>6743.4020085507309</v>
      </c>
      <c r="P136" s="80">
        <f ca="1">('CapexSum$Nom'!P136*P$28)*P$17+('CapexSum$FY22'!P136*P$27)*P$18</f>
        <v>10842.472827779602</v>
      </c>
      <c r="Q136" s="80">
        <f ca="1">('CapexSum$Nom'!Q136*Q$28)*Q$17+('CapexSum$FY22'!Q136*Q$27)*Q$18</f>
        <v>11115.588639190761</v>
      </c>
      <c r="R136" s="80">
        <f ca="1">('CapexSum$Nom'!R136*R$28)*R$17+('CapexSum$FY22'!R136*R$27)*R$18</f>
        <v>11098.247928722387</v>
      </c>
      <c r="S136" s="80">
        <f ca="1">('CapexSum$Nom'!S136*S$28)*S$17+('CapexSum$FY22'!S136*S$27)*S$18</f>
        <v>11794.586631059266</v>
      </c>
      <c r="T136" s="80">
        <f ca="1">('CapexSum$Nom'!T136*T$28)*T$17+('CapexSum$FY22'!T136*T$27)*T$18</f>
        <v>12368.028027538787</v>
      </c>
    </row>
    <row r="137" spans="5:20" s="41" customFormat="1" outlineLevel="1">
      <c r="F137" s="250" t="str">
        <f>"Total "&amp;E119</f>
        <v>Total Overheads</v>
      </c>
      <c r="G137" s="250"/>
      <c r="H137" s="250"/>
      <c r="I137" s="250"/>
      <c r="J137" s="101">
        <f t="shared" ref="J137:T137" ca="1" si="11">SUM(J121:J136)</f>
        <v>6029640.8167068334</v>
      </c>
      <c r="K137" s="101">
        <f t="shared" ca="1" si="11"/>
        <v>3817108.5943985833</v>
      </c>
      <c r="L137" s="101">
        <f t="shared" ca="1" si="11"/>
        <v>3935692.2721688142</v>
      </c>
      <c r="M137" s="101">
        <f t="shared" ca="1" si="11"/>
        <v>3298653.0892903833</v>
      </c>
      <c r="N137" s="101">
        <f t="shared" ca="1" si="11"/>
        <v>4152837.802241303</v>
      </c>
      <c r="O137" s="101">
        <f t="shared" ca="1" si="11"/>
        <v>2172011.9291841961</v>
      </c>
      <c r="P137" s="101">
        <f t="shared" ca="1" si="11"/>
        <v>3005299.7328807018</v>
      </c>
      <c r="Q137" s="101">
        <f t="shared" ca="1" si="11"/>
        <v>2988093.9945354625</v>
      </c>
      <c r="R137" s="101">
        <f t="shared" ca="1" si="11"/>
        <v>2967752.2450530878</v>
      </c>
      <c r="S137" s="101">
        <f t="shared" ca="1" si="11"/>
        <v>3039681.9188677785</v>
      </c>
      <c r="T137" s="101">
        <f t="shared" ca="1" si="11"/>
        <v>2945211.9539214256</v>
      </c>
    </row>
    <row r="138" spans="5:20" s="41" customFormat="1" outlineLevel="1"/>
    <row r="139" spans="5:20" s="41" customFormat="1" outlineLevel="1">
      <c r="E139" s="50" t="str">
        <f>'CapexSum$FY22'!E139</f>
        <v>Direct Costs + Overheads</v>
      </c>
    </row>
    <row r="140" spans="5:20" s="41" customFormat="1" ht="5.9" customHeight="1" outlineLevel="1"/>
    <row r="141" spans="5:20" s="41" customFormat="1" outlineLevel="1">
      <c r="F141" s="251" t="str">
        <f>GC!C40</f>
        <v>Transmission pipelines</v>
      </c>
      <c r="G141" s="251"/>
      <c r="H141" s="251"/>
      <c r="I141" s="251"/>
      <c r="J141" s="80">
        <f ca="1">'CapexSum$Nom'!J141*J$28*J$17+'CapexSum$FY22'!J141*J$27*J$18</f>
        <v>0</v>
      </c>
      <c r="K141" s="80">
        <f ca="1">'CapexSum$Nom'!K141*K$28*K$17+'CapexSum$FY22'!K141*K$27*K$18</f>
        <v>-5149.6435331681387</v>
      </c>
      <c r="L141" s="80">
        <f ca="1">'CapexSum$Nom'!L141*L$28*L$17+'CapexSum$FY22'!L141*L$27*L$18</f>
        <v>3762685.5091839717</v>
      </c>
      <c r="M141" s="80">
        <f ca="1">'CapexSum$Nom'!M141*M$28*M$17+'CapexSum$FY22'!M141*M$27*M$18</f>
        <v>4770543.3628879525</v>
      </c>
      <c r="N141" s="80">
        <f ca="1">'CapexSum$Nom'!N141*N$28*N$17+'CapexSum$FY22'!N141*N$27*N$18</f>
        <v>0</v>
      </c>
      <c r="O141" s="80">
        <f ca="1">'CapexSum$Nom'!O141*O$28*O$17+'CapexSum$FY22'!O141*O$27*O$18</f>
        <v>0</v>
      </c>
      <c r="P141" s="80">
        <f ca="1">'CapexSum$Nom'!P141*P$28*P$17+'CapexSum$FY22'!P141*P$27*P$18</f>
        <v>0</v>
      </c>
      <c r="Q141" s="80">
        <f ca="1">'CapexSum$Nom'!Q141*Q$28*Q$17+'CapexSum$FY22'!Q141*Q$27*Q$18</f>
        <v>0</v>
      </c>
      <c r="R141" s="80">
        <f ca="1">'CapexSum$Nom'!R141*R$28*R$17+'CapexSum$FY22'!R141*R$27*R$18</f>
        <v>0</v>
      </c>
      <c r="S141" s="80">
        <f ca="1">'CapexSum$Nom'!S141*S$28*S$17+'CapexSum$FY22'!S141*S$27*S$18</f>
        <v>0</v>
      </c>
      <c r="T141" s="80">
        <f ca="1">'CapexSum$Nom'!T141*T$28*T$17+'CapexSum$FY22'!T141*T$27*T$18</f>
        <v>0</v>
      </c>
    </row>
    <row r="142" spans="5:20" s="41" customFormat="1" outlineLevel="1">
      <c r="F142" s="251" t="str">
        <f>GC!C41</f>
        <v>Distribution pipelines</v>
      </c>
      <c r="G142" s="251"/>
      <c r="H142" s="251"/>
      <c r="I142" s="251"/>
      <c r="J142" s="80">
        <f ca="1">'CapexSum$Nom'!J142*J$28*J$17+'CapexSum$FY22'!J142*J$27*J$18</f>
        <v>52296596.709022425</v>
      </c>
      <c r="K142" s="80">
        <f ca="1">'CapexSum$Nom'!K142*K$28*K$17+'CapexSum$FY22'!K142*K$27*K$18</f>
        <v>46549553.103078209</v>
      </c>
      <c r="L142" s="80">
        <f ca="1">'CapexSum$Nom'!L142*L$28*L$17+'CapexSum$FY22'!L142*L$27*L$18</f>
        <v>41466460.291785508</v>
      </c>
      <c r="M142" s="80">
        <f ca="1">'CapexSum$Nom'!M142*M$28*M$17+'CapexSum$FY22'!M142*M$27*M$18</f>
        <v>42089632.281978033</v>
      </c>
      <c r="N142" s="80">
        <f ca="1">'CapexSum$Nom'!N142*N$28*N$17+'CapexSum$FY22'!N142*N$27*N$18</f>
        <v>0</v>
      </c>
      <c r="O142" s="80">
        <f ca="1">'CapexSum$Nom'!O142*O$28*O$17+'CapexSum$FY22'!O142*O$27*O$18</f>
        <v>0</v>
      </c>
      <c r="P142" s="80">
        <f ca="1">'CapexSum$Nom'!P142*P$28*P$17+'CapexSum$FY22'!P142*P$27*P$18</f>
        <v>0</v>
      </c>
      <c r="Q142" s="80">
        <f ca="1">'CapexSum$Nom'!Q142*Q$28*Q$17+'CapexSum$FY22'!Q142*Q$27*Q$18</f>
        <v>0</v>
      </c>
      <c r="R142" s="80">
        <f ca="1">'CapexSum$Nom'!R142*R$28*R$17+'CapexSum$FY22'!R142*R$27*R$18</f>
        <v>0</v>
      </c>
      <c r="S142" s="80">
        <f ca="1">'CapexSum$Nom'!S142*S$28*S$17+'CapexSum$FY22'!S142*S$27*S$18</f>
        <v>0</v>
      </c>
      <c r="T142" s="80">
        <f ca="1">'CapexSum$Nom'!T142*T$28*T$17+'CapexSum$FY22'!T142*T$27*T$18</f>
        <v>0</v>
      </c>
    </row>
    <row r="143" spans="5:20" s="41" customFormat="1" outlineLevel="1">
      <c r="F143" s="251" t="str">
        <f>GC!C42</f>
        <v>Service pipes</v>
      </c>
      <c r="G143" s="251"/>
      <c r="H143" s="251"/>
      <c r="I143" s="251"/>
      <c r="J143" s="80">
        <f ca="1">'CapexSum$Nom'!J143*J$28*J$17+'CapexSum$FY22'!J143*J$27*J$18</f>
        <v>29127791.261703413</v>
      </c>
      <c r="K143" s="80">
        <f ca="1">'CapexSum$Nom'!K143*K$28*K$17+'CapexSum$FY22'!K143*K$27*K$18</f>
        <v>39772696.097267359</v>
      </c>
      <c r="L143" s="80">
        <f ca="1">'CapexSum$Nom'!L143*L$28*L$17+'CapexSum$FY22'!L143*L$27*L$18</f>
        <v>40669420.151991278</v>
      </c>
      <c r="M143" s="80">
        <f ca="1">'CapexSum$Nom'!M143*M$28*M$17+'CapexSum$FY22'!M143*M$27*M$18</f>
        <v>39810902.67952171</v>
      </c>
      <c r="N143" s="80">
        <f ca="1">'CapexSum$Nom'!N143*N$28*N$17+'CapexSum$FY22'!N143*N$27*N$18</f>
        <v>0</v>
      </c>
      <c r="O143" s="80">
        <f ca="1">'CapexSum$Nom'!O143*O$28*O$17+'CapexSum$FY22'!O143*O$27*O$18</f>
        <v>0</v>
      </c>
      <c r="P143" s="80">
        <f ca="1">'CapexSum$Nom'!P143*P$28*P$17+'CapexSum$FY22'!P143*P$27*P$18</f>
        <v>0</v>
      </c>
      <c r="Q143" s="80">
        <f ca="1">'CapexSum$Nom'!Q143*Q$28*Q$17+'CapexSum$FY22'!Q143*Q$27*Q$18</f>
        <v>0</v>
      </c>
      <c r="R143" s="80">
        <f ca="1">'CapexSum$Nom'!R143*R$28*R$17+'CapexSum$FY22'!R143*R$27*R$18</f>
        <v>0</v>
      </c>
      <c r="S143" s="80">
        <f ca="1">'CapexSum$Nom'!S143*S$28*S$17+'CapexSum$FY22'!S143*S$27*S$18</f>
        <v>0</v>
      </c>
      <c r="T143" s="80">
        <f ca="1">'CapexSum$Nom'!T143*T$28*T$17+'CapexSum$FY22'!T143*T$27*T$18</f>
        <v>0</v>
      </c>
    </row>
    <row r="144" spans="5:20" s="41" customFormat="1" outlineLevel="1">
      <c r="F144" s="251" t="str">
        <f>GC!C43</f>
        <v>Cathodic protection</v>
      </c>
      <c r="G144" s="251"/>
      <c r="H144" s="251"/>
      <c r="I144" s="251"/>
      <c r="J144" s="80">
        <f ca="1">'CapexSum$Nom'!J144*J$28*J$17+'CapexSum$FY22'!J144*J$27*J$18</f>
        <v>113150.39168292681</v>
      </c>
      <c r="K144" s="80">
        <f ca="1">'CapexSum$Nom'!K144*K$28*K$17+'CapexSum$FY22'!K144*K$27*K$18</f>
        <v>209504.67638654867</v>
      </c>
      <c r="L144" s="80">
        <f ca="1">'CapexSum$Nom'!L144*L$28*L$17+'CapexSum$FY22'!L144*L$27*L$18</f>
        <v>158463.66286411148</v>
      </c>
      <c r="M144" s="80">
        <f ca="1">'CapexSum$Nom'!M144*M$28*M$17+'CapexSum$FY22'!M144*M$27*M$18</f>
        <v>127128.92130103763</v>
      </c>
      <c r="N144" s="80">
        <f ca="1">'CapexSum$Nom'!N144*N$28*N$17+'CapexSum$FY22'!N144*N$27*N$18</f>
        <v>0</v>
      </c>
      <c r="O144" s="80">
        <f ca="1">'CapexSum$Nom'!O144*O$28*O$17+'CapexSum$FY22'!O144*O$27*O$18</f>
        <v>0</v>
      </c>
      <c r="P144" s="80">
        <f ca="1">'CapexSum$Nom'!P144*P$28*P$17+'CapexSum$FY22'!P144*P$27*P$18</f>
        <v>0</v>
      </c>
      <c r="Q144" s="80">
        <f ca="1">'CapexSum$Nom'!Q144*Q$28*Q$17+'CapexSum$FY22'!Q144*Q$27*Q$18</f>
        <v>0</v>
      </c>
      <c r="R144" s="80">
        <f ca="1">'CapexSum$Nom'!R144*R$28*R$17+'CapexSum$FY22'!R144*R$27*R$18</f>
        <v>0</v>
      </c>
      <c r="S144" s="80">
        <f ca="1">'CapexSum$Nom'!S144*S$28*S$17+'CapexSum$FY22'!S144*S$27*S$18</f>
        <v>0</v>
      </c>
      <c r="T144" s="80">
        <f ca="1">'CapexSum$Nom'!T144*T$28*T$17+'CapexSum$FY22'!T144*T$27*T$18</f>
        <v>0</v>
      </c>
    </row>
    <row r="145" spans="5:20" s="41" customFormat="1" outlineLevel="1">
      <c r="F145" s="251" t="str">
        <f>GC!C44</f>
        <v>Supply Regulators / Valve Stations</v>
      </c>
      <c r="G145" s="251"/>
      <c r="H145" s="251"/>
      <c r="I145" s="251"/>
      <c r="J145" s="80">
        <f ca="1">'CapexSum$Nom'!J145*J$28*J$17+'CapexSum$FY22'!J145*J$27*J$18</f>
        <v>1929546.9127912188</v>
      </c>
      <c r="K145" s="80">
        <f ca="1">'CapexSum$Nom'!K145*K$28*K$17+'CapexSum$FY22'!K145*K$27*K$18</f>
        <v>676063.65468361054</v>
      </c>
      <c r="L145" s="80">
        <f ca="1">'CapexSum$Nom'!L145*L$28*L$17+'CapexSum$FY22'!L145*L$27*L$18</f>
        <v>1598831.5225240972</v>
      </c>
      <c r="M145" s="80">
        <f ca="1">'CapexSum$Nom'!M145*M$28*M$17+'CapexSum$FY22'!M145*M$27*M$18</f>
        <v>5861198.3038759734</v>
      </c>
      <c r="N145" s="80">
        <f ca="1">'CapexSum$Nom'!N145*N$28*N$17+'CapexSum$FY22'!N145*N$27*N$18</f>
        <v>9031839.0178691633</v>
      </c>
      <c r="O145" s="80">
        <f ca="1">'CapexSum$Nom'!O145*O$28*O$17+'CapexSum$FY22'!O145*O$27*O$18</f>
        <v>2863681.4200064749</v>
      </c>
      <c r="P145" s="80">
        <f ca="1">'CapexSum$Nom'!P145*P$28*P$17+'CapexSum$FY22'!P145*P$27*P$18</f>
        <v>6946297.3218842074</v>
      </c>
      <c r="Q145" s="80">
        <f ca="1">'CapexSum$Nom'!Q145*Q$28*Q$17+'CapexSum$FY22'!Q145*Q$27*Q$18</f>
        <v>8232413.2867835443</v>
      </c>
      <c r="R145" s="80">
        <f ca="1">'CapexSum$Nom'!R145*R$28*R$17+'CapexSum$FY22'!R145*R$27*R$18</f>
        <v>4417731.5241823709</v>
      </c>
      <c r="S145" s="80">
        <f ca="1">'CapexSum$Nom'!S145*S$28*S$17+'CapexSum$FY22'!S145*S$27*S$18</f>
        <v>4482729.6332509648</v>
      </c>
      <c r="T145" s="80">
        <f ca="1">'CapexSum$Nom'!T145*T$28*T$17+'CapexSum$FY22'!T145*T$27*T$18</f>
        <v>8086523.758261458</v>
      </c>
    </row>
    <row r="146" spans="5:20" s="41" customFormat="1" outlineLevel="1">
      <c r="F146" s="251" t="str">
        <f>GC!C45</f>
        <v>Meters</v>
      </c>
      <c r="G146" s="251"/>
      <c r="H146" s="251"/>
      <c r="I146" s="251"/>
      <c r="J146" s="80">
        <f ca="1">'CapexSum$Nom'!J146*J$28*J$17+'CapexSum$FY22'!J146*J$27*J$18</f>
        <v>17776585.35206829</v>
      </c>
      <c r="K146" s="80">
        <f ca="1">'CapexSum$Nom'!K146*K$28*K$17+'CapexSum$FY22'!K146*K$27*K$18</f>
        <v>17275059.673731238</v>
      </c>
      <c r="L146" s="80">
        <f ca="1">'CapexSum$Nom'!L146*L$28*L$17+'CapexSum$FY22'!L146*L$27*L$18</f>
        <v>13398593.027315797</v>
      </c>
      <c r="M146" s="80">
        <f ca="1">'CapexSum$Nom'!M146*M$28*M$17+'CapexSum$FY22'!M146*M$27*M$18</f>
        <v>19030135.30012567</v>
      </c>
      <c r="N146" s="80">
        <f ca="1">'CapexSum$Nom'!N146*N$28*N$17+'CapexSum$FY22'!N146*N$27*N$18</f>
        <v>16627917.569915408</v>
      </c>
      <c r="O146" s="80">
        <f ca="1">'CapexSum$Nom'!O146*O$28*O$17+'CapexSum$FY22'!O146*O$27*O$18</f>
        <v>8614497.0341629069</v>
      </c>
      <c r="P146" s="80">
        <f ca="1">'CapexSum$Nom'!P146*P$28*P$17+'CapexSum$FY22'!P146*P$27*P$18</f>
        <v>15912809.661845418</v>
      </c>
      <c r="Q146" s="80">
        <f ca="1">'CapexSum$Nom'!Q146*Q$28*Q$17+'CapexSum$FY22'!Q146*Q$27*Q$18</f>
        <v>17287095.568306752</v>
      </c>
      <c r="R146" s="80">
        <f ca="1">'CapexSum$Nom'!R146*R$28*R$17+'CapexSum$FY22'!R146*R$27*R$18</f>
        <v>18144454.125410683</v>
      </c>
      <c r="S146" s="80">
        <f ca="1">'CapexSum$Nom'!S146*S$28*S$17+'CapexSum$FY22'!S146*S$27*S$18</f>
        <v>16402702.920591446</v>
      </c>
      <c r="T146" s="80">
        <f ca="1">'CapexSum$Nom'!T146*T$28*T$17+'CapexSum$FY22'!T146*T$27*T$18</f>
        <v>15380766.393332342</v>
      </c>
    </row>
    <row r="147" spans="5:20" s="41" customFormat="1" outlineLevel="1">
      <c r="F147" s="251" t="str">
        <f>GC!C46</f>
        <v>SCADA and remote control</v>
      </c>
      <c r="G147" s="251"/>
      <c r="H147" s="251"/>
      <c r="I147" s="251"/>
      <c r="J147" s="80">
        <f ca="1">'CapexSum$Nom'!J147*J$28*J$17+'CapexSum$FY22'!J147*J$27*J$18</f>
        <v>342768.15577560978</v>
      </c>
      <c r="K147" s="80">
        <f ca="1">'CapexSum$Nom'!K147*K$28*K$17+'CapexSum$FY22'!K147*K$27*K$18</f>
        <v>475946.02683557518</v>
      </c>
      <c r="L147" s="80">
        <f ca="1">'CapexSum$Nom'!L147*L$28*L$17+'CapexSum$FY22'!L147*L$27*L$18</f>
        <v>409913.3081367595</v>
      </c>
      <c r="M147" s="80">
        <f ca="1">'CapexSum$Nom'!M147*M$28*M$17+'CapexSum$FY22'!M147*M$27*M$18</f>
        <v>579038.25735185575</v>
      </c>
      <c r="N147" s="80">
        <f ca="1">'CapexSum$Nom'!N147*N$28*N$17+'CapexSum$FY22'!N147*N$27*N$18</f>
        <v>1381329.6964255867</v>
      </c>
      <c r="O147" s="80">
        <f ca="1">'CapexSum$Nom'!O147*O$28*O$17+'CapexSum$FY22'!O147*O$27*O$18</f>
        <v>152639.83166811935</v>
      </c>
      <c r="P147" s="80">
        <f ca="1">'CapexSum$Nom'!P147*P$28*P$17+'CapexSum$FY22'!P147*P$27*P$18</f>
        <v>1251507.762078105</v>
      </c>
      <c r="Q147" s="80">
        <f ca="1">'CapexSum$Nom'!Q147*Q$28*Q$17+'CapexSum$FY22'!Q147*Q$27*Q$18</f>
        <v>1196805.5553099436</v>
      </c>
      <c r="R147" s="80">
        <f ca="1">'CapexSum$Nom'!R147*R$28*R$17+'CapexSum$FY22'!R147*R$27*R$18</f>
        <v>276497.46303400717</v>
      </c>
      <c r="S147" s="80">
        <f ca="1">'CapexSum$Nom'!S147*S$28*S$17+'CapexSum$FY22'!S147*S$27*S$18</f>
        <v>252597.15940244505</v>
      </c>
      <c r="T147" s="80">
        <f ca="1">'CapexSum$Nom'!T147*T$28*T$17+'CapexSum$FY22'!T147*T$27*T$18</f>
        <v>277507.41463154362</v>
      </c>
    </row>
    <row r="148" spans="5:20" s="41" customFormat="1" outlineLevel="1">
      <c r="F148" s="251" t="str">
        <f>GC!C47</f>
        <v>Buildings</v>
      </c>
      <c r="G148" s="251"/>
      <c r="H148" s="251"/>
      <c r="I148" s="251"/>
      <c r="J148" s="80">
        <f ca="1">'CapexSum$Nom'!J148*J$28*J$17+'CapexSum$FY22'!J148*J$27*J$18</f>
        <v>0</v>
      </c>
      <c r="K148" s="80">
        <f ca="1">'CapexSum$Nom'!K148*K$28*K$17+'CapexSum$FY22'!K148*K$27*K$18</f>
        <v>0</v>
      </c>
      <c r="L148" s="80">
        <f ca="1">'CapexSum$Nom'!L148*L$28*L$17+'CapexSum$FY22'!L148*L$27*L$18</f>
        <v>0</v>
      </c>
      <c r="M148" s="80">
        <f ca="1">'CapexSum$Nom'!M148*M$28*M$17+'CapexSum$FY22'!M148*M$27*M$18</f>
        <v>0</v>
      </c>
      <c r="N148" s="80">
        <f ca="1">'CapexSum$Nom'!N148*N$28*N$17+'CapexSum$FY22'!N148*N$27*N$18</f>
        <v>0</v>
      </c>
      <c r="O148" s="80">
        <f ca="1">'CapexSum$Nom'!O148*O$28*O$17+'CapexSum$FY22'!O148*O$27*O$18</f>
        <v>0</v>
      </c>
      <c r="P148" s="80">
        <f ca="1">'CapexSum$Nom'!P148*P$28*P$17+'CapexSum$FY22'!P148*P$27*P$18</f>
        <v>0</v>
      </c>
      <c r="Q148" s="80">
        <f ca="1">'CapexSum$Nom'!Q148*Q$28*Q$17+'CapexSum$FY22'!Q148*Q$27*Q$18</f>
        <v>0</v>
      </c>
      <c r="R148" s="80">
        <f ca="1">'CapexSum$Nom'!R148*R$28*R$17+'CapexSum$FY22'!R148*R$27*R$18</f>
        <v>0</v>
      </c>
      <c r="S148" s="80">
        <f ca="1">'CapexSum$Nom'!S148*S$28*S$17+'CapexSum$FY22'!S148*S$27*S$18</f>
        <v>0</v>
      </c>
      <c r="T148" s="80">
        <f ca="1">'CapexSum$Nom'!T148*T$28*T$17+'CapexSum$FY22'!T148*T$27*T$18</f>
        <v>0</v>
      </c>
    </row>
    <row r="149" spans="5:20" s="41" customFormat="1" outlineLevel="1">
      <c r="F149" s="251" t="str">
        <f>GC!C48</f>
        <v>Other - IT</v>
      </c>
      <c r="G149" s="251"/>
      <c r="H149" s="251"/>
      <c r="I149" s="251"/>
      <c r="J149" s="80">
        <f ca="1">'CapexSum$Nom'!J149*J$28*J$17+'CapexSum$FY22'!J149*J$27*J$18</f>
        <v>9986773.0878487807</v>
      </c>
      <c r="K149" s="80">
        <f ca="1">'CapexSum$Nom'!K149*K$28*K$17+'CapexSum$FY22'!K149*K$27*K$18</f>
        <v>8462595.9794686735</v>
      </c>
      <c r="L149" s="80">
        <f ca="1">'CapexSum$Nom'!L149*L$28*L$17+'CapexSum$FY22'!L149*L$27*L$18</f>
        <v>6669314.6878975593</v>
      </c>
      <c r="M149" s="80">
        <f ca="1">'CapexSum$Nom'!M149*M$28*M$17+'CapexSum$FY22'!M149*M$27*M$18</f>
        <v>7940815.5160117326</v>
      </c>
      <c r="N149" s="80">
        <f ca="1">'CapexSum$Nom'!N149*N$28*N$17+'CapexSum$FY22'!N149*N$27*N$18</f>
        <v>7362084.5901874611</v>
      </c>
      <c r="O149" s="80">
        <f ca="1">'CapexSum$Nom'!O149*O$28*O$17+'CapexSum$FY22'!O149*O$27*O$18</f>
        <v>3680032.2801878252</v>
      </c>
      <c r="P149" s="80">
        <f ca="1">'CapexSum$Nom'!P149*P$28*P$17+'CapexSum$FY22'!P149*P$27*P$18</f>
        <v>16300009.86888211</v>
      </c>
      <c r="Q149" s="80">
        <f ca="1">'CapexSum$Nom'!Q149*Q$28*Q$17+'CapexSum$FY22'!Q149*Q$27*Q$18</f>
        <v>18709673.113922857</v>
      </c>
      <c r="R149" s="80">
        <f ca="1">'CapexSum$Nom'!R149*R$28*R$17+'CapexSum$FY22'!R149*R$27*R$18</f>
        <v>20293168.732399907</v>
      </c>
      <c r="S149" s="80">
        <f ca="1">'CapexSum$Nom'!S149*S$28*S$17+'CapexSum$FY22'!S149*S$27*S$18</f>
        <v>10167295.687890939</v>
      </c>
      <c r="T149" s="80">
        <f ca="1">'CapexSum$Nom'!T149*T$28*T$17+'CapexSum$FY22'!T149*T$27*T$18</f>
        <v>7552340.4982116409</v>
      </c>
    </row>
    <row r="150" spans="5:20" s="41" customFormat="1" outlineLevel="1">
      <c r="F150" s="251" t="str">
        <f>GC!C49</f>
        <v>Other - non IT</v>
      </c>
      <c r="G150" s="251"/>
      <c r="H150" s="251"/>
      <c r="I150" s="251"/>
      <c r="J150" s="80">
        <f ca="1">'CapexSum$Nom'!J150*J$28*J$17+'CapexSum$FY22'!J150*J$27*J$18</f>
        <v>844792.75684878044</v>
      </c>
      <c r="K150" s="80">
        <f ca="1">'CapexSum$Nom'!K150*K$28*K$17+'CapexSum$FY22'!K150*K$27*K$18</f>
        <v>291532.41866070795</v>
      </c>
      <c r="L150" s="80">
        <f ca="1">'CapexSum$Nom'!L150*L$28*L$17+'CapexSum$FY22'!L150*L$27*L$18</f>
        <v>-312005.64078031335</v>
      </c>
      <c r="M150" s="80">
        <f ca="1">'CapexSum$Nom'!M150*M$28*M$17+'CapexSum$FY22'!M150*M$27*M$18</f>
        <v>491009.59588846145</v>
      </c>
      <c r="N150" s="80">
        <f ca="1">'CapexSum$Nom'!N150*N$28*N$17+'CapexSum$FY22'!N150*N$27*N$18</f>
        <v>380952.5927327798</v>
      </c>
      <c r="O150" s="80">
        <f ca="1">'CapexSum$Nom'!O150*O$28*O$17+'CapexSum$FY22'!O150*O$27*O$18</f>
        <v>266160.2745760468</v>
      </c>
      <c r="P150" s="80">
        <f ca="1">'CapexSum$Nom'!P150*P$28*P$17+'CapexSum$FY22'!P150*P$27*P$18</f>
        <v>1666229.3002579899</v>
      </c>
      <c r="Q150" s="80">
        <f ca="1">'CapexSum$Nom'!Q150*Q$28*Q$17+'CapexSum$FY22'!Q150*Q$27*Q$18</f>
        <v>1666301.3053226483</v>
      </c>
      <c r="R150" s="80">
        <f ca="1">'CapexSum$Nom'!R150*R$28*R$17+'CapexSum$FY22'!R150*R$27*R$18</f>
        <v>1667456.6102127982</v>
      </c>
      <c r="S150" s="80">
        <f ca="1">'CapexSum$Nom'!S150*S$28*S$17+'CapexSum$FY22'!S150*S$27*S$18</f>
        <v>1669124.3231206981</v>
      </c>
      <c r="T150" s="80">
        <f ca="1">'CapexSum$Nom'!T150*T$28*T$17+'CapexSum$FY22'!T150*T$27*T$18</f>
        <v>1605329.0779460066</v>
      </c>
    </row>
    <row r="151" spans="5:20" s="41" customFormat="1" outlineLevel="1">
      <c r="F151" s="251" t="str">
        <f>GC!C50</f>
        <v>Land</v>
      </c>
      <c r="G151" s="251"/>
      <c r="H151" s="251"/>
      <c r="I151" s="251"/>
      <c r="J151" s="80">
        <f ca="1">'CapexSum$Nom'!J151*J$28*J$17+'CapexSum$FY22'!J151*J$27*J$18</f>
        <v>0</v>
      </c>
      <c r="K151" s="80">
        <f ca="1">'CapexSum$Nom'!K151*K$28*K$17+'CapexSum$FY22'!K151*K$27*K$18</f>
        <v>0</v>
      </c>
      <c r="L151" s="80">
        <f ca="1">'CapexSum$Nom'!L151*L$28*L$17+'CapexSum$FY22'!L151*L$27*L$18</f>
        <v>0</v>
      </c>
      <c r="M151" s="80">
        <f ca="1">'CapexSum$Nom'!M151*M$28*M$17+'CapexSum$FY22'!M151*M$27*M$18</f>
        <v>0</v>
      </c>
      <c r="N151" s="80">
        <f ca="1">'CapexSum$Nom'!N151*N$28*N$17+'CapexSum$FY22'!N151*N$27*N$18</f>
        <v>0</v>
      </c>
      <c r="O151" s="80">
        <f ca="1">'CapexSum$Nom'!O151*O$28*O$17+'CapexSum$FY22'!O151*O$27*O$18</f>
        <v>0</v>
      </c>
      <c r="P151" s="80">
        <f ca="1">'CapexSum$Nom'!P151*P$28*P$17+'CapexSum$FY22'!P151*P$27*P$18</f>
        <v>0</v>
      </c>
      <c r="Q151" s="80">
        <f ca="1">'CapexSum$Nom'!Q151*Q$28*Q$17+'CapexSum$FY22'!Q151*Q$27*Q$18</f>
        <v>0</v>
      </c>
      <c r="R151" s="80">
        <f ca="1">'CapexSum$Nom'!R151*R$28*R$17+'CapexSum$FY22'!R151*R$27*R$18</f>
        <v>0</v>
      </c>
      <c r="S151" s="80">
        <f ca="1">'CapexSum$Nom'!S151*S$28*S$17+'CapexSum$FY22'!S151*S$27*S$18</f>
        <v>0</v>
      </c>
      <c r="T151" s="80">
        <f ca="1">'CapexSum$Nom'!T151*T$28*T$17+'CapexSum$FY22'!T151*T$27*T$18</f>
        <v>0</v>
      </c>
    </row>
    <row r="152" spans="5:20" s="41" customFormat="1" outlineLevel="1">
      <c r="F152" s="251" t="str">
        <f>GC!C51</f>
        <v>Capitalised Leases</v>
      </c>
      <c r="G152" s="251"/>
      <c r="H152" s="251"/>
      <c r="I152" s="251"/>
      <c r="J152" s="80">
        <f ca="1">'CapexSum$Nom'!J152*J$28*J$17+'CapexSum$FY22'!J152*J$27*J$18</f>
        <v>0</v>
      </c>
      <c r="K152" s="80">
        <f ca="1">'CapexSum$Nom'!K152*K$28*K$17+'CapexSum$FY22'!K152*K$27*K$18</f>
        <v>10622149.258251505</v>
      </c>
      <c r="L152" s="80">
        <f ca="1">'CapexSum$Nom'!L152*L$28*L$17+'CapexSum$FY22'!L152*L$27*L$18</f>
        <v>567039.48401732801</v>
      </c>
      <c r="M152" s="80">
        <f ca="1">'CapexSum$Nom'!M152*M$28*M$17+'CapexSum$FY22'!M152*M$27*M$18</f>
        <v>-1478642.5921516225</v>
      </c>
      <c r="N152" s="80">
        <f ca="1">'CapexSum$Nom'!N152*N$28*N$17+'CapexSum$FY22'!N152*N$27*N$18</f>
        <v>0</v>
      </c>
      <c r="O152" s="80">
        <f ca="1">'CapexSum$Nom'!O152*O$28*O$17+'CapexSum$FY22'!O152*O$27*O$18</f>
        <v>0</v>
      </c>
      <c r="P152" s="80">
        <f ca="1">'CapexSum$Nom'!P152*P$28*P$17+'CapexSum$FY22'!P152*P$27*P$18</f>
        <v>0</v>
      </c>
      <c r="Q152" s="80">
        <f ca="1">'CapexSum$Nom'!Q152*Q$28*Q$17+'CapexSum$FY22'!Q152*Q$27*Q$18</f>
        <v>0</v>
      </c>
      <c r="R152" s="80">
        <f ca="1">'CapexSum$Nom'!R152*R$28*R$17+'CapexSum$FY22'!R152*R$27*R$18</f>
        <v>0</v>
      </c>
      <c r="S152" s="80">
        <f ca="1">'CapexSum$Nom'!S152*S$28*S$17+'CapexSum$FY22'!S152*S$27*S$18</f>
        <v>0</v>
      </c>
      <c r="T152" s="80">
        <f ca="1">'CapexSum$Nom'!T152*T$28*T$17+'CapexSum$FY22'!T152*T$27*T$18</f>
        <v>0</v>
      </c>
    </row>
    <row r="153" spans="5:20" s="41" customFormat="1" outlineLevel="1">
      <c r="F153" s="251" t="str">
        <f>GC!C52</f>
        <v>Transmission pipelines - post 1998</v>
      </c>
      <c r="G153" s="251"/>
      <c r="H153" s="251"/>
      <c r="I153" s="251"/>
      <c r="J153" s="80">
        <f ca="1">'CapexSum$Nom'!J153*J$28*J$17+'CapexSum$FY22'!J153*J$27*J$18</f>
        <v>0</v>
      </c>
      <c r="K153" s="80">
        <f ca="1">'CapexSum$Nom'!K153*K$28*K$17+'CapexSum$FY22'!K153*K$27*K$18</f>
        <v>0</v>
      </c>
      <c r="L153" s="80">
        <f ca="1">'CapexSum$Nom'!L153*L$28*L$17+'CapexSum$FY22'!L153*L$27*L$18</f>
        <v>0</v>
      </c>
      <c r="M153" s="80">
        <f ca="1">'CapexSum$Nom'!M153*M$28*M$17+'CapexSum$FY22'!M153*M$27*M$18</f>
        <v>0</v>
      </c>
      <c r="N153" s="80">
        <f ca="1">'CapexSum$Nom'!N153*N$28*N$17+'CapexSum$FY22'!N153*N$27*N$18</f>
        <v>720516.92071077065</v>
      </c>
      <c r="O153" s="80">
        <f ca="1">'CapexSum$Nom'!O153*O$28*O$17+'CapexSum$FY22'!O153*O$27*O$18</f>
        <v>272585.28835898644</v>
      </c>
      <c r="P153" s="80">
        <f ca="1">'CapexSum$Nom'!P153*P$28*P$17+'CapexSum$FY22'!P153*P$27*P$18</f>
        <v>589623.38863303175</v>
      </c>
      <c r="Q153" s="80">
        <f ca="1">'CapexSum$Nom'!Q153*Q$28*Q$17+'CapexSum$FY22'!Q153*Q$27*Q$18</f>
        <v>1819154.0959465541</v>
      </c>
      <c r="R153" s="80">
        <f ca="1">'CapexSum$Nom'!R153*R$28*R$17+'CapexSum$FY22'!R153*R$27*R$18</f>
        <v>5309655.4140643748</v>
      </c>
      <c r="S153" s="80">
        <f ca="1">'CapexSum$Nom'!S153*S$28*S$17+'CapexSum$FY22'!S153*S$27*S$18</f>
        <v>777589.0570491621</v>
      </c>
      <c r="T153" s="80">
        <f ca="1">'CapexSum$Nom'!T153*T$28*T$17+'CapexSum$FY22'!T153*T$27*T$18</f>
        <v>130.65965941645922</v>
      </c>
    </row>
    <row r="154" spans="5:20" s="41" customFormat="1" outlineLevel="1">
      <c r="F154" s="251" t="str">
        <f>GC!C53</f>
        <v>Distribution pipelines - post 1998</v>
      </c>
      <c r="G154" s="251"/>
      <c r="H154" s="251"/>
      <c r="I154" s="251"/>
      <c r="J154" s="80">
        <f ca="1">'CapexSum$Nom'!J154*J$28*J$17+'CapexSum$FY22'!J154*J$27*J$18</f>
        <v>0</v>
      </c>
      <c r="K154" s="80">
        <f ca="1">'CapexSum$Nom'!K154*K$28*K$17+'CapexSum$FY22'!K154*K$27*K$18</f>
        <v>0</v>
      </c>
      <c r="L154" s="80">
        <f ca="1">'CapexSum$Nom'!L154*L$28*L$17+'CapexSum$FY22'!L154*L$27*L$18</f>
        <v>0</v>
      </c>
      <c r="M154" s="80">
        <f ca="1">'CapexSum$Nom'!M154*M$28*M$17+'CapexSum$FY22'!M154*M$27*M$18</f>
        <v>0</v>
      </c>
      <c r="N154" s="80">
        <f ca="1">'CapexSum$Nom'!N154*N$28*N$17+'CapexSum$FY22'!N154*N$27*N$18</f>
        <v>28118792.417870458</v>
      </c>
      <c r="O154" s="80">
        <f ca="1">'CapexSum$Nom'!O154*O$28*O$17+'CapexSum$FY22'!O154*O$27*O$18</f>
        <v>21244956.691125728</v>
      </c>
      <c r="P154" s="80">
        <f ca="1">'CapexSum$Nom'!P154*P$28*P$17+'CapexSum$FY22'!P154*P$27*P$18</f>
        <v>32802193.977107551</v>
      </c>
      <c r="Q154" s="80">
        <f ca="1">'CapexSum$Nom'!Q154*Q$28*Q$17+'CapexSum$FY22'!Q154*Q$27*Q$18</f>
        <v>31469634.60093879</v>
      </c>
      <c r="R154" s="80">
        <f ca="1">'CapexSum$Nom'!R154*R$28*R$17+'CapexSum$FY22'!R154*R$27*R$18</f>
        <v>28215952.717692081</v>
      </c>
      <c r="S154" s="80">
        <f ca="1">'CapexSum$Nom'!S154*S$28*S$17+'CapexSum$FY22'!S154*S$27*S$18</f>
        <v>30691761.383499198</v>
      </c>
      <c r="T154" s="80">
        <f ca="1">'CapexSum$Nom'!T154*T$28*T$17+'CapexSum$FY22'!T154*T$27*T$18</f>
        <v>26448760.450396605</v>
      </c>
    </row>
    <row r="155" spans="5:20" s="41" customFormat="1" outlineLevel="1">
      <c r="F155" s="251" t="str">
        <f>GC!C54</f>
        <v>Service pipes - post 1998</v>
      </c>
      <c r="G155" s="251"/>
      <c r="H155" s="251"/>
      <c r="I155" s="251"/>
      <c r="J155" s="80">
        <f ca="1">'CapexSum$Nom'!J155*J$28*J$17+'CapexSum$FY22'!J155*J$27*J$18</f>
        <v>0</v>
      </c>
      <c r="K155" s="80">
        <f ca="1">'CapexSum$Nom'!K155*K$28*K$17+'CapexSum$FY22'!K155*K$27*K$18</f>
        <v>0</v>
      </c>
      <c r="L155" s="80">
        <f ca="1">'CapexSum$Nom'!L155*L$28*L$17+'CapexSum$FY22'!L155*L$27*L$18</f>
        <v>0</v>
      </c>
      <c r="M155" s="80">
        <f ca="1">'CapexSum$Nom'!M155*M$28*M$17+'CapexSum$FY22'!M155*M$27*M$18</f>
        <v>0</v>
      </c>
      <c r="N155" s="80">
        <f ca="1">'CapexSum$Nom'!N155*N$28*N$17+'CapexSum$FY22'!N155*N$27*N$18</f>
        <v>44154639.294316165</v>
      </c>
      <c r="O155" s="80">
        <f ca="1">'CapexSum$Nom'!O155*O$28*O$17+'CapexSum$FY22'!O155*O$27*O$18</f>
        <v>26193842.114566635</v>
      </c>
      <c r="P155" s="80">
        <f ca="1">'CapexSum$Nom'!P155*P$28*P$17+'CapexSum$FY22'!P155*P$27*P$18</f>
        <v>41927967.438041501</v>
      </c>
      <c r="Q155" s="80">
        <f ca="1">'CapexSum$Nom'!Q155*Q$28*Q$17+'CapexSum$FY22'!Q155*Q$27*Q$18</f>
        <v>41331449.649120115</v>
      </c>
      <c r="R155" s="80">
        <f ca="1">'CapexSum$Nom'!R155*R$28*R$17+'CapexSum$FY22'!R155*R$27*R$18</f>
        <v>40790993.593573548</v>
      </c>
      <c r="S155" s="80">
        <f ca="1">'CapexSum$Nom'!S155*S$28*S$17+'CapexSum$FY22'!S155*S$27*S$18</f>
        <v>41926177.18679978</v>
      </c>
      <c r="T155" s="80">
        <f ca="1">'CapexSum$Nom'!T155*T$28*T$17+'CapexSum$FY22'!T155*T$27*T$18</f>
        <v>36891594.550127648</v>
      </c>
    </row>
    <row r="156" spans="5:20" s="41" customFormat="1" outlineLevel="1">
      <c r="F156" s="251" t="str">
        <f>GC!C55</f>
        <v>Cathodic protection - post 1998</v>
      </c>
      <c r="G156" s="251"/>
      <c r="H156" s="251"/>
      <c r="I156" s="251"/>
      <c r="J156" s="80">
        <f ca="1">'CapexSum$Nom'!J156*J$28*J$17+'CapexSum$FY22'!J156*J$27*J$18</f>
        <v>0</v>
      </c>
      <c r="K156" s="80">
        <f ca="1">'CapexSum$Nom'!K156*K$28*K$17+'CapexSum$FY22'!K156*K$27*K$18</f>
        <v>0</v>
      </c>
      <c r="L156" s="80">
        <f ca="1">'CapexSum$Nom'!L156*L$28*L$17+'CapexSum$FY22'!L156*L$27*L$18</f>
        <v>0</v>
      </c>
      <c r="M156" s="80">
        <f ca="1">'CapexSum$Nom'!M156*M$28*M$17+'CapexSum$FY22'!M156*M$27*M$18</f>
        <v>0</v>
      </c>
      <c r="N156" s="80">
        <f ca="1">'CapexSum$Nom'!N156*N$28*N$17+'CapexSum$FY22'!N156*N$27*N$18</f>
        <v>221697.5140648525</v>
      </c>
      <c r="O156" s="80">
        <f ca="1">'CapexSum$Nom'!O156*O$28*O$17+'CapexSum$FY22'!O156*O$27*O$18</f>
        <v>209345.50145970163</v>
      </c>
      <c r="P156" s="80">
        <f ca="1">'CapexSum$Nom'!P156*P$28*P$17+'CapexSum$FY22'!P156*P$27*P$18</f>
        <v>416128.2507536927</v>
      </c>
      <c r="Q156" s="80">
        <f ca="1">'CapexSum$Nom'!Q156*Q$28*Q$17+'CapexSum$FY22'!Q156*Q$27*Q$18</f>
        <v>437644.29615966597</v>
      </c>
      <c r="R156" s="80">
        <f ca="1">'CapexSum$Nom'!R156*R$28*R$17+'CapexSum$FY22'!R156*R$27*R$18</f>
        <v>424086.95242455584</v>
      </c>
      <c r="S156" s="80">
        <f ca="1">'CapexSum$Nom'!S156*S$28*S$17+'CapexSum$FY22'!S156*S$27*S$18</f>
        <v>424970.25755938003</v>
      </c>
      <c r="T156" s="80">
        <f ca="1">'CapexSum$Nom'!T156*T$28*T$17+'CapexSum$FY22'!T156*T$27*T$18</f>
        <v>425732.72359862964</v>
      </c>
    </row>
    <row r="157" spans="5:20" s="41" customFormat="1" outlineLevel="1">
      <c r="F157" s="250" t="str">
        <f>"Total "&amp;E139</f>
        <v>Total Direct Costs + Overheads</v>
      </c>
      <c r="G157" s="250"/>
      <c r="H157" s="250"/>
      <c r="I157" s="250"/>
      <c r="J157" s="101">
        <f t="shared" ref="J157:T157" ca="1" si="12">SUM(J141:J156)</f>
        <v>112418004.62774144</v>
      </c>
      <c r="K157" s="101">
        <f t="shared" ca="1" si="12"/>
        <v>124329951.24483027</v>
      </c>
      <c r="L157" s="101">
        <f t="shared" ca="1" si="12"/>
        <v>108388716.00493611</v>
      </c>
      <c r="M157" s="101">
        <f t="shared" ca="1" si="12"/>
        <v>119221761.62679081</v>
      </c>
      <c r="N157" s="101">
        <f t="shared" ca="1" si="12"/>
        <v>107999769.61409265</v>
      </c>
      <c r="O157" s="101">
        <f t="shared" ca="1" si="12"/>
        <v>63497740.436112434</v>
      </c>
      <c r="P157" s="101">
        <f t="shared" ca="1" si="12"/>
        <v>117812766.9694836</v>
      </c>
      <c r="Q157" s="101">
        <f t="shared" ca="1" si="12"/>
        <v>122150171.47181089</v>
      </c>
      <c r="R157" s="101">
        <f t="shared" ca="1" si="12"/>
        <v>119539997.13299432</v>
      </c>
      <c r="S157" s="101">
        <f t="shared" ca="1" si="12"/>
        <v>106794947.60916401</v>
      </c>
      <c r="T157" s="101">
        <f t="shared" ca="1" si="12"/>
        <v>96668685.526165277</v>
      </c>
    </row>
    <row r="158" spans="5:20" s="41" customFormat="1" outlineLevel="1"/>
    <row r="159" spans="5:20" s="41" customFormat="1" outlineLevel="1">
      <c r="E159" s="50" t="str">
        <f>'CapexSum$FY22'!E159</f>
        <v>Customer Contributions</v>
      </c>
    </row>
    <row r="160" spans="5:20" s="41" customFormat="1" ht="5.9" customHeight="1" outlineLevel="1"/>
    <row r="161" spans="6:20" s="41" customFormat="1" outlineLevel="1">
      <c r="F161" s="251" t="str">
        <f>GC!C40</f>
        <v>Transmission pipelines</v>
      </c>
      <c r="G161" s="251"/>
      <c r="H161" s="251"/>
      <c r="I161" s="251"/>
      <c r="J161" s="80">
        <f ca="1">'CapexSum$Nom'!J161*J$28*J$17+'CapexSum$FY22'!J161*J$27*J$18</f>
        <v>0</v>
      </c>
      <c r="K161" s="80">
        <f ca="1">'CapexSum$Nom'!K161*K$28*K$17+'CapexSum$FY22'!K161*K$27*K$18</f>
        <v>0</v>
      </c>
      <c r="L161" s="80">
        <f ca="1">'CapexSum$Nom'!L161*L$28*L$17+'CapexSum$FY22'!L161*L$27*L$18</f>
        <v>0</v>
      </c>
      <c r="M161" s="80">
        <f ca="1">'CapexSum$Nom'!M161*M$28*M$17+'CapexSum$FY22'!M161*M$27*M$18</f>
        <v>0</v>
      </c>
      <c r="N161" s="80">
        <f ca="1">'CapexSum$Nom'!N161*N$28*N$17+'CapexSum$FY22'!N161*N$27*N$18</f>
        <v>0</v>
      </c>
      <c r="O161" s="80">
        <f ca="1">'CapexSum$Nom'!O161*O$28*O$17+'CapexSum$FY22'!O161*O$27*O$18</f>
        <v>0</v>
      </c>
      <c r="P161" s="80">
        <f ca="1">'CapexSum$Nom'!P161*P$28*P$17+'CapexSum$FY22'!P161*P$27*P$18</f>
        <v>0</v>
      </c>
      <c r="Q161" s="80">
        <f ca="1">'CapexSum$Nom'!Q161*Q$28*Q$17+'CapexSum$FY22'!Q161*Q$27*Q$18</f>
        <v>0</v>
      </c>
      <c r="R161" s="80">
        <f ca="1">'CapexSum$Nom'!R161*R$28*R$17+'CapexSum$FY22'!R161*R$27*R$18</f>
        <v>0</v>
      </c>
      <c r="S161" s="80">
        <f ca="1">'CapexSum$Nom'!S161*S$28*S$17+'CapexSum$FY22'!S161*S$27*S$18</f>
        <v>0</v>
      </c>
      <c r="T161" s="80">
        <f ca="1">'CapexSum$Nom'!T161*T$28*T$17+'CapexSum$FY22'!T161*T$27*T$18</f>
        <v>0</v>
      </c>
    </row>
    <row r="162" spans="6:20" s="41" customFormat="1" outlineLevel="1">
      <c r="F162" s="251" t="str">
        <f>GC!C41</f>
        <v>Distribution pipelines</v>
      </c>
      <c r="G162" s="251"/>
      <c r="H162" s="251"/>
      <c r="I162" s="251"/>
      <c r="J162" s="80">
        <f ca="1">'CapexSum$Nom'!J162*J$28*J$17+'CapexSum$FY22'!J162*J$27*J$18</f>
        <v>-4029466.9302156097</v>
      </c>
      <c r="K162" s="80">
        <f ca="1">'CapexSum$Nom'!K162*K$28*K$17+'CapexSum$FY22'!K162*K$27*K$18</f>
        <v>-3783973.4614054509</v>
      </c>
      <c r="L162" s="80">
        <f ca="1">'CapexSum$Nom'!L162*L$28*L$17+'CapexSum$FY22'!L162*L$27*L$18</f>
        <v>-4627673.7409621244</v>
      </c>
      <c r="M162" s="80">
        <f ca="1">'CapexSum$Nom'!M162*M$28*M$17+'CapexSum$FY22'!M162*M$27*M$18</f>
        <v>-7171323.4377079606</v>
      </c>
      <c r="N162" s="80">
        <f ca="1">'CapexSum$Nom'!N162*N$28*N$17+'CapexSum$FY22'!N162*N$27*N$18</f>
        <v>0</v>
      </c>
      <c r="O162" s="80">
        <f ca="1">'CapexSum$Nom'!O162*O$28*O$17+'CapexSum$FY22'!O162*O$27*O$18</f>
        <v>0</v>
      </c>
      <c r="P162" s="80">
        <f ca="1">'CapexSum$Nom'!P162*P$28*P$17+'CapexSum$FY22'!P162*P$27*P$18</f>
        <v>0</v>
      </c>
      <c r="Q162" s="80">
        <f ca="1">'CapexSum$Nom'!Q162*Q$28*Q$17+'CapexSum$FY22'!Q162*Q$27*Q$18</f>
        <v>0</v>
      </c>
      <c r="R162" s="80">
        <f ca="1">'CapexSum$Nom'!R162*R$28*R$17+'CapexSum$FY22'!R162*R$27*R$18</f>
        <v>0</v>
      </c>
      <c r="S162" s="80">
        <f ca="1">'CapexSum$Nom'!S162*S$28*S$17+'CapexSum$FY22'!S162*S$27*S$18</f>
        <v>0</v>
      </c>
      <c r="T162" s="80">
        <f ca="1">'CapexSum$Nom'!T162*T$28*T$17+'CapexSum$FY22'!T162*T$27*T$18</f>
        <v>0</v>
      </c>
    </row>
    <row r="163" spans="6:20" s="41" customFormat="1" outlineLevel="1">
      <c r="F163" s="251" t="str">
        <f>GC!C42</f>
        <v>Service pipes</v>
      </c>
      <c r="G163" s="251"/>
      <c r="H163" s="251"/>
      <c r="I163" s="251"/>
      <c r="J163" s="80">
        <f ca="1">'CapexSum$Nom'!J163*J$28*J$17+'CapexSum$FY22'!J163*J$27*J$18</f>
        <v>-1678958.925020488</v>
      </c>
      <c r="K163" s="80">
        <f ca="1">'CapexSum$Nom'!K163*K$28*K$17+'CapexSum$FY22'!K163*K$27*K$18</f>
        <v>-3481062.0332154683</v>
      </c>
      <c r="L163" s="80">
        <f ca="1">'CapexSum$Nom'!L163*L$28*L$17+'CapexSum$FY22'!L163*L$27*L$18</f>
        <v>-2834990.8070216542</v>
      </c>
      <c r="M163" s="80">
        <f ca="1">'CapexSum$Nom'!M163*M$28*M$17+'CapexSum$FY22'!M163*M$27*M$18</f>
        <v>-2309103.3761290377</v>
      </c>
      <c r="N163" s="80">
        <f ca="1">'CapexSum$Nom'!N163*N$28*N$17+'CapexSum$FY22'!N163*N$27*N$18</f>
        <v>0</v>
      </c>
      <c r="O163" s="80">
        <f ca="1">'CapexSum$Nom'!O163*O$28*O$17+'CapexSum$FY22'!O163*O$27*O$18</f>
        <v>0</v>
      </c>
      <c r="P163" s="80">
        <f ca="1">'CapexSum$Nom'!P163*P$28*P$17+'CapexSum$FY22'!P163*P$27*P$18</f>
        <v>0</v>
      </c>
      <c r="Q163" s="80">
        <f ca="1">'CapexSum$Nom'!Q163*Q$28*Q$17+'CapexSum$FY22'!Q163*Q$27*Q$18</f>
        <v>0</v>
      </c>
      <c r="R163" s="80">
        <f ca="1">'CapexSum$Nom'!R163*R$28*R$17+'CapexSum$FY22'!R163*R$27*R$18</f>
        <v>0</v>
      </c>
      <c r="S163" s="80">
        <f ca="1">'CapexSum$Nom'!S163*S$28*S$17+'CapexSum$FY22'!S163*S$27*S$18</f>
        <v>0</v>
      </c>
      <c r="T163" s="80">
        <f ca="1">'CapexSum$Nom'!T163*T$28*T$17+'CapexSum$FY22'!T163*T$27*T$18</f>
        <v>0</v>
      </c>
    </row>
    <row r="164" spans="6:20" s="41" customFormat="1" outlineLevel="1">
      <c r="F164" s="251" t="str">
        <f>GC!C43</f>
        <v>Cathodic protection</v>
      </c>
      <c r="G164" s="251"/>
      <c r="H164" s="251"/>
      <c r="I164" s="251"/>
      <c r="J164" s="80">
        <f ca="1">'CapexSum$Nom'!J164*J$28*J$17+'CapexSum$FY22'!J164*J$27*J$18</f>
        <v>0</v>
      </c>
      <c r="K164" s="80">
        <f ca="1">'CapexSum$Nom'!K164*K$28*K$17+'CapexSum$FY22'!K164*K$27*K$18</f>
        <v>0</v>
      </c>
      <c r="L164" s="80">
        <f ca="1">'CapexSum$Nom'!L164*L$28*L$17+'CapexSum$FY22'!L164*L$27*L$18</f>
        <v>0</v>
      </c>
      <c r="M164" s="80">
        <f ca="1">'CapexSum$Nom'!M164*M$28*M$17+'CapexSum$FY22'!M164*M$27*M$18</f>
        <v>0</v>
      </c>
      <c r="N164" s="80">
        <f ca="1">'CapexSum$Nom'!N164*N$28*N$17+'CapexSum$FY22'!N164*N$27*N$18</f>
        <v>0</v>
      </c>
      <c r="O164" s="80">
        <f ca="1">'CapexSum$Nom'!O164*O$28*O$17+'CapexSum$FY22'!O164*O$27*O$18</f>
        <v>0</v>
      </c>
      <c r="P164" s="80">
        <f ca="1">'CapexSum$Nom'!P164*P$28*P$17+'CapexSum$FY22'!P164*P$27*P$18</f>
        <v>0</v>
      </c>
      <c r="Q164" s="80">
        <f ca="1">'CapexSum$Nom'!Q164*Q$28*Q$17+'CapexSum$FY22'!Q164*Q$27*Q$18</f>
        <v>0</v>
      </c>
      <c r="R164" s="80">
        <f ca="1">'CapexSum$Nom'!R164*R$28*R$17+'CapexSum$FY22'!R164*R$27*R$18</f>
        <v>0</v>
      </c>
      <c r="S164" s="80">
        <f ca="1">'CapexSum$Nom'!S164*S$28*S$17+'CapexSum$FY22'!S164*S$27*S$18</f>
        <v>0</v>
      </c>
      <c r="T164" s="80">
        <f ca="1">'CapexSum$Nom'!T164*T$28*T$17+'CapexSum$FY22'!T164*T$27*T$18</f>
        <v>0</v>
      </c>
    </row>
    <row r="165" spans="6:20" s="41" customFormat="1" outlineLevel="1">
      <c r="F165" s="251" t="str">
        <f>GC!C44</f>
        <v>Supply Regulators / Valve Stations</v>
      </c>
      <c r="G165" s="251"/>
      <c r="H165" s="251"/>
      <c r="I165" s="251"/>
      <c r="J165" s="80">
        <f ca="1">'CapexSum$Nom'!J165*J$28*J$17+'CapexSum$FY22'!J165*J$27*J$18</f>
        <v>-490965.772</v>
      </c>
      <c r="K165" s="80">
        <f ca="1">'CapexSum$Nom'!K165*K$28*K$17+'CapexSum$FY22'!K165*K$27*K$18</f>
        <v>0</v>
      </c>
      <c r="L165" s="80">
        <f ca="1">'CapexSum$Nom'!L165*L$28*L$17+'CapexSum$FY22'!L165*L$27*L$18</f>
        <v>0</v>
      </c>
      <c r="M165" s="80">
        <f ca="1">'CapexSum$Nom'!M165*M$28*M$17+'CapexSum$FY22'!M165*M$27*M$18</f>
        <v>-4755443.5894541517</v>
      </c>
      <c r="N165" s="80">
        <f ca="1">'CapexSum$Nom'!N165*N$28*N$17+'CapexSum$FY22'!N165*N$27*N$18</f>
        <v>-10240885</v>
      </c>
      <c r="O165" s="80">
        <f ca="1">'CapexSum$Nom'!O165*O$28*O$17+'CapexSum$FY22'!O165*O$27*O$18</f>
        <v>-1097324.2789999999</v>
      </c>
      <c r="P165" s="80">
        <f ca="1">'CapexSum$Nom'!P165*P$28*P$17+'CapexSum$FY22'!P165*P$27*P$18</f>
        <v>0</v>
      </c>
      <c r="Q165" s="80">
        <f ca="1">'CapexSum$Nom'!Q165*Q$28*Q$17+'CapexSum$FY22'!Q165*Q$27*Q$18</f>
        <v>0</v>
      </c>
      <c r="R165" s="80">
        <f ca="1">'CapexSum$Nom'!R165*R$28*R$17+'CapexSum$FY22'!R165*R$27*R$18</f>
        <v>0</v>
      </c>
      <c r="S165" s="80">
        <f ca="1">'CapexSum$Nom'!S165*S$28*S$17+'CapexSum$FY22'!S165*S$27*S$18</f>
        <v>0</v>
      </c>
      <c r="T165" s="80">
        <f ca="1">'CapexSum$Nom'!T165*T$28*T$17+'CapexSum$FY22'!T165*T$27*T$18</f>
        <v>0</v>
      </c>
    </row>
    <row r="166" spans="6:20" s="41" customFormat="1" outlineLevel="1">
      <c r="F166" s="251" t="str">
        <f>GC!C45</f>
        <v>Meters</v>
      </c>
      <c r="G166" s="251"/>
      <c r="H166" s="251"/>
      <c r="I166" s="251"/>
      <c r="J166" s="80">
        <f ca="1">'CapexSum$Nom'!J166*J$28*J$17+'CapexSum$FY22'!J166*J$27*J$18</f>
        <v>-466178.95932487806</v>
      </c>
      <c r="K166" s="80">
        <f ca="1">'CapexSum$Nom'!K166*K$28*K$17+'CapexSum$FY22'!K166*K$27*K$18</f>
        <v>-1767166.6134125304</v>
      </c>
      <c r="L166" s="80">
        <f ca="1">'CapexSum$Nom'!L166*L$28*L$17+'CapexSum$FY22'!L166*L$27*L$18</f>
        <v>-967459.27404653293</v>
      </c>
      <c r="M166" s="80">
        <f ca="1">'CapexSum$Nom'!M166*M$28*M$17+'CapexSum$FY22'!M166*M$27*M$18</f>
        <v>-721778.48761846148</v>
      </c>
      <c r="N166" s="80">
        <f ca="1">'CapexSum$Nom'!N166*N$28*N$17+'CapexSum$FY22'!N166*N$27*N$18</f>
        <v>-900796.69725261501</v>
      </c>
      <c r="O166" s="80">
        <f ca="1">'CapexSum$Nom'!O166*O$28*O$17+'CapexSum$FY22'!O166*O$27*O$18</f>
        <v>-458455.37413499999</v>
      </c>
      <c r="P166" s="80">
        <f ca="1">'CapexSum$Nom'!P166*P$28*P$17+'CapexSum$FY22'!P166*P$27*P$18</f>
        <v>-916910.74826999998</v>
      </c>
      <c r="Q166" s="80">
        <f ca="1">'CapexSum$Nom'!Q166*Q$28*Q$17+'CapexSum$FY22'!Q166*Q$27*Q$18</f>
        <v>-932529.45462500001</v>
      </c>
      <c r="R166" s="80">
        <f ca="1">'CapexSum$Nom'!R166*R$28*R$17+'CapexSum$FY22'!R166*R$27*R$18</f>
        <v>-947801.44050500006</v>
      </c>
      <c r="S166" s="80">
        <f ca="1">'CapexSum$Nom'!S166*S$28*S$17+'CapexSum$FY22'!S166*S$27*S$18</f>
        <v>-935729.39728000003</v>
      </c>
      <c r="T166" s="80">
        <f ca="1">'CapexSum$Nom'!T166*T$28*T$17+'CapexSum$FY22'!T166*T$27*T$18</f>
        <v>-923167.18522999994</v>
      </c>
    </row>
    <row r="167" spans="6:20" s="41" customFormat="1" outlineLevel="1">
      <c r="F167" s="251" t="str">
        <f>GC!C46</f>
        <v>SCADA and remote control</v>
      </c>
      <c r="G167" s="251"/>
      <c r="H167" s="251"/>
      <c r="I167" s="251"/>
      <c r="J167" s="80">
        <f ca="1">'CapexSum$Nom'!J167*J$28*J$17+'CapexSum$FY22'!J167*J$27*J$18</f>
        <v>0</v>
      </c>
      <c r="K167" s="80">
        <f ca="1">'CapexSum$Nom'!K167*K$28*K$17+'CapexSum$FY22'!K167*K$27*K$18</f>
        <v>0</v>
      </c>
      <c r="L167" s="80">
        <f ca="1">'CapexSum$Nom'!L167*L$28*L$17+'CapexSum$FY22'!L167*L$27*L$18</f>
        <v>0</v>
      </c>
      <c r="M167" s="80">
        <f ca="1">'CapexSum$Nom'!M167*M$28*M$17+'CapexSum$FY22'!M167*M$27*M$18</f>
        <v>0</v>
      </c>
      <c r="N167" s="80">
        <f ca="1">'CapexSum$Nom'!N167*N$28*N$17+'CapexSum$FY22'!N167*N$27*N$18</f>
        <v>0</v>
      </c>
      <c r="O167" s="80">
        <f ca="1">'CapexSum$Nom'!O167*O$28*O$17+'CapexSum$FY22'!O167*O$27*O$18</f>
        <v>0</v>
      </c>
      <c r="P167" s="80">
        <f ca="1">'CapexSum$Nom'!P167*P$28*P$17+'CapexSum$FY22'!P167*P$27*P$18</f>
        <v>0</v>
      </c>
      <c r="Q167" s="80">
        <f ca="1">'CapexSum$Nom'!Q167*Q$28*Q$17+'CapexSum$FY22'!Q167*Q$27*Q$18</f>
        <v>0</v>
      </c>
      <c r="R167" s="80">
        <f ca="1">'CapexSum$Nom'!R167*R$28*R$17+'CapexSum$FY22'!R167*R$27*R$18</f>
        <v>0</v>
      </c>
      <c r="S167" s="80">
        <f ca="1">'CapexSum$Nom'!S167*S$28*S$17+'CapexSum$FY22'!S167*S$27*S$18</f>
        <v>0</v>
      </c>
      <c r="T167" s="80">
        <f ca="1">'CapexSum$Nom'!T167*T$28*T$17+'CapexSum$FY22'!T167*T$27*T$18</f>
        <v>0</v>
      </c>
    </row>
    <row r="168" spans="6:20" s="41" customFormat="1" outlineLevel="1">
      <c r="F168" s="251" t="str">
        <f>GC!C47</f>
        <v>Buildings</v>
      </c>
      <c r="G168" s="251"/>
      <c r="H168" s="251"/>
      <c r="I168" s="251"/>
      <c r="J168" s="80">
        <f ca="1">'CapexSum$Nom'!J168*J$28*J$17+'CapexSum$FY22'!J168*J$27*J$18</f>
        <v>0</v>
      </c>
      <c r="K168" s="80">
        <f ca="1">'CapexSum$Nom'!K168*K$28*K$17+'CapexSum$FY22'!K168*K$27*K$18</f>
        <v>0</v>
      </c>
      <c r="L168" s="80">
        <f ca="1">'CapexSum$Nom'!L168*L$28*L$17+'CapexSum$FY22'!L168*L$27*L$18</f>
        <v>0</v>
      </c>
      <c r="M168" s="80">
        <f ca="1">'CapexSum$Nom'!M168*M$28*M$17+'CapexSum$FY22'!M168*M$27*M$18</f>
        <v>0</v>
      </c>
      <c r="N168" s="80">
        <f ca="1">'CapexSum$Nom'!N168*N$28*N$17+'CapexSum$FY22'!N168*N$27*N$18</f>
        <v>0</v>
      </c>
      <c r="O168" s="80">
        <f ca="1">'CapexSum$Nom'!O168*O$28*O$17+'CapexSum$FY22'!O168*O$27*O$18</f>
        <v>0</v>
      </c>
      <c r="P168" s="80">
        <f ca="1">'CapexSum$Nom'!P168*P$28*P$17+'CapexSum$FY22'!P168*P$27*P$18</f>
        <v>0</v>
      </c>
      <c r="Q168" s="80">
        <f ca="1">'CapexSum$Nom'!Q168*Q$28*Q$17+'CapexSum$FY22'!Q168*Q$27*Q$18</f>
        <v>0</v>
      </c>
      <c r="R168" s="80">
        <f ca="1">'CapexSum$Nom'!R168*R$28*R$17+'CapexSum$FY22'!R168*R$27*R$18</f>
        <v>0</v>
      </c>
      <c r="S168" s="80">
        <f ca="1">'CapexSum$Nom'!S168*S$28*S$17+'CapexSum$FY22'!S168*S$27*S$18</f>
        <v>0</v>
      </c>
      <c r="T168" s="80">
        <f ca="1">'CapexSum$Nom'!T168*T$28*T$17+'CapexSum$FY22'!T168*T$27*T$18</f>
        <v>0</v>
      </c>
    </row>
    <row r="169" spans="6:20" s="41" customFormat="1" outlineLevel="1">
      <c r="F169" s="251" t="str">
        <f>GC!C48</f>
        <v>Other - IT</v>
      </c>
      <c r="G169" s="251"/>
      <c r="H169" s="251"/>
      <c r="I169" s="251"/>
      <c r="J169" s="80">
        <f ca="1">'CapexSum$Nom'!J169*J$28*J$17+'CapexSum$FY22'!J169*J$27*J$18</f>
        <v>0</v>
      </c>
      <c r="K169" s="80">
        <f ca="1">'CapexSum$Nom'!K169*K$28*K$17+'CapexSum$FY22'!K169*K$27*K$18</f>
        <v>0</v>
      </c>
      <c r="L169" s="80">
        <f ca="1">'CapexSum$Nom'!L169*L$28*L$17+'CapexSum$FY22'!L169*L$27*L$18</f>
        <v>0</v>
      </c>
      <c r="M169" s="80">
        <f ca="1">'CapexSum$Nom'!M169*M$28*M$17+'CapexSum$FY22'!M169*M$27*M$18</f>
        <v>0</v>
      </c>
      <c r="N169" s="80">
        <f ca="1">'CapexSum$Nom'!N169*N$28*N$17+'CapexSum$FY22'!N169*N$27*N$18</f>
        <v>0</v>
      </c>
      <c r="O169" s="80">
        <f ca="1">'CapexSum$Nom'!O169*O$28*O$17+'CapexSum$FY22'!O169*O$27*O$18</f>
        <v>0</v>
      </c>
      <c r="P169" s="80">
        <f ca="1">'CapexSum$Nom'!P169*P$28*P$17+'CapexSum$FY22'!P169*P$27*P$18</f>
        <v>0</v>
      </c>
      <c r="Q169" s="80">
        <f ca="1">'CapexSum$Nom'!Q169*Q$28*Q$17+'CapexSum$FY22'!Q169*Q$27*Q$18</f>
        <v>0</v>
      </c>
      <c r="R169" s="80">
        <f ca="1">'CapexSum$Nom'!R169*R$28*R$17+'CapexSum$FY22'!R169*R$27*R$18</f>
        <v>0</v>
      </c>
      <c r="S169" s="80">
        <f ca="1">'CapexSum$Nom'!S169*S$28*S$17+'CapexSum$FY22'!S169*S$27*S$18</f>
        <v>0</v>
      </c>
      <c r="T169" s="80">
        <f ca="1">'CapexSum$Nom'!T169*T$28*T$17+'CapexSum$FY22'!T169*T$27*T$18</f>
        <v>0</v>
      </c>
    </row>
    <row r="170" spans="6:20" s="41" customFormat="1" outlineLevel="1">
      <c r="F170" s="251" t="str">
        <f>GC!C49</f>
        <v>Other - non IT</v>
      </c>
      <c r="G170" s="251"/>
      <c r="H170" s="251"/>
      <c r="I170" s="251"/>
      <c r="J170" s="80">
        <f ca="1">'CapexSum$Nom'!J170*J$28*J$17+'CapexSum$FY22'!J170*J$27*J$18</f>
        <v>0</v>
      </c>
      <c r="K170" s="80">
        <f ca="1">'CapexSum$Nom'!K170*K$28*K$17+'CapexSum$FY22'!K170*K$27*K$18</f>
        <v>0</v>
      </c>
      <c r="L170" s="80">
        <f ca="1">'CapexSum$Nom'!L170*L$28*L$17+'CapexSum$FY22'!L170*L$27*L$18</f>
        <v>0</v>
      </c>
      <c r="M170" s="80">
        <f ca="1">'CapexSum$Nom'!M170*M$28*M$17+'CapexSum$FY22'!M170*M$27*M$18</f>
        <v>0</v>
      </c>
      <c r="N170" s="80">
        <f ca="1">'CapexSum$Nom'!N170*N$28*N$17+'CapexSum$FY22'!N170*N$27*N$18</f>
        <v>0</v>
      </c>
      <c r="O170" s="80">
        <f ca="1">'CapexSum$Nom'!O170*O$28*O$17+'CapexSum$FY22'!O170*O$27*O$18</f>
        <v>0</v>
      </c>
      <c r="P170" s="80">
        <f ca="1">'CapexSum$Nom'!P170*P$28*P$17+'CapexSum$FY22'!P170*P$27*P$18</f>
        <v>0</v>
      </c>
      <c r="Q170" s="80">
        <f ca="1">'CapexSum$Nom'!Q170*Q$28*Q$17+'CapexSum$FY22'!Q170*Q$27*Q$18</f>
        <v>0</v>
      </c>
      <c r="R170" s="80">
        <f ca="1">'CapexSum$Nom'!R170*R$28*R$17+'CapexSum$FY22'!R170*R$27*R$18</f>
        <v>0</v>
      </c>
      <c r="S170" s="80">
        <f ca="1">'CapexSum$Nom'!S170*S$28*S$17+'CapexSum$FY22'!S170*S$27*S$18</f>
        <v>0</v>
      </c>
      <c r="T170" s="80">
        <f ca="1">'CapexSum$Nom'!T170*T$28*T$17+'CapexSum$FY22'!T170*T$27*T$18</f>
        <v>0</v>
      </c>
    </row>
    <row r="171" spans="6:20" s="41" customFormat="1" outlineLevel="1">
      <c r="F171" s="251" t="str">
        <f>GC!C50</f>
        <v>Land</v>
      </c>
      <c r="G171" s="251"/>
      <c r="H171" s="251"/>
      <c r="I171" s="251"/>
      <c r="J171" s="80">
        <f ca="1">'CapexSum$Nom'!J171*J$28*J$17+'CapexSum$FY22'!J171*J$27*J$18</f>
        <v>0</v>
      </c>
      <c r="K171" s="80">
        <f ca="1">'CapexSum$Nom'!K171*K$28*K$17+'CapexSum$FY22'!K171*K$27*K$18</f>
        <v>0</v>
      </c>
      <c r="L171" s="80">
        <f ca="1">'CapexSum$Nom'!L171*L$28*L$17+'CapexSum$FY22'!L171*L$27*L$18</f>
        <v>0</v>
      </c>
      <c r="M171" s="80">
        <f ca="1">'CapexSum$Nom'!M171*M$28*M$17+'CapexSum$FY22'!M171*M$27*M$18</f>
        <v>0</v>
      </c>
      <c r="N171" s="80">
        <f ca="1">'CapexSum$Nom'!N171*N$28*N$17+'CapexSum$FY22'!N171*N$27*N$18</f>
        <v>0</v>
      </c>
      <c r="O171" s="80">
        <f ca="1">'CapexSum$Nom'!O171*O$28*O$17+'CapexSum$FY22'!O171*O$27*O$18</f>
        <v>0</v>
      </c>
      <c r="P171" s="80">
        <f ca="1">'CapexSum$Nom'!P171*P$28*P$17+'CapexSum$FY22'!P171*P$27*P$18</f>
        <v>0</v>
      </c>
      <c r="Q171" s="80">
        <f ca="1">'CapexSum$Nom'!Q171*Q$28*Q$17+'CapexSum$FY22'!Q171*Q$27*Q$18</f>
        <v>0</v>
      </c>
      <c r="R171" s="80">
        <f ca="1">'CapexSum$Nom'!R171*R$28*R$17+'CapexSum$FY22'!R171*R$27*R$18</f>
        <v>0</v>
      </c>
      <c r="S171" s="80">
        <f ca="1">'CapexSum$Nom'!S171*S$28*S$17+'CapexSum$FY22'!S171*S$27*S$18</f>
        <v>0</v>
      </c>
      <c r="T171" s="80">
        <f ca="1">'CapexSum$Nom'!T171*T$28*T$17+'CapexSum$FY22'!T171*T$27*T$18</f>
        <v>0</v>
      </c>
    </row>
    <row r="172" spans="6:20" s="41" customFormat="1" outlineLevel="1">
      <c r="F172" s="251" t="str">
        <f>GC!C51</f>
        <v>Capitalised Leases</v>
      </c>
      <c r="G172" s="251"/>
      <c r="H172" s="251"/>
      <c r="I172" s="251"/>
      <c r="J172" s="80">
        <f ca="1">'CapexSum$Nom'!J172*J$28*J$17+'CapexSum$FY22'!J172*J$27*J$18</f>
        <v>0</v>
      </c>
      <c r="K172" s="80">
        <f ca="1">'CapexSum$Nom'!K172*K$28*K$17+'CapexSum$FY22'!K172*K$27*K$18</f>
        <v>0</v>
      </c>
      <c r="L172" s="80">
        <f ca="1">'CapexSum$Nom'!L172*L$28*L$17+'CapexSum$FY22'!L172*L$27*L$18</f>
        <v>0</v>
      </c>
      <c r="M172" s="80">
        <f ca="1">'CapexSum$Nom'!M172*M$28*M$17+'CapexSum$FY22'!M172*M$27*M$18</f>
        <v>0</v>
      </c>
      <c r="N172" s="80">
        <f ca="1">'CapexSum$Nom'!N172*N$28*N$17+'CapexSum$FY22'!N172*N$27*N$18</f>
        <v>0</v>
      </c>
      <c r="O172" s="80">
        <f ca="1">'CapexSum$Nom'!O172*O$28*O$17+'CapexSum$FY22'!O172*O$27*O$18</f>
        <v>0</v>
      </c>
      <c r="P172" s="80">
        <f ca="1">'CapexSum$Nom'!P172*P$28*P$17+'CapexSum$FY22'!P172*P$27*P$18</f>
        <v>0</v>
      </c>
      <c r="Q172" s="80">
        <f ca="1">'CapexSum$Nom'!Q172*Q$28*Q$17+'CapexSum$FY22'!Q172*Q$27*Q$18</f>
        <v>0</v>
      </c>
      <c r="R172" s="80">
        <f ca="1">'CapexSum$Nom'!R172*R$28*R$17+'CapexSum$FY22'!R172*R$27*R$18</f>
        <v>0</v>
      </c>
      <c r="S172" s="80">
        <f ca="1">'CapexSum$Nom'!S172*S$28*S$17+'CapexSum$FY22'!S172*S$27*S$18</f>
        <v>0</v>
      </c>
      <c r="T172" s="80">
        <f ca="1">'CapexSum$Nom'!T172*T$28*T$17+'CapexSum$FY22'!T172*T$27*T$18</f>
        <v>0</v>
      </c>
    </row>
    <row r="173" spans="6:20" s="41" customFormat="1" outlineLevel="1">
      <c r="F173" s="251" t="str">
        <f>GC!C52</f>
        <v>Transmission pipelines - post 1998</v>
      </c>
      <c r="G173" s="251"/>
      <c r="H173" s="251"/>
      <c r="I173" s="251"/>
      <c r="J173" s="80">
        <f ca="1">'CapexSum$Nom'!J173*J$28*J$17+'CapexSum$FY22'!J173*J$27*J$18</f>
        <v>0</v>
      </c>
      <c r="K173" s="80">
        <f ca="1">'CapexSum$Nom'!K173*K$28*K$17+'CapexSum$FY22'!K173*K$27*K$18</f>
        <v>0</v>
      </c>
      <c r="L173" s="80">
        <f ca="1">'CapexSum$Nom'!L173*L$28*L$17+'CapexSum$FY22'!L173*L$27*L$18</f>
        <v>0</v>
      </c>
      <c r="M173" s="80">
        <f ca="1">'CapexSum$Nom'!M173*M$28*M$17+'CapexSum$FY22'!M173*M$27*M$18</f>
        <v>0</v>
      </c>
      <c r="N173" s="80">
        <f ca="1">'CapexSum$Nom'!N173*N$28*N$17+'CapexSum$FY22'!N173*N$27*N$18</f>
        <v>0</v>
      </c>
      <c r="O173" s="80">
        <f ca="1">'CapexSum$Nom'!O173*O$28*O$17+'CapexSum$FY22'!O173*O$27*O$18</f>
        <v>0</v>
      </c>
      <c r="P173" s="80">
        <f ca="1">'CapexSum$Nom'!P173*P$28*P$17+'CapexSum$FY22'!P173*P$27*P$18</f>
        <v>0</v>
      </c>
      <c r="Q173" s="80">
        <f ca="1">'CapexSum$Nom'!Q173*Q$28*Q$17+'CapexSum$FY22'!Q173*Q$27*Q$18</f>
        <v>0</v>
      </c>
      <c r="R173" s="80">
        <f ca="1">'CapexSum$Nom'!R173*R$28*R$17+'CapexSum$FY22'!R173*R$27*R$18</f>
        <v>0</v>
      </c>
      <c r="S173" s="80">
        <f ca="1">'CapexSum$Nom'!S173*S$28*S$17+'CapexSum$FY22'!S173*S$27*S$18</f>
        <v>0</v>
      </c>
      <c r="T173" s="80">
        <f ca="1">'CapexSum$Nom'!T173*T$28*T$17+'CapexSum$FY22'!T173*T$27*T$18</f>
        <v>0</v>
      </c>
    </row>
    <row r="174" spans="6:20" s="41" customFormat="1" outlineLevel="1">
      <c r="F174" s="251" t="str">
        <f>GC!C53</f>
        <v>Distribution pipelines - post 1998</v>
      </c>
      <c r="G174" s="251"/>
      <c r="H174" s="251"/>
      <c r="I174" s="251"/>
      <c r="J174" s="80">
        <f ca="1">'CapexSum$Nom'!J174*J$28*J$17+'CapexSum$FY22'!J174*J$27*J$18</f>
        <v>0</v>
      </c>
      <c r="K174" s="80">
        <f ca="1">'CapexSum$Nom'!K174*K$28*K$17+'CapexSum$FY22'!K174*K$27*K$18</f>
        <v>0</v>
      </c>
      <c r="L174" s="80">
        <f ca="1">'CapexSum$Nom'!L174*L$28*L$17+'CapexSum$FY22'!L174*L$27*L$18</f>
        <v>0</v>
      </c>
      <c r="M174" s="80">
        <f ca="1">'CapexSum$Nom'!M174*M$28*M$17+'CapexSum$FY22'!M174*M$27*M$18</f>
        <v>0</v>
      </c>
      <c r="N174" s="80">
        <f ca="1">'CapexSum$Nom'!N174*N$28*N$17+'CapexSum$FY22'!N174*N$27*N$18</f>
        <v>-6249029.1972630294</v>
      </c>
      <c r="O174" s="80">
        <f ca="1">'CapexSum$Nom'!O174*O$28*O$17+'CapexSum$FY22'!O174*O$27*O$18</f>
        <v>-1655067.3651181094</v>
      </c>
      <c r="P174" s="80">
        <f ca="1">'CapexSum$Nom'!P174*P$28*P$17+'CapexSum$FY22'!P174*P$27*P$18</f>
        <v>-2922843.808236219</v>
      </c>
      <c r="Q174" s="80">
        <f ca="1">'CapexSum$Nom'!Q174*Q$28*Q$17+'CapexSum$FY22'!Q174*Q$27*Q$18</f>
        <v>-2960296.5646012193</v>
      </c>
      <c r="R174" s="80">
        <f ca="1">'CapexSum$Nom'!R174*R$28*R$17+'CapexSum$FY22'!R174*R$27*R$18</f>
        <v>-2996892.7991712191</v>
      </c>
      <c r="S174" s="80">
        <f ca="1">'CapexSum$Nom'!S174*S$28*S$17+'CapexSum$FY22'!S174*S$27*S$18</f>
        <v>-2967109.8337262194</v>
      </c>
      <c r="T174" s="80">
        <f ca="1">'CapexSum$Nom'!T174*T$28*T$17+'CapexSum$FY22'!T174*T$27*T$18</f>
        <v>-2936152.2608212195</v>
      </c>
    </row>
    <row r="175" spans="6:20" s="41" customFormat="1" outlineLevel="1">
      <c r="F175" s="251" t="str">
        <f>GC!C54</f>
        <v>Service pipes - post 1998</v>
      </c>
      <c r="G175" s="251"/>
      <c r="H175" s="251"/>
      <c r="I175" s="251"/>
      <c r="J175" s="80">
        <f ca="1">'CapexSum$Nom'!J175*J$28*J$17+'CapexSum$FY22'!J175*J$27*J$18</f>
        <v>0</v>
      </c>
      <c r="K175" s="80">
        <f ca="1">'CapexSum$Nom'!K175*K$28*K$17+'CapexSum$FY22'!K175*K$27*K$18</f>
        <v>0</v>
      </c>
      <c r="L175" s="80">
        <f ca="1">'CapexSum$Nom'!L175*L$28*L$17+'CapexSum$FY22'!L175*L$27*L$18</f>
        <v>0</v>
      </c>
      <c r="M175" s="80">
        <f ca="1">'CapexSum$Nom'!M175*M$28*M$17+'CapexSum$FY22'!M175*M$27*M$18</f>
        <v>0</v>
      </c>
      <c r="N175" s="80">
        <f ca="1">'CapexSum$Nom'!N175*N$28*N$17+'CapexSum$FY22'!N175*N$27*N$18</f>
        <v>-3924568.5293932548</v>
      </c>
      <c r="O175" s="80">
        <f ca="1">'CapexSum$Nom'!O175*O$28*O$17+'CapexSum$FY22'!O175*O$27*O$18</f>
        <v>-2118103.2228225679</v>
      </c>
      <c r="P175" s="80">
        <f ca="1">'CapexSum$Nom'!P175*P$28*P$17+'CapexSum$FY22'!P175*P$27*P$18</f>
        <v>-4236206.4456451358</v>
      </c>
      <c r="Q175" s="80">
        <f ca="1">'CapexSum$Nom'!Q175*Q$28*Q$17+'CapexSum$FY22'!Q175*Q$27*Q$18</f>
        <v>-4333165.6045251349</v>
      </c>
      <c r="R175" s="80">
        <f ca="1">'CapexSum$Nom'!R175*R$28*R$17+'CapexSum$FY22'!R175*R$27*R$18</f>
        <v>-4427832.1049251352</v>
      </c>
      <c r="S175" s="80">
        <f ca="1">'CapexSum$Nom'!S175*S$28*S$17+'CapexSum$FY22'!S175*S$27*S$18</f>
        <v>-4348225.8814451359</v>
      </c>
      <c r="T175" s="80">
        <f ca="1">'CapexSum$Nom'!T175*T$28*T$17+'CapexSum$FY22'!T175*T$27*T$18</f>
        <v>-4265581.0754501354</v>
      </c>
    </row>
    <row r="176" spans="6:20" s="41" customFormat="1" outlineLevel="1">
      <c r="F176" s="251" t="str">
        <f>GC!C55</f>
        <v>Cathodic protection - post 1998</v>
      </c>
      <c r="G176" s="251"/>
      <c r="H176" s="251"/>
      <c r="I176" s="251"/>
      <c r="J176" s="80">
        <f ca="1">'CapexSum$Nom'!J176*J$28*J$17+'CapexSum$FY22'!J176*J$27*J$18</f>
        <v>0</v>
      </c>
      <c r="K176" s="80">
        <f ca="1">'CapexSum$Nom'!K176*K$28*K$17+'CapexSum$FY22'!K176*K$27*K$18</f>
        <v>0</v>
      </c>
      <c r="L176" s="80">
        <f ca="1">'CapexSum$Nom'!L176*L$28*L$17+'CapexSum$FY22'!L176*L$27*L$18</f>
        <v>0</v>
      </c>
      <c r="M176" s="80">
        <f ca="1">'CapexSum$Nom'!M176*M$28*M$17+'CapexSum$FY22'!M176*M$27*M$18</f>
        <v>0</v>
      </c>
      <c r="N176" s="80">
        <f ca="1">'CapexSum$Nom'!N176*N$28*N$17+'CapexSum$FY22'!N176*N$27*N$18</f>
        <v>0</v>
      </c>
      <c r="O176" s="80">
        <f ca="1">'CapexSum$Nom'!O176*O$28*O$17+'CapexSum$FY22'!O176*O$27*O$18</f>
        <v>0</v>
      </c>
      <c r="P176" s="80">
        <f ca="1">'CapexSum$Nom'!P176*P$28*P$17+'CapexSum$FY22'!P176*P$27*P$18</f>
        <v>0</v>
      </c>
      <c r="Q176" s="80">
        <f ca="1">'CapexSum$Nom'!Q176*Q$28*Q$17+'CapexSum$FY22'!Q176*Q$27*Q$18</f>
        <v>0</v>
      </c>
      <c r="R176" s="80">
        <f ca="1">'CapexSum$Nom'!R176*R$28*R$17+'CapexSum$FY22'!R176*R$27*R$18</f>
        <v>0</v>
      </c>
      <c r="S176" s="80">
        <f ca="1">'CapexSum$Nom'!S176*S$28*S$17+'CapexSum$FY22'!S176*S$27*S$18</f>
        <v>0</v>
      </c>
      <c r="T176" s="80">
        <f ca="1">'CapexSum$Nom'!T176*T$28*T$17+'CapexSum$FY22'!T176*T$27*T$18</f>
        <v>0</v>
      </c>
    </row>
    <row r="177" spans="3:20" s="41" customFormat="1" outlineLevel="1">
      <c r="F177" s="250" t="str">
        <f>"Total "&amp;E159</f>
        <v>Total Customer Contributions</v>
      </c>
      <c r="G177" s="250"/>
      <c r="H177" s="250"/>
      <c r="I177" s="250"/>
      <c r="J177" s="101">
        <f t="shared" ref="J177:T177" ca="1" si="13">SUM(J161:J176)</f>
        <v>-6665570.5865609758</v>
      </c>
      <c r="K177" s="101">
        <f t="shared" ca="1" si="13"/>
        <v>-9032202.1080334503</v>
      </c>
      <c r="L177" s="101">
        <f t="shared" ca="1" si="13"/>
        <v>-8430123.8220303115</v>
      </c>
      <c r="M177" s="101">
        <f t="shared" ca="1" si="13"/>
        <v>-14957648.890909612</v>
      </c>
      <c r="N177" s="101">
        <f t="shared" ca="1" si="13"/>
        <v>-21315279.4239089</v>
      </c>
      <c r="O177" s="101">
        <f t="shared" ca="1" si="13"/>
        <v>-5328950.2410756778</v>
      </c>
      <c r="P177" s="101">
        <f t="shared" ca="1" si="13"/>
        <v>-8075961.0021513551</v>
      </c>
      <c r="Q177" s="101">
        <f t="shared" ca="1" si="13"/>
        <v>-8225991.6237513544</v>
      </c>
      <c r="R177" s="101">
        <f t="shared" ca="1" si="13"/>
        <v>-8372526.3446013546</v>
      </c>
      <c r="S177" s="101">
        <f t="shared" ca="1" si="13"/>
        <v>-8251065.1124513559</v>
      </c>
      <c r="T177" s="101">
        <f t="shared" ca="1" si="13"/>
        <v>-8124900.5215013549</v>
      </c>
    </row>
    <row r="178" spans="3:20" s="41" customFormat="1" outlineLevel="1">
      <c r="C178" s="109"/>
      <c r="D178" s="109"/>
      <c r="E178" s="109"/>
      <c r="F178" s="109"/>
      <c r="G178" s="109"/>
      <c r="H178" s="109"/>
      <c r="I178" s="109"/>
      <c r="J178" s="109"/>
      <c r="K178" s="109"/>
      <c r="L178" s="109"/>
      <c r="M178" s="109"/>
      <c r="N178" s="109"/>
      <c r="O178" s="109"/>
      <c r="P178" s="109"/>
      <c r="Q178" s="109"/>
      <c r="R178" s="109"/>
      <c r="S178" s="109"/>
      <c r="T178" s="109"/>
    </row>
    <row r="179" spans="3:20" s="41" customFormat="1" outlineLevel="1"/>
    <row r="180" spans="3:20" s="41" customFormat="1" outlineLevel="1">
      <c r="D180" s="50" t="str">
        <f>'CapexSum$FY22'!D180</f>
        <v>RIN Category Allocation</v>
      </c>
    </row>
    <row r="181" spans="3:20" s="41" customFormat="1" ht="5.9" customHeight="1" outlineLevel="1"/>
    <row r="182" spans="3:20" s="41" customFormat="1" outlineLevel="1">
      <c r="E182" s="50" t="str">
        <f>'CapexSum$FY22'!E182</f>
        <v>Direct Costs</v>
      </c>
    </row>
    <row r="183" spans="3:20" s="41" customFormat="1" ht="5.9" customHeight="1" outlineLevel="1"/>
    <row r="184" spans="3:20" s="41" customFormat="1" outlineLevel="1">
      <c r="F184" s="251" t="str">
        <f>GC!C60</f>
        <v>Mains replacement</v>
      </c>
      <c r="G184" s="251"/>
      <c r="H184" s="251"/>
      <c r="I184" s="251"/>
      <c r="J184" s="80">
        <f ca="1">('CapexSum$Nom'!J184*J$28)*J$17+('CapexSum$FY22'!J184*J$27)*J$18</f>
        <v>27745971.477936588</v>
      </c>
      <c r="K184" s="80">
        <f ca="1">('CapexSum$Nom'!K184*K$28)*K$17+('CapexSum$FY22'!K184*K$27)*K$18</f>
        <v>29337097.704671152</v>
      </c>
      <c r="L184" s="80">
        <f ca="1">('CapexSum$Nom'!L184*L$28)*L$17+('CapexSum$FY22'!L184*L$27)*L$18</f>
        <v>21749543.393207137</v>
      </c>
      <c r="M184" s="80">
        <f ca="1">('CapexSum$Nom'!M184*M$28)*M$17+('CapexSum$FY22'!M184*M$27)*M$18</f>
        <v>25082084.514167305</v>
      </c>
      <c r="N184" s="80">
        <f ca="1">('CapexSum$Nom'!N184*N$28)*N$17+('CapexSum$FY22'!N184*N$27)*N$18</f>
        <v>21865280.052848138</v>
      </c>
      <c r="O184" s="80">
        <f ca="1">('CapexSum$Nom'!O184*O$28)*O$17+('CapexSum$FY22'!O184*O$27)*O$18</f>
        <v>21851083.394159939</v>
      </c>
      <c r="P184" s="80">
        <f ca="1">('CapexSum$Nom'!P184*P$28)*P$17+('CapexSum$FY22'!P184*P$27)*P$18</f>
        <v>30246928.976615455</v>
      </c>
      <c r="Q184" s="80">
        <f ca="1">('CapexSum$Nom'!Q184*Q$28)*Q$17+('CapexSum$FY22'!Q184*Q$27)*Q$18</f>
        <v>27568524.126511134</v>
      </c>
      <c r="R184" s="80">
        <f ca="1">('CapexSum$Nom'!R184*R$28)*R$17+('CapexSum$FY22'!R184*R$27)*R$18</f>
        <v>24909276.678720266</v>
      </c>
      <c r="S184" s="80">
        <f ca="1">('CapexSum$Nom'!S184*S$28)*S$17+('CapexSum$FY22'!S184*S$27)*S$18</f>
        <v>28217547.90450358</v>
      </c>
      <c r="T184" s="80">
        <f ca="1">('CapexSum$Nom'!T184*T$28)*T$17+('CapexSum$FY22'!T184*T$27)*T$18</f>
        <v>19610811.157200377</v>
      </c>
    </row>
    <row r="185" spans="3:20" s="41" customFormat="1" outlineLevel="1">
      <c r="F185" s="251" t="str">
        <f>GC!C61</f>
        <v>Residential new customer connections</v>
      </c>
      <c r="G185" s="251"/>
      <c r="H185" s="251"/>
      <c r="I185" s="251"/>
      <c r="J185" s="80">
        <f ca="1">('CapexSum$Nom'!J185*J$28)*J$17+('CapexSum$FY22'!J185*J$27)*J$18</f>
        <v>47236020.825668298</v>
      </c>
      <c r="K185" s="80">
        <f ca="1">('CapexSum$Nom'!K185*K$28)*K$17+('CapexSum$FY22'!K185*K$27)*K$18</f>
        <v>52721900.173852563</v>
      </c>
      <c r="L185" s="80">
        <f ca="1">('CapexSum$Nom'!L185*L$28)*L$17+('CapexSum$FY22'!L185*L$27)*L$18</f>
        <v>52650568.392936572</v>
      </c>
      <c r="M185" s="80">
        <f ca="1">('CapexSum$Nom'!M185*M$28)*M$17+('CapexSum$FY22'!M185*M$27)*M$18</f>
        <v>48515358.670234606</v>
      </c>
      <c r="N185" s="80">
        <f ca="1">('CapexSum$Nom'!N185*N$28)*N$17+('CapexSum$FY22'!N185*N$27)*N$18</f>
        <v>50321236.944889098</v>
      </c>
      <c r="O185" s="80">
        <f ca="1">('CapexSum$Nom'!O185*O$28)*O$17+('CapexSum$FY22'!O185*O$27)*O$18</f>
        <v>20859798.717016291</v>
      </c>
      <c r="P185" s="80">
        <f ca="1">('CapexSum$Nom'!P185*P$28)*P$17+('CapexSum$FY22'!P185*P$27)*P$18</f>
        <v>38344942.941600159</v>
      </c>
      <c r="Q185" s="80">
        <f ca="1">('CapexSum$Nom'!Q185*Q$28)*Q$17+('CapexSum$FY22'!Q185*Q$27)*Q$18</f>
        <v>39554319.024978995</v>
      </c>
      <c r="R185" s="80">
        <f ca="1">('CapexSum$Nom'!R185*R$28)*R$17+('CapexSum$FY22'!R185*R$27)*R$18</f>
        <v>40741114.008815221</v>
      </c>
      <c r="S185" s="80">
        <f ca="1">('CapexSum$Nom'!S185*S$28)*S$17+('CapexSum$FY22'!S185*S$27)*S$18</f>
        <v>39761121.092362441</v>
      </c>
      <c r="T185" s="80">
        <f ca="1">('CapexSum$Nom'!T185*T$28)*T$17+('CapexSum$FY22'!T185*T$27)*T$18</f>
        <v>38742858.27812463</v>
      </c>
    </row>
    <row r="186" spans="3:20" s="41" customFormat="1" outlineLevel="1">
      <c r="F186" s="251" t="str">
        <f>GC!C62</f>
        <v>Commercial and industrial new customer connections</v>
      </c>
      <c r="G186" s="251"/>
      <c r="H186" s="251"/>
      <c r="I186" s="251"/>
      <c r="J186" s="80">
        <f ca="1">('CapexSum$Nom'!J186*J$28)*J$17+('CapexSum$FY22'!J186*J$27)*J$18</f>
        <v>5103775.1538931662</v>
      </c>
      <c r="K186" s="80">
        <f ca="1">('CapexSum$Nom'!K186*K$28)*K$17+('CapexSum$FY22'!K186*K$27)*K$18</f>
        <v>6378397.7051660167</v>
      </c>
      <c r="L186" s="80">
        <f ca="1">('CapexSum$Nom'!L186*L$28)*L$17+('CapexSum$FY22'!L186*L$27)*L$18</f>
        <v>6727504.5674513942</v>
      </c>
      <c r="M186" s="80">
        <f ca="1">('CapexSum$Nom'!M186*M$28)*M$17+('CapexSum$FY22'!M186*M$27)*M$18</f>
        <v>11918846.182396151</v>
      </c>
      <c r="N186" s="80">
        <f ca="1">('CapexSum$Nom'!N186*N$28)*N$17+('CapexSum$FY22'!N186*N$27)*N$18</f>
        <v>3694593.3055749927</v>
      </c>
      <c r="O186" s="80">
        <f ca="1">('CapexSum$Nom'!O186*O$28)*O$17+('CapexSum$FY22'!O186*O$27)*O$18</f>
        <v>4656705.7916354761</v>
      </c>
      <c r="P186" s="80">
        <f ca="1">('CapexSum$Nom'!P186*P$28)*P$17+('CapexSum$FY22'!P186*P$27)*P$18</f>
        <v>6763175.6427499149</v>
      </c>
      <c r="Q186" s="80">
        <f ca="1">('CapexSum$Nom'!Q186*Q$28)*Q$17+('CapexSum$FY22'!Q186*Q$27)*Q$18</f>
        <v>6884912.2053474765</v>
      </c>
      <c r="R186" s="80">
        <f ca="1">('CapexSum$Nom'!R186*R$28)*R$17+('CapexSum$FY22'!R186*R$27)*R$18</f>
        <v>7005021.5412928564</v>
      </c>
      <c r="S186" s="80">
        <f ca="1">('CapexSum$Nom'!S186*S$28)*S$17+('CapexSum$FY22'!S186*S$27)*S$18</f>
        <v>6916370.7445015311</v>
      </c>
      <c r="T186" s="80">
        <f ca="1">('CapexSum$Nom'!T186*T$28)*T$17+('CapexSum$FY22'!T186*T$27)*T$18</f>
        <v>6823911.4019413926</v>
      </c>
    </row>
    <row r="187" spans="3:20" s="41" customFormat="1" outlineLevel="1">
      <c r="F187" s="251" t="str">
        <f>GC!C63</f>
        <v>Residential meter replacement</v>
      </c>
      <c r="G187" s="251"/>
      <c r="H187" s="251"/>
      <c r="I187" s="251"/>
      <c r="J187" s="80">
        <f ca="1">('CapexSum$Nom'!J187*J$28)*J$17+('CapexSum$FY22'!J187*J$27)*J$18</f>
        <v>8390473.5231658518</v>
      </c>
      <c r="K187" s="80">
        <f ca="1">('CapexSum$Nom'!K187*K$28)*K$17+('CapexSum$FY22'!K187*K$27)*K$18</f>
        <v>8539399.6231587585</v>
      </c>
      <c r="L187" s="80">
        <f ca="1">('CapexSum$Nom'!L187*L$28)*L$17+('CapexSum$FY22'!L187*L$27)*L$18</f>
        <v>6393536.217514284</v>
      </c>
      <c r="M187" s="80">
        <f ca="1">('CapexSum$Nom'!M187*M$28)*M$17+('CapexSum$FY22'!M187*M$27)*M$18</f>
        <v>8054582.9913173057</v>
      </c>
      <c r="N187" s="80">
        <f ca="1">('CapexSum$Nom'!N187*N$28)*N$17+('CapexSum$FY22'!N187*N$27)*N$18</f>
        <v>4188494.8584506437</v>
      </c>
      <c r="O187" s="80">
        <f ca="1">('CapexSum$Nom'!O187*O$28)*O$17+('CapexSum$FY22'!O187*O$27)*O$18</f>
        <v>2392343.1675102296</v>
      </c>
      <c r="P187" s="80">
        <f ca="1">('CapexSum$Nom'!P187*P$28)*P$17+('CapexSum$FY22'!P187*P$27)*P$18</f>
        <v>4785353.1899651131</v>
      </c>
      <c r="Q187" s="80">
        <f ca="1">('CapexSum$Nom'!Q187*Q$28)*Q$17+('CapexSum$FY22'!Q187*Q$27)*Q$18</f>
        <v>5691529.5255116392</v>
      </c>
      <c r="R187" s="80">
        <f ca="1">('CapexSum$Nom'!R187*R$28)*R$17+('CapexSum$FY22'!R187*R$27)*R$18</f>
        <v>5982710.5099402182</v>
      </c>
      <c r="S187" s="80">
        <f ca="1">('CapexSum$Nom'!S187*S$28)*S$17+('CapexSum$FY22'!S187*S$27)*S$18</f>
        <v>4587964.6936533935</v>
      </c>
      <c r="T187" s="80">
        <f ca="1">('CapexSum$Nom'!T187*T$28)*T$17+('CapexSum$FY22'!T187*T$27)*T$18</f>
        <v>4231048.5980104608</v>
      </c>
    </row>
    <row r="188" spans="3:20" s="41" customFormat="1" outlineLevel="1">
      <c r="F188" s="251" t="str">
        <f>GC!C64</f>
        <v>Commercial and industrial meter replacement</v>
      </c>
      <c r="G188" s="251"/>
      <c r="H188" s="251"/>
      <c r="I188" s="251"/>
      <c r="J188" s="80">
        <f ca="1">('CapexSum$Nom'!J188*J$28)*J$17+('CapexSum$FY22'!J188*J$27)*J$18</f>
        <v>1089317.1717463413</v>
      </c>
      <c r="K188" s="80">
        <f ca="1">('CapexSum$Nom'!K188*K$28)*K$17+('CapexSum$FY22'!K188*K$27)*K$18</f>
        <v>545131.5705350443</v>
      </c>
      <c r="L188" s="80">
        <f ca="1">('CapexSum$Nom'!L188*L$28)*L$17+('CapexSum$FY22'!L188*L$27)*L$18</f>
        <v>239125.36090296161</v>
      </c>
      <c r="M188" s="80">
        <f ca="1">('CapexSum$Nom'!M188*M$28)*M$17+('CapexSum$FY22'!M188*M$27)*M$18</f>
        <v>3912803.2744442299</v>
      </c>
      <c r="N188" s="80">
        <f ca="1">('CapexSum$Nom'!N188*N$28)*N$17+('CapexSum$FY22'!N188*N$27)*N$18</f>
        <v>889575.0622200683</v>
      </c>
      <c r="O188" s="80">
        <f ca="1">('CapexSum$Nom'!O188*O$28)*O$17+('CapexSum$FY22'!O188*O$27)*O$18</f>
        <v>652607.32221589552</v>
      </c>
      <c r="P188" s="80">
        <f ca="1">('CapexSum$Nom'!P188*P$28)*P$17+('CapexSum$FY22'!P188*P$27)*P$18</f>
        <v>1437471.6558110798</v>
      </c>
      <c r="Q188" s="80">
        <f ca="1">('CapexSum$Nom'!Q188*Q$28)*Q$17+('CapexSum$FY22'!Q188*Q$27)*Q$18</f>
        <v>1610177.1966278027</v>
      </c>
      <c r="R188" s="80">
        <f ca="1">('CapexSum$Nom'!R188*R$28)*R$17+('CapexSum$FY22'!R188*R$27)*R$18</f>
        <v>1874539.5315049372</v>
      </c>
      <c r="S188" s="80">
        <f ca="1">('CapexSum$Nom'!S188*S$28)*S$17+('CapexSum$FY22'!S188*S$27)*S$18</f>
        <v>1764222.0934226227</v>
      </c>
      <c r="T188" s="80">
        <f ca="1">('CapexSum$Nom'!T188*T$28)*T$17+('CapexSum$FY22'!T188*T$27)*T$18</f>
        <v>1333266.9087181815</v>
      </c>
    </row>
    <row r="189" spans="3:20" s="41" customFormat="1" outlineLevel="1">
      <c r="F189" s="251" t="str">
        <f>GC!C65</f>
        <v>Augmentation</v>
      </c>
      <c r="G189" s="251"/>
      <c r="H189" s="251"/>
      <c r="I189" s="251"/>
      <c r="J189" s="80">
        <f ca="1">('CapexSum$Nom'!J189*J$28)*J$17+('CapexSum$FY22'!J189*J$27)*J$18</f>
        <v>403121.48107804876</v>
      </c>
      <c r="K189" s="80">
        <f ca="1">('CapexSum$Nom'!K189*K$28)*K$17+('CapexSum$FY22'!K189*K$27)*K$18</f>
        <v>1281837.5354166371</v>
      </c>
      <c r="L189" s="80">
        <f ca="1">('CapexSum$Nom'!L189*L$28)*L$17+('CapexSum$FY22'!L189*L$27)*L$18</f>
        <v>4457965.7972430307</v>
      </c>
      <c r="M189" s="80">
        <f ca="1">('CapexSum$Nom'!M189*M$28)*M$17+('CapexSum$FY22'!M189*M$27)*M$18</f>
        <v>5896606.5887711523</v>
      </c>
      <c r="N189" s="80">
        <f ca="1">('CapexSum$Nom'!N189*N$28)*N$17+('CapexSum$FY22'!N189*N$27)*N$18</f>
        <v>3787318.8622956299</v>
      </c>
      <c r="O189" s="80">
        <f ca="1">('CapexSum$Nom'!O189*O$28)*O$17+('CapexSum$FY22'!O189*O$27)*O$18</f>
        <v>2635396.5545609859</v>
      </c>
      <c r="P189" s="80">
        <f ca="1">('CapexSum$Nom'!P189*P$28)*P$17+('CapexSum$FY22'!P189*P$27)*P$18</f>
        <v>4883348.7065264769</v>
      </c>
      <c r="Q189" s="80">
        <f ca="1">('CapexSum$Nom'!Q189*Q$28)*Q$17+('CapexSum$FY22'!Q189*Q$27)*Q$18</f>
        <v>6444869.76837957</v>
      </c>
      <c r="R189" s="80">
        <f ca="1">('CapexSum$Nom'!R189*R$28)*R$17+('CapexSum$FY22'!R189*R$27)*R$18</f>
        <v>3576418.806708164</v>
      </c>
      <c r="S189" s="80">
        <f ca="1">('CapexSum$Nom'!S189*S$28)*S$17+('CapexSum$FY22'!S189*S$27)*S$18</f>
        <v>2092296.236414514</v>
      </c>
      <c r="T189" s="80">
        <f ca="1">('CapexSum$Nom'!T189*T$28)*T$17+('CapexSum$FY22'!T189*T$27)*T$18</f>
        <v>5691374.2655508891</v>
      </c>
    </row>
    <row r="190" spans="3:20" s="41" customFormat="1" outlineLevel="1">
      <c r="F190" s="251" t="str">
        <f>GC!C66</f>
        <v>IT capex</v>
      </c>
      <c r="G190" s="251"/>
      <c r="H190" s="251"/>
      <c r="I190" s="251"/>
      <c r="J190" s="80">
        <f ca="1">('CapexSum$Nom'!J190*J$28)*J$17+('CapexSum$FY22'!J190*J$27)*J$18</f>
        <v>9308207.9620682895</v>
      </c>
      <c r="K190" s="80">
        <f ca="1">('CapexSum$Nom'!K190*K$28)*K$17+('CapexSum$FY22'!K190*K$27)*K$18</f>
        <v>7976450.7375562815</v>
      </c>
      <c r="L190" s="80">
        <f ca="1">('CapexSum$Nom'!L190*L$28)*L$17+('CapexSum$FY22'!L190*L$27)*L$18</f>
        <v>6259765.1868062709</v>
      </c>
      <c r="M190" s="80">
        <f ca="1">('CapexSum$Nom'!M190*M$28)*M$17+('CapexSum$FY22'!M190*M$27)*M$18</f>
        <v>7427124.5703403829</v>
      </c>
      <c r="N190" s="80">
        <f ca="1">('CapexSum$Nom'!N190*N$28)*N$17+('CapexSum$FY22'!N190*N$27)*N$18</f>
        <v>6852633.38595099</v>
      </c>
      <c r="O190" s="80">
        <f ca="1">('CapexSum$Nom'!O190*O$28)*O$17+('CapexSum$FY22'!O190*O$27)*O$18</f>
        <v>3426284.774147653</v>
      </c>
      <c r="P190" s="80">
        <f ca="1">('CapexSum$Nom'!P190*P$28)*P$17+('CapexSum$FY22'!P190*P$27)*P$18</f>
        <v>15911940.863268567</v>
      </c>
      <c r="Q190" s="80">
        <f ca="1">('CapexSum$Nom'!Q190*Q$28)*Q$17+('CapexSum$FY22'!Q190*Q$27)*Q$18</f>
        <v>18321777.077766862</v>
      </c>
      <c r="R190" s="80">
        <f ca="1">('CapexSum$Nom'!R190*R$28)*R$17+('CapexSum$FY22'!R190*R$27)*R$18</f>
        <v>19894792.540225342</v>
      </c>
      <c r="S190" s="80">
        <f ca="1">('CapexSum$Nom'!S190*S$28)*S$17+('CapexSum$FY22'!S190*S$27)*S$18</f>
        <v>9779819.1588002276</v>
      </c>
      <c r="T190" s="80">
        <f ca="1">('CapexSum$Nom'!T190*T$28)*T$17+('CapexSum$FY22'!T190*T$27)*T$18</f>
        <v>7165074.3664562125</v>
      </c>
    </row>
    <row r="191" spans="3:20" s="41" customFormat="1" outlineLevel="1">
      <c r="F191" s="251" t="str">
        <f>GC!C67</f>
        <v>SCADA</v>
      </c>
      <c r="G191" s="251"/>
      <c r="H191" s="251"/>
      <c r="I191" s="251"/>
      <c r="J191" s="80">
        <f ca="1">('CapexSum$Nom'!J191*J$28)*J$17+('CapexSum$FY22'!J191*J$27)*J$18</f>
        <v>687961.08855609747</v>
      </c>
      <c r="K191" s="80">
        <f ca="1">('CapexSum$Nom'!K191*K$28)*K$17+('CapexSum$FY22'!K191*K$27)*K$18</f>
        <v>437916.60779734509</v>
      </c>
      <c r="L191" s="80">
        <f ca="1">('CapexSum$Nom'!L191*L$28)*L$17+('CapexSum$FY22'!L191*L$27)*L$18</f>
        <v>341071.69805749122</v>
      </c>
      <c r="M191" s="80">
        <f ca="1">('CapexSum$Nom'!M191*M$28)*M$17+('CapexSum$FY22'!M191*M$27)*M$18</f>
        <v>520501.29961153836</v>
      </c>
      <c r="N191" s="80">
        <f ca="1">('CapexSum$Nom'!N191*N$28)*N$17+('CapexSum$FY22'!N191*N$27)*N$18</f>
        <v>1331131.3907223954</v>
      </c>
      <c r="O191" s="80">
        <f ca="1">('CapexSum$Nom'!O191*O$28)*O$17+('CapexSum$FY22'!O191*O$27)*O$18</f>
        <v>147723.02313734809</v>
      </c>
      <c r="P191" s="80">
        <f ca="1">('CapexSum$Nom'!P191*P$28)*P$17+('CapexSum$FY22'!P191*P$27)*P$18</f>
        <v>1218898.9716883393</v>
      </c>
      <c r="Q191" s="80">
        <f ca="1">('CapexSum$Nom'!Q191*Q$28)*Q$17+('CapexSum$FY22'!Q191*Q$27)*Q$18</f>
        <v>1166408.2706871133</v>
      </c>
      <c r="R191" s="80">
        <f ca="1">('CapexSum$Nom'!R191*R$28)*R$17+('CapexSum$FY22'!R191*R$27)*R$18</f>
        <v>269261.59459035331</v>
      </c>
      <c r="S191" s="80">
        <f ca="1">('CapexSum$Nom'!S191*S$28)*S$17+('CapexSum$FY22'!S191*S$27)*S$18</f>
        <v>245586.60036605096</v>
      </c>
      <c r="T191" s="80">
        <f ca="1">('CapexSum$Nom'!T191*T$28)*T$17+('CapexSum$FY22'!T191*T$27)*T$18</f>
        <v>269445.50326846837</v>
      </c>
    </row>
    <row r="192" spans="3:20" s="41" customFormat="1" outlineLevel="1">
      <c r="F192" s="251" t="str">
        <f>GC!C68</f>
        <v>Other</v>
      </c>
      <c r="G192" s="251"/>
      <c r="H192" s="251"/>
      <c r="I192" s="251"/>
      <c r="J192" s="80">
        <f ca="1">('CapexSum$Nom'!J192*J$28)*J$17+('CapexSum$FY22'!J192*J$27)*J$18</f>
        <v>4484221.7826195108</v>
      </c>
      <c r="K192" s="80">
        <f ca="1">('CapexSum$Nom'!K192*K$28)*K$17+('CapexSum$FY22'!K192*K$27)*K$18</f>
        <v>2664786.8112546904</v>
      </c>
      <c r="L192" s="80">
        <f ca="1">('CapexSum$Nom'!L192*L$28)*L$17+('CapexSum$FY22'!L192*L$27)*L$18</f>
        <v>5067558.6903799642</v>
      </c>
      <c r="M192" s="80">
        <f ca="1">('CapexSum$Nom'!M192*M$28)*M$17+('CapexSum$FY22'!M192*M$27)*M$18</f>
        <v>6238092.5144999977</v>
      </c>
      <c r="N192" s="80">
        <f ca="1">('CapexSum$Nom'!N192*N$28)*N$17+('CapexSum$FY22'!N192*N$27)*N$18</f>
        <v>10916667.948899388</v>
      </c>
      <c r="O192" s="80">
        <f ca="1">('CapexSum$Nom'!O192*O$28)*O$17+('CapexSum$FY22'!O192*O$27)*O$18</f>
        <v>4703785.7625444159</v>
      </c>
      <c r="P192" s="80">
        <f ca="1">('CapexSum$Nom'!P192*P$28)*P$17+('CapexSum$FY22'!P192*P$27)*P$18</f>
        <v>11215406.288377816</v>
      </c>
      <c r="Q192" s="80">
        <f ca="1">('CapexSum$Nom'!Q192*Q$28)*Q$17+('CapexSum$FY22'!Q192*Q$27)*Q$18</f>
        <v>11919560.281464811</v>
      </c>
      <c r="R192" s="80">
        <f ca="1">('CapexSum$Nom'!R192*R$28)*R$17+('CapexSum$FY22'!R192*R$27)*R$18</f>
        <v>12319109.67614387</v>
      </c>
      <c r="S192" s="80">
        <f ca="1">('CapexSum$Nom'!S192*S$28)*S$17+('CapexSum$FY22'!S192*S$27)*S$18</f>
        <v>10390337.166271871</v>
      </c>
      <c r="T192" s="80">
        <f ca="1">('CapexSum$Nom'!T192*T$28)*T$17+('CapexSum$FY22'!T192*T$27)*T$18</f>
        <v>9855683.0929732434</v>
      </c>
    </row>
    <row r="193" spans="5:20" s="41" customFormat="1" outlineLevel="1">
      <c r="F193" s="251" t="str">
        <f>GC!C69</f>
        <v>Capitalised Leases</v>
      </c>
      <c r="G193" s="251"/>
      <c r="H193" s="251"/>
      <c r="I193" s="251"/>
      <c r="J193" s="80">
        <f ca="1">('CapexSum$Nom'!J193*J$28)*J$17+('CapexSum$FY22'!J193*J$27)*J$18</f>
        <v>0</v>
      </c>
      <c r="K193" s="80">
        <f ca="1">('CapexSum$Nom'!K193*K$28)*K$17+('CapexSum$FY22'!K193*K$27)*K$18</f>
        <v>9540518.7293530088</v>
      </c>
      <c r="L193" s="80">
        <f ca="1">('CapexSum$Nom'!L193*L$28)*L$17+('CapexSum$FY22'!L193*L$27)*L$18</f>
        <v>2573303.4224762125</v>
      </c>
      <c r="M193" s="80">
        <f ca="1">('CapexSum$Nom'!M193*M$28)*M$17+('CapexSum$FY22'!M193*M$27)*M$18</f>
        <v>-1478642.5921516225</v>
      </c>
      <c r="N193" s="80">
        <f ca="1">('CapexSum$Nom'!N193*N$28)*N$17+('CapexSum$FY22'!N193*N$27)*N$18</f>
        <v>0</v>
      </c>
      <c r="O193" s="80">
        <f ca="1">('CapexSum$Nom'!O193*O$28)*O$17+('CapexSum$FY22'!O193*O$27)*O$18</f>
        <v>0</v>
      </c>
      <c r="P193" s="80">
        <f ca="1">('CapexSum$Nom'!P193*P$28)*P$17+('CapexSum$FY22'!P193*P$27)*P$18</f>
        <v>0</v>
      </c>
      <c r="Q193" s="80">
        <f ca="1">('CapexSum$Nom'!Q193*Q$28)*Q$17+('CapexSum$FY22'!Q193*Q$27)*Q$18</f>
        <v>0</v>
      </c>
      <c r="R193" s="80">
        <f ca="1">('CapexSum$Nom'!R193*R$28)*R$17+('CapexSum$FY22'!R193*R$27)*R$18</f>
        <v>0</v>
      </c>
      <c r="S193" s="80">
        <f ca="1">('CapexSum$Nom'!S193*S$28)*S$17+('CapexSum$FY22'!S193*S$27)*S$18</f>
        <v>0</v>
      </c>
      <c r="T193" s="80">
        <f ca="1">('CapexSum$Nom'!T193*T$28)*T$17+('CapexSum$FY22'!T193*T$27)*T$18</f>
        <v>0</v>
      </c>
    </row>
    <row r="194" spans="5:20" s="41" customFormat="1" outlineLevel="1">
      <c r="F194" s="251" t="str">
        <f>GC!C70</f>
        <v>Gas Extensions - Energy for the Regions</v>
      </c>
      <c r="G194" s="251"/>
      <c r="H194" s="251"/>
      <c r="I194" s="251"/>
      <c r="J194" s="80">
        <f ca="1">('CapexSum$Nom'!J194*J$28)*J$17+('CapexSum$FY22'!J194*J$27)*J$18</f>
        <v>1939293.3443024391</v>
      </c>
      <c r="K194" s="80">
        <f ca="1">('CapexSum$Nom'!K194*K$28)*K$17+('CapexSum$FY22'!K194*K$27)*K$18</f>
        <v>7774.9227716814148</v>
      </c>
      <c r="L194" s="80">
        <f ca="1">('CapexSum$Nom'!L194*L$28)*L$17+('CapexSum$FY22'!L194*L$27)*L$18</f>
        <v>0</v>
      </c>
      <c r="M194" s="80">
        <f ca="1">('CapexSum$Nom'!M194*M$28)*M$17+('CapexSum$FY22'!M194*M$27)*M$18</f>
        <v>0</v>
      </c>
      <c r="N194" s="80">
        <f ca="1">('CapexSum$Nom'!N194*N$28)*N$17+('CapexSum$FY22'!N194*N$27)*N$18</f>
        <v>0</v>
      </c>
      <c r="O194" s="80">
        <f ca="1">('CapexSum$Nom'!O194*O$28)*O$17+('CapexSum$FY22'!O194*O$27)*O$18</f>
        <v>0</v>
      </c>
      <c r="P194" s="80">
        <f ca="1">('CapexSum$Nom'!P194*P$28)*P$17+('CapexSum$FY22'!P194*P$27)*P$18</f>
        <v>0</v>
      </c>
      <c r="Q194" s="80">
        <f ca="1">('CapexSum$Nom'!Q194*Q$28)*Q$17+('CapexSum$FY22'!Q194*Q$27)*Q$18</f>
        <v>0</v>
      </c>
      <c r="R194" s="80">
        <f ca="1">('CapexSum$Nom'!R194*R$28)*R$17+('CapexSum$FY22'!R194*R$27)*R$18</f>
        <v>0</v>
      </c>
      <c r="S194" s="80">
        <f ca="1">('CapexSum$Nom'!S194*S$28)*S$17+('CapexSum$FY22'!S194*S$27)*S$18</f>
        <v>0</v>
      </c>
      <c r="T194" s="80">
        <f ca="1">('CapexSum$Nom'!T194*T$28)*T$17+('CapexSum$FY22'!T194*T$27)*T$18</f>
        <v>0</v>
      </c>
    </row>
    <row r="195" spans="5:20" s="41" customFormat="1" outlineLevel="1">
      <c r="F195" s="251" t="str">
        <f>GC!C71</f>
        <v>Gas Extensions - Other</v>
      </c>
      <c r="G195" s="251"/>
      <c r="H195" s="251"/>
      <c r="I195" s="251"/>
      <c r="J195" s="80">
        <f ca="1">('CapexSum$Nom'!J195*J$28)*J$17+('CapexSum$FY22'!J195*J$27)*J$18</f>
        <v>0</v>
      </c>
      <c r="K195" s="80">
        <f ca="1">('CapexSum$Nom'!K195*K$28)*K$17+('CapexSum$FY22'!K195*K$27)*K$18</f>
        <v>0</v>
      </c>
      <c r="L195" s="80">
        <f ca="1">('CapexSum$Nom'!L195*L$28)*L$17+('CapexSum$FY22'!L195*L$27)*L$18</f>
        <v>0</v>
      </c>
      <c r="M195" s="80">
        <f ca="1">('CapexSum$Nom'!M195*M$28)*M$17+('CapexSum$FY22'!M195*M$27)*M$18</f>
        <v>0</v>
      </c>
      <c r="N195" s="80">
        <f ca="1">('CapexSum$Nom'!N195*N$28)*N$17+('CapexSum$FY22'!N195*N$27)*N$18</f>
        <v>0</v>
      </c>
      <c r="O195" s="80">
        <f ca="1">('CapexSum$Nom'!O195*O$28)*O$17+('CapexSum$FY22'!O195*O$27)*O$18</f>
        <v>0</v>
      </c>
      <c r="P195" s="80">
        <f ca="1">('CapexSum$Nom'!P195*P$28)*P$17+('CapexSum$FY22'!P195*P$27)*P$18</f>
        <v>0</v>
      </c>
      <c r="Q195" s="80">
        <f ca="1">('CapexSum$Nom'!Q195*Q$28)*Q$17+('CapexSum$FY22'!Q195*Q$27)*Q$18</f>
        <v>0</v>
      </c>
      <c r="R195" s="80">
        <f ca="1">('CapexSum$Nom'!R195*R$28)*R$17+('CapexSum$FY22'!R195*R$27)*R$18</f>
        <v>0</v>
      </c>
      <c r="S195" s="80">
        <f ca="1">('CapexSum$Nom'!S195*S$28)*S$17+('CapexSum$FY22'!S195*S$27)*S$18</f>
        <v>0</v>
      </c>
      <c r="T195" s="80">
        <f ca="1">('CapexSum$Nom'!T195*T$28)*T$17+('CapexSum$FY22'!T195*T$27)*T$18</f>
        <v>0</v>
      </c>
    </row>
    <row r="196" spans="5:20" s="41" customFormat="1" outlineLevel="1">
      <c r="F196" s="251" t="str">
        <f>GC!C72</f>
        <v>Customer contributions</v>
      </c>
      <c r="G196" s="251"/>
      <c r="H196" s="251"/>
      <c r="I196" s="251"/>
      <c r="J196" s="80">
        <f ca="1">('CapexSum$Nom'!J196*J$28)*J$17+('CapexSum$FY22'!J196*J$27)*J$18</f>
        <v>0</v>
      </c>
      <c r="K196" s="80">
        <f ca="1">('CapexSum$Nom'!K196*K$28)*K$17+('CapexSum$FY22'!K196*K$27)*K$18</f>
        <v>0</v>
      </c>
      <c r="L196" s="80">
        <f ca="1">('CapexSum$Nom'!L196*L$28)*L$17+('CapexSum$FY22'!L196*L$27)*L$18</f>
        <v>0</v>
      </c>
      <c r="M196" s="80">
        <f ca="1">('CapexSum$Nom'!M196*M$28)*M$17+('CapexSum$FY22'!M196*M$27)*M$18</f>
        <v>0</v>
      </c>
      <c r="N196" s="80">
        <f ca="1">('CapexSum$Nom'!N196*N$28)*N$17+('CapexSum$FY22'!N196*N$27)*N$18</f>
        <v>0</v>
      </c>
      <c r="O196" s="80">
        <f ca="1">('CapexSum$Nom'!O196*O$28)*O$17+('CapexSum$FY22'!O196*O$27)*O$18</f>
        <v>0</v>
      </c>
      <c r="P196" s="80">
        <f ca="1">('CapexSum$Nom'!P196*P$28)*P$17+('CapexSum$FY22'!P196*P$27)*P$18</f>
        <v>0</v>
      </c>
      <c r="Q196" s="80">
        <f ca="1">('CapexSum$Nom'!Q196*Q$28)*Q$17+('CapexSum$FY22'!Q196*Q$27)*Q$18</f>
        <v>0</v>
      </c>
      <c r="R196" s="80">
        <f ca="1">('CapexSum$Nom'!R196*R$28)*R$17+('CapexSum$FY22'!R196*R$27)*R$18</f>
        <v>0</v>
      </c>
      <c r="S196" s="80">
        <f ca="1">('CapexSum$Nom'!S196*S$28)*S$17+('CapexSum$FY22'!S196*S$27)*S$18</f>
        <v>0</v>
      </c>
      <c r="T196" s="80">
        <f ca="1">('CapexSum$Nom'!T196*T$28)*T$17+('CapexSum$FY22'!T196*T$27)*T$18</f>
        <v>0</v>
      </c>
    </row>
    <row r="197" spans="5:20" s="41" customFormat="1" outlineLevel="1">
      <c r="F197" s="251" t="str">
        <f>GC!C73</f>
        <v>Government contributions</v>
      </c>
      <c r="G197" s="251"/>
      <c r="H197" s="251"/>
      <c r="I197" s="251"/>
      <c r="J197" s="80">
        <f ca="1">('CapexSum$Nom'!J197*J$28)*J$17+('CapexSum$FY22'!J197*J$27)*J$18</f>
        <v>0</v>
      </c>
      <c r="K197" s="80">
        <f ca="1">('CapexSum$Nom'!K197*K$28)*K$17+('CapexSum$FY22'!K197*K$27)*K$18</f>
        <v>0</v>
      </c>
      <c r="L197" s="80">
        <f ca="1">('CapexSum$Nom'!L197*L$28)*L$17+('CapexSum$FY22'!L197*L$27)*L$18</f>
        <v>0</v>
      </c>
      <c r="M197" s="80">
        <f ca="1">('CapexSum$Nom'!M197*M$28)*M$17+('CapexSum$FY22'!M197*M$27)*M$18</f>
        <v>0</v>
      </c>
      <c r="N197" s="80">
        <f ca="1">('CapexSum$Nom'!N197*N$28)*N$17+('CapexSum$FY22'!N197*N$27)*N$18</f>
        <v>0</v>
      </c>
      <c r="O197" s="80">
        <f ca="1">('CapexSum$Nom'!O197*O$28)*O$17+('CapexSum$FY22'!O197*O$27)*O$18</f>
        <v>0</v>
      </c>
      <c r="P197" s="80">
        <f ca="1">('CapexSum$Nom'!P197*P$28)*P$17+('CapexSum$FY22'!P197*P$27)*P$18</f>
        <v>0</v>
      </c>
      <c r="Q197" s="80">
        <f ca="1">('CapexSum$Nom'!Q197*Q$28)*Q$17+('CapexSum$FY22'!Q197*Q$27)*Q$18</f>
        <v>0</v>
      </c>
      <c r="R197" s="80">
        <f ca="1">('CapexSum$Nom'!R197*R$28)*R$17+('CapexSum$FY22'!R197*R$27)*R$18</f>
        <v>0</v>
      </c>
      <c r="S197" s="80">
        <f ca="1">('CapexSum$Nom'!S197*S$28)*S$17+('CapexSum$FY22'!S197*S$27)*S$18</f>
        <v>0</v>
      </c>
      <c r="T197" s="80">
        <f ca="1">('CapexSum$Nom'!T197*T$28)*T$17+('CapexSum$FY22'!T197*T$27)*T$18</f>
        <v>0</v>
      </c>
    </row>
    <row r="198" spans="5:20" s="41" customFormat="1" outlineLevel="1">
      <c r="F198" s="250" t="s">
        <v>197</v>
      </c>
      <c r="G198" s="250"/>
      <c r="H198" s="250"/>
      <c r="I198" s="250"/>
      <c r="J198" s="101">
        <f t="shared" ref="J198:T198" ca="1" si="14">SUM(J184:J197)</f>
        <v>106388363.81103463</v>
      </c>
      <c r="K198" s="101">
        <f t="shared" ca="1" si="14"/>
        <v>119431212.12153316</v>
      </c>
      <c r="L198" s="101">
        <f t="shared" ca="1" si="14"/>
        <v>106459942.72697532</v>
      </c>
      <c r="M198" s="101">
        <f t="shared" ca="1" si="14"/>
        <v>116087358.01363103</v>
      </c>
      <c r="N198" s="101">
        <f t="shared" ca="1" si="14"/>
        <v>103846931.81185132</v>
      </c>
      <c r="O198" s="101">
        <f t="shared" ca="1" si="14"/>
        <v>61325728.506928228</v>
      </c>
      <c r="P198" s="101">
        <f t="shared" ca="1" si="14"/>
        <v>114807467.23660295</v>
      </c>
      <c r="Q198" s="101">
        <f t="shared" ca="1" si="14"/>
        <v>119162077.4772754</v>
      </c>
      <c r="R198" s="101">
        <f t="shared" ca="1" si="14"/>
        <v>116572244.88794123</v>
      </c>
      <c r="S198" s="101">
        <f t="shared" ca="1" si="14"/>
        <v>103755265.69029622</v>
      </c>
      <c r="T198" s="101">
        <f t="shared" ca="1" si="14"/>
        <v>93723473.572243869</v>
      </c>
    </row>
    <row r="199" spans="5:20" outlineLevel="1"/>
    <row r="200" spans="5:20" outlineLevel="1">
      <c r="E200" s="37" t="str">
        <f>'CapexSum$FY22'!E200</f>
        <v>Direct Costs + Overheads</v>
      </c>
    </row>
    <row r="201" spans="5:20" ht="5.9" customHeight="1" outlineLevel="1"/>
    <row r="202" spans="5:20" outlineLevel="1">
      <c r="F202" s="247" t="str">
        <f>GC!C60</f>
        <v>Mains replacement</v>
      </c>
      <c r="G202" s="247"/>
      <c r="H202" s="247"/>
      <c r="I202" s="247"/>
      <c r="J202" s="81">
        <f ca="1">'CapexSum$Nom'!J202*J$28*J$17+'CapexSum$FY22'!J202*J$27*J$18</f>
        <v>29240371.443692688</v>
      </c>
      <c r="K202" s="81">
        <f ca="1">'CapexSum$Nom'!K202*K$28*K$17+'CapexSum$FY22'!K202*K$27*K$18</f>
        <v>30280657.354375225</v>
      </c>
      <c r="L202" s="81">
        <f ca="1">'CapexSum$Nom'!L202*L$28*L$17+'CapexSum$FY22'!L202*L$27*L$18</f>
        <v>22585027.468606617</v>
      </c>
      <c r="M202" s="81">
        <f ca="1">'CapexSum$Nom'!M202*M$28*M$17+'CapexSum$FY22'!M202*M$27*M$18</f>
        <v>25725623.090140373</v>
      </c>
      <c r="N202" s="81">
        <f ca="1">'CapexSum$Nom'!N202*N$28*N$17+'CapexSum$FY22'!N202*N$27*N$18</f>
        <v>22689841.790351078</v>
      </c>
      <c r="O202" s="81">
        <f ca="1">'CapexSum$Nom'!O202*O$28*O$17+'CapexSum$FY22'!O202*O$27*O$18</f>
        <v>22578374.177662972</v>
      </c>
      <c r="P202" s="81">
        <f ca="1">'CapexSum$Nom'!P202*P$28*P$17+'CapexSum$FY22'!P202*P$27*P$18</f>
        <v>31056114.799101137</v>
      </c>
      <c r="Q202" s="81">
        <f ca="1">'CapexSum$Nom'!Q202*Q$28*Q$17+'CapexSum$FY22'!Q202*Q$27*Q$18</f>
        <v>28286976.057592917</v>
      </c>
      <c r="R202" s="81">
        <f ca="1">'CapexSum$Nom'!R202*R$28*R$17+'CapexSum$FY22'!R202*R$27*R$18</f>
        <v>25578663.820053983</v>
      </c>
      <c r="S202" s="81">
        <f ca="1">'CapexSum$Nom'!S202*S$28*S$17+'CapexSum$FY22'!S202*S$27*S$18</f>
        <v>29023051.075897887</v>
      </c>
      <c r="T202" s="81">
        <f ca="1">'CapexSum$Nom'!T202*T$28*T$17+'CapexSum$FY22'!T202*T$27*T$18</f>
        <v>20197574.043904886</v>
      </c>
    </row>
    <row r="203" spans="5:20" outlineLevel="1">
      <c r="F203" s="247" t="str">
        <f>GC!C61</f>
        <v>Residential new customer connections</v>
      </c>
      <c r="G203" s="247"/>
      <c r="H203" s="247"/>
      <c r="I203" s="247"/>
      <c r="J203" s="81">
        <f ca="1">'CapexSum$Nom'!J203*J$28*J$17+'CapexSum$FY22'!J203*J$27*J$18</f>
        <v>49978969.771902442</v>
      </c>
      <c r="K203" s="81">
        <f ca="1">'CapexSum$Nom'!K203*K$28*K$17+'CapexSum$FY22'!K203*K$27*K$18</f>
        <v>54450968.762835398</v>
      </c>
      <c r="L203" s="81">
        <f ca="1">'CapexSum$Nom'!L203*L$28*L$17+'CapexSum$FY22'!L203*L$27*L$18</f>
        <v>54698134.404280126</v>
      </c>
      <c r="M203" s="81">
        <f ca="1">'CapexSum$Nom'!M203*M$28*M$17+'CapexSum$FY22'!M203*M$27*M$18</f>
        <v>49823048.641846143</v>
      </c>
      <c r="N203" s="81">
        <f ca="1">'CapexSum$Nom'!N203*N$28*N$17+'CapexSum$FY22'!N203*N$27*N$18</f>
        <v>52218901.482836336</v>
      </c>
      <c r="O203" s="81">
        <f ca="1">'CapexSum$Nom'!O203*O$28*O$17+'CapexSum$FY22'!O203*O$27*O$18</f>
        <v>21554095.612000871</v>
      </c>
      <c r="P203" s="81">
        <f ca="1">'CapexSum$Nom'!P203*P$28*P$17+'CapexSum$FY22'!P203*P$27*P$18</f>
        <v>39370772.182524219</v>
      </c>
      <c r="Q203" s="81">
        <f ca="1">'CapexSum$Nom'!Q203*Q$28*Q$17+'CapexSum$FY22'!Q203*Q$27*Q$18</f>
        <v>40585127.810959429</v>
      </c>
      <c r="R203" s="81">
        <f ca="1">'CapexSum$Nom'!R203*R$28*R$17+'CapexSum$FY22'!R203*R$27*R$18</f>
        <v>41835950.209515087</v>
      </c>
      <c r="S203" s="81">
        <f ca="1">'CapexSum$Nom'!S203*S$28*S$17+'CapexSum$FY22'!S203*S$27*S$18</f>
        <v>40896149.169447027</v>
      </c>
      <c r="T203" s="81">
        <f ca="1">'CapexSum$Nom'!T203*T$28*T$17+'CapexSum$FY22'!T203*T$27*T$18</f>
        <v>39902059.250497945</v>
      </c>
    </row>
    <row r="204" spans="5:20" outlineLevel="1">
      <c r="F204" s="247" t="str">
        <f>GC!C62</f>
        <v>Commercial and industrial new customer connections</v>
      </c>
      <c r="G204" s="247"/>
      <c r="H204" s="247"/>
      <c r="I204" s="247"/>
      <c r="J204" s="81">
        <f ca="1">'CapexSum$Nom'!J204*J$28*J$17+'CapexSum$FY22'!J204*J$27*J$18</f>
        <v>5358931.8898097556</v>
      </c>
      <c r="K204" s="81">
        <f ca="1">'CapexSum$Nom'!K204*K$28*K$17+'CapexSum$FY22'!K204*K$27*K$18</f>
        <v>6599524.436999999</v>
      </c>
      <c r="L204" s="81">
        <f ca="1">'CapexSum$Nom'!L204*L$28*L$17+'CapexSum$FY22'!L204*L$27*L$18</f>
        <v>6999127.8554540072</v>
      </c>
      <c r="M204" s="81">
        <f ca="1">'CapexSum$Nom'!M204*M$28*M$17+'CapexSum$FY22'!M204*M$27*M$18</f>
        <v>12191615.485736536</v>
      </c>
      <c r="N204" s="81">
        <f ca="1">'CapexSum$Nom'!N204*N$28*N$17+'CapexSum$FY22'!N204*N$27*N$18</f>
        <v>3833920.1409984808</v>
      </c>
      <c r="O204" s="81">
        <f ca="1">'CapexSum$Nom'!O204*O$28*O$17+'CapexSum$FY22'!O204*O$27*O$18</f>
        <v>4811699.4431011463</v>
      </c>
      <c r="P204" s="81">
        <f ca="1">'CapexSum$Nom'!P204*P$28*P$17+'CapexSum$FY22'!P204*P$27*P$18</f>
        <v>6944108.5847132066</v>
      </c>
      <c r="Q204" s="81">
        <f ca="1">'CapexSum$Nom'!Q204*Q$28*Q$17+'CapexSum$FY22'!Q204*Q$27*Q$18</f>
        <v>7064337.0612650868</v>
      </c>
      <c r="R204" s="81">
        <f ca="1">'CapexSum$Nom'!R204*R$28*R$17+'CapexSum$FY22'!R204*R$27*R$18</f>
        <v>7193267.527115196</v>
      </c>
      <c r="S204" s="81">
        <f ca="1">'CapexSum$Nom'!S204*S$28*S$17+'CapexSum$FY22'!S204*S$27*S$18</f>
        <v>7113806.7013071757</v>
      </c>
      <c r="T204" s="81">
        <f ca="1">'CapexSum$Nom'!T204*T$28*T$17+'CapexSum$FY22'!T204*T$27*T$18</f>
        <v>7028085.4119159291</v>
      </c>
    </row>
    <row r="205" spans="5:20" outlineLevel="1">
      <c r="F205" s="247" t="str">
        <f>GC!C63</f>
        <v>Residential meter replacement</v>
      </c>
      <c r="G205" s="247"/>
      <c r="H205" s="247"/>
      <c r="I205" s="247"/>
      <c r="J205" s="81">
        <f ca="1">'CapexSum$Nom'!J205*J$28*J$17+'CapexSum$FY22'!J205*J$27*J$18</f>
        <v>8730454.9731219504</v>
      </c>
      <c r="K205" s="81">
        <f ca="1">'CapexSum$Nom'!K205*K$28*K$17+'CapexSum$FY22'!K205*K$27*K$18</f>
        <v>8811537.4039077852</v>
      </c>
      <c r="L205" s="81">
        <f ca="1">'CapexSum$Nom'!L205*L$28*L$17+'CapexSum$FY22'!L205*L$27*L$18</f>
        <v>6559258.2256066184</v>
      </c>
      <c r="M205" s="81">
        <f ca="1">'CapexSum$Nom'!M205*M$28*M$17+'CapexSum$FY22'!M205*M$27*M$18</f>
        <v>8254028.4974134583</v>
      </c>
      <c r="N205" s="81">
        <f ca="1">'CapexSum$Nom'!N205*N$28*N$17+'CapexSum$FY22'!N205*N$27*N$18</f>
        <v>4346447.2189810695</v>
      </c>
      <c r="O205" s="81">
        <f ca="1">'CapexSum$Nom'!O205*O$28*O$17+'CapexSum$FY22'!O205*O$27*O$18</f>
        <v>2471969.84346588</v>
      </c>
      <c r="P205" s="81">
        <f ca="1">'CapexSum$Nom'!P205*P$28*P$17+'CapexSum$FY22'!P205*P$27*P$18</f>
        <v>4913374.1192931822</v>
      </c>
      <c r="Q205" s="81">
        <f ca="1">'CapexSum$Nom'!Q205*Q$28*Q$17+'CapexSum$FY22'!Q205*Q$27*Q$18</f>
        <v>5839854.1278606113</v>
      </c>
      <c r="R205" s="81">
        <f ca="1">'CapexSum$Nom'!R205*R$28*R$17+'CapexSum$FY22'!R205*R$27*R$18</f>
        <v>6143483.9252958437</v>
      </c>
      <c r="S205" s="81">
        <f ca="1">'CapexSum$Nom'!S205*S$28*S$17+'CapexSum$FY22'!S205*S$27*S$18</f>
        <v>4718933.5547142485</v>
      </c>
      <c r="T205" s="81">
        <f ca="1">'CapexSum$Nom'!T205*T$28*T$17+'CapexSum$FY22'!T205*T$27*T$18</f>
        <v>4357643.1722611114</v>
      </c>
    </row>
    <row r="206" spans="5:20" outlineLevel="1">
      <c r="F206" s="247" t="str">
        <f>GC!C64</f>
        <v>Commercial and industrial meter replacement</v>
      </c>
      <c r="G206" s="247"/>
      <c r="H206" s="247"/>
      <c r="I206" s="247"/>
      <c r="J206" s="81">
        <f ca="1">'CapexSum$Nom'!J206*J$28*J$17+'CapexSum$FY22'!J206*J$27*J$18</f>
        <v>1134468.5471121951</v>
      </c>
      <c r="K206" s="81">
        <f ca="1">'CapexSum$Nom'!K206*K$28*K$17+'CapexSum$FY22'!K206*K$27*K$18</f>
        <v>562400.47725769912</v>
      </c>
      <c r="L206" s="81">
        <f ca="1">'CapexSum$Nom'!L206*L$28*L$17+'CapexSum$FY22'!L206*L$27*L$18</f>
        <v>248186.15753048775</v>
      </c>
      <c r="M206" s="81">
        <f ca="1">'CapexSum$Nom'!M206*M$28*M$17+'CapexSum$FY22'!M206*M$27*M$18</f>
        <v>3942844.278524999</v>
      </c>
      <c r="N206" s="81">
        <f ca="1">'CapexSum$Nom'!N206*N$28*N$17+'CapexSum$FY22'!N206*N$27*N$18</f>
        <v>923121.83395912591</v>
      </c>
      <c r="O206" s="81">
        <f ca="1">'CapexSum$Nom'!O206*O$28*O$17+'CapexSum$FY22'!O206*O$27*O$18</f>
        <v>674328.6841334044</v>
      </c>
      <c r="P206" s="81">
        <f ca="1">'CapexSum$Nom'!P206*P$28*P$17+'CapexSum$FY22'!P206*P$27*P$18</f>
        <v>1475927.8470166933</v>
      </c>
      <c r="Q206" s="81">
        <f ca="1">'CapexSum$Nom'!Q206*Q$28*Q$17+'CapexSum$FY22'!Q206*Q$27*Q$18</f>
        <v>1652139.3601078796</v>
      </c>
      <c r="R206" s="81">
        <f ca="1">'CapexSum$Nom'!R206*R$28*R$17+'CapexSum$FY22'!R206*R$27*R$18</f>
        <v>1924914.0435590383</v>
      </c>
      <c r="S206" s="81">
        <f ca="1">'CapexSum$Nom'!S206*S$28*S$17+'CapexSum$FY22'!S206*S$27*S$18</f>
        <v>1814583.892970379</v>
      </c>
      <c r="T206" s="81">
        <f ca="1">'CapexSum$Nom'!T206*T$28*T$17+'CapexSum$FY22'!T206*T$27*T$18</f>
        <v>1373158.7588734895</v>
      </c>
    </row>
    <row r="207" spans="5:20" outlineLevel="1">
      <c r="F207" s="247" t="str">
        <f>GC!C65</f>
        <v>Augmentation</v>
      </c>
      <c r="G207" s="247"/>
      <c r="H207" s="247"/>
      <c r="I207" s="247"/>
      <c r="J207" s="81">
        <f ca="1">'CapexSum$Nom'!J207*J$28*J$17+'CapexSum$FY22'!J207*J$27*J$18</f>
        <v>425659.53459512192</v>
      </c>
      <c r="K207" s="81">
        <f ca="1">'CapexSum$Nom'!K207*K$28*K$17+'CapexSum$FY22'!K207*K$27*K$18</f>
        <v>1326913.2430263718</v>
      </c>
      <c r="L207" s="81">
        <f ca="1">'CapexSum$Nom'!L207*L$28*L$17+'CapexSum$FY22'!L207*L$27*L$18</f>
        <v>4445367.6668174211</v>
      </c>
      <c r="M207" s="81">
        <f ca="1">'CapexSum$Nom'!M207*M$28*M$17+'CapexSum$FY22'!M207*M$27*M$18</f>
        <v>6024545.5748884603</v>
      </c>
      <c r="N207" s="81">
        <f ca="1">'CapexSum$Nom'!N207*N$28*N$17+'CapexSum$FY22'!N207*N$27*N$18</f>
        <v>3930142.4718731968</v>
      </c>
      <c r="O207" s="81">
        <f ca="1">'CapexSum$Nom'!O207*O$28*O$17+'CapexSum$FY22'!O207*O$27*O$18</f>
        <v>2723113.0119298748</v>
      </c>
      <c r="P207" s="81">
        <f ca="1">'CapexSum$Nom'!P207*P$28*P$17+'CapexSum$FY22'!P207*P$27*P$18</f>
        <v>5013991.2766409526</v>
      </c>
      <c r="Q207" s="81">
        <f ca="1">'CapexSum$Nom'!Q207*Q$28*Q$17+'CapexSum$FY22'!Q207*Q$27*Q$18</f>
        <v>6612826.8599313162</v>
      </c>
      <c r="R207" s="81">
        <f ca="1">'CapexSum$Nom'!R207*R$28*R$17+'CapexSum$FY22'!R207*R$27*R$18</f>
        <v>3672527.9307149518</v>
      </c>
      <c r="S207" s="81">
        <f ca="1">'CapexSum$Nom'!S207*S$28*S$17+'CapexSum$FY22'!S207*S$27*S$18</f>
        <v>2152023.2991498015</v>
      </c>
      <c r="T207" s="81">
        <f ca="1">'CapexSum$Nom'!T207*T$28*T$17+'CapexSum$FY22'!T207*T$27*T$18</f>
        <v>5861662.3360749008</v>
      </c>
    </row>
    <row r="208" spans="5:20" outlineLevel="1">
      <c r="F208" s="247" t="str">
        <f>GC!C66</f>
        <v>IT capex</v>
      </c>
      <c r="G208" s="247"/>
      <c r="H208" s="247"/>
      <c r="I208" s="247"/>
      <c r="J208" s="81">
        <f ca="1">'CapexSum$Nom'!J208*J$28*J$17+'CapexSum$FY22'!J208*J$27*J$18</f>
        <v>9986773.087848777</v>
      </c>
      <c r="K208" s="81">
        <f ca="1">'CapexSum$Nom'!K208*K$28*K$17+'CapexSum$FY22'!K208*K$27*K$18</f>
        <v>8462595.9794686716</v>
      </c>
      <c r="L208" s="81">
        <f ca="1">'CapexSum$Nom'!L208*L$28*L$17+'CapexSum$FY22'!L208*L$27*L$18</f>
        <v>6669314.6878975593</v>
      </c>
      <c r="M208" s="81">
        <f ca="1">'CapexSum$Nom'!M208*M$28*M$17+'CapexSum$FY22'!M208*M$27*M$18</f>
        <v>7950744.802159613</v>
      </c>
      <c r="N208" s="81">
        <f ca="1">'CapexSum$Nom'!N208*N$28*N$17+'CapexSum$FY22'!N208*N$27*N$18</f>
        <v>7362084.5901874611</v>
      </c>
      <c r="O208" s="81">
        <f ca="1">'CapexSum$Nom'!O208*O$28*O$17+'CapexSum$FY22'!O208*O$27*O$18</f>
        <v>3680032.2801878252</v>
      </c>
      <c r="P208" s="81">
        <f ca="1">'CapexSum$Nom'!P208*P$28*P$17+'CapexSum$FY22'!P208*P$27*P$18</f>
        <v>16300009.86888211</v>
      </c>
      <c r="Q208" s="81">
        <f ca="1">'CapexSum$Nom'!Q208*Q$28*Q$17+'CapexSum$FY22'!Q208*Q$27*Q$18</f>
        <v>18709673.113922857</v>
      </c>
      <c r="R208" s="81">
        <f ca="1">'CapexSum$Nom'!R208*R$28*R$17+'CapexSum$FY22'!R208*R$27*R$18</f>
        <v>20293168.732399907</v>
      </c>
      <c r="S208" s="81">
        <f ca="1">'CapexSum$Nom'!S208*S$28*S$17+'CapexSum$FY22'!S208*S$27*S$18</f>
        <v>10167295.687890939</v>
      </c>
      <c r="T208" s="81">
        <f ca="1">'CapexSum$Nom'!T208*T$28*T$17+'CapexSum$FY22'!T208*T$27*T$18</f>
        <v>7552340.4982116409</v>
      </c>
    </row>
    <row r="209" spans="5:20" outlineLevel="1">
      <c r="F209" s="247" t="str">
        <f>GC!C67</f>
        <v>SCADA</v>
      </c>
      <c r="G209" s="247"/>
      <c r="H209" s="247"/>
      <c r="I209" s="247"/>
      <c r="J209" s="81">
        <f ca="1">'CapexSum$Nom'!J209*J$28*J$17+'CapexSum$FY22'!J209*J$27*J$18</f>
        <v>736344.30357560969</v>
      </c>
      <c r="K209" s="81">
        <f ca="1">'CapexSum$Nom'!K209*K$28*K$17+'CapexSum$FY22'!K209*K$27*K$18</f>
        <v>457217.7665097345</v>
      </c>
      <c r="L209" s="81">
        <f ca="1">'CapexSum$Nom'!L209*L$28*L$17+'CapexSum$FY22'!L209*L$27*L$18</f>
        <v>362305.23190714273</v>
      </c>
      <c r="M209" s="81">
        <f ca="1">'CapexSum$Nom'!M209*M$28*M$17+'CapexSum$FY22'!M209*M$27*M$18</f>
        <v>556262.16838269215</v>
      </c>
      <c r="N209" s="81">
        <f ca="1">'CapexSum$Nom'!N209*N$28*N$17+'CapexSum$FY22'!N209*N$27*N$18</f>
        <v>1381329.6964255867</v>
      </c>
      <c r="O209" s="81">
        <f ca="1">'CapexSum$Nom'!O209*O$28*O$17+'CapexSum$FY22'!O209*O$27*O$18</f>
        <v>152639.83166811935</v>
      </c>
      <c r="P209" s="81">
        <f ca="1">'CapexSum$Nom'!P209*P$28*P$17+'CapexSum$FY22'!P209*P$27*P$18</f>
        <v>1251507.762078105</v>
      </c>
      <c r="Q209" s="81">
        <f ca="1">'CapexSum$Nom'!Q209*Q$28*Q$17+'CapexSum$FY22'!Q209*Q$27*Q$18</f>
        <v>1196805.5553099436</v>
      </c>
      <c r="R209" s="81">
        <f ca="1">'CapexSum$Nom'!R209*R$28*R$17+'CapexSum$FY22'!R209*R$27*R$18</f>
        <v>276497.46303400717</v>
      </c>
      <c r="S209" s="81">
        <f ca="1">'CapexSum$Nom'!S209*S$28*S$17+'CapexSum$FY22'!S209*S$27*S$18</f>
        <v>252597.15940244505</v>
      </c>
      <c r="T209" s="81">
        <f ca="1">'CapexSum$Nom'!T209*T$28*T$17+'CapexSum$FY22'!T209*T$27*T$18</f>
        <v>277507.41463154362</v>
      </c>
    </row>
    <row r="210" spans="5:20" outlineLevel="1">
      <c r="F210" s="247" t="str">
        <f>GC!C68</f>
        <v>Other</v>
      </c>
      <c r="G210" s="247"/>
      <c r="H210" s="247"/>
      <c r="I210" s="247"/>
      <c r="J210" s="81">
        <f ca="1">'CapexSum$Nom'!J210*J$28*J$17+'CapexSum$FY22'!J210*J$27*J$18</f>
        <v>4727120.3087121937</v>
      </c>
      <c r="K210" s="81">
        <f ca="1">'CapexSum$Nom'!K210*K$28*K$17+'CapexSum$FY22'!K210*K$27*K$18</f>
        <v>2748012.0810785843</v>
      </c>
      <c r="L210" s="81">
        <f ca="1">'CapexSum$Nom'!L210*L$28*L$17+'CapexSum$FY22'!L210*L$27*L$18</f>
        <v>5255609.8785679424</v>
      </c>
      <c r="M210" s="81">
        <f ca="1">'CapexSum$Nom'!M210*M$28*M$17+'CapexSum$FY22'!M210*M$27*M$18</f>
        <v>6395941.1559807658</v>
      </c>
      <c r="N210" s="81">
        <f ca="1">'CapexSum$Nom'!N210*N$28*N$17+'CapexSum$FY22'!N210*N$27*N$18</f>
        <v>11313980.388480309</v>
      </c>
      <c r="O210" s="81">
        <f ca="1">'CapexSum$Nom'!O210*O$28*O$17+'CapexSum$FY22'!O210*O$27*O$18</f>
        <v>4851487.5519623347</v>
      </c>
      <c r="P210" s="81">
        <f ca="1">'CapexSum$Nom'!P210*P$28*P$17+'CapexSum$FY22'!P210*P$27*P$18</f>
        <v>11486960.529234</v>
      </c>
      <c r="Q210" s="81">
        <f ca="1">'CapexSum$Nom'!Q210*Q$28*Q$17+'CapexSum$FY22'!Q210*Q$27*Q$18</f>
        <v>12202431.52486082</v>
      </c>
      <c r="R210" s="81">
        <f ca="1">'CapexSum$Nom'!R210*R$28*R$17+'CapexSum$FY22'!R210*R$27*R$18</f>
        <v>12621523.481306313</v>
      </c>
      <c r="S210" s="81">
        <f ca="1">'CapexSum$Nom'!S210*S$28*S$17+'CapexSum$FY22'!S210*S$27*S$18</f>
        <v>10656507.068384107</v>
      </c>
      <c r="T210" s="81">
        <f ca="1">'CapexSum$Nom'!T210*T$28*T$17+'CapexSum$FY22'!T210*T$27*T$18</f>
        <v>10118654.639793834</v>
      </c>
    </row>
    <row r="211" spans="5:20" outlineLevel="1">
      <c r="F211" s="247" t="str">
        <f>GC!C69</f>
        <v>Capitalised Leases</v>
      </c>
      <c r="G211" s="247"/>
      <c r="H211" s="247"/>
      <c r="I211" s="247"/>
      <c r="J211" s="81">
        <f ca="1">'CapexSum$Nom'!J211*J$28*J$17+'CapexSum$FY22'!J211*J$27*J$18</f>
        <v>0</v>
      </c>
      <c r="K211" s="81">
        <f ca="1">'CapexSum$Nom'!K211*K$28*K$17+'CapexSum$FY22'!K211*K$27*K$18</f>
        <v>10622149.258251505</v>
      </c>
      <c r="L211" s="81">
        <f ca="1">'CapexSum$Nom'!L211*L$28*L$17+'CapexSum$FY22'!L211*L$27*L$18</f>
        <v>2573303.4224762125</v>
      </c>
      <c r="M211" s="81">
        <f ca="1">'CapexSum$Nom'!M211*M$28*M$17+'CapexSum$FY22'!M211*M$27*M$18</f>
        <v>-1478642.5921516225</v>
      </c>
      <c r="N211" s="81">
        <f ca="1">'CapexSum$Nom'!N211*N$28*N$17+'CapexSum$FY22'!N211*N$27*N$18</f>
        <v>0</v>
      </c>
      <c r="O211" s="81">
        <f ca="1">'CapexSum$Nom'!O211*O$28*O$17+'CapexSum$FY22'!O211*O$27*O$18</f>
        <v>0</v>
      </c>
      <c r="P211" s="81">
        <f ca="1">'CapexSum$Nom'!P211*P$28*P$17+'CapexSum$FY22'!P211*P$27*P$18</f>
        <v>0</v>
      </c>
      <c r="Q211" s="81">
        <f ca="1">'CapexSum$Nom'!Q211*Q$28*Q$17+'CapexSum$FY22'!Q211*Q$27*Q$18</f>
        <v>0</v>
      </c>
      <c r="R211" s="81">
        <f ca="1">'CapexSum$Nom'!R211*R$28*R$17+'CapexSum$FY22'!R211*R$27*R$18</f>
        <v>0</v>
      </c>
      <c r="S211" s="81">
        <f ca="1">'CapexSum$Nom'!S211*S$28*S$17+'CapexSum$FY22'!S211*S$27*S$18</f>
        <v>0</v>
      </c>
      <c r="T211" s="81">
        <f ca="1">'CapexSum$Nom'!T211*T$28*T$17+'CapexSum$FY22'!T211*T$27*T$18</f>
        <v>0</v>
      </c>
    </row>
    <row r="212" spans="5:20" outlineLevel="1">
      <c r="F212" s="247" t="str">
        <f>GC!C70</f>
        <v>Gas Extensions - Energy for the Regions</v>
      </c>
      <c r="G212" s="247"/>
      <c r="H212" s="247"/>
      <c r="I212" s="247"/>
      <c r="J212" s="81">
        <f ca="1">'CapexSum$Nom'!J212*J$28*J$17+'CapexSum$FY22'!J212*J$27*J$18</f>
        <v>2098910.7673707316</v>
      </c>
      <c r="K212" s="81">
        <f ca="1">'CapexSum$Nom'!K212*K$28*K$17+'CapexSum$FY22'!K212*K$27*K$18</f>
        <v>7974.4811192920351</v>
      </c>
      <c r="L212" s="81">
        <f ca="1">'CapexSum$Nom'!L212*L$28*L$17+'CapexSum$FY22'!L212*L$27*L$18</f>
        <v>0</v>
      </c>
      <c r="M212" s="81">
        <f ca="1">'CapexSum$Nom'!M212*M$28*M$17+'CapexSum$FY22'!M212*M$27*M$18</f>
        <v>0</v>
      </c>
      <c r="N212" s="81">
        <f ca="1">'CapexSum$Nom'!N212*N$28*N$17+'CapexSum$FY22'!N212*N$27*N$18</f>
        <v>0</v>
      </c>
      <c r="O212" s="81">
        <f ca="1">'CapexSum$Nom'!O212*O$28*O$17+'CapexSum$FY22'!O212*O$27*O$18</f>
        <v>0</v>
      </c>
      <c r="P212" s="81">
        <f ca="1">'CapexSum$Nom'!P212*P$28*P$17+'CapexSum$FY22'!P212*P$27*P$18</f>
        <v>0</v>
      </c>
      <c r="Q212" s="81">
        <f ca="1">'CapexSum$Nom'!Q212*Q$28*Q$17+'CapexSum$FY22'!Q212*Q$27*Q$18</f>
        <v>0</v>
      </c>
      <c r="R212" s="81">
        <f ca="1">'CapexSum$Nom'!R212*R$28*R$17+'CapexSum$FY22'!R212*R$27*R$18</f>
        <v>0</v>
      </c>
      <c r="S212" s="81">
        <f ca="1">'CapexSum$Nom'!S212*S$28*S$17+'CapexSum$FY22'!S212*S$27*S$18</f>
        <v>0</v>
      </c>
      <c r="T212" s="81">
        <f ca="1">'CapexSum$Nom'!T212*T$28*T$17+'CapexSum$FY22'!T212*T$27*T$18</f>
        <v>0</v>
      </c>
    </row>
    <row r="213" spans="5:20" outlineLevel="1">
      <c r="F213" s="247" t="str">
        <f>GC!C71</f>
        <v>Gas Extensions - Other</v>
      </c>
      <c r="G213" s="247"/>
      <c r="H213" s="247"/>
      <c r="I213" s="247"/>
      <c r="J213" s="81">
        <f ca="1">'CapexSum$Nom'!J213*J$28*J$17+'CapexSum$FY22'!J213*J$27*J$18</f>
        <v>0</v>
      </c>
      <c r="K213" s="81">
        <f ca="1">'CapexSum$Nom'!K213*K$28*K$17+'CapexSum$FY22'!K213*K$27*K$18</f>
        <v>0</v>
      </c>
      <c r="L213" s="81">
        <f ca="1">'CapexSum$Nom'!L213*L$28*L$17+'CapexSum$FY22'!L213*L$27*L$18</f>
        <v>0</v>
      </c>
      <c r="M213" s="81">
        <f ca="1">'CapexSum$Nom'!M213*M$28*M$17+'CapexSum$FY22'!M213*M$27*M$18</f>
        <v>0</v>
      </c>
      <c r="N213" s="81">
        <f ca="1">'CapexSum$Nom'!N213*N$28*N$17+'CapexSum$FY22'!N213*N$27*N$18</f>
        <v>0</v>
      </c>
      <c r="O213" s="81">
        <f ca="1">'CapexSum$Nom'!O213*O$28*O$17+'CapexSum$FY22'!O213*O$27*O$18</f>
        <v>0</v>
      </c>
      <c r="P213" s="81">
        <f ca="1">'CapexSum$Nom'!P213*P$28*P$17+'CapexSum$FY22'!P213*P$27*P$18</f>
        <v>0</v>
      </c>
      <c r="Q213" s="81">
        <f ca="1">'CapexSum$Nom'!Q213*Q$28*Q$17+'CapexSum$FY22'!Q213*Q$27*Q$18</f>
        <v>0</v>
      </c>
      <c r="R213" s="81">
        <f ca="1">'CapexSum$Nom'!R213*R$28*R$17+'CapexSum$FY22'!R213*R$27*R$18</f>
        <v>0</v>
      </c>
      <c r="S213" s="81">
        <f ca="1">'CapexSum$Nom'!S213*S$28*S$17+'CapexSum$FY22'!S213*S$27*S$18</f>
        <v>0</v>
      </c>
      <c r="T213" s="81">
        <f ca="1">'CapexSum$Nom'!T213*T$28*T$17+'CapexSum$FY22'!T213*T$27*T$18</f>
        <v>0</v>
      </c>
    </row>
    <row r="214" spans="5:20" outlineLevel="1">
      <c r="F214" s="247" t="str">
        <f>GC!C72</f>
        <v>Customer contributions</v>
      </c>
      <c r="G214" s="247"/>
      <c r="H214" s="247"/>
      <c r="I214" s="247"/>
      <c r="J214" s="81">
        <f ca="1">'CapexSum$Nom'!J214*J$28*J$17+'CapexSum$FY22'!J214*J$27*J$18</f>
        <v>0</v>
      </c>
      <c r="K214" s="81">
        <f ca="1">'CapexSum$Nom'!K214*K$28*K$17+'CapexSum$FY22'!K214*K$27*K$18</f>
        <v>0</v>
      </c>
      <c r="L214" s="81">
        <f ca="1">'CapexSum$Nom'!L214*L$28*L$17+'CapexSum$FY22'!L214*L$27*L$18</f>
        <v>0</v>
      </c>
      <c r="M214" s="81">
        <f ca="1">'CapexSum$Nom'!M214*M$28*M$17+'CapexSum$FY22'!M214*M$27*M$18</f>
        <v>0</v>
      </c>
      <c r="N214" s="81">
        <f ca="1">'CapexSum$Nom'!N214*N$28*N$17+'CapexSum$FY22'!N214*N$27*N$18</f>
        <v>0</v>
      </c>
      <c r="O214" s="81">
        <f ca="1">'CapexSum$Nom'!O214*O$28*O$17+'CapexSum$FY22'!O214*O$27*O$18</f>
        <v>0</v>
      </c>
      <c r="P214" s="81">
        <f ca="1">'CapexSum$Nom'!P214*P$28*P$17+'CapexSum$FY22'!P214*P$27*P$18</f>
        <v>0</v>
      </c>
      <c r="Q214" s="81">
        <f ca="1">'CapexSum$Nom'!Q214*Q$28*Q$17+'CapexSum$FY22'!Q214*Q$27*Q$18</f>
        <v>0</v>
      </c>
      <c r="R214" s="81">
        <f ca="1">'CapexSum$Nom'!R214*R$28*R$17+'CapexSum$FY22'!R214*R$27*R$18</f>
        <v>0</v>
      </c>
      <c r="S214" s="81">
        <f ca="1">'CapexSum$Nom'!S214*S$28*S$17+'CapexSum$FY22'!S214*S$27*S$18</f>
        <v>0</v>
      </c>
      <c r="T214" s="81">
        <f ca="1">'CapexSum$Nom'!T214*T$28*T$17+'CapexSum$FY22'!T214*T$27*T$18</f>
        <v>0</v>
      </c>
    </row>
    <row r="215" spans="5:20" outlineLevel="1">
      <c r="F215" s="247" t="str">
        <f>GC!C73</f>
        <v>Government contributions</v>
      </c>
      <c r="G215" s="247"/>
      <c r="H215" s="247"/>
      <c r="I215" s="247"/>
      <c r="J215" s="81">
        <f ca="1">'CapexSum$Nom'!J215*J$28*J$17+'CapexSum$FY22'!J215*J$27*J$18</f>
        <v>0</v>
      </c>
      <c r="K215" s="81">
        <f ca="1">'CapexSum$Nom'!K215*K$28*K$17+'CapexSum$FY22'!K215*K$27*K$18</f>
        <v>0</v>
      </c>
      <c r="L215" s="81">
        <f ca="1">'CapexSum$Nom'!L215*L$28*L$17+'CapexSum$FY22'!L215*L$27*L$18</f>
        <v>0</v>
      </c>
      <c r="M215" s="81">
        <f ca="1">'CapexSum$Nom'!M215*M$28*M$17+'CapexSum$FY22'!M215*M$27*M$18</f>
        <v>0</v>
      </c>
      <c r="N215" s="81">
        <f ca="1">'CapexSum$Nom'!N215*N$28*N$17+'CapexSum$FY22'!N215*N$27*N$18</f>
        <v>0</v>
      </c>
      <c r="O215" s="81">
        <f ca="1">'CapexSum$Nom'!O215*O$28*O$17+'CapexSum$FY22'!O215*O$27*O$18</f>
        <v>0</v>
      </c>
      <c r="P215" s="81">
        <f ca="1">'CapexSum$Nom'!P215*P$28*P$17+'CapexSum$FY22'!P215*P$27*P$18</f>
        <v>0</v>
      </c>
      <c r="Q215" s="81">
        <f ca="1">'CapexSum$Nom'!Q215*Q$28*Q$17+'CapexSum$FY22'!Q215*Q$27*Q$18</f>
        <v>0</v>
      </c>
      <c r="R215" s="81">
        <f ca="1">'CapexSum$Nom'!R215*R$28*R$17+'CapexSum$FY22'!R215*R$27*R$18</f>
        <v>0</v>
      </c>
      <c r="S215" s="81">
        <f ca="1">'CapexSum$Nom'!S215*S$28*S$17+'CapexSum$FY22'!S215*S$27*S$18</f>
        <v>0</v>
      </c>
      <c r="T215" s="81">
        <f ca="1">'CapexSum$Nom'!T215*T$28*T$17+'CapexSum$FY22'!T215*T$27*T$18</f>
        <v>0</v>
      </c>
    </row>
    <row r="216" spans="5:20" outlineLevel="1">
      <c r="F216" s="249" t="s">
        <v>197</v>
      </c>
      <c r="G216" s="249"/>
      <c r="H216" s="249"/>
      <c r="I216" s="249"/>
      <c r="J216" s="82">
        <f t="shared" ref="J216:T216" ca="1" si="15">SUM(J202:J215)</f>
        <v>112418004.62774147</v>
      </c>
      <c r="K216" s="82">
        <f t="shared" ca="1" si="15"/>
        <v>124329951.2448303</v>
      </c>
      <c r="L216" s="82">
        <f t="shared" ca="1" si="15"/>
        <v>110395634.99914417</v>
      </c>
      <c r="M216" s="82">
        <f t="shared" ca="1" si="15"/>
        <v>119386011.1029214</v>
      </c>
      <c r="N216" s="82">
        <f t="shared" ca="1" si="15"/>
        <v>107999769.61409265</v>
      </c>
      <c r="O216" s="82">
        <f t="shared" ca="1" si="15"/>
        <v>63497740.436112419</v>
      </c>
      <c r="P216" s="82">
        <f t="shared" ca="1" si="15"/>
        <v>117812766.96948358</v>
      </c>
      <c r="Q216" s="82">
        <f t="shared" ca="1" si="15"/>
        <v>122150171.47181085</v>
      </c>
      <c r="R216" s="82">
        <f t="shared" ca="1" si="15"/>
        <v>119539997.13299434</v>
      </c>
      <c r="S216" s="82">
        <f t="shared" ca="1" si="15"/>
        <v>106794947.60916401</v>
      </c>
      <c r="T216" s="82">
        <f t="shared" ca="1" si="15"/>
        <v>96668685.526165292</v>
      </c>
    </row>
    <row r="217" spans="5:20" outlineLevel="1"/>
    <row r="218" spans="5:20" outlineLevel="1">
      <c r="E218" s="37" t="str">
        <f>'CapexSum$FY22'!E218</f>
        <v>Customer Contributions</v>
      </c>
    </row>
    <row r="219" spans="5:20" outlineLevel="1"/>
    <row r="220" spans="5:20" outlineLevel="1">
      <c r="F220" s="247" t="str">
        <f>GC!C60</f>
        <v>Mains replacement</v>
      </c>
      <c r="G220" s="247"/>
      <c r="H220" s="247"/>
      <c r="I220" s="247"/>
      <c r="J220" s="81">
        <f ca="1">'CapexSum$Nom'!J220*J$28*J$17+'CapexSum$FY22'!J220*J$27*J$18</f>
        <v>0</v>
      </c>
      <c r="K220" s="81">
        <f ca="1">'CapexSum$Nom'!K220*K$28*K$17+'CapexSum$FY22'!K220*K$27*K$18</f>
        <v>0</v>
      </c>
      <c r="L220" s="81">
        <f ca="1">'CapexSum$Nom'!L220*L$28*L$17+'CapexSum$FY22'!L220*L$27*L$18</f>
        <v>0</v>
      </c>
      <c r="M220" s="81">
        <f ca="1">'CapexSum$Nom'!M220*M$28*M$17+'CapexSum$FY22'!M220*M$27*M$18</f>
        <v>0</v>
      </c>
      <c r="N220" s="81">
        <f ca="1">'CapexSum$Nom'!N220*N$28*N$17+'CapexSum$FY22'!N220*N$27*N$18</f>
        <v>0</v>
      </c>
      <c r="O220" s="81">
        <f ca="1">'CapexSum$Nom'!O220*O$28*O$17+'CapexSum$FY22'!O220*O$27*O$18</f>
        <v>0</v>
      </c>
      <c r="P220" s="81">
        <f ca="1">'CapexSum$Nom'!P220*P$28*P$17+'CapexSum$FY22'!P220*P$27*P$18</f>
        <v>0</v>
      </c>
      <c r="Q220" s="81">
        <f ca="1">'CapexSum$Nom'!Q220*Q$28*Q$17+'CapexSum$FY22'!Q220*Q$27*Q$18</f>
        <v>0</v>
      </c>
      <c r="R220" s="81">
        <f ca="1">'CapexSum$Nom'!R220*R$28*R$17+'CapexSum$FY22'!R220*R$27*R$18</f>
        <v>0</v>
      </c>
      <c r="S220" s="81">
        <f ca="1">'CapexSum$Nom'!S220*S$28*S$17+'CapexSum$FY22'!S220*S$27*S$18</f>
        <v>0</v>
      </c>
      <c r="T220" s="81">
        <f ca="1">'CapexSum$Nom'!T220*T$28*T$17+'CapexSum$FY22'!T220*T$27*T$18</f>
        <v>0</v>
      </c>
    </row>
    <row r="221" spans="5:20" outlineLevel="1">
      <c r="F221" s="247" t="str">
        <f>GC!C61</f>
        <v>Residential new customer connections</v>
      </c>
      <c r="G221" s="247"/>
      <c r="H221" s="247"/>
      <c r="I221" s="247"/>
      <c r="J221" s="81">
        <f ca="1">'CapexSum$Nom'!J221*J$28*J$17+'CapexSum$FY22'!J221*J$27*J$18</f>
        <v>0</v>
      </c>
      <c r="K221" s="81">
        <f ca="1">'CapexSum$Nom'!K221*K$28*K$17+'CapexSum$FY22'!K221*K$27*K$18</f>
        <v>0</v>
      </c>
      <c r="L221" s="81">
        <f ca="1">'CapexSum$Nom'!L221*L$28*L$17+'CapexSum$FY22'!L221*L$27*L$18</f>
        <v>0</v>
      </c>
      <c r="M221" s="81">
        <f ca="1">'CapexSum$Nom'!M221*M$28*M$17+'CapexSum$FY22'!M221*M$27*M$18</f>
        <v>0</v>
      </c>
      <c r="N221" s="81">
        <f ca="1">'CapexSum$Nom'!N221*N$28*N$17+'CapexSum$FY22'!N221*N$27*N$18</f>
        <v>-3071662.4082477498</v>
      </c>
      <c r="O221" s="81">
        <f ca="1">'CapexSum$Nom'!O221*O$28*O$17+'CapexSum$FY22'!O221*O$27*O$18</f>
        <v>-2022933.0813249999</v>
      </c>
      <c r="P221" s="81">
        <f ca="1">'CapexSum$Nom'!P221*P$28*P$17+'CapexSum$FY22'!P221*P$27*P$18</f>
        <v>-4045866.1626499998</v>
      </c>
      <c r="Q221" s="81">
        <f ca="1">'CapexSum$Nom'!Q221*Q$28*Q$17+'CapexSum$FY22'!Q221*Q$27*Q$18</f>
        <v>-4172156.2669500001</v>
      </c>
      <c r="R221" s="81">
        <f ca="1">'CapexSum$Nom'!R221*R$28*R$17+'CapexSum$FY22'!R221*R$27*R$18</f>
        <v>-4295414.1113499999</v>
      </c>
      <c r="S221" s="81">
        <f ca="1">'CapexSum$Nom'!S221*S$28*S$17+'CapexSum$FY22'!S221*S$27*S$18</f>
        <v>-4190194.6041999995</v>
      </c>
      <c r="T221" s="81">
        <f ca="1">'CapexSum$Nom'!T221*T$28*T$17+'CapexSum$FY22'!T221*T$27*T$18</f>
        <v>-4081018.7415499999</v>
      </c>
    </row>
    <row r="222" spans="5:20" outlineLevel="1">
      <c r="F222" s="247" t="str">
        <f>GC!C62</f>
        <v>Commercial and industrial new customer connections</v>
      </c>
      <c r="G222" s="247"/>
      <c r="H222" s="247"/>
      <c r="I222" s="247"/>
      <c r="J222" s="81">
        <f ca="1">'CapexSum$Nom'!J222*J$28*J$17+'CapexSum$FY22'!J222*J$27*J$18</f>
        <v>0</v>
      </c>
      <c r="K222" s="81">
        <f ca="1">'CapexSum$Nom'!K222*K$28*K$17+'CapexSum$FY22'!K222*K$27*K$18</f>
        <v>0</v>
      </c>
      <c r="L222" s="81">
        <f ca="1">'CapexSum$Nom'!L222*L$28*L$17+'CapexSum$FY22'!L222*L$27*L$18</f>
        <v>0</v>
      </c>
      <c r="M222" s="81">
        <f ca="1">'CapexSum$Nom'!M222*M$28*M$17+'CapexSum$FY22'!M222*M$27*M$18</f>
        <v>0</v>
      </c>
      <c r="N222" s="81">
        <f ca="1">'CapexSum$Nom'!N222*N$28*N$17+'CapexSum$FY22'!N222*N$27*N$18</f>
        <v>-2523756.0118470998</v>
      </c>
      <c r="O222" s="81">
        <f ca="1">'CapexSum$Nom'!O222*O$28*O$17+'CapexSum$FY22'!O222*O$27*O$18</f>
        <v>-1267093.649925</v>
      </c>
      <c r="P222" s="81">
        <f ca="1">'CapexSum$Nom'!P222*P$28*P$17+'CapexSum$FY22'!P222*P$27*P$18</f>
        <v>-2534187.2998500001</v>
      </c>
      <c r="Q222" s="81">
        <f ca="1">'CapexSum$Nom'!Q222*Q$28*Q$17+'CapexSum$FY22'!Q222*Q$27*Q$18</f>
        <v>-2557927.8171499996</v>
      </c>
      <c r="R222" s="81">
        <f ca="1">'CapexSum$Nom'!R222*R$28*R$17+'CapexSum$FY22'!R222*R$27*R$18</f>
        <v>-2581204.6935999999</v>
      </c>
      <c r="S222" s="81">
        <f ca="1">'CapexSum$Nom'!S222*S$28*S$17+'CapexSum$FY22'!S222*S$27*S$18</f>
        <v>-2564962.9685999998</v>
      </c>
      <c r="T222" s="81">
        <f ca="1">'CapexSum$Nom'!T222*T$28*T$17+'CapexSum$FY22'!T222*T$27*T$18</f>
        <v>-2547974.2402999997</v>
      </c>
    </row>
    <row r="223" spans="5:20" outlineLevel="1">
      <c r="F223" s="247" t="str">
        <f>GC!C63</f>
        <v>Residential meter replacement</v>
      </c>
      <c r="G223" s="247"/>
      <c r="H223" s="247"/>
      <c r="I223" s="247"/>
      <c r="J223" s="81">
        <f ca="1">'CapexSum$Nom'!J223*J$28*J$17+'CapexSum$FY22'!J223*J$27*J$18</f>
        <v>0</v>
      </c>
      <c r="K223" s="81">
        <f ca="1">'CapexSum$Nom'!K223*K$28*K$17+'CapexSum$FY22'!K223*K$27*K$18</f>
        <v>0</v>
      </c>
      <c r="L223" s="81">
        <f ca="1">'CapexSum$Nom'!L223*L$28*L$17+'CapexSum$FY22'!L223*L$27*L$18</f>
        <v>0</v>
      </c>
      <c r="M223" s="81">
        <f ca="1">'CapexSum$Nom'!M223*M$28*M$17+'CapexSum$FY22'!M223*M$27*M$18</f>
        <v>0</v>
      </c>
      <c r="N223" s="81">
        <f ca="1">'CapexSum$Nom'!N223*N$28*N$17+'CapexSum$FY22'!N223*N$27*N$18</f>
        <v>0</v>
      </c>
      <c r="O223" s="81">
        <f ca="1">'CapexSum$Nom'!O223*O$28*O$17+'CapexSum$FY22'!O223*O$27*O$18</f>
        <v>0</v>
      </c>
      <c r="P223" s="81">
        <f ca="1">'CapexSum$Nom'!P223*P$28*P$17+'CapexSum$FY22'!P223*P$27*P$18</f>
        <v>0</v>
      </c>
      <c r="Q223" s="81">
        <f ca="1">'CapexSum$Nom'!Q223*Q$28*Q$17+'CapexSum$FY22'!Q223*Q$27*Q$18</f>
        <v>0</v>
      </c>
      <c r="R223" s="81">
        <f ca="1">'CapexSum$Nom'!R223*R$28*R$17+'CapexSum$FY22'!R223*R$27*R$18</f>
        <v>0</v>
      </c>
      <c r="S223" s="81">
        <f ca="1">'CapexSum$Nom'!S223*S$28*S$17+'CapexSum$FY22'!S223*S$27*S$18</f>
        <v>0</v>
      </c>
      <c r="T223" s="81">
        <f ca="1">'CapexSum$Nom'!T223*T$28*T$17+'CapexSum$FY22'!T223*T$27*T$18</f>
        <v>0</v>
      </c>
    </row>
    <row r="224" spans="5:20" outlineLevel="1">
      <c r="F224" s="247" t="str">
        <f>GC!C64</f>
        <v>Commercial and industrial meter replacement</v>
      </c>
      <c r="G224" s="247"/>
      <c r="H224" s="247"/>
      <c r="I224" s="247"/>
      <c r="J224" s="81">
        <f ca="1">'CapexSum$Nom'!J224*J$28*J$17+'CapexSum$FY22'!J224*J$27*J$18</f>
        <v>0</v>
      </c>
      <c r="K224" s="81">
        <f ca="1">'CapexSum$Nom'!K224*K$28*K$17+'CapexSum$FY22'!K224*K$27*K$18</f>
        <v>0</v>
      </c>
      <c r="L224" s="81">
        <f ca="1">'CapexSum$Nom'!L224*L$28*L$17+'CapexSum$FY22'!L224*L$27*L$18</f>
        <v>0</v>
      </c>
      <c r="M224" s="81">
        <f ca="1">'CapexSum$Nom'!M224*M$28*M$17+'CapexSum$FY22'!M224*M$27*M$18</f>
        <v>0</v>
      </c>
      <c r="N224" s="81">
        <f ca="1">'CapexSum$Nom'!N224*N$28*N$17+'CapexSum$FY22'!N224*N$27*N$18</f>
        <v>0</v>
      </c>
      <c r="O224" s="81">
        <f ca="1">'CapexSum$Nom'!O224*O$28*O$17+'CapexSum$FY22'!O224*O$27*O$18</f>
        <v>0</v>
      </c>
      <c r="P224" s="81">
        <f ca="1">'CapexSum$Nom'!P224*P$28*P$17+'CapexSum$FY22'!P224*P$27*P$18</f>
        <v>0</v>
      </c>
      <c r="Q224" s="81">
        <f ca="1">'CapexSum$Nom'!Q224*Q$28*Q$17+'CapexSum$FY22'!Q224*Q$27*Q$18</f>
        <v>0</v>
      </c>
      <c r="R224" s="81">
        <f ca="1">'CapexSum$Nom'!R224*R$28*R$17+'CapexSum$FY22'!R224*R$27*R$18</f>
        <v>0</v>
      </c>
      <c r="S224" s="81">
        <f ca="1">'CapexSum$Nom'!S224*S$28*S$17+'CapexSum$FY22'!S224*S$27*S$18</f>
        <v>0</v>
      </c>
      <c r="T224" s="81">
        <f ca="1">'CapexSum$Nom'!T224*T$28*T$17+'CapexSum$FY22'!T224*T$27*T$18</f>
        <v>0</v>
      </c>
    </row>
    <row r="225" spans="3:20" outlineLevel="1">
      <c r="F225" s="247" t="str">
        <f>GC!C65</f>
        <v>Augmentation</v>
      </c>
      <c r="G225" s="247"/>
      <c r="H225" s="247"/>
      <c r="I225" s="247"/>
      <c r="J225" s="81">
        <f ca="1">'CapexSum$Nom'!J225*J$28*J$17+'CapexSum$FY22'!J225*J$27*J$18</f>
        <v>0</v>
      </c>
      <c r="K225" s="81">
        <f ca="1">'CapexSum$Nom'!K225*K$28*K$17+'CapexSum$FY22'!K225*K$27*K$18</f>
        <v>0</v>
      </c>
      <c r="L225" s="81">
        <f ca="1">'CapexSum$Nom'!L225*L$28*L$17+'CapexSum$FY22'!L225*L$27*L$18</f>
        <v>0</v>
      </c>
      <c r="M225" s="81">
        <f ca="1">'CapexSum$Nom'!M225*M$28*M$17+'CapexSum$FY22'!M225*M$27*M$18</f>
        <v>0</v>
      </c>
      <c r="N225" s="81">
        <f ca="1">'CapexSum$Nom'!N225*N$28*N$17+'CapexSum$FY22'!N225*N$27*N$18</f>
        <v>0</v>
      </c>
      <c r="O225" s="81">
        <f ca="1">'CapexSum$Nom'!O225*O$28*O$17+'CapexSum$FY22'!O225*O$27*O$18</f>
        <v>0</v>
      </c>
      <c r="P225" s="81">
        <f ca="1">'CapexSum$Nom'!P225*P$28*P$17+'CapexSum$FY22'!P225*P$27*P$18</f>
        <v>0</v>
      </c>
      <c r="Q225" s="81">
        <f ca="1">'CapexSum$Nom'!Q225*Q$28*Q$17+'CapexSum$FY22'!Q225*Q$27*Q$18</f>
        <v>0</v>
      </c>
      <c r="R225" s="81">
        <f ca="1">'CapexSum$Nom'!R225*R$28*R$17+'CapexSum$FY22'!R225*R$27*R$18</f>
        <v>0</v>
      </c>
      <c r="S225" s="81">
        <f ca="1">'CapexSum$Nom'!S225*S$28*S$17+'CapexSum$FY22'!S225*S$27*S$18</f>
        <v>0</v>
      </c>
      <c r="T225" s="81">
        <f ca="1">'CapexSum$Nom'!T225*T$28*T$17+'CapexSum$FY22'!T225*T$27*T$18</f>
        <v>0</v>
      </c>
    </row>
    <row r="226" spans="3:20" outlineLevel="1">
      <c r="F226" s="247" t="str">
        <f>GC!C66</f>
        <v>IT capex</v>
      </c>
      <c r="G226" s="247"/>
      <c r="H226" s="247"/>
      <c r="I226" s="247"/>
      <c r="J226" s="81">
        <f ca="1">'CapexSum$Nom'!J226*J$28*J$17+'CapexSum$FY22'!J226*J$27*J$18</f>
        <v>0</v>
      </c>
      <c r="K226" s="81">
        <f ca="1">'CapexSum$Nom'!K226*K$28*K$17+'CapexSum$FY22'!K226*K$27*K$18</f>
        <v>0</v>
      </c>
      <c r="L226" s="81">
        <f ca="1">'CapexSum$Nom'!L226*L$28*L$17+'CapexSum$FY22'!L226*L$27*L$18</f>
        <v>0</v>
      </c>
      <c r="M226" s="81">
        <f ca="1">'CapexSum$Nom'!M226*M$28*M$17+'CapexSum$FY22'!M226*M$27*M$18</f>
        <v>0</v>
      </c>
      <c r="N226" s="81">
        <f ca="1">'CapexSum$Nom'!N226*N$28*N$17+'CapexSum$FY22'!N226*N$27*N$18</f>
        <v>0</v>
      </c>
      <c r="O226" s="81">
        <f ca="1">'CapexSum$Nom'!O226*O$28*O$17+'CapexSum$FY22'!O226*O$27*O$18</f>
        <v>0</v>
      </c>
      <c r="P226" s="81">
        <f ca="1">'CapexSum$Nom'!P226*P$28*P$17+'CapexSum$FY22'!P226*P$27*P$18</f>
        <v>0</v>
      </c>
      <c r="Q226" s="81">
        <f ca="1">'CapexSum$Nom'!Q226*Q$28*Q$17+'CapexSum$FY22'!Q226*Q$27*Q$18</f>
        <v>0</v>
      </c>
      <c r="R226" s="81">
        <f ca="1">'CapexSum$Nom'!R226*R$28*R$17+'CapexSum$FY22'!R226*R$27*R$18</f>
        <v>0</v>
      </c>
      <c r="S226" s="81">
        <f ca="1">'CapexSum$Nom'!S226*S$28*S$17+'CapexSum$FY22'!S226*S$27*S$18</f>
        <v>0</v>
      </c>
      <c r="T226" s="81">
        <f ca="1">'CapexSum$Nom'!T226*T$28*T$17+'CapexSum$FY22'!T226*T$27*T$18</f>
        <v>0</v>
      </c>
    </row>
    <row r="227" spans="3:20" outlineLevel="1">
      <c r="F227" s="247" t="str">
        <f>GC!C67</f>
        <v>SCADA</v>
      </c>
      <c r="G227" s="247"/>
      <c r="H227" s="247"/>
      <c r="I227" s="247"/>
      <c r="J227" s="81">
        <f ca="1">'CapexSum$Nom'!J227*J$28*J$17+'CapexSum$FY22'!J227*J$27*J$18</f>
        <v>0</v>
      </c>
      <c r="K227" s="81">
        <f ca="1">'CapexSum$Nom'!K227*K$28*K$17+'CapexSum$FY22'!K227*K$27*K$18</f>
        <v>0</v>
      </c>
      <c r="L227" s="81">
        <f ca="1">'CapexSum$Nom'!L227*L$28*L$17+'CapexSum$FY22'!L227*L$27*L$18</f>
        <v>0</v>
      </c>
      <c r="M227" s="81">
        <f ca="1">'CapexSum$Nom'!M227*M$28*M$17+'CapexSum$FY22'!M227*M$27*M$18</f>
        <v>0</v>
      </c>
      <c r="N227" s="81">
        <f ca="1">'CapexSum$Nom'!N227*N$28*N$17+'CapexSum$FY22'!N227*N$27*N$18</f>
        <v>0</v>
      </c>
      <c r="O227" s="81">
        <f ca="1">'CapexSum$Nom'!O227*O$28*O$17+'CapexSum$FY22'!O227*O$27*O$18</f>
        <v>0</v>
      </c>
      <c r="P227" s="81">
        <f ca="1">'CapexSum$Nom'!P227*P$28*P$17+'CapexSum$FY22'!P227*P$27*P$18</f>
        <v>0</v>
      </c>
      <c r="Q227" s="81">
        <f ca="1">'CapexSum$Nom'!Q227*Q$28*Q$17+'CapexSum$FY22'!Q227*Q$27*Q$18</f>
        <v>0</v>
      </c>
      <c r="R227" s="81">
        <f ca="1">'CapexSum$Nom'!R227*R$28*R$17+'CapexSum$FY22'!R227*R$27*R$18</f>
        <v>0</v>
      </c>
      <c r="S227" s="81">
        <f ca="1">'CapexSum$Nom'!S227*S$28*S$17+'CapexSum$FY22'!S227*S$27*S$18</f>
        <v>0</v>
      </c>
      <c r="T227" s="81">
        <f ca="1">'CapexSum$Nom'!T227*T$28*T$17+'CapexSum$FY22'!T227*T$27*T$18</f>
        <v>0</v>
      </c>
    </row>
    <row r="228" spans="3:20" outlineLevel="1">
      <c r="F228" s="247" t="str">
        <f>GC!C68</f>
        <v>Other</v>
      </c>
      <c r="G228" s="247"/>
      <c r="H228" s="247"/>
      <c r="I228" s="247"/>
      <c r="J228" s="81">
        <f ca="1">'CapexSum$Nom'!J228*J$28*J$17+'CapexSum$FY22'!J228*J$27*J$18</f>
        <v>0</v>
      </c>
      <c r="K228" s="81">
        <f ca="1">'CapexSum$Nom'!K228*K$28*K$17+'CapexSum$FY22'!K228*K$27*K$18</f>
        <v>0</v>
      </c>
      <c r="L228" s="81">
        <f ca="1">'CapexSum$Nom'!L228*L$28*L$17+'CapexSum$FY22'!L228*L$27*L$18</f>
        <v>0</v>
      </c>
      <c r="M228" s="81">
        <f ca="1">'CapexSum$Nom'!M228*M$28*M$17+'CapexSum$FY22'!M228*M$27*M$18</f>
        <v>0</v>
      </c>
      <c r="N228" s="81">
        <f ca="1">'CapexSum$Nom'!N228*N$28*N$17+'CapexSum$FY22'!N228*N$27*N$18</f>
        <v>-15719861.003814049</v>
      </c>
      <c r="O228" s="81">
        <f ca="1">'CapexSum$Nom'!O228*O$28*O$17+'CapexSum$FY22'!O228*O$27*O$18</f>
        <v>-2038923.5098256774</v>
      </c>
      <c r="P228" s="81">
        <f ca="1">'CapexSum$Nom'!P228*P$28*P$17+'CapexSum$FY22'!P228*P$27*P$18</f>
        <v>-1495907.5396513548</v>
      </c>
      <c r="Q228" s="81">
        <f ca="1">'CapexSum$Nom'!Q228*Q$28*Q$17+'CapexSum$FY22'!Q228*Q$27*Q$18</f>
        <v>-1495907.5396513548</v>
      </c>
      <c r="R228" s="81">
        <f ca="1">'CapexSum$Nom'!R228*R$28*R$17+'CapexSum$FY22'!R228*R$27*R$18</f>
        <v>-1495907.5396513548</v>
      </c>
      <c r="S228" s="81">
        <f ca="1">'CapexSum$Nom'!S228*S$28*S$17+'CapexSum$FY22'!S228*S$27*S$18</f>
        <v>-1495907.5396513548</v>
      </c>
      <c r="T228" s="81">
        <f ca="1">'CapexSum$Nom'!T228*T$28*T$17+'CapexSum$FY22'!T228*T$27*T$18</f>
        <v>-1495907.5396513548</v>
      </c>
    </row>
    <row r="229" spans="3:20" outlineLevel="1">
      <c r="F229" s="247" t="str">
        <f>GC!C69</f>
        <v>Capitalised Leases</v>
      </c>
      <c r="G229" s="247"/>
      <c r="H229" s="247"/>
      <c r="I229" s="247"/>
      <c r="J229" s="81">
        <f ca="1">'CapexSum$Nom'!J229*J$28*J$17+'CapexSum$FY22'!J229*J$27*J$18</f>
        <v>0</v>
      </c>
      <c r="K229" s="81">
        <f ca="1">'CapexSum$Nom'!K229*K$28*K$17+'CapexSum$FY22'!K229*K$27*K$18</f>
        <v>0</v>
      </c>
      <c r="L229" s="81">
        <f ca="1">'CapexSum$Nom'!L229*L$28*L$17+'CapexSum$FY22'!L229*L$27*L$18</f>
        <v>0</v>
      </c>
      <c r="M229" s="81">
        <f ca="1">'CapexSum$Nom'!M229*M$28*M$17+'CapexSum$FY22'!M229*M$27*M$18</f>
        <v>0</v>
      </c>
      <c r="N229" s="81">
        <f ca="1">'CapexSum$Nom'!N229*N$28*N$17+'CapexSum$FY22'!N229*N$27*N$18</f>
        <v>0</v>
      </c>
      <c r="O229" s="81">
        <f ca="1">'CapexSum$Nom'!O229*O$28*O$17+'CapexSum$FY22'!O229*O$27*O$18</f>
        <v>0</v>
      </c>
      <c r="P229" s="81">
        <f ca="1">'CapexSum$Nom'!P229*P$28*P$17+'CapexSum$FY22'!P229*P$27*P$18</f>
        <v>0</v>
      </c>
      <c r="Q229" s="81">
        <f ca="1">'CapexSum$Nom'!Q229*Q$28*Q$17+'CapexSum$FY22'!Q229*Q$27*Q$18</f>
        <v>0</v>
      </c>
      <c r="R229" s="81">
        <f ca="1">'CapexSum$Nom'!R229*R$28*R$17+'CapexSum$FY22'!R229*R$27*R$18</f>
        <v>0</v>
      </c>
      <c r="S229" s="81">
        <f ca="1">'CapexSum$Nom'!S229*S$28*S$17+'CapexSum$FY22'!S229*S$27*S$18</f>
        <v>0</v>
      </c>
      <c r="T229" s="81">
        <f ca="1">'CapexSum$Nom'!T229*T$28*T$17+'CapexSum$FY22'!T229*T$27*T$18</f>
        <v>0</v>
      </c>
    </row>
    <row r="230" spans="3:20" outlineLevel="1">
      <c r="F230" s="247" t="str">
        <f>GC!C70</f>
        <v>Gas Extensions - Energy for the Regions</v>
      </c>
      <c r="G230" s="247"/>
      <c r="H230" s="247"/>
      <c r="I230" s="247"/>
      <c r="J230" s="81">
        <f ca="1">'CapexSum$Nom'!J230*J$28*J$17+'CapexSum$FY22'!J230*J$27*J$18</f>
        <v>0</v>
      </c>
      <c r="K230" s="81">
        <f ca="1">'CapexSum$Nom'!K230*K$28*K$17+'CapexSum$FY22'!K230*K$27*K$18</f>
        <v>0</v>
      </c>
      <c r="L230" s="81">
        <f ca="1">'CapexSum$Nom'!L230*L$28*L$17+'CapexSum$FY22'!L230*L$27*L$18</f>
        <v>0</v>
      </c>
      <c r="M230" s="81">
        <f ca="1">'CapexSum$Nom'!M230*M$28*M$17+'CapexSum$FY22'!M230*M$27*M$18</f>
        <v>0</v>
      </c>
      <c r="N230" s="81">
        <f ca="1">'CapexSum$Nom'!N230*N$28*N$17+'CapexSum$FY22'!N230*N$27*N$18</f>
        <v>0</v>
      </c>
      <c r="O230" s="81">
        <f ca="1">'CapexSum$Nom'!O230*O$28*O$17+'CapexSum$FY22'!O230*O$27*O$18</f>
        <v>0</v>
      </c>
      <c r="P230" s="81">
        <f ca="1">'CapexSum$Nom'!P230*P$28*P$17+'CapexSum$FY22'!P230*P$27*P$18</f>
        <v>0</v>
      </c>
      <c r="Q230" s="81">
        <f ca="1">'CapexSum$Nom'!Q230*Q$28*Q$17+'CapexSum$FY22'!Q230*Q$27*Q$18</f>
        <v>0</v>
      </c>
      <c r="R230" s="81">
        <f ca="1">'CapexSum$Nom'!R230*R$28*R$17+'CapexSum$FY22'!R230*R$27*R$18</f>
        <v>0</v>
      </c>
      <c r="S230" s="81">
        <f ca="1">'CapexSum$Nom'!S230*S$28*S$17+'CapexSum$FY22'!S230*S$27*S$18</f>
        <v>0</v>
      </c>
      <c r="T230" s="81">
        <f ca="1">'CapexSum$Nom'!T230*T$28*T$17+'CapexSum$FY22'!T230*T$27*T$18</f>
        <v>0</v>
      </c>
    </row>
    <row r="231" spans="3:20" outlineLevel="1">
      <c r="F231" s="247" t="str">
        <f>GC!C71</f>
        <v>Gas Extensions - Other</v>
      </c>
      <c r="G231" s="247"/>
      <c r="H231" s="247"/>
      <c r="I231" s="247"/>
      <c r="J231" s="81">
        <f ca="1">'CapexSum$Nom'!J231*J$28*J$17+'CapexSum$FY22'!J231*J$27*J$18</f>
        <v>0</v>
      </c>
      <c r="K231" s="81">
        <f ca="1">'CapexSum$Nom'!K231*K$28*K$17+'CapexSum$FY22'!K231*K$27*K$18</f>
        <v>0</v>
      </c>
      <c r="L231" s="81">
        <f ca="1">'CapexSum$Nom'!L231*L$28*L$17+'CapexSum$FY22'!L231*L$27*L$18</f>
        <v>0</v>
      </c>
      <c r="M231" s="81">
        <f ca="1">'CapexSum$Nom'!M231*M$28*M$17+'CapexSum$FY22'!M231*M$27*M$18</f>
        <v>0</v>
      </c>
      <c r="N231" s="81">
        <f ca="1">'CapexSum$Nom'!N231*N$28*N$17+'CapexSum$FY22'!N231*N$27*N$18</f>
        <v>0</v>
      </c>
      <c r="O231" s="81">
        <f ca="1">'CapexSum$Nom'!O231*O$28*O$17+'CapexSum$FY22'!O231*O$27*O$18</f>
        <v>0</v>
      </c>
      <c r="P231" s="81">
        <f ca="1">'CapexSum$Nom'!P231*P$28*P$17+'CapexSum$FY22'!P231*P$27*P$18</f>
        <v>0</v>
      </c>
      <c r="Q231" s="81">
        <f ca="1">'CapexSum$Nom'!Q231*Q$28*Q$17+'CapexSum$FY22'!Q231*Q$27*Q$18</f>
        <v>0</v>
      </c>
      <c r="R231" s="81">
        <f ca="1">'CapexSum$Nom'!R231*R$28*R$17+'CapexSum$FY22'!R231*R$27*R$18</f>
        <v>0</v>
      </c>
      <c r="S231" s="81">
        <f ca="1">'CapexSum$Nom'!S231*S$28*S$17+'CapexSum$FY22'!S231*S$27*S$18</f>
        <v>0</v>
      </c>
      <c r="T231" s="81">
        <f ca="1">'CapexSum$Nom'!T231*T$28*T$17+'CapexSum$FY22'!T231*T$27*T$18</f>
        <v>0</v>
      </c>
    </row>
    <row r="232" spans="3:20" outlineLevel="1">
      <c r="F232" s="247" t="str">
        <f>GC!C72</f>
        <v>Customer contributions</v>
      </c>
      <c r="G232" s="247"/>
      <c r="H232" s="247"/>
      <c r="I232" s="247"/>
      <c r="J232" s="81">
        <f ca="1">'CapexSum$Nom'!J232*J$28*J$17+'CapexSum$FY22'!J232*J$27*J$18</f>
        <v>0</v>
      </c>
      <c r="K232" s="81">
        <f ca="1">'CapexSum$Nom'!K232*K$28*K$17+'CapexSum$FY22'!K232*K$27*K$18</f>
        <v>0</v>
      </c>
      <c r="L232" s="81">
        <f ca="1">'CapexSum$Nom'!L232*L$28*L$17+'CapexSum$FY22'!L232*L$27*L$18</f>
        <v>0</v>
      </c>
      <c r="M232" s="81">
        <f ca="1">'CapexSum$Nom'!M232*M$28*M$17+'CapexSum$FY22'!M232*M$27*M$18</f>
        <v>0</v>
      </c>
      <c r="N232" s="81">
        <f ca="1">'CapexSum$Nom'!N232*N$28*N$17+'CapexSum$FY22'!N232*N$27*N$18</f>
        <v>0</v>
      </c>
      <c r="O232" s="81">
        <f ca="1">'CapexSum$Nom'!O232*O$28*O$17+'CapexSum$FY22'!O232*O$27*O$18</f>
        <v>0</v>
      </c>
      <c r="P232" s="81">
        <f ca="1">'CapexSum$Nom'!P232*P$28*P$17+'CapexSum$FY22'!P232*P$27*P$18</f>
        <v>0</v>
      </c>
      <c r="Q232" s="81">
        <f ca="1">'CapexSum$Nom'!Q232*Q$28*Q$17+'CapexSum$FY22'!Q232*Q$27*Q$18</f>
        <v>0</v>
      </c>
      <c r="R232" s="81">
        <f ca="1">'CapexSum$Nom'!R232*R$28*R$17+'CapexSum$FY22'!R232*R$27*R$18</f>
        <v>0</v>
      </c>
      <c r="S232" s="81">
        <f ca="1">'CapexSum$Nom'!S232*S$28*S$17+'CapexSum$FY22'!S232*S$27*S$18</f>
        <v>0</v>
      </c>
      <c r="T232" s="81">
        <f ca="1">'CapexSum$Nom'!T232*T$28*T$17+'CapexSum$FY22'!T232*T$27*T$18</f>
        <v>0</v>
      </c>
    </row>
    <row r="233" spans="3:20" outlineLevel="1">
      <c r="F233" s="247" t="str">
        <f>GC!C73</f>
        <v>Government contributions</v>
      </c>
      <c r="G233" s="247"/>
      <c r="H233" s="247"/>
      <c r="I233" s="247"/>
      <c r="J233" s="81">
        <f ca="1">'CapexSum$Nom'!J233*J$28*J$17+'CapexSum$FY22'!J233*J$27*J$18</f>
        <v>0</v>
      </c>
      <c r="K233" s="81">
        <f ca="1">'CapexSum$Nom'!K233*K$28*K$17+'CapexSum$FY22'!K233*K$27*K$18</f>
        <v>0</v>
      </c>
      <c r="L233" s="81">
        <f ca="1">'CapexSum$Nom'!L233*L$28*L$17+'CapexSum$FY22'!L233*L$27*L$18</f>
        <v>0</v>
      </c>
      <c r="M233" s="81">
        <f ca="1">'CapexSum$Nom'!M233*M$28*M$17+'CapexSum$FY22'!M233*M$27*M$18</f>
        <v>0</v>
      </c>
      <c r="N233" s="81">
        <f ca="1">'CapexSum$Nom'!N233*N$28*N$17+'CapexSum$FY22'!N233*N$27*N$18</f>
        <v>0</v>
      </c>
      <c r="O233" s="81">
        <f ca="1">'CapexSum$Nom'!O233*O$28*O$17+'CapexSum$FY22'!O233*O$27*O$18</f>
        <v>0</v>
      </c>
      <c r="P233" s="81">
        <f ca="1">'CapexSum$Nom'!P233*P$28*P$17+'CapexSum$FY22'!P233*P$27*P$18</f>
        <v>0</v>
      </c>
      <c r="Q233" s="81">
        <f ca="1">'CapexSum$Nom'!Q233*Q$28*Q$17+'CapexSum$FY22'!Q233*Q$27*Q$18</f>
        <v>0</v>
      </c>
      <c r="R233" s="81">
        <f ca="1">'CapexSum$Nom'!R233*R$28*R$17+'CapexSum$FY22'!R233*R$27*R$18</f>
        <v>0</v>
      </c>
      <c r="S233" s="81">
        <f ca="1">'CapexSum$Nom'!S233*S$28*S$17+'CapexSum$FY22'!S233*S$27*S$18</f>
        <v>0</v>
      </c>
      <c r="T233" s="81">
        <f ca="1">'CapexSum$Nom'!T233*T$28*T$17+'CapexSum$FY22'!T233*T$27*T$18</f>
        <v>0</v>
      </c>
    </row>
    <row r="234" spans="3:20" outlineLevel="1">
      <c r="F234" s="249" t="str">
        <f t="shared" ref="F234" si="16">"Total "&amp;E218</f>
        <v>Total Customer Contributions</v>
      </c>
      <c r="G234" s="249"/>
      <c r="H234" s="249"/>
      <c r="I234" s="249"/>
      <c r="J234" s="82">
        <f t="shared" ref="J234:T234" ca="1" si="17">SUM(J220:J233)</f>
        <v>0</v>
      </c>
      <c r="K234" s="82">
        <f t="shared" ca="1" si="17"/>
        <v>0</v>
      </c>
      <c r="L234" s="82">
        <f t="shared" ca="1" si="17"/>
        <v>0</v>
      </c>
      <c r="M234" s="82">
        <f t="shared" ca="1" si="17"/>
        <v>0</v>
      </c>
      <c r="N234" s="82">
        <f t="shared" ca="1" si="17"/>
        <v>-21315279.423908897</v>
      </c>
      <c r="O234" s="82">
        <f t="shared" ca="1" si="17"/>
        <v>-5328950.2410756778</v>
      </c>
      <c r="P234" s="82">
        <f t="shared" ca="1" si="17"/>
        <v>-8075961.0021513551</v>
      </c>
      <c r="Q234" s="82">
        <f t="shared" ca="1" si="17"/>
        <v>-8225991.6237513544</v>
      </c>
      <c r="R234" s="82">
        <f t="shared" ca="1" si="17"/>
        <v>-8372526.3446013546</v>
      </c>
      <c r="S234" s="82">
        <f t="shared" ca="1" si="17"/>
        <v>-8251065.112451354</v>
      </c>
      <c r="T234" s="82">
        <f t="shared" ca="1" si="17"/>
        <v>-8124900.5215013549</v>
      </c>
    </row>
    <row r="235" spans="3:20" outlineLevel="1">
      <c r="C235" s="12"/>
      <c r="D235" s="12"/>
      <c r="E235" s="12"/>
      <c r="F235" s="12"/>
      <c r="G235" s="12"/>
      <c r="H235" s="12"/>
      <c r="I235" s="12"/>
      <c r="J235" s="12"/>
      <c r="K235" s="12"/>
      <c r="L235" s="12"/>
      <c r="M235" s="12"/>
      <c r="N235" s="12"/>
      <c r="O235" s="12"/>
      <c r="P235" s="12"/>
      <c r="Q235" s="12"/>
      <c r="R235" s="12"/>
      <c r="S235" s="12"/>
      <c r="T235" s="12"/>
    </row>
    <row r="236" spans="3:20" outlineLevel="1"/>
    <row r="237" spans="3:20" outlineLevel="1">
      <c r="D237" s="37" t="str">
        <f>'CapexSum$FY22'!D237</f>
        <v>Tax Category Allocation</v>
      </c>
    </row>
    <row r="238" spans="3:20" ht="5.9" customHeight="1" outlineLevel="1"/>
    <row r="239" spans="3:20" outlineLevel="1">
      <c r="E239" s="37" t="str">
        <f>'CapexSum$FY22'!E239</f>
        <v>Direct Costs</v>
      </c>
    </row>
    <row r="240" spans="3:20" ht="5.9" customHeight="1" outlineLevel="1"/>
    <row r="241" spans="5:20" outlineLevel="1">
      <c r="F241" s="247" t="str">
        <f>GC!C78</f>
        <v>Mains &amp; Services</v>
      </c>
      <c r="G241" s="247"/>
      <c r="H241" s="247"/>
      <c r="I241" s="247"/>
      <c r="J241" s="81">
        <f ca="1">'CapexSum$FY22'!J241*J$27</f>
        <v>0</v>
      </c>
      <c r="K241" s="81">
        <f ca="1">'CapexSum$FY22'!K241*K$27</f>
        <v>0</v>
      </c>
      <c r="L241" s="81">
        <f ca="1">'CapexSum$FY22'!L241*L$27</f>
        <v>0</v>
      </c>
      <c r="M241" s="81">
        <f ca="1">'CapexSum$FY22'!M241*M$27</f>
        <v>0</v>
      </c>
      <c r="N241" s="81">
        <f ca="1">'CapexSum$FY22'!N241*N$27</f>
        <v>69039460.879441366</v>
      </c>
      <c r="O241" s="81">
        <f ca="1">'CapexSum$FY22'!O241*O$27</f>
        <v>46107562.846789837</v>
      </c>
      <c r="P241" s="81">
        <f ca="1">'CapexSum$FY22'!P241*P$27</f>
        <v>73357282.333329558</v>
      </c>
      <c r="Q241" s="81">
        <f ca="1">'CapexSum$FY22'!Q241*Q$27</f>
        <v>72724982.584897667</v>
      </c>
      <c r="R241" s="81">
        <f ca="1">'CapexSum$FY22'!R241*R$27</f>
        <v>72371755.116745502</v>
      </c>
      <c r="S241" s="81">
        <f ca="1">'CapexSum$FY22'!S241*S$27</f>
        <v>71358514.698714882</v>
      </c>
      <c r="T241" s="81">
        <f ca="1">'CapexSum$FY22'!T241*T$27</f>
        <v>61500371.291475572</v>
      </c>
    </row>
    <row r="242" spans="5:20" outlineLevel="1">
      <c r="F242" s="247" t="str">
        <f>GC!C79</f>
        <v>Meters Domestic</v>
      </c>
      <c r="G242" s="247"/>
      <c r="H242" s="247"/>
      <c r="I242" s="247"/>
      <c r="J242" s="81">
        <f ca="1">'CapexSum$FY22'!J242*J$27</f>
        <v>0</v>
      </c>
      <c r="K242" s="81">
        <f ca="1">'CapexSum$FY22'!K242*K$27</f>
        <v>0</v>
      </c>
      <c r="L242" s="81">
        <f ca="1">'CapexSum$FY22'!L242*L$27</f>
        <v>0</v>
      </c>
      <c r="M242" s="81">
        <f ca="1">'CapexSum$FY22'!M242*M$27</f>
        <v>0</v>
      </c>
      <c r="N242" s="81">
        <f ca="1">'CapexSum$FY22'!N242*N$27</f>
        <v>14252742.247428464</v>
      </c>
      <c r="O242" s="81">
        <f ca="1">'CapexSum$FY22'!O242*O$27</f>
        <v>6564302.9109134879</v>
      </c>
      <c r="P242" s="81">
        <f ca="1">'CapexSum$FY22'!P242*P$27</f>
        <v>12454341.778285146</v>
      </c>
      <c r="Q242" s="81">
        <f ca="1">'CapexSum$FY22'!Q242*Q$27</f>
        <v>13602393.330507437</v>
      </c>
      <c r="R242" s="81">
        <f ca="1">'CapexSum$FY22'!R242*R$27</f>
        <v>14130933.311703265</v>
      </c>
      <c r="S242" s="81">
        <f ca="1">'CapexSum$FY22'!S242*S$27</f>
        <v>12540188.912125882</v>
      </c>
      <c r="T242" s="81">
        <f ca="1">'CapexSum$FY22'!T242*T$27</f>
        <v>11979620.25363539</v>
      </c>
    </row>
    <row r="243" spans="5:20" outlineLevel="1">
      <c r="F243" s="247" t="str">
        <f>GC!C80</f>
        <v>Meters Industrial &amp; Commercial</v>
      </c>
      <c r="G243" s="247"/>
      <c r="H243" s="247"/>
      <c r="I243" s="247"/>
      <c r="J243" s="81">
        <f ca="1">'CapexSum$FY22'!J243*J$27</f>
        <v>0</v>
      </c>
      <c r="K243" s="81">
        <f ca="1">'CapexSum$FY22'!K243*K$27</f>
        <v>0</v>
      </c>
      <c r="L243" s="81">
        <f ca="1">'CapexSum$FY22'!L243*L$27</f>
        <v>0</v>
      </c>
      <c r="M243" s="81">
        <f ca="1">'CapexSum$FY22'!M243*M$27</f>
        <v>0</v>
      </c>
      <c r="N243" s="81">
        <f ca="1">'CapexSum$FY22'!N243*N$27</f>
        <v>1770907.3540634871</v>
      </c>
      <c r="O243" s="81">
        <f ca="1">'CapexSum$FY22'!O243*O$27</f>
        <v>1772705.3967290134</v>
      </c>
      <c r="P243" s="81">
        <f ca="1">'CapexSum$FY22'!P243*P$27</f>
        <v>3043850.019813478</v>
      </c>
      <c r="Q243" s="81">
        <f ca="1">'CapexSum$FY22'!Q243*Q$27</f>
        <v>3245632.7816454293</v>
      </c>
      <c r="R243" s="81">
        <f ca="1">'CapexSum$FY22'!R243*R$27</f>
        <v>3538685.053578814</v>
      </c>
      <c r="S243" s="81">
        <f ca="1">'CapexSum$FY22'!S243*S$27</f>
        <v>3407274.8543386124</v>
      </c>
      <c r="T243" s="81">
        <f ca="1">'CapexSum$FY22'!T243*T$27</f>
        <v>2954317.086412563</v>
      </c>
    </row>
    <row r="244" spans="5:20" outlineLevel="1">
      <c r="F244" s="247" t="str">
        <f>GC!C81</f>
        <v>Buildings</v>
      </c>
      <c r="G244" s="247"/>
      <c r="H244" s="247"/>
      <c r="I244" s="247"/>
      <c r="J244" s="81">
        <f ca="1">'CapexSum$FY22'!J244*J$27</f>
        <v>0</v>
      </c>
      <c r="K244" s="81">
        <f ca="1">'CapexSum$FY22'!K244*K$27</f>
        <v>0</v>
      </c>
      <c r="L244" s="81">
        <f ca="1">'CapexSum$FY22'!L244*L$27</f>
        <v>0</v>
      </c>
      <c r="M244" s="81">
        <f ca="1">'CapexSum$FY22'!M244*M$27</f>
        <v>0</v>
      </c>
      <c r="N244" s="81">
        <f ca="1">'CapexSum$FY22'!N244*N$27</f>
        <v>0</v>
      </c>
      <c r="O244" s="81">
        <f ca="1">'CapexSum$FY22'!O244*O$27</f>
        <v>0</v>
      </c>
      <c r="P244" s="81">
        <f ca="1">'CapexSum$FY22'!P244*P$27</f>
        <v>0</v>
      </c>
      <c r="Q244" s="81">
        <f ca="1">'CapexSum$FY22'!Q244*Q$27</f>
        <v>0</v>
      </c>
      <c r="R244" s="81">
        <f ca="1">'CapexSum$FY22'!R244*R$27</f>
        <v>0</v>
      </c>
      <c r="S244" s="81">
        <f ca="1">'CapexSum$FY22'!S244*S$27</f>
        <v>0</v>
      </c>
      <c r="T244" s="81">
        <f ca="1">'CapexSum$FY22'!T244*T$27</f>
        <v>0</v>
      </c>
    </row>
    <row r="245" spans="5:20" outlineLevel="1">
      <c r="F245" s="247" t="str">
        <f>GC!C82</f>
        <v>Other Assets</v>
      </c>
      <c r="G245" s="247"/>
      <c r="H245" s="247"/>
      <c r="I245" s="247"/>
      <c r="J245" s="81">
        <f ca="1">'CapexSum$FY22'!J245*J$27</f>
        <v>0</v>
      </c>
      <c r="K245" s="81">
        <f ca="1">'CapexSum$FY22'!K245*K$27</f>
        <v>0</v>
      </c>
      <c r="L245" s="81">
        <f ca="1">'CapexSum$FY22'!L245*L$27</f>
        <v>0</v>
      </c>
      <c r="M245" s="81">
        <f ca="1">'CapexSum$FY22'!M245*M$27</f>
        <v>0</v>
      </c>
      <c r="N245" s="81">
        <f ca="1">'CapexSum$FY22'!N245*N$27</f>
        <v>18783821.330918036</v>
      </c>
      <c r="O245" s="81">
        <f ca="1">'CapexSum$FY22'!O245*O$27</f>
        <v>6881157.3524958948</v>
      </c>
      <c r="P245" s="81">
        <f ca="1">'CapexSum$FY22'!P245*P$27</f>
        <v>25951993.105174739</v>
      </c>
      <c r="Q245" s="81">
        <f ca="1">'CapexSum$FY22'!Q245*Q$27</f>
        <v>29589068.780224863</v>
      </c>
      <c r="R245" s="81">
        <f ca="1">'CapexSum$FY22'!R245*R$27</f>
        <v>26530871.405913644</v>
      </c>
      <c r="S245" s="81">
        <f ca="1">'CapexSum$FY22'!S245*S$27</f>
        <v>16449287.225116856</v>
      </c>
      <c r="T245" s="81">
        <f ca="1">'CapexSum$FY22'!T245*T$27</f>
        <v>17289164.940720338</v>
      </c>
    </row>
    <row r="246" spans="5:20" outlineLevel="1">
      <c r="F246" s="247" t="str">
        <f>GC!C83</f>
        <v>Repairs</v>
      </c>
      <c r="G246" s="247"/>
      <c r="H246" s="247"/>
      <c r="I246" s="247"/>
      <c r="J246" s="81">
        <f ca="1">'CapexSum$FY22'!J246*J$27</f>
        <v>0</v>
      </c>
      <c r="K246" s="81">
        <f ca="1">'CapexSum$FY22'!K246*K$27</f>
        <v>0</v>
      </c>
      <c r="L246" s="81">
        <f ca="1">'CapexSum$FY22'!L246*L$27</f>
        <v>0</v>
      </c>
      <c r="M246" s="81">
        <f ca="1">'CapexSum$FY22'!M246*M$27</f>
        <v>0</v>
      </c>
      <c r="N246" s="81">
        <f ca="1">'CapexSum$FY22'!N246*N$27</f>
        <v>0</v>
      </c>
      <c r="O246" s="81">
        <f ca="1">'CapexSum$FY22'!O246*O$27</f>
        <v>0</v>
      </c>
      <c r="P246" s="81">
        <f ca="1">'CapexSum$FY22'!P246*P$27</f>
        <v>0</v>
      </c>
      <c r="Q246" s="81">
        <f ca="1">'CapexSum$FY22'!Q246*Q$27</f>
        <v>0</v>
      </c>
      <c r="R246" s="81">
        <f ca="1">'CapexSum$FY22'!R246*R$27</f>
        <v>0</v>
      </c>
      <c r="S246" s="81">
        <f ca="1">'CapexSum$FY22'!S246*S$27</f>
        <v>0</v>
      </c>
      <c r="T246" s="81">
        <f ca="1">'CapexSum$FY22'!T246*T$27</f>
        <v>0</v>
      </c>
    </row>
    <row r="247" spans="5:20" outlineLevel="1">
      <c r="F247" s="247" t="str">
        <f>GC!C84</f>
        <v>Land</v>
      </c>
      <c r="G247" s="247"/>
      <c r="H247" s="247"/>
      <c r="I247" s="247"/>
      <c r="J247" s="81">
        <f ca="1">'CapexSum$FY22'!J247*J$27</f>
        <v>0</v>
      </c>
      <c r="K247" s="81">
        <f ca="1">'CapexSum$FY22'!K247*K$27</f>
        <v>0</v>
      </c>
      <c r="L247" s="81">
        <f ca="1">'CapexSum$FY22'!L247*L$27</f>
        <v>0</v>
      </c>
      <c r="M247" s="81">
        <f ca="1">'CapexSum$FY22'!M247*M$27</f>
        <v>0</v>
      </c>
      <c r="N247" s="81">
        <f ca="1">'CapexSum$FY22'!N247*N$27</f>
        <v>0</v>
      </c>
      <c r="O247" s="81">
        <f ca="1">'CapexSum$FY22'!O247*O$27</f>
        <v>0</v>
      </c>
      <c r="P247" s="81">
        <f ca="1">'CapexSum$FY22'!P247*P$27</f>
        <v>0</v>
      </c>
      <c r="Q247" s="81">
        <f ca="1">'CapexSum$FY22'!Q247*Q$27</f>
        <v>0</v>
      </c>
      <c r="R247" s="81">
        <f ca="1">'CapexSum$FY22'!R247*R$27</f>
        <v>0</v>
      </c>
      <c r="S247" s="81">
        <f ca="1">'CapexSum$FY22'!S247*S$27</f>
        <v>0</v>
      </c>
      <c r="T247" s="81">
        <f ca="1">'CapexSum$FY22'!T247*T$27</f>
        <v>0</v>
      </c>
    </row>
    <row r="248" spans="5:20" outlineLevel="1">
      <c r="F248" s="249" t="s">
        <v>312</v>
      </c>
      <c r="G248" s="249"/>
      <c r="H248" s="249"/>
      <c r="I248" s="249"/>
      <c r="J248" s="82">
        <f t="shared" ref="J248:T248" ca="1" si="18">SUM(J241:J247)</f>
        <v>0</v>
      </c>
      <c r="K248" s="82">
        <f t="shared" ca="1" si="18"/>
        <v>0</v>
      </c>
      <c r="L248" s="82">
        <f t="shared" ca="1" si="18"/>
        <v>0</v>
      </c>
      <c r="M248" s="82">
        <f t="shared" ca="1" si="18"/>
        <v>0</v>
      </c>
      <c r="N248" s="82">
        <f t="shared" ca="1" si="18"/>
        <v>103846931.81185135</v>
      </c>
      <c r="O248" s="82">
        <f t="shared" ca="1" si="18"/>
        <v>61325728.506928235</v>
      </c>
      <c r="P248" s="82">
        <f t="shared" ca="1" si="18"/>
        <v>114807467.23660292</v>
      </c>
      <c r="Q248" s="82">
        <f t="shared" ca="1" si="18"/>
        <v>119162077.4772754</v>
      </c>
      <c r="R248" s="82">
        <f t="shared" ca="1" si="18"/>
        <v>116572244.88794121</v>
      </c>
      <c r="S248" s="82">
        <f t="shared" ca="1" si="18"/>
        <v>103755265.69029623</v>
      </c>
      <c r="T248" s="82">
        <f t="shared" ca="1" si="18"/>
        <v>93723473.572243854</v>
      </c>
    </row>
    <row r="249" spans="5:20" outlineLevel="1"/>
    <row r="250" spans="5:20" outlineLevel="1">
      <c r="E250" s="37" t="str">
        <f>'CapexSum$FY22'!E250</f>
        <v>Direct Costs + Overheads</v>
      </c>
    </row>
    <row r="251" spans="5:20" ht="5.9" customHeight="1" outlineLevel="1"/>
    <row r="252" spans="5:20" outlineLevel="1">
      <c r="F252" s="247" t="str">
        <f>GC!C78</f>
        <v>Mains &amp; Services</v>
      </c>
      <c r="G252" s="247"/>
      <c r="H252" s="247"/>
      <c r="I252" s="247"/>
      <c r="J252" s="81">
        <f ca="1">'CapexSum$FY22'!J252*J$27</f>
        <v>0</v>
      </c>
      <c r="K252" s="81">
        <f ca="1">'CapexSum$FY22'!K252*K$27</f>
        <v>0</v>
      </c>
      <c r="L252" s="81">
        <f ca="1">'CapexSum$FY22'!L252*L$27</f>
        <v>0</v>
      </c>
      <c r="M252" s="81">
        <f ca="1">'CapexSum$FY22'!M252*M$27</f>
        <v>0</v>
      </c>
      <c r="N252" s="81">
        <f ca="1">'CapexSum$FY22'!N252*N$27</f>
        <v>71643008.498379961</v>
      </c>
      <c r="O252" s="81">
        <f ca="1">'CapexSum$FY22'!O252*O$27</f>
        <v>47642205.541770339</v>
      </c>
      <c r="P252" s="81">
        <f ca="1">'CapexSum$FY22'!P252*P$27</f>
        <v>75319784.803782091</v>
      </c>
      <c r="Q252" s="81">
        <f ca="1">'CapexSum$FY22'!Q252*Q$27</f>
        <v>74620238.346005455</v>
      </c>
      <c r="R252" s="81">
        <f ca="1">'CapexSum$FY22'!R252*R$27</f>
        <v>74316601.725329995</v>
      </c>
      <c r="S252" s="81">
        <f ca="1">'CapexSum$FY22'!S252*S$27</f>
        <v>73395527.627348155</v>
      </c>
      <c r="T252" s="81">
        <f ca="1">'CapexSum$FY22'!T252*T$27</f>
        <v>63340485.660183668</v>
      </c>
    </row>
    <row r="253" spans="5:20" outlineLevel="1">
      <c r="F253" s="247" t="str">
        <f>GC!C79</f>
        <v>Meters Domestic</v>
      </c>
      <c r="G253" s="247"/>
      <c r="H253" s="247"/>
      <c r="I253" s="247"/>
      <c r="J253" s="81">
        <f ca="1">'CapexSum$FY22'!J253*J$27</f>
        <v>0</v>
      </c>
      <c r="K253" s="81">
        <f ca="1">'CapexSum$FY22'!K253*K$27</f>
        <v>0</v>
      </c>
      <c r="L253" s="81">
        <f ca="1">'CapexSum$FY22'!L253*L$27</f>
        <v>0</v>
      </c>
      <c r="M253" s="81">
        <f ca="1">'CapexSum$FY22'!M253*M$27</f>
        <v>0</v>
      </c>
      <c r="N253" s="81">
        <f ca="1">'CapexSum$FY22'!N253*N$27</f>
        <v>14790227.515548334</v>
      </c>
      <c r="O253" s="81">
        <f ca="1">'CapexSum$FY22'!O253*O$27</f>
        <v>6782788.9658660544</v>
      </c>
      <c r="P253" s="81">
        <f ca="1">'CapexSum$FY22'!P253*P$27</f>
        <v>12787528.555798026</v>
      </c>
      <c r="Q253" s="81">
        <f ca="1">'CapexSum$FY22'!Q253*Q$27</f>
        <v>13956879.690052496</v>
      </c>
      <c r="R253" s="81">
        <f ca="1">'CapexSum$FY22'!R253*R$27</f>
        <v>14510673.967198862</v>
      </c>
      <c r="S253" s="81">
        <f ca="1">'CapexSum$FY22'!S253*S$27</f>
        <v>12898163.388603654</v>
      </c>
      <c r="T253" s="81">
        <f ca="1">'CapexSum$FY22'!T253*T$27</f>
        <v>12338055.022360701</v>
      </c>
    </row>
    <row r="254" spans="5:20" outlineLevel="1">
      <c r="F254" s="247" t="str">
        <f>GC!C80</f>
        <v>Meters Industrial &amp; Commercial</v>
      </c>
      <c r="G254" s="247"/>
      <c r="H254" s="247"/>
      <c r="I254" s="247"/>
      <c r="J254" s="81">
        <f ca="1">'CapexSum$FY22'!J254*J$27</f>
        <v>0</v>
      </c>
      <c r="K254" s="81">
        <f ca="1">'CapexSum$FY22'!K254*K$27</f>
        <v>0</v>
      </c>
      <c r="L254" s="81">
        <f ca="1">'CapexSum$FY22'!L254*L$27</f>
        <v>0</v>
      </c>
      <c r="M254" s="81">
        <f ca="1">'CapexSum$FY22'!M254*M$27</f>
        <v>0</v>
      </c>
      <c r="N254" s="81">
        <f ca="1">'CapexSum$FY22'!N254*N$27</f>
        <v>1837690.0543670724</v>
      </c>
      <c r="O254" s="81">
        <f ca="1">'CapexSum$FY22'!O254*O$27</f>
        <v>1831708.0682968535</v>
      </c>
      <c r="P254" s="81">
        <f ca="1">'CapexSum$FY22'!P254*P$27</f>
        <v>3125281.1060473919</v>
      </c>
      <c r="Q254" s="81">
        <f ca="1">'CapexSum$FY22'!Q254*Q$27</f>
        <v>3330215.8782542571</v>
      </c>
      <c r="R254" s="81">
        <f ca="1">'CapexSum$FY22'!R254*R$27</f>
        <v>3633780.1582118236</v>
      </c>
      <c r="S254" s="81">
        <f ca="1">'CapexSum$FY22'!S254*S$27</f>
        <v>3504539.5319877914</v>
      </c>
      <c r="T254" s="81">
        <f ca="1">'CapexSum$FY22'!T254*T$27</f>
        <v>3042711.3709716401</v>
      </c>
    </row>
    <row r="255" spans="5:20" outlineLevel="1">
      <c r="F255" s="247" t="str">
        <f>GC!C81</f>
        <v>Buildings</v>
      </c>
      <c r="G255" s="247"/>
      <c r="H255" s="247"/>
      <c r="I255" s="247"/>
      <c r="J255" s="81">
        <f ca="1">'CapexSum$FY22'!J255*J$27</f>
        <v>0</v>
      </c>
      <c r="K255" s="81">
        <f ca="1">'CapexSum$FY22'!K255*K$27</f>
        <v>0</v>
      </c>
      <c r="L255" s="81">
        <f ca="1">'CapexSum$FY22'!L255*L$27</f>
        <v>0</v>
      </c>
      <c r="M255" s="81">
        <f ca="1">'CapexSum$FY22'!M255*M$27</f>
        <v>0</v>
      </c>
      <c r="N255" s="81">
        <f ca="1">'CapexSum$FY22'!N255*N$27</f>
        <v>0</v>
      </c>
      <c r="O255" s="81">
        <f ca="1">'CapexSum$FY22'!O255*O$27</f>
        <v>0</v>
      </c>
      <c r="P255" s="81">
        <f ca="1">'CapexSum$FY22'!P255*P$27</f>
        <v>0</v>
      </c>
      <c r="Q255" s="81">
        <f ca="1">'CapexSum$FY22'!Q255*Q$27</f>
        <v>0</v>
      </c>
      <c r="R255" s="81">
        <f ca="1">'CapexSum$FY22'!R255*R$27</f>
        <v>0</v>
      </c>
      <c r="S255" s="81">
        <f ca="1">'CapexSum$FY22'!S255*S$27</f>
        <v>0</v>
      </c>
      <c r="T255" s="81">
        <f ca="1">'CapexSum$FY22'!T255*T$27</f>
        <v>0</v>
      </c>
    </row>
    <row r="256" spans="5:20" outlineLevel="1">
      <c r="F256" s="247" t="str">
        <f>GC!C82</f>
        <v>Other Assets</v>
      </c>
      <c r="G256" s="247"/>
      <c r="H256" s="247"/>
      <c r="I256" s="247"/>
      <c r="J256" s="81">
        <f ca="1">'CapexSum$FY22'!J256*J$27</f>
        <v>0</v>
      </c>
      <c r="K256" s="81">
        <f ca="1">'CapexSum$FY22'!K256*K$27</f>
        <v>0</v>
      </c>
      <c r="L256" s="81">
        <f ca="1">'CapexSum$FY22'!L256*L$27</f>
        <v>0</v>
      </c>
      <c r="M256" s="81">
        <f ca="1">'CapexSum$FY22'!M256*M$27</f>
        <v>0</v>
      </c>
      <c r="N256" s="81">
        <f ca="1">'CapexSum$FY22'!N256*N$27</f>
        <v>19728843.545797274</v>
      </c>
      <c r="O256" s="81">
        <f ca="1">'CapexSum$FY22'!O256*O$27</f>
        <v>7241037.8601791831</v>
      </c>
      <c r="P256" s="81">
        <f ca="1">'CapexSum$FY22'!P256*P$27</f>
        <v>26580172.503856108</v>
      </c>
      <c r="Q256" s="81">
        <f ca="1">'CapexSum$FY22'!Q256*Q$27</f>
        <v>30242837.55749866</v>
      </c>
      <c r="R256" s="81">
        <f ca="1">'CapexSum$FY22'!R256*R$27</f>
        <v>27078941.282253634</v>
      </c>
      <c r="S256" s="81">
        <f ca="1">'CapexSum$FY22'!S256*S$27</f>
        <v>16996717.061224427</v>
      </c>
      <c r="T256" s="81">
        <f ca="1">'CapexSum$FY22'!T256*T$27</f>
        <v>17947433.47264928</v>
      </c>
    </row>
    <row r="257" spans="3:20" outlineLevel="1">
      <c r="F257" s="247" t="str">
        <f>GC!C83</f>
        <v>Repairs</v>
      </c>
      <c r="G257" s="247"/>
      <c r="H257" s="247"/>
      <c r="I257" s="247"/>
      <c r="J257" s="81">
        <f ca="1">'CapexSum$FY22'!J257*J$27</f>
        <v>0</v>
      </c>
      <c r="K257" s="81">
        <f ca="1">'CapexSum$FY22'!K257*K$27</f>
        <v>0</v>
      </c>
      <c r="L257" s="81">
        <f ca="1">'CapexSum$FY22'!L257*L$27</f>
        <v>0</v>
      </c>
      <c r="M257" s="81">
        <f ca="1">'CapexSum$FY22'!M257*M$27</f>
        <v>0</v>
      </c>
      <c r="N257" s="81">
        <f ca="1">'CapexSum$FY22'!N257*N$27</f>
        <v>0</v>
      </c>
      <c r="O257" s="81">
        <f ca="1">'CapexSum$FY22'!O257*O$27</f>
        <v>0</v>
      </c>
      <c r="P257" s="81">
        <f ca="1">'CapexSum$FY22'!P257*P$27</f>
        <v>0</v>
      </c>
      <c r="Q257" s="81">
        <f ca="1">'CapexSum$FY22'!Q257*Q$27</f>
        <v>0</v>
      </c>
      <c r="R257" s="81">
        <f ca="1">'CapexSum$FY22'!R257*R$27</f>
        <v>0</v>
      </c>
      <c r="S257" s="81">
        <f ca="1">'CapexSum$FY22'!S257*S$27</f>
        <v>0</v>
      </c>
      <c r="T257" s="81">
        <f ca="1">'CapexSum$FY22'!T257*T$27</f>
        <v>0</v>
      </c>
    </row>
    <row r="258" spans="3:20" outlineLevel="1">
      <c r="F258" s="247" t="str">
        <f>GC!C84</f>
        <v>Land</v>
      </c>
      <c r="G258" s="247"/>
      <c r="H258" s="247"/>
      <c r="I258" s="247"/>
      <c r="J258" s="81">
        <f ca="1">'CapexSum$FY22'!J258*J$27</f>
        <v>0</v>
      </c>
      <c r="K258" s="81">
        <f ca="1">'CapexSum$FY22'!K258*K$27</f>
        <v>0</v>
      </c>
      <c r="L258" s="81">
        <f ca="1">'CapexSum$FY22'!L258*L$27</f>
        <v>0</v>
      </c>
      <c r="M258" s="81">
        <f ca="1">'CapexSum$FY22'!M258*M$27</f>
        <v>0</v>
      </c>
      <c r="N258" s="81">
        <f ca="1">'CapexSum$FY22'!N258*N$27</f>
        <v>0</v>
      </c>
      <c r="O258" s="81">
        <f ca="1">'CapexSum$FY22'!O258*O$27</f>
        <v>0</v>
      </c>
      <c r="P258" s="81">
        <f ca="1">'CapexSum$FY22'!P258*P$27</f>
        <v>0</v>
      </c>
      <c r="Q258" s="81">
        <f ca="1">'CapexSum$FY22'!Q258*Q$27</f>
        <v>0</v>
      </c>
      <c r="R258" s="81">
        <f ca="1">'CapexSum$FY22'!R258*R$27</f>
        <v>0</v>
      </c>
      <c r="S258" s="81">
        <f ca="1">'CapexSum$FY22'!S258*S$27</f>
        <v>0</v>
      </c>
      <c r="T258" s="81">
        <f ca="1">'CapexSum$FY22'!T258*T$27</f>
        <v>0</v>
      </c>
    </row>
    <row r="259" spans="3:20" outlineLevel="1">
      <c r="F259" s="249" t="s">
        <v>312</v>
      </c>
      <c r="G259" s="249"/>
      <c r="H259" s="249"/>
      <c r="I259" s="249"/>
      <c r="J259" s="82">
        <f t="shared" ref="J259:T259" ca="1" si="19">SUM(J252:J258)</f>
        <v>0</v>
      </c>
      <c r="K259" s="82">
        <f t="shared" ca="1" si="19"/>
        <v>0</v>
      </c>
      <c r="L259" s="82">
        <f t="shared" ca="1" si="19"/>
        <v>0</v>
      </c>
      <c r="M259" s="82">
        <f t="shared" ca="1" si="19"/>
        <v>0</v>
      </c>
      <c r="N259" s="82">
        <f t="shared" ca="1" si="19"/>
        <v>107999769.61409263</v>
      </c>
      <c r="O259" s="82">
        <f t="shared" ca="1" si="19"/>
        <v>63497740.436112434</v>
      </c>
      <c r="P259" s="82">
        <f t="shared" ca="1" si="19"/>
        <v>117812766.96948361</v>
      </c>
      <c r="Q259" s="82">
        <f t="shared" ca="1" si="19"/>
        <v>122150171.47181088</v>
      </c>
      <c r="R259" s="82">
        <f t="shared" ca="1" si="19"/>
        <v>119539997.13299432</v>
      </c>
      <c r="S259" s="82">
        <f t="shared" ca="1" si="19"/>
        <v>106794947.60916403</v>
      </c>
      <c r="T259" s="82">
        <f t="shared" ca="1" si="19"/>
        <v>96668685.526165277</v>
      </c>
    </row>
    <row r="260" spans="3:20" outlineLevel="1">
      <c r="C260" s="12"/>
      <c r="D260" s="12"/>
      <c r="E260" s="12"/>
      <c r="F260" s="12"/>
      <c r="G260" s="12"/>
      <c r="H260" s="12"/>
      <c r="I260" s="12"/>
      <c r="J260" s="12"/>
      <c r="K260" s="12"/>
      <c r="L260" s="12"/>
      <c r="M260" s="12"/>
      <c r="N260" s="12"/>
      <c r="O260" s="12"/>
      <c r="P260" s="12"/>
      <c r="Q260" s="12"/>
      <c r="R260" s="12"/>
      <c r="S260" s="12"/>
      <c r="T260" s="12"/>
    </row>
    <row r="261" spans="3:20" outlineLevel="1"/>
    <row r="262" spans="3:20" outlineLevel="1">
      <c r="D262" s="37" t="s">
        <v>19</v>
      </c>
    </row>
    <row r="263" spans="3:20" ht="5.9" customHeight="1" outlineLevel="1"/>
    <row r="264" spans="3:20" outlineLevel="1">
      <c r="F264" s="51" t="s">
        <v>349</v>
      </c>
      <c r="J264" s="81">
        <f t="shared" ref="J264:T264" ca="1" si="20">J94-J117</f>
        <v>-106388363.8110346</v>
      </c>
      <c r="K264" s="81">
        <f t="shared" ca="1" si="20"/>
        <v>-120512842.65043168</v>
      </c>
      <c r="L264" s="81">
        <f t="shared" ca="1" si="20"/>
        <v>-104453023.7327673</v>
      </c>
      <c r="M264" s="81">
        <f t="shared" ca="1" si="20"/>
        <v>-115923108.53750041</v>
      </c>
      <c r="N264" s="81">
        <f t="shared" ca="1" si="20"/>
        <v>0</v>
      </c>
      <c r="O264" s="81">
        <f t="shared" ca="1" si="20"/>
        <v>0</v>
      </c>
      <c r="P264" s="81">
        <f t="shared" ca="1" si="20"/>
        <v>0</v>
      </c>
      <c r="Q264" s="81">
        <f t="shared" ca="1" si="20"/>
        <v>0</v>
      </c>
      <c r="R264" s="81">
        <f t="shared" ca="1" si="20"/>
        <v>0</v>
      </c>
      <c r="S264" s="81">
        <f t="shared" ca="1" si="20"/>
        <v>0</v>
      </c>
      <c r="T264" s="81">
        <f t="shared" ca="1" si="20"/>
        <v>0</v>
      </c>
    </row>
    <row r="265" spans="3:20" outlineLevel="1">
      <c r="F265" s="51" t="s">
        <v>350</v>
      </c>
      <c r="J265" s="81">
        <f t="shared" ref="J265:T265" ca="1" si="21">J94-J198</f>
        <v>-106388363.81103463</v>
      </c>
      <c r="K265" s="81">
        <f t="shared" ca="1" si="21"/>
        <v>-119431212.12153316</v>
      </c>
      <c r="L265" s="81">
        <f t="shared" ca="1" si="21"/>
        <v>-106459942.72697532</v>
      </c>
      <c r="M265" s="81">
        <f t="shared" ca="1" si="21"/>
        <v>-116087358.01363103</v>
      </c>
      <c r="N265" s="81">
        <f t="shared" ca="1" si="21"/>
        <v>0</v>
      </c>
      <c r="O265" s="81">
        <f t="shared" ca="1" si="21"/>
        <v>0</v>
      </c>
      <c r="P265" s="81">
        <f t="shared" ca="1" si="21"/>
        <v>0</v>
      </c>
      <c r="Q265" s="81">
        <f t="shared" ca="1" si="21"/>
        <v>0</v>
      </c>
      <c r="R265" s="81">
        <f t="shared" ca="1" si="21"/>
        <v>0</v>
      </c>
      <c r="S265" s="81">
        <f t="shared" ca="1" si="21"/>
        <v>0</v>
      </c>
      <c r="T265" s="81">
        <f t="shared" ca="1" si="21"/>
        <v>0</v>
      </c>
    </row>
    <row r="266" spans="3:20" outlineLevel="1">
      <c r="F266" s="51" t="s">
        <v>351</v>
      </c>
      <c r="J266" s="81">
        <f t="shared" ref="J266:T266" ca="1" si="22">J94-J248</f>
        <v>0</v>
      </c>
      <c r="K266" s="81">
        <f t="shared" ca="1" si="22"/>
        <v>0</v>
      </c>
      <c r="L266" s="81">
        <f t="shared" ca="1" si="22"/>
        <v>0</v>
      </c>
      <c r="M266" s="81">
        <f t="shared" ca="1" si="22"/>
        <v>0</v>
      </c>
      <c r="N266" s="81">
        <f t="shared" ca="1" si="22"/>
        <v>0</v>
      </c>
      <c r="O266" s="81">
        <f t="shared" ca="1" si="22"/>
        <v>0</v>
      </c>
      <c r="P266" s="81">
        <f t="shared" ca="1" si="22"/>
        <v>0</v>
      </c>
      <c r="Q266" s="81">
        <f t="shared" ca="1" si="22"/>
        <v>0</v>
      </c>
      <c r="R266" s="81">
        <f t="shared" ca="1" si="22"/>
        <v>0</v>
      </c>
      <c r="S266" s="81">
        <f t="shared" ca="1" si="22"/>
        <v>0</v>
      </c>
      <c r="T266" s="81">
        <f t="shared" ca="1" si="22"/>
        <v>0</v>
      </c>
    </row>
    <row r="267" spans="3:20" ht="5.9" customHeight="1" outlineLevel="1"/>
    <row r="268" spans="3:20" outlineLevel="1">
      <c r="F268" s="51" t="s">
        <v>352</v>
      </c>
      <c r="J268" s="81">
        <f t="shared" ref="J268:T268" ca="1" si="23">J157-J216</f>
        <v>0</v>
      </c>
      <c r="K268" s="81">
        <f t="shared" ca="1" si="23"/>
        <v>0</v>
      </c>
      <c r="L268" s="81">
        <f t="shared" ca="1" si="23"/>
        <v>-2006918.9942080528</v>
      </c>
      <c r="M268" s="81">
        <f t="shared" ca="1" si="23"/>
        <v>-164249.47613058984</v>
      </c>
      <c r="N268" s="81">
        <f t="shared" ca="1" si="23"/>
        <v>0</v>
      </c>
      <c r="O268" s="81">
        <f t="shared" ca="1" si="23"/>
        <v>0</v>
      </c>
      <c r="P268" s="81">
        <f t="shared" ca="1" si="23"/>
        <v>0</v>
      </c>
      <c r="Q268" s="81">
        <f t="shared" ca="1" si="23"/>
        <v>0</v>
      </c>
      <c r="R268" s="81">
        <f t="shared" ca="1" si="23"/>
        <v>0</v>
      </c>
      <c r="S268" s="81">
        <f t="shared" ca="1" si="23"/>
        <v>0</v>
      </c>
      <c r="T268" s="81">
        <f t="shared" ca="1" si="23"/>
        <v>0</v>
      </c>
    </row>
    <row r="269" spans="3:20" outlineLevel="1">
      <c r="F269" s="51" t="s">
        <v>353</v>
      </c>
      <c r="J269" s="81">
        <f t="shared" ref="J269:T269" ca="1" si="24">J157-J259</f>
        <v>112418004.62774144</v>
      </c>
      <c r="K269" s="81">
        <f t="shared" ca="1" si="24"/>
        <v>124329951.24483027</v>
      </c>
      <c r="L269" s="81">
        <f t="shared" ca="1" si="24"/>
        <v>108388716.00493611</v>
      </c>
      <c r="M269" s="81">
        <f t="shared" ca="1" si="24"/>
        <v>119221761.62679081</v>
      </c>
      <c r="N269" s="81">
        <f t="shared" ca="1" si="24"/>
        <v>0</v>
      </c>
      <c r="O269" s="81">
        <f t="shared" ca="1" si="24"/>
        <v>0</v>
      </c>
      <c r="P269" s="81">
        <f t="shared" ca="1" si="24"/>
        <v>0</v>
      </c>
      <c r="Q269" s="81">
        <f t="shared" ca="1" si="24"/>
        <v>0</v>
      </c>
      <c r="R269" s="81">
        <f t="shared" ca="1" si="24"/>
        <v>0</v>
      </c>
      <c r="S269" s="81">
        <f t="shared" ca="1" si="24"/>
        <v>0</v>
      </c>
      <c r="T269" s="81">
        <f t="shared" ca="1" si="24"/>
        <v>0</v>
      </c>
    </row>
    <row r="270" spans="3:20" outlineLevel="1"/>
    <row r="271" spans="3:20" outlineLevel="1"/>
    <row r="272" spans="3:20" outlineLevel="1"/>
    <row r="273" outlineLevel="1"/>
    <row r="274" outlineLevel="1"/>
    <row r="275" outlineLevel="1"/>
    <row r="276" outlineLevel="1"/>
    <row r="277" outlineLevel="1"/>
    <row r="278" outlineLevel="1"/>
    <row r="279" outlineLevel="1"/>
    <row r="280" outlineLevel="1"/>
    <row r="281" outlineLevel="1"/>
    <row r="282" outlineLevel="1"/>
    <row r="283" outlineLevel="1"/>
    <row r="284" outlineLevel="1"/>
    <row r="285" outlineLevel="1"/>
    <row r="286" outlineLevel="1"/>
    <row r="287" outlineLevel="1"/>
    <row r="288" outlineLevel="1"/>
    <row r="289" outlineLevel="1"/>
    <row r="290" outlineLevel="1"/>
    <row r="291" outlineLevel="1"/>
    <row r="292" outlineLevel="1"/>
    <row r="293" outlineLevel="1"/>
    <row r="294" outlineLevel="1"/>
    <row r="295" outlineLevel="1"/>
    <row r="296" outlineLevel="1"/>
    <row r="297" outlineLevel="1"/>
    <row r="298" outlineLevel="1"/>
    <row r="299" outlineLevel="1"/>
    <row r="300" outlineLevel="1"/>
    <row r="301" outlineLevel="1"/>
    <row r="302" outlineLevel="1"/>
    <row r="303" outlineLevel="1"/>
    <row r="304" outlineLevel="1"/>
    <row r="305" outlineLevel="1"/>
    <row r="306" outlineLevel="1"/>
    <row r="307" outlineLevel="1"/>
    <row r="308" outlineLevel="1"/>
    <row r="309" outlineLevel="1"/>
    <row r="310" outlineLevel="1"/>
    <row r="311" outlineLevel="1"/>
    <row r="312" outlineLevel="1"/>
    <row r="313" outlineLevel="1"/>
    <row r="314" outlineLevel="1"/>
    <row r="315" outlineLevel="1"/>
    <row r="316" outlineLevel="1"/>
    <row r="317" outlineLevel="1"/>
    <row r="318" outlineLevel="1"/>
    <row r="319" outlineLevel="1"/>
    <row r="320" outlineLevel="1"/>
    <row r="321" outlineLevel="1"/>
    <row r="322" outlineLevel="1"/>
    <row r="323" outlineLevel="1"/>
    <row r="324" outlineLevel="1"/>
    <row r="325" outlineLevel="1"/>
    <row r="326" outlineLevel="1"/>
    <row r="327" outlineLevel="1"/>
    <row r="328" outlineLevel="1"/>
    <row r="329" outlineLevel="1"/>
    <row r="330" outlineLevel="1"/>
    <row r="331" outlineLevel="1"/>
  </sheetData>
  <mergeCells count="131">
    <mergeCell ref="F226:I226"/>
    <mergeCell ref="F227:I227"/>
    <mergeCell ref="F228:I228"/>
    <mergeCell ref="F229:I229"/>
    <mergeCell ref="F230:I230"/>
    <mergeCell ref="F231:I231"/>
    <mergeCell ref="F232:I232"/>
    <mergeCell ref="F233:I233"/>
    <mergeCell ref="F62:I62"/>
    <mergeCell ref="F94:I94"/>
    <mergeCell ref="F117:I117"/>
    <mergeCell ref="F101:I101"/>
    <mergeCell ref="F102:I102"/>
    <mergeCell ref="F103:I103"/>
    <mergeCell ref="F104:I104"/>
    <mergeCell ref="F105:I105"/>
    <mergeCell ref="F106:I106"/>
    <mergeCell ref="F107:I107"/>
    <mergeCell ref="F108:I108"/>
    <mergeCell ref="F109:I109"/>
    <mergeCell ref="F110:I110"/>
    <mergeCell ref="F111:I111"/>
    <mergeCell ref="F112:I112"/>
    <mergeCell ref="F113:I113"/>
    <mergeCell ref="F114:I114"/>
    <mergeCell ref="F115:I115"/>
    <mergeCell ref="F116:I116"/>
    <mergeCell ref="F121:I121"/>
    <mergeCell ref="F127:I127"/>
    <mergeCell ref="F128:I128"/>
    <mergeCell ref="F129:I129"/>
    <mergeCell ref="F130:I130"/>
    <mergeCell ref="F125:I125"/>
    <mergeCell ref="F126:I126"/>
    <mergeCell ref="F122:I122"/>
    <mergeCell ref="F123:I123"/>
    <mergeCell ref="F124:I124"/>
    <mergeCell ref="F213:I213"/>
    <mergeCell ref="F206:I206"/>
    <mergeCell ref="F198:I198"/>
    <mergeCell ref="F174:I174"/>
    <mergeCell ref="F175:I175"/>
    <mergeCell ref="F176:I176"/>
    <mergeCell ref="F169:I169"/>
    <mergeCell ref="F170:I170"/>
    <mergeCell ref="F147:I147"/>
    <mergeCell ref="F148:I148"/>
    <mergeCell ref="F149:I149"/>
    <mergeCell ref="F150:I150"/>
    <mergeCell ref="F151:I151"/>
    <mergeCell ref="F187:I187"/>
    <mergeCell ref="F188:I188"/>
    <mergeCell ref="F157:I157"/>
    <mergeCell ref="F177:I177"/>
    <mergeCell ref="F161:I161"/>
    <mergeCell ref="F162:I162"/>
    <mergeCell ref="F163:I163"/>
    <mergeCell ref="F164:I164"/>
    <mergeCell ref="F165:I165"/>
    <mergeCell ref="F194:I194"/>
    <mergeCell ref="F196:I196"/>
    <mergeCell ref="F197:I197"/>
    <mergeCell ref="F202:I202"/>
    <mergeCell ref="F190:I190"/>
    <mergeCell ref="F191:I191"/>
    <mergeCell ref="F192:I192"/>
    <mergeCell ref="F189:I189"/>
    <mergeCell ref="F166:I166"/>
    <mergeCell ref="F167:I167"/>
    <mergeCell ref="F168:I168"/>
    <mergeCell ref="F171:I171"/>
    <mergeCell ref="F172:I172"/>
    <mergeCell ref="F173:I173"/>
    <mergeCell ref="F259:I259"/>
    <mergeCell ref="F252:I252"/>
    <mergeCell ref="F253:I253"/>
    <mergeCell ref="F254:I254"/>
    <mergeCell ref="F255:I255"/>
    <mergeCell ref="F256:I256"/>
    <mergeCell ref="F257:I257"/>
    <mergeCell ref="F258:I258"/>
    <mergeCell ref="F215:I215"/>
    <mergeCell ref="F248:I248"/>
    <mergeCell ref="F241:I241"/>
    <mergeCell ref="F242:I242"/>
    <mergeCell ref="F216:I216"/>
    <mergeCell ref="F246:I246"/>
    <mergeCell ref="F243:I243"/>
    <mergeCell ref="F244:I244"/>
    <mergeCell ref="F245:I245"/>
    <mergeCell ref="F234:I234"/>
    <mergeCell ref="F220:I220"/>
    <mergeCell ref="F221:I221"/>
    <mergeCell ref="F222:I222"/>
    <mergeCell ref="F223:I223"/>
    <mergeCell ref="F224:I224"/>
    <mergeCell ref="F225:I225"/>
    <mergeCell ref="F133:I133"/>
    <mergeCell ref="F134:I134"/>
    <mergeCell ref="F152:I152"/>
    <mergeCell ref="F247:I247"/>
    <mergeCell ref="F131:I131"/>
    <mergeCell ref="F132:I132"/>
    <mergeCell ref="F207:I207"/>
    <mergeCell ref="F208:I208"/>
    <mergeCell ref="F209:I209"/>
    <mergeCell ref="F210:I210"/>
    <mergeCell ref="F212:I212"/>
    <mergeCell ref="F214:I214"/>
    <mergeCell ref="F211:I211"/>
    <mergeCell ref="F203:I203"/>
    <mergeCell ref="F184:I184"/>
    <mergeCell ref="F185:I185"/>
    <mergeCell ref="F186:I186"/>
    <mergeCell ref="F204:I204"/>
    <mergeCell ref="F205:I205"/>
    <mergeCell ref="F195:I195"/>
    <mergeCell ref="F193:I193"/>
    <mergeCell ref="F156:I156"/>
    <mergeCell ref="F144:I144"/>
    <mergeCell ref="F137:I137"/>
    <mergeCell ref="F155:I155"/>
    <mergeCell ref="F145:I145"/>
    <mergeCell ref="F141:I141"/>
    <mergeCell ref="F142:I142"/>
    <mergeCell ref="F143:I143"/>
    <mergeCell ref="F146:I146"/>
    <mergeCell ref="F135:I135"/>
    <mergeCell ref="F136:I136"/>
    <mergeCell ref="F153:I153"/>
    <mergeCell ref="F154:I154"/>
  </mergeCells>
  <hyperlinks>
    <hyperlink ref="A1" location="HL_Home" tooltip="Go to Table of Contents" display="HL_Home" xr:uid="{3483C574-86A9-489C-A45F-08913FCB2AA8}"/>
    <hyperlink ref="A2" location="HL_Err_Chk" tooltip="Go to Error Checks" display="HL_Err_Chk" xr:uid="{E0425E22-8574-4AA5-93A1-B82BA246405F}"/>
  </hyperlinks>
  <pageMargins left="0.39370078740157499" right="0.39370078740157499" top="0.59055118110236204" bottom="0.98425196850393704" header="0" footer="0.31496062992126"/>
  <pageSetup paperSize="9" orientation="landscape" r:id="rId1"/>
  <headerFooter>
    <oddFooter>&amp;L&amp;F
&amp;A
Printed: &amp;T on &amp;D&amp;CPage &amp;P of &amp;N</oddFooter>
  </headerFooter>
  <customProperties>
    <customPr name="EpmWorksheetKeyString_GUID" r:id="rId2"/>
  </customPropertie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52970B-0767-4951-96F5-6C3F6B319BD4}">
  <sheetPr>
    <pageSetUpPr autoPageBreaks="0"/>
  </sheetPr>
  <dimension ref="A1:T245"/>
  <sheetViews>
    <sheetView showGridLines="0" zoomScaleNormal="100" workbookViewId="0">
      <pane xSplit="9" ySplit="21" topLeftCell="N158" activePane="bottomRight" state="frozen"/>
      <selection activeCell="I248" sqref="I248"/>
      <selection pane="topRight" activeCell="I248" sqref="I248"/>
      <selection pane="bottomLeft" activeCell="I248" sqref="I248"/>
      <selection pane="bottomRight" activeCell="F102" sqref="F102:I116"/>
    </sheetView>
  </sheetViews>
  <sheetFormatPr defaultColWidth="11.59765625" defaultRowHeight="11.5" outlineLevelRow="3"/>
  <cols>
    <col min="1" max="5" width="3.59765625" customWidth="1"/>
    <col min="6" max="7" width="15.59765625" customWidth="1"/>
  </cols>
  <sheetData>
    <row r="1" spans="1:20" ht="14">
      <c r="A1" s="10" t="s">
        <v>11</v>
      </c>
      <c r="B1" s="6" t="s">
        <v>363</v>
      </c>
    </row>
    <row r="2" spans="1:20" ht="13">
      <c r="A2" s="23" t="s">
        <v>26</v>
      </c>
      <c r="B2" s="7" t="str">
        <f ca="1">Model_Name</f>
        <v>GAAR Capex Forecast</v>
      </c>
    </row>
    <row r="3" spans="1:20">
      <c r="B3" s="30"/>
      <c r="C3" s="30"/>
      <c r="D3" s="30"/>
      <c r="E3" s="30"/>
      <c r="F3" s="30"/>
      <c r="G3" s="30"/>
      <c r="H3" s="30"/>
      <c r="I3" s="30"/>
      <c r="J3" s="30"/>
      <c r="K3" s="30"/>
      <c r="L3" s="30"/>
      <c r="M3" s="30"/>
      <c r="N3" s="30"/>
      <c r="O3" s="30"/>
      <c r="P3" s="30"/>
      <c r="Q3" s="30"/>
      <c r="R3" s="30"/>
      <c r="S3" s="30"/>
      <c r="T3" s="30"/>
    </row>
    <row r="4" spans="1:20">
      <c r="B4" s="116" t="s">
        <v>74</v>
      </c>
      <c r="C4" s="118"/>
      <c r="D4" s="118"/>
      <c r="E4" s="118"/>
      <c r="F4" s="118"/>
      <c r="G4" s="118"/>
      <c r="H4" s="118"/>
      <c r="I4" s="118"/>
      <c r="J4" s="119">
        <f t="shared" ref="J4:T4" si="0">J8</f>
        <v>43465</v>
      </c>
      <c r="K4" s="119">
        <f t="shared" si="0"/>
        <v>43830</v>
      </c>
      <c r="L4" s="119">
        <f t="shared" si="0"/>
        <v>44196</v>
      </c>
      <c r="M4" s="119">
        <f t="shared" si="0"/>
        <v>44561</v>
      </c>
      <c r="N4" s="119">
        <f t="shared" si="0"/>
        <v>44926</v>
      </c>
      <c r="O4" s="121">
        <f t="shared" si="0"/>
        <v>45107</v>
      </c>
      <c r="P4" s="121">
        <f t="shared" si="0"/>
        <v>45473</v>
      </c>
      <c r="Q4" s="121">
        <f t="shared" si="0"/>
        <v>45838</v>
      </c>
      <c r="R4" s="121">
        <f t="shared" si="0"/>
        <v>46203</v>
      </c>
      <c r="S4" s="121">
        <f t="shared" si="0"/>
        <v>46568</v>
      </c>
      <c r="T4" s="121">
        <f t="shared" si="0"/>
        <v>46934</v>
      </c>
    </row>
    <row r="5" spans="1:20">
      <c r="B5" s="117" t="s">
        <v>100</v>
      </c>
      <c r="C5" s="117"/>
      <c r="D5" s="117"/>
      <c r="E5" s="117"/>
      <c r="F5" s="117"/>
      <c r="G5" s="117"/>
      <c r="H5" s="117"/>
      <c r="I5" s="117"/>
      <c r="J5" s="120">
        <f t="shared" ref="J5:T5" si="1">YEAR(J8)</f>
        <v>2018</v>
      </c>
      <c r="K5" s="120">
        <f t="shared" si="1"/>
        <v>2019</v>
      </c>
      <c r="L5" s="120">
        <f t="shared" si="1"/>
        <v>2020</v>
      </c>
      <c r="M5" s="120">
        <f t="shared" si="1"/>
        <v>2021</v>
      </c>
      <c r="N5" s="120">
        <f t="shared" si="1"/>
        <v>2022</v>
      </c>
      <c r="O5" s="120">
        <f t="shared" si="1"/>
        <v>2023</v>
      </c>
      <c r="P5" s="120">
        <f t="shared" si="1"/>
        <v>2024</v>
      </c>
      <c r="Q5" s="120">
        <f t="shared" si="1"/>
        <v>2025</v>
      </c>
      <c r="R5" s="120">
        <f t="shared" si="1"/>
        <v>2026</v>
      </c>
      <c r="S5" s="120">
        <f t="shared" si="1"/>
        <v>2027</v>
      </c>
      <c r="T5" s="120">
        <f t="shared" si="1"/>
        <v>2028</v>
      </c>
    </row>
    <row r="6" spans="1:20">
      <c r="B6" s="113" t="s">
        <v>91</v>
      </c>
      <c r="C6" s="113"/>
      <c r="D6" s="113"/>
      <c r="E6" s="113"/>
      <c r="F6" s="113"/>
      <c r="G6" s="113"/>
      <c r="H6" s="113"/>
      <c r="I6" s="113"/>
      <c r="J6" s="115" t="str">
        <f t="shared" ref="J6:T6" si="2">IF(J$17,"Actual","Forecast")</f>
        <v>Actual</v>
      </c>
      <c r="K6" s="115" t="str">
        <f t="shared" si="2"/>
        <v>Actual</v>
      </c>
      <c r="L6" s="115" t="str">
        <f t="shared" si="2"/>
        <v>Actual</v>
      </c>
      <c r="M6" s="115" t="str">
        <f t="shared" si="2"/>
        <v>Actual</v>
      </c>
      <c r="N6" s="115" t="str">
        <f t="shared" si="2"/>
        <v>Forecast</v>
      </c>
      <c r="O6" s="114" t="str">
        <f t="shared" si="2"/>
        <v>Forecast</v>
      </c>
      <c r="P6" s="114" t="str">
        <f t="shared" si="2"/>
        <v>Forecast</v>
      </c>
      <c r="Q6" s="114" t="str">
        <f t="shared" si="2"/>
        <v>Forecast</v>
      </c>
      <c r="R6" s="114" t="str">
        <f t="shared" si="2"/>
        <v>Forecast</v>
      </c>
      <c r="S6" s="114" t="str">
        <f t="shared" si="2"/>
        <v>Forecast</v>
      </c>
      <c r="T6" s="114" t="str">
        <f t="shared" si="2"/>
        <v>Forecast</v>
      </c>
    </row>
    <row r="7" spans="1:20" hidden="1" outlineLevel="3">
      <c r="B7" s="30" t="s">
        <v>101</v>
      </c>
      <c r="C7" s="30"/>
      <c r="D7" s="30"/>
      <c r="E7" s="30"/>
      <c r="F7" s="30"/>
      <c r="G7" s="30"/>
      <c r="H7" s="30"/>
      <c r="I7" s="30"/>
      <c r="J7" s="36">
        <f>EDATE(Ts_Start_Date,(J10-1)*Ts_Mths_In_Yr)</f>
        <v>43101</v>
      </c>
      <c r="K7" s="36">
        <f>EDATE(Ts_Start_Date,(K10-1)*Ts_Mths_In_Yr)</f>
        <v>43466</v>
      </c>
      <c r="L7" s="36">
        <f>EDATE(Ts_Start_Date,(L10-1)*Ts_Mths_In_Yr)</f>
        <v>43831</v>
      </c>
      <c r="M7" s="36">
        <f>EDATE(Ts_Start_Date,(M10-1)*Ts_Mths_In_Yr)</f>
        <v>44197</v>
      </c>
      <c r="N7" s="36">
        <f>EDATE(Ts_Start_Date,(N10-1)*Ts_Mths_In_Yr)</f>
        <v>44562</v>
      </c>
      <c r="O7" s="36">
        <f>Ts_Stub_Start_Date</f>
        <v>44927</v>
      </c>
      <c r="P7" s="36">
        <f>EDATE(Ts_Forecast_Reg_Start_Date,(P16-1)*Ts_Mths_In_Yr)</f>
        <v>45108</v>
      </c>
      <c r="Q7" s="36">
        <f>EDATE(Ts_Forecast_Reg_Start_Date,(Q16-1)*Ts_Mths_In_Yr)</f>
        <v>45474</v>
      </c>
      <c r="R7" s="36">
        <f>EDATE(Ts_Forecast_Reg_Start_Date,(R16-1)*Ts_Mths_In_Yr)</f>
        <v>45839</v>
      </c>
      <c r="S7" s="36">
        <f>EDATE(Ts_Forecast_Reg_Start_Date,(S16-1)*Ts_Mths_In_Yr)</f>
        <v>46204</v>
      </c>
      <c r="T7" s="36">
        <f>EDATE(Ts_Forecast_Reg_Start_Date,(T16-1)*Ts_Mths_In_Yr)</f>
        <v>46569</v>
      </c>
    </row>
    <row r="8" spans="1:20" hidden="1" outlineLevel="3">
      <c r="B8" s="30" t="s">
        <v>102</v>
      </c>
      <c r="C8" s="30"/>
      <c r="D8" s="30"/>
      <c r="E8" s="30"/>
      <c r="F8" s="30"/>
      <c r="G8" s="30"/>
      <c r="H8" s="30"/>
      <c r="I8" s="30"/>
      <c r="J8" s="36">
        <f>EOMONTH(J7,Ts_Mths_In_Yr-1)</f>
        <v>43465</v>
      </c>
      <c r="K8" s="36">
        <f>EOMONTH(K7,Ts_Mths_In_Yr-1)</f>
        <v>43830</v>
      </c>
      <c r="L8" s="36">
        <f>EOMONTH(L7,Ts_Mths_In_Yr-1)</f>
        <v>44196</v>
      </c>
      <c r="M8" s="36">
        <f>EOMONTH(M7,Ts_Mths_In_Yr-1)</f>
        <v>44561</v>
      </c>
      <c r="N8" s="36">
        <f>EOMONTH(N7,Ts_Mths_In_Yr-1)</f>
        <v>44926</v>
      </c>
      <c r="O8" s="36">
        <f>EOMONTH(O7,Ts_Stub_Length-1)</f>
        <v>45107</v>
      </c>
      <c r="P8" s="36">
        <f>EOMONTH(P7,Ts_Mths_In_Yr-1)</f>
        <v>45473</v>
      </c>
      <c r="Q8" s="36">
        <f>EOMONTH(Q7,Ts_Mths_In_Yr-1)</f>
        <v>45838</v>
      </c>
      <c r="R8" s="36">
        <f>EOMONTH(R7,Ts_Mths_In_Yr-1)</f>
        <v>46203</v>
      </c>
      <c r="S8" s="36">
        <f>EOMONTH(S7,Ts_Mths_In_Yr-1)</f>
        <v>46568</v>
      </c>
      <c r="T8" s="36">
        <f>EOMONTH(T7,Ts_Mths_In_Yr-1)</f>
        <v>46934</v>
      </c>
    </row>
    <row r="9" spans="1:20" hidden="1" outlineLevel="3">
      <c r="B9" s="30" t="s">
        <v>87</v>
      </c>
      <c r="C9" s="30"/>
      <c r="D9" s="30"/>
      <c r="E9" s="30"/>
      <c r="F9" s="30"/>
      <c r="G9" s="30"/>
      <c r="H9" s="30"/>
      <c r="I9" s="30"/>
      <c r="J9" s="14">
        <f t="shared" ref="J9:T9" si="3">DATEDIF(J7,J8,"m")+1</f>
        <v>12</v>
      </c>
      <c r="K9" s="14">
        <f t="shared" si="3"/>
        <v>12</v>
      </c>
      <c r="L9" s="14">
        <f t="shared" si="3"/>
        <v>12</v>
      </c>
      <c r="M9" s="14">
        <f t="shared" si="3"/>
        <v>12</v>
      </c>
      <c r="N9" s="14">
        <f t="shared" si="3"/>
        <v>12</v>
      </c>
      <c r="O9" s="14">
        <f t="shared" si="3"/>
        <v>6</v>
      </c>
      <c r="P9" s="38">
        <f t="shared" si="3"/>
        <v>12</v>
      </c>
      <c r="Q9" s="38">
        <f t="shared" si="3"/>
        <v>12</v>
      </c>
      <c r="R9" s="38">
        <f t="shared" si="3"/>
        <v>12</v>
      </c>
      <c r="S9" s="38">
        <f t="shared" si="3"/>
        <v>12</v>
      </c>
      <c r="T9" s="38">
        <f t="shared" si="3"/>
        <v>12</v>
      </c>
    </row>
    <row r="10" spans="1:20" hidden="1" outlineLevel="3">
      <c r="B10" s="30" t="s">
        <v>72</v>
      </c>
      <c r="C10" s="30"/>
      <c r="D10" s="30"/>
      <c r="E10" s="30"/>
      <c r="F10" s="30"/>
      <c r="G10" s="30"/>
      <c r="H10" s="30"/>
      <c r="I10" s="30"/>
      <c r="J10" s="40">
        <f>COLUMNS($J$10:J10)</f>
        <v>1</v>
      </c>
      <c r="K10" s="40">
        <f>COLUMNS($J$10:K10)</f>
        <v>2</v>
      </c>
      <c r="L10" s="40">
        <f>COLUMNS($J$10:L10)</f>
        <v>3</v>
      </c>
      <c r="M10" s="40">
        <f>COLUMNS($J$10:M10)</f>
        <v>4</v>
      </c>
      <c r="N10" s="40">
        <f>COLUMNS($J$10:N10)</f>
        <v>5</v>
      </c>
      <c r="O10" s="40">
        <f>COLUMNS($J$10:O10)</f>
        <v>6</v>
      </c>
      <c r="P10" s="40">
        <f>COLUMNS($J$10:P10)</f>
        <v>7</v>
      </c>
      <c r="Q10" s="40">
        <f>COLUMNS($J$10:Q10)</f>
        <v>8</v>
      </c>
      <c r="R10" s="40">
        <f>COLUMNS($J$10:R10)</f>
        <v>9</v>
      </c>
      <c r="S10" s="40">
        <f>COLUMNS($J$10:S10)</f>
        <v>10</v>
      </c>
      <c r="T10" s="40">
        <f>COLUMNS($J$10:T10)</f>
        <v>11</v>
      </c>
    </row>
    <row r="11" spans="1:20" hidden="1" outlineLevel="3">
      <c r="B11" s="30" t="s">
        <v>76</v>
      </c>
      <c r="C11" s="30"/>
      <c r="D11" s="30"/>
      <c r="E11" s="30"/>
      <c r="F11" s="30"/>
      <c r="G11" s="30"/>
      <c r="H11" s="30"/>
      <c r="I11" s="30"/>
      <c r="J11" s="40">
        <f>(J12&lt;&gt;0)*1</f>
        <v>1</v>
      </c>
      <c r="K11" s="40">
        <f>(K12&lt;&gt;0)*1</f>
        <v>1</v>
      </c>
      <c r="L11" s="40">
        <f>(L12&lt;&gt;0)*1</f>
        <v>1</v>
      </c>
      <c r="M11" s="40">
        <f>(M12&lt;&gt;0)*1</f>
        <v>1</v>
      </c>
      <c r="N11" s="40">
        <f>(N12&lt;&gt;0)*1</f>
        <v>1</v>
      </c>
      <c r="O11" s="45">
        <v>0</v>
      </c>
      <c r="P11" s="45">
        <v>0</v>
      </c>
      <c r="Q11" s="45">
        <v>0</v>
      </c>
      <c r="R11" s="45">
        <v>0</v>
      </c>
      <c r="S11" s="45">
        <v>0</v>
      </c>
      <c r="T11" s="45">
        <v>0</v>
      </c>
    </row>
    <row r="12" spans="1:20" hidden="1" outlineLevel="3">
      <c r="B12" s="30" t="s">
        <v>96</v>
      </c>
      <c r="C12" s="30"/>
      <c r="D12" s="30"/>
      <c r="E12" s="30"/>
      <c r="F12" s="30"/>
      <c r="G12" s="30"/>
      <c r="H12" s="30"/>
      <c r="I12" s="30"/>
      <c r="J12" s="40">
        <f>COLUMNS($J$10:J10)</f>
        <v>1</v>
      </c>
      <c r="K12" s="40">
        <f>COLUMNS($J$10:K10)</f>
        <v>2</v>
      </c>
      <c r="L12" s="40">
        <f>COLUMNS($J$10:L10)</f>
        <v>3</v>
      </c>
      <c r="M12" s="40">
        <f>COLUMNS($J$10:M10)</f>
        <v>4</v>
      </c>
      <c r="N12" s="40">
        <f>COLUMNS($J$10:N10)</f>
        <v>5</v>
      </c>
      <c r="O12" s="45">
        <v>0</v>
      </c>
      <c r="P12" s="45">
        <v>0</v>
      </c>
      <c r="Q12" s="45">
        <v>0</v>
      </c>
      <c r="R12" s="45">
        <v>0</v>
      </c>
      <c r="S12" s="45">
        <v>0</v>
      </c>
      <c r="T12" s="45">
        <v>0</v>
      </c>
    </row>
    <row r="13" spans="1:20" hidden="1" outlineLevel="3">
      <c r="B13" s="30" t="s">
        <v>79</v>
      </c>
      <c r="C13" s="30"/>
      <c r="D13" s="30"/>
      <c r="E13" s="30"/>
      <c r="F13" s="30"/>
      <c r="G13" s="30"/>
      <c r="H13" s="30"/>
      <c r="I13" s="30"/>
      <c r="J13" s="45">
        <v>0</v>
      </c>
      <c r="K13" s="45">
        <v>0</v>
      </c>
      <c r="L13" s="45">
        <v>0</v>
      </c>
      <c r="M13" s="45">
        <v>0</v>
      </c>
      <c r="N13" s="45">
        <v>0</v>
      </c>
      <c r="O13" s="40">
        <f>(O14&lt;&gt;0)*1</f>
        <v>1</v>
      </c>
      <c r="P13" s="45">
        <v>0</v>
      </c>
      <c r="Q13" s="45">
        <v>0</v>
      </c>
      <c r="R13" s="45">
        <v>0</v>
      </c>
      <c r="S13" s="45">
        <v>0</v>
      </c>
      <c r="T13" s="45">
        <v>0</v>
      </c>
    </row>
    <row r="14" spans="1:20" hidden="1" outlineLevel="3">
      <c r="B14" s="30" t="s">
        <v>97</v>
      </c>
      <c r="C14" s="30"/>
      <c r="D14" s="30"/>
      <c r="E14" s="30"/>
      <c r="F14" s="30"/>
      <c r="G14" s="30"/>
      <c r="H14" s="30"/>
      <c r="I14" s="30"/>
      <c r="J14" s="45">
        <v>0</v>
      </c>
      <c r="K14" s="45">
        <v>0</v>
      </c>
      <c r="L14" s="45">
        <v>0</v>
      </c>
      <c r="M14" s="45">
        <v>0</v>
      </c>
      <c r="N14" s="45">
        <v>0</v>
      </c>
      <c r="O14" s="40">
        <f>COLUMNS($O$14:O14)</f>
        <v>1</v>
      </c>
      <c r="P14" s="45">
        <v>0</v>
      </c>
      <c r="Q14" s="45">
        <v>0</v>
      </c>
      <c r="R14" s="45">
        <v>0</v>
      </c>
      <c r="S14" s="45">
        <v>0</v>
      </c>
      <c r="T14" s="45">
        <v>0</v>
      </c>
    </row>
    <row r="15" spans="1:20" hidden="1" outlineLevel="3">
      <c r="B15" s="30" t="s">
        <v>82</v>
      </c>
      <c r="C15" s="30"/>
      <c r="D15" s="30"/>
      <c r="E15" s="30"/>
      <c r="F15" s="30"/>
      <c r="G15" s="30"/>
      <c r="H15" s="30"/>
      <c r="I15" s="30"/>
      <c r="J15" s="45">
        <v>0</v>
      </c>
      <c r="K15" s="45">
        <v>0</v>
      </c>
      <c r="L15" s="45">
        <v>0</v>
      </c>
      <c r="M15" s="45">
        <v>0</v>
      </c>
      <c r="N15" s="45">
        <v>0</v>
      </c>
      <c r="O15" s="45">
        <v>0</v>
      </c>
      <c r="P15" s="39">
        <f>(P16&lt;&gt;0)*1</f>
        <v>1</v>
      </c>
      <c r="Q15" s="39">
        <f>(Q16&lt;&gt;0)*1</f>
        <v>1</v>
      </c>
      <c r="R15" s="39">
        <f>(R16&lt;&gt;0)*1</f>
        <v>1</v>
      </c>
      <c r="S15" s="39">
        <f>(S16&lt;&gt;0)*1</f>
        <v>1</v>
      </c>
      <c r="T15" s="39">
        <f>(T16&lt;&gt;0)*1</f>
        <v>1</v>
      </c>
    </row>
    <row r="16" spans="1:20" hidden="1" outlineLevel="3">
      <c r="B16" s="30" t="s">
        <v>98</v>
      </c>
      <c r="C16" s="30"/>
      <c r="D16" s="30"/>
      <c r="E16" s="30"/>
      <c r="F16" s="30"/>
      <c r="G16" s="30"/>
      <c r="H16" s="30"/>
      <c r="I16" s="30"/>
      <c r="J16" s="45">
        <v>0</v>
      </c>
      <c r="K16" s="45">
        <v>0</v>
      </c>
      <c r="L16" s="45">
        <v>0</v>
      </c>
      <c r="M16" s="45">
        <v>0</v>
      </c>
      <c r="N16" s="45">
        <v>0</v>
      </c>
      <c r="O16" s="45">
        <v>0</v>
      </c>
      <c r="P16" s="39">
        <f>COLUMNS($P$16:P16)</f>
        <v>1</v>
      </c>
      <c r="Q16" s="39">
        <f>COLUMNS($P$16:Q16)</f>
        <v>2</v>
      </c>
      <c r="R16" s="39">
        <f>COLUMNS($P$16:R16)</f>
        <v>3</v>
      </c>
      <c r="S16" s="39">
        <f>COLUMNS($P$16:S16)</f>
        <v>4</v>
      </c>
      <c r="T16" s="39">
        <f>COLUMNS($P$16:T16)</f>
        <v>5</v>
      </c>
    </row>
    <row r="17" spans="2:20" hidden="1" outlineLevel="3">
      <c r="B17" s="30" t="s">
        <v>206</v>
      </c>
      <c r="C17" s="30"/>
      <c r="D17" s="30"/>
      <c r="E17" s="30"/>
      <c r="F17" s="30"/>
      <c r="G17" s="30"/>
      <c r="H17" s="30"/>
      <c r="I17" s="30"/>
      <c r="J17" s="39">
        <f t="shared" ref="J17:T17" si="4">IF(J$5&lt;=Ts_Last_Actual_Year,1,0)</f>
        <v>1</v>
      </c>
      <c r="K17" s="39">
        <f t="shared" si="4"/>
        <v>1</v>
      </c>
      <c r="L17" s="39">
        <f t="shared" si="4"/>
        <v>1</v>
      </c>
      <c r="M17" s="39">
        <f t="shared" si="4"/>
        <v>1</v>
      </c>
      <c r="N17" s="39">
        <f t="shared" si="4"/>
        <v>0</v>
      </c>
      <c r="O17" s="39">
        <f t="shared" si="4"/>
        <v>0</v>
      </c>
      <c r="P17" s="39">
        <f t="shared" si="4"/>
        <v>0</v>
      </c>
      <c r="Q17" s="39">
        <f t="shared" si="4"/>
        <v>0</v>
      </c>
      <c r="R17" s="39">
        <f t="shared" si="4"/>
        <v>0</v>
      </c>
      <c r="S17" s="39">
        <f t="shared" si="4"/>
        <v>0</v>
      </c>
      <c r="T17" s="39">
        <f t="shared" si="4"/>
        <v>0</v>
      </c>
    </row>
    <row r="18" spans="2:20" hidden="1" outlineLevel="3">
      <c r="B18" s="30" t="s">
        <v>207</v>
      </c>
      <c r="C18" s="30"/>
      <c r="D18" s="30"/>
      <c r="E18" s="30"/>
      <c r="F18" s="30"/>
      <c r="G18" s="30"/>
      <c r="H18" s="30"/>
      <c r="I18" s="30"/>
      <c r="J18" s="39">
        <f t="shared" ref="J18:T18" si="5">IF(J$5&gt;Ts_Last_Actual_Year,1,0)</f>
        <v>0</v>
      </c>
      <c r="K18" s="39">
        <f t="shared" si="5"/>
        <v>0</v>
      </c>
      <c r="L18" s="39">
        <f t="shared" si="5"/>
        <v>0</v>
      </c>
      <c r="M18" s="39">
        <f t="shared" si="5"/>
        <v>0</v>
      </c>
      <c r="N18" s="39">
        <f t="shared" si="5"/>
        <v>1</v>
      </c>
      <c r="O18" s="40">
        <f t="shared" si="5"/>
        <v>1</v>
      </c>
      <c r="P18" s="40">
        <f t="shared" si="5"/>
        <v>1</v>
      </c>
      <c r="Q18" s="40">
        <f t="shared" si="5"/>
        <v>1</v>
      </c>
      <c r="R18" s="40">
        <f t="shared" si="5"/>
        <v>1</v>
      </c>
      <c r="S18" s="40">
        <f t="shared" si="5"/>
        <v>1</v>
      </c>
      <c r="T18" s="40">
        <f t="shared" si="5"/>
        <v>1</v>
      </c>
    </row>
    <row r="19" spans="2:20" hidden="1" outlineLevel="3">
      <c r="B19" s="30" t="s">
        <v>208</v>
      </c>
      <c r="C19" s="30"/>
      <c r="D19" s="30"/>
      <c r="E19" s="30"/>
      <c r="F19" s="30"/>
      <c r="G19" s="30"/>
      <c r="H19" s="30"/>
      <c r="I19" s="30"/>
      <c r="J19" s="39">
        <f>SUM($J18:J18)</f>
        <v>0</v>
      </c>
      <c r="K19" s="39">
        <f>SUM($J18:K18)</f>
        <v>0</v>
      </c>
      <c r="L19" s="39">
        <f>SUM($J18:L18)</f>
        <v>0</v>
      </c>
      <c r="M19" s="39">
        <f>SUM($J18:M18)</f>
        <v>0</v>
      </c>
      <c r="N19" s="39">
        <f>SUM($J18:N18)</f>
        <v>1</v>
      </c>
      <c r="O19" s="40">
        <f>SUM($J18:O18)</f>
        <v>2</v>
      </c>
      <c r="P19" s="40">
        <f>SUM($J18:P18)</f>
        <v>3</v>
      </c>
      <c r="Q19" s="40">
        <f>SUM($J18:Q18)</f>
        <v>4</v>
      </c>
      <c r="R19" s="40">
        <f>SUM($J18:R18)</f>
        <v>5</v>
      </c>
      <c r="S19" s="40">
        <f>SUM($J18:S18)</f>
        <v>6</v>
      </c>
      <c r="T19" s="40">
        <f>SUM($J18:T18)</f>
        <v>7</v>
      </c>
    </row>
    <row r="20" spans="2:20" hidden="1" outlineLevel="3">
      <c r="B20" s="30" t="s">
        <v>481</v>
      </c>
      <c r="C20" s="30"/>
      <c r="D20" s="30"/>
      <c r="E20" s="30"/>
      <c r="F20" s="30"/>
      <c r="G20" s="30"/>
      <c r="H20" s="30"/>
      <c r="I20" s="30"/>
      <c r="J20" s="38">
        <f t="shared" ref="J20:N20" si="6">J9/12</f>
        <v>1</v>
      </c>
      <c r="K20" s="38">
        <f t="shared" si="6"/>
        <v>1</v>
      </c>
      <c r="L20" s="38">
        <f t="shared" si="6"/>
        <v>1</v>
      </c>
      <c r="M20" s="38">
        <f t="shared" si="6"/>
        <v>1</v>
      </c>
      <c r="N20" s="38">
        <f t="shared" si="6"/>
        <v>1</v>
      </c>
      <c r="O20" s="38">
        <f>O9/12</f>
        <v>0.5</v>
      </c>
      <c r="P20" s="38">
        <f t="shared" ref="P20:T20" si="7">P9/12</f>
        <v>1</v>
      </c>
      <c r="Q20" s="38">
        <f t="shared" si="7"/>
        <v>1</v>
      </c>
      <c r="R20" s="38">
        <f t="shared" si="7"/>
        <v>1</v>
      </c>
      <c r="S20" s="38">
        <f t="shared" si="7"/>
        <v>1</v>
      </c>
      <c r="T20" s="38">
        <f t="shared" si="7"/>
        <v>1</v>
      </c>
    </row>
    <row r="21" spans="2:20" hidden="1" outlineLevel="3">
      <c r="B21" s="30"/>
      <c r="C21" s="30"/>
      <c r="D21" s="30"/>
      <c r="E21" s="30"/>
      <c r="F21" s="30"/>
      <c r="G21" s="30"/>
      <c r="H21" s="30"/>
      <c r="I21" s="30"/>
      <c r="J21" s="30"/>
      <c r="K21" s="30"/>
      <c r="L21" s="30"/>
      <c r="M21" s="30"/>
      <c r="N21" s="30"/>
      <c r="O21" s="30"/>
      <c r="P21" s="30"/>
      <c r="Q21" s="30"/>
      <c r="R21" s="30"/>
      <c r="S21" s="30"/>
      <c r="T21" s="30"/>
    </row>
    <row r="22" spans="2:20" collapsed="1"/>
    <row r="23" spans="2:20">
      <c r="B23" s="2" t="s">
        <v>294</v>
      </c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</row>
    <row r="24" spans="2:20" outlineLevel="1"/>
    <row r="25" spans="2:20" outlineLevel="1">
      <c r="D25" s="37" t="str">
        <f>'CapexSum$FY22'!D25</f>
        <v>Escalation Factor</v>
      </c>
    </row>
    <row r="26" spans="2:20" outlineLevel="1"/>
    <row r="27" spans="2:20" outlineLevel="1"/>
    <row r="28" spans="2:20" outlineLevel="1"/>
    <row r="29" spans="2:20" outlineLevel="1"/>
    <row r="30" spans="2:20" outlineLevel="1">
      <c r="D30" s="37" t="str">
        <f>'CapexSum$FY22'!D30</f>
        <v>Capex by Workcode</v>
      </c>
    </row>
    <row r="31" spans="2:20" ht="5.9" customHeight="1" outlineLevel="1"/>
    <row r="32" spans="2:20" outlineLevel="1">
      <c r="E32" s="37" t="str">
        <f>'CapexSum$FY22'!E32</f>
        <v>Direct Capex (Unescalated)</v>
      </c>
    </row>
    <row r="33" spans="6:7" outlineLevel="1"/>
    <row r="34" spans="6:7" outlineLevel="1">
      <c r="F34" s="129">
        <f>GC!C8</f>
        <v>3001</v>
      </c>
      <c r="G34" s="108" t="str">
        <f>GC!F8</f>
        <v>Low Pressure Replacement - Planned</v>
      </c>
    </row>
    <row r="35" spans="6:7" outlineLevel="1">
      <c r="F35" s="129">
        <f>GC!C9</f>
        <v>3002</v>
      </c>
      <c r="G35" s="108" t="str">
        <f>GC!F9</f>
        <v>Low Pressure Replacement - Ad Hoc</v>
      </c>
    </row>
    <row r="36" spans="6:7" outlineLevel="1">
      <c r="F36" s="129">
        <f>GC!C10</f>
        <v>3003</v>
      </c>
      <c r="G36" s="108" t="str">
        <f>GC!F10</f>
        <v>Medium Pressure Replacement - Planned</v>
      </c>
    </row>
    <row r="37" spans="6:7" outlineLevel="1">
      <c r="F37" s="129">
        <f>GC!C11</f>
        <v>3004</v>
      </c>
      <c r="G37" s="108" t="str">
        <f>GC!F11</f>
        <v>Medium Pressure Replacement - Ad Hoc</v>
      </c>
    </row>
    <row r="38" spans="6:7" outlineLevel="1">
      <c r="F38" s="129">
        <f>GC!C12</f>
        <v>3005</v>
      </c>
      <c r="G38" s="108" t="str">
        <f>GC!F12</f>
        <v>High Pressure Replacement - Planned</v>
      </c>
    </row>
    <row r="39" spans="6:7" outlineLevel="1">
      <c r="F39" s="129">
        <f>GC!C13</f>
        <v>3006</v>
      </c>
      <c r="G39" s="108" t="str">
        <f>GC!F13</f>
        <v>High Pressure Replacement - Ad Hoc</v>
      </c>
    </row>
    <row r="40" spans="6:7" outlineLevel="1">
      <c r="F40" s="129">
        <f>GC!C14</f>
        <v>3007</v>
      </c>
      <c r="G40" s="108" t="str">
        <f>GC!F14</f>
        <v>Domestic Meters - Planned</v>
      </c>
    </row>
    <row r="41" spans="6:7" outlineLevel="1">
      <c r="F41" s="129">
        <f>GC!C15</f>
        <v>3008</v>
      </c>
      <c r="G41" s="108" t="str">
        <f>GC!F15</f>
        <v>Domestic Meters - Ad Hoc</v>
      </c>
    </row>
    <row r="42" spans="6:7" outlineLevel="1">
      <c r="F42" s="129">
        <f>GC!C16</f>
        <v>3009</v>
      </c>
      <c r="G42" s="108" t="str">
        <f>GC!F16</f>
        <v>Industrial &amp; Commercial Meters - Planned</v>
      </c>
    </row>
    <row r="43" spans="6:7" outlineLevel="1">
      <c r="F43" s="129">
        <f>GC!C17</f>
        <v>3010</v>
      </c>
      <c r="G43" s="108" t="str">
        <f>GC!F17</f>
        <v>Industrial &amp; Commercial Meters - Ad Hoc</v>
      </c>
    </row>
    <row r="44" spans="6:7" outlineLevel="1">
      <c r="F44" s="129">
        <f>GC!C18</f>
        <v>3011</v>
      </c>
      <c r="G44" s="108" t="str">
        <f>GC!F18</f>
        <v>Network Regulators - Planned</v>
      </c>
    </row>
    <row r="45" spans="6:7" outlineLevel="1">
      <c r="F45" s="129">
        <f>GC!C19</f>
        <v>3012</v>
      </c>
      <c r="G45" s="108" t="str">
        <f>GC!F19</f>
        <v>Network Regulators - Ad Hoc</v>
      </c>
    </row>
    <row r="46" spans="6:7" outlineLevel="1">
      <c r="F46" s="129">
        <f>GC!C20</f>
        <v>3013</v>
      </c>
      <c r="G46" s="108" t="str">
        <f>GC!F20</f>
        <v>Customer Regulators - Planned</v>
      </c>
    </row>
    <row r="47" spans="6:7" outlineLevel="1">
      <c r="F47" s="129">
        <f>GC!C21</f>
        <v>3014</v>
      </c>
      <c r="G47" s="108" t="str">
        <f>GC!F21</f>
        <v>Customer Regulators - Ad Hoc</v>
      </c>
    </row>
    <row r="48" spans="6:7" outlineLevel="1">
      <c r="F48" s="129">
        <f>GC!C22</f>
        <v>3015</v>
      </c>
      <c r="G48" s="108" t="str">
        <f>GC!F22</f>
        <v>Cathodic Protection</v>
      </c>
    </row>
    <row r="49" spans="5:9" outlineLevel="1">
      <c r="F49" s="129">
        <f>GC!C23</f>
        <v>3016</v>
      </c>
      <c r="G49" s="108" t="str">
        <f>GC!F23</f>
        <v>SCADA</v>
      </c>
    </row>
    <row r="50" spans="5:9" outlineLevel="1">
      <c r="F50" s="129">
        <f>GC!C24</f>
        <v>3017</v>
      </c>
      <c r="G50" s="108" t="str">
        <f>GC!F24</f>
        <v>Augmentation</v>
      </c>
    </row>
    <row r="51" spans="5:9" outlineLevel="1">
      <c r="F51" s="129">
        <f>GC!C25</f>
        <v>3018</v>
      </c>
      <c r="G51" s="108" t="str">
        <f>GC!F25</f>
        <v>Other Non-Demand</v>
      </c>
    </row>
    <row r="52" spans="5:9" outlineLevel="1">
      <c r="F52" s="129">
        <f>GC!C26</f>
        <v>3019</v>
      </c>
      <c r="G52" s="108" t="str">
        <f>GC!F26</f>
        <v>Residential Connections</v>
      </c>
    </row>
    <row r="53" spans="5:9" outlineLevel="1">
      <c r="F53" s="129">
        <f>GC!C27</f>
        <v>3020</v>
      </c>
      <c r="G53" s="108" t="str">
        <f>GC!F27</f>
        <v>Industrial &amp; Commercial Connections</v>
      </c>
    </row>
    <row r="54" spans="5:9" outlineLevel="1">
      <c r="F54" s="129">
        <f>GC!C28</f>
        <v>3021</v>
      </c>
      <c r="G54" s="108" t="str">
        <f>GC!F28</f>
        <v>Industrial &amp; Commercial (Tariff D)</v>
      </c>
    </row>
    <row r="55" spans="5:9" outlineLevel="1">
      <c r="F55" s="129">
        <f>GC!C29</f>
        <v>3022</v>
      </c>
      <c r="G55" s="108" t="str">
        <f>GC!F29</f>
        <v>Major Alterations</v>
      </c>
    </row>
    <row r="56" spans="5:9" outlineLevel="1">
      <c r="F56" s="129">
        <f>GC!C30</f>
        <v>3023</v>
      </c>
      <c r="G56" s="108" t="str">
        <f>GC!F30</f>
        <v>Extensions - New Towns</v>
      </c>
    </row>
    <row r="57" spans="5:9" outlineLevel="1">
      <c r="F57" s="129">
        <f>GC!C31</f>
        <v>3024</v>
      </c>
      <c r="G57" s="108" t="str">
        <f>GC!F31</f>
        <v>Extensions - Other</v>
      </c>
    </row>
    <row r="58" spans="5:9" outlineLevel="1">
      <c r="F58" s="129">
        <f>GC!C32</f>
        <v>3025</v>
      </c>
      <c r="G58" s="108" t="str">
        <f>GC!F32</f>
        <v xml:space="preserve">City Gate Security Fence Upgrades </v>
      </c>
    </row>
    <row r="59" spans="5:9" outlineLevel="1">
      <c r="F59" s="129">
        <f>GC!C33</f>
        <v>3027</v>
      </c>
      <c r="G59" s="108" t="str">
        <f>GC!F33</f>
        <v>IT</v>
      </c>
    </row>
    <row r="60" spans="5:9" outlineLevel="1">
      <c r="F60" s="129">
        <f>GC!C34</f>
        <v>3031</v>
      </c>
      <c r="G60" s="108" t="str">
        <f>GC!F34</f>
        <v>Other Non-IT</v>
      </c>
    </row>
    <row r="61" spans="5:9" ht="5.9" customHeight="1" outlineLevel="1"/>
    <row r="62" spans="5:9" outlineLevel="1">
      <c r="F62" s="249" t="str">
        <f>"Total "&amp;E32</f>
        <v>Total Direct Capex (Unescalated)</v>
      </c>
      <c r="G62" s="249"/>
      <c r="H62" s="249"/>
      <c r="I62" s="249"/>
    </row>
    <row r="63" spans="5:9" outlineLevel="1"/>
    <row r="64" spans="5:9" outlineLevel="1">
      <c r="E64" s="37" t="str">
        <f>'CapexSum$FY22'!E64</f>
        <v>Direct Capex including Non-CPI Escalation</v>
      </c>
    </row>
    <row r="65" spans="6:7" ht="5.9" customHeight="1" outlineLevel="1"/>
    <row r="66" spans="6:7" outlineLevel="1">
      <c r="F66" s="129">
        <f>GC!C8</f>
        <v>3001</v>
      </c>
      <c r="G66" s="102" t="str">
        <f>GC!F8</f>
        <v>Low Pressure Replacement - Planned</v>
      </c>
    </row>
    <row r="67" spans="6:7" outlineLevel="1">
      <c r="F67" s="129">
        <f>GC!C9</f>
        <v>3002</v>
      </c>
      <c r="G67" s="102" t="str">
        <f>GC!F9</f>
        <v>Low Pressure Replacement - Ad Hoc</v>
      </c>
    </row>
    <row r="68" spans="6:7" outlineLevel="1">
      <c r="F68" s="129">
        <f>GC!C10</f>
        <v>3003</v>
      </c>
      <c r="G68" s="102" t="str">
        <f>GC!F10</f>
        <v>Medium Pressure Replacement - Planned</v>
      </c>
    </row>
    <row r="69" spans="6:7" outlineLevel="1">
      <c r="F69" s="129">
        <f>GC!C11</f>
        <v>3004</v>
      </c>
      <c r="G69" s="102" t="str">
        <f>GC!F11</f>
        <v>Medium Pressure Replacement - Ad Hoc</v>
      </c>
    </row>
    <row r="70" spans="6:7" outlineLevel="1">
      <c r="F70" s="129">
        <f>GC!C12</f>
        <v>3005</v>
      </c>
      <c r="G70" s="102" t="str">
        <f>GC!F12</f>
        <v>High Pressure Replacement - Planned</v>
      </c>
    </row>
    <row r="71" spans="6:7" outlineLevel="1">
      <c r="F71" s="129">
        <f>GC!C13</f>
        <v>3006</v>
      </c>
      <c r="G71" s="102" t="str">
        <f>GC!F13</f>
        <v>High Pressure Replacement - Ad Hoc</v>
      </c>
    </row>
    <row r="72" spans="6:7" outlineLevel="1">
      <c r="F72" s="129">
        <f>GC!C14</f>
        <v>3007</v>
      </c>
      <c r="G72" s="102" t="str">
        <f>GC!F14</f>
        <v>Domestic Meters - Planned</v>
      </c>
    </row>
    <row r="73" spans="6:7" outlineLevel="1">
      <c r="F73" s="129">
        <f>GC!C15</f>
        <v>3008</v>
      </c>
      <c r="G73" s="102" t="str">
        <f>GC!F15</f>
        <v>Domestic Meters - Ad Hoc</v>
      </c>
    </row>
    <row r="74" spans="6:7" outlineLevel="1">
      <c r="F74" s="129">
        <f>GC!C16</f>
        <v>3009</v>
      </c>
      <c r="G74" s="102" t="str">
        <f>GC!F16</f>
        <v>Industrial &amp; Commercial Meters - Planned</v>
      </c>
    </row>
    <row r="75" spans="6:7" outlineLevel="1">
      <c r="F75" s="129">
        <f>GC!C17</f>
        <v>3010</v>
      </c>
      <c r="G75" s="102" t="str">
        <f>GC!F17</f>
        <v>Industrial &amp; Commercial Meters - Ad Hoc</v>
      </c>
    </row>
    <row r="76" spans="6:7" outlineLevel="1">
      <c r="F76" s="129">
        <f>GC!C18</f>
        <v>3011</v>
      </c>
      <c r="G76" s="102" t="str">
        <f>GC!F18</f>
        <v>Network Regulators - Planned</v>
      </c>
    </row>
    <row r="77" spans="6:7" outlineLevel="1">
      <c r="F77" s="129">
        <f>GC!C19</f>
        <v>3012</v>
      </c>
      <c r="G77" s="102" t="str">
        <f>GC!F19</f>
        <v>Network Regulators - Ad Hoc</v>
      </c>
    </row>
    <row r="78" spans="6:7" outlineLevel="1">
      <c r="F78" s="129">
        <f>GC!C20</f>
        <v>3013</v>
      </c>
      <c r="G78" s="102" t="str">
        <f>GC!F20</f>
        <v>Customer Regulators - Planned</v>
      </c>
    </row>
    <row r="79" spans="6:7" outlineLevel="1">
      <c r="F79" s="129">
        <f>GC!C21</f>
        <v>3014</v>
      </c>
      <c r="G79" s="102" t="str">
        <f>GC!F21</f>
        <v>Customer Regulators - Ad Hoc</v>
      </c>
    </row>
    <row r="80" spans="6:7" outlineLevel="1">
      <c r="F80" s="129">
        <f>GC!C22</f>
        <v>3015</v>
      </c>
      <c r="G80" s="102" t="str">
        <f>GC!F22</f>
        <v>Cathodic Protection</v>
      </c>
    </row>
    <row r="81" spans="3:20" outlineLevel="1">
      <c r="F81" s="129">
        <f>GC!C23</f>
        <v>3016</v>
      </c>
      <c r="G81" s="102" t="str">
        <f>GC!F23</f>
        <v>SCADA</v>
      </c>
    </row>
    <row r="82" spans="3:20" outlineLevel="1">
      <c r="F82" s="129">
        <f>GC!C24</f>
        <v>3017</v>
      </c>
      <c r="G82" s="102" t="str">
        <f>GC!F24</f>
        <v>Augmentation</v>
      </c>
    </row>
    <row r="83" spans="3:20" outlineLevel="1">
      <c r="F83" s="129">
        <f>GC!C25</f>
        <v>3018</v>
      </c>
      <c r="G83" s="102" t="str">
        <f>GC!F25</f>
        <v>Other Non-Demand</v>
      </c>
    </row>
    <row r="84" spans="3:20" outlineLevel="1">
      <c r="F84" s="129">
        <f>GC!C26</f>
        <v>3019</v>
      </c>
      <c r="G84" s="102" t="str">
        <f>GC!F26</f>
        <v>Residential Connections</v>
      </c>
    </row>
    <row r="85" spans="3:20" outlineLevel="1">
      <c r="F85" s="129">
        <f>GC!C27</f>
        <v>3020</v>
      </c>
      <c r="G85" s="102" t="str">
        <f>GC!F27</f>
        <v>Industrial &amp; Commercial Connections</v>
      </c>
    </row>
    <row r="86" spans="3:20" outlineLevel="1">
      <c r="F86" s="129">
        <f>GC!C28</f>
        <v>3021</v>
      </c>
      <c r="G86" s="102" t="str">
        <f>GC!F28</f>
        <v>Industrial &amp; Commercial (Tariff D)</v>
      </c>
    </row>
    <row r="87" spans="3:20" outlineLevel="1">
      <c r="F87" s="129">
        <f>GC!C29</f>
        <v>3022</v>
      </c>
      <c r="G87" s="102" t="str">
        <f>GC!F29</f>
        <v>Major Alterations</v>
      </c>
    </row>
    <row r="88" spans="3:20" outlineLevel="1">
      <c r="F88" s="129">
        <f>GC!C30</f>
        <v>3023</v>
      </c>
      <c r="G88" s="102" t="str">
        <f>GC!F30</f>
        <v>Extensions - New Towns</v>
      </c>
    </row>
    <row r="89" spans="3:20" outlineLevel="1">
      <c r="F89" s="129">
        <f>GC!C31</f>
        <v>3024</v>
      </c>
      <c r="G89" s="102" t="str">
        <f>GC!F31</f>
        <v>Extensions - Other</v>
      </c>
    </row>
    <row r="90" spans="3:20" outlineLevel="1">
      <c r="F90" s="129">
        <f>GC!C32</f>
        <v>3025</v>
      </c>
      <c r="G90" s="102" t="str">
        <f>GC!F32</f>
        <v xml:space="preserve">City Gate Security Fence Upgrades </v>
      </c>
    </row>
    <row r="91" spans="3:20" outlineLevel="1">
      <c r="F91" s="129">
        <f>GC!C33</f>
        <v>3027</v>
      </c>
      <c r="G91" s="102" t="str">
        <f>GC!F33</f>
        <v>IT</v>
      </c>
    </row>
    <row r="92" spans="3:20" outlineLevel="1">
      <c r="F92" s="129">
        <f>GC!C34</f>
        <v>3031</v>
      </c>
      <c r="G92" s="102" t="str">
        <f>GC!F34</f>
        <v>Other Non-IT</v>
      </c>
    </row>
    <row r="93" spans="3:20" ht="5.9" customHeight="1" outlineLevel="1"/>
    <row r="94" spans="3:20" outlineLevel="1">
      <c r="F94" s="249" t="str">
        <f>"Total "&amp;E64</f>
        <v>Total Direct Capex including Non-CPI Escalation</v>
      </c>
      <c r="G94" s="249"/>
      <c r="H94" s="249"/>
      <c r="I94" s="249"/>
    </row>
    <row r="95" spans="3:20" outlineLevel="1">
      <c r="C95" s="12"/>
      <c r="D95" s="12"/>
      <c r="E95" s="12"/>
      <c r="F95" s="12"/>
      <c r="G95" s="12"/>
      <c r="H95" s="12"/>
      <c r="I95" s="12"/>
      <c r="J95" s="12"/>
      <c r="K95" s="12"/>
      <c r="L95" s="12"/>
      <c r="M95" s="12"/>
      <c r="N95" s="12"/>
      <c r="O95" s="12"/>
      <c r="P95" s="12"/>
      <c r="Q95" s="12"/>
      <c r="R95" s="12"/>
      <c r="S95" s="12"/>
      <c r="T95" s="12"/>
    </row>
    <row r="96" spans="3:20" outlineLevel="1"/>
    <row r="97" spans="4:9" outlineLevel="1">
      <c r="D97" s="37" t="str">
        <f>'CapexSum$FY22'!D97</f>
        <v>RAB Category Allocation</v>
      </c>
    </row>
    <row r="98" spans="4:9" ht="5.9" customHeight="1" outlineLevel="1"/>
    <row r="99" spans="4:9" outlineLevel="1">
      <c r="E99" s="37" t="str">
        <f>'CapexSum$FY22'!E99</f>
        <v>Direct Costs</v>
      </c>
    </row>
    <row r="100" spans="4:9" ht="5.9" customHeight="1" outlineLevel="1"/>
    <row r="101" spans="4:9" outlineLevel="1">
      <c r="F101" s="247" t="str">
        <f>GC!C40</f>
        <v>Transmission pipelines</v>
      </c>
      <c r="G101" s="247"/>
      <c r="H101" s="247"/>
      <c r="I101" s="247"/>
    </row>
    <row r="102" spans="4:9" outlineLevel="1">
      <c r="F102" s="247" t="str">
        <f>GC!C41</f>
        <v>Distribution pipelines</v>
      </c>
      <c r="G102" s="247"/>
      <c r="H102" s="247"/>
      <c r="I102" s="247"/>
    </row>
    <row r="103" spans="4:9" outlineLevel="1">
      <c r="F103" s="247" t="str">
        <f>GC!C42</f>
        <v>Service pipes</v>
      </c>
      <c r="G103" s="247"/>
      <c r="H103" s="247"/>
      <c r="I103" s="247"/>
    </row>
    <row r="104" spans="4:9" outlineLevel="1">
      <c r="F104" s="247" t="str">
        <f>GC!C43</f>
        <v>Cathodic protection</v>
      </c>
      <c r="G104" s="247"/>
      <c r="H104" s="247"/>
      <c r="I104" s="247"/>
    </row>
    <row r="105" spans="4:9" outlineLevel="1">
      <c r="F105" s="247" t="str">
        <f>GC!C44</f>
        <v>Supply Regulators / Valve Stations</v>
      </c>
      <c r="G105" s="247"/>
      <c r="H105" s="247"/>
      <c r="I105" s="247"/>
    </row>
    <row r="106" spans="4:9" outlineLevel="1">
      <c r="F106" s="247" t="str">
        <f>GC!C45</f>
        <v>Meters</v>
      </c>
      <c r="G106" s="247"/>
      <c r="H106" s="247"/>
      <c r="I106" s="247"/>
    </row>
    <row r="107" spans="4:9" outlineLevel="1">
      <c r="F107" s="247" t="str">
        <f>GC!C46</f>
        <v>SCADA and remote control</v>
      </c>
      <c r="G107" s="247"/>
      <c r="H107" s="247"/>
      <c r="I107" s="247"/>
    </row>
    <row r="108" spans="4:9" outlineLevel="1">
      <c r="F108" s="247" t="str">
        <f>GC!C47</f>
        <v>Buildings</v>
      </c>
      <c r="G108" s="247"/>
      <c r="H108" s="247"/>
      <c r="I108" s="247"/>
    </row>
    <row r="109" spans="4:9" outlineLevel="1">
      <c r="F109" s="247" t="str">
        <f>GC!C48</f>
        <v>Other - IT</v>
      </c>
      <c r="G109" s="247"/>
      <c r="H109" s="247"/>
      <c r="I109" s="247"/>
    </row>
    <row r="110" spans="4:9" outlineLevel="1">
      <c r="F110" s="247" t="str">
        <f>GC!C49</f>
        <v>Other - non IT</v>
      </c>
      <c r="G110" s="247"/>
      <c r="H110" s="247"/>
      <c r="I110" s="247"/>
    </row>
    <row r="111" spans="4:9" outlineLevel="1">
      <c r="F111" s="247" t="str">
        <f>GC!C50</f>
        <v>Land</v>
      </c>
      <c r="G111" s="247"/>
      <c r="H111" s="247"/>
      <c r="I111" s="247"/>
    </row>
    <row r="112" spans="4:9" outlineLevel="1">
      <c r="F112" s="247" t="str">
        <f>GC!C51</f>
        <v>Capitalised Leases</v>
      </c>
      <c r="G112" s="247"/>
      <c r="H112" s="247"/>
      <c r="I112" s="247"/>
    </row>
    <row r="113" spans="5:9" outlineLevel="1">
      <c r="F113" s="247" t="str">
        <f>GC!C52</f>
        <v>Transmission pipelines - post 1998</v>
      </c>
      <c r="G113" s="247"/>
      <c r="H113" s="247"/>
      <c r="I113" s="247"/>
    </row>
    <row r="114" spans="5:9" outlineLevel="1">
      <c r="F114" s="247" t="str">
        <f>GC!C53</f>
        <v>Distribution pipelines - post 1998</v>
      </c>
      <c r="G114" s="247"/>
      <c r="H114" s="247"/>
      <c r="I114" s="247"/>
    </row>
    <row r="115" spans="5:9" outlineLevel="1">
      <c r="F115" s="247" t="str">
        <f>GC!C54</f>
        <v>Service pipes - post 1998</v>
      </c>
      <c r="G115" s="247"/>
      <c r="H115" s="247"/>
      <c r="I115" s="247"/>
    </row>
    <row r="116" spans="5:9" outlineLevel="1">
      <c r="F116" s="247" t="str">
        <f>GC!C55</f>
        <v>Cathodic protection - post 1998</v>
      </c>
      <c r="G116" s="247"/>
      <c r="H116" s="247"/>
      <c r="I116" s="247"/>
    </row>
    <row r="117" spans="5:9" outlineLevel="1">
      <c r="F117" s="249" t="s">
        <v>275</v>
      </c>
      <c r="G117" s="249"/>
      <c r="H117" s="249"/>
      <c r="I117" s="249"/>
    </row>
    <row r="118" spans="5:9" outlineLevel="1"/>
    <row r="119" spans="5:9" outlineLevel="1">
      <c r="E119" s="37" t="str">
        <f>'CapexSum$FY22'!E139</f>
        <v>Direct Costs + Overheads</v>
      </c>
    </row>
    <row r="120" spans="5:9" ht="5.9" customHeight="1" outlineLevel="1"/>
    <row r="121" spans="5:9" outlineLevel="1">
      <c r="F121" s="206" t="str">
        <f>GC!C40</f>
        <v>Transmission pipelines</v>
      </c>
    </row>
    <row r="122" spans="5:9" outlineLevel="1">
      <c r="F122" s="206" t="str">
        <f>GC!C41</f>
        <v>Distribution pipelines</v>
      </c>
    </row>
    <row r="123" spans="5:9" outlineLevel="1">
      <c r="F123" s="206" t="str">
        <f>GC!C42</f>
        <v>Service pipes</v>
      </c>
    </row>
    <row r="124" spans="5:9" outlineLevel="1">
      <c r="F124" s="206" t="str">
        <f>GC!C43</f>
        <v>Cathodic protection</v>
      </c>
    </row>
    <row r="125" spans="5:9" outlineLevel="1">
      <c r="F125" s="206" t="str">
        <f>GC!C44</f>
        <v>Supply Regulators / Valve Stations</v>
      </c>
    </row>
    <row r="126" spans="5:9" outlineLevel="1">
      <c r="F126" s="206" t="str">
        <f>GC!C45</f>
        <v>Meters</v>
      </c>
    </row>
    <row r="127" spans="5:9" outlineLevel="1">
      <c r="F127" s="206" t="str">
        <f>GC!C46</f>
        <v>SCADA and remote control</v>
      </c>
    </row>
    <row r="128" spans="5:9" outlineLevel="1">
      <c r="F128" s="206" t="str">
        <f>GC!C47</f>
        <v>Buildings</v>
      </c>
    </row>
    <row r="129" spans="3:20" outlineLevel="1">
      <c r="F129" s="206" t="str">
        <f>GC!C48</f>
        <v>Other - IT</v>
      </c>
    </row>
    <row r="130" spans="3:20" outlineLevel="1">
      <c r="F130" s="206" t="str">
        <f>GC!C49</f>
        <v>Other - non IT</v>
      </c>
    </row>
    <row r="131" spans="3:20" outlineLevel="1">
      <c r="F131" s="206" t="str">
        <f>GC!C50</f>
        <v>Land</v>
      </c>
    </row>
    <row r="132" spans="3:20" outlineLevel="1">
      <c r="F132" s="206" t="str">
        <f>GC!C51</f>
        <v>Capitalised Leases</v>
      </c>
    </row>
    <row r="133" spans="3:20" outlineLevel="1">
      <c r="F133" s="206" t="str">
        <f>GC!C52</f>
        <v>Transmission pipelines - post 1998</v>
      </c>
    </row>
    <row r="134" spans="3:20" outlineLevel="1">
      <c r="F134" s="206" t="str">
        <f>GC!C53</f>
        <v>Distribution pipelines - post 1998</v>
      </c>
    </row>
    <row r="135" spans="3:20" outlineLevel="1">
      <c r="F135" s="206" t="str">
        <f>GC!C54</f>
        <v>Service pipes - post 1998</v>
      </c>
    </row>
    <row r="136" spans="3:20" outlineLevel="1">
      <c r="F136" s="206" t="str">
        <f>GC!C55</f>
        <v>Cathodic protection - post 1998</v>
      </c>
    </row>
    <row r="137" spans="3:20" outlineLevel="1">
      <c r="F137" s="207" t="s">
        <v>275</v>
      </c>
    </row>
    <row r="138" spans="3:20" outlineLevel="1">
      <c r="C138" s="12"/>
      <c r="D138" s="12"/>
      <c r="E138" s="12"/>
      <c r="F138" s="12"/>
      <c r="G138" s="12"/>
      <c r="H138" s="12"/>
      <c r="I138" s="12"/>
      <c r="J138" s="12"/>
      <c r="K138" s="12"/>
      <c r="L138" s="12"/>
      <c r="M138" s="12"/>
      <c r="N138" s="12"/>
      <c r="O138" s="12"/>
      <c r="P138" s="12"/>
      <c r="Q138" s="12"/>
      <c r="R138" s="12"/>
      <c r="S138" s="12"/>
      <c r="T138" s="12"/>
    </row>
    <row r="139" spans="3:20" outlineLevel="1"/>
    <row r="140" spans="3:20" outlineLevel="1">
      <c r="D140" s="37" t="str">
        <f>'CapexSum$FY22'!D180</f>
        <v>RIN Category Allocation</v>
      </c>
    </row>
    <row r="141" spans="3:20" ht="5.9" customHeight="1" outlineLevel="1"/>
    <row r="142" spans="3:20" outlineLevel="1">
      <c r="E142" s="37" t="str">
        <f>'CapexSum$FY22'!E182</f>
        <v>Direct Costs</v>
      </c>
    </row>
    <row r="143" spans="3:20" ht="5.9" customHeight="1" outlineLevel="1"/>
    <row r="144" spans="3:20" outlineLevel="1">
      <c r="F144" s="159" t="str">
        <f>GC!C60</f>
        <v>Mains replacement</v>
      </c>
    </row>
    <row r="145" spans="5:6" outlineLevel="1">
      <c r="F145" s="159" t="str">
        <f>GC!C61</f>
        <v>Residential new customer connections</v>
      </c>
    </row>
    <row r="146" spans="5:6" outlineLevel="1">
      <c r="F146" s="159" t="str">
        <f>GC!C62</f>
        <v>Commercial and industrial new customer connections</v>
      </c>
    </row>
    <row r="147" spans="5:6" outlineLevel="1">
      <c r="F147" s="159" t="str">
        <f>GC!C63</f>
        <v>Residential meter replacement</v>
      </c>
    </row>
    <row r="148" spans="5:6" outlineLevel="1">
      <c r="F148" s="159" t="str">
        <f>GC!C64</f>
        <v>Commercial and industrial meter replacement</v>
      </c>
    </row>
    <row r="149" spans="5:6" outlineLevel="1">
      <c r="F149" s="159" t="str">
        <f>GC!C65</f>
        <v>Augmentation</v>
      </c>
    </row>
    <row r="150" spans="5:6" outlineLevel="1">
      <c r="F150" s="159" t="str">
        <f>GC!C66</f>
        <v>IT capex</v>
      </c>
    </row>
    <row r="151" spans="5:6" outlineLevel="1">
      <c r="F151" s="159" t="str">
        <f>GC!C67</f>
        <v>SCADA</v>
      </c>
    </row>
    <row r="152" spans="5:6" outlineLevel="1">
      <c r="F152" s="159" t="str">
        <f>GC!C68</f>
        <v>Other</v>
      </c>
    </row>
    <row r="153" spans="5:6" outlineLevel="1">
      <c r="F153" s="159" t="str">
        <f>GC!C69</f>
        <v>Capitalised Leases</v>
      </c>
    </row>
    <row r="154" spans="5:6" outlineLevel="1">
      <c r="F154" s="159" t="str">
        <f>GC!C70</f>
        <v>Gas Extensions - Energy for the Regions</v>
      </c>
    </row>
    <row r="155" spans="5:6" outlineLevel="1">
      <c r="F155" s="159" t="str">
        <f>GC!C71</f>
        <v>Gas Extensions - Other</v>
      </c>
    </row>
    <row r="156" spans="5:6" outlineLevel="1">
      <c r="F156" s="159" t="str">
        <f>GC!C72</f>
        <v>Customer contributions</v>
      </c>
    </row>
    <row r="157" spans="5:6" outlineLevel="1">
      <c r="F157" s="159" t="str">
        <f>GC!C73</f>
        <v>Government contributions</v>
      </c>
    </row>
    <row r="158" spans="5:6" outlineLevel="1">
      <c r="F158" s="160" t="s">
        <v>197</v>
      </c>
    </row>
    <row r="159" spans="5:6" outlineLevel="1"/>
    <row r="160" spans="5:6" outlineLevel="1">
      <c r="E160" s="37" t="str">
        <f>'CapexSum$FY22'!E200</f>
        <v>Direct Costs + Overheads</v>
      </c>
    </row>
    <row r="161" spans="6:6" ht="5.9" customHeight="1" outlineLevel="1"/>
    <row r="162" spans="6:6" outlineLevel="1">
      <c r="F162" s="159" t="str">
        <f>GC!C60</f>
        <v>Mains replacement</v>
      </c>
    </row>
    <row r="163" spans="6:6" outlineLevel="1">
      <c r="F163" s="159" t="str">
        <f>GC!C61</f>
        <v>Residential new customer connections</v>
      </c>
    </row>
    <row r="164" spans="6:6" outlineLevel="1">
      <c r="F164" s="159" t="str">
        <f>GC!C62</f>
        <v>Commercial and industrial new customer connections</v>
      </c>
    </row>
    <row r="165" spans="6:6" outlineLevel="1">
      <c r="F165" s="159" t="str">
        <f>GC!C63</f>
        <v>Residential meter replacement</v>
      </c>
    </row>
    <row r="166" spans="6:6" outlineLevel="1">
      <c r="F166" s="159" t="str">
        <f>GC!C64</f>
        <v>Commercial and industrial meter replacement</v>
      </c>
    </row>
    <row r="167" spans="6:6" outlineLevel="1">
      <c r="F167" s="159" t="str">
        <f>GC!C65</f>
        <v>Augmentation</v>
      </c>
    </row>
    <row r="168" spans="6:6" outlineLevel="1">
      <c r="F168" s="159" t="str">
        <f>GC!C66</f>
        <v>IT capex</v>
      </c>
    </row>
    <row r="169" spans="6:6" outlineLevel="1">
      <c r="F169" s="159" t="str">
        <f>GC!C67</f>
        <v>SCADA</v>
      </c>
    </row>
    <row r="170" spans="6:6" outlineLevel="1">
      <c r="F170" s="159" t="str">
        <f>GC!C68</f>
        <v>Other</v>
      </c>
    </row>
    <row r="171" spans="6:6" outlineLevel="1">
      <c r="F171" s="159" t="str">
        <f>GC!C69</f>
        <v>Capitalised Leases</v>
      </c>
    </row>
    <row r="172" spans="6:6" outlineLevel="1">
      <c r="F172" s="159" t="str">
        <f>GC!C70</f>
        <v>Gas Extensions - Energy for the Regions</v>
      </c>
    </row>
    <row r="173" spans="6:6" outlineLevel="1">
      <c r="F173" s="159" t="str">
        <f>GC!C71</f>
        <v>Gas Extensions - Other</v>
      </c>
    </row>
    <row r="174" spans="6:6" outlineLevel="1">
      <c r="F174" s="159" t="str">
        <f>GC!C72</f>
        <v>Customer contributions</v>
      </c>
    </row>
    <row r="175" spans="6:6" outlineLevel="1">
      <c r="F175" s="159" t="str">
        <f>GC!C73</f>
        <v>Government contributions</v>
      </c>
    </row>
    <row r="176" spans="6:6" outlineLevel="1">
      <c r="F176" s="160" t="s">
        <v>197</v>
      </c>
    </row>
    <row r="177" spans="4:6" outlineLevel="1"/>
    <row r="178" spans="4:6" outlineLevel="1"/>
    <row r="179" spans="4:6" outlineLevel="1">
      <c r="D179" s="37" t="str">
        <f>'CapexSum$FY22'!D237</f>
        <v>Tax Category Allocation</v>
      </c>
    </row>
    <row r="180" spans="4:6" ht="5.9" customHeight="1" outlineLevel="1"/>
    <row r="181" spans="4:6" outlineLevel="1">
      <c r="E181" s="37" t="str">
        <f>'CapexSum$FY22'!E239</f>
        <v>Direct Costs</v>
      </c>
    </row>
    <row r="182" spans="4:6" ht="5.9" customHeight="1" outlineLevel="1"/>
    <row r="183" spans="4:6" outlineLevel="1">
      <c r="F183" s="102" t="str">
        <f>GC!C78</f>
        <v>Mains &amp; Services</v>
      </c>
    </row>
    <row r="184" spans="4:6" outlineLevel="1">
      <c r="F184" s="102" t="str">
        <f>GC!C79</f>
        <v>Meters Domestic</v>
      </c>
    </row>
    <row r="185" spans="4:6" outlineLevel="1">
      <c r="F185" s="102" t="str">
        <f>GC!C80</f>
        <v>Meters Industrial &amp; Commercial</v>
      </c>
    </row>
    <row r="186" spans="4:6" outlineLevel="1">
      <c r="F186" s="102" t="str">
        <f>GC!C81</f>
        <v>Buildings</v>
      </c>
    </row>
    <row r="187" spans="4:6" outlineLevel="1">
      <c r="F187" s="102" t="str">
        <f>GC!C82</f>
        <v>Other Assets</v>
      </c>
    </row>
    <row r="188" spans="4:6" outlineLevel="1">
      <c r="F188" s="102" t="str">
        <f>GC!C83</f>
        <v>Repairs</v>
      </c>
    </row>
    <row r="189" spans="4:6" outlineLevel="1">
      <c r="F189" s="102" t="str">
        <f>GC!C84</f>
        <v>Land</v>
      </c>
    </row>
    <row r="190" spans="4:6" outlineLevel="1">
      <c r="F190" s="93" t="s">
        <v>312</v>
      </c>
    </row>
    <row r="191" spans="4:6" outlineLevel="1"/>
    <row r="192" spans="4:6" outlineLevel="1">
      <c r="E192" s="37" t="str">
        <f>'CapexSum$FY22'!E250</f>
        <v>Direct Costs + Overheads</v>
      </c>
    </row>
    <row r="193" spans="6:6" ht="5.9" customHeight="1" outlineLevel="1"/>
    <row r="194" spans="6:6" outlineLevel="1">
      <c r="F194" s="102" t="str">
        <f>GC!C78</f>
        <v>Mains &amp; Services</v>
      </c>
    </row>
    <row r="195" spans="6:6" outlineLevel="1">
      <c r="F195" s="102" t="str">
        <f>GC!C79</f>
        <v>Meters Domestic</v>
      </c>
    </row>
    <row r="196" spans="6:6" outlineLevel="1">
      <c r="F196" s="102" t="str">
        <f>GC!C80</f>
        <v>Meters Industrial &amp; Commercial</v>
      </c>
    </row>
    <row r="197" spans="6:6" outlineLevel="1">
      <c r="F197" s="102" t="str">
        <f>GC!C81</f>
        <v>Buildings</v>
      </c>
    </row>
    <row r="198" spans="6:6" outlineLevel="1">
      <c r="F198" s="102" t="str">
        <f>GC!C82</f>
        <v>Other Assets</v>
      </c>
    </row>
    <row r="199" spans="6:6" outlineLevel="1">
      <c r="F199" s="102" t="str">
        <f>GC!C83</f>
        <v>Repairs</v>
      </c>
    </row>
    <row r="200" spans="6:6" outlineLevel="1">
      <c r="F200" s="102" t="str">
        <f>GC!C84</f>
        <v>Land</v>
      </c>
    </row>
    <row r="201" spans="6:6" outlineLevel="1">
      <c r="F201" s="93" t="s">
        <v>312</v>
      </c>
    </row>
    <row r="202" spans="6:6" outlineLevel="1"/>
    <row r="203" spans="6:6" outlineLevel="1"/>
    <row r="204" spans="6:6" outlineLevel="1"/>
    <row r="205" spans="6:6" outlineLevel="1"/>
    <row r="206" spans="6:6" outlineLevel="1"/>
    <row r="207" spans="6:6" outlineLevel="1"/>
    <row r="208" spans="6:6" outlineLevel="1"/>
    <row r="209" outlineLevel="1"/>
    <row r="210" outlineLevel="1"/>
    <row r="211" outlineLevel="1"/>
    <row r="212" outlineLevel="1"/>
    <row r="213" outlineLevel="1"/>
    <row r="214" outlineLevel="1"/>
    <row r="215" outlineLevel="1"/>
    <row r="216" outlineLevel="1"/>
    <row r="217" outlineLevel="1"/>
    <row r="218" outlineLevel="1"/>
    <row r="219" outlineLevel="1"/>
    <row r="220" outlineLevel="1"/>
    <row r="221" outlineLevel="1"/>
    <row r="222" outlineLevel="1"/>
    <row r="223" outlineLevel="1"/>
    <row r="224" outlineLevel="1"/>
    <row r="225" outlineLevel="1"/>
    <row r="226" outlineLevel="1"/>
    <row r="227" outlineLevel="1"/>
    <row r="228" outlineLevel="1"/>
    <row r="229" outlineLevel="1"/>
    <row r="230" outlineLevel="1"/>
    <row r="231" outlineLevel="1"/>
    <row r="232" outlineLevel="1"/>
    <row r="233" outlineLevel="1"/>
    <row r="234" outlineLevel="1"/>
    <row r="235" outlineLevel="1"/>
    <row r="236" outlineLevel="1"/>
    <row r="237" outlineLevel="1"/>
    <row r="238" outlineLevel="1"/>
    <row r="239" outlineLevel="1"/>
    <row r="240" outlineLevel="1"/>
    <row r="241" outlineLevel="1"/>
    <row r="242" outlineLevel="1"/>
    <row r="243" outlineLevel="1"/>
    <row r="244" outlineLevel="1"/>
    <row r="245" outlineLevel="1"/>
  </sheetData>
  <sheetProtection formatColumns="0" formatRows="0"/>
  <mergeCells count="19">
    <mergeCell ref="F113:I113"/>
    <mergeCell ref="F114:I114"/>
    <mergeCell ref="F115:I115"/>
    <mergeCell ref="F116:I116"/>
    <mergeCell ref="F62:I62"/>
    <mergeCell ref="F94:I94"/>
    <mergeCell ref="F117:I117"/>
    <mergeCell ref="F101:I101"/>
    <mergeCell ref="F102:I102"/>
    <mergeCell ref="F103:I103"/>
    <mergeCell ref="F104:I104"/>
    <mergeCell ref="F105:I105"/>
    <mergeCell ref="F106:I106"/>
    <mergeCell ref="F107:I107"/>
    <mergeCell ref="F112:I112"/>
    <mergeCell ref="F108:I108"/>
    <mergeCell ref="F109:I109"/>
    <mergeCell ref="F110:I110"/>
    <mergeCell ref="F111:I111"/>
  </mergeCells>
  <hyperlinks>
    <hyperlink ref="A1" location="HL_Home" tooltip="Go to Table of Contents" display="HL_Home" xr:uid="{BCC14FC5-5942-4B0F-BEB8-5DD660BD34AE}"/>
    <hyperlink ref="A2" location="HL_Err_Chk" tooltip="Go to Error Checks" display="HL_Err_Chk" xr:uid="{0294D5EB-2FE7-45CD-BE7F-E5427953D146}"/>
  </hyperlinks>
  <pageMargins left="0.39370078740157499" right="0.39370078740157499" top="0.59055118110236204" bottom="0.98425196850393704" header="0" footer="0.31496062992126"/>
  <pageSetup paperSize="9" orientation="landscape" r:id="rId1"/>
  <headerFooter>
    <oddFooter>&amp;L&amp;F
&amp;A
Printed: &amp;T on &amp;D&amp;CPage &amp;P of &amp;N</oddFooter>
  </headerFooter>
  <customProperties>
    <customPr name="EpmWorksheetKeyString_GUID" r:id="rId2"/>
  </customPropertie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07066F-23AE-4C71-A8CA-8F6CDA9372F7}">
  <sheetPr>
    <pageSetUpPr autoPageBreaks="0" fitToPage="1"/>
  </sheetPr>
  <dimension ref="C9:G20"/>
  <sheetViews>
    <sheetView showGridLines="0" zoomScaleNormal="100" workbookViewId="0">
      <selection activeCell="I248" sqref="I248"/>
    </sheetView>
  </sheetViews>
  <sheetFormatPr defaultColWidth="11.59765625" defaultRowHeight="11.5"/>
  <cols>
    <col min="3" max="6" width="3.59765625" customWidth="1"/>
  </cols>
  <sheetData>
    <row r="9" spans="3:7" ht="14">
      <c r="C9" s="6" t="s">
        <v>10</v>
      </c>
    </row>
    <row r="10" spans="3:7" ht="13">
      <c r="C10" s="9" t="s">
        <v>127</v>
      </c>
    </row>
    <row r="11" spans="3:7" ht="13">
      <c r="C11" s="7" t="str">
        <f ca="1">Model_Name</f>
        <v>GAAR Capex Forecast</v>
      </c>
    </row>
    <row r="12" spans="3:7">
      <c r="C12" s="224" t="s">
        <v>8</v>
      </c>
      <c r="D12" s="224"/>
      <c r="E12" s="224"/>
      <c r="F12" s="224"/>
      <c r="G12" s="224"/>
    </row>
    <row r="13" spans="3:7">
      <c r="C13" s="8" t="s">
        <v>9</v>
      </c>
      <c r="D13" s="22" t="s">
        <v>24</v>
      </c>
    </row>
    <row r="17" spans="3:3">
      <c r="C17" s="1" t="s">
        <v>4</v>
      </c>
    </row>
    <row r="18" spans="3:3">
      <c r="C18" s="5" t="s">
        <v>5</v>
      </c>
    </row>
    <row r="19" spans="3:3">
      <c r="C19" s="5" t="s">
        <v>6</v>
      </c>
    </row>
    <row r="20" spans="3:3">
      <c r="C20" s="5" t="s">
        <v>7</v>
      </c>
    </row>
  </sheetData>
  <mergeCells count="1">
    <mergeCell ref="C12:G12"/>
  </mergeCells>
  <hyperlinks>
    <hyperlink ref="D13" location="HL_Sheet_Main_6" tooltip="Go to Next Sheet" display="HL_Sheet_Main_6" xr:uid="{371DDCA5-49CD-4343-9DE3-822E4830F5DB}"/>
    <hyperlink ref="C13" location="HL_Sheet_Main_21" tooltip="Go to Previous Sheet" display="HL_Sheet_Main_21" xr:uid="{6A374F1D-B321-43EE-9DC0-BC9DC74CA46D}"/>
    <hyperlink ref="C12" location="HL_Home" tooltip="Go to Table of Contents" display="HL_Home" xr:uid="{B7104547-8EB2-49DD-B625-0BD7473410FC}"/>
  </hyperlinks>
  <pageMargins left="0.39370078740157499" right="0.39370078740157499" top="0.59055118110236204" bottom="0.98425196850393704" header="0" footer="0.31496062992126"/>
  <pageSetup paperSize="9" orientation="landscape" r:id="rId1"/>
  <headerFooter>
    <oddFooter>&amp;L&amp;F
&amp;A
Printed: &amp;T on &amp;D&amp;CPage &amp;P of &amp;N</oddFooter>
  </headerFooter>
  <customProperties>
    <customPr name="EpmWorksheetKeyString_GUID" r:id="rId2"/>
  </customPropertie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FAA9F0-E410-4066-AE99-8269A0B6D33F}">
  <sheetPr>
    <outlinePr summaryBelow="0"/>
    <pageSetUpPr autoPageBreaks="0"/>
  </sheetPr>
  <dimension ref="A1:F85"/>
  <sheetViews>
    <sheetView showGridLines="0" zoomScaleNormal="100" workbookViewId="0">
      <pane xSplit="1" ySplit="2" topLeftCell="B3" activePane="bottomRight" state="frozen"/>
      <selection activeCell="I248" sqref="I248"/>
      <selection pane="topRight" activeCell="I248" sqref="I248"/>
      <selection pane="bottomLeft" activeCell="I248" sqref="I248"/>
      <selection pane="bottomRight" activeCell="I248" sqref="I248"/>
    </sheetView>
  </sheetViews>
  <sheetFormatPr defaultColWidth="11.59765625" defaultRowHeight="11.5" outlineLevelRow="1"/>
  <cols>
    <col min="1" max="3" width="3.59765625" customWidth="1"/>
    <col min="4" max="4" width="35.59765625" customWidth="1"/>
    <col min="5" max="5" width="3.59765625" customWidth="1"/>
    <col min="6" max="6" width="35.59765625" customWidth="1"/>
    <col min="7" max="7" width="3.59765625" customWidth="1"/>
  </cols>
  <sheetData>
    <row r="1" spans="1:6" ht="14">
      <c r="A1" s="10" t="s">
        <v>11</v>
      </c>
      <c r="B1" s="6" t="s">
        <v>71</v>
      </c>
    </row>
    <row r="2" spans="1:6" ht="13">
      <c r="A2" s="23" t="s">
        <v>26</v>
      </c>
      <c r="B2" s="7" t="str">
        <f ca="1">Model_Name</f>
        <v>GAAR Capex Forecast</v>
      </c>
    </row>
    <row r="4" spans="1:6" s="2" customFormat="1">
      <c r="A4"/>
      <c r="B4" s="2" t="s">
        <v>37</v>
      </c>
    </row>
    <row r="5" spans="1:6" outlineLevel="1"/>
    <row r="6" spans="1:6" s="25" customFormat="1" outlineLevel="1">
      <c r="A6"/>
      <c r="B6"/>
      <c r="C6" s="256" t="s">
        <v>38</v>
      </c>
      <c r="D6" s="256"/>
      <c r="E6" s="256"/>
      <c r="F6" s="25" t="s">
        <v>39</v>
      </c>
    </row>
    <row r="7" spans="1:6" outlineLevel="1"/>
    <row r="8" spans="1:6" outlineLevel="1">
      <c r="D8" s="26" t="s">
        <v>40</v>
      </c>
      <c r="F8" s="24" t="s">
        <v>41</v>
      </c>
    </row>
    <row r="9" spans="1:6" outlineLevel="1">
      <c r="D9" s="27">
        <f>ROWS(D$9:D9)</f>
        <v>1</v>
      </c>
      <c r="F9" s="24"/>
    </row>
    <row r="10" spans="1:6" outlineLevel="1">
      <c r="D10" s="27">
        <f>ROWS(D$9:D10)</f>
        <v>2</v>
      </c>
      <c r="F10" s="24"/>
    </row>
    <row r="11" spans="1:6" outlineLevel="1">
      <c r="D11" s="27">
        <f>ROWS(D$9:D11)</f>
        <v>3</v>
      </c>
      <c r="F11" s="24"/>
    </row>
    <row r="12" spans="1:6" outlineLevel="1">
      <c r="D12" s="27">
        <f>ROWS(D$9:D12)</f>
        <v>4</v>
      </c>
      <c r="F12" s="24"/>
    </row>
    <row r="13" spans="1:6" outlineLevel="1">
      <c r="D13" s="27">
        <f>ROWS(D$9:D13)</f>
        <v>5</v>
      </c>
      <c r="F13" s="24"/>
    </row>
    <row r="14" spans="1:6" outlineLevel="1">
      <c r="D14" s="27">
        <f>ROWS(D$9:D14)</f>
        <v>6</v>
      </c>
      <c r="F14" s="24"/>
    </row>
    <row r="15" spans="1:6" outlineLevel="1">
      <c r="D15" s="27">
        <f>ROWS(D$9:D15)</f>
        <v>7</v>
      </c>
      <c r="F15" s="24"/>
    </row>
    <row r="16" spans="1:6" outlineLevel="1">
      <c r="D16" s="27">
        <f>ROWS(D$9:D16)</f>
        <v>8</v>
      </c>
      <c r="F16" s="24"/>
    </row>
    <row r="17" spans="4:6" outlineLevel="1">
      <c r="D17" s="27">
        <f>ROWS(D$9:D17)</f>
        <v>9</v>
      </c>
      <c r="F17" s="24"/>
    </row>
    <row r="18" spans="4:6" outlineLevel="1">
      <c r="D18" s="27">
        <f>ROWS(D$9:D18)</f>
        <v>10</v>
      </c>
      <c r="F18" s="24"/>
    </row>
    <row r="19" spans="4:6" outlineLevel="1">
      <c r="D19" s="27">
        <f>ROWS(D$9:D19)</f>
        <v>11</v>
      </c>
      <c r="F19" s="24"/>
    </row>
    <row r="20" spans="4:6" outlineLevel="1">
      <c r="D20" s="27">
        <f>ROWS(D$9:D20)</f>
        <v>12</v>
      </c>
      <c r="F20" s="24"/>
    </row>
    <row r="21" spans="4:6" outlineLevel="1">
      <c r="D21" s="27">
        <f>ROWS(D$9:D21)</f>
        <v>13</v>
      </c>
      <c r="F21" s="24"/>
    </row>
    <row r="22" spans="4:6" outlineLevel="1">
      <c r="D22" s="27">
        <f>ROWS(D$9:D22)</f>
        <v>14</v>
      </c>
      <c r="F22" s="24"/>
    </row>
    <row r="23" spans="4:6" outlineLevel="1">
      <c r="D23" s="27">
        <f>ROWS(D$9:D23)</f>
        <v>15</v>
      </c>
      <c r="F23" s="24"/>
    </row>
    <row r="24" spans="4:6" outlineLevel="1">
      <c r="D24" s="27">
        <f>ROWS(D$9:D24)</f>
        <v>16</v>
      </c>
      <c r="F24" s="24"/>
    </row>
    <row r="25" spans="4:6" outlineLevel="1">
      <c r="D25" s="27">
        <f>ROWS(D$9:D25)</f>
        <v>17</v>
      </c>
      <c r="F25" s="24"/>
    </row>
    <row r="26" spans="4:6" outlineLevel="1">
      <c r="D26" s="27">
        <f>ROWS(D$9:D26)</f>
        <v>18</v>
      </c>
      <c r="F26" s="24"/>
    </row>
    <row r="27" spans="4:6" outlineLevel="1">
      <c r="D27" s="27">
        <f>ROWS(D$9:D27)</f>
        <v>19</v>
      </c>
      <c r="F27" s="24"/>
    </row>
    <row r="28" spans="4:6" outlineLevel="1">
      <c r="D28" s="27">
        <f>ROWS(D$9:D28)</f>
        <v>20</v>
      </c>
      <c r="F28" s="24"/>
    </row>
    <row r="29" spans="4:6" outlineLevel="1">
      <c r="D29" s="27">
        <f>ROWS(D$9:D29)</f>
        <v>21</v>
      </c>
      <c r="F29" s="24"/>
    </row>
    <row r="30" spans="4:6" outlineLevel="1">
      <c r="D30" s="27">
        <f>ROWS(D$9:D30)</f>
        <v>22</v>
      </c>
      <c r="F30" s="24"/>
    </row>
    <row r="31" spans="4:6" outlineLevel="1">
      <c r="D31" s="27">
        <f>ROWS(D$9:D31)</f>
        <v>23</v>
      </c>
      <c r="F31" s="24"/>
    </row>
    <row r="32" spans="4:6" outlineLevel="1">
      <c r="D32" s="27">
        <f>ROWS(D$9:D32)</f>
        <v>24</v>
      </c>
      <c r="F32" s="24"/>
    </row>
    <row r="33" spans="1:6" outlineLevel="1">
      <c r="D33" s="27">
        <f>ROWS(D$9:D33)</f>
        <v>25</v>
      </c>
      <c r="F33" s="24"/>
    </row>
    <row r="34" spans="1:6" outlineLevel="1">
      <c r="D34" s="27">
        <f>ROWS(D$9:D34)</f>
        <v>26</v>
      </c>
      <c r="F34" s="24"/>
    </row>
    <row r="35" spans="1:6" outlineLevel="1">
      <c r="D35" s="27">
        <f>ROWS(D$9:D35)</f>
        <v>27</v>
      </c>
      <c r="F35" s="24"/>
    </row>
    <row r="36" spans="1:6" outlineLevel="1">
      <c r="D36" s="27">
        <f>ROWS(D$9:D36)</f>
        <v>28</v>
      </c>
      <c r="F36" s="24"/>
    </row>
    <row r="37" spans="1:6" outlineLevel="1">
      <c r="D37" s="27">
        <f>ROWS(D$9:D37)</f>
        <v>29</v>
      </c>
      <c r="F37" s="24"/>
    </row>
    <row r="38" spans="1:6" outlineLevel="1">
      <c r="D38" s="27">
        <f>ROWS(D$9:D38)</f>
        <v>30</v>
      </c>
      <c r="F38" s="24"/>
    </row>
    <row r="39" spans="1:6" outlineLevel="1">
      <c r="D39" s="27">
        <f>ROWS(D$9:D39)</f>
        <v>31</v>
      </c>
      <c r="F39" s="24"/>
    </row>
    <row r="40" spans="1:6" outlineLevel="1"/>
    <row r="41" spans="1:6" s="25" customFormat="1" outlineLevel="1">
      <c r="A41"/>
      <c r="B41"/>
      <c r="C41" s="256" t="s">
        <v>42</v>
      </c>
      <c r="D41" s="256"/>
      <c r="E41" s="256"/>
      <c r="F41" s="25" t="s">
        <v>39</v>
      </c>
    </row>
    <row r="42" spans="1:6" outlineLevel="1"/>
    <row r="43" spans="1:6" outlineLevel="1">
      <c r="D43" s="26" t="s">
        <v>43</v>
      </c>
      <c r="F43" s="24" t="s">
        <v>44</v>
      </c>
    </row>
    <row r="44" spans="1:6" outlineLevel="1">
      <c r="D44" s="28" t="str">
        <f>TEXT(DATE(1,ROWS(D$44:D44),1),"mmmm")</f>
        <v>January</v>
      </c>
      <c r="F44" s="24"/>
    </row>
    <row r="45" spans="1:6" outlineLevel="1">
      <c r="D45" s="28" t="str">
        <f>TEXT(DATE(1,ROWS(D$44:D45),1),"mmmm")</f>
        <v>February</v>
      </c>
      <c r="F45" s="24"/>
    </row>
    <row r="46" spans="1:6" outlineLevel="1">
      <c r="D46" s="28" t="str">
        <f>TEXT(DATE(1,ROWS(D$44:D46),1),"mmmm")</f>
        <v>March</v>
      </c>
      <c r="F46" s="24"/>
    </row>
    <row r="47" spans="1:6" outlineLevel="1">
      <c r="D47" s="28" t="str">
        <f>TEXT(DATE(1,ROWS(D$44:D47),1),"mmmm")</f>
        <v>April</v>
      </c>
      <c r="F47" s="24"/>
    </row>
    <row r="48" spans="1:6" outlineLevel="1">
      <c r="D48" s="28" t="str">
        <f>TEXT(DATE(1,ROWS(D$44:D48),1),"mmmm")</f>
        <v>May</v>
      </c>
      <c r="F48" s="24"/>
    </row>
    <row r="49" spans="1:6" outlineLevel="1">
      <c r="D49" s="28" t="str">
        <f>TEXT(DATE(1,ROWS(D$44:D49),1),"mmmm")</f>
        <v>June</v>
      </c>
      <c r="F49" s="24"/>
    </row>
    <row r="50" spans="1:6" outlineLevel="1">
      <c r="D50" s="28" t="str">
        <f>TEXT(DATE(1,ROWS(D$44:D50),1),"mmmm")</f>
        <v>July</v>
      </c>
      <c r="F50" s="24"/>
    </row>
    <row r="51" spans="1:6" outlineLevel="1">
      <c r="D51" s="28" t="str">
        <f>TEXT(DATE(1,ROWS(D$44:D51),1),"mmmm")</f>
        <v>August</v>
      </c>
      <c r="F51" s="24"/>
    </row>
    <row r="52" spans="1:6" outlineLevel="1">
      <c r="D52" s="28" t="str">
        <f>TEXT(DATE(1,ROWS(D$44:D52),1),"mmmm")</f>
        <v>September</v>
      </c>
      <c r="F52" s="24"/>
    </row>
    <row r="53" spans="1:6" outlineLevel="1">
      <c r="D53" s="28" t="str">
        <f>TEXT(DATE(1,ROWS(D$44:D53),1),"mmmm")</f>
        <v>October</v>
      </c>
      <c r="F53" s="24"/>
    </row>
    <row r="54" spans="1:6" outlineLevel="1">
      <c r="D54" s="28" t="str">
        <f>TEXT(DATE(1,ROWS(D$44:D54),1),"mmmm")</f>
        <v>November</v>
      </c>
      <c r="F54" s="24"/>
    </row>
    <row r="55" spans="1:6" outlineLevel="1">
      <c r="D55" s="28" t="str">
        <f>TEXT(DATE(1,ROWS(D$44:D55),1),"mmmm")</f>
        <v>December</v>
      </c>
      <c r="F55" s="24"/>
    </row>
    <row r="56" spans="1:6" outlineLevel="1"/>
    <row r="57" spans="1:6" s="25" customFormat="1" outlineLevel="1">
      <c r="A57"/>
      <c r="B57"/>
      <c r="C57" s="25" t="s">
        <v>45</v>
      </c>
    </row>
    <row r="58" spans="1:6" outlineLevel="1"/>
    <row r="59" spans="1:6" outlineLevel="1">
      <c r="D59" s="26" t="s">
        <v>46</v>
      </c>
      <c r="F59" s="29" t="s">
        <v>47</v>
      </c>
    </row>
    <row r="60" spans="1:6" outlineLevel="1">
      <c r="D60" s="31">
        <v>60</v>
      </c>
      <c r="F60" s="24" t="s">
        <v>48</v>
      </c>
    </row>
    <row r="61" spans="1:6" outlineLevel="1">
      <c r="D61" s="31">
        <v>60</v>
      </c>
      <c r="F61" s="24" t="s">
        <v>49</v>
      </c>
    </row>
    <row r="62" spans="1:6" outlineLevel="1">
      <c r="D62" s="31">
        <v>24</v>
      </c>
      <c r="F62" s="24" t="s">
        <v>50</v>
      </c>
    </row>
    <row r="63" spans="1:6" outlineLevel="1">
      <c r="D63" s="31">
        <v>7</v>
      </c>
      <c r="F63" s="24" t="s">
        <v>51</v>
      </c>
    </row>
    <row r="64" spans="1:6" outlineLevel="1">
      <c r="D64" s="31">
        <v>3</v>
      </c>
      <c r="F64" s="24" t="s">
        <v>52</v>
      </c>
    </row>
    <row r="65" spans="1:6" outlineLevel="1">
      <c r="D65" s="31">
        <v>6</v>
      </c>
      <c r="F65" s="24" t="s">
        <v>53</v>
      </c>
    </row>
    <row r="66" spans="1:6" outlineLevel="1">
      <c r="D66" s="31">
        <v>12</v>
      </c>
      <c r="F66" s="24" t="s">
        <v>54</v>
      </c>
    </row>
    <row r="67" spans="1:6" outlineLevel="1">
      <c r="D67" s="31">
        <v>2</v>
      </c>
      <c r="F67" s="24" t="s">
        <v>55</v>
      </c>
    </row>
    <row r="68" spans="1:6" outlineLevel="1">
      <c r="D68" s="31">
        <v>4</v>
      </c>
      <c r="F68" s="24" t="s">
        <v>56</v>
      </c>
    </row>
    <row r="69" spans="1:6" outlineLevel="1">
      <c r="D69" s="31">
        <v>2</v>
      </c>
      <c r="F69" s="24" t="s">
        <v>57</v>
      </c>
    </row>
    <row r="70" spans="1:6" outlineLevel="1"/>
    <row r="71" spans="1:6" s="25" customFormat="1" outlineLevel="1">
      <c r="A71"/>
      <c r="B71"/>
      <c r="C71" s="256" t="s">
        <v>58</v>
      </c>
      <c r="D71" s="256"/>
      <c r="E71" s="256"/>
      <c r="F71" s="25" t="s">
        <v>39</v>
      </c>
    </row>
    <row r="72" spans="1:6" outlineLevel="1"/>
    <row r="73" spans="1:6" outlineLevel="1">
      <c r="D73" s="26" t="s">
        <v>34</v>
      </c>
      <c r="F73" s="24" t="s">
        <v>59</v>
      </c>
    </row>
    <row r="74" spans="1:6" outlineLevel="1">
      <c r="D74" s="28" t="str">
        <f>Ts_Currency&amp;CHOOSE(ROWS(D$74:D74),"","'000","Millions","Billions")</f>
        <v>$</v>
      </c>
      <c r="F74" s="24"/>
    </row>
    <row r="75" spans="1:6" outlineLevel="1">
      <c r="D75" s="28" t="str">
        <f>Ts_Currency&amp;CHOOSE(ROWS(D$74:D75),"","'000","Millions","Billions")</f>
        <v>$'000</v>
      </c>
      <c r="F75" s="24"/>
    </row>
    <row r="76" spans="1:6" outlineLevel="1">
      <c r="D76" s="28" t="str">
        <f>Ts_Currency&amp;CHOOSE(ROWS(D$74:D76),"","'000","Millions","Billions")</f>
        <v>$Millions</v>
      </c>
      <c r="F76" s="24"/>
    </row>
    <row r="77" spans="1:6" outlineLevel="1">
      <c r="D77" s="28" t="str">
        <f>Ts_Currency&amp;CHOOSE(ROWS(D$74:D77),"","'000","Millions","Billions")</f>
        <v>$Billions</v>
      </c>
      <c r="F77" s="24"/>
    </row>
    <row r="78" spans="1:6" outlineLevel="1"/>
    <row r="79" spans="1:6" s="25" customFormat="1" outlineLevel="1">
      <c r="A79"/>
      <c r="B79"/>
      <c r="C79" s="256" t="s">
        <v>60</v>
      </c>
      <c r="D79" s="256"/>
      <c r="E79" s="256"/>
      <c r="F79" s="25" t="s">
        <v>39</v>
      </c>
    </row>
    <row r="80" spans="1:6" outlineLevel="1"/>
    <row r="81" spans="4:6" outlineLevel="1">
      <c r="D81" s="26" t="s">
        <v>61</v>
      </c>
      <c r="F81" s="24" t="s">
        <v>62</v>
      </c>
    </row>
    <row r="82" spans="4:6" outlineLevel="1">
      <c r="D82" s="32">
        <v>1</v>
      </c>
      <c r="F82" s="24"/>
    </row>
    <row r="83" spans="4:6" outlineLevel="1">
      <c r="D83" s="32">
        <v>1000</v>
      </c>
      <c r="F83" s="24" t="s">
        <v>63</v>
      </c>
    </row>
    <row r="84" spans="4:6" outlineLevel="1">
      <c r="D84" s="32">
        <v>1000000</v>
      </c>
      <c r="F84" s="24" t="s">
        <v>64</v>
      </c>
    </row>
    <row r="85" spans="4:6" outlineLevel="1">
      <c r="D85" s="32">
        <v>1000000000</v>
      </c>
      <c r="F85" s="24" t="s">
        <v>65</v>
      </c>
    </row>
  </sheetData>
  <sheetProtection formatColumns="0" formatRows="0"/>
  <mergeCells count="4">
    <mergeCell ref="C6:E6"/>
    <mergeCell ref="C41:E41"/>
    <mergeCell ref="C71:E71"/>
    <mergeCell ref="C79:E79"/>
  </mergeCells>
  <hyperlinks>
    <hyperlink ref="A1" location="HL_Home" tooltip="Go to Table of Contents" display="HL_Home" xr:uid="{5F36F70D-08C2-4586-90AA-739C492647EA}"/>
    <hyperlink ref="A2" location="HL_Err_Chk" tooltip="Go to Error Checks" display="HL_Err_Chk" xr:uid="{1B0953AC-306D-4FD6-8343-67803EACF129}"/>
  </hyperlinks>
  <pageMargins left="0.39370078740157499" right="0.39370078740157499" top="0.59055118110236204" bottom="0.98425196850393704" header="0" footer="0.31496062992126"/>
  <pageSetup paperSize="9" orientation="landscape" r:id="rId1"/>
  <headerFooter>
    <oddFooter>&amp;L&amp;F
&amp;A
Printed: &amp;T on &amp;D&amp;CPage &amp;P of &amp;N</oddFooter>
  </headerFooter>
  <customProperties>
    <customPr name="EpmWorksheetKeyString_GUID" r:id="rId2"/>
  </customPropertie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5F9D41-FCF7-4D93-8283-CDD9542A2978}">
  <sheetPr>
    <pageSetUpPr autoPageBreaks="0"/>
  </sheetPr>
  <dimension ref="A1:M190"/>
  <sheetViews>
    <sheetView showGridLines="0" zoomScaleNormal="100" workbookViewId="0">
      <pane xSplit="1" ySplit="2" topLeftCell="B127" activePane="bottomRight" state="frozen"/>
      <selection activeCell="I248" sqref="I248"/>
      <selection pane="topRight" activeCell="I248" sqref="I248"/>
      <selection pane="bottomLeft" activeCell="I248" sqref="I248"/>
      <selection pane="bottomRight" activeCell="I248" sqref="I248"/>
    </sheetView>
  </sheetViews>
  <sheetFormatPr defaultColWidth="11.59765625" defaultRowHeight="11.5" outlineLevelRow="1"/>
  <cols>
    <col min="1" max="5" width="3.59765625" customWidth="1"/>
  </cols>
  <sheetData>
    <row r="1" spans="1:13" ht="14">
      <c r="A1" s="10" t="s">
        <v>11</v>
      </c>
      <c r="B1" s="6" t="s">
        <v>19</v>
      </c>
    </row>
    <row r="2" spans="1:13" ht="13">
      <c r="A2" s="23" t="s">
        <v>26</v>
      </c>
      <c r="B2" s="7" t="str">
        <f ca="1">Model_Name</f>
        <v>GAAR Capex Forecast</v>
      </c>
    </row>
    <row r="4" spans="1:13" s="2" customFormat="1">
      <c r="A4"/>
      <c r="B4" s="3" t="s">
        <v>12</v>
      </c>
    </row>
    <row r="5" spans="1:13" outlineLevel="1"/>
    <row r="6" spans="1:13" outlineLevel="1">
      <c r="B6" s="18" t="s">
        <v>18</v>
      </c>
      <c r="F6" s="19">
        <f ca="1">Err_Chks_Ttl_Areas</f>
        <v>0</v>
      </c>
      <c r="G6" s="20" t="str">
        <f ca="1">IF(OR(NOT(CB_Err_Chks_Show_Msg),Err_Chks_Ttl_Areas=0),"",IF(Err_Chks_Ttl_Areas=1," (Error in "&amp;INDEX(CA_Err_Chks_Area_Names,MATCH(1,CA_Err_Chks_Flags,0))&amp;")"," ("&amp;TEXT(Err_Chks_Ttl_Areas,"#,##0")&amp;" Errors Detected)"))</f>
        <v/>
      </c>
    </row>
    <row r="7" spans="1:13" outlineLevel="1"/>
    <row r="8" spans="1:13" outlineLevel="1">
      <c r="B8" s="11" t="s">
        <v>12</v>
      </c>
      <c r="C8" s="12"/>
      <c r="D8" s="12"/>
      <c r="E8" s="12"/>
      <c r="F8" s="12"/>
      <c r="G8" s="12"/>
      <c r="H8" s="12"/>
      <c r="I8" s="12"/>
      <c r="J8" s="12"/>
      <c r="K8" s="13" t="s">
        <v>13</v>
      </c>
      <c r="L8" s="13" t="s">
        <v>14</v>
      </c>
      <c r="M8" s="13" t="s">
        <v>15</v>
      </c>
    </row>
    <row r="9" spans="1:13" ht="5.9" customHeight="1" outlineLevel="1"/>
    <row r="10" spans="1:13" outlineLevel="1">
      <c r="B10" s="176" t="str">
        <f>IF(ISERROR(Err_Chk_2_Hdg),"Miscellaneous Check",Err_Chk_2_Hdg)</f>
        <v>3001 - Inputs Work Code v RAB Category Direct Check</v>
      </c>
      <c r="C10" s="106"/>
      <c r="D10" s="106"/>
      <c r="E10" s="106"/>
      <c r="F10" s="106"/>
      <c r="G10" s="106"/>
      <c r="H10" s="106"/>
      <c r="I10" s="106"/>
      <c r="J10" s="106"/>
      <c r="K10" s="131">
        <f ca="1">IF(ISERROR(HL_Err_Chk_2),1,(HL_Err_Chk_2&lt;&gt;0)*1)</f>
        <v>0</v>
      </c>
      <c r="L10" s="132" t="s">
        <v>17</v>
      </c>
      <c r="M10" s="14">
        <f t="shared" ref="M10:M41" ca="1" si="0">K10*(L10="Yes")</f>
        <v>0</v>
      </c>
    </row>
    <row r="11" spans="1:13" outlineLevel="1">
      <c r="B11" s="176" t="str">
        <f>IF(ISERROR(Err_Chk_30_Hdg),"Miscellaneous Check",Err_Chk_30_Hdg)</f>
        <v>3001 - Inputs Work Code v RIN Category Direct Check</v>
      </c>
      <c r="C11" s="106"/>
      <c r="D11" s="106"/>
      <c r="E11" s="106"/>
      <c r="F11" s="106"/>
      <c r="G11" s="106"/>
      <c r="H11" s="106"/>
      <c r="I11" s="106"/>
      <c r="J11" s="106"/>
      <c r="K11" s="131">
        <f ca="1">IF(ISERROR(HL_Err_Chk_30),1,(HL_Err_Chk_30&lt;&gt;0)*1)</f>
        <v>0</v>
      </c>
      <c r="L11" s="132" t="s">
        <v>17</v>
      </c>
      <c r="M11" s="14">
        <f t="shared" ca="1" si="0"/>
        <v>0</v>
      </c>
    </row>
    <row r="12" spans="1:13" outlineLevel="1">
      <c r="B12" s="176" t="str">
        <f>IF(ISERROR(Err_Chk_58_Hdg),"Miscellaneous Check",Err_Chk_58_Hdg)</f>
        <v>3001 - Inputs Work Code v Tax Category Direct Check</v>
      </c>
      <c r="C12" s="106"/>
      <c r="D12" s="106"/>
      <c r="E12" s="106"/>
      <c r="F12" s="106"/>
      <c r="G12" s="106"/>
      <c r="H12" s="106"/>
      <c r="I12" s="106"/>
      <c r="J12" s="106"/>
      <c r="K12" s="131">
        <f ca="1">IF(ISERROR(HL_Err_Chk_58),1,(HL_Err_Chk_58&lt;&gt;0)*1)</f>
        <v>0</v>
      </c>
      <c r="L12" s="132" t="s">
        <v>17</v>
      </c>
      <c r="M12" s="14">
        <f t="shared" ca="1" si="0"/>
        <v>0</v>
      </c>
    </row>
    <row r="13" spans="1:13" outlineLevel="1">
      <c r="B13" s="176" t="str">
        <f>IF(ISERROR(Err_Chk_143_Hdg),"Miscellaneous Check",Err_Chk_143_Hdg)</f>
        <v>3001 - Inputs Customer Contributions v RAB Category Direct Check</v>
      </c>
      <c r="C13" s="106"/>
      <c r="D13" s="106"/>
      <c r="E13" s="106"/>
      <c r="F13" s="106"/>
      <c r="G13" s="106"/>
      <c r="H13" s="106"/>
      <c r="I13" s="106"/>
      <c r="J13" s="106"/>
      <c r="K13" s="131">
        <f ca="1">IF(ISERROR(HL_Err_Chk_143),1,(HL_Err_Chk_143&lt;&gt;0)*1)</f>
        <v>0</v>
      </c>
      <c r="L13" s="132" t="s">
        <v>17</v>
      </c>
      <c r="M13" s="14">
        <f t="shared" ca="1" si="0"/>
        <v>0</v>
      </c>
    </row>
    <row r="14" spans="1:13" outlineLevel="1">
      <c r="B14" s="176" t="str">
        <f>IF(ISERROR(Err_Chk_86_Hdg),"Miscellaneous Check",Err_Chk_86_Hdg)</f>
        <v>3001 - Inputs RAB v RIN Direct + Overhead Check</v>
      </c>
      <c r="C14" s="106"/>
      <c r="D14" s="106"/>
      <c r="E14" s="106"/>
      <c r="F14" s="106"/>
      <c r="G14" s="106"/>
      <c r="H14" s="106"/>
      <c r="I14" s="106"/>
      <c r="J14" s="106"/>
      <c r="K14" s="131">
        <f ca="1">IF(ISERROR(HL_Err_Chk_86),1,(HL_Err_Chk_86&lt;&gt;0)*1)</f>
        <v>0</v>
      </c>
      <c r="L14" s="132" t="s">
        <v>17</v>
      </c>
      <c r="M14" s="14">
        <f t="shared" ca="1" si="0"/>
        <v>0</v>
      </c>
    </row>
    <row r="15" spans="1:13" outlineLevel="1">
      <c r="B15" s="176" t="str">
        <f>IF(ISERROR(Err_Chk_114_Hdg),"Miscellaneous Check",Err_Chk_114_Hdg)</f>
        <v>3001 - Inputs RAB v Tax Direct + Overhead Check</v>
      </c>
      <c r="C15" s="106"/>
      <c r="D15" s="106"/>
      <c r="E15" s="106"/>
      <c r="F15" s="106"/>
      <c r="G15" s="106"/>
      <c r="H15" s="106"/>
      <c r="I15" s="106"/>
      <c r="J15" s="106"/>
      <c r="K15" s="131">
        <f ca="1">IF(ISERROR(HL_Err_Chk_114),1,(HL_Err_Chk_114&lt;&gt;0)*1)</f>
        <v>0</v>
      </c>
      <c r="L15" s="132" t="s">
        <v>17</v>
      </c>
      <c r="M15" s="14">
        <f t="shared" ca="1" si="0"/>
        <v>0</v>
      </c>
    </row>
    <row r="16" spans="1:13" outlineLevel="1">
      <c r="B16" s="176" t="str">
        <f>IF(ISERROR(Err_Chk_4_Hdg),"Miscellaneous Check",Err_Chk_4_Hdg)</f>
        <v>3003 - Inputs Work Code v RAB Category Direct Check</v>
      </c>
      <c r="C16" s="106"/>
      <c r="D16" s="106"/>
      <c r="E16" s="106"/>
      <c r="F16" s="106"/>
      <c r="G16" s="106"/>
      <c r="H16" s="106"/>
      <c r="I16" s="106"/>
      <c r="J16" s="106"/>
      <c r="K16" s="131">
        <f ca="1">IF(ISERROR(HL_Err_Chk_4),1,(HL_Err_Chk_4&lt;&gt;0)*1)</f>
        <v>0</v>
      </c>
      <c r="L16" s="132" t="s">
        <v>17</v>
      </c>
      <c r="M16" s="14">
        <f t="shared" ca="1" si="0"/>
        <v>0</v>
      </c>
    </row>
    <row r="17" spans="2:13" outlineLevel="1">
      <c r="B17" s="176" t="str">
        <f>IF(ISERROR(Err_Chk_32_Hdg),"Miscellaneous Check",Err_Chk_32_Hdg)</f>
        <v>3003 - Inputs Work Code v RIN Category Direct Check</v>
      </c>
      <c r="C17" s="106"/>
      <c r="D17" s="106"/>
      <c r="E17" s="106"/>
      <c r="F17" s="106"/>
      <c r="G17" s="106"/>
      <c r="H17" s="106"/>
      <c r="I17" s="106"/>
      <c r="J17" s="106"/>
      <c r="K17" s="131">
        <f ca="1">IF(ISERROR(HL_Err_Chk_32),1,(HL_Err_Chk_32&lt;&gt;0)*1)</f>
        <v>0</v>
      </c>
      <c r="L17" s="132" t="s">
        <v>17</v>
      </c>
      <c r="M17" s="14">
        <f t="shared" ca="1" si="0"/>
        <v>0</v>
      </c>
    </row>
    <row r="18" spans="2:13" outlineLevel="1">
      <c r="B18" s="176" t="str">
        <f>IF(ISERROR(Err_Chk_60_Hdg),"Miscellaneous Check",Err_Chk_60_Hdg)</f>
        <v>3003 - Inputs Work Code v Tax Category Direct Check</v>
      </c>
      <c r="C18" s="106"/>
      <c r="D18" s="106"/>
      <c r="E18" s="106"/>
      <c r="F18" s="106"/>
      <c r="G18" s="106"/>
      <c r="H18" s="106"/>
      <c r="I18" s="106"/>
      <c r="J18" s="106"/>
      <c r="K18" s="131">
        <f ca="1">IF(ISERROR(HL_Err_Chk_60),1,(HL_Err_Chk_60&lt;&gt;0)*1)</f>
        <v>0</v>
      </c>
      <c r="L18" s="132" t="s">
        <v>17</v>
      </c>
      <c r="M18" s="14">
        <f t="shared" ca="1" si="0"/>
        <v>0</v>
      </c>
    </row>
    <row r="19" spans="2:13" outlineLevel="1">
      <c r="B19" s="176" t="str">
        <f>IF(ISERROR(Err_Chk_145_Hdg),"Miscellaneous Check",Err_Chk_145_Hdg)</f>
        <v>3003 - Inputs Customer Contributions v RAB Category Direct Check</v>
      </c>
      <c r="C19" s="106"/>
      <c r="D19" s="106"/>
      <c r="E19" s="106"/>
      <c r="F19" s="106"/>
      <c r="G19" s="106"/>
      <c r="H19" s="106"/>
      <c r="I19" s="106"/>
      <c r="J19" s="106"/>
      <c r="K19" s="131">
        <f ca="1">IF(ISERROR(HL_Err_Chk_145),1,(HL_Err_Chk_145&lt;&gt;0)*1)</f>
        <v>0</v>
      </c>
      <c r="L19" s="132" t="s">
        <v>17</v>
      </c>
      <c r="M19" s="14">
        <f t="shared" ca="1" si="0"/>
        <v>0</v>
      </c>
    </row>
    <row r="20" spans="2:13" outlineLevel="1">
      <c r="B20" s="176" t="str">
        <f>IF(ISERROR(Err_Chk_88_Hdg),"Miscellaneous Check",Err_Chk_88_Hdg)</f>
        <v>3003 - Inputs RAB v RIN Direct + Overhead Check</v>
      </c>
      <c r="C20" s="106"/>
      <c r="D20" s="106"/>
      <c r="E20" s="106"/>
      <c r="F20" s="106"/>
      <c r="G20" s="106"/>
      <c r="H20" s="106"/>
      <c r="I20" s="106"/>
      <c r="J20" s="106"/>
      <c r="K20" s="131">
        <f ca="1">IF(ISERROR(HL_Err_Chk_88),1,(HL_Err_Chk_88&lt;&gt;0)*1)</f>
        <v>0</v>
      </c>
      <c r="L20" s="132" t="s">
        <v>17</v>
      </c>
      <c r="M20" s="14">
        <f t="shared" ca="1" si="0"/>
        <v>0</v>
      </c>
    </row>
    <row r="21" spans="2:13" outlineLevel="1">
      <c r="B21" s="176" t="str">
        <f>IF(ISERROR(Err_Chk_116_Hdg),"Miscellaneous Check",Err_Chk_116_Hdg)</f>
        <v>3003 - Inputs RAB v Tax Direct + Overhead Check</v>
      </c>
      <c r="C21" s="106"/>
      <c r="D21" s="106"/>
      <c r="E21" s="106"/>
      <c r="F21" s="106"/>
      <c r="G21" s="106"/>
      <c r="H21" s="106"/>
      <c r="I21" s="106"/>
      <c r="J21" s="106"/>
      <c r="K21" s="131">
        <f ca="1">IF(ISERROR(HL_Err_Chk_116),1,(HL_Err_Chk_116&lt;&gt;0)*1)</f>
        <v>0</v>
      </c>
      <c r="L21" s="132" t="s">
        <v>17</v>
      </c>
      <c r="M21" s="14">
        <f t="shared" ca="1" si="0"/>
        <v>0</v>
      </c>
    </row>
    <row r="22" spans="2:13" outlineLevel="1">
      <c r="B22" s="176" t="str">
        <f>IF(ISERROR(Err_Chk_6_Hdg),"Miscellaneous Check",Err_Chk_6_Hdg)</f>
        <v>3005 - Inputs Work Code v RAB Category Direct Check</v>
      </c>
      <c r="C22" s="106"/>
      <c r="D22" s="106"/>
      <c r="E22" s="106"/>
      <c r="F22" s="106"/>
      <c r="G22" s="106"/>
      <c r="H22" s="106"/>
      <c r="I22" s="106"/>
      <c r="J22" s="106"/>
      <c r="K22" s="131">
        <f ca="1">IF(ISERROR(HL_Err_Chk_6),1,(HL_Err_Chk_6&lt;&gt;0)*1)</f>
        <v>0</v>
      </c>
      <c r="L22" s="132" t="s">
        <v>17</v>
      </c>
      <c r="M22" s="14">
        <f t="shared" ca="1" si="0"/>
        <v>0</v>
      </c>
    </row>
    <row r="23" spans="2:13" outlineLevel="1">
      <c r="B23" s="176" t="str">
        <f>IF(ISERROR(Err_Chk_34_Hdg),"Miscellaneous Check",Err_Chk_34_Hdg)</f>
        <v>3005 - Inputs Work Code v RIN Category Direct Check</v>
      </c>
      <c r="C23" s="106"/>
      <c r="D23" s="106"/>
      <c r="E23" s="106"/>
      <c r="F23" s="106"/>
      <c r="G23" s="106"/>
      <c r="H23" s="106"/>
      <c r="I23" s="106"/>
      <c r="J23" s="106"/>
      <c r="K23" s="131">
        <f ca="1">IF(ISERROR(HL_Err_Chk_34),1,(HL_Err_Chk_34&lt;&gt;0)*1)</f>
        <v>0</v>
      </c>
      <c r="L23" s="132" t="s">
        <v>17</v>
      </c>
      <c r="M23" s="14">
        <f t="shared" ca="1" si="0"/>
        <v>0</v>
      </c>
    </row>
    <row r="24" spans="2:13" outlineLevel="1">
      <c r="B24" s="176" t="str">
        <f>IF(ISERROR(Err_Chk_62_Hdg),"Miscellaneous Check",Err_Chk_62_Hdg)</f>
        <v>3005 - Inputs Work Code v Tax Category Direct Check</v>
      </c>
      <c r="C24" s="106"/>
      <c r="D24" s="106"/>
      <c r="E24" s="106"/>
      <c r="F24" s="106"/>
      <c r="G24" s="106"/>
      <c r="H24" s="106"/>
      <c r="I24" s="106"/>
      <c r="J24" s="106"/>
      <c r="K24" s="131">
        <f ca="1">IF(ISERROR(HL_Err_Chk_62),1,(HL_Err_Chk_62&lt;&gt;0)*1)</f>
        <v>0</v>
      </c>
      <c r="L24" s="132" t="s">
        <v>17</v>
      </c>
      <c r="M24" s="14">
        <f t="shared" ca="1" si="0"/>
        <v>0</v>
      </c>
    </row>
    <row r="25" spans="2:13" outlineLevel="1">
      <c r="B25" s="176" t="str">
        <f>IF(ISERROR(Err_Chk_147_Hdg),"Miscellaneous Check",Err_Chk_147_Hdg)</f>
        <v>3005 - Inputs Customer Contributions v RAB Category Direct Check</v>
      </c>
      <c r="C25" s="106"/>
      <c r="D25" s="106"/>
      <c r="E25" s="106"/>
      <c r="F25" s="106"/>
      <c r="G25" s="106"/>
      <c r="H25" s="106"/>
      <c r="I25" s="106"/>
      <c r="J25" s="106"/>
      <c r="K25" s="131">
        <f ca="1">IF(ISERROR(HL_Err_Chk_147),1,(HL_Err_Chk_147&lt;&gt;0)*1)</f>
        <v>0</v>
      </c>
      <c r="L25" s="132" t="s">
        <v>17</v>
      </c>
      <c r="M25" s="14">
        <f t="shared" ca="1" si="0"/>
        <v>0</v>
      </c>
    </row>
    <row r="26" spans="2:13" outlineLevel="1">
      <c r="B26" s="176" t="str">
        <f>IF(ISERROR(Err_Chk_90_Hdg),"Miscellaneous Check",Err_Chk_90_Hdg)</f>
        <v>3005 - Inputs RAB v RIN Direct + Overhead Check</v>
      </c>
      <c r="C26" s="106"/>
      <c r="D26" s="106"/>
      <c r="E26" s="106"/>
      <c r="F26" s="106"/>
      <c r="G26" s="106"/>
      <c r="H26" s="106"/>
      <c r="I26" s="106"/>
      <c r="J26" s="106"/>
      <c r="K26" s="131">
        <f ca="1">IF(ISERROR(HL_Err_Chk_90),1,(HL_Err_Chk_90&lt;&gt;0)*1)</f>
        <v>0</v>
      </c>
      <c r="L26" s="132" t="s">
        <v>17</v>
      </c>
      <c r="M26" s="14">
        <f t="shared" ca="1" si="0"/>
        <v>0</v>
      </c>
    </row>
    <row r="27" spans="2:13" outlineLevel="1">
      <c r="B27" s="176" t="str">
        <f>IF(ISERROR(Err_Chk_118_Hdg),"Miscellaneous Check",Err_Chk_118_Hdg)</f>
        <v>3005 - Inputs RAB v Tax Direct + Overhead Check</v>
      </c>
      <c r="C27" s="106"/>
      <c r="D27" s="106"/>
      <c r="E27" s="106"/>
      <c r="F27" s="106"/>
      <c r="G27" s="106"/>
      <c r="H27" s="106"/>
      <c r="I27" s="106"/>
      <c r="J27" s="106"/>
      <c r="K27" s="131">
        <f ca="1">IF(ISERROR(HL_Err_Chk_118),1,(HL_Err_Chk_118&lt;&gt;0)*1)</f>
        <v>0</v>
      </c>
      <c r="L27" s="132" t="s">
        <v>17</v>
      </c>
      <c r="M27" s="14">
        <f t="shared" ca="1" si="0"/>
        <v>0</v>
      </c>
    </row>
    <row r="28" spans="2:13" outlineLevel="1">
      <c r="B28" s="176" t="str">
        <f>IF(ISERROR(Err_Chk_3_Hdg),"Miscellaneous Check",Err_Chk_3_Hdg)</f>
        <v>3002 - Inputs Work Code v RAB Category Direct Check</v>
      </c>
      <c r="C28" s="106"/>
      <c r="D28" s="106"/>
      <c r="E28" s="106"/>
      <c r="F28" s="106"/>
      <c r="G28" s="106"/>
      <c r="H28" s="106"/>
      <c r="I28" s="106"/>
      <c r="J28" s="106"/>
      <c r="K28" s="131">
        <f ca="1">IF(ISERROR(HL_Err_Chk_3),1,(HL_Err_Chk_3&lt;&gt;0)*1)</f>
        <v>0</v>
      </c>
      <c r="L28" s="132" t="s">
        <v>17</v>
      </c>
      <c r="M28" s="14">
        <f t="shared" ca="1" si="0"/>
        <v>0</v>
      </c>
    </row>
    <row r="29" spans="2:13" outlineLevel="1">
      <c r="B29" s="176" t="str">
        <f>IF(ISERROR(Err_Chk_31_Hdg),"Miscellaneous Check",Err_Chk_31_Hdg)</f>
        <v>3002 - Inputs Work Code v RIN Category Direct Check</v>
      </c>
      <c r="C29" s="106"/>
      <c r="D29" s="106"/>
      <c r="E29" s="106"/>
      <c r="F29" s="106"/>
      <c r="G29" s="106"/>
      <c r="H29" s="106"/>
      <c r="I29" s="106"/>
      <c r="J29" s="106"/>
      <c r="K29" s="131">
        <f ca="1">IF(ISERROR(HL_Err_Chk_31),1,(HL_Err_Chk_31&lt;&gt;0)*1)</f>
        <v>0</v>
      </c>
      <c r="L29" s="132" t="s">
        <v>17</v>
      </c>
      <c r="M29" s="14">
        <f t="shared" ca="1" si="0"/>
        <v>0</v>
      </c>
    </row>
    <row r="30" spans="2:13" outlineLevel="1">
      <c r="B30" s="176" t="str">
        <f>IF(ISERROR(Err_Chk_59_Hdg),"Miscellaneous Check",Err_Chk_59_Hdg)</f>
        <v>3002 - Inputs Work Code v Tax Category Direct Check</v>
      </c>
      <c r="C30" s="106"/>
      <c r="D30" s="106"/>
      <c r="E30" s="106"/>
      <c r="F30" s="106"/>
      <c r="G30" s="106"/>
      <c r="H30" s="106"/>
      <c r="I30" s="106"/>
      <c r="J30" s="106"/>
      <c r="K30" s="131">
        <f ca="1">IF(ISERROR(HL_Err_Chk_59),1,(HL_Err_Chk_59&lt;&gt;0)*1)</f>
        <v>0</v>
      </c>
      <c r="L30" s="132" t="s">
        <v>17</v>
      </c>
      <c r="M30" s="14">
        <f t="shared" ca="1" si="0"/>
        <v>0</v>
      </c>
    </row>
    <row r="31" spans="2:13" outlineLevel="1">
      <c r="B31" s="176" t="str">
        <f>IF(ISERROR(Err_Chk_144_Hdg),"Miscellaneous Check",Err_Chk_144_Hdg)</f>
        <v>3002 - Inputs Customer Contributions v RAB Category Direct Check</v>
      </c>
      <c r="C31" s="106"/>
      <c r="D31" s="106"/>
      <c r="E31" s="106"/>
      <c r="F31" s="106"/>
      <c r="G31" s="106"/>
      <c r="H31" s="106"/>
      <c r="I31" s="106"/>
      <c r="J31" s="106"/>
      <c r="K31" s="131">
        <f ca="1">IF(ISERROR(HL_Err_Chk_144),1,(HL_Err_Chk_144&lt;&gt;0)*1)</f>
        <v>0</v>
      </c>
      <c r="L31" s="132" t="s">
        <v>17</v>
      </c>
      <c r="M31" s="14">
        <f t="shared" ca="1" si="0"/>
        <v>0</v>
      </c>
    </row>
    <row r="32" spans="2:13" outlineLevel="1">
      <c r="B32" s="176" t="str">
        <f>IF(ISERROR(Err_Chk_87_Hdg),"Miscellaneous Check",Err_Chk_87_Hdg)</f>
        <v>3002 - Inputs RAB v RIN Direct + Overhead Check</v>
      </c>
      <c r="C32" s="106"/>
      <c r="D32" s="106"/>
      <c r="E32" s="106"/>
      <c r="F32" s="106"/>
      <c r="G32" s="106"/>
      <c r="H32" s="106"/>
      <c r="I32" s="106"/>
      <c r="J32" s="106"/>
      <c r="K32" s="131">
        <f ca="1">IF(ISERROR(HL_Err_Chk_87),1,(HL_Err_Chk_87&lt;&gt;0)*1)</f>
        <v>0</v>
      </c>
      <c r="L32" s="132" t="s">
        <v>17</v>
      </c>
      <c r="M32" s="14">
        <f t="shared" ca="1" si="0"/>
        <v>0</v>
      </c>
    </row>
    <row r="33" spans="2:13" outlineLevel="1">
      <c r="B33" s="176" t="str">
        <f>IF(ISERROR(Err_Chk_115_Hdg),"Miscellaneous Check",Err_Chk_115_Hdg)</f>
        <v>3002 - Inputs RAB v Tax Direct + Overhead Check</v>
      </c>
      <c r="C33" s="106"/>
      <c r="D33" s="106"/>
      <c r="E33" s="106"/>
      <c r="F33" s="106"/>
      <c r="G33" s="106"/>
      <c r="H33" s="106"/>
      <c r="I33" s="106"/>
      <c r="J33" s="106"/>
      <c r="K33" s="131">
        <f ca="1">IF(ISERROR(HL_Err_Chk_115),1,(HL_Err_Chk_115&lt;&gt;0)*1)</f>
        <v>0</v>
      </c>
      <c r="L33" s="132" t="s">
        <v>17</v>
      </c>
      <c r="M33" s="14">
        <f t="shared" ca="1" si="0"/>
        <v>0</v>
      </c>
    </row>
    <row r="34" spans="2:13" outlineLevel="1">
      <c r="B34" s="176" t="str">
        <f>IF(ISERROR(Err_Chk_5_Hdg),"Miscellaneous Check",Err_Chk_5_Hdg)</f>
        <v>3004 - Inputs Work Code v RAB Category Direct Check</v>
      </c>
      <c r="C34" s="106"/>
      <c r="D34" s="106"/>
      <c r="E34" s="106"/>
      <c r="F34" s="106"/>
      <c r="G34" s="106"/>
      <c r="H34" s="106"/>
      <c r="I34" s="106"/>
      <c r="J34" s="106"/>
      <c r="K34" s="131">
        <f ca="1">IF(ISERROR(HL_Err_Chk_5),1,(HL_Err_Chk_5&lt;&gt;0)*1)</f>
        <v>0</v>
      </c>
      <c r="L34" s="132" t="s">
        <v>17</v>
      </c>
      <c r="M34" s="14">
        <f t="shared" ca="1" si="0"/>
        <v>0</v>
      </c>
    </row>
    <row r="35" spans="2:13" outlineLevel="1">
      <c r="B35" s="176" t="str">
        <f>IF(ISERROR(Err_Chk_33_Hdg),"Miscellaneous Check",Err_Chk_33_Hdg)</f>
        <v>3004 - Inputs Work Code v RIN Category Direct Check</v>
      </c>
      <c r="C35" s="106"/>
      <c r="D35" s="106"/>
      <c r="E35" s="106"/>
      <c r="F35" s="106"/>
      <c r="G35" s="106"/>
      <c r="H35" s="106"/>
      <c r="I35" s="106"/>
      <c r="J35" s="106"/>
      <c r="K35" s="131">
        <f ca="1">IF(ISERROR(HL_Err_Chk_33),1,(HL_Err_Chk_33&lt;&gt;0)*1)</f>
        <v>0</v>
      </c>
      <c r="L35" s="132" t="s">
        <v>17</v>
      </c>
      <c r="M35" s="14">
        <f t="shared" ca="1" si="0"/>
        <v>0</v>
      </c>
    </row>
    <row r="36" spans="2:13" outlineLevel="1">
      <c r="B36" s="176" t="str">
        <f>IF(ISERROR(Err_Chk_61_Hdg),"Miscellaneous Check",Err_Chk_61_Hdg)</f>
        <v>3004 - Inputs Work Code v Tax Category Direct Check</v>
      </c>
      <c r="C36" s="106"/>
      <c r="D36" s="106"/>
      <c r="E36" s="106"/>
      <c r="F36" s="106"/>
      <c r="G36" s="106"/>
      <c r="H36" s="106"/>
      <c r="I36" s="106"/>
      <c r="J36" s="106"/>
      <c r="K36" s="131">
        <f ca="1">IF(ISERROR(HL_Err_Chk_61),1,(HL_Err_Chk_61&lt;&gt;0)*1)</f>
        <v>0</v>
      </c>
      <c r="L36" s="132" t="s">
        <v>17</v>
      </c>
      <c r="M36" s="14">
        <f t="shared" ca="1" si="0"/>
        <v>0</v>
      </c>
    </row>
    <row r="37" spans="2:13" outlineLevel="1">
      <c r="B37" s="176" t="str">
        <f>IF(ISERROR(Err_Chk_146_Hdg),"Miscellaneous Check",Err_Chk_146_Hdg)</f>
        <v>3004 - Inputs Customer Contributions v RAB Category Direct Check</v>
      </c>
      <c r="C37" s="106"/>
      <c r="D37" s="106"/>
      <c r="E37" s="106"/>
      <c r="F37" s="106"/>
      <c r="G37" s="106"/>
      <c r="H37" s="106"/>
      <c r="I37" s="106"/>
      <c r="J37" s="106"/>
      <c r="K37" s="131">
        <f ca="1">IF(ISERROR(HL_Err_Chk_146),1,(HL_Err_Chk_146&lt;&gt;0)*1)</f>
        <v>0</v>
      </c>
      <c r="L37" s="132" t="s">
        <v>17</v>
      </c>
      <c r="M37" s="14">
        <f t="shared" ca="1" si="0"/>
        <v>0</v>
      </c>
    </row>
    <row r="38" spans="2:13" outlineLevel="1">
      <c r="B38" s="176" t="str">
        <f>IF(ISERROR(Err_Chk_89_Hdg),"Miscellaneous Check",Err_Chk_89_Hdg)</f>
        <v>3004 - Inputs RAB v RIN Direct + Overhead Check</v>
      </c>
      <c r="C38" s="106"/>
      <c r="D38" s="106"/>
      <c r="E38" s="106"/>
      <c r="F38" s="106"/>
      <c r="G38" s="106"/>
      <c r="H38" s="106"/>
      <c r="I38" s="106"/>
      <c r="J38" s="106"/>
      <c r="K38" s="131">
        <f ca="1">IF(ISERROR(HL_Err_Chk_89),1,(HL_Err_Chk_89&lt;&gt;0)*1)</f>
        <v>0</v>
      </c>
      <c r="L38" s="132" t="s">
        <v>17</v>
      </c>
      <c r="M38" s="14">
        <f t="shared" ca="1" si="0"/>
        <v>0</v>
      </c>
    </row>
    <row r="39" spans="2:13" outlineLevel="1">
      <c r="B39" s="176" t="str">
        <f>IF(ISERROR(Err_Chk_117_Hdg),"Miscellaneous Check",Err_Chk_117_Hdg)</f>
        <v>3004 - Inputs RAB v Tax Direct + Overhead Check</v>
      </c>
      <c r="C39" s="106"/>
      <c r="D39" s="106"/>
      <c r="E39" s="106"/>
      <c r="F39" s="106"/>
      <c r="G39" s="106"/>
      <c r="H39" s="106"/>
      <c r="I39" s="106"/>
      <c r="J39" s="106"/>
      <c r="K39" s="131">
        <f ca="1">IF(ISERROR(HL_Err_Chk_117),1,(HL_Err_Chk_117&lt;&gt;0)*1)</f>
        <v>0</v>
      </c>
      <c r="L39" s="132" t="s">
        <v>17</v>
      </c>
      <c r="M39" s="14">
        <f t="shared" ca="1" si="0"/>
        <v>0</v>
      </c>
    </row>
    <row r="40" spans="2:13" outlineLevel="1">
      <c r="B40" s="176" t="str">
        <f>IF(ISERROR(Err_Chk_7_Hdg),"Miscellaneous Check",Err_Chk_7_Hdg)</f>
        <v>3006 - Inputs Work Code v RAB Category Direct Check</v>
      </c>
      <c r="C40" s="106"/>
      <c r="D40" s="106"/>
      <c r="E40" s="106"/>
      <c r="F40" s="106"/>
      <c r="G40" s="106"/>
      <c r="H40" s="106"/>
      <c r="I40" s="106"/>
      <c r="J40" s="106"/>
      <c r="K40" s="131">
        <f ca="1">IF(ISERROR(HL_Err_Chk_7),1,(HL_Err_Chk_7&lt;&gt;0)*1)</f>
        <v>0</v>
      </c>
      <c r="L40" s="132" t="s">
        <v>17</v>
      </c>
      <c r="M40" s="14">
        <f t="shared" ca="1" si="0"/>
        <v>0</v>
      </c>
    </row>
    <row r="41" spans="2:13" outlineLevel="1">
      <c r="B41" s="176" t="str">
        <f>IF(ISERROR(Err_Chk_35_Hdg),"Miscellaneous Check",Err_Chk_35_Hdg)</f>
        <v>3006 - Inputs Work Code v RIN Category Direct Check</v>
      </c>
      <c r="C41" s="106"/>
      <c r="D41" s="106"/>
      <c r="E41" s="106"/>
      <c r="F41" s="106"/>
      <c r="G41" s="106"/>
      <c r="H41" s="106"/>
      <c r="I41" s="106"/>
      <c r="J41" s="106"/>
      <c r="K41" s="131">
        <f ca="1">IF(ISERROR(HL_Err_Chk_35),1,(HL_Err_Chk_35&lt;&gt;0)*1)</f>
        <v>0</v>
      </c>
      <c r="L41" s="132" t="s">
        <v>17</v>
      </c>
      <c r="M41" s="14">
        <f t="shared" ca="1" si="0"/>
        <v>0</v>
      </c>
    </row>
    <row r="42" spans="2:13" outlineLevel="1">
      <c r="B42" s="176" t="str">
        <f>IF(ISERROR(Err_Chk_63_Hdg),"Miscellaneous Check",Err_Chk_63_Hdg)</f>
        <v>3006 - Inputs Work Code v Tax Category Direct Check</v>
      </c>
      <c r="C42" s="106"/>
      <c r="D42" s="106"/>
      <c r="E42" s="106"/>
      <c r="F42" s="106"/>
      <c r="G42" s="106"/>
      <c r="H42" s="106"/>
      <c r="I42" s="106"/>
      <c r="J42" s="106"/>
      <c r="K42" s="131">
        <f ca="1">IF(ISERROR(HL_Err_Chk_63),1,(HL_Err_Chk_63&lt;&gt;0)*1)</f>
        <v>0</v>
      </c>
      <c r="L42" s="132" t="s">
        <v>17</v>
      </c>
      <c r="M42" s="14">
        <f t="shared" ref="M42:M73" ca="1" si="1">K42*(L42="Yes")</f>
        <v>0</v>
      </c>
    </row>
    <row r="43" spans="2:13" outlineLevel="1">
      <c r="B43" s="176" t="str">
        <f>IF(ISERROR(Err_Chk_148_Hdg),"Miscellaneous Check",Err_Chk_148_Hdg)</f>
        <v>3006 - Inputs Customer Contributions v RAB Category Direct Check</v>
      </c>
      <c r="C43" s="106"/>
      <c r="D43" s="106"/>
      <c r="E43" s="106"/>
      <c r="F43" s="106"/>
      <c r="G43" s="106"/>
      <c r="H43" s="106"/>
      <c r="I43" s="106"/>
      <c r="J43" s="106"/>
      <c r="K43" s="131">
        <f ca="1">IF(ISERROR(HL_Err_Chk_148),1,(HL_Err_Chk_148&lt;&gt;0)*1)</f>
        <v>0</v>
      </c>
      <c r="L43" s="132" t="s">
        <v>17</v>
      </c>
      <c r="M43" s="14">
        <f t="shared" ca="1" si="1"/>
        <v>0</v>
      </c>
    </row>
    <row r="44" spans="2:13" outlineLevel="1">
      <c r="B44" s="176" t="str">
        <f>IF(ISERROR(Err_Chk_91_Hdg),"Miscellaneous Check",Err_Chk_91_Hdg)</f>
        <v>3006 - Inputs RAB v RIN Direct + Overhead Check</v>
      </c>
      <c r="C44" s="106"/>
      <c r="D44" s="106"/>
      <c r="E44" s="106"/>
      <c r="F44" s="106"/>
      <c r="G44" s="106"/>
      <c r="H44" s="106"/>
      <c r="I44" s="106"/>
      <c r="J44" s="106"/>
      <c r="K44" s="131">
        <f ca="1">IF(ISERROR(HL_Err_Chk_91),1,(HL_Err_Chk_91&lt;&gt;0)*1)</f>
        <v>0</v>
      </c>
      <c r="L44" s="132" t="s">
        <v>17</v>
      </c>
      <c r="M44" s="14">
        <f t="shared" ca="1" si="1"/>
        <v>0</v>
      </c>
    </row>
    <row r="45" spans="2:13" outlineLevel="1">
      <c r="B45" s="176" t="str">
        <f>IF(ISERROR(Err_Chk_119_Hdg),"Miscellaneous Check",Err_Chk_119_Hdg)</f>
        <v>3006 - Inputs RAB v Tax Direct + Overhead Check</v>
      </c>
      <c r="C45" s="106"/>
      <c r="D45" s="106"/>
      <c r="E45" s="106"/>
      <c r="F45" s="106"/>
      <c r="G45" s="106"/>
      <c r="H45" s="106"/>
      <c r="I45" s="106"/>
      <c r="J45" s="106"/>
      <c r="K45" s="131">
        <f ca="1">IF(ISERROR(HL_Err_Chk_119),1,(HL_Err_Chk_119&lt;&gt;0)*1)</f>
        <v>0</v>
      </c>
      <c r="L45" s="132" t="s">
        <v>17</v>
      </c>
      <c r="M45" s="14">
        <f t="shared" ca="1" si="1"/>
        <v>0</v>
      </c>
    </row>
    <row r="46" spans="2:13" outlineLevel="1">
      <c r="B46" s="176" t="str">
        <f>IF(ISERROR(Err_Chk_8_Hdg),"Miscellaneous Check",Err_Chk_8_Hdg)</f>
        <v>3007 - Inputs Work Code v RAB Category Direct Check</v>
      </c>
      <c r="C46" s="106"/>
      <c r="D46" s="106"/>
      <c r="E46" s="106"/>
      <c r="F46" s="106"/>
      <c r="G46" s="106"/>
      <c r="H46" s="106"/>
      <c r="I46" s="106"/>
      <c r="J46" s="106"/>
      <c r="K46" s="131">
        <f ca="1">IF(ISERROR(HL_Err_Chk_8),1,(HL_Err_Chk_8&lt;&gt;0)*1)</f>
        <v>0</v>
      </c>
      <c r="L46" s="132" t="s">
        <v>17</v>
      </c>
      <c r="M46" s="14">
        <f t="shared" ca="1" si="1"/>
        <v>0</v>
      </c>
    </row>
    <row r="47" spans="2:13" outlineLevel="1">
      <c r="B47" s="176" t="str">
        <f>IF(ISERROR(Err_Chk_36_Hdg),"Miscellaneous Check",Err_Chk_36_Hdg)</f>
        <v>3007 - Inputs Work Code v RIN Category Direct Check</v>
      </c>
      <c r="C47" s="106"/>
      <c r="D47" s="106"/>
      <c r="E47" s="106"/>
      <c r="F47" s="106"/>
      <c r="G47" s="106"/>
      <c r="H47" s="106"/>
      <c r="I47" s="106"/>
      <c r="J47" s="106"/>
      <c r="K47" s="131">
        <f ca="1">IF(ISERROR(HL_Err_Chk_36),1,(HL_Err_Chk_36&lt;&gt;0)*1)</f>
        <v>0</v>
      </c>
      <c r="L47" s="132" t="s">
        <v>17</v>
      </c>
      <c r="M47" s="14">
        <f t="shared" ca="1" si="1"/>
        <v>0</v>
      </c>
    </row>
    <row r="48" spans="2:13" outlineLevel="1">
      <c r="B48" s="176" t="str">
        <f>IF(ISERROR(Err_Chk_64_Hdg),"Miscellaneous Check",Err_Chk_64_Hdg)</f>
        <v>3007 - Inputs Work Code v Tax Category Direct Check</v>
      </c>
      <c r="C48" s="106"/>
      <c r="D48" s="106"/>
      <c r="E48" s="106"/>
      <c r="F48" s="106"/>
      <c r="G48" s="106"/>
      <c r="H48" s="106"/>
      <c r="I48" s="106"/>
      <c r="J48" s="106"/>
      <c r="K48" s="131">
        <f ca="1">IF(ISERROR(HL_Err_Chk_64),1,(HL_Err_Chk_64&lt;&gt;0)*1)</f>
        <v>0</v>
      </c>
      <c r="L48" s="132" t="s">
        <v>17</v>
      </c>
      <c r="M48" s="14">
        <f t="shared" ca="1" si="1"/>
        <v>0</v>
      </c>
    </row>
    <row r="49" spans="2:13" outlineLevel="1">
      <c r="B49" s="176" t="str">
        <f>IF(ISERROR(Err_Chk_149_Hdg),"Miscellaneous Check",Err_Chk_149_Hdg)</f>
        <v>3007 - Inputs Customer Contributions v RAB Category Direct Check</v>
      </c>
      <c r="C49" s="106"/>
      <c r="D49" s="106"/>
      <c r="E49" s="106"/>
      <c r="F49" s="106"/>
      <c r="G49" s="106"/>
      <c r="H49" s="106"/>
      <c r="I49" s="106"/>
      <c r="J49" s="106"/>
      <c r="K49" s="131">
        <f ca="1">IF(ISERROR(HL_Err_Chk_149),1,(HL_Err_Chk_149&lt;&gt;0)*1)</f>
        <v>0</v>
      </c>
      <c r="L49" s="132" t="s">
        <v>17</v>
      </c>
      <c r="M49" s="14">
        <f t="shared" ca="1" si="1"/>
        <v>0</v>
      </c>
    </row>
    <row r="50" spans="2:13" outlineLevel="1">
      <c r="B50" s="176" t="str">
        <f>IF(ISERROR(Err_Chk_92_Hdg),"Miscellaneous Check",Err_Chk_92_Hdg)</f>
        <v>3007 - Inputs RAB v RIN Direct + Overhead Check</v>
      </c>
      <c r="C50" s="106"/>
      <c r="D50" s="106"/>
      <c r="E50" s="106"/>
      <c r="F50" s="106"/>
      <c r="G50" s="106"/>
      <c r="H50" s="106"/>
      <c r="I50" s="106"/>
      <c r="J50" s="106"/>
      <c r="K50" s="131">
        <f ca="1">IF(ISERROR(HL_Err_Chk_92),1,(HL_Err_Chk_92&lt;&gt;0)*1)</f>
        <v>0</v>
      </c>
      <c r="L50" s="132" t="s">
        <v>17</v>
      </c>
      <c r="M50" s="14">
        <f t="shared" ca="1" si="1"/>
        <v>0</v>
      </c>
    </row>
    <row r="51" spans="2:13" outlineLevel="1">
      <c r="B51" s="176" t="str">
        <f>IF(ISERROR(Err_Chk_120_Hdg),"Miscellaneous Check",Err_Chk_120_Hdg)</f>
        <v>3007 - Inputs RAB v Tax Direct + Overhead Check</v>
      </c>
      <c r="C51" s="106"/>
      <c r="D51" s="106"/>
      <c r="E51" s="106"/>
      <c r="F51" s="106"/>
      <c r="G51" s="106"/>
      <c r="H51" s="106"/>
      <c r="I51" s="106"/>
      <c r="J51" s="106"/>
      <c r="K51" s="131">
        <f ca="1">IF(ISERROR(HL_Err_Chk_120),1,(HL_Err_Chk_120&lt;&gt;0)*1)</f>
        <v>0</v>
      </c>
      <c r="L51" s="132" t="s">
        <v>17</v>
      </c>
      <c r="M51" s="14">
        <f t="shared" ca="1" si="1"/>
        <v>0</v>
      </c>
    </row>
    <row r="52" spans="2:13" outlineLevel="1">
      <c r="B52" s="176" t="str">
        <f>IF(ISERROR(Err_Chk_9_Hdg),"Miscellaneous Check",Err_Chk_9_Hdg)</f>
        <v>3008 - Inputs Work Code v RAB Category Direct Check</v>
      </c>
      <c r="C52" s="106"/>
      <c r="D52" s="106"/>
      <c r="E52" s="106"/>
      <c r="F52" s="106"/>
      <c r="G52" s="106"/>
      <c r="H52" s="106"/>
      <c r="I52" s="106"/>
      <c r="J52" s="106"/>
      <c r="K52" s="131">
        <f ca="1">IF(ISERROR(HL_Err_Chk_9),1,(HL_Err_Chk_9&lt;&gt;0)*1)</f>
        <v>0</v>
      </c>
      <c r="L52" s="132" t="s">
        <v>17</v>
      </c>
      <c r="M52" s="14">
        <f t="shared" ca="1" si="1"/>
        <v>0</v>
      </c>
    </row>
    <row r="53" spans="2:13" outlineLevel="1">
      <c r="B53" s="176" t="str">
        <f>IF(ISERROR(Err_Chk_37_Hdg),"Miscellaneous Check",Err_Chk_37_Hdg)</f>
        <v>3008 - Inputs Work Code v RIN Category Direct Check</v>
      </c>
      <c r="C53" s="106"/>
      <c r="D53" s="106"/>
      <c r="E53" s="106"/>
      <c r="F53" s="106"/>
      <c r="G53" s="106"/>
      <c r="H53" s="106"/>
      <c r="I53" s="106"/>
      <c r="J53" s="106"/>
      <c r="K53" s="131">
        <f ca="1">IF(ISERROR(HL_Err_Chk_37),1,(HL_Err_Chk_37&lt;&gt;0)*1)</f>
        <v>0</v>
      </c>
      <c r="L53" s="132" t="s">
        <v>17</v>
      </c>
      <c r="M53" s="14">
        <f t="shared" ca="1" si="1"/>
        <v>0</v>
      </c>
    </row>
    <row r="54" spans="2:13" outlineLevel="1">
      <c r="B54" s="176" t="str">
        <f>IF(ISERROR(Err_Chk_65_Hdg),"Miscellaneous Check",Err_Chk_65_Hdg)</f>
        <v>3008 - Inputs Work Code v Tax Category Direct Check</v>
      </c>
      <c r="C54" s="106"/>
      <c r="D54" s="106"/>
      <c r="E54" s="106"/>
      <c r="F54" s="106"/>
      <c r="G54" s="106"/>
      <c r="H54" s="106"/>
      <c r="I54" s="106"/>
      <c r="J54" s="106"/>
      <c r="K54" s="131">
        <f ca="1">IF(ISERROR(HL_Err_Chk_65),1,(HL_Err_Chk_65&lt;&gt;0)*1)</f>
        <v>0</v>
      </c>
      <c r="L54" s="132" t="s">
        <v>17</v>
      </c>
      <c r="M54" s="14">
        <f t="shared" ca="1" si="1"/>
        <v>0</v>
      </c>
    </row>
    <row r="55" spans="2:13" outlineLevel="1">
      <c r="B55" s="176" t="str">
        <f>IF(ISERROR(Err_Chk_150_Hdg),"Miscellaneous Check",Err_Chk_150_Hdg)</f>
        <v>3008 - Inputs Customer Contributions v RAB Category Direct Check</v>
      </c>
      <c r="C55" s="106"/>
      <c r="D55" s="106"/>
      <c r="E55" s="106"/>
      <c r="F55" s="106"/>
      <c r="G55" s="106"/>
      <c r="H55" s="106"/>
      <c r="I55" s="106"/>
      <c r="J55" s="106"/>
      <c r="K55" s="131">
        <f ca="1">IF(ISERROR(HL_Err_Chk_150),1,(HL_Err_Chk_150&lt;&gt;0)*1)</f>
        <v>0</v>
      </c>
      <c r="L55" s="132" t="s">
        <v>17</v>
      </c>
      <c r="M55" s="14">
        <f t="shared" ca="1" si="1"/>
        <v>0</v>
      </c>
    </row>
    <row r="56" spans="2:13" outlineLevel="1">
      <c r="B56" s="176" t="str">
        <f>IF(ISERROR(Err_Chk_93_Hdg),"Miscellaneous Check",Err_Chk_93_Hdg)</f>
        <v>3008 - Inputs RAB v RIN Direct + Overhead Check</v>
      </c>
      <c r="C56" s="106"/>
      <c r="D56" s="106"/>
      <c r="E56" s="106"/>
      <c r="F56" s="106"/>
      <c r="G56" s="106"/>
      <c r="H56" s="106"/>
      <c r="I56" s="106"/>
      <c r="J56" s="106"/>
      <c r="K56" s="131">
        <f ca="1">IF(ISERROR(HL_Err_Chk_93),1,(HL_Err_Chk_93&lt;&gt;0)*1)</f>
        <v>0</v>
      </c>
      <c r="L56" s="132" t="s">
        <v>17</v>
      </c>
      <c r="M56" s="14">
        <f t="shared" ca="1" si="1"/>
        <v>0</v>
      </c>
    </row>
    <row r="57" spans="2:13" outlineLevel="1">
      <c r="B57" s="176" t="str">
        <f>IF(ISERROR(Err_Chk_121_Hdg),"Miscellaneous Check",Err_Chk_121_Hdg)</f>
        <v>3008 - Inputs RAB v Tax Direct + Overhead Check</v>
      </c>
      <c r="C57" s="106"/>
      <c r="D57" s="106"/>
      <c r="E57" s="106"/>
      <c r="F57" s="106"/>
      <c r="G57" s="106"/>
      <c r="H57" s="106"/>
      <c r="I57" s="106"/>
      <c r="J57" s="106"/>
      <c r="K57" s="131">
        <f ca="1">IF(ISERROR(HL_Err_Chk_121),1,(HL_Err_Chk_121&lt;&gt;0)*1)</f>
        <v>0</v>
      </c>
      <c r="L57" s="132" t="s">
        <v>17</v>
      </c>
      <c r="M57" s="14">
        <f t="shared" ca="1" si="1"/>
        <v>0</v>
      </c>
    </row>
    <row r="58" spans="2:13" outlineLevel="1">
      <c r="B58" s="176" t="str">
        <f>IF(ISERROR(Err_Chk_10_Hdg),"Miscellaneous Check",Err_Chk_10_Hdg)</f>
        <v>3009 - Inputs Work Code v RAB Category Direct Check</v>
      </c>
      <c r="C58" s="106"/>
      <c r="D58" s="106"/>
      <c r="E58" s="106"/>
      <c r="F58" s="106"/>
      <c r="G58" s="106"/>
      <c r="H58" s="106"/>
      <c r="I58" s="106"/>
      <c r="J58" s="106"/>
      <c r="K58" s="131">
        <f ca="1">IF(ISERROR(HL_Err_Chk_10),1,(HL_Err_Chk_10&lt;&gt;0)*1)</f>
        <v>0</v>
      </c>
      <c r="L58" s="132" t="s">
        <v>17</v>
      </c>
      <c r="M58" s="14">
        <f t="shared" ca="1" si="1"/>
        <v>0</v>
      </c>
    </row>
    <row r="59" spans="2:13" outlineLevel="1">
      <c r="B59" s="176" t="str">
        <f>IF(ISERROR(Err_Chk_38_Hdg),"Miscellaneous Check",Err_Chk_38_Hdg)</f>
        <v>3009 - Inputs Work Code v RIN Category Direct Check</v>
      </c>
      <c r="C59" s="106"/>
      <c r="D59" s="106"/>
      <c r="E59" s="106"/>
      <c r="F59" s="106"/>
      <c r="G59" s="106"/>
      <c r="H59" s="106"/>
      <c r="I59" s="106"/>
      <c r="J59" s="106"/>
      <c r="K59" s="131">
        <f ca="1">IF(ISERROR(HL_Err_Chk_38),1,(HL_Err_Chk_38&lt;&gt;0)*1)</f>
        <v>0</v>
      </c>
      <c r="L59" s="132" t="s">
        <v>17</v>
      </c>
      <c r="M59" s="14">
        <f t="shared" ca="1" si="1"/>
        <v>0</v>
      </c>
    </row>
    <row r="60" spans="2:13" outlineLevel="1">
      <c r="B60" s="176" t="str">
        <f>IF(ISERROR(Err_Chk_66_Hdg),"Miscellaneous Check",Err_Chk_66_Hdg)</f>
        <v>3009 - Inputs Work Code v Tax Category Direct Check</v>
      </c>
      <c r="C60" s="106"/>
      <c r="D60" s="106"/>
      <c r="E60" s="106"/>
      <c r="F60" s="106"/>
      <c r="G60" s="106"/>
      <c r="H60" s="106"/>
      <c r="I60" s="106"/>
      <c r="J60" s="106"/>
      <c r="K60" s="131">
        <f ca="1">IF(ISERROR(HL_Err_Chk_66),1,(HL_Err_Chk_66&lt;&gt;0)*1)</f>
        <v>0</v>
      </c>
      <c r="L60" s="132" t="s">
        <v>17</v>
      </c>
      <c r="M60" s="14">
        <f t="shared" ca="1" si="1"/>
        <v>0</v>
      </c>
    </row>
    <row r="61" spans="2:13" outlineLevel="1">
      <c r="B61" s="176" t="str">
        <f>IF(ISERROR(Err_Chk_151_Hdg),"Miscellaneous Check",Err_Chk_151_Hdg)</f>
        <v>3009 - Inputs Customer Contributions v RAB Category Direct Check</v>
      </c>
      <c r="C61" s="106"/>
      <c r="D61" s="106"/>
      <c r="E61" s="106"/>
      <c r="F61" s="106"/>
      <c r="G61" s="106"/>
      <c r="H61" s="106"/>
      <c r="I61" s="106"/>
      <c r="J61" s="106"/>
      <c r="K61" s="131">
        <f ca="1">IF(ISERROR(HL_Err_Chk_151),1,(HL_Err_Chk_151&lt;&gt;0)*1)</f>
        <v>0</v>
      </c>
      <c r="L61" s="132" t="s">
        <v>17</v>
      </c>
      <c r="M61" s="14">
        <f t="shared" ca="1" si="1"/>
        <v>0</v>
      </c>
    </row>
    <row r="62" spans="2:13" outlineLevel="1">
      <c r="B62" s="176" t="str">
        <f>IF(ISERROR(Err_Chk_94_Hdg),"Miscellaneous Check",Err_Chk_94_Hdg)</f>
        <v>3009 - Inputs RAB v RIN Direct + Overhead Check</v>
      </c>
      <c r="C62" s="106"/>
      <c r="D62" s="106"/>
      <c r="E62" s="106"/>
      <c r="F62" s="106"/>
      <c r="G62" s="106"/>
      <c r="H62" s="106"/>
      <c r="I62" s="106"/>
      <c r="J62" s="106"/>
      <c r="K62" s="131">
        <f ca="1">IF(ISERROR(HL_Err_Chk_94),1,(HL_Err_Chk_94&lt;&gt;0)*1)</f>
        <v>0</v>
      </c>
      <c r="L62" s="132" t="s">
        <v>17</v>
      </c>
      <c r="M62" s="14">
        <f t="shared" ca="1" si="1"/>
        <v>0</v>
      </c>
    </row>
    <row r="63" spans="2:13" outlineLevel="1">
      <c r="B63" s="176" t="str">
        <f>IF(ISERROR(Err_Chk_122_Hdg),"Miscellaneous Check",Err_Chk_122_Hdg)</f>
        <v>3009 - Inputs RAB v Tax Direct + Overhead Check</v>
      </c>
      <c r="C63" s="106"/>
      <c r="D63" s="106"/>
      <c r="E63" s="106"/>
      <c r="F63" s="106"/>
      <c r="G63" s="106"/>
      <c r="H63" s="106"/>
      <c r="I63" s="106"/>
      <c r="J63" s="106"/>
      <c r="K63" s="131">
        <f ca="1">IF(ISERROR(HL_Err_Chk_122),1,(HL_Err_Chk_122&lt;&gt;0)*1)</f>
        <v>0</v>
      </c>
      <c r="L63" s="132" t="s">
        <v>17</v>
      </c>
      <c r="M63" s="14">
        <f t="shared" ca="1" si="1"/>
        <v>0</v>
      </c>
    </row>
    <row r="64" spans="2:13" outlineLevel="1">
      <c r="B64" s="176" t="str">
        <f>IF(ISERROR(Err_Chk_11_Hdg),"Miscellaneous Check",Err_Chk_11_Hdg)</f>
        <v>3010 - Inputs Work Code v RAB Category Direct Check</v>
      </c>
      <c r="C64" s="106"/>
      <c r="D64" s="106"/>
      <c r="E64" s="106"/>
      <c r="F64" s="106"/>
      <c r="G64" s="106"/>
      <c r="H64" s="106"/>
      <c r="I64" s="106"/>
      <c r="J64" s="106"/>
      <c r="K64" s="131">
        <f ca="1">IF(ISERROR(HL_Err_Chk_11),1,(HL_Err_Chk_11&lt;&gt;0)*1)</f>
        <v>0</v>
      </c>
      <c r="L64" s="132" t="s">
        <v>17</v>
      </c>
      <c r="M64" s="14">
        <f t="shared" ca="1" si="1"/>
        <v>0</v>
      </c>
    </row>
    <row r="65" spans="2:13" outlineLevel="1">
      <c r="B65" s="176" t="str">
        <f>IF(ISERROR(Err_Chk_39_Hdg),"Miscellaneous Check",Err_Chk_39_Hdg)</f>
        <v>3010 - Inputs Work Code v RIN Category Direct Check</v>
      </c>
      <c r="C65" s="106"/>
      <c r="D65" s="106"/>
      <c r="E65" s="106"/>
      <c r="F65" s="106"/>
      <c r="G65" s="106"/>
      <c r="H65" s="106"/>
      <c r="I65" s="106"/>
      <c r="J65" s="106"/>
      <c r="K65" s="131">
        <f ca="1">IF(ISERROR(HL_Err_Chk_39),1,(HL_Err_Chk_39&lt;&gt;0)*1)</f>
        <v>0</v>
      </c>
      <c r="L65" s="132" t="s">
        <v>17</v>
      </c>
      <c r="M65" s="14">
        <f t="shared" ca="1" si="1"/>
        <v>0</v>
      </c>
    </row>
    <row r="66" spans="2:13" outlineLevel="1">
      <c r="B66" s="176" t="str">
        <f>IF(ISERROR(Err_Chk_67_Hdg),"Miscellaneous Check",Err_Chk_67_Hdg)</f>
        <v>3010 - Inputs Work Code v Tax Category Direct Check</v>
      </c>
      <c r="C66" s="106"/>
      <c r="D66" s="106"/>
      <c r="E66" s="106"/>
      <c r="F66" s="106"/>
      <c r="G66" s="106"/>
      <c r="H66" s="106"/>
      <c r="I66" s="106"/>
      <c r="J66" s="106"/>
      <c r="K66" s="131">
        <f ca="1">IF(ISERROR(HL_Err_Chk_67),1,(HL_Err_Chk_67&lt;&gt;0)*1)</f>
        <v>0</v>
      </c>
      <c r="L66" s="132" t="s">
        <v>17</v>
      </c>
      <c r="M66" s="14">
        <f t="shared" ca="1" si="1"/>
        <v>0</v>
      </c>
    </row>
    <row r="67" spans="2:13" outlineLevel="1">
      <c r="B67" s="176" t="str">
        <f>IF(ISERROR(Err_Chk_152_Hdg),"Miscellaneous Check",Err_Chk_152_Hdg)</f>
        <v>3010 - Inputs Customer Contributions v RAB Category Direct Check</v>
      </c>
      <c r="C67" s="106"/>
      <c r="D67" s="106"/>
      <c r="E67" s="106"/>
      <c r="F67" s="106"/>
      <c r="G67" s="106"/>
      <c r="H67" s="106"/>
      <c r="I67" s="106"/>
      <c r="J67" s="106"/>
      <c r="K67" s="131">
        <f ca="1">IF(ISERROR(HL_Err_Chk_152),1,(HL_Err_Chk_152&lt;&gt;0)*1)</f>
        <v>0</v>
      </c>
      <c r="L67" s="132" t="s">
        <v>17</v>
      </c>
      <c r="M67" s="14">
        <f t="shared" ca="1" si="1"/>
        <v>0</v>
      </c>
    </row>
    <row r="68" spans="2:13" outlineLevel="1">
      <c r="B68" s="176" t="str">
        <f>IF(ISERROR(Err_Chk_95_Hdg),"Miscellaneous Check",Err_Chk_95_Hdg)</f>
        <v>3010 - Inputs RAB v RIN Direct + Overhead Check</v>
      </c>
      <c r="C68" s="106"/>
      <c r="D68" s="106"/>
      <c r="E68" s="106"/>
      <c r="F68" s="106"/>
      <c r="G68" s="106"/>
      <c r="H68" s="106"/>
      <c r="I68" s="106"/>
      <c r="J68" s="106"/>
      <c r="K68" s="131">
        <f ca="1">IF(ISERROR(HL_Err_Chk_95),1,(HL_Err_Chk_95&lt;&gt;0)*1)</f>
        <v>0</v>
      </c>
      <c r="L68" s="132" t="s">
        <v>17</v>
      </c>
      <c r="M68" s="14">
        <f t="shared" ca="1" si="1"/>
        <v>0</v>
      </c>
    </row>
    <row r="69" spans="2:13" outlineLevel="1">
      <c r="B69" s="176" t="str">
        <f>IF(ISERROR(Err_Chk_123_Hdg),"Miscellaneous Check",Err_Chk_123_Hdg)</f>
        <v>3010 - Inputs RAB v Tax Direct + Overhead Check</v>
      </c>
      <c r="C69" s="106"/>
      <c r="D69" s="106"/>
      <c r="E69" s="106"/>
      <c r="F69" s="106"/>
      <c r="G69" s="106"/>
      <c r="H69" s="106"/>
      <c r="I69" s="106"/>
      <c r="J69" s="106"/>
      <c r="K69" s="131">
        <f ca="1">IF(ISERROR(HL_Err_Chk_123),1,(HL_Err_Chk_123&lt;&gt;0)*1)</f>
        <v>0</v>
      </c>
      <c r="L69" s="132" t="s">
        <v>17</v>
      </c>
      <c r="M69" s="14">
        <f t="shared" ca="1" si="1"/>
        <v>0</v>
      </c>
    </row>
    <row r="70" spans="2:13" outlineLevel="1">
      <c r="B70" s="176" t="str">
        <f>IF(ISERROR(Err_Chk_12_Hdg),"Miscellaneous Check",Err_Chk_12_Hdg)</f>
        <v>3011 - Inputs Work Code v RAB Category Direct Check</v>
      </c>
      <c r="C70" s="106"/>
      <c r="D70" s="106"/>
      <c r="E70" s="106"/>
      <c r="F70" s="106"/>
      <c r="G70" s="106"/>
      <c r="H70" s="106"/>
      <c r="I70" s="106"/>
      <c r="J70" s="106"/>
      <c r="K70" s="131">
        <f ca="1">IF(ISERROR(HL_Err_Chk_12),1,(HL_Err_Chk_12&lt;&gt;0)*1)</f>
        <v>0</v>
      </c>
      <c r="L70" s="132" t="s">
        <v>17</v>
      </c>
      <c r="M70" s="14">
        <f t="shared" ca="1" si="1"/>
        <v>0</v>
      </c>
    </row>
    <row r="71" spans="2:13" outlineLevel="1">
      <c r="B71" s="176" t="str">
        <f>IF(ISERROR(Err_Chk_40_Hdg),"Miscellaneous Check",Err_Chk_40_Hdg)</f>
        <v>3011 - Inputs Work Code v RIN Category Direct Check</v>
      </c>
      <c r="C71" s="106"/>
      <c r="D71" s="106"/>
      <c r="E71" s="106"/>
      <c r="F71" s="106"/>
      <c r="G71" s="106"/>
      <c r="H71" s="106"/>
      <c r="I71" s="106"/>
      <c r="J71" s="106"/>
      <c r="K71" s="131">
        <f ca="1">IF(ISERROR(HL_Err_Chk_40),1,(HL_Err_Chk_40&lt;&gt;0)*1)</f>
        <v>0</v>
      </c>
      <c r="L71" s="132" t="s">
        <v>17</v>
      </c>
      <c r="M71" s="14">
        <f t="shared" ca="1" si="1"/>
        <v>0</v>
      </c>
    </row>
    <row r="72" spans="2:13" outlineLevel="1">
      <c r="B72" s="176" t="str">
        <f>IF(ISERROR(Err_Chk_68_Hdg),"Miscellaneous Check",Err_Chk_68_Hdg)</f>
        <v>3011 - Inputs Work Code v Tax Category Direct Check</v>
      </c>
      <c r="C72" s="106"/>
      <c r="D72" s="106"/>
      <c r="E72" s="106"/>
      <c r="F72" s="106"/>
      <c r="G72" s="106"/>
      <c r="H72" s="106"/>
      <c r="I72" s="106"/>
      <c r="J72" s="106"/>
      <c r="K72" s="131">
        <f ca="1">IF(ISERROR(HL_Err_Chk_68),1,(HL_Err_Chk_68&lt;&gt;0)*1)</f>
        <v>0</v>
      </c>
      <c r="L72" s="132" t="s">
        <v>17</v>
      </c>
      <c r="M72" s="14">
        <f t="shared" ca="1" si="1"/>
        <v>0</v>
      </c>
    </row>
    <row r="73" spans="2:13" outlineLevel="1">
      <c r="B73" s="176" t="str">
        <f>IF(ISERROR(Err_Chk_153_Hdg),"Miscellaneous Check",Err_Chk_153_Hdg)</f>
        <v>3011 - Inputs Customer Contributions v RAB Category Direct Check</v>
      </c>
      <c r="C73" s="106"/>
      <c r="D73" s="106"/>
      <c r="E73" s="106"/>
      <c r="F73" s="106"/>
      <c r="G73" s="106"/>
      <c r="H73" s="106"/>
      <c r="I73" s="106"/>
      <c r="J73" s="106"/>
      <c r="K73" s="131">
        <f ca="1">IF(ISERROR(HL_Err_Chk_153),1,(HL_Err_Chk_153&lt;&gt;0)*1)</f>
        <v>0</v>
      </c>
      <c r="L73" s="132" t="s">
        <v>17</v>
      </c>
      <c r="M73" s="14">
        <f t="shared" ca="1" si="1"/>
        <v>0</v>
      </c>
    </row>
    <row r="74" spans="2:13" outlineLevel="1">
      <c r="B74" s="176" t="str">
        <f>IF(ISERROR(Err_Chk_96_Hdg),"Miscellaneous Check",Err_Chk_96_Hdg)</f>
        <v>3011 - Inputs RAB v RIN Direct + Overhead Check</v>
      </c>
      <c r="C74" s="106"/>
      <c r="D74" s="106"/>
      <c r="E74" s="106"/>
      <c r="F74" s="106"/>
      <c r="G74" s="106"/>
      <c r="H74" s="106"/>
      <c r="I74" s="106"/>
      <c r="J74" s="106"/>
      <c r="K74" s="131">
        <f ca="1">IF(ISERROR(HL_Err_Chk_96),1,(HL_Err_Chk_96&lt;&gt;0)*1)</f>
        <v>0</v>
      </c>
      <c r="L74" s="132" t="s">
        <v>17</v>
      </c>
      <c r="M74" s="14">
        <f t="shared" ref="M74:M105" ca="1" si="2">K74*(L74="Yes")</f>
        <v>0</v>
      </c>
    </row>
    <row r="75" spans="2:13" outlineLevel="1">
      <c r="B75" s="176" t="str">
        <f>IF(ISERROR(Err_Chk_124_Hdg),"Miscellaneous Check",Err_Chk_124_Hdg)</f>
        <v>3011 - Inputs RAB v Tax Direct + Overhead Check</v>
      </c>
      <c r="C75" s="106"/>
      <c r="D75" s="106"/>
      <c r="E75" s="106"/>
      <c r="F75" s="106"/>
      <c r="G75" s="106"/>
      <c r="H75" s="106"/>
      <c r="I75" s="106"/>
      <c r="J75" s="106"/>
      <c r="K75" s="131">
        <f ca="1">IF(ISERROR(HL_Err_Chk_124),1,(HL_Err_Chk_124&lt;&gt;0)*1)</f>
        <v>0</v>
      </c>
      <c r="L75" s="132" t="s">
        <v>17</v>
      </c>
      <c r="M75" s="14">
        <f t="shared" ca="1" si="2"/>
        <v>0</v>
      </c>
    </row>
    <row r="76" spans="2:13" outlineLevel="1">
      <c r="B76" s="176" t="str">
        <f>IF(ISERROR(Err_Chk_13_Hdg),"Miscellaneous Check",Err_Chk_13_Hdg)</f>
        <v>3012 - Inputs Work Code v RAB Category Direct Check</v>
      </c>
      <c r="C76" s="106"/>
      <c r="D76" s="106"/>
      <c r="E76" s="106"/>
      <c r="F76" s="106"/>
      <c r="G76" s="106"/>
      <c r="H76" s="106"/>
      <c r="I76" s="106"/>
      <c r="J76" s="106"/>
      <c r="K76" s="131">
        <f ca="1">IF(ISERROR(HL_Err_Chk_13),1,(HL_Err_Chk_13&lt;&gt;0)*1)</f>
        <v>0</v>
      </c>
      <c r="L76" s="132" t="s">
        <v>17</v>
      </c>
      <c r="M76" s="14">
        <f t="shared" ca="1" si="2"/>
        <v>0</v>
      </c>
    </row>
    <row r="77" spans="2:13" outlineLevel="1">
      <c r="B77" s="176" t="str">
        <f>IF(ISERROR(Err_Chk_41_Hdg),"Miscellaneous Check",Err_Chk_41_Hdg)</f>
        <v>3012 - Inputs Work Code v RIN Category Direct Check</v>
      </c>
      <c r="C77" s="106"/>
      <c r="D77" s="106"/>
      <c r="E77" s="106"/>
      <c r="F77" s="106"/>
      <c r="G77" s="106"/>
      <c r="H77" s="106"/>
      <c r="I77" s="106"/>
      <c r="J77" s="106"/>
      <c r="K77" s="131">
        <f ca="1">IF(ISERROR(HL_Err_Chk_41),1,(HL_Err_Chk_41&lt;&gt;0)*1)</f>
        <v>0</v>
      </c>
      <c r="L77" s="132" t="s">
        <v>17</v>
      </c>
      <c r="M77" s="14">
        <f t="shared" ca="1" si="2"/>
        <v>0</v>
      </c>
    </row>
    <row r="78" spans="2:13" outlineLevel="1">
      <c r="B78" s="176" t="str">
        <f>IF(ISERROR(Err_Chk_69_Hdg),"Miscellaneous Check",Err_Chk_69_Hdg)</f>
        <v>3012 - Inputs Work Code v Tax Category Direct Check</v>
      </c>
      <c r="C78" s="106"/>
      <c r="D78" s="106"/>
      <c r="E78" s="106"/>
      <c r="F78" s="106"/>
      <c r="G78" s="106"/>
      <c r="H78" s="106"/>
      <c r="I78" s="106"/>
      <c r="J78" s="106"/>
      <c r="K78" s="131">
        <f ca="1">IF(ISERROR(HL_Err_Chk_69),1,(HL_Err_Chk_69&lt;&gt;0)*1)</f>
        <v>0</v>
      </c>
      <c r="L78" s="132" t="s">
        <v>17</v>
      </c>
      <c r="M78" s="14">
        <f t="shared" ca="1" si="2"/>
        <v>0</v>
      </c>
    </row>
    <row r="79" spans="2:13" outlineLevel="1">
      <c r="B79" s="176" t="str">
        <f>IF(ISERROR(Err_Chk_154_Hdg),"Miscellaneous Check",Err_Chk_154_Hdg)</f>
        <v>3012 - Inputs Customer Contributions v RAB Category Direct Check</v>
      </c>
      <c r="C79" s="106"/>
      <c r="D79" s="106"/>
      <c r="E79" s="106"/>
      <c r="F79" s="106"/>
      <c r="G79" s="106"/>
      <c r="H79" s="106"/>
      <c r="I79" s="106"/>
      <c r="J79" s="106"/>
      <c r="K79" s="131">
        <f ca="1">IF(ISERROR(HL_Err_Chk_154),1,(HL_Err_Chk_154&lt;&gt;0)*1)</f>
        <v>0</v>
      </c>
      <c r="L79" s="132" t="s">
        <v>17</v>
      </c>
      <c r="M79" s="14">
        <f t="shared" ca="1" si="2"/>
        <v>0</v>
      </c>
    </row>
    <row r="80" spans="2:13" outlineLevel="1">
      <c r="B80" s="176" t="str">
        <f>IF(ISERROR(Err_Chk_97_Hdg),"Miscellaneous Check",Err_Chk_97_Hdg)</f>
        <v>3012 - Inputs RAB v RIN Direct + Overhead Check</v>
      </c>
      <c r="C80" s="106"/>
      <c r="D80" s="106"/>
      <c r="E80" s="106"/>
      <c r="F80" s="106"/>
      <c r="G80" s="106"/>
      <c r="H80" s="106"/>
      <c r="I80" s="106"/>
      <c r="J80" s="106"/>
      <c r="K80" s="131">
        <f ca="1">IF(ISERROR(HL_Err_Chk_97),1,(HL_Err_Chk_97&lt;&gt;0)*1)</f>
        <v>0</v>
      </c>
      <c r="L80" s="132" t="s">
        <v>17</v>
      </c>
      <c r="M80" s="14">
        <f t="shared" ca="1" si="2"/>
        <v>0</v>
      </c>
    </row>
    <row r="81" spans="2:13" outlineLevel="1">
      <c r="B81" s="176" t="str">
        <f>IF(ISERROR(Err_Chk_125_Hdg),"Miscellaneous Check",Err_Chk_125_Hdg)</f>
        <v>3012 - Inputs RAB v Tax Direct + Overhead Check</v>
      </c>
      <c r="C81" s="106"/>
      <c r="D81" s="106"/>
      <c r="E81" s="106"/>
      <c r="F81" s="106"/>
      <c r="G81" s="106"/>
      <c r="H81" s="106"/>
      <c r="I81" s="106"/>
      <c r="J81" s="106"/>
      <c r="K81" s="131">
        <f ca="1">IF(ISERROR(HL_Err_Chk_125),1,(HL_Err_Chk_125&lt;&gt;0)*1)</f>
        <v>0</v>
      </c>
      <c r="L81" s="132" t="s">
        <v>17</v>
      </c>
      <c r="M81" s="14">
        <f t="shared" ca="1" si="2"/>
        <v>0</v>
      </c>
    </row>
    <row r="82" spans="2:13" outlineLevel="1">
      <c r="B82" s="176" t="str">
        <f>IF(ISERROR(Err_Chk_14_Hdg),"Miscellaneous Check",Err_Chk_14_Hdg)</f>
        <v>3013 - Inputs Work Code v RAB Category Direct Check</v>
      </c>
      <c r="C82" s="106"/>
      <c r="D82" s="106"/>
      <c r="E82" s="106"/>
      <c r="F82" s="106"/>
      <c r="G82" s="106"/>
      <c r="H82" s="106"/>
      <c r="I82" s="106"/>
      <c r="J82" s="106"/>
      <c r="K82" s="131">
        <f ca="1">IF(ISERROR(HL_Err_Chk_14),1,(HL_Err_Chk_14&lt;&gt;0)*1)</f>
        <v>0</v>
      </c>
      <c r="L82" s="132" t="s">
        <v>17</v>
      </c>
      <c r="M82" s="14">
        <f t="shared" ca="1" si="2"/>
        <v>0</v>
      </c>
    </row>
    <row r="83" spans="2:13" outlineLevel="1">
      <c r="B83" s="176" t="str">
        <f>IF(ISERROR(Err_Chk_42_Hdg),"Miscellaneous Check",Err_Chk_42_Hdg)</f>
        <v>3013 - Inputs Work Code v RIN Category Direct Check</v>
      </c>
      <c r="C83" s="106"/>
      <c r="D83" s="106"/>
      <c r="E83" s="106"/>
      <c r="F83" s="106"/>
      <c r="G83" s="106"/>
      <c r="H83" s="106"/>
      <c r="I83" s="106"/>
      <c r="J83" s="106"/>
      <c r="K83" s="131">
        <f ca="1">IF(ISERROR(HL_Err_Chk_42),1,(HL_Err_Chk_42&lt;&gt;0)*1)</f>
        <v>0</v>
      </c>
      <c r="L83" s="132" t="s">
        <v>17</v>
      </c>
      <c r="M83" s="14">
        <f t="shared" ca="1" si="2"/>
        <v>0</v>
      </c>
    </row>
    <row r="84" spans="2:13" outlineLevel="1">
      <c r="B84" s="176" t="str">
        <f>IF(ISERROR(Err_Chk_70_Hdg),"Miscellaneous Check",Err_Chk_70_Hdg)</f>
        <v>3013 - Inputs Work Code v Tax Category Direct Check</v>
      </c>
      <c r="C84" s="106"/>
      <c r="D84" s="106"/>
      <c r="E84" s="106"/>
      <c r="F84" s="106"/>
      <c r="G84" s="106"/>
      <c r="H84" s="106"/>
      <c r="I84" s="106"/>
      <c r="J84" s="106"/>
      <c r="K84" s="131">
        <f ca="1">IF(ISERROR(HL_Err_Chk_70),1,(HL_Err_Chk_70&lt;&gt;0)*1)</f>
        <v>0</v>
      </c>
      <c r="L84" s="132" t="s">
        <v>17</v>
      </c>
      <c r="M84" s="14">
        <f t="shared" ca="1" si="2"/>
        <v>0</v>
      </c>
    </row>
    <row r="85" spans="2:13" outlineLevel="1">
      <c r="B85" s="176" t="str">
        <f>IF(ISERROR(Err_Chk_155_Hdg),"Miscellaneous Check",Err_Chk_155_Hdg)</f>
        <v>3013 - Inputs Customer Contributions v RAB Category Direct Check</v>
      </c>
      <c r="C85" s="106"/>
      <c r="D85" s="106"/>
      <c r="E85" s="106"/>
      <c r="F85" s="106"/>
      <c r="G85" s="106"/>
      <c r="H85" s="106"/>
      <c r="I85" s="106"/>
      <c r="J85" s="106"/>
      <c r="K85" s="131">
        <f ca="1">IF(ISERROR(HL_Err_Chk_155),1,(HL_Err_Chk_155&lt;&gt;0)*1)</f>
        <v>0</v>
      </c>
      <c r="L85" s="132" t="s">
        <v>17</v>
      </c>
      <c r="M85" s="14">
        <f t="shared" ca="1" si="2"/>
        <v>0</v>
      </c>
    </row>
    <row r="86" spans="2:13" outlineLevel="1">
      <c r="B86" s="176" t="str">
        <f>IF(ISERROR(Err_Chk_98_Hdg),"Miscellaneous Check",Err_Chk_98_Hdg)</f>
        <v>3013 - Inputs RAB v RIN Direct + Overhead Check</v>
      </c>
      <c r="C86" s="106"/>
      <c r="D86" s="106"/>
      <c r="E86" s="106"/>
      <c r="F86" s="106"/>
      <c r="G86" s="106"/>
      <c r="H86" s="106"/>
      <c r="I86" s="106"/>
      <c r="J86" s="106"/>
      <c r="K86" s="131">
        <f ca="1">IF(ISERROR(HL_Err_Chk_98),1,(HL_Err_Chk_98&lt;&gt;0)*1)</f>
        <v>0</v>
      </c>
      <c r="L86" s="132" t="s">
        <v>17</v>
      </c>
      <c r="M86" s="14">
        <f t="shared" ca="1" si="2"/>
        <v>0</v>
      </c>
    </row>
    <row r="87" spans="2:13" outlineLevel="1">
      <c r="B87" s="176" t="str">
        <f>IF(ISERROR(Err_Chk_126_Hdg),"Miscellaneous Check",Err_Chk_126_Hdg)</f>
        <v>3013 - Inputs RAB v Tax Direct + Overhead Check</v>
      </c>
      <c r="C87" s="106"/>
      <c r="D87" s="106"/>
      <c r="E87" s="106"/>
      <c r="F87" s="106"/>
      <c r="G87" s="106"/>
      <c r="H87" s="106"/>
      <c r="I87" s="106"/>
      <c r="J87" s="106"/>
      <c r="K87" s="131">
        <f ca="1">IF(ISERROR(HL_Err_Chk_126),1,(HL_Err_Chk_126&lt;&gt;0)*1)</f>
        <v>0</v>
      </c>
      <c r="L87" s="132" t="s">
        <v>17</v>
      </c>
      <c r="M87" s="14">
        <f t="shared" ca="1" si="2"/>
        <v>0</v>
      </c>
    </row>
    <row r="88" spans="2:13" outlineLevel="1">
      <c r="B88" s="176" t="str">
        <f>IF(ISERROR(Err_Chk_15_Hdg),"Miscellaneous Check",Err_Chk_15_Hdg)</f>
        <v>3014 - Inputs Work Code v RAB Category Direct Check</v>
      </c>
      <c r="C88" s="106"/>
      <c r="D88" s="106"/>
      <c r="E88" s="106"/>
      <c r="F88" s="106"/>
      <c r="G88" s="106"/>
      <c r="H88" s="106"/>
      <c r="I88" s="106"/>
      <c r="J88" s="106"/>
      <c r="K88" s="131">
        <f ca="1">IF(ISERROR(HL_Err_Chk_15),1,(HL_Err_Chk_15&lt;&gt;0)*1)</f>
        <v>0</v>
      </c>
      <c r="L88" s="132" t="s">
        <v>17</v>
      </c>
      <c r="M88" s="14">
        <f t="shared" ca="1" si="2"/>
        <v>0</v>
      </c>
    </row>
    <row r="89" spans="2:13" outlineLevel="1">
      <c r="B89" s="176" t="str">
        <f>IF(ISERROR(Err_Chk_43_Hdg),"Miscellaneous Check",Err_Chk_43_Hdg)</f>
        <v>3014 - Inputs Work Code v RIN Category Direct Check</v>
      </c>
      <c r="C89" s="106"/>
      <c r="D89" s="106"/>
      <c r="E89" s="106"/>
      <c r="F89" s="106"/>
      <c r="G89" s="106"/>
      <c r="H89" s="106"/>
      <c r="I89" s="106"/>
      <c r="J89" s="106"/>
      <c r="K89" s="131">
        <f ca="1">IF(ISERROR(HL_Err_Chk_43),1,(HL_Err_Chk_43&lt;&gt;0)*1)</f>
        <v>0</v>
      </c>
      <c r="L89" s="132" t="s">
        <v>17</v>
      </c>
      <c r="M89" s="14">
        <f t="shared" ca="1" si="2"/>
        <v>0</v>
      </c>
    </row>
    <row r="90" spans="2:13" outlineLevel="1">
      <c r="B90" s="176" t="str">
        <f>IF(ISERROR(Err_Chk_71_Hdg),"Miscellaneous Check",Err_Chk_71_Hdg)</f>
        <v>3014 - Inputs Work Code v Tax Category Direct Check</v>
      </c>
      <c r="C90" s="106"/>
      <c r="D90" s="106"/>
      <c r="E90" s="106"/>
      <c r="F90" s="106"/>
      <c r="G90" s="106"/>
      <c r="H90" s="106"/>
      <c r="I90" s="106"/>
      <c r="J90" s="106"/>
      <c r="K90" s="131">
        <f ca="1">IF(ISERROR(HL_Err_Chk_71),1,(HL_Err_Chk_71&lt;&gt;0)*1)</f>
        <v>0</v>
      </c>
      <c r="L90" s="132" t="s">
        <v>17</v>
      </c>
      <c r="M90" s="14">
        <f t="shared" ca="1" si="2"/>
        <v>0</v>
      </c>
    </row>
    <row r="91" spans="2:13" outlineLevel="1">
      <c r="B91" s="176" t="str">
        <f>IF(ISERROR(Err_Chk_156_Hdg),"Miscellaneous Check",Err_Chk_156_Hdg)</f>
        <v>3014 - Inputs Customer Contributions v RAB Category Direct Check</v>
      </c>
      <c r="C91" s="106"/>
      <c r="D91" s="106"/>
      <c r="E91" s="106"/>
      <c r="F91" s="106"/>
      <c r="G91" s="106"/>
      <c r="H91" s="106"/>
      <c r="I91" s="106"/>
      <c r="J91" s="106"/>
      <c r="K91" s="131">
        <f ca="1">IF(ISERROR(HL_Err_Chk_156),1,(HL_Err_Chk_156&lt;&gt;0)*1)</f>
        <v>0</v>
      </c>
      <c r="L91" s="132" t="s">
        <v>17</v>
      </c>
      <c r="M91" s="14">
        <f t="shared" ca="1" si="2"/>
        <v>0</v>
      </c>
    </row>
    <row r="92" spans="2:13" outlineLevel="1">
      <c r="B92" s="176" t="str">
        <f>IF(ISERROR(Err_Chk_99_Hdg),"Miscellaneous Check",Err_Chk_99_Hdg)</f>
        <v>3014 - Inputs RAB v RIN Direct + Overhead Check</v>
      </c>
      <c r="C92" s="106"/>
      <c r="D92" s="106"/>
      <c r="E92" s="106"/>
      <c r="F92" s="106"/>
      <c r="G92" s="106"/>
      <c r="H92" s="106"/>
      <c r="I92" s="106"/>
      <c r="J92" s="106"/>
      <c r="K92" s="131">
        <f ca="1">IF(ISERROR(HL_Err_Chk_99),1,(HL_Err_Chk_99&lt;&gt;0)*1)</f>
        <v>0</v>
      </c>
      <c r="L92" s="132" t="s">
        <v>17</v>
      </c>
      <c r="M92" s="14">
        <f t="shared" ca="1" si="2"/>
        <v>0</v>
      </c>
    </row>
    <row r="93" spans="2:13" outlineLevel="1">
      <c r="B93" s="176" t="str">
        <f>IF(ISERROR(Err_Chk_127_Hdg),"Miscellaneous Check",Err_Chk_127_Hdg)</f>
        <v>3014 - Inputs RAB v Tax Direct + Overhead Check</v>
      </c>
      <c r="C93" s="106"/>
      <c r="D93" s="106"/>
      <c r="E93" s="106"/>
      <c r="F93" s="106"/>
      <c r="G93" s="106"/>
      <c r="H93" s="106"/>
      <c r="I93" s="106"/>
      <c r="J93" s="106"/>
      <c r="K93" s="131">
        <f ca="1">IF(ISERROR(HL_Err_Chk_127),1,(HL_Err_Chk_127&lt;&gt;0)*1)</f>
        <v>0</v>
      </c>
      <c r="L93" s="132" t="s">
        <v>17</v>
      </c>
      <c r="M93" s="14">
        <f t="shared" ca="1" si="2"/>
        <v>0</v>
      </c>
    </row>
    <row r="94" spans="2:13" outlineLevel="1">
      <c r="B94" s="176" t="str">
        <f>IF(ISERROR(Err_Chk_16_Hdg),"Miscellaneous Check",Err_Chk_16_Hdg)</f>
        <v>3015 - Inputs Work Code v RAB Category Direct Check</v>
      </c>
      <c r="C94" s="106"/>
      <c r="D94" s="106"/>
      <c r="E94" s="106"/>
      <c r="F94" s="106"/>
      <c r="G94" s="106"/>
      <c r="H94" s="106"/>
      <c r="I94" s="106"/>
      <c r="J94" s="106"/>
      <c r="K94" s="131">
        <f ca="1">IF(ISERROR(HL_Err_Chk_16),1,(HL_Err_Chk_16&lt;&gt;0)*1)</f>
        <v>0</v>
      </c>
      <c r="L94" s="132" t="s">
        <v>17</v>
      </c>
      <c r="M94" s="14">
        <f t="shared" ca="1" si="2"/>
        <v>0</v>
      </c>
    </row>
    <row r="95" spans="2:13" outlineLevel="1">
      <c r="B95" s="176" t="str">
        <f>IF(ISERROR(Err_Chk_44_Hdg),"Miscellaneous Check",Err_Chk_44_Hdg)</f>
        <v>3015 - Inputs Work Code v RIN Category Direct Check</v>
      </c>
      <c r="C95" s="106"/>
      <c r="D95" s="106"/>
      <c r="E95" s="106"/>
      <c r="F95" s="106"/>
      <c r="G95" s="106"/>
      <c r="H95" s="106"/>
      <c r="I95" s="106"/>
      <c r="J95" s="106"/>
      <c r="K95" s="131">
        <f ca="1">IF(ISERROR(HL_Err_Chk_44),1,(HL_Err_Chk_44&lt;&gt;0)*1)</f>
        <v>0</v>
      </c>
      <c r="L95" s="132" t="s">
        <v>17</v>
      </c>
      <c r="M95" s="14">
        <f t="shared" ca="1" si="2"/>
        <v>0</v>
      </c>
    </row>
    <row r="96" spans="2:13" outlineLevel="1">
      <c r="B96" s="176" t="str">
        <f>IF(ISERROR(Err_Chk_72_Hdg),"Miscellaneous Check",Err_Chk_72_Hdg)</f>
        <v>3015 - Inputs Work Code v Tax Category Direct Check</v>
      </c>
      <c r="C96" s="106"/>
      <c r="D96" s="106"/>
      <c r="E96" s="106"/>
      <c r="F96" s="106"/>
      <c r="G96" s="106"/>
      <c r="H96" s="106"/>
      <c r="I96" s="106"/>
      <c r="J96" s="106"/>
      <c r="K96" s="131">
        <f ca="1">IF(ISERROR(HL_Err_Chk_72),1,(HL_Err_Chk_72&lt;&gt;0)*1)</f>
        <v>0</v>
      </c>
      <c r="L96" s="132" t="s">
        <v>17</v>
      </c>
      <c r="M96" s="14">
        <f t="shared" ca="1" si="2"/>
        <v>0</v>
      </c>
    </row>
    <row r="97" spans="2:13" outlineLevel="1">
      <c r="B97" s="176" t="str">
        <f>IF(ISERROR(Err_Chk_157_Hdg),"Miscellaneous Check",Err_Chk_157_Hdg)</f>
        <v>3015 - Inputs Customer Contributions v RAB Category Direct Check</v>
      </c>
      <c r="C97" s="106"/>
      <c r="D97" s="106"/>
      <c r="E97" s="106"/>
      <c r="F97" s="106"/>
      <c r="G97" s="106"/>
      <c r="H97" s="106"/>
      <c r="I97" s="106"/>
      <c r="J97" s="106"/>
      <c r="K97" s="131">
        <f ca="1">IF(ISERROR(HL_Err_Chk_157),1,(HL_Err_Chk_157&lt;&gt;0)*1)</f>
        <v>0</v>
      </c>
      <c r="L97" s="132" t="s">
        <v>17</v>
      </c>
      <c r="M97" s="14">
        <f t="shared" ca="1" si="2"/>
        <v>0</v>
      </c>
    </row>
    <row r="98" spans="2:13" outlineLevel="1">
      <c r="B98" s="176" t="str">
        <f>IF(ISERROR(Err_Chk_100_Hdg),"Miscellaneous Check",Err_Chk_100_Hdg)</f>
        <v>3015 - Inputs RAB v RIN Direct + Overhead Check</v>
      </c>
      <c r="C98" s="106"/>
      <c r="D98" s="106"/>
      <c r="E98" s="106"/>
      <c r="F98" s="106"/>
      <c r="G98" s="106"/>
      <c r="H98" s="106"/>
      <c r="I98" s="106"/>
      <c r="J98" s="106"/>
      <c r="K98" s="131">
        <f ca="1">IF(ISERROR(HL_Err_Chk_100),1,(HL_Err_Chk_100&lt;&gt;0)*1)</f>
        <v>0</v>
      </c>
      <c r="L98" s="132" t="s">
        <v>17</v>
      </c>
      <c r="M98" s="14">
        <f t="shared" ca="1" si="2"/>
        <v>0</v>
      </c>
    </row>
    <row r="99" spans="2:13" outlineLevel="1">
      <c r="B99" s="176" t="str">
        <f>IF(ISERROR(Err_Chk_128_Hdg),"Miscellaneous Check",Err_Chk_128_Hdg)</f>
        <v>3015 - Inputs RAB v Tax Direct + Overhead Check</v>
      </c>
      <c r="C99" s="106"/>
      <c r="D99" s="106"/>
      <c r="E99" s="106"/>
      <c r="F99" s="106"/>
      <c r="G99" s="106"/>
      <c r="H99" s="106"/>
      <c r="I99" s="106"/>
      <c r="J99" s="106"/>
      <c r="K99" s="131">
        <f ca="1">IF(ISERROR(HL_Err_Chk_128),1,(HL_Err_Chk_128&lt;&gt;0)*1)</f>
        <v>0</v>
      </c>
      <c r="L99" s="132" t="s">
        <v>17</v>
      </c>
      <c r="M99" s="14">
        <f t="shared" ca="1" si="2"/>
        <v>0</v>
      </c>
    </row>
    <row r="100" spans="2:13" outlineLevel="1">
      <c r="B100" s="176" t="str">
        <f>IF(ISERROR(Err_Chk_17_Hdg),"Miscellaneous Check",Err_Chk_17_Hdg)</f>
        <v>3016 - Inputs Work Code v RAB Category Direct Check</v>
      </c>
      <c r="C100" s="106"/>
      <c r="D100" s="106"/>
      <c r="E100" s="106"/>
      <c r="F100" s="106"/>
      <c r="G100" s="106"/>
      <c r="H100" s="106"/>
      <c r="I100" s="106"/>
      <c r="J100" s="106"/>
      <c r="K100" s="131">
        <f ca="1">IF(ISERROR(HL_Err_Chk_17),1,(HL_Err_Chk_17&lt;&gt;0)*1)</f>
        <v>0</v>
      </c>
      <c r="L100" s="132" t="s">
        <v>17</v>
      </c>
      <c r="M100" s="14">
        <f t="shared" ca="1" si="2"/>
        <v>0</v>
      </c>
    </row>
    <row r="101" spans="2:13" outlineLevel="1">
      <c r="B101" s="176" t="str">
        <f>IF(ISERROR(Err_Chk_45_Hdg),"Miscellaneous Check",Err_Chk_45_Hdg)</f>
        <v>3016 - Inputs Work Code v RIN Category Direct Check</v>
      </c>
      <c r="C101" s="106"/>
      <c r="D101" s="106"/>
      <c r="E101" s="106"/>
      <c r="F101" s="106"/>
      <c r="G101" s="106"/>
      <c r="H101" s="106"/>
      <c r="I101" s="106"/>
      <c r="J101" s="106"/>
      <c r="K101" s="131">
        <f ca="1">IF(ISERROR(HL_Err_Chk_45),1,(HL_Err_Chk_45&lt;&gt;0)*1)</f>
        <v>0</v>
      </c>
      <c r="L101" s="132" t="s">
        <v>17</v>
      </c>
      <c r="M101" s="14">
        <f t="shared" ca="1" si="2"/>
        <v>0</v>
      </c>
    </row>
    <row r="102" spans="2:13" outlineLevel="1">
      <c r="B102" s="176" t="str">
        <f>IF(ISERROR(Err_Chk_73_Hdg),"Miscellaneous Check",Err_Chk_73_Hdg)</f>
        <v>3016 - Inputs Work Code v Tax Category Direct Check</v>
      </c>
      <c r="C102" s="106"/>
      <c r="D102" s="106"/>
      <c r="E102" s="106"/>
      <c r="F102" s="106"/>
      <c r="G102" s="106"/>
      <c r="H102" s="106"/>
      <c r="I102" s="106"/>
      <c r="J102" s="106"/>
      <c r="K102" s="131">
        <f ca="1">IF(ISERROR(HL_Err_Chk_73),1,(HL_Err_Chk_73&lt;&gt;0)*1)</f>
        <v>0</v>
      </c>
      <c r="L102" s="132" t="s">
        <v>17</v>
      </c>
      <c r="M102" s="14">
        <f t="shared" ca="1" si="2"/>
        <v>0</v>
      </c>
    </row>
    <row r="103" spans="2:13" outlineLevel="1">
      <c r="B103" s="176" t="str">
        <f>IF(ISERROR(Err_Chk_158_Hdg),"Miscellaneous Check",Err_Chk_158_Hdg)</f>
        <v>3016 - Inputs Customer Contributions v RAB Category Direct Check</v>
      </c>
      <c r="C103" s="106"/>
      <c r="D103" s="106"/>
      <c r="E103" s="106"/>
      <c r="F103" s="106"/>
      <c r="G103" s="106"/>
      <c r="H103" s="106"/>
      <c r="I103" s="106"/>
      <c r="J103" s="106"/>
      <c r="K103" s="131">
        <f ca="1">IF(ISERROR(HL_Err_Chk_158),1,(HL_Err_Chk_158&lt;&gt;0)*1)</f>
        <v>0</v>
      </c>
      <c r="L103" s="132" t="s">
        <v>17</v>
      </c>
      <c r="M103" s="14">
        <f t="shared" ca="1" si="2"/>
        <v>0</v>
      </c>
    </row>
    <row r="104" spans="2:13" outlineLevel="1">
      <c r="B104" s="176" t="str">
        <f>IF(ISERROR(Err_Chk_101_Hdg),"Miscellaneous Check",Err_Chk_101_Hdg)</f>
        <v>3016 - Inputs RAB v RIN Direct + Overhead Check</v>
      </c>
      <c r="C104" s="106"/>
      <c r="D104" s="106"/>
      <c r="E104" s="106"/>
      <c r="F104" s="106"/>
      <c r="G104" s="106"/>
      <c r="H104" s="106"/>
      <c r="I104" s="106"/>
      <c r="J104" s="106"/>
      <c r="K104" s="131">
        <f ca="1">IF(ISERROR(HL_Err_Chk_101),1,(HL_Err_Chk_101&lt;&gt;0)*1)</f>
        <v>0</v>
      </c>
      <c r="L104" s="132" t="s">
        <v>17</v>
      </c>
      <c r="M104" s="14">
        <f t="shared" ca="1" si="2"/>
        <v>0</v>
      </c>
    </row>
    <row r="105" spans="2:13" outlineLevel="1">
      <c r="B105" s="176" t="str">
        <f>IF(ISERROR(Err_Chk_129_Hdg),"Miscellaneous Check",Err_Chk_129_Hdg)</f>
        <v>3016 - Inputs RAB v Tax Direct + Overhead Check</v>
      </c>
      <c r="C105" s="106"/>
      <c r="D105" s="106"/>
      <c r="E105" s="106"/>
      <c r="F105" s="106"/>
      <c r="G105" s="106"/>
      <c r="H105" s="106"/>
      <c r="I105" s="106"/>
      <c r="J105" s="106"/>
      <c r="K105" s="131">
        <f ca="1">IF(ISERROR(HL_Err_Chk_129),1,(HL_Err_Chk_129&lt;&gt;0)*1)</f>
        <v>0</v>
      </c>
      <c r="L105" s="132" t="s">
        <v>17</v>
      </c>
      <c r="M105" s="14">
        <f t="shared" ca="1" si="2"/>
        <v>0</v>
      </c>
    </row>
    <row r="106" spans="2:13" outlineLevel="1">
      <c r="B106" s="176" t="str">
        <f>IF(ISERROR(Err_Chk_18_Hdg),"Miscellaneous Check",Err_Chk_18_Hdg)</f>
        <v>3017 - Inputs Work Code v RAB Category Direct Check</v>
      </c>
      <c r="C106" s="106"/>
      <c r="D106" s="106"/>
      <c r="E106" s="106"/>
      <c r="F106" s="106"/>
      <c r="G106" s="106"/>
      <c r="H106" s="106"/>
      <c r="I106" s="106"/>
      <c r="J106" s="106"/>
      <c r="K106" s="131">
        <f ca="1">IF(ISERROR(HL_Err_Chk_18),1,(HL_Err_Chk_18&lt;&gt;0)*1)</f>
        <v>0</v>
      </c>
      <c r="L106" s="132" t="s">
        <v>17</v>
      </c>
      <c r="M106" s="14">
        <f t="shared" ref="M106:M137" ca="1" si="3">K106*(L106="Yes")</f>
        <v>0</v>
      </c>
    </row>
    <row r="107" spans="2:13" outlineLevel="1">
      <c r="B107" s="176" t="str">
        <f>IF(ISERROR(Err_Chk_46_Hdg),"Miscellaneous Check",Err_Chk_46_Hdg)</f>
        <v>3017 - Inputs Work Code v RIN Category Direct Check</v>
      </c>
      <c r="C107" s="106"/>
      <c r="D107" s="106"/>
      <c r="E107" s="106"/>
      <c r="F107" s="106"/>
      <c r="G107" s="106"/>
      <c r="H107" s="106"/>
      <c r="I107" s="106"/>
      <c r="J107" s="106"/>
      <c r="K107" s="131">
        <f ca="1">IF(ISERROR(HL_Err_Chk_46),1,(HL_Err_Chk_46&lt;&gt;0)*1)</f>
        <v>0</v>
      </c>
      <c r="L107" s="132" t="s">
        <v>17</v>
      </c>
      <c r="M107" s="14">
        <f t="shared" ca="1" si="3"/>
        <v>0</v>
      </c>
    </row>
    <row r="108" spans="2:13" outlineLevel="1">
      <c r="B108" s="176" t="str">
        <f>IF(ISERROR(Err_Chk_74_Hdg),"Miscellaneous Check",Err_Chk_74_Hdg)</f>
        <v>3017 - Inputs Work Code v Tax Category Direct Check</v>
      </c>
      <c r="C108" s="106"/>
      <c r="D108" s="106"/>
      <c r="E108" s="106"/>
      <c r="F108" s="106"/>
      <c r="G108" s="106"/>
      <c r="H108" s="106"/>
      <c r="I108" s="106"/>
      <c r="J108" s="106"/>
      <c r="K108" s="131">
        <f ca="1">IF(ISERROR(HL_Err_Chk_74),1,(HL_Err_Chk_74&lt;&gt;0)*1)</f>
        <v>0</v>
      </c>
      <c r="L108" s="132" t="s">
        <v>17</v>
      </c>
      <c r="M108" s="14">
        <f t="shared" ca="1" si="3"/>
        <v>0</v>
      </c>
    </row>
    <row r="109" spans="2:13" outlineLevel="1">
      <c r="B109" s="176" t="str">
        <f>IF(ISERROR(Err_Chk_159_Hdg),"Miscellaneous Check",Err_Chk_159_Hdg)</f>
        <v>3017 - Inputs Customer Contributions v RAB Category Direct Check</v>
      </c>
      <c r="C109" s="106"/>
      <c r="D109" s="106"/>
      <c r="E109" s="106"/>
      <c r="F109" s="106"/>
      <c r="G109" s="106"/>
      <c r="H109" s="106"/>
      <c r="I109" s="106"/>
      <c r="J109" s="106"/>
      <c r="K109" s="131">
        <f ca="1">IF(ISERROR(HL_Err_Chk_159),1,(HL_Err_Chk_159&lt;&gt;0)*1)</f>
        <v>0</v>
      </c>
      <c r="L109" s="132" t="s">
        <v>17</v>
      </c>
      <c r="M109" s="14">
        <f t="shared" ca="1" si="3"/>
        <v>0</v>
      </c>
    </row>
    <row r="110" spans="2:13" outlineLevel="1">
      <c r="B110" s="176" t="str">
        <f>IF(ISERROR(Err_Chk_102_Hdg),"Miscellaneous Check",Err_Chk_102_Hdg)</f>
        <v>3017 - Inputs RAB v RIN Direct + Overhead Check</v>
      </c>
      <c r="C110" s="106"/>
      <c r="D110" s="106"/>
      <c r="E110" s="106"/>
      <c r="F110" s="106"/>
      <c r="G110" s="106"/>
      <c r="H110" s="106"/>
      <c r="I110" s="106"/>
      <c r="J110" s="106"/>
      <c r="K110" s="131">
        <f ca="1">IF(ISERROR(HL_Err_Chk_102),1,(HL_Err_Chk_102&lt;&gt;0)*1)</f>
        <v>0</v>
      </c>
      <c r="L110" s="132" t="s">
        <v>17</v>
      </c>
      <c r="M110" s="14">
        <f t="shared" ca="1" si="3"/>
        <v>0</v>
      </c>
    </row>
    <row r="111" spans="2:13" outlineLevel="1">
      <c r="B111" s="176" t="str">
        <f>IF(ISERROR(Err_Chk_130_Hdg),"Miscellaneous Check",Err_Chk_130_Hdg)</f>
        <v>3017 - Inputs RAB v Tax Direct + Overhead Check</v>
      </c>
      <c r="C111" s="106"/>
      <c r="D111" s="106"/>
      <c r="E111" s="106"/>
      <c r="F111" s="106"/>
      <c r="G111" s="106"/>
      <c r="H111" s="106"/>
      <c r="I111" s="106"/>
      <c r="J111" s="106"/>
      <c r="K111" s="131">
        <f ca="1">IF(ISERROR(HL_Err_Chk_130),1,(HL_Err_Chk_130&lt;&gt;0)*1)</f>
        <v>0</v>
      </c>
      <c r="L111" s="132" t="s">
        <v>17</v>
      </c>
      <c r="M111" s="14">
        <f t="shared" ca="1" si="3"/>
        <v>0</v>
      </c>
    </row>
    <row r="112" spans="2:13" outlineLevel="1">
      <c r="B112" s="176" t="str">
        <f>IF(ISERROR(Err_Chk_19_Hdg),"Miscellaneous Check",Err_Chk_19_Hdg)</f>
        <v>3018 - Inputs Work Code v RAB Category Direct Check</v>
      </c>
      <c r="C112" s="106"/>
      <c r="D112" s="106"/>
      <c r="E112" s="106"/>
      <c r="F112" s="106"/>
      <c r="G112" s="106"/>
      <c r="H112" s="106"/>
      <c r="I112" s="106"/>
      <c r="J112" s="106"/>
      <c r="K112" s="131">
        <f ca="1">IF(ISERROR(HL_Err_Chk_19),1,(HL_Err_Chk_19&lt;&gt;0)*1)</f>
        <v>0</v>
      </c>
      <c r="L112" s="132" t="s">
        <v>17</v>
      </c>
      <c r="M112" s="14">
        <f t="shared" ca="1" si="3"/>
        <v>0</v>
      </c>
    </row>
    <row r="113" spans="2:13" outlineLevel="1">
      <c r="B113" s="176" t="str">
        <f>IF(ISERROR(Err_Chk_47_Hdg),"Miscellaneous Check",Err_Chk_47_Hdg)</f>
        <v>3018 - Inputs Work Code v RIN Category Direct Check</v>
      </c>
      <c r="C113" s="106"/>
      <c r="D113" s="106"/>
      <c r="E113" s="106"/>
      <c r="F113" s="106"/>
      <c r="G113" s="106"/>
      <c r="H113" s="106"/>
      <c r="I113" s="106"/>
      <c r="J113" s="106"/>
      <c r="K113" s="131">
        <f ca="1">IF(ISERROR(HL_Err_Chk_47),1,(HL_Err_Chk_47&lt;&gt;0)*1)</f>
        <v>0</v>
      </c>
      <c r="L113" s="132" t="s">
        <v>17</v>
      </c>
      <c r="M113" s="14">
        <f t="shared" ca="1" si="3"/>
        <v>0</v>
      </c>
    </row>
    <row r="114" spans="2:13" outlineLevel="1">
      <c r="B114" s="176" t="str">
        <f>IF(ISERROR(Err_Chk_75_Hdg),"Miscellaneous Check",Err_Chk_75_Hdg)</f>
        <v>3018 - Inputs Work Code v Tax Category Direct Check</v>
      </c>
      <c r="C114" s="106"/>
      <c r="D114" s="106"/>
      <c r="E114" s="106"/>
      <c r="F114" s="106"/>
      <c r="G114" s="106"/>
      <c r="H114" s="106"/>
      <c r="I114" s="106"/>
      <c r="J114" s="106"/>
      <c r="K114" s="131">
        <f ca="1">IF(ISERROR(HL_Err_Chk_75),1,(HL_Err_Chk_75&lt;&gt;0)*1)</f>
        <v>0</v>
      </c>
      <c r="L114" s="132" t="s">
        <v>17</v>
      </c>
      <c r="M114" s="14">
        <f t="shared" ca="1" si="3"/>
        <v>0</v>
      </c>
    </row>
    <row r="115" spans="2:13" outlineLevel="1">
      <c r="B115" s="176" t="str">
        <f>IF(ISERROR(Err_Chk_160_Hdg),"Miscellaneous Check",Err_Chk_160_Hdg)</f>
        <v>3018 - Inputs Customer Contributions v RAB Category Direct Check</v>
      </c>
      <c r="C115" s="106"/>
      <c r="D115" s="106"/>
      <c r="E115" s="106"/>
      <c r="F115" s="106"/>
      <c r="G115" s="106"/>
      <c r="H115" s="106"/>
      <c r="I115" s="106"/>
      <c r="J115" s="106"/>
      <c r="K115" s="131">
        <f ca="1">IF(ISERROR(HL_Err_Chk_160),1,(HL_Err_Chk_160&lt;&gt;0)*1)</f>
        <v>0</v>
      </c>
      <c r="L115" s="132" t="s">
        <v>17</v>
      </c>
      <c r="M115" s="14">
        <f t="shared" ca="1" si="3"/>
        <v>0</v>
      </c>
    </row>
    <row r="116" spans="2:13" outlineLevel="1">
      <c r="B116" s="176" t="str">
        <f>IF(ISERROR(Err_Chk_103_Hdg),"Miscellaneous Check",Err_Chk_103_Hdg)</f>
        <v>3018 - Inputs RAB v RIN Direct + Overhead Check</v>
      </c>
      <c r="C116" s="106"/>
      <c r="D116" s="106"/>
      <c r="E116" s="106"/>
      <c r="F116" s="106"/>
      <c r="G116" s="106"/>
      <c r="H116" s="106"/>
      <c r="I116" s="106"/>
      <c r="J116" s="106"/>
      <c r="K116" s="131">
        <f ca="1">IF(ISERROR(HL_Err_Chk_103),1,(HL_Err_Chk_103&lt;&gt;0)*1)</f>
        <v>0</v>
      </c>
      <c r="L116" s="132" t="s">
        <v>17</v>
      </c>
      <c r="M116" s="14">
        <f t="shared" ca="1" si="3"/>
        <v>0</v>
      </c>
    </row>
    <row r="117" spans="2:13" outlineLevel="1">
      <c r="B117" s="176" t="str">
        <f>IF(ISERROR(Err_Chk_131_Hdg),"Miscellaneous Check",Err_Chk_131_Hdg)</f>
        <v>3018 - Inputs RAB v Tax Direct + Overhead Check</v>
      </c>
      <c r="C117" s="106"/>
      <c r="D117" s="106"/>
      <c r="E117" s="106"/>
      <c r="F117" s="106"/>
      <c r="G117" s="106"/>
      <c r="H117" s="106"/>
      <c r="I117" s="106"/>
      <c r="J117" s="106"/>
      <c r="K117" s="131">
        <f ca="1">IF(ISERROR(HL_Err_Chk_131),1,(HL_Err_Chk_131&lt;&gt;0)*1)</f>
        <v>0</v>
      </c>
      <c r="L117" s="132" t="s">
        <v>17</v>
      </c>
      <c r="M117" s="14">
        <f t="shared" ca="1" si="3"/>
        <v>0</v>
      </c>
    </row>
    <row r="118" spans="2:13" outlineLevel="1">
      <c r="B118" s="176" t="str">
        <f>IF(ISERROR(Err_Chk_20_Hdg),"Miscellaneous Check",Err_Chk_20_Hdg)</f>
        <v>3019 - Inputs Work Code v RAB Category Direct Check</v>
      </c>
      <c r="C118" s="106"/>
      <c r="D118" s="106"/>
      <c r="E118" s="106"/>
      <c r="F118" s="106"/>
      <c r="G118" s="106"/>
      <c r="H118" s="106"/>
      <c r="I118" s="106"/>
      <c r="J118" s="106"/>
      <c r="K118" s="131">
        <f ca="1">IF(ISERROR(HL_Err_Chk_20),1,(HL_Err_Chk_20&lt;&gt;0)*1)</f>
        <v>0</v>
      </c>
      <c r="L118" s="132" t="s">
        <v>17</v>
      </c>
      <c r="M118" s="14">
        <f t="shared" ca="1" si="3"/>
        <v>0</v>
      </c>
    </row>
    <row r="119" spans="2:13" outlineLevel="1">
      <c r="B119" s="176" t="str">
        <f>IF(ISERROR(Err_Chk_48_Hdg),"Miscellaneous Check",Err_Chk_48_Hdg)</f>
        <v>3019 - Inputs Work Code v RIN Category Direct Check</v>
      </c>
      <c r="C119" s="106"/>
      <c r="D119" s="106"/>
      <c r="E119" s="106"/>
      <c r="F119" s="106"/>
      <c r="G119" s="106"/>
      <c r="H119" s="106"/>
      <c r="I119" s="106"/>
      <c r="J119" s="106"/>
      <c r="K119" s="131">
        <f ca="1">IF(ISERROR(HL_Err_Chk_48),1,(HL_Err_Chk_48&lt;&gt;0)*1)</f>
        <v>0</v>
      </c>
      <c r="L119" s="132" t="s">
        <v>17</v>
      </c>
      <c r="M119" s="14">
        <f t="shared" ca="1" si="3"/>
        <v>0</v>
      </c>
    </row>
    <row r="120" spans="2:13" outlineLevel="1">
      <c r="B120" s="176" t="str">
        <f>IF(ISERROR(Err_Chk_76_Hdg),"Miscellaneous Check",Err_Chk_76_Hdg)</f>
        <v>3019 - Inputs Work Code v Tax Category Direct Check</v>
      </c>
      <c r="C120" s="106"/>
      <c r="D120" s="106"/>
      <c r="E120" s="106"/>
      <c r="F120" s="106"/>
      <c r="G120" s="106"/>
      <c r="H120" s="106"/>
      <c r="I120" s="106"/>
      <c r="J120" s="106"/>
      <c r="K120" s="131">
        <f ca="1">IF(ISERROR(HL_Err_Chk_76),1,(HL_Err_Chk_76&lt;&gt;0)*1)</f>
        <v>0</v>
      </c>
      <c r="L120" s="132" t="s">
        <v>17</v>
      </c>
      <c r="M120" s="14">
        <f t="shared" ca="1" si="3"/>
        <v>0</v>
      </c>
    </row>
    <row r="121" spans="2:13" outlineLevel="1">
      <c r="B121" s="176" t="str">
        <f>IF(ISERROR(Err_Chk_142_Hdg),"Miscellaneous Check",Err_Chk_142_Hdg)</f>
        <v>3019 - Inputs Customer Contributions v RAB Category Direct Check</v>
      </c>
      <c r="C121" s="106"/>
      <c r="D121" s="106"/>
      <c r="E121" s="106"/>
      <c r="F121" s="106"/>
      <c r="G121" s="106"/>
      <c r="H121" s="106"/>
      <c r="I121" s="106"/>
      <c r="J121" s="106"/>
      <c r="K121" s="131">
        <f ca="1">IF(ISERROR(HL_Err_Chk_142),1,(HL_Err_Chk_142&lt;&gt;0)*1)</f>
        <v>0</v>
      </c>
      <c r="L121" s="132" t="s">
        <v>17</v>
      </c>
      <c r="M121" s="14">
        <f t="shared" ca="1" si="3"/>
        <v>0</v>
      </c>
    </row>
    <row r="122" spans="2:13" outlineLevel="1">
      <c r="B122" s="176" t="str">
        <f>IF(ISERROR(Err_Chk_104_Hdg),"Miscellaneous Check",Err_Chk_104_Hdg)</f>
        <v>3019 - Inputs RAB v RIN Direct + Overhead Check</v>
      </c>
      <c r="C122" s="106"/>
      <c r="D122" s="106"/>
      <c r="E122" s="106"/>
      <c r="F122" s="106"/>
      <c r="G122" s="106"/>
      <c r="H122" s="106"/>
      <c r="I122" s="106"/>
      <c r="J122" s="106"/>
      <c r="K122" s="131">
        <f ca="1">IF(ISERROR(HL_Err_Chk_104),1,(HL_Err_Chk_104&lt;&gt;0)*1)</f>
        <v>0</v>
      </c>
      <c r="L122" s="132" t="s">
        <v>17</v>
      </c>
      <c r="M122" s="14">
        <f t="shared" ca="1" si="3"/>
        <v>0</v>
      </c>
    </row>
    <row r="123" spans="2:13" outlineLevel="1">
      <c r="B123" s="176" t="str">
        <f>IF(ISERROR(Err_Chk_132_Hdg),"Miscellaneous Check",Err_Chk_132_Hdg)</f>
        <v>3019 - Inputs RAB v Tax Direct + Overhead Check</v>
      </c>
      <c r="C123" s="106"/>
      <c r="D123" s="106"/>
      <c r="E123" s="106"/>
      <c r="F123" s="106"/>
      <c r="G123" s="106"/>
      <c r="H123" s="106"/>
      <c r="I123" s="106"/>
      <c r="J123" s="106"/>
      <c r="K123" s="131">
        <f ca="1">IF(ISERROR(HL_Err_Chk_132),1,(HL_Err_Chk_132&lt;&gt;0)*1)</f>
        <v>0</v>
      </c>
      <c r="L123" s="132" t="s">
        <v>17</v>
      </c>
      <c r="M123" s="14">
        <f t="shared" ca="1" si="3"/>
        <v>0</v>
      </c>
    </row>
    <row r="124" spans="2:13" outlineLevel="1">
      <c r="B124" s="176" t="str">
        <f>IF(ISERROR(Err_Chk_21_Hdg),"Miscellaneous Check",Err_Chk_21_Hdg)</f>
        <v>3020 - Inputs Work Code v RAB Category Direct Check</v>
      </c>
      <c r="C124" s="106"/>
      <c r="D124" s="106"/>
      <c r="E124" s="106"/>
      <c r="F124" s="106"/>
      <c r="G124" s="106"/>
      <c r="H124" s="106"/>
      <c r="I124" s="106"/>
      <c r="J124" s="106"/>
      <c r="K124" s="131">
        <f ca="1">IF(ISERROR(HL_Err_Chk_21),1,(HL_Err_Chk_21&lt;&gt;0)*1)</f>
        <v>0</v>
      </c>
      <c r="L124" s="132" t="s">
        <v>17</v>
      </c>
      <c r="M124" s="14">
        <f t="shared" ca="1" si="3"/>
        <v>0</v>
      </c>
    </row>
    <row r="125" spans="2:13" outlineLevel="1">
      <c r="B125" s="176" t="str">
        <f>IF(ISERROR(Err_Chk_49_Hdg),"Miscellaneous Check",Err_Chk_49_Hdg)</f>
        <v>3020 - Inputs Work Code v RIN Category Direct Check</v>
      </c>
      <c r="C125" s="106"/>
      <c r="D125" s="106"/>
      <c r="E125" s="106"/>
      <c r="F125" s="106"/>
      <c r="G125" s="106"/>
      <c r="H125" s="106"/>
      <c r="I125" s="106"/>
      <c r="J125" s="106"/>
      <c r="K125" s="131">
        <f ca="1">IF(ISERROR(HL_Err_Chk_49),1,(HL_Err_Chk_49&lt;&gt;0)*1)</f>
        <v>0</v>
      </c>
      <c r="L125" s="132" t="s">
        <v>17</v>
      </c>
      <c r="M125" s="14">
        <f t="shared" ca="1" si="3"/>
        <v>0</v>
      </c>
    </row>
    <row r="126" spans="2:13" outlineLevel="1">
      <c r="B126" s="176" t="str">
        <f>IF(ISERROR(Err_Chk_77_Hdg),"Miscellaneous Check",Err_Chk_77_Hdg)</f>
        <v>3020 - Inputs Work Code v Tax Category Direct Check</v>
      </c>
      <c r="C126" s="106"/>
      <c r="D126" s="106"/>
      <c r="E126" s="106"/>
      <c r="F126" s="106"/>
      <c r="G126" s="106"/>
      <c r="H126" s="106"/>
      <c r="I126" s="106"/>
      <c r="J126" s="106"/>
      <c r="K126" s="131">
        <f ca="1">IF(ISERROR(HL_Err_Chk_77),1,(HL_Err_Chk_77&lt;&gt;0)*1)</f>
        <v>0</v>
      </c>
      <c r="L126" s="132" t="s">
        <v>17</v>
      </c>
      <c r="M126" s="14">
        <f t="shared" ca="1" si="3"/>
        <v>0</v>
      </c>
    </row>
    <row r="127" spans="2:13" outlineLevel="1">
      <c r="B127" s="176" t="str">
        <f>IF(ISERROR(Err_Chk_161_Hdg),"Miscellaneous Check",Err_Chk_161_Hdg)</f>
        <v>3020 - Inputs Customer Contributions v RAB Category Direct Check</v>
      </c>
      <c r="C127" s="106"/>
      <c r="D127" s="106"/>
      <c r="E127" s="106"/>
      <c r="F127" s="106"/>
      <c r="G127" s="106"/>
      <c r="H127" s="106"/>
      <c r="I127" s="106"/>
      <c r="J127" s="106"/>
      <c r="K127" s="131">
        <f ca="1">IF(ISERROR(HL_Err_Chk_161),1,(HL_Err_Chk_161&lt;&gt;0)*1)</f>
        <v>0</v>
      </c>
      <c r="L127" s="132" t="s">
        <v>17</v>
      </c>
      <c r="M127" s="14">
        <f t="shared" ca="1" si="3"/>
        <v>0</v>
      </c>
    </row>
    <row r="128" spans="2:13" outlineLevel="1">
      <c r="B128" s="176" t="str">
        <f>IF(ISERROR(Err_Chk_105_Hdg),"Miscellaneous Check",Err_Chk_105_Hdg)</f>
        <v>3020 - Inputs RAB v RIN Direct + Overhead Check</v>
      </c>
      <c r="C128" s="106"/>
      <c r="D128" s="106"/>
      <c r="E128" s="106"/>
      <c r="F128" s="106"/>
      <c r="G128" s="106"/>
      <c r="H128" s="106"/>
      <c r="I128" s="106"/>
      <c r="J128" s="106"/>
      <c r="K128" s="131">
        <f ca="1">IF(ISERROR(HL_Err_Chk_105),1,(HL_Err_Chk_105&lt;&gt;0)*1)</f>
        <v>0</v>
      </c>
      <c r="L128" s="132" t="s">
        <v>17</v>
      </c>
      <c r="M128" s="14">
        <f t="shared" ca="1" si="3"/>
        <v>0</v>
      </c>
    </row>
    <row r="129" spans="2:13" outlineLevel="1">
      <c r="B129" s="176" t="str">
        <f>IF(ISERROR(Err_Chk_133_Hdg),"Miscellaneous Check",Err_Chk_133_Hdg)</f>
        <v>3020 - Inputs RAB v Tax Direct + Overhead Check</v>
      </c>
      <c r="C129" s="106"/>
      <c r="D129" s="106"/>
      <c r="E129" s="106"/>
      <c r="F129" s="106"/>
      <c r="G129" s="106"/>
      <c r="H129" s="106"/>
      <c r="I129" s="106"/>
      <c r="J129" s="106"/>
      <c r="K129" s="131">
        <f ca="1">IF(ISERROR(HL_Err_Chk_133),1,(HL_Err_Chk_133&lt;&gt;0)*1)</f>
        <v>0</v>
      </c>
      <c r="L129" s="132" t="s">
        <v>17</v>
      </c>
      <c r="M129" s="14">
        <f t="shared" ca="1" si="3"/>
        <v>0</v>
      </c>
    </row>
    <row r="130" spans="2:13" outlineLevel="1">
      <c r="B130" s="176" t="str">
        <f>IF(ISERROR(Err_Chk_22_Hdg),"Miscellaneous Check",Err_Chk_22_Hdg)</f>
        <v>3021 - Inputs Work Code v RAB Category Direct Check</v>
      </c>
      <c r="C130" s="106"/>
      <c r="D130" s="106"/>
      <c r="E130" s="106"/>
      <c r="F130" s="106"/>
      <c r="G130" s="106"/>
      <c r="H130" s="106"/>
      <c r="I130" s="106"/>
      <c r="J130" s="106"/>
      <c r="K130" s="131">
        <f ca="1">IF(ISERROR(HL_Err_Chk_22),1,(HL_Err_Chk_22&lt;&gt;0)*1)</f>
        <v>0</v>
      </c>
      <c r="L130" s="132" t="s">
        <v>17</v>
      </c>
      <c r="M130" s="14">
        <f t="shared" ca="1" si="3"/>
        <v>0</v>
      </c>
    </row>
    <row r="131" spans="2:13" outlineLevel="1">
      <c r="B131" s="176" t="str">
        <f>IF(ISERROR(Err_Chk_50_Hdg),"Miscellaneous Check",Err_Chk_50_Hdg)</f>
        <v>3021 - Inputs Work Code v RIN Category Direct Check</v>
      </c>
      <c r="C131" s="106"/>
      <c r="D131" s="106"/>
      <c r="E131" s="106"/>
      <c r="F131" s="106"/>
      <c r="G131" s="106"/>
      <c r="H131" s="106"/>
      <c r="I131" s="106"/>
      <c r="J131" s="106"/>
      <c r="K131" s="131">
        <f ca="1">IF(ISERROR(HL_Err_Chk_50),1,(HL_Err_Chk_50&lt;&gt;0)*1)</f>
        <v>0</v>
      </c>
      <c r="L131" s="132" t="s">
        <v>17</v>
      </c>
      <c r="M131" s="14">
        <f t="shared" ca="1" si="3"/>
        <v>0</v>
      </c>
    </row>
    <row r="132" spans="2:13" outlineLevel="1">
      <c r="B132" s="176" t="str">
        <f>IF(ISERROR(Err_Chk_78_Hdg),"Miscellaneous Check",Err_Chk_78_Hdg)</f>
        <v>3021 - Inputs Work Code v Tax Category Direct Check</v>
      </c>
      <c r="C132" s="106"/>
      <c r="D132" s="106"/>
      <c r="E132" s="106"/>
      <c r="F132" s="106"/>
      <c r="G132" s="106"/>
      <c r="H132" s="106"/>
      <c r="I132" s="106"/>
      <c r="J132" s="106"/>
      <c r="K132" s="131">
        <f ca="1">IF(ISERROR(HL_Err_Chk_78),1,(HL_Err_Chk_78&lt;&gt;0)*1)</f>
        <v>0</v>
      </c>
      <c r="L132" s="132" t="s">
        <v>17</v>
      </c>
      <c r="M132" s="14">
        <f t="shared" ca="1" si="3"/>
        <v>0</v>
      </c>
    </row>
    <row r="133" spans="2:13" outlineLevel="1">
      <c r="B133" s="176" t="str">
        <f>IF(ISERROR(Err_Chk_162_Hdg),"Miscellaneous Check",Err_Chk_162_Hdg)</f>
        <v>3021 - Inputs Customer Contributions v RAB Category Direct Check</v>
      </c>
      <c r="C133" s="106"/>
      <c r="D133" s="106"/>
      <c r="E133" s="106"/>
      <c r="F133" s="106"/>
      <c r="G133" s="106"/>
      <c r="H133" s="106"/>
      <c r="I133" s="106"/>
      <c r="J133" s="106"/>
      <c r="K133" s="131">
        <f ca="1">IF(ISERROR(HL_Err_Chk_162),1,(HL_Err_Chk_162&lt;&gt;0)*1)</f>
        <v>0</v>
      </c>
      <c r="L133" s="132" t="s">
        <v>17</v>
      </c>
      <c r="M133" s="14">
        <f t="shared" ca="1" si="3"/>
        <v>0</v>
      </c>
    </row>
    <row r="134" spans="2:13" outlineLevel="1">
      <c r="B134" s="176" t="str">
        <f>IF(ISERROR(Err_Chk_106_Hdg),"Miscellaneous Check",Err_Chk_106_Hdg)</f>
        <v>3021 - Inputs RAB v RIN Direct + Overhead Check</v>
      </c>
      <c r="C134" s="106"/>
      <c r="D134" s="106"/>
      <c r="E134" s="106"/>
      <c r="F134" s="106"/>
      <c r="G134" s="106"/>
      <c r="H134" s="106"/>
      <c r="I134" s="106"/>
      <c r="J134" s="106"/>
      <c r="K134" s="131">
        <f ca="1">IF(ISERROR(HL_Err_Chk_106),1,(HL_Err_Chk_106&lt;&gt;0)*1)</f>
        <v>0</v>
      </c>
      <c r="L134" s="132" t="s">
        <v>17</v>
      </c>
      <c r="M134" s="14">
        <f t="shared" ca="1" si="3"/>
        <v>0</v>
      </c>
    </row>
    <row r="135" spans="2:13" outlineLevel="1">
      <c r="B135" s="176" t="str">
        <f>IF(ISERROR(Err_Chk_134_Hdg),"Miscellaneous Check",Err_Chk_134_Hdg)</f>
        <v>3021 - Inputs RAB v Tax Direct + Overhead Check</v>
      </c>
      <c r="C135" s="106"/>
      <c r="D135" s="106"/>
      <c r="E135" s="106"/>
      <c r="F135" s="106"/>
      <c r="G135" s="106"/>
      <c r="H135" s="106"/>
      <c r="I135" s="106"/>
      <c r="J135" s="106"/>
      <c r="K135" s="131">
        <f ca="1">IF(ISERROR(HL_Err_Chk_134),1,(HL_Err_Chk_134&lt;&gt;0)*1)</f>
        <v>0</v>
      </c>
      <c r="L135" s="132" t="s">
        <v>17</v>
      </c>
      <c r="M135" s="14">
        <f t="shared" ca="1" si="3"/>
        <v>0</v>
      </c>
    </row>
    <row r="136" spans="2:13" outlineLevel="1">
      <c r="B136" s="176" t="str">
        <f>IF(ISERROR(Err_Chk_23_Hdg),"Miscellaneous Check",Err_Chk_23_Hdg)</f>
        <v>3022 - Inputs Work Code v RAB Category Direct Check</v>
      </c>
      <c r="C136" s="106"/>
      <c r="D136" s="106"/>
      <c r="E136" s="106"/>
      <c r="F136" s="106"/>
      <c r="G136" s="106"/>
      <c r="H136" s="106"/>
      <c r="I136" s="106"/>
      <c r="J136" s="106"/>
      <c r="K136" s="131">
        <f ca="1">IF(ISERROR(HL_Err_Chk_23),1,(HL_Err_Chk_23&lt;&gt;0)*1)</f>
        <v>0</v>
      </c>
      <c r="L136" s="132" t="s">
        <v>17</v>
      </c>
      <c r="M136" s="14">
        <f t="shared" ca="1" si="3"/>
        <v>0</v>
      </c>
    </row>
    <row r="137" spans="2:13" outlineLevel="1">
      <c r="B137" s="176" t="str">
        <f>IF(ISERROR(Err_Chk_51_Hdg),"Miscellaneous Check",Err_Chk_51_Hdg)</f>
        <v>3022 - Inputs Work Code v RIN Category Direct Check</v>
      </c>
      <c r="C137" s="106"/>
      <c r="D137" s="106"/>
      <c r="E137" s="106"/>
      <c r="F137" s="106"/>
      <c r="G137" s="106"/>
      <c r="H137" s="106"/>
      <c r="I137" s="106"/>
      <c r="J137" s="106"/>
      <c r="K137" s="131">
        <f ca="1">IF(ISERROR(HL_Err_Chk_51),1,(HL_Err_Chk_51&lt;&gt;0)*1)</f>
        <v>0</v>
      </c>
      <c r="L137" s="132" t="s">
        <v>17</v>
      </c>
      <c r="M137" s="14">
        <f t="shared" ca="1" si="3"/>
        <v>0</v>
      </c>
    </row>
    <row r="138" spans="2:13" outlineLevel="1">
      <c r="B138" s="176" t="str">
        <f>IF(ISERROR(Err_Chk_79_Hdg),"Miscellaneous Check",Err_Chk_79_Hdg)</f>
        <v>3022 - Inputs Work Code v Tax Category Direct Check</v>
      </c>
      <c r="C138" s="106"/>
      <c r="D138" s="106"/>
      <c r="E138" s="106"/>
      <c r="F138" s="106"/>
      <c r="G138" s="106"/>
      <c r="H138" s="106"/>
      <c r="I138" s="106"/>
      <c r="J138" s="106"/>
      <c r="K138" s="131">
        <f ca="1">IF(ISERROR(HL_Err_Chk_79),1,(HL_Err_Chk_79&lt;&gt;0)*1)</f>
        <v>0</v>
      </c>
      <c r="L138" s="132" t="s">
        <v>17</v>
      </c>
      <c r="M138" s="14">
        <f t="shared" ref="M138:M169" ca="1" si="4">K138*(L138="Yes")</f>
        <v>0</v>
      </c>
    </row>
    <row r="139" spans="2:13" outlineLevel="1">
      <c r="B139" s="176" t="str">
        <f>IF(ISERROR(Err_Chk_163_Hdg),"Miscellaneous Check",Err_Chk_163_Hdg)</f>
        <v>3022 - Inputs Customer Contributions v RAB Category Direct Check</v>
      </c>
      <c r="C139" s="106"/>
      <c r="D139" s="106"/>
      <c r="E139" s="106"/>
      <c r="F139" s="106"/>
      <c r="G139" s="106"/>
      <c r="H139" s="106"/>
      <c r="I139" s="106"/>
      <c r="J139" s="106"/>
      <c r="K139" s="131">
        <f ca="1">IF(ISERROR(HL_Err_Chk_163),1,(HL_Err_Chk_163&lt;&gt;0)*1)</f>
        <v>0</v>
      </c>
      <c r="L139" s="132" t="s">
        <v>17</v>
      </c>
      <c r="M139" s="14">
        <f t="shared" ca="1" si="4"/>
        <v>0</v>
      </c>
    </row>
    <row r="140" spans="2:13" outlineLevel="1">
      <c r="B140" s="176" t="str">
        <f>IF(ISERROR(Err_Chk_107_Hdg),"Miscellaneous Check",Err_Chk_107_Hdg)</f>
        <v>3022 - Inputs RAB v RIN Direct + Overhead Check</v>
      </c>
      <c r="C140" s="106"/>
      <c r="D140" s="106"/>
      <c r="E140" s="106"/>
      <c r="F140" s="106"/>
      <c r="G140" s="106"/>
      <c r="H140" s="106"/>
      <c r="I140" s="106"/>
      <c r="J140" s="106"/>
      <c r="K140" s="131">
        <f ca="1">IF(ISERROR(HL_Err_Chk_107),1,(HL_Err_Chk_107&lt;&gt;0)*1)</f>
        <v>0</v>
      </c>
      <c r="L140" s="132" t="s">
        <v>17</v>
      </c>
      <c r="M140" s="14">
        <f t="shared" ca="1" si="4"/>
        <v>0</v>
      </c>
    </row>
    <row r="141" spans="2:13" outlineLevel="1">
      <c r="B141" s="176" t="str">
        <f>IF(ISERROR(Err_Chk_135_Hdg),"Miscellaneous Check",Err_Chk_135_Hdg)</f>
        <v>3022 - Inputs RAB v Tax Direct + Overhead Check</v>
      </c>
      <c r="C141" s="106"/>
      <c r="D141" s="106"/>
      <c r="E141" s="106"/>
      <c r="F141" s="106"/>
      <c r="G141" s="106"/>
      <c r="H141" s="106"/>
      <c r="I141" s="106"/>
      <c r="J141" s="106"/>
      <c r="K141" s="131">
        <f ca="1">IF(ISERROR(HL_Err_Chk_135),1,(HL_Err_Chk_135&lt;&gt;0)*1)</f>
        <v>0</v>
      </c>
      <c r="L141" s="132" t="s">
        <v>17</v>
      </c>
      <c r="M141" s="14">
        <f t="shared" ca="1" si="4"/>
        <v>0</v>
      </c>
    </row>
    <row r="142" spans="2:13" outlineLevel="1">
      <c r="B142" s="176" t="str">
        <f>IF(ISERROR(Err_Chk_24_Hdg),"Miscellaneous Check",Err_Chk_24_Hdg)</f>
        <v>3023 - Inputs Work Code v RAB Category Direct Check</v>
      </c>
      <c r="C142" s="106"/>
      <c r="D142" s="106"/>
      <c r="E142" s="106"/>
      <c r="F142" s="106"/>
      <c r="G142" s="106"/>
      <c r="H142" s="106"/>
      <c r="I142" s="106"/>
      <c r="J142" s="106"/>
      <c r="K142" s="131">
        <f ca="1">IF(ISERROR(HL_Err_Chk_24),1,(HL_Err_Chk_24&lt;&gt;0)*1)</f>
        <v>0</v>
      </c>
      <c r="L142" s="132" t="s">
        <v>17</v>
      </c>
      <c r="M142" s="14">
        <f t="shared" ca="1" si="4"/>
        <v>0</v>
      </c>
    </row>
    <row r="143" spans="2:13" outlineLevel="1">
      <c r="B143" s="176" t="str">
        <f>IF(ISERROR(Err_Chk_52_Hdg),"Miscellaneous Check",Err_Chk_52_Hdg)</f>
        <v>3023 - Inputs Work Code v RIN Category Direct Check</v>
      </c>
      <c r="C143" s="106"/>
      <c r="D143" s="106"/>
      <c r="E143" s="106"/>
      <c r="F143" s="106"/>
      <c r="G143" s="106"/>
      <c r="H143" s="106"/>
      <c r="I143" s="106"/>
      <c r="J143" s="106"/>
      <c r="K143" s="131">
        <f ca="1">IF(ISERROR(HL_Err_Chk_52),1,(HL_Err_Chk_52&lt;&gt;0)*1)</f>
        <v>0</v>
      </c>
      <c r="L143" s="132" t="s">
        <v>17</v>
      </c>
      <c r="M143" s="14">
        <f t="shared" ca="1" si="4"/>
        <v>0</v>
      </c>
    </row>
    <row r="144" spans="2:13" outlineLevel="1">
      <c r="B144" s="176" t="str">
        <f>IF(ISERROR(Err_Chk_80_Hdg),"Miscellaneous Check",Err_Chk_80_Hdg)</f>
        <v>3023 - Inputs Work Code v Tax Category Direct Check</v>
      </c>
      <c r="C144" s="106"/>
      <c r="D144" s="106"/>
      <c r="E144" s="106"/>
      <c r="F144" s="106"/>
      <c r="G144" s="106"/>
      <c r="H144" s="106"/>
      <c r="I144" s="106"/>
      <c r="J144" s="106"/>
      <c r="K144" s="131">
        <f ca="1">IF(ISERROR(HL_Err_Chk_80),1,(HL_Err_Chk_80&lt;&gt;0)*1)</f>
        <v>0</v>
      </c>
      <c r="L144" s="132" t="s">
        <v>17</v>
      </c>
      <c r="M144" s="14">
        <f t="shared" ca="1" si="4"/>
        <v>0</v>
      </c>
    </row>
    <row r="145" spans="2:13" outlineLevel="1">
      <c r="B145" s="176" t="str">
        <f>IF(ISERROR(Err_Chk_164_Hdg),"Miscellaneous Check",Err_Chk_164_Hdg)</f>
        <v>3023 - Inputs Customer Contributions v RAB Category Direct Check</v>
      </c>
      <c r="C145" s="106"/>
      <c r="D145" s="106"/>
      <c r="E145" s="106"/>
      <c r="F145" s="106"/>
      <c r="G145" s="106"/>
      <c r="H145" s="106"/>
      <c r="I145" s="106"/>
      <c r="J145" s="106"/>
      <c r="K145" s="131">
        <f ca="1">IF(ISERROR(HL_Err_Chk_164),1,(HL_Err_Chk_164&lt;&gt;0)*1)</f>
        <v>0</v>
      </c>
      <c r="L145" s="132" t="s">
        <v>17</v>
      </c>
      <c r="M145" s="14">
        <f t="shared" ca="1" si="4"/>
        <v>0</v>
      </c>
    </row>
    <row r="146" spans="2:13" outlineLevel="1">
      <c r="B146" s="176" t="str">
        <f>IF(ISERROR(Err_Chk_108_Hdg),"Miscellaneous Check",Err_Chk_108_Hdg)</f>
        <v>3023 - Inputs RAB v RIN Direct + Overhead Check</v>
      </c>
      <c r="C146" s="106"/>
      <c r="D146" s="106"/>
      <c r="E146" s="106"/>
      <c r="F146" s="106"/>
      <c r="G146" s="106"/>
      <c r="H146" s="106"/>
      <c r="I146" s="106"/>
      <c r="J146" s="106"/>
      <c r="K146" s="131">
        <f ca="1">IF(ISERROR(HL_Err_Chk_108),1,(HL_Err_Chk_108&lt;&gt;0)*1)</f>
        <v>0</v>
      </c>
      <c r="L146" s="132" t="s">
        <v>17</v>
      </c>
      <c r="M146" s="14">
        <f t="shared" ca="1" si="4"/>
        <v>0</v>
      </c>
    </row>
    <row r="147" spans="2:13" outlineLevel="1">
      <c r="B147" s="176" t="str">
        <f>IF(ISERROR(Err_Chk_136_Hdg),"Miscellaneous Check",Err_Chk_136_Hdg)</f>
        <v>3023 - Inputs RAB v Tax Direct + Overhead Check</v>
      </c>
      <c r="C147" s="106"/>
      <c r="D147" s="106"/>
      <c r="E147" s="106"/>
      <c r="F147" s="106"/>
      <c r="G147" s="106"/>
      <c r="H147" s="106"/>
      <c r="I147" s="106"/>
      <c r="J147" s="106"/>
      <c r="K147" s="131">
        <f ca="1">IF(ISERROR(HL_Err_Chk_136),1,(HL_Err_Chk_136&lt;&gt;0)*1)</f>
        <v>0</v>
      </c>
      <c r="L147" s="132" t="s">
        <v>17</v>
      </c>
      <c r="M147" s="14">
        <f t="shared" ca="1" si="4"/>
        <v>0</v>
      </c>
    </row>
    <row r="148" spans="2:13" outlineLevel="1">
      <c r="B148" s="176" t="str">
        <f>IF(ISERROR(Err_Chk_25_Hdg),"Miscellaneous Check",Err_Chk_25_Hdg)</f>
        <v>3024 - Inputs Work Code v RAB Category Direct Check</v>
      </c>
      <c r="C148" s="106"/>
      <c r="D148" s="106"/>
      <c r="E148" s="106"/>
      <c r="F148" s="106"/>
      <c r="G148" s="106"/>
      <c r="H148" s="106"/>
      <c r="I148" s="106"/>
      <c r="J148" s="106"/>
      <c r="K148" s="131">
        <f ca="1">IF(ISERROR(HL_Err_Chk_25),1,(HL_Err_Chk_25&lt;&gt;0)*1)</f>
        <v>0</v>
      </c>
      <c r="L148" s="132" t="s">
        <v>17</v>
      </c>
      <c r="M148" s="14">
        <f t="shared" ca="1" si="4"/>
        <v>0</v>
      </c>
    </row>
    <row r="149" spans="2:13" outlineLevel="1">
      <c r="B149" s="176" t="str">
        <f>IF(ISERROR(Err_Chk_53_Hdg),"Miscellaneous Check",Err_Chk_53_Hdg)</f>
        <v>3024 - Inputs Work Code v RIN Category Direct Check</v>
      </c>
      <c r="C149" s="106"/>
      <c r="D149" s="106"/>
      <c r="E149" s="106"/>
      <c r="F149" s="106"/>
      <c r="G149" s="106"/>
      <c r="H149" s="106"/>
      <c r="I149" s="106"/>
      <c r="J149" s="106"/>
      <c r="K149" s="131">
        <f ca="1">IF(ISERROR(HL_Err_Chk_53),1,(HL_Err_Chk_53&lt;&gt;0)*1)</f>
        <v>0</v>
      </c>
      <c r="L149" s="132" t="s">
        <v>17</v>
      </c>
      <c r="M149" s="14">
        <f t="shared" ca="1" si="4"/>
        <v>0</v>
      </c>
    </row>
    <row r="150" spans="2:13" outlineLevel="1">
      <c r="B150" s="176" t="str">
        <f>IF(ISERROR(Err_Chk_81_Hdg),"Miscellaneous Check",Err_Chk_81_Hdg)</f>
        <v>3024 - Inputs Work Code v Tax Category Direct Check</v>
      </c>
      <c r="C150" s="106"/>
      <c r="D150" s="106"/>
      <c r="E150" s="106"/>
      <c r="F150" s="106"/>
      <c r="G150" s="106"/>
      <c r="H150" s="106"/>
      <c r="I150" s="106"/>
      <c r="J150" s="106"/>
      <c r="K150" s="131">
        <f ca="1">IF(ISERROR(HL_Err_Chk_81),1,(HL_Err_Chk_81&lt;&gt;0)*1)</f>
        <v>0</v>
      </c>
      <c r="L150" s="132" t="s">
        <v>17</v>
      </c>
      <c r="M150" s="14">
        <f t="shared" ca="1" si="4"/>
        <v>0</v>
      </c>
    </row>
    <row r="151" spans="2:13" outlineLevel="1">
      <c r="B151" s="176" t="str">
        <f>IF(ISERROR(Err_Chk_165_Hdg),"Miscellaneous Check",Err_Chk_165_Hdg)</f>
        <v>3024 - Inputs Customer Contributions v RAB Category Direct Check</v>
      </c>
      <c r="C151" s="106"/>
      <c r="D151" s="106"/>
      <c r="E151" s="106"/>
      <c r="F151" s="106"/>
      <c r="G151" s="106"/>
      <c r="H151" s="106"/>
      <c r="I151" s="106"/>
      <c r="J151" s="106"/>
      <c r="K151" s="131">
        <f ca="1">IF(ISERROR(HL_Err_Chk_165),1,(HL_Err_Chk_165&lt;&gt;0)*1)</f>
        <v>0</v>
      </c>
      <c r="L151" s="132" t="s">
        <v>17</v>
      </c>
      <c r="M151" s="14">
        <f t="shared" ca="1" si="4"/>
        <v>0</v>
      </c>
    </row>
    <row r="152" spans="2:13" outlineLevel="1">
      <c r="B152" s="176" t="str">
        <f>IF(ISERROR(Err_Chk_109_Hdg),"Miscellaneous Check",Err_Chk_109_Hdg)</f>
        <v>3024 - Inputs RAB v RIN Direct + Overhead Check</v>
      </c>
      <c r="C152" s="106"/>
      <c r="D152" s="106"/>
      <c r="E152" s="106"/>
      <c r="F152" s="106"/>
      <c r="G152" s="106"/>
      <c r="H152" s="106"/>
      <c r="I152" s="106"/>
      <c r="J152" s="106"/>
      <c r="K152" s="131">
        <f ca="1">IF(ISERROR(HL_Err_Chk_109),1,(HL_Err_Chk_109&lt;&gt;0)*1)</f>
        <v>0</v>
      </c>
      <c r="L152" s="132" t="s">
        <v>17</v>
      </c>
      <c r="M152" s="14">
        <f t="shared" ca="1" si="4"/>
        <v>0</v>
      </c>
    </row>
    <row r="153" spans="2:13" outlineLevel="1">
      <c r="B153" s="176" t="str">
        <f>IF(ISERROR(Err_Chk_137_Hdg),"Miscellaneous Check",Err_Chk_137_Hdg)</f>
        <v>3024 - Inputs RAB v Tax Direct + Overhead Check</v>
      </c>
      <c r="C153" s="106"/>
      <c r="D153" s="106"/>
      <c r="E153" s="106"/>
      <c r="F153" s="106"/>
      <c r="G153" s="106"/>
      <c r="H153" s="106"/>
      <c r="I153" s="106"/>
      <c r="J153" s="106"/>
      <c r="K153" s="131">
        <f ca="1">IF(ISERROR(HL_Err_Chk_137),1,(HL_Err_Chk_137&lt;&gt;0)*1)</f>
        <v>0</v>
      </c>
      <c r="L153" s="132" t="s">
        <v>17</v>
      </c>
      <c r="M153" s="14">
        <f t="shared" ca="1" si="4"/>
        <v>0</v>
      </c>
    </row>
    <row r="154" spans="2:13" outlineLevel="1">
      <c r="B154" s="176" t="str">
        <f>IF(ISERROR(Err_Chk_26_Hdg),"Miscellaneous Check",Err_Chk_26_Hdg)</f>
        <v>3025 - Inputs Work Code v RAB Category Direct Check</v>
      </c>
      <c r="C154" s="106"/>
      <c r="D154" s="106"/>
      <c r="E154" s="106"/>
      <c r="F154" s="106"/>
      <c r="G154" s="106"/>
      <c r="H154" s="106"/>
      <c r="I154" s="106"/>
      <c r="J154" s="106"/>
      <c r="K154" s="131">
        <f ca="1">IF(ISERROR(HL_Err_Chk_26),1,(HL_Err_Chk_26&lt;&gt;0)*1)</f>
        <v>0</v>
      </c>
      <c r="L154" s="132" t="s">
        <v>17</v>
      </c>
      <c r="M154" s="14">
        <f t="shared" ca="1" si="4"/>
        <v>0</v>
      </c>
    </row>
    <row r="155" spans="2:13" outlineLevel="1">
      <c r="B155" s="176" t="str">
        <f>IF(ISERROR(Err_Chk_54_Hdg),"Miscellaneous Check",Err_Chk_54_Hdg)</f>
        <v>3025 - Inputs Work Code v RIN Category Direct Check</v>
      </c>
      <c r="C155" s="106"/>
      <c r="D155" s="106"/>
      <c r="E155" s="106"/>
      <c r="F155" s="106"/>
      <c r="G155" s="106"/>
      <c r="H155" s="106"/>
      <c r="I155" s="106"/>
      <c r="J155" s="106"/>
      <c r="K155" s="131">
        <f ca="1">IF(ISERROR(HL_Err_Chk_54),1,(HL_Err_Chk_54&lt;&gt;0)*1)</f>
        <v>0</v>
      </c>
      <c r="L155" s="132" t="s">
        <v>17</v>
      </c>
      <c r="M155" s="14">
        <f t="shared" ca="1" si="4"/>
        <v>0</v>
      </c>
    </row>
    <row r="156" spans="2:13" outlineLevel="1">
      <c r="B156" s="176" t="str">
        <f>IF(ISERROR(Err_Chk_82_Hdg),"Miscellaneous Check",Err_Chk_82_Hdg)</f>
        <v>3025 - Inputs Work Code v Tax Category Direct Check</v>
      </c>
      <c r="C156" s="106"/>
      <c r="D156" s="106"/>
      <c r="E156" s="106"/>
      <c r="F156" s="106"/>
      <c r="G156" s="106"/>
      <c r="H156" s="106"/>
      <c r="I156" s="106"/>
      <c r="J156" s="106"/>
      <c r="K156" s="131">
        <f ca="1">IF(ISERROR(HL_Err_Chk_82),1,(HL_Err_Chk_82&lt;&gt;0)*1)</f>
        <v>0</v>
      </c>
      <c r="L156" s="132" t="s">
        <v>17</v>
      </c>
      <c r="M156" s="14">
        <f t="shared" ca="1" si="4"/>
        <v>0</v>
      </c>
    </row>
    <row r="157" spans="2:13" outlineLevel="1">
      <c r="B157" s="176" t="str">
        <f>IF(ISERROR(Err_Chk_166_Hdg),"Miscellaneous Check",Err_Chk_166_Hdg)</f>
        <v>3025 - Inputs Customer Contributions v RAB Category Direct Check</v>
      </c>
      <c r="C157" s="106"/>
      <c r="D157" s="106"/>
      <c r="E157" s="106"/>
      <c r="F157" s="106"/>
      <c r="G157" s="106"/>
      <c r="H157" s="106"/>
      <c r="I157" s="106"/>
      <c r="J157" s="106"/>
      <c r="K157" s="131">
        <f ca="1">IF(ISERROR(HL_Err_Chk_166),1,(HL_Err_Chk_166&lt;&gt;0)*1)</f>
        <v>0</v>
      </c>
      <c r="L157" s="132" t="s">
        <v>17</v>
      </c>
      <c r="M157" s="14">
        <f t="shared" ca="1" si="4"/>
        <v>0</v>
      </c>
    </row>
    <row r="158" spans="2:13" outlineLevel="1">
      <c r="B158" s="176" t="str">
        <f>IF(ISERROR(Err_Chk_110_Hdg),"Miscellaneous Check",Err_Chk_110_Hdg)</f>
        <v>3025 - Inputs RAB v RIN Direct + Overhead Check</v>
      </c>
      <c r="C158" s="106"/>
      <c r="D158" s="106"/>
      <c r="E158" s="106"/>
      <c r="F158" s="106"/>
      <c r="G158" s="106"/>
      <c r="H158" s="106"/>
      <c r="I158" s="106"/>
      <c r="J158" s="106"/>
      <c r="K158" s="131">
        <f ca="1">IF(ISERROR(HL_Err_Chk_110),1,(HL_Err_Chk_110&lt;&gt;0)*1)</f>
        <v>0</v>
      </c>
      <c r="L158" s="132" t="s">
        <v>17</v>
      </c>
      <c r="M158" s="14">
        <f t="shared" ca="1" si="4"/>
        <v>0</v>
      </c>
    </row>
    <row r="159" spans="2:13" outlineLevel="1">
      <c r="B159" s="176" t="str">
        <f>IF(ISERROR(Err_Chk_138_Hdg),"Miscellaneous Check",Err_Chk_138_Hdg)</f>
        <v>3025 - Inputs RAB v Tax Direct + Overhead Check</v>
      </c>
      <c r="C159" s="106"/>
      <c r="D159" s="106"/>
      <c r="E159" s="106"/>
      <c r="F159" s="106"/>
      <c r="G159" s="106"/>
      <c r="H159" s="106"/>
      <c r="I159" s="106"/>
      <c r="J159" s="106"/>
      <c r="K159" s="131">
        <f ca="1">IF(ISERROR(HL_Err_Chk_138),1,(HL_Err_Chk_138&lt;&gt;0)*1)</f>
        <v>0</v>
      </c>
      <c r="L159" s="132" t="s">
        <v>17</v>
      </c>
      <c r="M159" s="14">
        <f t="shared" ca="1" si="4"/>
        <v>0</v>
      </c>
    </row>
    <row r="160" spans="2:13" outlineLevel="1">
      <c r="B160" s="176" t="str">
        <f>IF(ISERROR(Err_Chk_27_Hdg),"Miscellaneous Check",Err_Chk_27_Hdg)</f>
        <v>3027 - Inputs Work Code v RAB Category Direct Check</v>
      </c>
      <c r="C160" s="106"/>
      <c r="D160" s="106"/>
      <c r="E160" s="106"/>
      <c r="F160" s="106"/>
      <c r="G160" s="106"/>
      <c r="H160" s="106"/>
      <c r="I160" s="106"/>
      <c r="J160" s="106"/>
      <c r="K160" s="131">
        <f ca="1">IF(ISERROR(HL_Err_Chk_27),1,(HL_Err_Chk_27&lt;&gt;0)*1)</f>
        <v>0</v>
      </c>
      <c r="L160" s="132" t="s">
        <v>17</v>
      </c>
      <c r="M160" s="14">
        <f t="shared" ca="1" si="4"/>
        <v>0</v>
      </c>
    </row>
    <row r="161" spans="1:13" outlineLevel="1">
      <c r="B161" s="176" t="str">
        <f>IF(ISERROR(Err_Chk_55_Hdg),"Miscellaneous Check",Err_Chk_55_Hdg)</f>
        <v>3027 - Inputs Work Code v RIN Category Direct Check</v>
      </c>
      <c r="C161" s="106"/>
      <c r="D161" s="106"/>
      <c r="E161" s="106"/>
      <c r="F161" s="106"/>
      <c r="G161" s="106"/>
      <c r="H161" s="106"/>
      <c r="I161" s="106"/>
      <c r="J161" s="106"/>
      <c r="K161" s="131">
        <f ca="1">IF(ISERROR(HL_Err_Chk_55),1,(HL_Err_Chk_55&lt;&gt;0)*1)</f>
        <v>0</v>
      </c>
      <c r="L161" s="132" t="s">
        <v>17</v>
      </c>
      <c r="M161" s="14">
        <f t="shared" ca="1" si="4"/>
        <v>0</v>
      </c>
    </row>
    <row r="162" spans="1:13" outlineLevel="1">
      <c r="B162" s="176" t="str">
        <f>IF(ISERROR(Err_Chk_83_Hdg),"Miscellaneous Check",Err_Chk_83_Hdg)</f>
        <v>3027 - Inputs Work Code v Tax Category Direct Check</v>
      </c>
      <c r="C162" s="106"/>
      <c r="D162" s="106"/>
      <c r="E162" s="106"/>
      <c r="F162" s="106"/>
      <c r="G162" s="106"/>
      <c r="H162" s="106"/>
      <c r="I162" s="106"/>
      <c r="J162" s="106"/>
      <c r="K162" s="131">
        <f ca="1">IF(ISERROR(HL_Err_Chk_83),1,(HL_Err_Chk_83&lt;&gt;0)*1)</f>
        <v>0</v>
      </c>
      <c r="L162" s="132" t="s">
        <v>17</v>
      </c>
      <c r="M162" s="14">
        <f t="shared" ca="1" si="4"/>
        <v>0</v>
      </c>
    </row>
    <row r="163" spans="1:13" outlineLevel="1">
      <c r="B163" s="176" t="str">
        <f>IF(ISERROR(Err_Chk_167_Hdg),"Miscellaneous Check",Err_Chk_167_Hdg)</f>
        <v>3027 - Inputs Customer Contributions v RAB Category Direct Check</v>
      </c>
      <c r="C163" s="106"/>
      <c r="D163" s="106"/>
      <c r="E163" s="106"/>
      <c r="F163" s="106"/>
      <c r="G163" s="106"/>
      <c r="H163" s="106"/>
      <c r="I163" s="106"/>
      <c r="J163" s="106"/>
      <c r="K163" s="131">
        <f ca="1">IF(ISERROR(HL_Err_Chk_167),1,(HL_Err_Chk_167&lt;&gt;0)*1)</f>
        <v>0</v>
      </c>
      <c r="L163" s="132" t="s">
        <v>17</v>
      </c>
      <c r="M163" s="14">
        <f t="shared" ca="1" si="4"/>
        <v>0</v>
      </c>
    </row>
    <row r="164" spans="1:13" outlineLevel="1">
      <c r="B164" s="176" t="str">
        <f>IF(ISERROR(Err_Chk_111_Hdg),"Miscellaneous Check",Err_Chk_111_Hdg)</f>
        <v>3027 - Inputs RAB v RIN Direct + Overhead Check</v>
      </c>
      <c r="C164" s="106"/>
      <c r="D164" s="106"/>
      <c r="E164" s="106"/>
      <c r="F164" s="106"/>
      <c r="G164" s="106"/>
      <c r="H164" s="106"/>
      <c r="I164" s="106"/>
      <c r="J164" s="106"/>
      <c r="K164" s="131">
        <f ca="1">IF(ISERROR(HL_Err_Chk_111),1,(HL_Err_Chk_111&lt;&gt;0)*1)</f>
        <v>0</v>
      </c>
      <c r="L164" s="132" t="s">
        <v>17</v>
      </c>
      <c r="M164" s="14">
        <f t="shared" ca="1" si="4"/>
        <v>0</v>
      </c>
    </row>
    <row r="165" spans="1:13" outlineLevel="1">
      <c r="B165" s="176" t="str">
        <f>IF(ISERROR(Err_Chk_139_Hdg),"Miscellaneous Check",Err_Chk_139_Hdg)</f>
        <v>3027 - Inputs RAB v Tax Direct + Overhead Check</v>
      </c>
      <c r="C165" s="106"/>
      <c r="D165" s="106"/>
      <c r="E165" s="106"/>
      <c r="F165" s="106"/>
      <c r="G165" s="106"/>
      <c r="H165" s="106"/>
      <c r="I165" s="106"/>
      <c r="J165" s="106"/>
      <c r="K165" s="131">
        <f ca="1">IF(ISERROR(HL_Err_Chk_139),1,(HL_Err_Chk_139&lt;&gt;0)*1)</f>
        <v>0</v>
      </c>
      <c r="L165" s="132" t="s">
        <v>17</v>
      </c>
      <c r="M165" s="14">
        <f t="shared" ca="1" si="4"/>
        <v>0</v>
      </c>
    </row>
    <row r="166" spans="1:13" outlineLevel="1">
      <c r="B166" s="176" t="str">
        <f>IF(ISERROR(Err_Chk_28_Hdg),"Miscellaneous Check",Err_Chk_28_Hdg)</f>
        <v>3031 - Inputs Work Code v RAB Category Direct Check</v>
      </c>
      <c r="C166" s="106"/>
      <c r="D166" s="106"/>
      <c r="E166" s="106"/>
      <c r="F166" s="106"/>
      <c r="G166" s="106"/>
      <c r="H166" s="106"/>
      <c r="I166" s="106"/>
      <c r="J166" s="106"/>
      <c r="K166" s="131">
        <f ca="1">IF(ISERROR(HL_Err_Chk_28),1,(HL_Err_Chk_28&lt;&gt;0)*1)</f>
        <v>0</v>
      </c>
      <c r="L166" s="132" t="s">
        <v>17</v>
      </c>
      <c r="M166" s="14">
        <f t="shared" ca="1" si="4"/>
        <v>0</v>
      </c>
    </row>
    <row r="167" spans="1:13" outlineLevel="1">
      <c r="B167" s="176" t="str">
        <f>IF(ISERROR(Err_Chk_56_Hdg),"Miscellaneous Check",Err_Chk_56_Hdg)</f>
        <v>3031 - Inputs Work Code v RIN Category Direct Check</v>
      </c>
      <c r="C167" s="106"/>
      <c r="D167" s="106"/>
      <c r="E167" s="106"/>
      <c r="F167" s="106"/>
      <c r="G167" s="106"/>
      <c r="H167" s="106"/>
      <c r="I167" s="106"/>
      <c r="J167" s="106"/>
      <c r="K167" s="131">
        <f ca="1">IF(ISERROR(HL_Err_Chk_56),1,(HL_Err_Chk_56&lt;&gt;0)*1)</f>
        <v>0</v>
      </c>
      <c r="L167" s="132" t="s">
        <v>17</v>
      </c>
      <c r="M167" s="14">
        <f t="shared" ca="1" si="4"/>
        <v>0</v>
      </c>
    </row>
    <row r="168" spans="1:13" outlineLevel="1">
      <c r="B168" s="176" t="str">
        <f>IF(ISERROR(Err_Chk_84_Hdg),"Miscellaneous Check",Err_Chk_84_Hdg)</f>
        <v>3031 - Inputs Work Code v Tax Category Direct Check</v>
      </c>
      <c r="C168" s="106"/>
      <c r="D168" s="106"/>
      <c r="E168" s="106"/>
      <c r="F168" s="106"/>
      <c r="G168" s="106"/>
      <c r="H168" s="106"/>
      <c r="I168" s="106"/>
      <c r="J168" s="106"/>
      <c r="K168" s="131">
        <f ca="1">IF(ISERROR(HL_Err_Chk_84),1,(HL_Err_Chk_84&lt;&gt;0)*1)</f>
        <v>0</v>
      </c>
      <c r="L168" s="132" t="s">
        <v>17</v>
      </c>
      <c r="M168" s="14">
        <f t="shared" ca="1" si="4"/>
        <v>0</v>
      </c>
    </row>
    <row r="169" spans="1:13" outlineLevel="1">
      <c r="B169" s="176" t="str">
        <f>IF(ISERROR(Err_Chk_168_Hdg),"Miscellaneous Check",Err_Chk_168_Hdg)</f>
        <v>3031 - Inputs Customer Contributions v RAB Category Direct Check</v>
      </c>
      <c r="C169" s="106"/>
      <c r="D169" s="106"/>
      <c r="E169" s="106"/>
      <c r="F169" s="106"/>
      <c r="G169" s="106"/>
      <c r="H169" s="106"/>
      <c r="I169" s="106"/>
      <c r="J169" s="106"/>
      <c r="K169" s="131">
        <f ca="1">IF(ISERROR(HL_Err_Chk_168),1,(HL_Err_Chk_168&lt;&gt;0)*1)</f>
        <v>0</v>
      </c>
      <c r="L169" s="132" t="s">
        <v>17</v>
      </c>
      <c r="M169" s="14">
        <f t="shared" ca="1" si="4"/>
        <v>0</v>
      </c>
    </row>
    <row r="170" spans="1:13" outlineLevel="1">
      <c r="B170" s="176" t="str">
        <f>IF(ISERROR(Err_Chk_112_Hdg),"Miscellaneous Check",Err_Chk_112_Hdg)</f>
        <v>3031 - Inputs RAB v RIN Direct + Overhead Check</v>
      </c>
      <c r="C170" s="106"/>
      <c r="D170" s="106"/>
      <c r="E170" s="106"/>
      <c r="F170" s="106"/>
      <c r="G170" s="106"/>
      <c r="H170" s="106"/>
      <c r="I170" s="106"/>
      <c r="J170" s="106"/>
      <c r="K170" s="131">
        <f ca="1">IF(ISERROR(HL_Err_Chk_112),1,(HL_Err_Chk_112&lt;&gt;0)*1)</f>
        <v>0</v>
      </c>
      <c r="L170" s="132" t="s">
        <v>17</v>
      </c>
      <c r="M170" s="14">
        <f t="shared" ref="M170:M172" ca="1" si="5">K170*(L170="Yes")</f>
        <v>0</v>
      </c>
    </row>
    <row r="171" spans="1:13" outlineLevel="1">
      <c r="B171" s="176" t="str">
        <f>IF(ISERROR(Err_Chk_140_Hdg),"Miscellaneous Check",Err_Chk_140_Hdg)</f>
        <v>3031 - Inputs RAB v Tax Direct + Overhead Check</v>
      </c>
      <c r="C171" s="106"/>
      <c r="D171" s="106"/>
      <c r="E171" s="106"/>
      <c r="F171" s="106"/>
      <c r="G171" s="106"/>
      <c r="H171" s="106"/>
      <c r="I171" s="106"/>
      <c r="J171" s="106"/>
      <c r="K171" s="131">
        <f ca="1">IF(ISERROR(HL_Err_Chk_140),1,(HL_Err_Chk_140&lt;&gt;0)*1)</f>
        <v>0</v>
      </c>
      <c r="L171" s="132" t="s">
        <v>17</v>
      </c>
      <c r="M171" s="14">
        <f t="shared" ca="1" si="5"/>
        <v>0</v>
      </c>
    </row>
    <row r="172" spans="1:13" outlineLevel="1">
      <c r="B172" s="176" t="str">
        <f>IF(ISERROR(Err_Chk_1_Hdg),"Miscellaneous Check",Err_Chk_1_Hdg)</f>
        <v>$FY21 RAB Category Direct Check</v>
      </c>
      <c r="C172" s="106"/>
      <c r="D172" s="106"/>
      <c r="E172" s="106"/>
      <c r="F172" s="106"/>
      <c r="G172" s="106"/>
      <c r="H172" s="106"/>
      <c r="I172" s="106"/>
      <c r="J172" s="106"/>
      <c r="K172" s="131">
        <f ca="1">IF(ISERROR(HL_Err_Chk_1),1,(HL_Err_Chk_1&lt;&gt;0)*1)</f>
        <v>0</v>
      </c>
      <c r="L172" s="132" t="s">
        <v>17</v>
      </c>
      <c r="M172" s="14">
        <f t="shared" ca="1" si="5"/>
        <v>0</v>
      </c>
    </row>
    <row r="173" spans="1:13" ht="5.9" customHeight="1" outlineLevel="1"/>
    <row r="174" spans="1:13" outlineLevel="1">
      <c r="B174" s="1" t="s">
        <v>16</v>
      </c>
      <c r="K174" s="17" t="b">
        <f>L174="Yes"</f>
        <v>1</v>
      </c>
      <c r="L174" s="16" t="s">
        <v>17</v>
      </c>
      <c r="M174" s="15">
        <f ca="1">SUMIF(CA_Err_Chks_Inc,"Yes",CA_Err_Chks_Flags)</f>
        <v>0</v>
      </c>
    </row>
    <row r="176" spans="1:13" s="2" customFormat="1">
      <c r="A176"/>
      <c r="B176" s="3" t="s">
        <v>20</v>
      </c>
    </row>
    <row r="177" spans="1:13" outlineLevel="1"/>
    <row r="178" spans="1:13" outlineLevel="1">
      <c r="B178" s="18" t="s">
        <v>18</v>
      </c>
      <c r="F178" s="19">
        <f>Sens_Chks_Ttl_Areas</f>
        <v>0</v>
      </c>
      <c r="G178" s="20" t="str">
        <f>IF(OR(NOT(CB_Sens_Chks_Show_Msg),Sens_Chks_Ttl_Areas=0),"",IF(Sens_Chks_Ttl_Areas=1," (Sensitivity in "&amp;INDEX(CA_Sens_Chks_Area_Names,MATCH(1,CA_Sens_Chks_Flags,0))&amp;")"," ("&amp;TEXT(Sens_Chks_Ttl_Areas,"#,##0")&amp;" Sensitivities Detected)"))</f>
        <v/>
      </c>
    </row>
    <row r="179" spans="1:13" outlineLevel="1"/>
    <row r="180" spans="1:13" outlineLevel="1">
      <c r="B180" s="11" t="s">
        <v>20</v>
      </c>
      <c r="C180" s="12"/>
      <c r="D180" s="12"/>
      <c r="E180" s="12"/>
      <c r="F180" s="12"/>
      <c r="G180" s="12"/>
      <c r="H180" s="12"/>
      <c r="I180" s="12"/>
      <c r="J180" s="12"/>
      <c r="K180" s="13" t="s">
        <v>13</v>
      </c>
      <c r="L180" s="13" t="s">
        <v>14</v>
      </c>
      <c r="M180" s="13" t="s">
        <v>15</v>
      </c>
    </row>
    <row r="181" spans="1:13" outlineLevel="1"/>
    <row r="182" spans="1:13" outlineLevel="1">
      <c r="B182" s="1" t="s">
        <v>21</v>
      </c>
      <c r="K182" s="17" t="b">
        <f>L182="Yes"</f>
        <v>1</v>
      </c>
      <c r="L182" s="16" t="s">
        <v>17</v>
      </c>
      <c r="M182" s="15">
        <f>SUMIF(CA_Sens_Chks_Inc,"Yes",CA_Sens_Chks_Flags)</f>
        <v>0</v>
      </c>
    </row>
    <row r="184" spans="1:13" s="2" customFormat="1">
      <c r="A184"/>
      <c r="B184" s="3" t="s">
        <v>22</v>
      </c>
    </row>
    <row r="185" spans="1:13" outlineLevel="1"/>
    <row r="186" spans="1:13" outlineLevel="1">
      <c r="B186" s="18" t="s">
        <v>18</v>
      </c>
      <c r="F186" s="19">
        <f>Alt_Chks_Ttl_Areas</f>
        <v>0</v>
      </c>
      <c r="G186" s="20" t="str">
        <f>IF(OR(NOT(CB_Alt_Chks_Show_Msg),Alt_Chks_Ttl_Areas=0),"",IF(Alt_Chks_Ttl_Areas=1," (Alert in "&amp;INDEX(CA_Alt_Chks_Area_Names,MATCH(1,CA_Alt_Chks_Flags,0))&amp;")"," ("&amp;TEXT(Alt_Chks_Ttl_Areas,"#,##0")&amp;" Alerts Detected)"))</f>
        <v/>
      </c>
    </row>
    <row r="187" spans="1:13" outlineLevel="1"/>
    <row r="188" spans="1:13" outlineLevel="1">
      <c r="B188" s="11" t="s">
        <v>22</v>
      </c>
      <c r="C188" s="12"/>
      <c r="D188" s="12"/>
      <c r="E188" s="12"/>
      <c r="F188" s="12"/>
      <c r="G188" s="12"/>
      <c r="H188" s="12"/>
      <c r="I188" s="12"/>
      <c r="J188" s="12"/>
      <c r="K188" s="13" t="s">
        <v>13</v>
      </c>
      <c r="L188" s="13" t="s">
        <v>14</v>
      </c>
      <c r="M188" s="13" t="s">
        <v>15</v>
      </c>
    </row>
    <row r="189" spans="1:13" outlineLevel="1"/>
    <row r="190" spans="1:13" outlineLevel="1">
      <c r="B190" s="1" t="s">
        <v>23</v>
      </c>
      <c r="K190" s="17" t="b">
        <f>L190="Yes"</f>
        <v>1</v>
      </c>
      <c r="L190" s="16" t="s">
        <v>17</v>
      </c>
      <c r="M190" s="15">
        <f>SUMIF(CA_Alt_Chks_Inc,"Yes",CA_Alt_Chks_Flags)</f>
        <v>0</v>
      </c>
    </row>
  </sheetData>
  <sheetProtection formatColumns="0" formatRows="0"/>
  <conditionalFormatting sqref="M174">
    <cfRule type="cellIs" dxfId="657" priority="1" stopIfTrue="1" operator="notEqual">
      <formula>0</formula>
    </cfRule>
  </conditionalFormatting>
  <conditionalFormatting sqref="F6">
    <cfRule type="cellIs" dxfId="656" priority="2" stopIfTrue="1" operator="notEqual">
      <formula>0</formula>
    </cfRule>
  </conditionalFormatting>
  <conditionalFormatting sqref="M182">
    <cfRule type="cellIs" dxfId="655" priority="3" stopIfTrue="1" operator="notEqual">
      <formula>0</formula>
    </cfRule>
  </conditionalFormatting>
  <conditionalFormatting sqref="F178">
    <cfRule type="cellIs" dxfId="654" priority="4" stopIfTrue="1" operator="notEqual">
      <formula>0</formula>
    </cfRule>
  </conditionalFormatting>
  <conditionalFormatting sqref="M190">
    <cfRule type="cellIs" dxfId="653" priority="5" stopIfTrue="1" operator="notEqual">
      <formula>0</formula>
    </cfRule>
  </conditionalFormatting>
  <conditionalFormatting sqref="F186">
    <cfRule type="cellIs" dxfId="652" priority="6" stopIfTrue="1" operator="notEqual">
      <formula>0</formula>
    </cfRule>
  </conditionalFormatting>
  <conditionalFormatting sqref="K10">
    <cfRule type="cellIs" dxfId="651" priority="8" stopIfTrue="1" operator="notEqual">
      <formula>0</formula>
    </cfRule>
  </conditionalFormatting>
  <conditionalFormatting sqref="K11">
    <cfRule type="cellIs" dxfId="650" priority="12" stopIfTrue="1" operator="notEqual">
      <formula>0</formula>
    </cfRule>
  </conditionalFormatting>
  <conditionalFormatting sqref="K12">
    <cfRule type="cellIs" dxfId="649" priority="16" stopIfTrue="1" operator="notEqual">
      <formula>0</formula>
    </cfRule>
  </conditionalFormatting>
  <conditionalFormatting sqref="K13">
    <cfRule type="cellIs" dxfId="648" priority="20" stopIfTrue="1" operator="notEqual">
      <formula>0</formula>
    </cfRule>
  </conditionalFormatting>
  <conditionalFormatting sqref="K14">
    <cfRule type="cellIs" dxfId="647" priority="24" stopIfTrue="1" operator="notEqual">
      <formula>0</formula>
    </cfRule>
  </conditionalFormatting>
  <conditionalFormatting sqref="K15">
    <cfRule type="cellIs" dxfId="646" priority="28" stopIfTrue="1" operator="notEqual">
      <formula>0</formula>
    </cfRule>
  </conditionalFormatting>
  <conditionalFormatting sqref="K16">
    <cfRule type="cellIs" dxfId="645" priority="32" stopIfTrue="1" operator="notEqual">
      <formula>0</formula>
    </cfRule>
  </conditionalFormatting>
  <conditionalFormatting sqref="K17">
    <cfRule type="cellIs" dxfId="644" priority="36" stopIfTrue="1" operator="notEqual">
      <formula>0</formula>
    </cfRule>
  </conditionalFormatting>
  <conditionalFormatting sqref="K18">
    <cfRule type="cellIs" dxfId="643" priority="40" stopIfTrue="1" operator="notEqual">
      <formula>0</formula>
    </cfRule>
  </conditionalFormatting>
  <conditionalFormatting sqref="K19">
    <cfRule type="cellIs" dxfId="642" priority="44" stopIfTrue="1" operator="notEqual">
      <formula>0</formula>
    </cfRule>
  </conditionalFormatting>
  <conditionalFormatting sqref="K20">
    <cfRule type="cellIs" dxfId="641" priority="48" stopIfTrue="1" operator="notEqual">
      <formula>0</formula>
    </cfRule>
  </conditionalFormatting>
  <conditionalFormatting sqref="K21">
    <cfRule type="cellIs" dxfId="640" priority="52" stopIfTrue="1" operator="notEqual">
      <formula>0</formula>
    </cfRule>
  </conditionalFormatting>
  <conditionalFormatting sqref="K22">
    <cfRule type="cellIs" dxfId="639" priority="56" stopIfTrue="1" operator="notEqual">
      <formula>0</formula>
    </cfRule>
  </conditionalFormatting>
  <conditionalFormatting sqref="K23">
    <cfRule type="cellIs" dxfId="638" priority="60" stopIfTrue="1" operator="notEqual">
      <formula>0</formula>
    </cfRule>
  </conditionalFormatting>
  <conditionalFormatting sqref="K24">
    <cfRule type="cellIs" dxfId="637" priority="64" stopIfTrue="1" operator="notEqual">
      <formula>0</formula>
    </cfRule>
  </conditionalFormatting>
  <conditionalFormatting sqref="K25">
    <cfRule type="cellIs" dxfId="636" priority="68" stopIfTrue="1" operator="notEqual">
      <formula>0</formula>
    </cfRule>
  </conditionalFormatting>
  <conditionalFormatting sqref="K26">
    <cfRule type="cellIs" dxfId="635" priority="72" stopIfTrue="1" operator="notEqual">
      <formula>0</formula>
    </cfRule>
  </conditionalFormatting>
  <conditionalFormatting sqref="K27">
    <cfRule type="cellIs" dxfId="634" priority="76" stopIfTrue="1" operator="notEqual">
      <formula>0</formula>
    </cfRule>
  </conditionalFormatting>
  <conditionalFormatting sqref="K28">
    <cfRule type="cellIs" dxfId="633" priority="80" stopIfTrue="1" operator="notEqual">
      <formula>0</formula>
    </cfRule>
  </conditionalFormatting>
  <conditionalFormatting sqref="K29">
    <cfRule type="cellIs" dxfId="632" priority="84" stopIfTrue="1" operator="notEqual">
      <formula>0</formula>
    </cfRule>
  </conditionalFormatting>
  <conditionalFormatting sqref="K30">
    <cfRule type="cellIs" dxfId="631" priority="88" stopIfTrue="1" operator="notEqual">
      <formula>0</formula>
    </cfRule>
  </conditionalFormatting>
  <conditionalFormatting sqref="K31">
    <cfRule type="cellIs" dxfId="630" priority="92" stopIfTrue="1" operator="notEqual">
      <formula>0</formula>
    </cfRule>
  </conditionalFormatting>
  <conditionalFormatting sqref="K32">
    <cfRule type="cellIs" dxfId="629" priority="96" stopIfTrue="1" operator="notEqual">
      <formula>0</formula>
    </cfRule>
  </conditionalFormatting>
  <conditionalFormatting sqref="K33">
    <cfRule type="cellIs" dxfId="628" priority="100" stopIfTrue="1" operator="notEqual">
      <formula>0</formula>
    </cfRule>
  </conditionalFormatting>
  <conditionalFormatting sqref="K34">
    <cfRule type="cellIs" dxfId="627" priority="104" stopIfTrue="1" operator="notEqual">
      <formula>0</formula>
    </cfRule>
  </conditionalFormatting>
  <conditionalFormatting sqref="K35">
    <cfRule type="cellIs" dxfId="626" priority="108" stopIfTrue="1" operator="notEqual">
      <formula>0</formula>
    </cfRule>
  </conditionalFormatting>
  <conditionalFormatting sqref="K36">
    <cfRule type="cellIs" dxfId="625" priority="112" stopIfTrue="1" operator="notEqual">
      <formula>0</formula>
    </cfRule>
  </conditionalFormatting>
  <conditionalFormatting sqref="K37">
    <cfRule type="cellIs" dxfId="624" priority="116" stopIfTrue="1" operator="notEqual">
      <formula>0</formula>
    </cfRule>
  </conditionalFormatting>
  <conditionalFormatting sqref="K38">
    <cfRule type="cellIs" dxfId="623" priority="120" stopIfTrue="1" operator="notEqual">
      <formula>0</formula>
    </cfRule>
  </conditionalFormatting>
  <conditionalFormatting sqref="K39">
    <cfRule type="cellIs" dxfId="622" priority="124" stopIfTrue="1" operator="notEqual">
      <formula>0</formula>
    </cfRule>
  </conditionalFormatting>
  <conditionalFormatting sqref="K40">
    <cfRule type="cellIs" dxfId="621" priority="128" stopIfTrue="1" operator="notEqual">
      <formula>0</formula>
    </cfRule>
  </conditionalFormatting>
  <conditionalFormatting sqref="K41">
    <cfRule type="cellIs" dxfId="620" priority="132" stopIfTrue="1" operator="notEqual">
      <formula>0</formula>
    </cfRule>
  </conditionalFormatting>
  <conditionalFormatting sqref="K42">
    <cfRule type="cellIs" dxfId="619" priority="136" stopIfTrue="1" operator="notEqual">
      <formula>0</formula>
    </cfRule>
  </conditionalFormatting>
  <conditionalFormatting sqref="K43">
    <cfRule type="cellIs" dxfId="618" priority="140" stopIfTrue="1" operator="notEqual">
      <formula>0</formula>
    </cfRule>
  </conditionalFormatting>
  <conditionalFormatting sqref="K44">
    <cfRule type="cellIs" dxfId="617" priority="144" stopIfTrue="1" operator="notEqual">
      <formula>0</formula>
    </cfRule>
  </conditionalFormatting>
  <conditionalFormatting sqref="K45">
    <cfRule type="cellIs" dxfId="616" priority="148" stopIfTrue="1" operator="notEqual">
      <formula>0</formula>
    </cfRule>
  </conditionalFormatting>
  <conditionalFormatting sqref="K46">
    <cfRule type="cellIs" dxfId="615" priority="152" stopIfTrue="1" operator="notEqual">
      <formula>0</formula>
    </cfRule>
  </conditionalFormatting>
  <conditionalFormatting sqref="K47">
    <cfRule type="cellIs" dxfId="614" priority="156" stopIfTrue="1" operator="notEqual">
      <formula>0</formula>
    </cfRule>
  </conditionalFormatting>
  <conditionalFormatting sqref="K48">
    <cfRule type="cellIs" dxfId="613" priority="160" stopIfTrue="1" operator="notEqual">
      <formula>0</formula>
    </cfRule>
  </conditionalFormatting>
  <conditionalFormatting sqref="K49">
    <cfRule type="cellIs" dxfId="612" priority="164" stopIfTrue="1" operator="notEqual">
      <formula>0</formula>
    </cfRule>
  </conditionalFormatting>
  <conditionalFormatting sqref="K50">
    <cfRule type="cellIs" dxfId="611" priority="168" stopIfTrue="1" operator="notEqual">
      <formula>0</formula>
    </cfRule>
  </conditionalFormatting>
  <conditionalFormatting sqref="K51">
    <cfRule type="cellIs" dxfId="610" priority="172" stopIfTrue="1" operator="notEqual">
      <formula>0</formula>
    </cfRule>
  </conditionalFormatting>
  <conditionalFormatting sqref="K52">
    <cfRule type="cellIs" dxfId="609" priority="176" stopIfTrue="1" operator="notEqual">
      <formula>0</formula>
    </cfRule>
  </conditionalFormatting>
  <conditionalFormatting sqref="K53">
    <cfRule type="cellIs" dxfId="608" priority="180" stopIfTrue="1" operator="notEqual">
      <formula>0</formula>
    </cfRule>
  </conditionalFormatting>
  <conditionalFormatting sqref="K54">
    <cfRule type="cellIs" dxfId="607" priority="184" stopIfTrue="1" operator="notEqual">
      <formula>0</formula>
    </cfRule>
  </conditionalFormatting>
  <conditionalFormatting sqref="K55">
    <cfRule type="cellIs" dxfId="606" priority="188" stopIfTrue="1" operator="notEqual">
      <formula>0</formula>
    </cfRule>
  </conditionalFormatting>
  <conditionalFormatting sqref="K56">
    <cfRule type="cellIs" dxfId="605" priority="192" stopIfTrue="1" operator="notEqual">
      <formula>0</formula>
    </cfRule>
  </conditionalFormatting>
  <conditionalFormatting sqref="K57">
    <cfRule type="cellIs" dxfId="604" priority="196" stopIfTrue="1" operator="notEqual">
      <formula>0</formula>
    </cfRule>
  </conditionalFormatting>
  <conditionalFormatting sqref="K58">
    <cfRule type="cellIs" dxfId="603" priority="200" stopIfTrue="1" operator="notEqual">
      <formula>0</formula>
    </cfRule>
  </conditionalFormatting>
  <conditionalFormatting sqref="K59">
    <cfRule type="cellIs" dxfId="602" priority="204" stopIfTrue="1" operator="notEqual">
      <formula>0</formula>
    </cfRule>
  </conditionalFormatting>
  <conditionalFormatting sqref="K60">
    <cfRule type="cellIs" dxfId="601" priority="208" stopIfTrue="1" operator="notEqual">
      <formula>0</formula>
    </cfRule>
  </conditionalFormatting>
  <conditionalFormatting sqref="K61">
    <cfRule type="cellIs" dxfId="600" priority="212" stopIfTrue="1" operator="notEqual">
      <formula>0</formula>
    </cfRule>
  </conditionalFormatting>
  <conditionalFormatting sqref="K62">
    <cfRule type="cellIs" dxfId="599" priority="216" stopIfTrue="1" operator="notEqual">
      <formula>0</formula>
    </cfRule>
  </conditionalFormatting>
  <conditionalFormatting sqref="K63">
    <cfRule type="cellIs" dxfId="598" priority="220" stopIfTrue="1" operator="notEqual">
      <formula>0</formula>
    </cfRule>
  </conditionalFormatting>
  <conditionalFormatting sqref="K64">
    <cfRule type="cellIs" dxfId="597" priority="224" stopIfTrue="1" operator="notEqual">
      <formula>0</formula>
    </cfRule>
  </conditionalFormatting>
  <conditionalFormatting sqref="K65">
    <cfRule type="cellIs" dxfId="596" priority="228" stopIfTrue="1" operator="notEqual">
      <formula>0</formula>
    </cfRule>
  </conditionalFormatting>
  <conditionalFormatting sqref="K66">
    <cfRule type="cellIs" dxfId="595" priority="232" stopIfTrue="1" operator="notEqual">
      <formula>0</formula>
    </cfRule>
  </conditionalFormatting>
  <conditionalFormatting sqref="K67">
    <cfRule type="cellIs" dxfId="594" priority="236" stopIfTrue="1" operator="notEqual">
      <formula>0</formula>
    </cfRule>
  </conditionalFormatting>
  <conditionalFormatting sqref="K68">
    <cfRule type="cellIs" dxfId="593" priority="240" stopIfTrue="1" operator="notEqual">
      <formula>0</formula>
    </cfRule>
  </conditionalFormatting>
  <conditionalFormatting sqref="K69">
    <cfRule type="cellIs" dxfId="592" priority="244" stopIfTrue="1" operator="notEqual">
      <formula>0</formula>
    </cfRule>
  </conditionalFormatting>
  <conditionalFormatting sqref="K70">
    <cfRule type="cellIs" dxfId="591" priority="248" stopIfTrue="1" operator="notEqual">
      <formula>0</formula>
    </cfRule>
  </conditionalFormatting>
  <conditionalFormatting sqref="K71">
    <cfRule type="cellIs" dxfId="590" priority="252" stopIfTrue="1" operator="notEqual">
      <formula>0</formula>
    </cfRule>
  </conditionalFormatting>
  <conditionalFormatting sqref="K72">
    <cfRule type="cellIs" dxfId="589" priority="256" stopIfTrue="1" operator="notEqual">
      <formula>0</formula>
    </cfRule>
  </conditionalFormatting>
  <conditionalFormatting sqref="K73">
    <cfRule type="cellIs" dxfId="588" priority="260" stopIfTrue="1" operator="notEqual">
      <formula>0</formula>
    </cfRule>
  </conditionalFormatting>
  <conditionalFormatting sqref="K74">
    <cfRule type="cellIs" dxfId="587" priority="264" stopIfTrue="1" operator="notEqual">
      <formula>0</formula>
    </cfRule>
  </conditionalFormatting>
  <conditionalFormatting sqref="K75">
    <cfRule type="cellIs" dxfId="586" priority="268" stopIfTrue="1" operator="notEqual">
      <formula>0</formula>
    </cfRule>
  </conditionalFormatting>
  <conditionalFormatting sqref="K76">
    <cfRule type="cellIs" dxfId="585" priority="272" stopIfTrue="1" operator="notEqual">
      <formula>0</formula>
    </cfRule>
  </conditionalFormatting>
  <conditionalFormatting sqref="K77">
    <cfRule type="cellIs" dxfId="584" priority="276" stopIfTrue="1" operator="notEqual">
      <formula>0</formula>
    </cfRule>
  </conditionalFormatting>
  <conditionalFormatting sqref="K78">
    <cfRule type="cellIs" dxfId="583" priority="280" stopIfTrue="1" operator="notEqual">
      <formula>0</formula>
    </cfRule>
  </conditionalFormatting>
  <conditionalFormatting sqref="K79">
    <cfRule type="cellIs" dxfId="582" priority="284" stopIfTrue="1" operator="notEqual">
      <formula>0</formula>
    </cfRule>
  </conditionalFormatting>
  <conditionalFormatting sqref="K80">
    <cfRule type="cellIs" dxfId="581" priority="288" stopIfTrue="1" operator="notEqual">
      <formula>0</formula>
    </cfRule>
  </conditionalFormatting>
  <conditionalFormatting sqref="K81">
    <cfRule type="cellIs" dxfId="580" priority="292" stopIfTrue="1" operator="notEqual">
      <formula>0</formula>
    </cfRule>
  </conditionalFormatting>
  <conditionalFormatting sqref="K82">
    <cfRule type="cellIs" dxfId="579" priority="296" stopIfTrue="1" operator="notEqual">
      <formula>0</formula>
    </cfRule>
  </conditionalFormatting>
  <conditionalFormatting sqref="K83">
    <cfRule type="cellIs" dxfId="578" priority="300" stopIfTrue="1" operator="notEqual">
      <formula>0</formula>
    </cfRule>
  </conditionalFormatting>
  <conditionalFormatting sqref="K84">
    <cfRule type="cellIs" dxfId="577" priority="304" stopIfTrue="1" operator="notEqual">
      <formula>0</formula>
    </cfRule>
  </conditionalFormatting>
  <conditionalFormatting sqref="K85">
    <cfRule type="cellIs" dxfId="576" priority="308" stopIfTrue="1" operator="notEqual">
      <formula>0</formula>
    </cfRule>
  </conditionalFormatting>
  <conditionalFormatting sqref="K86">
    <cfRule type="cellIs" dxfId="575" priority="312" stopIfTrue="1" operator="notEqual">
      <formula>0</formula>
    </cfRule>
  </conditionalFormatting>
  <conditionalFormatting sqref="K87">
    <cfRule type="cellIs" dxfId="574" priority="316" stopIfTrue="1" operator="notEqual">
      <formula>0</formula>
    </cfRule>
  </conditionalFormatting>
  <conditionalFormatting sqref="K88">
    <cfRule type="cellIs" dxfId="573" priority="320" stopIfTrue="1" operator="notEqual">
      <formula>0</formula>
    </cfRule>
  </conditionalFormatting>
  <conditionalFormatting sqref="K89">
    <cfRule type="cellIs" dxfId="572" priority="324" stopIfTrue="1" operator="notEqual">
      <formula>0</formula>
    </cfRule>
  </conditionalFormatting>
  <conditionalFormatting sqref="K90">
    <cfRule type="cellIs" dxfId="571" priority="328" stopIfTrue="1" operator="notEqual">
      <formula>0</formula>
    </cfRule>
  </conditionalFormatting>
  <conditionalFormatting sqref="K91">
    <cfRule type="cellIs" dxfId="570" priority="332" stopIfTrue="1" operator="notEqual">
      <formula>0</formula>
    </cfRule>
  </conditionalFormatting>
  <conditionalFormatting sqref="K92">
    <cfRule type="cellIs" dxfId="569" priority="336" stopIfTrue="1" operator="notEqual">
      <formula>0</formula>
    </cfRule>
  </conditionalFormatting>
  <conditionalFormatting sqref="K93">
    <cfRule type="cellIs" dxfId="568" priority="340" stopIfTrue="1" operator="notEqual">
      <formula>0</formula>
    </cfRule>
  </conditionalFormatting>
  <conditionalFormatting sqref="K94">
    <cfRule type="cellIs" dxfId="567" priority="344" stopIfTrue="1" operator="notEqual">
      <formula>0</formula>
    </cfRule>
  </conditionalFormatting>
  <conditionalFormatting sqref="K95">
    <cfRule type="cellIs" dxfId="566" priority="348" stopIfTrue="1" operator="notEqual">
      <formula>0</formula>
    </cfRule>
  </conditionalFormatting>
  <conditionalFormatting sqref="K96">
    <cfRule type="cellIs" dxfId="565" priority="352" stopIfTrue="1" operator="notEqual">
      <formula>0</formula>
    </cfRule>
  </conditionalFormatting>
  <conditionalFormatting sqref="K97">
    <cfRule type="cellIs" dxfId="564" priority="356" stopIfTrue="1" operator="notEqual">
      <formula>0</formula>
    </cfRule>
  </conditionalFormatting>
  <conditionalFormatting sqref="K98">
    <cfRule type="cellIs" dxfId="563" priority="360" stopIfTrue="1" operator="notEqual">
      <formula>0</formula>
    </cfRule>
  </conditionalFormatting>
  <conditionalFormatting sqref="K99">
    <cfRule type="cellIs" dxfId="562" priority="364" stopIfTrue="1" operator="notEqual">
      <formula>0</formula>
    </cfRule>
  </conditionalFormatting>
  <conditionalFormatting sqref="K100">
    <cfRule type="cellIs" dxfId="561" priority="368" stopIfTrue="1" operator="notEqual">
      <formula>0</formula>
    </cfRule>
  </conditionalFormatting>
  <conditionalFormatting sqref="K101">
    <cfRule type="cellIs" dxfId="560" priority="372" stopIfTrue="1" operator="notEqual">
      <formula>0</formula>
    </cfRule>
  </conditionalFormatting>
  <conditionalFormatting sqref="K102">
    <cfRule type="cellIs" dxfId="559" priority="376" stopIfTrue="1" operator="notEqual">
      <formula>0</formula>
    </cfRule>
  </conditionalFormatting>
  <conditionalFormatting sqref="K103">
    <cfRule type="cellIs" dxfId="558" priority="380" stopIfTrue="1" operator="notEqual">
      <formula>0</formula>
    </cfRule>
  </conditionalFormatting>
  <conditionalFormatting sqref="K104">
    <cfRule type="cellIs" dxfId="557" priority="384" stopIfTrue="1" operator="notEqual">
      <formula>0</formula>
    </cfRule>
  </conditionalFormatting>
  <conditionalFormatting sqref="K105">
    <cfRule type="cellIs" dxfId="556" priority="388" stopIfTrue="1" operator="notEqual">
      <formula>0</formula>
    </cfRule>
  </conditionalFormatting>
  <conditionalFormatting sqref="K106">
    <cfRule type="cellIs" dxfId="555" priority="392" stopIfTrue="1" operator="notEqual">
      <formula>0</formula>
    </cfRule>
  </conditionalFormatting>
  <conditionalFormatting sqref="K107">
    <cfRule type="cellIs" dxfId="554" priority="396" stopIfTrue="1" operator="notEqual">
      <formula>0</formula>
    </cfRule>
  </conditionalFormatting>
  <conditionalFormatting sqref="K108">
    <cfRule type="cellIs" dxfId="553" priority="400" stopIfTrue="1" operator="notEqual">
      <formula>0</formula>
    </cfRule>
  </conditionalFormatting>
  <conditionalFormatting sqref="K109">
    <cfRule type="cellIs" dxfId="552" priority="404" stopIfTrue="1" operator="notEqual">
      <formula>0</formula>
    </cfRule>
  </conditionalFormatting>
  <conditionalFormatting sqref="K110">
    <cfRule type="cellIs" dxfId="551" priority="408" stopIfTrue="1" operator="notEqual">
      <formula>0</formula>
    </cfRule>
  </conditionalFormatting>
  <conditionalFormatting sqref="K111">
    <cfRule type="cellIs" dxfId="550" priority="412" stopIfTrue="1" operator="notEqual">
      <formula>0</formula>
    </cfRule>
  </conditionalFormatting>
  <conditionalFormatting sqref="K112">
    <cfRule type="cellIs" dxfId="549" priority="416" stopIfTrue="1" operator="notEqual">
      <formula>0</formula>
    </cfRule>
  </conditionalFormatting>
  <conditionalFormatting sqref="K113">
    <cfRule type="cellIs" dxfId="548" priority="420" stopIfTrue="1" operator="notEqual">
      <formula>0</formula>
    </cfRule>
  </conditionalFormatting>
  <conditionalFormatting sqref="K114">
    <cfRule type="cellIs" dxfId="547" priority="424" stopIfTrue="1" operator="notEqual">
      <formula>0</formula>
    </cfRule>
  </conditionalFormatting>
  <conditionalFormatting sqref="K115">
    <cfRule type="cellIs" dxfId="546" priority="428" stopIfTrue="1" operator="notEqual">
      <formula>0</formula>
    </cfRule>
  </conditionalFormatting>
  <conditionalFormatting sqref="K116">
    <cfRule type="cellIs" dxfId="545" priority="432" stopIfTrue="1" operator="notEqual">
      <formula>0</formula>
    </cfRule>
  </conditionalFormatting>
  <conditionalFormatting sqref="K117">
    <cfRule type="cellIs" dxfId="544" priority="436" stopIfTrue="1" operator="notEqual">
      <formula>0</formula>
    </cfRule>
  </conditionalFormatting>
  <conditionalFormatting sqref="K118">
    <cfRule type="cellIs" dxfId="543" priority="440" stopIfTrue="1" operator="notEqual">
      <formula>0</formula>
    </cfRule>
  </conditionalFormatting>
  <conditionalFormatting sqref="K119">
    <cfRule type="cellIs" dxfId="542" priority="444" stopIfTrue="1" operator="notEqual">
      <formula>0</formula>
    </cfRule>
  </conditionalFormatting>
  <conditionalFormatting sqref="K120">
    <cfRule type="cellIs" dxfId="541" priority="448" stopIfTrue="1" operator="notEqual">
      <formula>0</formula>
    </cfRule>
  </conditionalFormatting>
  <conditionalFormatting sqref="K121">
    <cfRule type="cellIs" dxfId="540" priority="452" stopIfTrue="1" operator="notEqual">
      <formula>0</formula>
    </cfRule>
  </conditionalFormatting>
  <conditionalFormatting sqref="K122">
    <cfRule type="cellIs" dxfId="539" priority="456" stopIfTrue="1" operator="notEqual">
      <formula>0</formula>
    </cfRule>
  </conditionalFormatting>
  <conditionalFormatting sqref="K123">
    <cfRule type="cellIs" dxfId="538" priority="460" stopIfTrue="1" operator="notEqual">
      <formula>0</formula>
    </cfRule>
  </conditionalFormatting>
  <conditionalFormatting sqref="K124">
    <cfRule type="cellIs" dxfId="537" priority="464" stopIfTrue="1" operator="notEqual">
      <formula>0</formula>
    </cfRule>
  </conditionalFormatting>
  <conditionalFormatting sqref="K125">
    <cfRule type="cellIs" dxfId="536" priority="468" stopIfTrue="1" operator="notEqual">
      <formula>0</formula>
    </cfRule>
  </conditionalFormatting>
  <conditionalFormatting sqref="K126">
    <cfRule type="cellIs" dxfId="535" priority="472" stopIfTrue="1" operator="notEqual">
      <formula>0</formula>
    </cfRule>
  </conditionalFormatting>
  <conditionalFormatting sqref="K127">
    <cfRule type="cellIs" dxfId="534" priority="476" stopIfTrue="1" operator="notEqual">
      <formula>0</formula>
    </cfRule>
  </conditionalFormatting>
  <conditionalFormatting sqref="K128">
    <cfRule type="cellIs" dxfId="533" priority="480" stopIfTrue="1" operator="notEqual">
      <formula>0</formula>
    </cfRule>
  </conditionalFormatting>
  <conditionalFormatting sqref="K129">
    <cfRule type="cellIs" dxfId="532" priority="484" stopIfTrue="1" operator="notEqual">
      <formula>0</formula>
    </cfRule>
  </conditionalFormatting>
  <conditionalFormatting sqref="K130">
    <cfRule type="cellIs" dxfId="531" priority="488" stopIfTrue="1" operator="notEqual">
      <formula>0</formula>
    </cfRule>
  </conditionalFormatting>
  <conditionalFormatting sqref="K131">
    <cfRule type="cellIs" dxfId="530" priority="492" stopIfTrue="1" operator="notEqual">
      <formula>0</formula>
    </cfRule>
  </conditionalFormatting>
  <conditionalFormatting sqref="K132">
    <cfRule type="cellIs" dxfId="529" priority="496" stopIfTrue="1" operator="notEqual">
      <formula>0</formula>
    </cfRule>
  </conditionalFormatting>
  <conditionalFormatting sqref="K133">
    <cfRule type="cellIs" dxfId="528" priority="500" stopIfTrue="1" operator="notEqual">
      <formula>0</formula>
    </cfRule>
  </conditionalFormatting>
  <conditionalFormatting sqref="K134">
    <cfRule type="cellIs" dxfId="527" priority="504" stopIfTrue="1" operator="notEqual">
      <formula>0</formula>
    </cfRule>
  </conditionalFormatting>
  <conditionalFormatting sqref="K135">
    <cfRule type="cellIs" dxfId="526" priority="508" stopIfTrue="1" operator="notEqual">
      <formula>0</formula>
    </cfRule>
  </conditionalFormatting>
  <conditionalFormatting sqref="K136">
    <cfRule type="cellIs" dxfId="525" priority="512" stopIfTrue="1" operator="notEqual">
      <formula>0</formula>
    </cfRule>
  </conditionalFormatting>
  <conditionalFormatting sqref="K137">
    <cfRule type="cellIs" dxfId="524" priority="516" stopIfTrue="1" operator="notEqual">
      <formula>0</formula>
    </cfRule>
  </conditionalFormatting>
  <conditionalFormatting sqref="K138">
    <cfRule type="cellIs" dxfId="523" priority="520" stopIfTrue="1" operator="notEqual">
      <formula>0</formula>
    </cfRule>
  </conditionalFormatting>
  <conditionalFormatting sqref="K139">
    <cfRule type="cellIs" dxfId="522" priority="524" stopIfTrue="1" operator="notEqual">
      <formula>0</formula>
    </cfRule>
  </conditionalFormatting>
  <conditionalFormatting sqref="K140">
    <cfRule type="cellIs" dxfId="521" priority="528" stopIfTrue="1" operator="notEqual">
      <formula>0</formula>
    </cfRule>
  </conditionalFormatting>
  <conditionalFormatting sqref="K141">
    <cfRule type="cellIs" dxfId="520" priority="532" stopIfTrue="1" operator="notEqual">
      <formula>0</formula>
    </cfRule>
  </conditionalFormatting>
  <conditionalFormatting sqref="K142">
    <cfRule type="cellIs" dxfId="519" priority="536" stopIfTrue="1" operator="notEqual">
      <formula>0</formula>
    </cfRule>
  </conditionalFormatting>
  <conditionalFormatting sqref="K143">
    <cfRule type="cellIs" dxfId="518" priority="540" stopIfTrue="1" operator="notEqual">
      <formula>0</formula>
    </cfRule>
  </conditionalFormatting>
  <conditionalFormatting sqref="K144">
    <cfRule type="cellIs" dxfId="517" priority="544" stopIfTrue="1" operator="notEqual">
      <formula>0</formula>
    </cfRule>
  </conditionalFormatting>
  <conditionalFormatting sqref="K145">
    <cfRule type="cellIs" dxfId="516" priority="548" stopIfTrue="1" operator="notEqual">
      <formula>0</formula>
    </cfRule>
  </conditionalFormatting>
  <conditionalFormatting sqref="K146">
    <cfRule type="cellIs" dxfId="515" priority="552" stopIfTrue="1" operator="notEqual">
      <formula>0</formula>
    </cfRule>
  </conditionalFormatting>
  <conditionalFormatting sqref="K147">
    <cfRule type="cellIs" dxfId="514" priority="556" stopIfTrue="1" operator="notEqual">
      <formula>0</formula>
    </cfRule>
  </conditionalFormatting>
  <conditionalFormatting sqref="K148">
    <cfRule type="cellIs" dxfId="513" priority="560" stopIfTrue="1" operator="notEqual">
      <formula>0</formula>
    </cfRule>
  </conditionalFormatting>
  <conditionalFormatting sqref="K149">
    <cfRule type="cellIs" dxfId="512" priority="564" stopIfTrue="1" operator="notEqual">
      <formula>0</formula>
    </cfRule>
  </conditionalFormatting>
  <conditionalFormatting sqref="K150">
    <cfRule type="cellIs" dxfId="511" priority="568" stopIfTrue="1" operator="notEqual">
      <formula>0</formula>
    </cfRule>
  </conditionalFormatting>
  <conditionalFormatting sqref="K151">
    <cfRule type="cellIs" dxfId="510" priority="572" stopIfTrue="1" operator="notEqual">
      <formula>0</formula>
    </cfRule>
  </conditionalFormatting>
  <conditionalFormatting sqref="K152">
    <cfRule type="cellIs" dxfId="509" priority="576" stopIfTrue="1" operator="notEqual">
      <formula>0</formula>
    </cfRule>
  </conditionalFormatting>
  <conditionalFormatting sqref="K153">
    <cfRule type="cellIs" dxfId="508" priority="580" stopIfTrue="1" operator="notEqual">
      <formula>0</formula>
    </cfRule>
  </conditionalFormatting>
  <conditionalFormatting sqref="K154">
    <cfRule type="cellIs" dxfId="507" priority="584" stopIfTrue="1" operator="notEqual">
      <formula>0</formula>
    </cfRule>
  </conditionalFormatting>
  <conditionalFormatting sqref="K155">
    <cfRule type="cellIs" dxfId="506" priority="588" stopIfTrue="1" operator="notEqual">
      <formula>0</formula>
    </cfRule>
  </conditionalFormatting>
  <conditionalFormatting sqref="K156">
    <cfRule type="cellIs" dxfId="505" priority="592" stopIfTrue="1" operator="notEqual">
      <formula>0</formula>
    </cfRule>
  </conditionalFormatting>
  <conditionalFormatting sqref="K157">
    <cfRule type="cellIs" dxfId="504" priority="596" stopIfTrue="1" operator="notEqual">
      <formula>0</formula>
    </cfRule>
  </conditionalFormatting>
  <conditionalFormatting sqref="K158">
    <cfRule type="cellIs" dxfId="503" priority="600" stopIfTrue="1" operator="notEqual">
      <formula>0</formula>
    </cfRule>
  </conditionalFormatting>
  <conditionalFormatting sqref="K159">
    <cfRule type="cellIs" dxfId="502" priority="604" stopIfTrue="1" operator="notEqual">
      <formula>0</formula>
    </cfRule>
  </conditionalFormatting>
  <conditionalFormatting sqref="K160">
    <cfRule type="cellIs" dxfId="501" priority="608" stopIfTrue="1" operator="notEqual">
      <formula>0</formula>
    </cfRule>
  </conditionalFormatting>
  <conditionalFormatting sqref="K161">
    <cfRule type="cellIs" dxfId="500" priority="612" stopIfTrue="1" operator="notEqual">
      <formula>0</formula>
    </cfRule>
  </conditionalFormatting>
  <conditionalFormatting sqref="K162">
    <cfRule type="cellIs" dxfId="499" priority="616" stopIfTrue="1" operator="notEqual">
      <formula>0</formula>
    </cfRule>
  </conditionalFormatting>
  <conditionalFormatting sqref="K163">
    <cfRule type="cellIs" dxfId="498" priority="620" stopIfTrue="1" operator="notEqual">
      <formula>0</formula>
    </cfRule>
  </conditionalFormatting>
  <conditionalFormatting sqref="K164">
    <cfRule type="cellIs" dxfId="497" priority="624" stopIfTrue="1" operator="notEqual">
      <formula>0</formula>
    </cfRule>
  </conditionalFormatting>
  <conditionalFormatting sqref="K165">
    <cfRule type="cellIs" dxfId="496" priority="628" stopIfTrue="1" operator="notEqual">
      <formula>0</formula>
    </cfRule>
  </conditionalFormatting>
  <conditionalFormatting sqref="K166">
    <cfRule type="cellIs" dxfId="495" priority="632" stopIfTrue="1" operator="notEqual">
      <formula>0</formula>
    </cfRule>
  </conditionalFormatting>
  <conditionalFormatting sqref="K167">
    <cfRule type="cellIs" dxfId="494" priority="636" stopIfTrue="1" operator="notEqual">
      <formula>0</formula>
    </cfRule>
  </conditionalFormatting>
  <conditionalFormatting sqref="K168">
    <cfRule type="cellIs" dxfId="493" priority="640" stopIfTrue="1" operator="notEqual">
      <formula>0</formula>
    </cfRule>
  </conditionalFormatting>
  <conditionalFormatting sqref="K169">
    <cfRule type="cellIs" dxfId="492" priority="644" stopIfTrue="1" operator="notEqual">
      <formula>0</formula>
    </cfRule>
  </conditionalFormatting>
  <conditionalFormatting sqref="K170">
    <cfRule type="cellIs" dxfId="491" priority="648" stopIfTrue="1" operator="notEqual">
      <formula>0</formula>
    </cfRule>
  </conditionalFormatting>
  <conditionalFormatting sqref="K171">
    <cfRule type="cellIs" dxfId="490" priority="652" stopIfTrue="1" operator="notEqual">
      <formula>0</formula>
    </cfRule>
  </conditionalFormatting>
  <conditionalFormatting sqref="K172">
    <cfRule type="cellIs" dxfId="489" priority="656" stopIfTrue="1" operator="notEqual">
      <formula>0</formula>
    </cfRule>
  </conditionalFormatting>
  <conditionalFormatting sqref="B10">
    <cfRule type="expression" dxfId="488" priority="7" stopIfTrue="1">
      <formula>K10&lt;&gt;0</formula>
    </cfRule>
  </conditionalFormatting>
  <conditionalFormatting sqref="L10">
    <cfRule type="expression" dxfId="487" priority="9" stopIfTrue="1">
      <formula>K10&lt;&gt;0</formula>
    </cfRule>
  </conditionalFormatting>
  <conditionalFormatting sqref="M10">
    <cfRule type="expression" dxfId="486" priority="10" stopIfTrue="1">
      <formula>K10&lt;&gt;0</formula>
    </cfRule>
  </conditionalFormatting>
  <conditionalFormatting sqref="B11">
    <cfRule type="expression" dxfId="485" priority="11" stopIfTrue="1">
      <formula>K11&lt;&gt;0</formula>
    </cfRule>
  </conditionalFormatting>
  <conditionalFormatting sqref="L11">
    <cfRule type="expression" dxfId="484" priority="13" stopIfTrue="1">
      <formula>K11&lt;&gt;0</formula>
    </cfRule>
  </conditionalFormatting>
  <conditionalFormatting sqref="M11">
    <cfRule type="expression" dxfId="483" priority="14" stopIfTrue="1">
      <formula>K11&lt;&gt;0</formula>
    </cfRule>
  </conditionalFormatting>
  <conditionalFormatting sqref="B12">
    <cfRule type="expression" dxfId="482" priority="15" stopIfTrue="1">
      <formula>K12&lt;&gt;0</formula>
    </cfRule>
  </conditionalFormatting>
  <conditionalFormatting sqref="L12">
    <cfRule type="expression" dxfId="481" priority="17" stopIfTrue="1">
      <formula>K12&lt;&gt;0</formula>
    </cfRule>
  </conditionalFormatting>
  <conditionalFormatting sqref="M12">
    <cfRule type="expression" dxfId="480" priority="18" stopIfTrue="1">
      <formula>K12&lt;&gt;0</formula>
    </cfRule>
  </conditionalFormatting>
  <conditionalFormatting sqref="B13">
    <cfRule type="expression" dxfId="479" priority="19" stopIfTrue="1">
      <formula>K13&lt;&gt;0</formula>
    </cfRule>
  </conditionalFormatting>
  <conditionalFormatting sqref="L13">
    <cfRule type="expression" dxfId="478" priority="21" stopIfTrue="1">
      <formula>K13&lt;&gt;0</formula>
    </cfRule>
  </conditionalFormatting>
  <conditionalFormatting sqref="M13">
    <cfRule type="expression" dxfId="477" priority="22" stopIfTrue="1">
      <formula>K13&lt;&gt;0</formula>
    </cfRule>
  </conditionalFormatting>
  <conditionalFormatting sqref="B14">
    <cfRule type="expression" dxfId="476" priority="23" stopIfTrue="1">
      <formula>K14&lt;&gt;0</formula>
    </cfRule>
  </conditionalFormatting>
  <conditionalFormatting sqref="L14">
    <cfRule type="expression" dxfId="475" priority="25" stopIfTrue="1">
      <formula>K14&lt;&gt;0</formula>
    </cfRule>
  </conditionalFormatting>
  <conditionalFormatting sqref="M14">
    <cfRule type="expression" dxfId="474" priority="26" stopIfTrue="1">
      <formula>K14&lt;&gt;0</formula>
    </cfRule>
  </conditionalFormatting>
  <conditionalFormatting sqref="B15">
    <cfRule type="expression" dxfId="473" priority="27" stopIfTrue="1">
      <formula>K15&lt;&gt;0</formula>
    </cfRule>
  </conditionalFormatting>
  <conditionalFormatting sqref="L15">
    <cfRule type="expression" dxfId="472" priority="29" stopIfTrue="1">
      <formula>K15&lt;&gt;0</formula>
    </cfRule>
  </conditionalFormatting>
  <conditionalFormatting sqref="M15">
    <cfRule type="expression" dxfId="471" priority="30" stopIfTrue="1">
      <formula>K15&lt;&gt;0</formula>
    </cfRule>
  </conditionalFormatting>
  <conditionalFormatting sqref="B16">
    <cfRule type="expression" dxfId="470" priority="31" stopIfTrue="1">
      <formula>K16&lt;&gt;0</formula>
    </cfRule>
  </conditionalFormatting>
  <conditionalFormatting sqref="L16">
    <cfRule type="expression" dxfId="469" priority="33" stopIfTrue="1">
      <formula>K16&lt;&gt;0</formula>
    </cfRule>
  </conditionalFormatting>
  <conditionalFormatting sqref="M16">
    <cfRule type="expression" dxfId="468" priority="34" stopIfTrue="1">
      <formula>K16&lt;&gt;0</formula>
    </cfRule>
  </conditionalFormatting>
  <conditionalFormatting sqref="B17">
    <cfRule type="expression" dxfId="467" priority="35" stopIfTrue="1">
      <formula>K17&lt;&gt;0</formula>
    </cfRule>
  </conditionalFormatting>
  <conditionalFormatting sqref="L17">
    <cfRule type="expression" dxfId="466" priority="37" stopIfTrue="1">
      <formula>K17&lt;&gt;0</formula>
    </cfRule>
  </conditionalFormatting>
  <conditionalFormatting sqref="M17">
    <cfRule type="expression" dxfId="465" priority="38" stopIfTrue="1">
      <formula>K17&lt;&gt;0</formula>
    </cfRule>
  </conditionalFormatting>
  <conditionalFormatting sqref="B18">
    <cfRule type="expression" dxfId="464" priority="39" stopIfTrue="1">
      <formula>K18&lt;&gt;0</formula>
    </cfRule>
  </conditionalFormatting>
  <conditionalFormatting sqref="L18">
    <cfRule type="expression" dxfId="463" priority="41" stopIfTrue="1">
      <formula>K18&lt;&gt;0</formula>
    </cfRule>
  </conditionalFormatting>
  <conditionalFormatting sqref="M18">
    <cfRule type="expression" dxfId="462" priority="42" stopIfTrue="1">
      <formula>K18&lt;&gt;0</formula>
    </cfRule>
  </conditionalFormatting>
  <conditionalFormatting sqref="B19">
    <cfRule type="expression" dxfId="461" priority="43" stopIfTrue="1">
      <formula>K19&lt;&gt;0</formula>
    </cfRule>
  </conditionalFormatting>
  <conditionalFormatting sqref="L19">
    <cfRule type="expression" dxfId="460" priority="45" stopIfTrue="1">
      <formula>K19&lt;&gt;0</formula>
    </cfRule>
  </conditionalFormatting>
  <conditionalFormatting sqref="M19">
    <cfRule type="expression" dxfId="459" priority="46" stopIfTrue="1">
      <formula>K19&lt;&gt;0</formula>
    </cfRule>
  </conditionalFormatting>
  <conditionalFormatting sqref="B20">
    <cfRule type="expression" dxfId="458" priority="47" stopIfTrue="1">
      <formula>K20&lt;&gt;0</formula>
    </cfRule>
  </conditionalFormatting>
  <conditionalFormatting sqref="L20">
    <cfRule type="expression" dxfId="457" priority="49" stopIfTrue="1">
      <formula>K20&lt;&gt;0</formula>
    </cfRule>
  </conditionalFormatting>
  <conditionalFormatting sqref="M20">
    <cfRule type="expression" dxfId="456" priority="50" stopIfTrue="1">
      <formula>K20&lt;&gt;0</formula>
    </cfRule>
  </conditionalFormatting>
  <conditionalFormatting sqref="B21">
    <cfRule type="expression" dxfId="455" priority="51" stopIfTrue="1">
      <formula>K21&lt;&gt;0</formula>
    </cfRule>
  </conditionalFormatting>
  <conditionalFormatting sqref="L21">
    <cfRule type="expression" dxfId="454" priority="53" stopIfTrue="1">
      <formula>K21&lt;&gt;0</formula>
    </cfRule>
  </conditionalFormatting>
  <conditionalFormatting sqref="M21">
    <cfRule type="expression" dxfId="453" priority="54" stopIfTrue="1">
      <formula>K21&lt;&gt;0</formula>
    </cfRule>
  </conditionalFormatting>
  <conditionalFormatting sqref="B22">
    <cfRule type="expression" dxfId="452" priority="55" stopIfTrue="1">
      <formula>K22&lt;&gt;0</formula>
    </cfRule>
  </conditionalFormatting>
  <conditionalFormatting sqref="L22">
    <cfRule type="expression" dxfId="451" priority="57" stopIfTrue="1">
      <formula>K22&lt;&gt;0</formula>
    </cfRule>
  </conditionalFormatting>
  <conditionalFormatting sqref="M22">
    <cfRule type="expression" dxfId="450" priority="58" stopIfTrue="1">
      <formula>K22&lt;&gt;0</formula>
    </cfRule>
  </conditionalFormatting>
  <conditionalFormatting sqref="B23">
    <cfRule type="expression" dxfId="449" priority="59" stopIfTrue="1">
      <formula>K23&lt;&gt;0</formula>
    </cfRule>
  </conditionalFormatting>
  <conditionalFormatting sqref="L23">
    <cfRule type="expression" dxfId="448" priority="61" stopIfTrue="1">
      <formula>K23&lt;&gt;0</formula>
    </cfRule>
  </conditionalFormatting>
  <conditionalFormatting sqref="M23">
    <cfRule type="expression" dxfId="447" priority="62" stopIfTrue="1">
      <formula>K23&lt;&gt;0</formula>
    </cfRule>
  </conditionalFormatting>
  <conditionalFormatting sqref="B24">
    <cfRule type="expression" dxfId="446" priority="63" stopIfTrue="1">
      <formula>K24&lt;&gt;0</formula>
    </cfRule>
  </conditionalFormatting>
  <conditionalFormatting sqref="L24">
    <cfRule type="expression" dxfId="445" priority="65" stopIfTrue="1">
      <formula>K24&lt;&gt;0</formula>
    </cfRule>
  </conditionalFormatting>
  <conditionalFormatting sqref="M24">
    <cfRule type="expression" dxfId="444" priority="66" stopIfTrue="1">
      <formula>K24&lt;&gt;0</formula>
    </cfRule>
  </conditionalFormatting>
  <conditionalFormatting sqref="B25">
    <cfRule type="expression" dxfId="443" priority="67" stopIfTrue="1">
      <formula>K25&lt;&gt;0</formula>
    </cfRule>
  </conditionalFormatting>
  <conditionalFormatting sqref="L25">
    <cfRule type="expression" dxfId="442" priority="69" stopIfTrue="1">
      <formula>K25&lt;&gt;0</formula>
    </cfRule>
  </conditionalFormatting>
  <conditionalFormatting sqref="M25">
    <cfRule type="expression" dxfId="441" priority="70" stopIfTrue="1">
      <formula>K25&lt;&gt;0</formula>
    </cfRule>
  </conditionalFormatting>
  <conditionalFormatting sqref="B26">
    <cfRule type="expression" dxfId="440" priority="71" stopIfTrue="1">
      <formula>K26&lt;&gt;0</formula>
    </cfRule>
  </conditionalFormatting>
  <conditionalFormatting sqref="L26">
    <cfRule type="expression" dxfId="439" priority="73" stopIfTrue="1">
      <formula>K26&lt;&gt;0</formula>
    </cfRule>
  </conditionalFormatting>
  <conditionalFormatting sqref="M26">
    <cfRule type="expression" dxfId="438" priority="74" stopIfTrue="1">
      <formula>K26&lt;&gt;0</formula>
    </cfRule>
  </conditionalFormatting>
  <conditionalFormatting sqref="B27">
    <cfRule type="expression" dxfId="437" priority="75" stopIfTrue="1">
      <formula>K27&lt;&gt;0</formula>
    </cfRule>
  </conditionalFormatting>
  <conditionalFormatting sqref="L27">
    <cfRule type="expression" dxfId="436" priority="77" stopIfTrue="1">
      <formula>K27&lt;&gt;0</formula>
    </cfRule>
  </conditionalFormatting>
  <conditionalFormatting sqref="M27">
    <cfRule type="expression" dxfId="435" priority="78" stopIfTrue="1">
      <formula>K27&lt;&gt;0</formula>
    </cfRule>
  </conditionalFormatting>
  <conditionalFormatting sqref="B28">
    <cfRule type="expression" dxfId="434" priority="79" stopIfTrue="1">
      <formula>K28&lt;&gt;0</formula>
    </cfRule>
  </conditionalFormatting>
  <conditionalFormatting sqref="L28">
    <cfRule type="expression" dxfId="433" priority="81" stopIfTrue="1">
      <formula>K28&lt;&gt;0</formula>
    </cfRule>
  </conditionalFormatting>
  <conditionalFormatting sqref="M28">
    <cfRule type="expression" dxfId="432" priority="82" stopIfTrue="1">
      <formula>K28&lt;&gt;0</formula>
    </cfRule>
  </conditionalFormatting>
  <conditionalFormatting sqref="B29">
    <cfRule type="expression" dxfId="431" priority="83" stopIfTrue="1">
      <formula>K29&lt;&gt;0</formula>
    </cfRule>
  </conditionalFormatting>
  <conditionalFormatting sqref="L29">
    <cfRule type="expression" dxfId="430" priority="85" stopIfTrue="1">
      <formula>K29&lt;&gt;0</formula>
    </cfRule>
  </conditionalFormatting>
  <conditionalFormatting sqref="M29">
    <cfRule type="expression" dxfId="429" priority="86" stopIfTrue="1">
      <formula>K29&lt;&gt;0</formula>
    </cfRule>
  </conditionalFormatting>
  <conditionalFormatting sqref="B30">
    <cfRule type="expression" dxfId="428" priority="87" stopIfTrue="1">
      <formula>K30&lt;&gt;0</formula>
    </cfRule>
  </conditionalFormatting>
  <conditionalFormatting sqref="L30">
    <cfRule type="expression" dxfId="427" priority="89" stopIfTrue="1">
      <formula>K30&lt;&gt;0</formula>
    </cfRule>
  </conditionalFormatting>
  <conditionalFormatting sqref="M30">
    <cfRule type="expression" dxfId="426" priority="90" stopIfTrue="1">
      <formula>K30&lt;&gt;0</formula>
    </cfRule>
  </conditionalFormatting>
  <conditionalFormatting sqref="B31">
    <cfRule type="expression" dxfId="425" priority="91" stopIfTrue="1">
      <formula>K31&lt;&gt;0</formula>
    </cfRule>
  </conditionalFormatting>
  <conditionalFormatting sqref="L31">
    <cfRule type="expression" dxfId="424" priority="93" stopIfTrue="1">
      <formula>K31&lt;&gt;0</formula>
    </cfRule>
  </conditionalFormatting>
  <conditionalFormatting sqref="M31">
    <cfRule type="expression" dxfId="423" priority="94" stopIfTrue="1">
      <formula>K31&lt;&gt;0</formula>
    </cfRule>
  </conditionalFormatting>
  <conditionalFormatting sqref="B32">
    <cfRule type="expression" dxfId="422" priority="95" stopIfTrue="1">
      <formula>K32&lt;&gt;0</formula>
    </cfRule>
  </conditionalFormatting>
  <conditionalFormatting sqref="L32">
    <cfRule type="expression" dxfId="421" priority="97" stopIfTrue="1">
      <formula>K32&lt;&gt;0</formula>
    </cfRule>
  </conditionalFormatting>
  <conditionalFormatting sqref="M32">
    <cfRule type="expression" dxfId="420" priority="98" stopIfTrue="1">
      <formula>K32&lt;&gt;0</formula>
    </cfRule>
  </conditionalFormatting>
  <conditionalFormatting sqref="B33">
    <cfRule type="expression" dxfId="419" priority="99" stopIfTrue="1">
      <formula>K33&lt;&gt;0</formula>
    </cfRule>
  </conditionalFormatting>
  <conditionalFormatting sqref="L33">
    <cfRule type="expression" dxfId="418" priority="101" stopIfTrue="1">
      <formula>K33&lt;&gt;0</formula>
    </cfRule>
  </conditionalFormatting>
  <conditionalFormatting sqref="M33">
    <cfRule type="expression" dxfId="417" priority="102" stopIfTrue="1">
      <formula>K33&lt;&gt;0</formula>
    </cfRule>
  </conditionalFormatting>
  <conditionalFormatting sqref="B34">
    <cfRule type="expression" dxfId="416" priority="103" stopIfTrue="1">
      <formula>K34&lt;&gt;0</formula>
    </cfRule>
  </conditionalFormatting>
  <conditionalFormatting sqref="L34">
    <cfRule type="expression" dxfId="415" priority="105" stopIfTrue="1">
      <formula>K34&lt;&gt;0</formula>
    </cfRule>
  </conditionalFormatting>
  <conditionalFormatting sqref="M34">
    <cfRule type="expression" dxfId="414" priority="106" stopIfTrue="1">
      <formula>K34&lt;&gt;0</formula>
    </cfRule>
  </conditionalFormatting>
  <conditionalFormatting sqref="B35">
    <cfRule type="expression" dxfId="413" priority="107" stopIfTrue="1">
      <formula>K35&lt;&gt;0</formula>
    </cfRule>
  </conditionalFormatting>
  <conditionalFormatting sqref="L35">
    <cfRule type="expression" dxfId="412" priority="109" stopIfTrue="1">
      <formula>K35&lt;&gt;0</formula>
    </cfRule>
  </conditionalFormatting>
  <conditionalFormatting sqref="M35">
    <cfRule type="expression" dxfId="411" priority="110" stopIfTrue="1">
      <formula>K35&lt;&gt;0</formula>
    </cfRule>
  </conditionalFormatting>
  <conditionalFormatting sqref="B36">
    <cfRule type="expression" dxfId="410" priority="111" stopIfTrue="1">
      <formula>K36&lt;&gt;0</formula>
    </cfRule>
  </conditionalFormatting>
  <conditionalFormatting sqref="L36">
    <cfRule type="expression" dxfId="409" priority="113" stopIfTrue="1">
      <formula>K36&lt;&gt;0</formula>
    </cfRule>
  </conditionalFormatting>
  <conditionalFormatting sqref="M36">
    <cfRule type="expression" dxfId="408" priority="114" stopIfTrue="1">
      <formula>K36&lt;&gt;0</formula>
    </cfRule>
  </conditionalFormatting>
  <conditionalFormatting sqref="B37">
    <cfRule type="expression" dxfId="407" priority="115" stopIfTrue="1">
      <formula>K37&lt;&gt;0</formula>
    </cfRule>
  </conditionalFormatting>
  <conditionalFormatting sqref="L37">
    <cfRule type="expression" dxfId="406" priority="117" stopIfTrue="1">
      <formula>K37&lt;&gt;0</formula>
    </cfRule>
  </conditionalFormatting>
  <conditionalFormatting sqref="M37">
    <cfRule type="expression" dxfId="405" priority="118" stopIfTrue="1">
      <formula>K37&lt;&gt;0</formula>
    </cfRule>
  </conditionalFormatting>
  <conditionalFormatting sqref="B38">
    <cfRule type="expression" dxfId="404" priority="119" stopIfTrue="1">
      <formula>K38&lt;&gt;0</formula>
    </cfRule>
  </conditionalFormatting>
  <conditionalFormatting sqref="L38">
    <cfRule type="expression" dxfId="403" priority="121" stopIfTrue="1">
      <formula>K38&lt;&gt;0</formula>
    </cfRule>
  </conditionalFormatting>
  <conditionalFormatting sqref="M38">
    <cfRule type="expression" dxfId="402" priority="122" stopIfTrue="1">
      <formula>K38&lt;&gt;0</formula>
    </cfRule>
  </conditionalFormatting>
  <conditionalFormatting sqref="B39">
    <cfRule type="expression" dxfId="401" priority="123" stopIfTrue="1">
      <formula>K39&lt;&gt;0</formula>
    </cfRule>
  </conditionalFormatting>
  <conditionalFormatting sqref="L39">
    <cfRule type="expression" dxfId="400" priority="125" stopIfTrue="1">
      <formula>K39&lt;&gt;0</formula>
    </cfRule>
  </conditionalFormatting>
  <conditionalFormatting sqref="M39">
    <cfRule type="expression" dxfId="399" priority="126" stopIfTrue="1">
      <formula>K39&lt;&gt;0</formula>
    </cfRule>
  </conditionalFormatting>
  <conditionalFormatting sqref="B40">
    <cfRule type="expression" dxfId="398" priority="127" stopIfTrue="1">
      <formula>K40&lt;&gt;0</formula>
    </cfRule>
  </conditionalFormatting>
  <conditionalFormatting sqref="L40">
    <cfRule type="expression" dxfId="397" priority="129" stopIfTrue="1">
      <formula>K40&lt;&gt;0</formula>
    </cfRule>
  </conditionalFormatting>
  <conditionalFormatting sqref="M40">
    <cfRule type="expression" dxfId="396" priority="130" stopIfTrue="1">
      <formula>K40&lt;&gt;0</formula>
    </cfRule>
  </conditionalFormatting>
  <conditionalFormatting sqref="B41">
    <cfRule type="expression" dxfId="395" priority="131" stopIfTrue="1">
      <formula>K41&lt;&gt;0</formula>
    </cfRule>
  </conditionalFormatting>
  <conditionalFormatting sqref="L41">
    <cfRule type="expression" dxfId="394" priority="133" stopIfTrue="1">
      <formula>K41&lt;&gt;0</formula>
    </cfRule>
  </conditionalFormatting>
  <conditionalFormatting sqref="M41">
    <cfRule type="expression" dxfId="393" priority="134" stopIfTrue="1">
      <formula>K41&lt;&gt;0</formula>
    </cfRule>
  </conditionalFormatting>
  <conditionalFormatting sqref="B42">
    <cfRule type="expression" dxfId="392" priority="135" stopIfTrue="1">
      <formula>K42&lt;&gt;0</formula>
    </cfRule>
  </conditionalFormatting>
  <conditionalFormatting sqref="L42">
    <cfRule type="expression" dxfId="391" priority="137" stopIfTrue="1">
      <formula>K42&lt;&gt;0</formula>
    </cfRule>
  </conditionalFormatting>
  <conditionalFormatting sqref="M42">
    <cfRule type="expression" dxfId="390" priority="138" stopIfTrue="1">
      <formula>K42&lt;&gt;0</formula>
    </cfRule>
  </conditionalFormatting>
  <conditionalFormatting sqref="B43">
    <cfRule type="expression" dxfId="389" priority="139" stopIfTrue="1">
      <formula>K43&lt;&gt;0</formula>
    </cfRule>
  </conditionalFormatting>
  <conditionalFormatting sqref="L43">
    <cfRule type="expression" dxfId="388" priority="141" stopIfTrue="1">
      <formula>K43&lt;&gt;0</formula>
    </cfRule>
  </conditionalFormatting>
  <conditionalFormatting sqref="M43">
    <cfRule type="expression" dxfId="387" priority="142" stopIfTrue="1">
      <formula>K43&lt;&gt;0</formula>
    </cfRule>
  </conditionalFormatting>
  <conditionalFormatting sqref="B44">
    <cfRule type="expression" dxfId="386" priority="143" stopIfTrue="1">
      <formula>K44&lt;&gt;0</formula>
    </cfRule>
  </conditionalFormatting>
  <conditionalFormatting sqref="L44">
    <cfRule type="expression" dxfId="385" priority="145" stopIfTrue="1">
      <formula>K44&lt;&gt;0</formula>
    </cfRule>
  </conditionalFormatting>
  <conditionalFormatting sqref="M44">
    <cfRule type="expression" dxfId="384" priority="146" stopIfTrue="1">
      <formula>K44&lt;&gt;0</formula>
    </cfRule>
  </conditionalFormatting>
  <conditionalFormatting sqref="B45">
    <cfRule type="expression" dxfId="383" priority="147" stopIfTrue="1">
      <formula>K45&lt;&gt;0</formula>
    </cfRule>
  </conditionalFormatting>
  <conditionalFormatting sqref="L45">
    <cfRule type="expression" dxfId="382" priority="149" stopIfTrue="1">
      <formula>K45&lt;&gt;0</formula>
    </cfRule>
  </conditionalFormatting>
  <conditionalFormatting sqref="M45">
    <cfRule type="expression" dxfId="381" priority="150" stopIfTrue="1">
      <formula>K45&lt;&gt;0</formula>
    </cfRule>
  </conditionalFormatting>
  <conditionalFormatting sqref="B46">
    <cfRule type="expression" dxfId="380" priority="151" stopIfTrue="1">
      <formula>K46&lt;&gt;0</formula>
    </cfRule>
  </conditionalFormatting>
  <conditionalFormatting sqref="L46">
    <cfRule type="expression" dxfId="379" priority="153" stopIfTrue="1">
      <formula>K46&lt;&gt;0</formula>
    </cfRule>
  </conditionalFormatting>
  <conditionalFormatting sqref="M46">
    <cfRule type="expression" dxfId="378" priority="154" stopIfTrue="1">
      <formula>K46&lt;&gt;0</formula>
    </cfRule>
  </conditionalFormatting>
  <conditionalFormatting sqref="B47">
    <cfRule type="expression" dxfId="377" priority="155" stopIfTrue="1">
      <formula>K47&lt;&gt;0</formula>
    </cfRule>
  </conditionalFormatting>
  <conditionalFormatting sqref="L47">
    <cfRule type="expression" dxfId="376" priority="157" stopIfTrue="1">
      <formula>K47&lt;&gt;0</formula>
    </cfRule>
  </conditionalFormatting>
  <conditionalFormatting sqref="M47">
    <cfRule type="expression" dxfId="375" priority="158" stopIfTrue="1">
      <formula>K47&lt;&gt;0</formula>
    </cfRule>
  </conditionalFormatting>
  <conditionalFormatting sqref="B48">
    <cfRule type="expression" dxfId="374" priority="159" stopIfTrue="1">
      <formula>K48&lt;&gt;0</formula>
    </cfRule>
  </conditionalFormatting>
  <conditionalFormatting sqref="L48">
    <cfRule type="expression" dxfId="373" priority="161" stopIfTrue="1">
      <formula>K48&lt;&gt;0</formula>
    </cfRule>
  </conditionalFormatting>
  <conditionalFormatting sqref="M48">
    <cfRule type="expression" dxfId="372" priority="162" stopIfTrue="1">
      <formula>K48&lt;&gt;0</formula>
    </cfRule>
  </conditionalFormatting>
  <conditionalFormatting sqref="B49">
    <cfRule type="expression" dxfId="371" priority="163" stopIfTrue="1">
      <formula>K49&lt;&gt;0</formula>
    </cfRule>
  </conditionalFormatting>
  <conditionalFormatting sqref="L49">
    <cfRule type="expression" dxfId="370" priority="165" stopIfTrue="1">
      <formula>K49&lt;&gt;0</formula>
    </cfRule>
  </conditionalFormatting>
  <conditionalFormatting sqref="M49">
    <cfRule type="expression" dxfId="369" priority="166" stopIfTrue="1">
      <formula>K49&lt;&gt;0</formula>
    </cfRule>
  </conditionalFormatting>
  <conditionalFormatting sqref="B50">
    <cfRule type="expression" dxfId="368" priority="167" stopIfTrue="1">
      <formula>K50&lt;&gt;0</formula>
    </cfRule>
  </conditionalFormatting>
  <conditionalFormatting sqref="L50">
    <cfRule type="expression" dxfId="367" priority="169" stopIfTrue="1">
      <formula>K50&lt;&gt;0</formula>
    </cfRule>
  </conditionalFormatting>
  <conditionalFormatting sqref="M50">
    <cfRule type="expression" dxfId="366" priority="170" stopIfTrue="1">
      <formula>K50&lt;&gt;0</formula>
    </cfRule>
  </conditionalFormatting>
  <conditionalFormatting sqref="B51">
    <cfRule type="expression" dxfId="365" priority="171" stopIfTrue="1">
      <formula>K51&lt;&gt;0</formula>
    </cfRule>
  </conditionalFormatting>
  <conditionalFormatting sqref="L51">
    <cfRule type="expression" dxfId="364" priority="173" stopIfTrue="1">
      <formula>K51&lt;&gt;0</formula>
    </cfRule>
  </conditionalFormatting>
  <conditionalFormatting sqref="M51">
    <cfRule type="expression" dxfId="363" priority="174" stopIfTrue="1">
      <formula>K51&lt;&gt;0</formula>
    </cfRule>
  </conditionalFormatting>
  <conditionalFormatting sqref="B52">
    <cfRule type="expression" dxfId="362" priority="175" stopIfTrue="1">
      <formula>K52&lt;&gt;0</formula>
    </cfRule>
  </conditionalFormatting>
  <conditionalFormatting sqref="L52">
    <cfRule type="expression" dxfId="361" priority="177" stopIfTrue="1">
      <formula>K52&lt;&gt;0</formula>
    </cfRule>
  </conditionalFormatting>
  <conditionalFormatting sqref="M52">
    <cfRule type="expression" dxfId="360" priority="178" stopIfTrue="1">
      <formula>K52&lt;&gt;0</formula>
    </cfRule>
  </conditionalFormatting>
  <conditionalFormatting sqref="B53">
    <cfRule type="expression" dxfId="359" priority="179" stopIfTrue="1">
      <formula>K53&lt;&gt;0</formula>
    </cfRule>
  </conditionalFormatting>
  <conditionalFormatting sqref="L53">
    <cfRule type="expression" dxfId="358" priority="181" stopIfTrue="1">
      <formula>K53&lt;&gt;0</formula>
    </cfRule>
  </conditionalFormatting>
  <conditionalFormatting sqref="M53">
    <cfRule type="expression" dxfId="357" priority="182" stopIfTrue="1">
      <formula>K53&lt;&gt;0</formula>
    </cfRule>
  </conditionalFormatting>
  <conditionalFormatting sqref="B54">
    <cfRule type="expression" dxfId="356" priority="183" stopIfTrue="1">
      <formula>K54&lt;&gt;0</formula>
    </cfRule>
  </conditionalFormatting>
  <conditionalFormatting sqref="L54">
    <cfRule type="expression" dxfId="355" priority="185" stopIfTrue="1">
      <formula>K54&lt;&gt;0</formula>
    </cfRule>
  </conditionalFormatting>
  <conditionalFormatting sqref="M54">
    <cfRule type="expression" dxfId="354" priority="186" stopIfTrue="1">
      <formula>K54&lt;&gt;0</formula>
    </cfRule>
  </conditionalFormatting>
  <conditionalFormatting sqref="B55">
    <cfRule type="expression" dxfId="353" priority="187" stopIfTrue="1">
      <formula>K55&lt;&gt;0</formula>
    </cfRule>
  </conditionalFormatting>
  <conditionalFormatting sqref="L55">
    <cfRule type="expression" dxfId="352" priority="189" stopIfTrue="1">
      <formula>K55&lt;&gt;0</formula>
    </cfRule>
  </conditionalFormatting>
  <conditionalFormatting sqref="M55">
    <cfRule type="expression" dxfId="351" priority="190" stopIfTrue="1">
      <formula>K55&lt;&gt;0</formula>
    </cfRule>
  </conditionalFormatting>
  <conditionalFormatting sqref="B56">
    <cfRule type="expression" dxfId="350" priority="191" stopIfTrue="1">
      <formula>K56&lt;&gt;0</formula>
    </cfRule>
  </conditionalFormatting>
  <conditionalFormatting sqref="L56">
    <cfRule type="expression" dxfId="349" priority="193" stopIfTrue="1">
      <formula>K56&lt;&gt;0</formula>
    </cfRule>
  </conditionalFormatting>
  <conditionalFormatting sqref="M56">
    <cfRule type="expression" dxfId="348" priority="194" stopIfTrue="1">
      <formula>K56&lt;&gt;0</formula>
    </cfRule>
  </conditionalFormatting>
  <conditionalFormatting sqref="B57">
    <cfRule type="expression" dxfId="347" priority="195" stopIfTrue="1">
      <formula>K57&lt;&gt;0</formula>
    </cfRule>
  </conditionalFormatting>
  <conditionalFormatting sqref="L57">
    <cfRule type="expression" dxfId="346" priority="197" stopIfTrue="1">
      <formula>K57&lt;&gt;0</formula>
    </cfRule>
  </conditionalFormatting>
  <conditionalFormatting sqref="M57">
    <cfRule type="expression" dxfId="345" priority="198" stopIfTrue="1">
      <formula>K57&lt;&gt;0</formula>
    </cfRule>
  </conditionalFormatting>
  <conditionalFormatting sqref="B58">
    <cfRule type="expression" dxfId="344" priority="199" stopIfTrue="1">
      <formula>K58&lt;&gt;0</formula>
    </cfRule>
  </conditionalFormatting>
  <conditionalFormatting sqref="L58">
    <cfRule type="expression" dxfId="343" priority="201" stopIfTrue="1">
      <formula>K58&lt;&gt;0</formula>
    </cfRule>
  </conditionalFormatting>
  <conditionalFormatting sqref="M58">
    <cfRule type="expression" dxfId="342" priority="202" stopIfTrue="1">
      <formula>K58&lt;&gt;0</formula>
    </cfRule>
  </conditionalFormatting>
  <conditionalFormatting sqref="B59">
    <cfRule type="expression" dxfId="341" priority="203" stopIfTrue="1">
      <formula>K59&lt;&gt;0</formula>
    </cfRule>
  </conditionalFormatting>
  <conditionalFormatting sqref="L59">
    <cfRule type="expression" dxfId="340" priority="205" stopIfTrue="1">
      <formula>K59&lt;&gt;0</formula>
    </cfRule>
  </conditionalFormatting>
  <conditionalFormatting sqref="M59">
    <cfRule type="expression" dxfId="339" priority="206" stopIfTrue="1">
      <formula>K59&lt;&gt;0</formula>
    </cfRule>
  </conditionalFormatting>
  <conditionalFormatting sqref="B60">
    <cfRule type="expression" dxfId="338" priority="207" stopIfTrue="1">
      <formula>K60&lt;&gt;0</formula>
    </cfRule>
  </conditionalFormatting>
  <conditionalFormatting sqref="L60">
    <cfRule type="expression" dxfId="337" priority="209" stopIfTrue="1">
      <formula>K60&lt;&gt;0</formula>
    </cfRule>
  </conditionalFormatting>
  <conditionalFormatting sqref="M60">
    <cfRule type="expression" dxfId="336" priority="210" stopIfTrue="1">
      <formula>K60&lt;&gt;0</formula>
    </cfRule>
  </conditionalFormatting>
  <conditionalFormatting sqref="B61">
    <cfRule type="expression" dxfId="335" priority="211" stopIfTrue="1">
      <formula>K61&lt;&gt;0</formula>
    </cfRule>
  </conditionalFormatting>
  <conditionalFormatting sqref="L61">
    <cfRule type="expression" dxfId="334" priority="213" stopIfTrue="1">
      <formula>K61&lt;&gt;0</formula>
    </cfRule>
  </conditionalFormatting>
  <conditionalFormatting sqref="M61">
    <cfRule type="expression" dxfId="333" priority="214" stopIfTrue="1">
      <formula>K61&lt;&gt;0</formula>
    </cfRule>
  </conditionalFormatting>
  <conditionalFormatting sqref="B62">
    <cfRule type="expression" dxfId="332" priority="215" stopIfTrue="1">
      <formula>K62&lt;&gt;0</formula>
    </cfRule>
  </conditionalFormatting>
  <conditionalFormatting sqref="L62">
    <cfRule type="expression" dxfId="331" priority="217" stopIfTrue="1">
      <formula>K62&lt;&gt;0</formula>
    </cfRule>
  </conditionalFormatting>
  <conditionalFormatting sqref="M62">
    <cfRule type="expression" dxfId="330" priority="218" stopIfTrue="1">
      <formula>K62&lt;&gt;0</formula>
    </cfRule>
  </conditionalFormatting>
  <conditionalFormatting sqref="B63">
    <cfRule type="expression" dxfId="329" priority="219" stopIfTrue="1">
      <formula>K63&lt;&gt;0</formula>
    </cfRule>
  </conditionalFormatting>
  <conditionalFormatting sqref="L63">
    <cfRule type="expression" dxfId="328" priority="221" stopIfTrue="1">
      <formula>K63&lt;&gt;0</formula>
    </cfRule>
  </conditionalFormatting>
  <conditionalFormatting sqref="M63">
    <cfRule type="expression" dxfId="327" priority="222" stopIfTrue="1">
      <formula>K63&lt;&gt;0</formula>
    </cfRule>
  </conditionalFormatting>
  <conditionalFormatting sqref="B64">
    <cfRule type="expression" dxfId="326" priority="223" stopIfTrue="1">
      <formula>K64&lt;&gt;0</formula>
    </cfRule>
  </conditionalFormatting>
  <conditionalFormatting sqref="L64">
    <cfRule type="expression" dxfId="325" priority="225" stopIfTrue="1">
      <formula>K64&lt;&gt;0</formula>
    </cfRule>
  </conditionalFormatting>
  <conditionalFormatting sqref="M64">
    <cfRule type="expression" dxfId="324" priority="226" stopIfTrue="1">
      <formula>K64&lt;&gt;0</formula>
    </cfRule>
  </conditionalFormatting>
  <conditionalFormatting sqref="B65">
    <cfRule type="expression" dxfId="323" priority="227" stopIfTrue="1">
      <formula>K65&lt;&gt;0</formula>
    </cfRule>
  </conditionalFormatting>
  <conditionalFormatting sqref="L65">
    <cfRule type="expression" dxfId="322" priority="229" stopIfTrue="1">
      <formula>K65&lt;&gt;0</formula>
    </cfRule>
  </conditionalFormatting>
  <conditionalFormatting sqref="M65">
    <cfRule type="expression" dxfId="321" priority="230" stopIfTrue="1">
      <formula>K65&lt;&gt;0</formula>
    </cfRule>
  </conditionalFormatting>
  <conditionalFormatting sqref="B66">
    <cfRule type="expression" dxfId="320" priority="231" stopIfTrue="1">
      <formula>K66&lt;&gt;0</formula>
    </cfRule>
  </conditionalFormatting>
  <conditionalFormatting sqref="L66">
    <cfRule type="expression" dxfId="319" priority="233" stopIfTrue="1">
      <formula>K66&lt;&gt;0</formula>
    </cfRule>
  </conditionalFormatting>
  <conditionalFormatting sqref="M66">
    <cfRule type="expression" dxfId="318" priority="234" stopIfTrue="1">
      <formula>K66&lt;&gt;0</formula>
    </cfRule>
  </conditionalFormatting>
  <conditionalFormatting sqref="B67">
    <cfRule type="expression" dxfId="317" priority="235" stopIfTrue="1">
      <formula>K67&lt;&gt;0</formula>
    </cfRule>
  </conditionalFormatting>
  <conditionalFormatting sqref="L67">
    <cfRule type="expression" dxfId="316" priority="237" stopIfTrue="1">
      <formula>K67&lt;&gt;0</formula>
    </cfRule>
  </conditionalFormatting>
  <conditionalFormatting sqref="M67">
    <cfRule type="expression" dxfId="315" priority="238" stopIfTrue="1">
      <formula>K67&lt;&gt;0</formula>
    </cfRule>
  </conditionalFormatting>
  <conditionalFormatting sqref="B68">
    <cfRule type="expression" dxfId="314" priority="239" stopIfTrue="1">
      <formula>K68&lt;&gt;0</formula>
    </cfRule>
  </conditionalFormatting>
  <conditionalFormatting sqref="L68">
    <cfRule type="expression" dxfId="313" priority="241" stopIfTrue="1">
      <formula>K68&lt;&gt;0</formula>
    </cfRule>
  </conditionalFormatting>
  <conditionalFormatting sqref="M68">
    <cfRule type="expression" dxfId="312" priority="242" stopIfTrue="1">
      <formula>K68&lt;&gt;0</formula>
    </cfRule>
  </conditionalFormatting>
  <conditionalFormatting sqref="B69">
    <cfRule type="expression" dxfId="311" priority="243" stopIfTrue="1">
      <formula>K69&lt;&gt;0</formula>
    </cfRule>
  </conditionalFormatting>
  <conditionalFormatting sqref="L69">
    <cfRule type="expression" dxfId="310" priority="245" stopIfTrue="1">
      <formula>K69&lt;&gt;0</formula>
    </cfRule>
  </conditionalFormatting>
  <conditionalFormatting sqref="M69">
    <cfRule type="expression" dxfId="309" priority="246" stopIfTrue="1">
      <formula>K69&lt;&gt;0</formula>
    </cfRule>
  </conditionalFormatting>
  <conditionalFormatting sqref="B70">
    <cfRule type="expression" dxfId="308" priority="247" stopIfTrue="1">
      <formula>K70&lt;&gt;0</formula>
    </cfRule>
  </conditionalFormatting>
  <conditionalFormatting sqref="L70">
    <cfRule type="expression" dxfId="307" priority="249" stopIfTrue="1">
      <formula>K70&lt;&gt;0</formula>
    </cfRule>
  </conditionalFormatting>
  <conditionalFormatting sqref="M70">
    <cfRule type="expression" dxfId="306" priority="250" stopIfTrue="1">
      <formula>K70&lt;&gt;0</formula>
    </cfRule>
  </conditionalFormatting>
  <conditionalFormatting sqref="B71">
    <cfRule type="expression" dxfId="305" priority="251" stopIfTrue="1">
      <formula>K71&lt;&gt;0</formula>
    </cfRule>
  </conditionalFormatting>
  <conditionalFormatting sqref="L71">
    <cfRule type="expression" dxfId="304" priority="253" stopIfTrue="1">
      <formula>K71&lt;&gt;0</formula>
    </cfRule>
  </conditionalFormatting>
  <conditionalFormatting sqref="M71">
    <cfRule type="expression" dxfId="303" priority="254" stopIfTrue="1">
      <formula>K71&lt;&gt;0</formula>
    </cfRule>
  </conditionalFormatting>
  <conditionalFormatting sqref="B72">
    <cfRule type="expression" dxfId="302" priority="255" stopIfTrue="1">
      <formula>K72&lt;&gt;0</formula>
    </cfRule>
  </conditionalFormatting>
  <conditionalFormatting sqref="L72">
    <cfRule type="expression" dxfId="301" priority="257" stopIfTrue="1">
      <formula>K72&lt;&gt;0</formula>
    </cfRule>
  </conditionalFormatting>
  <conditionalFormatting sqref="M72">
    <cfRule type="expression" dxfId="300" priority="258" stopIfTrue="1">
      <formula>K72&lt;&gt;0</formula>
    </cfRule>
  </conditionalFormatting>
  <conditionalFormatting sqref="B73">
    <cfRule type="expression" dxfId="299" priority="259" stopIfTrue="1">
      <formula>K73&lt;&gt;0</formula>
    </cfRule>
  </conditionalFormatting>
  <conditionalFormatting sqref="L73">
    <cfRule type="expression" dxfId="298" priority="261" stopIfTrue="1">
      <formula>K73&lt;&gt;0</formula>
    </cfRule>
  </conditionalFormatting>
  <conditionalFormatting sqref="M73">
    <cfRule type="expression" dxfId="297" priority="262" stopIfTrue="1">
      <formula>K73&lt;&gt;0</formula>
    </cfRule>
  </conditionalFormatting>
  <conditionalFormatting sqref="B74">
    <cfRule type="expression" dxfId="296" priority="263" stopIfTrue="1">
      <formula>K74&lt;&gt;0</formula>
    </cfRule>
  </conditionalFormatting>
  <conditionalFormatting sqref="L74">
    <cfRule type="expression" dxfId="295" priority="265" stopIfTrue="1">
      <formula>K74&lt;&gt;0</formula>
    </cfRule>
  </conditionalFormatting>
  <conditionalFormatting sqref="M74">
    <cfRule type="expression" dxfId="294" priority="266" stopIfTrue="1">
      <formula>K74&lt;&gt;0</formula>
    </cfRule>
  </conditionalFormatting>
  <conditionalFormatting sqref="B75">
    <cfRule type="expression" dxfId="293" priority="267" stopIfTrue="1">
      <formula>K75&lt;&gt;0</formula>
    </cfRule>
  </conditionalFormatting>
  <conditionalFormatting sqref="L75">
    <cfRule type="expression" dxfId="292" priority="269" stopIfTrue="1">
      <formula>K75&lt;&gt;0</formula>
    </cfRule>
  </conditionalFormatting>
  <conditionalFormatting sqref="M75">
    <cfRule type="expression" dxfId="291" priority="270" stopIfTrue="1">
      <formula>K75&lt;&gt;0</formula>
    </cfRule>
  </conditionalFormatting>
  <conditionalFormatting sqref="B76">
    <cfRule type="expression" dxfId="290" priority="271" stopIfTrue="1">
      <formula>K76&lt;&gt;0</formula>
    </cfRule>
  </conditionalFormatting>
  <conditionalFormatting sqref="L76">
    <cfRule type="expression" dxfId="289" priority="273" stopIfTrue="1">
      <formula>K76&lt;&gt;0</formula>
    </cfRule>
  </conditionalFormatting>
  <conditionalFormatting sqref="M76">
    <cfRule type="expression" dxfId="288" priority="274" stopIfTrue="1">
      <formula>K76&lt;&gt;0</formula>
    </cfRule>
  </conditionalFormatting>
  <conditionalFormatting sqref="B77">
    <cfRule type="expression" dxfId="287" priority="275" stopIfTrue="1">
      <formula>K77&lt;&gt;0</formula>
    </cfRule>
  </conditionalFormatting>
  <conditionalFormatting sqref="L77">
    <cfRule type="expression" dxfId="286" priority="277" stopIfTrue="1">
      <formula>K77&lt;&gt;0</formula>
    </cfRule>
  </conditionalFormatting>
  <conditionalFormatting sqref="M77">
    <cfRule type="expression" dxfId="285" priority="278" stopIfTrue="1">
      <formula>K77&lt;&gt;0</formula>
    </cfRule>
  </conditionalFormatting>
  <conditionalFormatting sqref="B78">
    <cfRule type="expression" dxfId="284" priority="279" stopIfTrue="1">
      <formula>K78&lt;&gt;0</formula>
    </cfRule>
  </conditionalFormatting>
  <conditionalFormatting sqref="L78">
    <cfRule type="expression" dxfId="283" priority="281" stopIfTrue="1">
      <formula>K78&lt;&gt;0</formula>
    </cfRule>
  </conditionalFormatting>
  <conditionalFormatting sqref="M78">
    <cfRule type="expression" dxfId="282" priority="282" stopIfTrue="1">
      <formula>K78&lt;&gt;0</formula>
    </cfRule>
  </conditionalFormatting>
  <conditionalFormatting sqref="B79">
    <cfRule type="expression" dxfId="281" priority="283" stopIfTrue="1">
      <formula>K79&lt;&gt;0</formula>
    </cfRule>
  </conditionalFormatting>
  <conditionalFormatting sqref="L79">
    <cfRule type="expression" dxfId="280" priority="285" stopIfTrue="1">
      <formula>K79&lt;&gt;0</formula>
    </cfRule>
  </conditionalFormatting>
  <conditionalFormatting sqref="M79">
    <cfRule type="expression" dxfId="279" priority="286" stopIfTrue="1">
      <formula>K79&lt;&gt;0</formula>
    </cfRule>
  </conditionalFormatting>
  <conditionalFormatting sqref="B80">
    <cfRule type="expression" dxfId="278" priority="287" stopIfTrue="1">
      <formula>K80&lt;&gt;0</formula>
    </cfRule>
  </conditionalFormatting>
  <conditionalFormatting sqref="L80">
    <cfRule type="expression" dxfId="277" priority="289" stopIfTrue="1">
      <formula>K80&lt;&gt;0</formula>
    </cfRule>
  </conditionalFormatting>
  <conditionalFormatting sqref="M80">
    <cfRule type="expression" dxfId="276" priority="290" stopIfTrue="1">
      <formula>K80&lt;&gt;0</formula>
    </cfRule>
  </conditionalFormatting>
  <conditionalFormatting sqref="B81">
    <cfRule type="expression" dxfId="275" priority="291" stopIfTrue="1">
      <formula>K81&lt;&gt;0</formula>
    </cfRule>
  </conditionalFormatting>
  <conditionalFormatting sqref="L81">
    <cfRule type="expression" dxfId="274" priority="293" stopIfTrue="1">
      <formula>K81&lt;&gt;0</formula>
    </cfRule>
  </conditionalFormatting>
  <conditionalFormatting sqref="M81">
    <cfRule type="expression" dxfId="273" priority="294" stopIfTrue="1">
      <formula>K81&lt;&gt;0</formula>
    </cfRule>
  </conditionalFormatting>
  <conditionalFormatting sqref="B82">
    <cfRule type="expression" dxfId="272" priority="295" stopIfTrue="1">
      <formula>K82&lt;&gt;0</formula>
    </cfRule>
  </conditionalFormatting>
  <conditionalFormatting sqref="L82">
    <cfRule type="expression" dxfId="271" priority="297" stopIfTrue="1">
      <formula>K82&lt;&gt;0</formula>
    </cfRule>
  </conditionalFormatting>
  <conditionalFormatting sqref="M82">
    <cfRule type="expression" dxfId="270" priority="298" stopIfTrue="1">
      <formula>K82&lt;&gt;0</formula>
    </cfRule>
  </conditionalFormatting>
  <conditionalFormatting sqref="B83">
    <cfRule type="expression" dxfId="269" priority="299" stopIfTrue="1">
      <formula>K83&lt;&gt;0</formula>
    </cfRule>
  </conditionalFormatting>
  <conditionalFormatting sqref="L83">
    <cfRule type="expression" dxfId="268" priority="301" stopIfTrue="1">
      <formula>K83&lt;&gt;0</formula>
    </cfRule>
  </conditionalFormatting>
  <conditionalFormatting sqref="M83">
    <cfRule type="expression" dxfId="267" priority="302" stopIfTrue="1">
      <formula>K83&lt;&gt;0</formula>
    </cfRule>
  </conditionalFormatting>
  <conditionalFormatting sqref="B84">
    <cfRule type="expression" dxfId="266" priority="303" stopIfTrue="1">
      <formula>K84&lt;&gt;0</formula>
    </cfRule>
  </conditionalFormatting>
  <conditionalFormatting sqref="L84">
    <cfRule type="expression" dxfId="265" priority="305" stopIfTrue="1">
      <formula>K84&lt;&gt;0</formula>
    </cfRule>
  </conditionalFormatting>
  <conditionalFormatting sqref="M84">
    <cfRule type="expression" dxfId="264" priority="306" stopIfTrue="1">
      <formula>K84&lt;&gt;0</formula>
    </cfRule>
  </conditionalFormatting>
  <conditionalFormatting sqref="B85">
    <cfRule type="expression" dxfId="263" priority="307" stopIfTrue="1">
      <formula>K85&lt;&gt;0</formula>
    </cfRule>
  </conditionalFormatting>
  <conditionalFormatting sqref="L85">
    <cfRule type="expression" dxfId="262" priority="309" stopIfTrue="1">
      <formula>K85&lt;&gt;0</formula>
    </cfRule>
  </conditionalFormatting>
  <conditionalFormatting sqref="M85">
    <cfRule type="expression" dxfId="261" priority="310" stopIfTrue="1">
      <formula>K85&lt;&gt;0</formula>
    </cfRule>
  </conditionalFormatting>
  <conditionalFormatting sqref="B86">
    <cfRule type="expression" dxfId="260" priority="311" stopIfTrue="1">
      <formula>K86&lt;&gt;0</formula>
    </cfRule>
  </conditionalFormatting>
  <conditionalFormatting sqref="L86">
    <cfRule type="expression" dxfId="259" priority="313" stopIfTrue="1">
      <formula>K86&lt;&gt;0</formula>
    </cfRule>
  </conditionalFormatting>
  <conditionalFormatting sqref="M86">
    <cfRule type="expression" dxfId="258" priority="314" stopIfTrue="1">
      <formula>K86&lt;&gt;0</formula>
    </cfRule>
  </conditionalFormatting>
  <conditionalFormatting sqref="B87">
    <cfRule type="expression" dxfId="257" priority="315" stopIfTrue="1">
      <formula>K87&lt;&gt;0</formula>
    </cfRule>
  </conditionalFormatting>
  <conditionalFormatting sqref="L87">
    <cfRule type="expression" dxfId="256" priority="317" stopIfTrue="1">
      <formula>K87&lt;&gt;0</formula>
    </cfRule>
  </conditionalFormatting>
  <conditionalFormatting sqref="M87">
    <cfRule type="expression" dxfId="255" priority="318" stopIfTrue="1">
      <formula>K87&lt;&gt;0</formula>
    </cfRule>
  </conditionalFormatting>
  <conditionalFormatting sqref="B88">
    <cfRule type="expression" dxfId="254" priority="319" stopIfTrue="1">
      <formula>K88&lt;&gt;0</formula>
    </cfRule>
  </conditionalFormatting>
  <conditionalFormatting sqref="L88">
    <cfRule type="expression" dxfId="253" priority="321" stopIfTrue="1">
      <formula>K88&lt;&gt;0</formula>
    </cfRule>
  </conditionalFormatting>
  <conditionalFormatting sqref="M88">
    <cfRule type="expression" dxfId="252" priority="322" stopIfTrue="1">
      <formula>K88&lt;&gt;0</formula>
    </cfRule>
  </conditionalFormatting>
  <conditionalFormatting sqref="B89">
    <cfRule type="expression" dxfId="251" priority="323" stopIfTrue="1">
      <formula>K89&lt;&gt;0</formula>
    </cfRule>
  </conditionalFormatting>
  <conditionalFormatting sqref="L89">
    <cfRule type="expression" dxfId="250" priority="325" stopIfTrue="1">
      <formula>K89&lt;&gt;0</formula>
    </cfRule>
  </conditionalFormatting>
  <conditionalFormatting sqref="M89">
    <cfRule type="expression" dxfId="249" priority="326" stopIfTrue="1">
      <formula>K89&lt;&gt;0</formula>
    </cfRule>
  </conditionalFormatting>
  <conditionalFormatting sqref="B90">
    <cfRule type="expression" dxfId="248" priority="327" stopIfTrue="1">
      <formula>K90&lt;&gt;0</formula>
    </cfRule>
  </conditionalFormatting>
  <conditionalFormatting sqref="L90">
    <cfRule type="expression" dxfId="247" priority="329" stopIfTrue="1">
      <formula>K90&lt;&gt;0</formula>
    </cfRule>
  </conditionalFormatting>
  <conditionalFormatting sqref="M90">
    <cfRule type="expression" dxfId="246" priority="330" stopIfTrue="1">
      <formula>K90&lt;&gt;0</formula>
    </cfRule>
  </conditionalFormatting>
  <conditionalFormatting sqref="B91">
    <cfRule type="expression" dxfId="245" priority="331" stopIfTrue="1">
      <formula>K91&lt;&gt;0</formula>
    </cfRule>
  </conditionalFormatting>
  <conditionalFormatting sqref="L91">
    <cfRule type="expression" dxfId="244" priority="333" stopIfTrue="1">
      <formula>K91&lt;&gt;0</formula>
    </cfRule>
  </conditionalFormatting>
  <conditionalFormatting sqref="M91">
    <cfRule type="expression" dxfId="243" priority="334" stopIfTrue="1">
      <formula>K91&lt;&gt;0</formula>
    </cfRule>
  </conditionalFormatting>
  <conditionalFormatting sqref="B92">
    <cfRule type="expression" dxfId="242" priority="335" stopIfTrue="1">
      <formula>K92&lt;&gt;0</formula>
    </cfRule>
  </conditionalFormatting>
  <conditionalFormatting sqref="L92">
    <cfRule type="expression" dxfId="241" priority="337" stopIfTrue="1">
      <formula>K92&lt;&gt;0</formula>
    </cfRule>
  </conditionalFormatting>
  <conditionalFormatting sqref="M92">
    <cfRule type="expression" dxfId="240" priority="338" stopIfTrue="1">
      <formula>K92&lt;&gt;0</formula>
    </cfRule>
  </conditionalFormatting>
  <conditionalFormatting sqref="B93">
    <cfRule type="expression" dxfId="239" priority="339" stopIfTrue="1">
      <formula>K93&lt;&gt;0</formula>
    </cfRule>
  </conditionalFormatting>
  <conditionalFormatting sqref="L93">
    <cfRule type="expression" dxfId="238" priority="341" stopIfTrue="1">
      <formula>K93&lt;&gt;0</formula>
    </cfRule>
  </conditionalFormatting>
  <conditionalFormatting sqref="M93">
    <cfRule type="expression" dxfId="237" priority="342" stopIfTrue="1">
      <formula>K93&lt;&gt;0</formula>
    </cfRule>
  </conditionalFormatting>
  <conditionalFormatting sqref="B94">
    <cfRule type="expression" dxfId="236" priority="343" stopIfTrue="1">
      <formula>K94&lt;&gt;0</formula>
    </cfRule>
  </conditionalFormatting>
  <conditionalFormatting sqref="L94">
    <cfRule type="expression" dxfId="235" priority="345" stopIfTrue="1">
      <formula>K94&lt;&gt;0</formula>
    </cfRule>
  </conditionalFormatting>
  <conditionalFormatting sqref="M94">
    <cfRule type="expression" dxfId="234" priority="346" stopIfTrue="1">
      <formula>K94&lt;&gt;0</formula>
    </cfRule>
  </conditionalFormatting>
  <conditionalFormatting sqref="B95">
    <cfRule type="expression" dxfId="233" priority="347" stopIfTrue="1">
      <formula>K95&lt;&gt;0</formula>
    </cfRule>
  </conditionalFormatting>
  <conditionalFormatting sqref="L95">
    <cfRule type="expression" dxfId="232" priority="349" stopIfTrue="1">
      <formula>K95&lt;&gt;0</formula>
    </cfRule>
  </conditionalFormatting>
  <conditionalFormatting sqref="M95">
    <cfRule type="expression" dxfId="231" priority="350" stopIfTrue="1">
      <formula>K95&lt;&gt;0</formula>
    </cfRule>
  </conditionalFormatting>
  <conditionalFormatting sqref="B96">
    <cfRule type="expression" dxfId="230" priority="351" stopIfTrue="1">
      <formula>K96&lt;&gt;0</formula>
    </cfRule>
  </conditionalFormatting>
  <conditionalFormatting sqref="L96">
    <cfRule type="expression" dxfId="229" priority="353" stopIfTrue="1">
      <formula>K96&lt;&gt;0</formula>
    </cfRule>
  </conditionalFormatting>
  <conditionalFormatting sqref="M96">
    <cfRule type="expression" dxfId="228" priority="354" stopIfTrue="1">
      <formula>K96&lt;&gt;0</formula>
    </cfRule>
  </conditionalFormatting>
  <conditionalFormatting sqref="B97">
    <cfRule type="expression" dxfId="227" priority="355" stopIfTrue="1">
      <formula>K97&lt;&gt;0</formula>
    </cfRule>
  </conditionalFormatting>
  <conditionalFormatting sqref="L97">
    <cfRule type="expression" dxfId="226" priority="357" stopIfTrue="1">
      <formula>K97&lt;&gt;0</formula>
    </cfRule>
  </conditionalFormatting>
  <conditionalFormatting sqref="M97">
    <cfRule type="expression" dxfId="225" priority="358" stopIfTrue="1">
      <formula>K97&lt;&gt;0</formula>
    </cfRule>
  </conditionalFormatting>
  <conditionalFormatting sqref="B98">
    <cfRule type="expression" dxfId="224" priority="359" stopIfTrue="1">
      <formula>K98&lt;&gt;0</formula>
    </cfRule>
  </conditionalFormatting>
  <conditionalFormatting sqref="L98">
    <cfRule type="expression" dxfId="223" priority="361" stopIfTrue="1">
      <formula>K98&lt;&gt;0</formula>
    </cfRule>
  </conditionalFormatting>
  <conditionalFormatting sqref="M98">
    <cfRule type="expression" dxfId="222" priority="362" stopIfTrue="1">
      <formula>K98&lt;&gt;0</formula>
    </cfRule>
  </conditionalFormatting>
  <conditionalFormatting sqref="B99">
    <cfRule type="expression" dxfId="221" priority="363" stopIfTrue="1">
      <formula>K99&lt;&gt;0</formula>
    </cfRule>
  </conditionalFormatting>
  <conditionalFormatting sqref="L99">
    <cfRule type="expression" dxfId="220" priority="365" stopIfTrue="1">
      <formula>K99&lt;&gt;0</formula>
    </cfRule>
  </conditionalFormatting>
  <conditionalFormatting sqref="M99">
    <cfRule type="expression" dxfId="219" priority="366" stopIfTrue="1">
      <formula>K99&lt;&gt;0</formula>
    </cfRule>
  </conditionalFormatting>
  <conditionalFormatting sqref="B100">
    <cfRule type="expression" dxfId="218" priority="367" stopIfTrue="1">
      <formula>K100&lt;&gt;0</formula>
    </cfRule>
  </conditionalFormatting>
  <conditionalFormatting sqref="L100">
    <cfRule type="expression" dxfId="217" priority="369" stopIfTrue="1">
      <formula>K100&lt;&gt;0</formula>
    </cfRule>
  </conditionalFormatting>
  <conditionalFormatting sqref="M100">
    <cfRule type="expression" dxfId="216" priority="370" stopIfTrue="1">
      <formula>K100&lt;&gt;0</formula>
    </cfRule>
  </conditionalFormatting>
  <conditionalFormatting sqref="B101">
    <cfRule type="expression" dxfId="215" priority="371" stopIfTrue="1">
      <formula>K101&lt;&gt;0</formula>
    </cfRule>
  </conditionalFormatting>
  <conditionalFormatting sqref="L101">
    <cfRule type="expression" dxfId="214" priority="373" stopIfTrue="1">
      <formula>K101&lt;&gt;0</formula>
    </cfRule>
  </conditionalFormatting>
  <conditionalFormatting sqref="M101">
    <cfRule type="expression" dxfId="213" priority="374" stopIfTrue="1">
      <formula>K101&lt;&gt;0</formula>
    </cfRule>
  </conditionalFormatting>
  <conditionalFormatting sqref="B102">
    <cfRule type="expression" dxfId="212" priority="375" stopIfTrue="1">
      <formula>K102&lt;&gt;0</formula>
    </cfRule>
  </conditionalFormatting>
  <conditionalFormatting sqref="L102">
    <cfRule type="expression" dxfId="211" priority="377" stopIfTrue="1">
      <formula>K102&lt;&gt;0</formula>
    </cfRule>
  </conditionalFormatting>
  <conditionalFormatting sqref="M102">
    <cfRule type="expression" dxfId="210" priority="378" stopIfTrue="1">
      <formula>K102&lt;&gt;0</formula>
    </cfRule>
  </conditionalFormatting>
  <conditionalFormatting sqref="B103">
    <cfRule type="expression" dxfId="209" priority="379" stopIfTrue="1">
      <formula>K103&lt;&gt;0</formula>
    </cfRule>
  </conditionalFormatting>
  <conditionalFormatting sqref="L103">
    <cfRule type="expression" dxfId="208" priority="381" stopIfTrue="1">
      <formula>K103&lt;&gt;0</formula>
    </cfRule>
  </conditionalFormatting>
  <conditionalFormatting sqref="M103">
    <cfRule type="expression" dxfId="207" priority="382" stopIfTrue="1">
      <formula>K103&lt;&gt;0</formula>
    </cfRule>
  </conditionalFormatting>
  <conditionalFormatting sqref="B104">
    <cfRule type="expression" dxfId="206" priority="383" stopIfTrue="1">
      <formula>K104&lt;&gt;0</formula>
    </cfRule>
  </conditionalFormatting>
  <conditionalFormatting sqref="L104">
    <cfRule type="expression" dxfId="205" priority="385" stopIfTrue="1">
      <formula>K104&lt;&gt;0</formula>
    </cfRule>
  </conditionalFormatting>
  <conditionalFormatting sqref="M104">
    <cfRule type="expression" dxfId="204" priority="386" stopIfTrue="1">
      <formula>K104&lt;&gt;0</formula>
    </cfRule>
  </conditionalFormatting>
  <conditionalFormatting sqref="B105">
    <cfRule type="expression" dxfId="203" priority="387" stopIfTrue="1">
      <formula>K105&lt;&gt;0</formula>
    </cfRule>
  </conditionalFormatting>
  <conditionalFormatting sqref="L105">
    <cfRule type="expression" dxfId="202" priority="389" stopIfTrue="1">
      <formula>K105&lt;&gt;0</formula>
    </cfRule>
  </conditionalFormatting>
  <conditionalFormatting sqref="M105">
    <cfRule type="expression" dxfId="201" priority="390" stopIfTrue="1">
      <formula>K105&lt;&gt;0</formula>
    </cfRule>
  </conditionalFormatting>
  <conditionalFormatting sqref="B106">
    <cfRule type="expression" dxfId="200" priority="391" stopIfTrue="1">
      <formula>K106&lt;&gt;0</formula>
    </cfRule>
  </conditionalFormatting>
  <conditionalFormatting sqref="L106">
    <cfRule type="expression" dxfId="199" priority="393" stopIfTrue="1">
      <formula>K106&lt;&gt;0</formula>
    </cfRule>
  </conditionalFormatting>
  <conditionalFormatting sqref="M106">
    <cfRule type="expression" dxfId="198" priority="394" stopIfTrue="1">
      <formula>K106&lt;&gt;0</formula>
    </cfRule>
  </conditionalFormatting>
  <conditionalFormatting sqref="B107">
    <cfRule type="expression" dxfId="197" priority="395" stopIfTrue="1">
      <formula>K107&lt;&gt;0</formula>
    </cfRule>
  </conditionalFormatting>
  <conditionalFormatting sqref="L107">
    <cfRule type="expression" dxfId="196" priority="397" stopIfTrue="1">
      <formula>K107&lt;&gt;0</formula>
    </cfRule>
  </conditionalFormatting>
  <conditionalFormatting sqref="M107">
    <cfRule type="expression" dxfId="195" priority="398" stopIfTrue="1">
      <formula>K107&lt;&gt;0</formula>
    </cfRule>
  </conditionalFormatting>
  <conditionalFormatting sqref="B108">
    <cfRule type="expression" dxfId="194" priority="399" stopIfTrue="1">
      <formula>K108&lt;&gt;0</formula>
    </cfRule>
  </conditionalFormatting>
  <conditionalFormatting sqref="L108">
    <cfRule type="expression" dxfId="193" priority="401" stopIfTrue="1">
      <formula>K108&lt;&gt;0</formula>
    </cfRule>
  </conditionalFormatting>
  <conditionalFormatting sqref="M108">
    <cfRule type="expression" dxfId="192" priority="402" stopIfTrue="1">
      <formula>K108&lt;&gt;0</formula>
    </cfRule>
  </conditionalFormatting>
  <conditionalFormatting sqref="B109">
    <cfRule type="expression" dxfId="191" priority="403" stopIfTrue="1">
      <formula>K109&lt;&gt;0</formula>
    </cfRule>
  </conditionalFormatting>
  <conditionalFormatting sqref="L109">
    <cfRule type="expression" dxfId="190" priority="405" stopIfTrue="1">
      <formula>K109&lt;&gt;0</formula>
    </cfRule>
  </conditionalFormatting>
  <conditionalFormatting sqref="M109">
    <cfRule type="expression" dxfId="189" priority="406" stopIfTrue="1">
      <formula>K109&lt;&gt;0</formula>
    </cfRule>
  </conditionalFormatting>
  <conditionalFormatting sqref="B110">
    <cfRule type="expression" dxfId="188" priority="407" stopIfTrue="1">
      <formula>K110&lt;&gt;0</formula>
    </cfRule>
  </conditionalFormatting>
  <conditionalFormatting sqref="L110">
    <cfRule type="expression" dxfId="187" priority="409" stopIfTrue="1">
      <formula>K110&lt;&gt;0</formula>
    </cfRule>
  </conditionalFormatting>
  <conditionalFormatting sqref="M110">
    <cfRule type="expression" dxfId="186" priority="410" stopIfTrue="1">
      <formula>K110&lt;&gt;0</formula>
    </cfRule>
  </conditionalFormatting>
  <conditionalFormatting sqref="B111">
    <cfRule type="expression" dxfId="185" priority="411" stopIfTrue="1">
      <formula>K111&lt;&gt;0</formula>
    </cfRule>
  </conditionalFormatting>
  <conditionalFormatting sqref="L111">
    <cfRule type="expression" dxfId="184" priority="413" stopIfTrue="1">
      <formula>K111&lt;&gt;0</formula>
    </cfRule>
  </conditionalFormatting>
  <conditionalFormatting sqref="M111">
    <cfRule type="expression" dxfId="183" priority="414" stopIfTrue="1">
      <formula>K111&lt;&gt;0</formula>
    </cfRule>
  </conditionalFormatting>
  <conditionalFormatting sqref="B112">
    <cfRule type="expression" dxfId="182" priority="415" stopIfTrue="1">
      <formula>K112&lt;&gt;0</formula>
    </cfRule>
  </conditionalFormatting>
  <conditionalFormatting sqref="L112">
    <cfRule type="expression" dxfId="181" priority="417" stopIfTrue="1">
      <formula>K112&lt;&gt;0</formula>
    </cfRule>
  </conditionalFormatting>
  <conditionalFormatting sqref="M112">
    <cfRule type="expression" dxfId="180" priority="418" stopIfTrue="1">
      <formula>K112&lt;&gt;0</formula>
    </cfRule>
  </conditionalFormatting>
  <conditionalFormatting sqref="B113">
    <cfRule type="expression" dxfId="179" priority="419" stopIfTrue="1">
      <formula>K113&lt;&gt;0</formula>
    </cfRule>
  </conditionalFormatting>
  <conditionalFormatting sqref="L113">
    <cfRule type="expression" dxfId="178" priority="421" stopIfTrue="1">
      <formula>K113&lt;&gt;0</formula>
    </cfRule>
  </conditionalFormatting>
  <conditionalFormatting sqref="M113">
    <cfRule type="expression" dxfId="177" priority="422" stopIfTrue="1">
      <formula>K113&lt;&gt;0</formula>
    </cfRule>
  </conditionalFormatting>
  <conditionalFormatting sqref="B114">
    <cfRule type="expression" dxfId="176" priority="423" stopIfTrue="1">
      <formula>K114&lt;&gt;0</formula>
    </cfRule>
  </conditionalFormatting>
  <conditionalFormatting sqref="L114">
    <cfRule type="expression" dxfId="175" priority="425" stopIfTrue="1">
      <formula>K114&lt;&gt;0</formula>
    </cfRule>
  </conditionalFormatting>
  <conditionalFormatting sqref="M114">
    <cfRule type="expression" dxfId="174" priority="426" stopIfTrue="1">
      <formula>K114&lt;&gt;0</formula>
    </cfRule>
  </conditionalFormatting>
  <conditionalFormatting sqref="B115">
    <cfRule type="expression" dxfId="173" priority="427" stopIfTrue="1">
      <formula>K115&lt;&gt;0</formula>
    </cfRule>
  </conditionalFormatting>
  <conditionalFormatting sqref="L115">
    <cfRule type="expression" dxfId="172" priority="429" stopIfTrue="1">
      <formula>K115&lt;&gt;0</formula>
    </cfRule>
  </conditionalFormatting>
  <conditionalFormatting sqref="M115">
    <cfRule type="expression" dxfId="171" priority="430" stopIfTrue="1">
      <formula>K115&lt;&gt;0</formula>
    </cfRule>
  </conditionalFormatting>
  <conditionalFormatting sqref="B116">
    <cfRule type="expression" dxfId="170" priority="431" stopIfTrue="1">
      <formula>K116&lt;&gt;0</formula>
    </cfRule>
  </conditionalFormatting>
  <conditionalFormatting sqref="L116">
    <cfRule type="expression" dxfId="169" priority="433" stopIfTrue="1">
      <formula>K116&lt;&gt;0</formula>
    </cfRule>
  </conditionalFormatting>
  <conditionalFormatting sqref="M116">
    <cfRule type="expression" dxfId="168" priority="434" stopIfTrue="1">
      <formula>K116&lt;&gt;0</formula>
    </cfRule>
  </conditionalFormatting>
  <conditionalFormatting sqref="B117">
    <cfRule type="expression" dxfId="167" priority="435" stopIfTrue="1">
      <formula>K117&lt;&gt;0</formula>
    </cfRule>
  </conditionalFormatting>
  <conditionalFormatting sqref="L117">
    <cfRule type="expression" dxfId="166" priority="437" stopIfTrue="1">
      <formula>K117&lt;&gt;0</formula>
    </cfRule>
  </conditionalFormatting>
  <conditionalFormatting sqref="M117">
    <cfRule type="expression" dxfId="165" priority="438" stopIfTrue="1">
      <formula>K117&lt;&gt;0</formula>
    </cfRule>
  </conditionalFormatting>
  <conditionalFormatting sqref="B118">
    <cfRule type="expression" dxfId="164" priority="439" stopIfTrue="1">
      <formula>K118&lt;&gt;0</formula>
    </cfRule>
  </conditionalFormatting>
  <conditionalFormatting sqref="L118">
    <cfRule type="expression" dxfId="163" priority="441" stopIfTrue="1">
      <formula>K118&lt;&gt;0</formula>
    </cfRule>
  </conditionalFormatting>
  <conditionalFormatting sqref="M118">
    <cfRule type="expression" dxfId="162" priority="442" stopIfTrue="1">
      <formula>K118&lt;&gt;0</formula>
    </cfRule>
  </conditionalFormatting>
  <conditionalFormatting sqref="B119">
    <cfRule type="expression" dxfId="161" priority="443" stopIfTrue="1">
      <formula>K119&lt;&gt;0</formula>
    </cfRule>
  </conditionalFormatting>
  <conditionalFormatting sqref="L119">
    <cfRule type="expression" dxfId="160" priority="445" stopIfTrue="1">
      <formula>K119&lt;&gt;0</formula>
    </cfRule>
  </conditionalFormatting>
  <conditionalFormatting sqref="M119">
    <cfRule type="expression" dxfId="159" priority="446" stopIfTrue="1">
      <formula>K119&lt;&gt;0</formula>
    </cfRule>
  </conditionalFormatting>
  <conditionalFormatting sqref="B120">
    <cfRule type="expression" dxfId="158" priority="447" stopIfTrue="1">
      <formula>K120&lt;&gt;0</formula>
    </cfRule>
  </conditionalFormatting>
  <conditionalFormatting sqref="L120">
    <cfRule type="expression" dxfId="157" priority="449" stopIfTrue="1">
      <formula>K120&lt;&gt;0</formula>
    </cfRule>
  </conditionalFormatting>
  <conditionalFormatting sqref="M120">
    <cfRule type="expression" dxfId="156" priority="450" stopIfTrue="1">
      <formula>K120&lt;&gt;0</formula>
    </cfRule>
  </conditionalFormatting>
  <conditionalFormatting sqref="B121">
    <cfRule type="expression" dxfId="155" priority="451" stopIfTrue="1">
      <formula>K121&lt;&gt;0</formula>
    </cfRule>
  </conditionalFormatting>
  <conditionalFormatting sqref="L121">
    <cfRule type="expression" dxfId="154" priority="453" stopIfTrue="1">
      <formula>K121&lt;&gt;0</formula>
    </cfRule>
  </conditionalFormatting>
  <conditionalFormatting sqref="M121">
    <cfRule type="expression" dxfId="153" priority="454" stopIfTrue="1">
      <formula>K121&lt;&gt;0</formula>
    </cfRule>
  </conditionalFormatting>
  <conditionalFormatting sqref="B122">
    <cfRule type="expression" dxfId="152" priority="455" stopIfTrue="1">
      <formula>K122&lt;&gt;0</formula>
    </cfRule>
  </conditionalFormatting>
  <conditionalFormatting sqref="L122">
    <cfRule type="expression" dxfId="151" priority="457" stopIfTrue="1">
      <formula>K122&lt;&gt;0</formula>
    </cfRule>
  </conditionalFormatting>
  <conditionalFormatting sqref="M122">
    <cfRule type="expression" dxfId="150" priority="458" stopIfTrue="1">
      <formula>K122&lt;&gt;0</formula>
    </cfRule>
  </conditionalFormatting>
  <conditionalFormatting sqref="B123">
    <cfRule type="expression" dxfId="149" priority="459" stopIfTrue="1">
      <formula>K123&lt;&gt;0</formula>
    </cfRule>
  </conditionalFormatting>
  <conditionalFormatting sqref="L123">
    <cfRule type="expression" dxfId="148" priority="461" stopIfTrue="1">
      <formula>K123&lt;&gt;0</formula>
    </cfRule>
  </conditionalFormatting>
  <conditionalFormatting sqref="M123">
    <cfRule type="expression" dxfId="147" priority="462" stopIfTrue="1">
      <formula>K123&lt;&gt;0</formula>
    </cfRule>
  </conditionalFormatting>
  <conditionalFormatting sqref="B124">
    <cfRule type="expression" dxfId="146" priority="463" stopIfTrue="1">
      <formula>K124&lt;&gt;0</formula>
    </cfRule>
  </conditionalFormatting>
  <conditionalFormatting sqref="L124">
    <cfRule type="expression" dxfId="145" priority="465" stopIfTrue="1">
      <formula>K124&lt;&gt;0</formula>
    </cfRule>
  </conditionalFormatting>
  <conditionalFormatting sqref="M124">
    <cfRule type="expression" dxfId="144" priority="466" stopIfTrue="1">
      <formula>K124&lt;&gt;0</formula>
    </cfRule>
  </conditionalFormatting>
  <conditionalFormatting sqref="B125">
    <cfRule type="expression" dxfId="143" priority="467" stopIfTrue="1">
      <formula>K125&lt;&gt;0</formula>
    </cfRule>
  </conditionalFormatting>
  <conditionalFormatting sqref="L125">
    <cfRule type="expression" dxfId="142" priority="469" stopIfTrue="1">
      <formula>K125&lt;&gt;0</formula>
    </cfRule>
  </conditionalFormatting>
  <conditionalFormatting sqref="M125">
    <cfRule type="expression" dxfId="141" priority="470" stopIfTrue="1">
      <formula>K125&lt;&gt;0</formula>
    </cfRule>
  </conditionalFormatting>
  <conditionalFormatting sqref="B126">
    <cfRule type="expression" dxfId="140" priority="471" stopIfTrue="1">
      <formula>K126&lt;&gt;0</formula>
    </cfRule>
  </conditionalFormatting>
  <conditionalFormatting sqref="L126">
    <cfRule type="expression" dxfId="139" priority="473" stopIfTrue="1">
      <formula>K126&lt;&gt;0</formula>
    </cfRule>
  </conditionalFormatting>
  <conditionalFormatting sqref="M126">
    <cfRule type="expression" dxfId="138" priority="474" stopIfTrue="1">
      <formula>K126&lt;&gt;0</formula>
    </cfRule>
  </conditionalFormatting>
  <conditionalFormatting sqref="B127">
    <cfRule type="expression" dxfId="137" priority="475" stopIfTrue="1">
      <formula>K127&lt;&gt;0</formula>
    </cfRule>
  </conditionalFormatting>
  <conditionalFormatting sqref="L127">
    <cfRule type="expression" dxfId="136" priority="477" stopIfTrue="1">
      <formula>K127&lt;&gt;0</formula>
    </cfRule>
  </conditionalFormatting>
  <conditionalFormatting sqref="M127">
    <cfRule type="expression" dxfId="135" priority="478" stopIfTrue="1">
      <formula>K127&lt;&gt;0</formula>
    </cfRule>
  </conditionalFormatting>
  <conditionalFormatting sqref="B128">
    <cfRule type="expression" dxfId="134" priority="479" stopIfTrue="1">
      <formula>K128&lt;&gt;0</formula>
    </cfRule>
  </conditionalFormatting>
  <conditionalFormatting sqref="L128">
    <cfRule type="expression" dxfId="133" priority="481" stopIfTrue="1">
      <formula>K128&lt;&gt;0</formula>
    </cfRule>
  </conditionalFormatting>
  <conditionalFormatting sqref="M128">
    <cfRule type="expression" dxfId="132" priority="482" stopIfTrue="1">
      <formula>K128&lt;&gt;0</formula>
    </cfRule>
  </conditionalFormatting>
  <conditionalFormatting sqref="B129">
    <cfRule type="expression" dxfId="131" priority="483" stopIfTrue="1">
      <formula>K129&lt;&gt;0</formula>
    </cfRule>
  </conditionalFormatting>
  <conditionalFormatting sqref="L129">
    <cfRule type="expression" dxfId="130" priority="485" stopIfTrue="1">
      <formula>K129&lt;&gt;0</formula>
    </cfRule>
  </conditionalFormatting>
  <conditionalFormatting sqref="M129">
    <cfRule type="expression" dxfId="129" priority="486" stopIfTrue="1">
      <formula>K129&lt;&gt;0</formula>
    </cfRule>
  </conditionalFormatting>
  <conditionalFormatting sqref="B130">
    <cfRule type="expression" dxfId="128" priority="487" stopIfTrue="1">
      <formula>K130&lt;&gt;0</formula>
    </cfRule>
  </conditionalFormatting>
  <conditionalFormatting sqref="L130">
    <cfRule type="expression" dxfId="127" priority="489" stopIfTrue="1">
      <formula>K130&lt;&gt;0</formula>
    </cfRule>
  </conditionalFormatting>
  <conditionalFormatting sqref="M130">
    <cfRule type="expression" dxfId="126" priority="490" stopIfTrue="1">
      <formula>K130&lt;&gt;0</formula>
    </cfRule>
  </conditionalFormatting>
  <conditionalFormatting sqref="B131">
    <cfRule type="expression" dxfId="125" priority="491" stopIfTrue="1">
      <formula>K131&lt;&gt;0</formula>
    </cfRule>
  </conditionalFormatting>
  <conditionalFormatting sqref="L131">
    <cfRule type="expression" dxfId="124" priority="493" stopIfTrue="1">
      <formula>K131&lt;&gt;0</formula>
    </cfRule>
  </conditionalFormatting>
  <conditionalFormatting sqref="M131">
    <cfRule type="expression" dxfId="123" priority="494" stopIfTrue="1">
      <formula>K131&lt;&gt;0</formula>
    </cfRule>
  </conditionalFormatting>
  <conditionalFormatting sqref="B132">
    <cfRule type="expression" dxfId="122" priority="495" stopIfTrue="1">
      <formula>K132&lt;&gt;0</formula>
    </cfRule>
  </conditionalFormatting>
  <conditionalFormatting sqref="L132">
    <cfRule type="expression" dxfId="121" priority="497" stopIfTrue="1">
      <formula>K132&lt;&gt;0</formula>
    </cfRule>
  </conditionalFormatting>
  <conditionalFormatting sqref="M132">
    <cfRule type="expression" dxfId="120" priority="498" stopIfTrue="1">
      <formula>K132&lt;&gt;0</formula>
    </cfRule>
  </conditionalFormatting>
  <conditionalFormatting sqref="B133">
    <cfRule type="expression" dxfId="119" priority="499" stopIfTrue="1">
      <formula>K133&lt;&gt;0</formula>
    </cfRule>
  </conditionalFormatting>
  <conditionalFormatting sqref="L133">
    <cfRule type="expression" dxfId="118" priority="501" stopIfTrue="1">
      <formula>K133&lt;&gt;0</formula>
    </cfRule>
  </conditionalFormatting>
  <conditionalFormatting sqref="M133">
    <cfRule type="expression" dxfId="117" priority="502" stopIfTrue="1">
      <formula>K133&lt;&gt;0</formula>
    </cfRule>
  </conditionalFormatting>
  <conditionalFormatting sqref="B134">
    <cfRule type="expression" dxfId="116" priority="503" stopIfTrue="1">
      <formula>K134&lt;&gt;0</formula>
    </cfRule>
  </conditionalFormatting>
  <conditionalFormatting sqref="L134">
    <cfRule type="expression" dxfId="115" priority="505" stopIfTrue="1">
      <formula>K134&lt;&gt;0</formula>
    </cfRule>
  </conditionalFormatting>
  <conditionalFormatting sqref="M134">
    <cfRule type="expression" dxfId="114" priority="506" stopIfTrue="1">
      <formula>K134&lt;&gt;0</formula>
    </cfRule>
  </conditionalFormatting>
  <conditionalFormatting sqref="B135">
    <cfRule type="expression" dxfId="113" priority="507" stopIfTrue="1">
      <formula>K135&lt;&gt;0</formula>
    </cfRule>
  </conditionalFormatting>
  <conditionalFormatting sqref="L135">
    <cfRule type="expression" dxfId="112" priority="509" stopIfTrue="1">
      <formula>K135&lt;&gt;0</formula>
    </cfRule>
  </conditionalFormatting>
  <conditionalFormatting sqref="M135">
    <cfRule type="expression" dxfId="111" priority="510" stopIfTrue="1">
      <formula>K135&lt;&gt;0</formula>
    </cfRule>
  </conditionalFormatting>
  <conditionalFormatting sqref="B136">
    <cfRule type="expression" dxfId="110" priority="511" stopIfTrue="1">
      <formula>K136&lt;&gt;0</formula>
    </cfRule>
  </conditionalFormatting>
  <conditionalFormatting sqref="L136">
    <cfRule type="expression" dxfId="109" priority="513" stopIfTrue="1">
      <formula>K136&lt;&gt;0</formula>
    </cfRule>
  </conditionalFormatting>
  <conditionalFormatting sqref="M136">
    <cfRule type="expression" dxfId="108" priority="514" stopIfTrue="1">
      <formula>K136&lt;&gt;0</formula>
    </cfRule>
  </conditionalFormatting>
  <conditionalFormatting sqref="B137">
    <cfRule type="expression" dxfId="107" priority="515" stopIfTrue="1">
      <formula>K137&lt;&gt;0</formula>
    </cfRule>
  </conditionalFormatting>
  <conditionalFormatting sqref="L137">
    <cfRule type="expression" dxfId="106" priority="517" stopIfTrue="1">
      <formula>K137&lt;&gt;0</formula>
    </cfRule>
  </conditionalFormatting>
  <conditionalFormatting sqref="M137">
    <cfRule type="expression" dxfId="105" priority="518" stopIfTrue="1">
      <formula>K137&lt;&gt;0</formula>
    </cfRule>
  </conditionalFormatting>
  <conditionalFormatting sqref="B138">
    <cfRule type="expression" dxfId="104" priority="519" stopIfTrue="1">
      <formula>K138&lt;&gt;0</formula>
    </cfRule>
  </conditionalFormatting>
  <conditionalFormatting sqref="L138">
    <cfRule type="expression" dxfId="103" priority="521" stopIfTrue="1">
      <formula>K138&lt;&gt;0</formula>
    </cfRule>
  </conditionalFormatting>
  <conditionalFormatting sqref="M138">
    <cfRule type="expression" dxfId="102" priority="522" stopIfTrue="1">
      <formula>K138&lt;&gt;0</formula>
    </cfRule>
  </conditionalFormatting>
  <conditionalFormatting sqref="B139">
    <cfRule type="expression" dxfId="101" priority="523" stopIfTrue="1">
      <formula>K139&lt;&gt;0</formula>
    </cfRule>
  </conditionalFormatting>
  <conditionalFormatting sqref="L139">
    <cfRule type="expression" dxfId="100" priority="525" stopIfTrue="1">
      <formula>K139&lt;&gt;0</formula>
    </cfRule>
  </conditionalFormatting>
  <conditionalFormatting sqref="M139">
    <cfRule type="expression" dxfId="99" priority="526" stopIfTrue="1">
      <formula>K139&lt;&gt;0</formula>
    </cfRule>
  </conditionalFormatting>
  <conditionalFormatting sqref="B140">
    <cfRule type="expression" dxfId="98" priority="527" stopIfTrue="1">
      <formula>K140&lt;&gt;0</formula>
    </cfRule>
  </conditionalFormatting>
  <conditionalFormatting sqref="L140">
    <cfRule type="expression" dxfId="97" priority="529" stopIfTrue="1">
      <formula>K140&lt;&gt;0</formula>
    </cfRule>
  </conditionalFormatting>
  <conditionalFormatting sqref="M140">
    <cfRule type="expression" dxfId="96" priority="530" stopIfTrue="1">
      <formula>K140&lt;&gt;0</formula>
    </cfRule>
  </conditionalFormatting>
  <conditionalFormatting sqref="B141">
    <cfRule type="expression" dxfId="95" priority="531" stopIfTrue="1">
      <formula>K141&lt;&gt;0</formula>
    </cfRule>
  </conditionalFormatting>
  <conditionalFormatting sqref="L141">
    <cfRule type="expression" dxfId="94" priority="533" stopIfTrue="1">
      <formula>K141&lt;&gt;0</formula>
    </cfRule>
  </conditionalFormatting>
  <conditionalFormatting sqref="M141">
    <cfRule type="expression" dxfId="93" priority="534" stopIfTrue="1">
      <formula>K141&lt;&gt;0</formula>
    </cfRule>
  </conditionalFormatting>
  <conditionalFormatting sqref="B142">
    <cfRule type="expression" dxfId="92" priority="535" stopIfTrue="1">
      <formula>K142&lt;&gt;0</formula>
    </cfRule>
  </conditionalFormatting>
  <conditionalFormatting sqref="L142">
    <cfRule type="expression" dxfId="91" priority="537" stopIfTrue="1">
      <formula>K142&lt;&gt;0</formula>
    </cfRule>
  </conditionalFormatting>
  <conditionalFormatting sqref="M142">
    <cfRule type="expression" dxfId="90" priority="538" stopIfTrue="1">
      <formula>K142&lt;&gt;0</formula>
    </cfRule>
  </conditionalFormatting>
  <conditionalFormatting sqref="B143">
    <cfRule type="expression" dxfId="89" priority="539" stopIfTrue="1">
      <formula>K143&lt;&gt;0</formula>
    </cfRule>
  </conditionalFormatting>
  <conditionalFormatting sqref="L143">
    <cfRule type="expression" dxfId="88" priority="541" stopIfTrue="1">
      <formula>K143&lt;&gt;0</formula>
    </cfRule>
  </conditionalFormatting>
  <conditionalFormatting sqref="M143">
    <cfRule type="expression" dxfId="87" priority="542" stopIfTrue="1">
      <formula>K143&lt;&gt;0</formula>
    </cfRule>
  </conditionalFormatting>
  <conditionalFormatting sqref="B144">
    <cfRule type="expression" dxfId="86" priority="543" stopIfTrue="1">
      <formula>K144&lt;&gt;0</formula>
    </cfRule>
  </conditionalFormatting>
  <conditionalFormatting sqref="L144">
    <cfRule type="expression" dxfId="85" priority="545" stopIfTrue="1">
      <formula>K144&lt;&gt;0</formula>
    </cfRule>
  </conditionalFormatting>
  <conditionalFormatting sqref="M144">
    <cfRule type="expression" dxfId="84" priority="546" stopIfTrue="1">
      <formula>K144&lt;&gt;0</formula>
    </cfRule>
  </conditionalFormatting>
  <conditionalFormatting sqref="B145">
    <cfRule type="expression" dxfId="83" priority="547" stopIfTrue="1">
      <formula>K145&lt;&gt;0</formula>
    </cfRule>
  </conditionalFormatting>
  <conditionalFormatting sqref="L145">
    <cfRule type="expression" dxfId="82" priority="549" stopIfTrue="1">
      <formula>K145&lt;&gt;0</formula>
    </cfRule>
  </conditionalFormatting>
  <conditionalFormatting sqref="M145">
    <cfRule type="expression" dxfId="81" priority="550" stopIfTrue="1">
      <formula>K145&lt;&gt;0</formula>
    </cfRule>
  </conditionalFormatting>
  <conditionalFormatting sqref="B146">
    <cfRule type="expression" dxfId="80" priority="551" stopIfTrue="1">
      <formula>K146&lt;&gt;0</formula>
    </cfRule>
  </conditionalFormatting>
  <conditionalFormatting sqref="L146">
    <cfRule type="expression" dxfId="79" priority="553" stopIfTrue="1">
      <formula>K146&lt;&gt;0</formula>
    </cfRule>
  </conditionalFormatting>
  <conditionalFormatting sqref="M146">
    <cfRule type="expression" dxfId="78" priority="554" stopIfTrue="1">
      <formula>K146&lt;&gt;0</formula>
    </cfRule>
  </conditionalFormatting>
  <conditionalFormatting sqref="B147">
    <cfRule type="expression" dxfId="77" priority="555" stopIfTrue="1">
      <formula>K147&lt;&gt;0</formula>
    </cfRule>
  </conditionalFormatting>
  <conditionalFormatting sqref="L147">
    <cfRule type="expression" dxfId="76" priority="557" stopIfTrue="1">
      <formula>K147&lt;&gt;0</formula>
    </cfRule>
  </conditionalFormatting>
  <conditionalFormatting sqref="M147">
    <cfRule type="expression" dxfId="75" priority="558" stopIfTrue="1">
      <formula>K147&lt;&gt;0</formula>
    </cfRule>
  </conditionalFormatting>
  <conditionalFormatting sqref="B148">
    <cfRule type="expression" dxfId="74" priority="559" stopIfTrue="1">
      <formula>K148&lt;&gt;0</formula>
    </cfRule>
  </conditionalFormatting>
  <conditionalFormatting sqref="L148">
    <cfRule type="expression" dxfId="73" priority="561" stopIfTrue="1">
      <formula>K148&lt;&gt;0</formula>
    </cfRule>
  </conditionalFormatting>
  <conditionalFormatting sqref="M148">
    <cfRule type="expression" dxfId="72" priority="562" stopIfTrue="1">
      <formula>K148&lt;&gt;0</formula>
    </cfRule>
  </conditionalFormatting>
  <conditionalFormatting sqref="B149">
    <cfRule type="expression" dxfId="71" priority="563" stopIfTrue="1">
      <formula>K149&lt;&gt;0</formula>
    </cfRule>
  </conditionalFormatting>
  <conditionalFormatting sqref="L149">
    <cfRule type="expression" dxfId="70" priority="565" stopIfTrue="1">
      <formula>K149&lt;&gt;0</formula>
    </cfRule>
  </conditionalFormatting>
  <conditionalFormatting sqref="M149">
    <cfRule type="expression" dxfId="69" priority="566" stopIfTrue="1">
      <formula>K149&lt;&gt;0</formula>
    </cfRule>
  </conditionalFormatting>
  <conditionalFormatting sqref="B150">
    <cfRule type="expression" dxfId="68" priority="567" stopIfTrue="1">
      <formula>K150&lt;&gt;0</formula>
    </cfRule>
  </conditionalFormatting>
  <conditionalFormatting sqref="L150">
    <cfRule type="expression" dxfId="67" priority="569" stopIfTrue="1">
      <formula>K150&lt;&gt;0</formula>
    </cfRule>
  </conditionalFormatting>
  <conditionalFormatting sqref="M150">
    <cfRule type="expression" dxfId="66" priority="570" stopIfTrue="1">
      <formula>K150&lt;&gt;0</formula>
    </cfRule>
  </conditionalFormatting>
  <conditionalFormatting sqref="B151">
    <cfRule type="expression" dxfId="65" priority="571" stopIfTrue="1">
      <formula>K151&lt;&gt;0</formula>
    </cfRule>
  </conditionalFormatting>
  <conditionalFormatting sqref="L151">
    <cfRule type="expression" dxfId="64" priority="573" stopIfTrue="1">
      <formula>K151&lt;&gt;0</formula>
    </cfRule>
  </conditionalFormatting>
  <conditionalFormatting sqref="M151">
    <cfRule type="expression" dxfId="63" priority="574" stopIfTrue="1">
      <formula>K151&lt;&gt;0</formula>
    </cfRule>
  </conditionalFormatting>
  <conditionalFormatting sqref="B152">
    <cfRule type="expression" dxfId="62" priority="575" stopIfTrue="1">
      <formula>K152&lt;&gt;0</formula>
    </cfRule>
  </conditionalFormatting>
  <conditionalFormatting sqref="L152">
    <cfRule type="expression" dxfId="61" priority="577" stopIfTrue="1">
      <formula>K152&lt;&gt;0</formula>
    </cfRule>
  </conditionalFormatting>
  <conditionalFormatting sqref="M152">
    <cfRule type="expression" dxfId="60" priority="578" stopIfTrue="1">
      <formula>K152&lt;&gt;0</formula>
    </cfRule>
  </conditionalFormatting>
  <conditionalFormatting sqref="B153">
    <cfRule type="expression" dxfId="59" priority="579" stopIfTrue="1">
      <formula>K153&lt;&gt;0</formula>
    </cfRule>
  </conditionalFormatting>
  <conditionalFormatting sqref="L153">
    <cfRule type="expression" dxfId="58" priority="581" stopIfTrue="1">
      <formula>K153&lt;&gt;0</formula>
    </cfRule>
  </conditionalFormatting>
  <conditionalFormatting sqref="M153">
    <cfRule type="expression" dxfId="57" priority="582" stopIfTrue="1">
      <formula>K153&lt;&gt;0</formula>
    </cfRule>
  </conditionalFormatting>
  <conditionalFormatting sqref="B154">
    <cfRule type="expression" dxfId="56" priority="583" stopIfTrue="1">
      <formula>K154&lt;&gt;0</formula>
    </cfRule>
  </conditionalFormatting>
  <conditionalFormatting sqref="L154">
    <cfRule type="expression" dxfId="55" priority="585" stopIfTrue="1">
      <formula>K154&lt;&gt;0</formula>
    </cfRule>
  </conditionalFormatting>
  <conditionalFormatting sqref="M154">
    <cfRule type="expression" dxfId="54" priority="586" stopIfTrue="1">
      <formula>K154&lt;&gt;0</formula>
    </cfRule>
  </conditionalFormatting>
  <conditionalFormatting sqref="B155">
    <cfRule type="expression" dxfId="53" priority="587" stopIfTrue="1">
      <formula>K155&lt;&gt;0</formula>
    </cfRule>
  </conditionalFormatting>
  <conditionalFormatting sqref="L155">
    <cfRule type="expression" dxfId="52" priority="589" stopIfTrue="1">
      <formula>K155&lt;&gt;0</formula>
    </cfRule>
  </conditionalFormatting>
  <conditionalFormatting sqref="M155">
    <cfRule type="expression" dxfId="51" priority="590" stopIfTrue="1">
      <formula>K155&lt;&gt;0</formula>
    </cfRule>
  </conditionalFormatting>
  <conditionalFormatting sqref="B156">
    <cfRule type="expression" dxfId="50" priority="591" stopIfTrue="1">
      <formula>K156&lt;&gt;0</formula>
    </cfRule>
  </conditionalFormatting>
  <conditionalFormatting sqref="L156">
    <cfRule type="expression" dxfId="49" priority="593" stopIfTrue="1">
      <formula>K156&lt;&gt;0</formula>
    </cfRule>
  </conditionalFormatting>
  <conditionalFormatting sqref="M156">
    <cfRule type="expression" dxfId="48" priority="594" stopIfTrue="1">
      <formula>K156&lt;&gt;0</formula>
    </cfRule>
  </conditionalFormatting>
  <conditionalFormatting sqref="B157">
    <cfRule type="expression" dxfId="47" priority="595" stopIfTrue="1">
      <formula>K157&lt;&gt;0</formula>
    </cfRule>
  </conditionalFormatting>
  <conditionalFormatting sqref="L157">
    <cfRule type="expression" dxfId="46" priority="597" stopIfTrue="1">
      <formula>K157&lt;&gt;0</formula>
    </cfRule>
  </conditionalFormatting>
  <conditionalFormatting sqref="M157">
    <cfRule type="expression" dxfId="45" priority="598" stopIfTrue="1">
      <formula>K157&lt;&gt;0</formula>
    </cfRule>
  </conditionalFormatting>
  <conditionalFormatting sqref="B158">
    <cfRule type="expression" dxfId="44" priority="599" stopIfTrue="1">
      <formula>K158&lt;&gt;0</formula>
    </cfRule>
  </conditionalFormatting>
  <conditionalFormatting sqref="L158">
    <cfRule type="expression" dxfId="43" priority="601" stopIfTrue="1">
      <formula>K158&lt;&gt;0</formula>
    </cfRule>
  </conditionalFormatting>
  <conditionalFormatting sqref="M158">
    <cfRule type="expression" dxfId="42" priority="602" stopIfTrue="1">
      <formula>K158&lt;&gt;0</formula>
    </cfRule>
  </conditionalFormatting>
  <conditionalFormatting sqref="B159">
    <cfRule type="expression" dxfId="41" priority="603" stopIfTrue="1">
      <formula>K159&lt;&gt;0</formula>
    </cfRule>
  </conditionalFormatting>
  <conditionalFormatting sqref="L159">
    <cfRule type="expression" dxfId="40" priority="605" stopIfTrue="1">
      <formula>K159&lt;&gt;0</formula>
    </cfRule>
  </conditionalFormatting>
  <conditionalFormatting sqref="M159">
    <cfRule type="expression" dxfId="39" priority="606" stopIfTrue="1">
      <formula>K159&lt;&gt;0</formula>
    </cfRule>
  </conditionalFormatting>
  <conditionalFormatting sqref="B160">
    <cfRule type="expression" dxfId="38" priority="607" stopIfTrue="1">
      <formula>K160&lt;&gt;0</formula>
    </cfRule>
  </conditionalFormatting>
  <conditionalFormatting sqref="L160">
    <cfRule type="expression" dxfId="37" priority="609" stopIfTrue="1">
      <formula>K160&lt;&gt;0</formula>
    </cfRule>
  </conditionalFormatting>
  <conditionalFormatting sqref="M160">
    <cfRule type="expression" dxfId="36" priority="610" stopIfTrue="1">
      <formula>K160&lt;&gt;0</formula>
    </cfRule>
  </conditionalFormatting>
  <conditionalFormatting sqref="B161">
    <cfRule type="expression" dxfId="35" priority="611" stopIfTrue="1">
      <formula>K161&lt;&gt;0</formula>
    </cfRule>
  </conditionalFormatting>
  <conditionalFormatting sqref="L161">
    <cfRule type="expression" dxfId="34" priority="613" stopIfTrue="1">
      <formula>K161&lt;&gt;0</formula>
    </cfRule>
  </conditionalFormatting>
  <conditionalFormatting sqref="M161">
    <cfRule type="expression" dxfId="33" priority="614" stopIfTrue="1">
      <formula>K161&lt;&gt;0</formula>
    </cfRule>
  </conditionalFormatting>
  <conditionalFormatting sqref="B162">
    <cfRule type="expression" dxfId="32" priority="615" stopIfTrue="1">
      <formula>K162&lt;&gt;0</formula>
    </cfRule>
  </conditionalFormatting>
  <conditionalFormatting sqref="L162">
    <cfRule type="expression" dxfId="31" priority="617" stopIfTrue="1">
      <formula>K162&lt;&gt;0</formula>
    </cfRule>
  </conditionalFormatting>
  <conditionalFormatting sqref="M162">
    <cfRule type="expression" dxfId="30" priority="618" stopIfTrue="1">
      <formula>K162&lt;&gt;0</formula>
    </cfRule>
  </conditionalFormatting>
  <conditionalFormatting sqref="B163">
    <cfRule type="expression" dxfId="29" priority="619" stopIfTrue="1">
      <formula>K163&lt;&gt;0</formula>
    </cfRule>
  </conditionalFormatting>
  <conditionalFormatting sqref="L163">
    <cfRule type="expression" dxfId="28" priority="621" stopIfTrue="1">
      <formula>K163&lt;&gt;0</formula>
    </cfRule>
  </conditionalFormatting>
  <conditionalFormatting sqref="M163">
    <cfRule type="expression" dxfId="27" priority="622" stopIfTrue="1">
      <formula>K163&lt;&gt;0</formula>
    </cfRule>
  </conditionalFormatting>
  <conditionalFormatting sqref="B164">
    <cfRule type="expression" dxfId="26" priority="623" stopIfTrue="1">
      <formula>K164&lt;&gt;0</formula>
    </cfRule>
  </conditionalFormatting>
  <conditionalFormatting sqref="L164">
    <cfRule type="expression" dxfId="25" priority="625" stopIfTrue="1">
      <formula>K164&lt;&gt;0</formula>
    </cfRule>
  </conditionalFormatting>
  <conditionalFormatting sqref="M164">
    <cfRule type="expression" dxfId="24" priority="626" stopIfTrue="1">
      <formula>K164&lt;&gt;0</formula>
    </cfRule>
  </conditionalFormatting>
  <conditionalFormatting sqref="B165">
    <cfRule type="expression" dxfId="23" priority="627" stopIfTrue="1">
      <formula>K165&lt;&gt;0</formula>
    </cfRule>
  </conditionalFormatting>
  <conditionalFormatting sqref="L165">
    <cfRule type="expression" dxfId="22" priority="629" stopIfTrue="1">
      <formula>K165&lt;&gt;0</formula>
    </cfRule>
  </conditionalFormatting>
  <conditionalFormatting sqref="M165">
    <cfRule type="expression" dxfId="21" priority="630" stopIfTrue="1">
      <formula>K165&lt;&gt;0</formula>
    </cfRule>
  </conditionalFormatting>
  <conditionalFormatting sqref="B166">
    <cfRule type="expression" dxfId="20" priority="631" stopIfTrue="1">
      <formula>K166&lt;&gt;0</formula>
    </cfRule>
  </conditionalFormatting>
  <conditionalFormatting sqref="L166">
    <cfRule type="expression" dxfId="19" priority="633" stopIfTrue="1">
      <formula>K166&lt;&gt;0</formula>
    </cfRule>
  </conditionalFormatting>
  <conditionalFormatting sqref="M166">
    <cfRule type="expression" dxfId="18" priority="634" stopIfTrue="1">
      <formula>K166&lt;&gt;0</formula>
    </cfRule>
  </conditionalFormatting>
  <conditionalFormatting sqref="B167">
    <cfRule type="expression" dxfId="17" priority="635" stopIfTrue="1">
      <formula>K167&lt;&gt;0</formula>
    </cfRule>
  </conditionalFormatting>
  <conditionalFormatting sqref="L167">
    <cfRule type="expression" dxfId="16" priority="637" stopIfTrue="1">
      <formula>K167&lt;&gt;0</formula>
    </cfRule>
  </conditionalFormatting>
  <conditionalFormatting sqref="M167">
    <cfRule type="expression" dxfId="15" priority="638" stopIfTrue="1">
      <formula>K167&lt;&gt;0</formula>
    </cfRule>
  </conditionalFormatting>
  <conditionalFormatting sqref="B168">
    <cfRule type="expression" dxfId="14" priority="639" stopIfTrue="1">
      <formula>K168&lt;&gt;0</formula>
    </cfRule>
  </conditionalFormatting>
  <conditionalFormatting sqref="L168">
    <cfRule type="expression" dxfId="13" priority="641" stopIfTrue="1">
      <formula>K168&lt;&gt;0</formula>
    </cfRule>
  </conditionalFormatting>
  <conditionalFormatting sqref="M168">
    <cfRule type="expression" dxfId="12" priority="642" stopIfTrue="1">
      <formula>K168&lt;&gt;0</formula>
    </cfRule>
  </conditionalFormatting>
  <conditionalFormatting sqref="B169">
    <cfRule type="expression" dxfId="11" priority="643" stopIfTrue="1">
      <formula>K169&lt;&gt;0</formula>
    </cfRule>
  </conditionalFormatting>
  <conditionalFormatting sqref="L169">
    <cfRule type="expression" dxfId="10" priority="645" stopIfTrue="1">
      <formula>K169&lt;&gt;0</formula>
    </cfRule>
  </conditionalFormatting>
  <conditionalFormatting sqref="M169">
    <cfRule type="expression" dxfId="9" priority="646" stopIfTrue="1">
      <formula>K169&lt;&gt;0</formula>
    </cfRule>
  </conditionalFormatting>
  <conditionalFormatting sqref="B170">
    <cfRule type="expression" dxfId="8" priority="647" stopIfTrue="1">
      <formula>K170&lt;&gt;0</formula>
    </cfRule>
  </conditionalFormatting>
  <conditionalFormatting sqref="L170">
    <cfRule type="expression" dxfId="7" priority="649" stopIfTrue="1">
      <formula>K170&lt;&gt;0</formula>
    </cfRule>
  </conditionalFormatting>
  <conditionalFormatting sqref="M170">
    <cfRule type="expression" dxfId="6" priority="650" stopIfTrue="1">
      <formula>K170&lt;&gt;0</formula>
    </cfRule>
  </conditionalFormatting>
  <conditionalFormatting sqref="B171">
    <cfRule type="expression" dxfId="5" priority="651" stopIfTrue="1">
      <formula>K171&lt;&gt;0</formula>
    </cfRule>
  </conditionalFormatting>
  <conditionalFormatting sqref="L171">
    <cfRule type="expression" dxfId="4" priority="653" stopIfTrue="1">
      <formula>K171&lt;&gt;0</formula>
    </cfRule>
  </conditionalFormatting>
  <conditionalFormatting sqref="M171">
    <cfRule type="expression" dxfId="3" priority="654" stopIfTrue="1">
      <formula>K171&lt;&gt;0</formula>
    </cfRule>
  </conditionalFormatting>
  <conditionalFormatting sqref="B172">
    <cfRule type="expression" dxfId="2" priority="655" stopIfTrue="1">
      <formula>K172&lt;&gt;0</formula>
    </cfRule>
  </conditionalFormatting>
  <conditionalFormatting sqref="L172">
    <cfRule type="expression" dxfId="1" priority="657" stopIfTrue="1">
      <formula>K172&lt;&gt;0</formula>
    </cfRule>
  </conditionalFormatting>
  <conditionalFormatting sqref="M172">
    <cfRule type="expression" dxfId="0" priority="658" stopIfTrue="1">
      <formula>K172&lt;&gt;0</formula>
    </cfRule>
  </conditionalFormatting>
  <dataValidations count="4">
    <dataValidation type="list" showErrorMessage="1" errorTitle="Include Error Summary in Model N" error="The include error checks trigger must correspond with one of the options provided in the drop down list." sqref="L174" xr:uid="{9B637608-CE72-4017-BC49-2BF9DCE77B76}">
      <formula1>"Yes,No"</formula1>
    </dataValidation>
    <dataValidation type="list" showErrorMessage="1" errorTitle="Include Sensitivity Summary in M" error="The include sensitivity checks trigger must correspond with one of the options provided in the drop down list." sqref="L182" xr:uid="{D2663F21-7C31-4FDE-BD6B-A1AC9CFDDFB6}">
      <formula1>"Yes,No"</formula1>
    </dataValidation>
    <dataValidation type="list" showErrorMessage="1" errorTitle="Include Alert Summary in Model N" error="The include alert checks trigger must correspond with one of the options provided in the drop down list." sqref="L190" xr:uid="{FF3C83DD-45FA-4BCC-B937-5EA1ED0140FB}">
      <formula1>"Yes,No"</formula1>
    </dataValidation>
    <dataValidation type="list" showErrorMessage="1" errorTitle="Include Error Check" error="The include error check trigger must correspond with one of the options provided in the drop down list." sqref="L10:L172" xr:uid="{063A12EC-3213-4973-86F8-C5A67F228F5A}">
      <formula1>"Yes,No"</formula1>
    </dataValidation>
  </dataValidations>
  <hyperlinks>
    <hyperlink ref="A1" location="HL_Home" tooltip="Go to Table of Contents" display="HL_Home" xr:uid="{2BA61B8E-C94E-49F9-B900-13F6ED537E78}"/>
    <hyperlink ref="B10:J10" location="HL_Err_Chk_2" tooltip="Go to 3001 - Inputs Work Code v RAB Category Direct Check" display="HL_Err_Chk_2" xr:uid="{47125E39-5414-4D42-8EF3-11E6D030D5BA}"/>
    <hyperlink ref="B11:J11" location="HL_Err_Chk_30" tooltip="Go to 3001 - Inputs Work Code v RIN Category Direct Check" display="HL_Err_Chk_30" xr:uid="{8F699BB8-CA65-457B-9154-F3FDCB5C60CA}"/>
    <hyperlink ref="B12:J12" location="HL_Err_Chk_58" tooltip="Go to 3001 - Inputs Work Code v Tax Category Direct Check" display="HL_Err_Chk_58" xr:uid="{AC92B6C7-C5BB-4CB7-8743-915B8D2FF834}"/>
    <hyperlink ref="B13:J13" location="HL_Err_Chk_143" tooltip="Go to 3001 - Inputs Customer Contributions v RAB Category Direct Check" display="HL_Err_Chk_143" xr:uid="{331D0E20-19D1-43A9-B785-8F5D5E6F1C8B}"/>
    <hyperlink ref="B14:J14" location="HL_Err_Chk_86" tooltip="Go to 3001 - Inputs RAB v RIN Direct + Overhead Check" display="HL_Err_Chk_86" xr:uid="{B8180554-5564-4DCF-829F-CB876212E282}"/>
    <hyperlink ref="B15:J15" location="HL_Err_Chk_114" tooltip="Go to 3001 - Inputs RAB v Tax Direct + Overhead Check" display="HL_Err_Chk_114" xr:uid="{5EC02F1D-3B04-457C-993A-B33F1E0CD3EB}"/>
    <hyperlink ref="B16:J16" location="HL_Err_Chk_4" tooltip="Go to 3003 - Inputs Work Code v RAB Category Direct Check" display="HL_Err_Chk_4" xr:uid="{9D8E6829-8789-4115-BC3E-F2F6800A5D72}"/>
    <hyperlink ref="B17:J17" location="HL_Err_Chk_32" tooltip="Go to 3003 - Inputs Work Code v RIN Category Direct Check" display="HL_Err_Chk_32" xr:uid="{2A8DA2B0-0CC4-46AF-BF59-FF6609DA6A32}"/>
    <hyperlink ref="B18:J18" location="HL_Err_Chk_60" tooltip="Go to 3003 - Inputs Work Code v Tax Category Direct Check" display="HL_Err_Chk_60" xr:uid="{ED54646F-86FE-4674-8771-AFD94BE95AAE}"/>
    <hyperlink ref="B19:J19" location="HL_Err_Chk_145" tooltip="Go to 3003 - Inputs Customer Contributions v RAB Category Direct Check" display="HL_Err_Chk_145" xr:uid="{AA06DB52-0BCC-4FD6-B6EF-D59FFF777963}"/>
    <hyperlink ref="B20:J20" location="HL_Err_Chk_88" tooltip="Go to 3003 - Inputs RAB v RIN Direct + Overhead Check" display="HL_Err_Chk_88" xr:uid="{86FD9659-962B-417F-A3FE-C0F494B7772D}"/>
    <hyperlink ref="B21:J21" location="HL_Err_Chk_116" tooltip="Go to 3003 - Inputs RAB v Tax Direct + Overhead Check" display="HL_Err_Chk_116" xr:uid="{D05E4763-1837-4855-A737-B8C736D8E61B}"/>
    <hyperlink ref="B22:J22" location="HL_Err_Chk_6" tooltip="Go to 3005 - Inputs Work Code v RAB Category Direct Check" display="HL_Err_Chk_6" xr:uid="{40C135BC-CC92-42C2-9C73-3315EE357542}"/>
    <hyperlink ref="B23:J23" location="HL_Err_Chk_34" tooltip="Go to 3005 - Inputs Work Code v RIN Category Direct Check" display="HL_Err_Chk_34" xr:uid="{A0716A67-8E89-4139-B71A-242029934062}"/>
    <hyperlink ref="B24:J24" location="HL_Err_Chk_62" tooltip="Go to 3005 - Inputs Work Code v Tax Category Direct Check" display="HL_Err_Chk_62" xr:uid="{912D7875-2379-42BD-BCB4-6865A03578FA}"/>
    <hyperlink ref="B25:J25" location="HL_Err_Chk_147" tooltip="Go to 3005 - Inputs Customer Contributions v RAB Category Direct Check" display="HL_Err_Chk_147" xr:uid="{6CAB7B35-6B44-4019-891F-40890AFFDFD9}"/>
    <hyperlink ref="B26:J26" location="HL_Err_Chk_90" tooltip="Go to 3005 - Inputs RAB v RIN Direct + Overhead Check" display="HL_Err_Chk_90" xr:uid="{8BA94B71-4A1D-40E4-8EB2-A3FCB28C201B}"/>
    <hyperlink ref="B27:J27" location="HL_Err_Chk_118" tooltip="Go to 3005 - Inputs RAB v Tax Direct + Overhead Check" display="HL_Err_Chk_118" xr:uid="{4A53610B-13DB-43D2-9345-FC209A64E539}"/>
    <hyperlink ref="B28:J28" location="HL_Err_Chk_3" tooltip="Go to 3002 - Inputs Work Code v RAB Category Direct Check" display="HL_Err_Chk_3" xr:uid="{98C66F9C-4024-42ED-9ADA-3F7775042E60}"/>
    <hyperlink ref="B29:J29" location="HL_Err_Chk_31" tooltip="Go to 3002 - Inputs Work Code v RIN Category Direct Check" display="HL_Err_Chk_31" xr:uid="{7F9E251E-C26E-437D-BAB4-EC5572716809}"/>
    <hyperlink ref="B30:J30" location="HL_Err_Chk_59" tooltip="Go to 3002 - Inputs Work Code v Tax Category Direct Check" display="HL_Err_Chk_59" xr:uid="{AE6D944A-0188-40A0-ACF8-280D4159F8A7}"/>
    <hyperlink ref="B31:J31" location="HL_Err_Chk_144" tooltip="Go to 3002 - Inputs Customer Contributions v RAB Category Direct Check" display="HL_Err_Chk_144" xr:uid="{12BB0A34-CFCB-4875-9FD8-C2029C868F83}"/>
    <hyperlink ref="B32:J32" location="HL_Err_Chk_87" tooltip="Go to 3002 - Inputs RAB v RIN Direct + Overhead Check" display="HL_Err_Chk_87" xr:uid="{9A021E89-93D7-40F2-812C-85A82CB3FA48}"/>
    <hyperlink ref="B33:J33" location="HL_Err_Chk_115" tooltip="Go to 3002 - Inputs RAB v Tax Direct + Overhead Check" display="HL_Err_Chk_115" xr:uid="{7D5D1325-0E44-4E63-9697-E92BEA5D2453}"/>
    <hyperlink ref="B34:J34" location="HL_Err_Chk_5" tooltip="Go to 3004 - Inputs Work Code v RAB Category Direct Check" display="HL_Err_Chk_5" xr:uid="{6DCEF4D2-295E-47F9-86CE-9BF9347E92B4}"/>
    <hyperlink ref="B35:J35" location="HL_Err_Chk_33" tooltip="Go to 3004 - Inputs Work Code v RIN Category Direct Check" display="HL_Err_Chk_33" xr:uid="{B5F02F7C-E29A-482A-9CFF-1BE12CDFD73F}"/>
    <hyperlink ref="B36:J36" location="HL_Err_Chk_61" tooltip="Go to 3004 - Inputs Work Code v Tax Category Direct Check" display="HL_Err_Chk_61" xr:uid="{EFD83C71-16C9-4633-A7D2-9F82ED67C78C}"/>
    <hyperlink ref="B37:J37" location="HL_Err_Chk_146" tooltip="Go to 3004 - Inputs Customer Contributions v RAB Category Direct Check" display="HL_Err_Chk_146" xr:uid="{E468E18D-EA4D-4F42-8E81-4DD9F8783A63}"/>
    <hyperlink ref="B38:J38" location="HL_Err_Chk_89" tooltip="Go to 3004 - Inputs RAB v RIN Direct + Overhead Check" display="HL_Err_Chk_89" xr:uid="{26E8C8A5-62D6-4E55-ABE7-2C370E98D3F8}"/>
    <hyperlink ref="B39:J39" location="HL_Err_Chk_117" tooltip="Go to 3004 - Inputs RAB v Tax Direct + Overhead Check" display="HL_Err_Chk_117" xr:uid="{BCF70D44-8F2E-461B-B208-661F578EEC1B}"/>
    <hyperlink ref="B40:J40" location="HL_Err_Chk_7" tooltip="Go to 3006 - Inputs Work Code v RAB Category Direct Check" display="HL_Err_Chk_7" xr:uid="{2439373C-F7D0-4739-8467-94B5BC02133B}"/>
    <hyperlink ref="B41:J41" location="HL_Err_Chk_35" tooltip="Go to 3006 - Inputs Work Code v RIN Category Direct Check" display="HL_Err_Chk_35" xr:uid="{29139473-6887-4231-958C-6FA92FAEA91B}"/>
    <hyperlink ref="B42:J42" location="HL_Err_Chk_63" tooltip="Go to 3006 - Inputs Work Code v Tax Category Direct Check" display="HL_Err_Chk_63" xr:uid="{D62328CC-EAFC-4708-96A0-7F36C1A8D67C}"/>
    <hyperlink ref="B43:J43" location="HL_Err_Chk_148" tooltip="Go to 3006 - Inputs Customer Contributions v RAB Category Direct Check" display="HL_Err_Chk_148" xr:uid="{2A12B71A-B725-4CA2-B3D0-9C279D16F8B7}"/>
    <hyperlink ref="B44:J44" location="HL_Err_Chk_91" tooltip="Go to 3006 - Inputs RAB v RIN Direct + Overhead Check" display="HL_Err_Chk_91" xr:uid="{4EA15AD5-0824-4358-AC5F-098BA872740C}"/>
    <hyperlink ref="B45:J45" location="HL_Err_Chk_119" tooltip="Go to 3006 - Inputs RAB v Tax Direct + Overhead Check" display="HL_Err_Chk_119" xr:uid="{64D44275-D2FE-42F5-A28A-B5983F41BDC8}"/>
    <hyperlink ref="B46:J46" location="HL_Err_Chk_8" tooltip="Go to 3007 - Inputs Work Code v RAB Category Direct Check" display="HL_Err_Chk_8" xr:uid="{267F0B10-EF9A-4615-B8FA-D56EFBD45D88}"/>
    <hyperlink ref="B47:J47" location="HL_Err_Chk_36" tooltip="Go to 3007 - Inputs Work Code v RIN Category Direct Check" display="HL_Err_Chk_36" xr:uid="{FF5AE5B4-2301-4136-B314-419F499C3146}"/>
    <hyperlink ref="B48:J48" location="HL_Err_Chk_64" tooltip="Go to 3007 - Inputs Work Code v Tax Category Direct Check" display="HL_Err_Chk_64" xr:uid="{9C25ADD1-2DB6-4CFE-90F3-BA00BC5923FD}"/>
    <hyperlink ref="B49:J49" location="HL_Err_Chk_149" tooltip="Go to 3007 - Inputs Customer Contributions v RAB Category Direct Check" display="HL_Err_Chk_149" xr:uid="{40449314-C2C0-49FB-9CD4-8FC0BCC220F9}"/>
    <hyperlink ref="B50:J50" location="HL_Err_Chk_92" tooltip="Go to 3007 - Inputs RAB v RIN Direct + Overhead Check" display="HL_Err_Chk_92" xr:uid="{D24170C0-485C-4F92-A63A-864A2FE3E315}"/>
    <hyperlink ref="B51:J51" location="HL_Err_Chk_120" tooltip="Go to 3007 - Inputs RAB v Tax Direct + Overhead Check" display="HL_Err_Chk_120" xr:uid="{0BF63659-F886-4AA5-9C26-05CBAED4D2F0}"/>
    <hyperlink ref="B52:J52" location="HL_Err_Chk_9" tooltip="Go to 3008 - Inputs Work Code v RAB Category Direct Check" display="HL_Err_Chk_9" xr:uid="{1FE718A4-DB49-441E-A43B-391B5ABC5F2B}"/>
    <hyperlink ref="B53:J53" location="HL_Err_Chk_37" tooltip="Go to 3008 - Inputs Work Code v RIN Category Direct Check" display="HL_Err_Chk_37" xr:uid="{A36B41FA-4666-440F-837E-847B2E8760DA}"/>
    <hyperlink ref="B54:J54" location="HL_Err_Chk_65" tooltip="Go to 3008 - Inputs Work Code v Tax Category Direct Check" display="HL_Err_Chk_65" xr:uid="{2E3E297F-F656-4584-8683-51FD5A250924}"/>
    <hyperlink ref="B55:J55" location="HL_Err_Chk_150" tooltip="Go to 3008 - Inputs Customer Contributions v RAB Category Direct Check" display="HL_Err_Chk_150" xr:uid="{6F73F1CB-DC28-4294-81F7-C7905CCA8707}"/>
    <hyperlink ref="B56:J56" location="HL_Err_Chk_93" tooltip="Go to 3008 - Inputs RAB v RIN Direct + Overhead Check" display="HL_Err_Chk_93" xr:uid="{74E57388-339C-4FA6-9194-EB4ED68D2C7E}"/>
    <hyperlink ref="B57:J57" location="HL_Err_Chk_121" tooltip="Go to 3008 - Inputs RAB v Tax Direct + Overhead Check" display="HL_Err_Chk_121" xr:uid="{758CF91A-802F-4633-8C6E-D3889D5A9CB1}"/>
    <hyperlink ref="B58:J58" location="HL_Err_Chk_10" tooltip="Go to 3009 - Inputs Work Code v RAB Category Direct Check" display="HL_Err_Chk_10" xr:uid="{C388D5A4-241A-42D3-9574-37D79AE10E23}"/>
    <hyperlink ref="B59:J59" location="HL_Err_Chk_38" tooltip="Go to 3009 - Inputs Work Code v RIN Category Direct Check" display="HL_Err_Chk_38" xr:uid="{16B31834-899E-4082-B100-6058FCAA12ED}"/>
    <hyperlink ref="B60:J60" location="HL_Err_Chk_66" tooltip="Go to 3009 - Inputs Work Code v Tax Category Direct Check" display="HL_Err_Chk_66" xr:uid="{822A8930-501D-4998-89F3-9B32F7D2DC6B}"/>
    <hyperlink ref="B61:J61" location="HL_Err_Chk_151" tooltip="Go to 3009 - Inputs Customer Contributions v RAB Category Direct Check" display="HL_Err_Chk_151" xr:uid="{AEB8937E-0E36-45FB-91A3-9B05CD37EA59}"/>
    <hyperlink ref="B62:J62" location="HL_Err_Chk_94" tooltip="Go to 3009 - Inputs RAB v RIN Direct + Overhead Check" display="HL_Err_Chk_94" xr:uid="{510F0512-2908-4560-B02D-2029058DD8D8}"/>
    <hyperlink ref="B63:J63" location="HL_Err_Chk_122" tooltip="Go to 3009 - Inputs RAB v Tax Direct + Overhead Check" display="HL_Err_Chk_122" xr:uid="{E5B542D6-64DD-49F8-BF7E-259B7C681C80}"/>
    <hyperlink ref="B64:J64" location="HL_Err_Chk_11" tooltip="Go to 3010 - Inputs Work Code v RAB Category Direct Check" display="HL_Err_Chk_11" xr:uid="{0177FC42-A2D2-46D6-A3CD-8BC87CE520BD}"/>
    <hyperlink ref="B65:J65" location="HL_Err_Chk_39" tooltip="Go to 3010 - Inputs Work Code v RIN Category Direct Check" display="HL_Err_Chk_39" xr:uid="{F64B9EC7-208F-40D1-8FC3-7EFB60C43559}"/>
    <hyperlink ref="B66:J66" location="HL_Err_Chk_67" tooltip="Go to 3010 - Inputs Work Code v Tax Category Direct Check" display="HL_Err_Chk_67" xr:uid="{6DD74A9A-AC16-4AAD-8EB0-9D81A0604617}"/>
    <hyperlink ref="B67:J67" location="HL_Err_Chk_152" tooltip="Go to 3010 - Inputs Customer Contributions v RAB Category Direct Check" display="HL_Err_Chk_152" xr:uid="{423F1DB5-9DE0-4B39-8E33-09C4CCCDABD2}"/>
    <hyperlink ref="B68:J68" location="HL_Err_Chk_95" tooltip="Go to 3010 - Inputs RAB v RIN Direct + Overhead Check" display="HL_Err_Chk_95" xr:uid="{322009CA-45C9-469A-B4C8-80975CDF5B5C}"/>
    <hyperlink ref="B69:J69" location="HL_Err_Chk_123" tooltip="Go to 3010 - Inputs RAB v Tax Direct + Overhead Check" display="HL_Err_Chk_123" xr:uid="{A39C110E-0EFD-4AB5-8DF5-FB97239DD5FA}"/>
    <hyperlink ref="B70:J70" location="HL_Err_Chk_12" tooltip="Go to 3011 - Inputs Work Code v RAB Category Direct Check" display="HL_Err_Chk_12" xr:uid="{935334EF-E4E4-488A-A7C9-A2CAA37B545C}"/>
    <hyperlink ref="B71:J71" location="HL_Err_Chk_40" tooltip="Go to 3011 - Inputs Work Code v RIN Category Direct Check" display="HL_Err_Chk_40" xr:uid="{42F20934-BD7D-4C3D-B1A8-CDD26508A74E}"/>
    <hyperlink ref="B72:J72" location="HL_Err_Chk_68" tooltip="Go to 3011 - Inputs Work Code v Tax Category Direct Check" display="HL_Err_Chk_68" xr:uid="{A99DB7AA-F870-4BF2-A087-21C0556F56FA}"/>
    <hyperlink ref="B73:J73" location="HL_Err_Chk_153" tooltip="Go to 3011 - Inputs Customer Contributions v RAB Category Direct Check" display="HL_Err_Chk_153" xr:uid="{85A78BC5-7E21-4385-98BC-56ED563A7446}"/>
    <hyperlink ref="B74:J74" location="HL_Err_Chk_96" tooltip="Go to 3011 - Inputs RAB v RIN Direct + Overhead Check" display="HL_Err_Chk_96" xr:uid="{D0BCE693-BE9F-4B84-8D03-2C8DA6B7F5C0}"/>
    <hyperlink ref="B75:J75" location="HL_Err_Chk_124" tooltip="Go to 3011 - Inputs RAB v Tax Direct + Overhead Check" display="HL_Err_Chk_124" xr:uid="{67E29440-00FA-465C-99F6-0395D51B4D65}"/>
    <hyperlink ref="B76:J76" location="HL_Err_Chk_13" tooltip="Go to 3012 - Inputs Work Code v RAB Category Direct Check" display="HL_Err_Chk_13" xr:uid="{68179DDA-1965-4BD2-AE57-20C5CCA3BC13}"/>
    <hyperlink ref="B77:J77" location="HL_Err_Chk_41" tooltip="Go to 3012 - Inputs Work Code v RIN Category Direct Check" display="HL_Err_Chk_41" xr:uid="{C4F515E7-CC8B-47AA-AD20-E717BC7EFB25}"/>
    <hyperlink ref="B78:J78" location="HL_Err_Chk_69" tooltip="Go to 3012 - Inputs Work Code v Tax Category Direct Check" display="HL_Err_Chk_69" xr:uid="{B8882AFB-93CD-4DD9-9F71-B964C8694FDA}"/>
    <hyperlink ref="B79:J79" location="HL_Err_Chk_154" tooltip="Go to 3012 - Inputs Customer Contributions v RAB Category Direct Check" display="HL_Err_Chk_154" xr:uid="{F52B4233-A3B2-4827-8603-3B1E7224885D}"/>
    <hyperlink ref="B80:J80" location="HL_Err_Chk_97" tooltip="Go to 3012 - Inputs RAB v RIN Direct + Overhead Check" display="HL_Err_Chk_97" xr:uid="{6314C697-1D3F-470B-A9F5-E8B20214B7B8}"/>
    <hyperlink ref="B81:J81" location="HL_Err_Chk_125" tooltip="Go to 3012 - Inputs RAB v Tax Direct + Overhead Check" display="HL_Err_Chk_125" xr:uid="{9D5EA383-F860-4CD4-8C08-6FFB5E80D031}"/>
    <hyperlink ref="B82:J82" location="HL_Err_Chk_14" tooltip="Go to 3013 - Inputs Work Code v RAB Category Direct Check" display="HL_Err_Chk_14" xr:uid="{43B5B332-B438-40DF-B45E-71FA5D88C568}"/>
    <hyperlink ref="B83:J83" location="HL_Err_Chk_42" tooltip="Go to 3013 - Inputs Work Code v RIN Category Direct Check" display="HL_Err_Chk_42" xr:uid="{7D0EF3AD-D9AE-4E5C-AB89-F9AC2BC42024}"/>
    <hyperlink ref="B84:J84" location="HL_Err_Chk_70" tooltip="Go to 3013 - Inputs Work Code v Tax Category Direct Check" display="HL_Err_Chk_70" xr:uid="{8ED5414E-69E1-4A3F-9580-0CA36E0D7B78}"/>
    <hyperlink ref="B85:J85" location="HL_Err_Chk_155" tooltip="Go to 3013 - Inputs Customer Contributions v RAB Category Direct Check" display="HL_Err_Chk_155" xr:uid="{A514CF74-6429-459A-A371-4EBB8C7AE516}"/>
    <hyperlink ref="B86:J86" location="HL_Err_Chk_98" tooltip="Go to 3013 - Inputs RAB v RIN Direct + Overhead Check" display="HL_Err_Chk_98" xr:uid="{9B822CC7-A644-4158-93D2-ED42982A903F}"/>
    <hyperlink ref="B87:J87" location="HL_Err_Chk_126" tooltip="Go to 3013 - Inputs RAB v Tax Direct + Overhead Check" display="HL_Err_Chk_126" xr:uid="{698928CD-8853-4202-BC75-6E59E08F4375}"/>
    <hyperlink ref="B88:J88" location="HL_Err_Chk_15" tooltip="Go to 3014 - Inputs Work Code v RAB Category Direct Check" display="HL_Err_Chk_15" xr:uid="{57660910-3743-4833-80DB-704D2EE96A7E}"/>
    <hyperlink ref="B89:J89" location="HL_Err_Chk_43" tooltip="Go to 3014 - Inputs Work Code v RIN Category Direct Check" display="HL_Err_Chk_43" xr:uid="{FAD4F0C9-7B07-4718-B08A-789A1A268392}"/>
    <hyperlink ref="B90:J90" location="HL_Err_Chk_71" tooltip="Go to 3014 - Inputs Work Code v Tax Category Direct Check" display="HL_Err_Chk_71" xr:uid="{B911555F-B554-4A4F-86F7-99DA58163FF5}"/>
    <hyperlink ref="B91:J91" location="HL_Err_Chk_156" tooltip="Go to 3014 - Inputs Customer Contributions v RAB Category Direct Check" display="HL_Err_Chk_156" xr:uid="{672AA605-82AA-4847-8E4F-1C0A4B4D273D}"/>
    <hyperlink ref="B92:J92" location="HL_Err_Chk_99" tooltip="Go to 3014 - Inputs RAB v RIN Direct + Overhead Check" display="HL_Err_Chk_99" xr:uid="{62C3C62D-7966-46B3-AF11-65DD78248916}"/>
    <hyperlink ref="B93:J93" location="HL_Err_Chk_127" tooltip="Go to 3014 - Inputs RAB v Tax Direct + Overhead Check" display="HL_Err_Chk_127" xr:uid="{CF91169D-D65C-4C05-927C-6DAD5DF0F597}"/>
    <hyperlink ref="B94:J94" location="HL_Err_Chk_16" tooltip="Go to 3015 - Inputs Work Code v RAB Category Direct Check" display="HL_Err_Chk_16" xr:uid="{D79E877A-15EF-47E6-8D60-A2D3CC218E8B}"/>
    <hyperlink ref="B95:J95" location="HL_Err_Chk_44" tooltip="Go to 3015 - Inputs Work Code v RIN Category Direct Check" display="HL_Err_Chk_44" xr:uid="{3DF8471C-3973-4EA3-A53D-9018D22B3F4F}"/>
    <hyperlink ref="B96:J96" location="HL_Err_Chk_72" tooltip="Go to 3015 - Inputs Work Code v Tax Category Direct Check" display="HL_Err_Chk_72" xr:uid="{C4DFCF6B-7AC1-44AF-BD50-67383C5ED1D9}"/>
    <hyperlink ref="B97:J97" location="HL_Err_Chk_157" tooltip="Go to 3015 - Inputs Customer Contributions v RAB Category Direct Check" display="HL_Err_Chk_157" xr:uid="{EB2D3F88-4ED7-4892-9362-39125070264B}"/>
    <hyperlink ref="B98:J98" location="HL_Err_Chk_100" tooltip="Go to 3015 - Inputs RAB v RIN Direct + Overhead Check" display="HL_Err_Chk_100" xr:uid="{9A3CDCCA-0F42-40D3-9F0E-58276A7E8056}"/>
    <hyperlink ref="B99:J99" location="HL_Err_Chk_128" tooltip="Go to 3015 - Inputs RAB v Tax Direct + Overhead Check" display="HL_Err_Chk_128" xr:uid="{E1CB38F6-B076-49ED-B5EB-774D91033E5D}"/>
    <hyperlink ref="B100:J100" location="HL_Err_Chk_17" tooltip="Go to 3016 - Inputs Work Code v RAB Category Direct Check" display="HL_Err_Chk_17" xr:uid="{F6DA2B6A-7EF9-4FC6-80BA-9EC3BCFC7DC7}"/>
    <hyperlink ref="B101:J101" location="HL_Err_Chk_45" tooltip="Go to 3016 - Inputs Work Code v RIN Category Direct Check" display="HL_Err_Chk_45" xr:uid="{A57DF02A-D145-45C0-830E-16BB89C6AFDC}"/>
    <hyperlink ref="B102:J102" location="HL_Err_Chk_73" tooltip="Go to 3016 - Inputs Work Code v Tax Category Direct Check" display="HL_Err_Chk_73" xr:uid="{0339387D-3EA2-48E5-B3EB-FEC4A63729A9}"/>
    <hyperlink ref="B103:J103" location="HL_Err_Chk_158" tooltip="Go to 3016 - Inputs Customer Contributions v RAB Category Direct Check" display="HL_Err_Chk_158" xr:uid="{DFCE1E95-2C7E-4199-9893-16F72845D416}"/>
    <hyperlink ref="B104:J104" location="HL_Err_Chk_101" tooltip="Go to 3016 - Inputs RAB v RIN Direct + Overhead Check" display="HL_Err_Chk_101" xr:uid="{4688FF15-5C1C-4BD5-81A6-31A2AA62EA6F}"/>
    <hyperlink ref="B105:J105" location="HL_Err_Chk_129" tooltip="Go to 3016 - Inputs RAB v Tax Direct + Overhead Check" display="HL_Err_Chk_129" xr:uid="{FF33C044-5519-469E-AA9D-F72EE6ED1870}"/>
    <hyperlink ref="B106:J106" location="HL_Err_Chk_18" tooltip="Go to 3017 - Inputs Work Code v RAB Category Direct Check" display="HL_Err_Chk_18" xr:uid="{2FA0B342-4AA5-44D7-8C2E-897015EC3803}"/>
    <hyperlink ref="B107:J107" location="HL_Err_Chk_46" tooltip="Go to 3017 - Inputs Work Code v RIN Category Direct Check" display="HL_Err_Chk_46" xr:uid="{BBFC72B6-5E0F-4DD1-A579-68FFE2D77336}"/>
    <hyperlink ref="B108:J108" location="HL_Err_Chk_74" tooltip="Go to 3017 - Inputs Work Code v Tax Category Direct Check" display="HL_Err_Chk_74" xr:uid="{97474B10-20D1-4DA1-A208-92B4C6FD5168}"/>
    <hyperlink ref="B109:J109" location="HL_Err_Chk_159" tooltip="Go to 3017 - Inputs Customer Contributions v RAB Category Direct Check" display="HL_Err_Chk_159" xr:uid="{FA6133A3-2AA6-4998-ABC5-7366FE0C9837}"/>
    <hyperlink ref="B110:J110" location="HL_Err_Chk_102" tooltip="Go to 3017 - Inputs RAB v RIN Direct + Overhead Check" display="HL_Err_Chk_102" xr:uid="{F9DDB801-F407-4E97-B3A2-54FC4C79EF0C}"/>
    <hyperlink ref="B111:J111" location="HL_Err_Chk_130" tooltip="Go to 3017 - Inputs RAB v Tax Direct + Overhead Check" display="HL_Err_Chk_130" xr:uid="{3A6086DC-2411-4E33-9549-148645FEAB7F}"/>
    <hyperlink ref="B112:J112" location="HL_Err_Chk_19" tooltip="Go to 3018 - Inputs Work Code v RAB Category Direct Check" display="HL_Err_Chk_19" xr:uid="{4B4243BC-965C-4103-9C52-EB6D8F82E2C6}"/>
    <hyperlink ref="B113:J113" location="HL_Err_Chk_47" tooltip="Go to 3018 - Inputs Work Code v RIN Category Direct Check" display="HL_Err_Chk_47" xr:uid="{F32A4E71-05B1-4CF6-86AF-7A12B8B2EB4E}"/>
    <hyperlink ref="B114:J114" location="HL_Err_Chk_75" tooltip="Go to 3018 - Inputs Work Code v Tax Category Direct Check" display="HL_Err_Chk_75" xr:uid="{D467C483-A031-401E-B8FC-B22018C82493}"/>
    <hyperlink ref="B115:J115" location="HL_Err_Chk_160" tooltip="Go to 3018 - Inputs Customer Contributions v RAB Category Direct Check" display="HL_Err_Chk_160" xr:uid="{089A36AB-DB54-4BE7-8A82-7B6915B21609}"/>
    <hyperlink ref="B116:J116" location="HL_Err_Chk_103" tooltip="Go to 3018 - Inputs RAB v RIN Direct + Overhead Check" display="HL_Err_Chk_103" xr:uid="{A355131B-954A-4D01-82B6-6F11EDAAF3FC}"/>
    <hyperlink ref="B117:J117" location="HL_Err_Chk_131" tooltip="Go to 3018 - Inputs RAB v Tax Direct + Overhead Check" display="HL_Err_Chk_131" xr:uid="{9400530C-D7CF-4A86-90A2-13743CDEFA1F}"/>
    <hyperlink ref="B118:J118" location="HL_Err_Chk_20" tooltip="Go to 3019 - Inputs Work Code v RAB Category Direct Check" display="HL_Err_Chk_20" xr:uid="{A2B3B0CC-0B5F-45F9-999A-9D95D93B68F6}"/>
    <hyperlink ref="B119:J119" location="HL_Err_Chk_48" tooltip="Go to 3019 - Inputs Work Code v RIN Category Direct Check" display="HL_Err_Chk_48" xr:uid="{A88D06B6-1102-46C4-A91F-628B0598D6B1}"/>
    <hyperlink ref="B120:J120" location="HL_Err_Chk_76" tooltip="Go to 3019 - Inputs Work Code v Tax Category Direct Check" display="HL_Err_Chk_76" xr:uid="{B2BAA06D-65D2-4367-8492-EA31F8CB4A7D}"/>
    <hyperlink ref="B121:J121" location="HL_Err_Chk_142" tooltip="Go to 3019 - Inputs Customer Contributions v RAB Category Direct Check" display="HL_Err_Chk_142" xr:uid="{96EA57DE-F62D-49FA-BC5E-A11C6A61457D}"/>
    <hyperlink ref="B122:J122" location="HL_Err_Chk_104" tooltip="Go to 3019 - Inputs RAB v RIN Direct + Overhead Check" display="HL_Err_Chk_104" xr:uid="{00D31DCC-6BD1-469D-972A-4305DD814BA1}"/>
    <hyperlink ref="B123:J123" location="HL_Err_Chk_132" tooltip="Go to 3019 - Inputs RAB v Tax Direct + Overhead Check" display="HL_Err_Chk_132" xr:uid="{C6B1B7D8-7673-4C63-88FA-BBAF95E8E1C2}"/>
    <hyperlink ref="B124:J124" location="HL_Err_Chk_21" tooltip="Go to 3020 - Inputs Work Code v RAB Category Direct Check" display="HL_Err_Chk_21" xr:uid="{72483D8B-8E6F-405F-B45B-DA464F23B5FC}"/>
    <hyperlink ref="B125:J125" location="HL_Err_Chk_49" tooltip="Go to 3020 - Inputs Work Code v RIN Category Direct Check" display="HL_Err_Chk_49" xr:uid="{099B45C2-9DAC-4091-9649-EA0EDD432E38}"/>
    <hyperlink ref="B126:J126" location="HL_Err_Chk_77" tooltip="Go to 3020 - Inputs Work Code v Tax Category Direct Check" display="HL_Err_Chk_77" xr:uid="{AB613742-F7C6-4984-867A-048FE11111E5}"/>
    <hyperlink ref="B127:J127" location="HL_Err_Chk_161" tooltip="Go to 3020 - Inputs Customer Contributions v RAB Category Direct Check" display="HL_Err_Chk_161" xr:uid="{B8ED72F9-B9C0-43AF-9332-182E41CBD2BE}"/>
    <hyperlink ref="B128:J128" location="HL_Err_Chk_105" tooltip="Go to 3020 - Inputs RAB v RIN Direct + Overhead Check" display="HL_Err_Chk_105" xr:uid="{FA7E8E2C-046D-4483-8419-72F2107CDFFE}"/>
    <hyperlink ref="B129:J129" location="HL_Err_Chk_133" tooltip="Go to 3020 - Inputs RAB v Tax Direct + Overhead Check" display="HL_Err_Chk_133" xr:uid="{19A85D67-A52E-4B2A-ABFD-D3E618ADCB70}"/>
    <hyperlink ref="B130:J130" location="HL_Err_Chk_22" tooltip="Go to 3021 - Inputs Work Code v RAB Category Direct Check" display="HL_Err_Chk_22" xr:uid="{A6467378-E8E7-4949-9224-E91820FECBE6}"/>
    <hyperlink ref="B131:J131" location="HL_Err_Chk_50" tooltip="Go to 3021 - Inputs Work Code v RIN Category Direct Check" display="HL_Err_Chk_50" xr:uid="{17651542-2810-4262-A66A-967766BB3F58}"/>
    <hyperlink ref="B132:J132" location="HL_Err_Chk_78" tooltip="Go to 3021 - Inputs Work Code v Tax Category Direct Check" display="HL_Err_Chk_78" xr:uid="{ED5EE63A-EBC7-4ECB-9F87-D718DC59DD22}"/>
    <hyperlink ref="B133:J133" location="HL_Err_Chk_162" tooltip="Go to 3021 - Inputs Customer Contributions v RAB Category Direct Check" display="HL_Err_Chk_162" xr:uid="{C2A9E535-6F45-40B1-9D41-B4D9FF1454E4}"/>
    <hyperlink ref="B134:J134" location="HL_Err_Chk_106" tooltip="Go to 3021 - Inputs RAB v RIN Direct + Overhead Check" display="HL_Err_Chk_106" xr:uid="{8163DC88-22DE-4EFF-9789-7EEAF5C5B961}"/>
    <hyperlink ref="B135:J135" location="HL_Err_Chk_134" tooltip="Go to 3021 - Inputs RAB v Tax Direct + Overhead Check" display="HL_Err_Chk_134" xr:uid="{8E37F048-3038-4AD3-83EF-D8A9B3716343}"/>
    <hyperlink ref="B136:J136" location="HL_Err_Chk_23" tooltip="Go to 3022 - Inputs Work Code v RAB Category Direct Check" display="HL_Err_Chk_23" xr:uid="{4E7F64CD-E75B-4A64-9947-0FBAA82A6D17}"/>
    <hyperlink ref="B137:J137" location="HL_Err_Chk_51" tooltip="Go to 3022 - Inputs Work Code v RIN Category Direct Check" display="HL_Err_Chk_51" xr:uid="{F7B5B552-B9CE-413D-B8C5-0E1C16B24A74}"/>
    <hyperlink ref="B138:J138" location="HL_Err_Chk_79" tooltip="Go to 3022 - Inputs Work Code v Tax Category Direct Check" display="HL_Err_Chk_79" xr:uid="{9E68BA4C-4E5C-415D-A7C2-4400BC06D48E}"/>
    <hyperlink ref="B139:J139" location="HL_Err_Chk_163" tooltip="Go to 3022 - Inputs Customer Contributions v RAB Category Direct Check" display="HL_Err_Chk_163" xr:uid="{80E8E781-0C25-4034-B3DC-498239E9DBBB}"/>
    <hyperlink ref="B140:J140" location="HL_Err_Chk_107" tooltip="Go to 3022 - Inputs RAB v RIN Direct + Overhead Check" display="HL_Err_Chk_107" xr:uid="{1029A869-4FB8-4B49-A586-C64F2FCB5815}"/>
    <hyperlink ref="B141:J141" location="HL_Err_Chk_135" tooltip="Go to 3022 - Inputs RAB v Tax Direct + Overhead Check" display="HL_Err_Chk_135" xr:uid="{631D7D68-82AC-489E-A446-52D8EB163C68}"/>
    <hyperlink ref="B142:J142" location="HL_Err_Chk_24" tooltip="Go to 3023 - Inputs Work Code v RAB Category Direct Check" display="HL_Err_Chk_24" xr:uid="{900987D7-4CDB-4905-8BD8-A8F7A1B9FB16}"/>
    <hyperlink ref="B143:J143" location="HL_Err_Chk_52" tooltip="Go to 3023 - Inputs Work Code v RIN Category Direct Check" display="HL_Err_Chk_52" xr:uid="{A2C4E4FE-F496-4A02-B5D9-4E6BF4926A2A}"/>
    <hyperlink ref="B144:J144" location="HL_Err_Chk_80" tooltip="Go to 3023 - Inputs Work Code v Tax Category Direct Check" display="HL_Err_Chk_80" xr:uid="{E1F8793C-A36D-4CD6-A082-DCD480629072}"/>
    <hyperlink ref="B145:J145" location="HL_Err_Chk_164" tooltip="Go to 3023 - Inputs Customer Contributions v RAB Category Direct Check" display="HL_Err_Chk_164" xr:uid="{50C8BAC8-9ED6-4DBB-A31C-2AD9A3DBC242}"/>
    <hyperlink ref="B146:J146" location="HL_Err_Chk_108" tooltip="Go to 3023 - Inputs RAB v RIN Direct + Overhead Check" display="HL_Err_Chk_108" xr:uid="{B913C65F-556B-4C46-B7EA-618B36183806}"/>
    <hyperlink ref="B147:J147" location="HL_Err_Chk_136" tooltip="Go to 3023 - Inputs RAB v Tax Direct + Overhead Check" display="HL_Err_Chk_136" xr:uid="{DBEC6360-9AD4-4584-8E18-119C5424A7CD}"/>
    <hyperlink ref="B148:J148" location="HL_Err_Chk_25" tooltip="Go to 3024 - Inputs Work Code v RAB Category Direct Check" display="HL_Err_Chk_25" xr:uid="{DD166C54-B154-4004-B066-4929E24A26E6}"/>
    <hyperlink ref="B149:J149" location="HL_Err_Chk_53" tooltip="Go to 3024 - Inputs Work Code v RIN Category Direct Check" display="HL_Err_Chk_53" xr:uid="{7E9DA0F9-399B-43D6-8C15-0E5C218DA836}"/>
    <hyperlink ref="B150:J150" location="HL_Err_Chk_81" tooltip="Go to 3024 - Inputs Work Code v Tax Category Direct Check" display="HL_Err_Chk_81" xr:uid="{6DE149DB-4DAC-4762-A23E-AC3C73428381}"/>
    <hyperlink ref="B151:J151" location="HL_Err_Chk_165" tooltip="Go to 3024 - Inputs Customer Contributions v RAB Category Direct Check" display="HL_Err_Chk_165" xr:uid="{6EF02686-2E3A-4FDC-9BC1-7C4D6BACED7B}"/>
    <hyperlink ref="B152:J152" location="HL_Err_Chk_109" tooltip="Go to 3024 - Inputs RAB v RIN Direct + Overhead Check" display="HL_Err_Chk_109" xr:uid="{21AD1D91-A51E-413D-A0F0-9DB8E861945C}"/>
    <hyperlink ref="B153:J153" location="HL_Err_Chk_137" tooltip="Go to 3024 - Inputs RAB v Tax Direct + Overhead Check" display="HL_Err_Chk_137" xr:uid="{CF674385-B791-4660-828A-9C7666199D86}"/>
    <hyperlink ref="B154:J154" location="HL_Err_Chk_26" tooltip="Go to 3025 - Inputs Work Code v RAB Category Direct Check" display="HL_Err_Chk_26" xr:uid="{DE4C32C8-290D-4EB7-AD24-AC0211D9143D}"/>
    <hyperlink ref="B155:J155" location="HL_Err_Chk_54" tooltip="Go to 3025 - Inputs Work Code v RIN Category Direct Check" display="HL_Err_Chk_54" xr:uid="{C6B77C02-A9E6-4972-910B-A77A546FCD0E}"/>
    <hyperlink ref="B156:J156" location="HL_Err_Chk_82" tooltip="Go to 3025 - Inputs Work Code v Tax Category Direct Check" display="HL_Err_Chk_82" xr:uid="{4B3E1720-0182-4193-999A-DF05A96C92B4}"/>
    <hyperlink ref="B157:J157" location="HL_Err_Chk_166" tooltip="Go to 3025 - Inputs Customer Contributions v RAB Category Direct Check" display="HL_Err_Chk_166" xr:uid="{764C15F7-23EB-4BE6-8815-7F635C668B02}"/>
    <hyperlink ref="B158:J158" location="HL_Err_Chk_110" tooltip="Go to 3025 - Inputs RAB v RIN Direct + Overhead Check" display="HL_Err_Chk_110" xr:uid="{C5AE955D-68C9-4AFF-A647-0AA324464DBC}"/>
    <hyperlink ref="B159:J159" location="HL_Err_Chk_138" tooltip="Go to 3025 - Inputs RAB v Tax Direct + Overhead Check" display="HL_Err_Chk_138" xr:uid="{5AF50711-88E5-4370-89A9-1335F9248133}"/>
    <hyperlink ref="B160:J160" location="HL_Err_Chk_27" tooltip="Go to 3027 - Inputs Work Code v RAB Category Direct Check" display="HL_Err_Chk_27" xr:uid="{64EA7232-1DB6-476B-A57A-1582D7C1D018}"/>
    <hyperlink ref="B161:J161" location="HL_Err_Chk_55" tooltip="Go to 3027 - Inputs Work Code v RIN Category Direct Check" display="HL_Err_Chk_55" xr:uid="{DB7E818D-AEC8-4AF3-B90F-108A857C8576}"/>
    <hyperlink ref="B162:J162" location="HL_Err_Chk_83" tooltip="Go to 3027 - Inputs Work Code v Tax Category Direct Check" display="HL_Err_Chk_83" xr:uid="{16A4064B-8D28-4D33-90BC-1BB5E37199BB}"/>
    <hyperlink ref="B163:J163" location="HL_Err_Chk_167" tooltip="Go to 3027 - Inputs Customer Contributions v RAB Category Direct Check" display="HL_Err_Chk_167" xr:uid="{71DF9DBB-80D7-4876-B46A-41EFDAD311DE}"/>
    <hyperlink ref="B164:J164" location="HL_Err_Chk_111" tooltip="Go to 3027 - Inputs RAB v RIN Direct + Overhead Check" display="HL_Err_Chk_111" xr:uid="{8011985E-404B-42EA-AF7C-1BFCFEFFF6CC}"/>
    <hyperlink ref="B165:J165" location="HL_Err_Chk_139" tooltip="Go to 3027 - Inputs RAB v Tax Direct + Overhead Check" display="HL_Err_Chk_139" xr:uid="{B9CBDDAA-5F21-4007-8600-CCFAB790A9F2}"/>
    <hyperlink ref="B166:J166" location="HL_Err_Chk_28" tooltip="Go to 3031 - Inputs Work Code v RAB Category Direct Check" display="HL_Err_Chk_28" xr:uid="{D7E42F7A-9911-4999-8A9E-C65B5E3B4D53}"/>
    <hyperlink ref="B167:J167" location="HL_Err_Chk_56" tooltip="Go to 3031 - Inputs Work Code v RIN Category Direct Check" display="HL_Err_Chk_56" xr:uid="{5C1090DD-4AEA-4260-8336-380B0F9FE405}"/>
    <hyperlink ref="B168:J168" location="HL_Err_Chk_84" tooltip="Go to 3031 - Inputs Work Code v Tax Category Direct Check" display="HL_Err_Chk_84" xr:uid="{CEE18E34-5209-49E6-B5FF-15F086566F29}"/>
    <hyperlink ref="B169:J169" location="HL_Err_Chk_168" tooltip="Go to 3031 - Inputs Customer Contributions v RAB Category Direct Check" display="HL_Err_Chk_168" xr:uid="{C9A2F6B0-01D4-47FB-9FC2-35C253203CDE}"/>
    <hyperlink ref="B170:J170" location="HL_Err_Chk_112" tooltip="Go to 3031 - Inputs RAB v RIN Direct + Overhead Check" display="HL_Err_Chk_112" xr:uid="{848CDFD7-9E7B-452C-B6B3-34CAA16A25CC}"/>
    <hyperlink ref="B171:J171" location="HL_Err_Chk_140" tooltip="Go to 3031 - Inputs RAB v Tax Direct + Overhead Check" display="HL_Err_Chk_140" xr:uid="{E4373BAA-58E0-4F4F-8F4A-F84D769AA692}"/>
    <hyperlink ref="B172:J172" location="HL_Err_Chk_1" tooltip="Go to $FY21 RAB Category Direct Check" display="HL_Err_Chk_1" xr:uid="{9A7E5454-3F78-4B2F-BE59-320C423F5B61}"/>
    <hyperlink ref="A2" location="HL_Err_Chk" tooltip="Go to Error Checks" display="HL_Err_Chk" xr:uid="{0B1F9F86-4E9D-4170-8F77-5711A1AC2419}"/>
  </hyperlinks>
  <pageMargins left="0.39370078740157499" right="0.39370078740157499" top="0.59055118110236204" bottom="0.98425196850393704" header="0" footer="0.31496062992126"/>
  <pageSetup paperSize="9" orientation="landscape" r:id="rId1"/>
  <headerFooter>
    <oddFooter>&amp;L&amp;F
&amp;A
Printed: &amp;T on &amp;D&amp;CPage &amp;P of &amp;N</oddFooter>
  </headerFooter>
  <customProperties>
    <customPr name="EpmWorksheetKeyString_GUID" r:id="rId2"/>
  </customPropertie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DE8378-2B90-480D-98D7-993F937BAB6A}">
  <sheetPr>
    <pageSetUpPr autoPageBreaks="0"/>
  </sheetPr>
  <dimension ref="A1:I68"/>
  <sheetViews>
    <sheetView showGridLines="0" zoomScaleNormal="100" workbookViewId="0">
      <pane xSplit="1" ySplit="2" topLeftCell="B3" activePane="bottomRight" state="frozen"/>
      <selection activeCell="I248" sqref="I248"/>
      <selection pane="topRight" activeCell="I248" sqref="I248"/>
      <selection pane="bottomLeft" activeCell="I248" sqref="I248"/>
      <selection pane="bottomRight" activeCell="I248" sqref="I248"/>
    </sheetView>
  </sheetViews>
  <sheetFormatPr defaultColWidth="11.59765625" defaultRowHeight="11.5" outlineLevelRow="2"/>
  <cols>
    <col min="1" max="5" width="3.59765625" customWidth="1"/>
  </cols>
  <sheetData>
    <row r="1" spans="1:9" ht="14">
      <c r="A1" s="10" t="s">
        <v>11</v>
      </c>
      <c r="B1" s="6" t="s">
        <v>27</v>
      </c>
    </row>
    <row r="2" spans="1:9" ht="13">
      <c r="A2" s="23" t="s">
        <v>26</v>
      </c>
      <c r="B2" s="7" t="str">
        <f ca="1">Model_Name</f>
        <v>GAAR Capex Forecast</v>
      </c>
    </row>
    <row r="3" spans="1:9" s="41" customFormat="1"/>
    <row r="4" spans="1:9" s="47" customFormat="1">
      <c r="A4" s="41"/>
      <c r="B4" s="47" t="s">
        <v>28</v>
      </c>
    </row>
    <row r="5" spans="1:9" s="41" customFormat="1" outlineLevel="1"/>
    <row r="6" spans="1:9" s="41" customFormat="1" outlineLevel="1">
      <c r="B6" s="48" t="s">
        <v>76</v>
      </c>
    </row>
    <row r="7" spans="1:9" s="41" customFormat="1" ht="5.9" customHeight="1" outlineLevel="1"/>
    <row r="8" spans="1:9" s="41" customFormat="1" outlineLevel="1">
      <c r="B8" s="43" t="s">
        <v>29</v>
      </c>
      <c r="H8" s="228" t="s">
        <v>30</v>
      </c>
      <c r="I8" s="228"/>
    </row>
    <row r="9" spans="1:9" s="41" customFormat="1" outlineLevel="1">
      <c r="B9" s="43" t="s">
        <v>88</v>
      </c>
      <c r="H9" s="225" t="s">
        <v>452</v>
      </c>
      <c r="I9" s="225"/>
    </row>
    <row r="10" spans="1:9" s="41" customFormat="1" outlineLevel="1">
      <c r="B10" s="43" t="s">
        <v>77</v>
      </c>
      <c r="H10" s="49">
        <v>12</v>
      </c>
    </row>
    <row r="11" spans="1:9" s="41" customFormat="1" outlineLevel="1">
      <c r="B11" s="43" t="s">
        <v>78</v>
      </c>
      <c r="H11" s="229">
        <v>2018</v>
      </c>
      <c r="I11" s="229"/>
    </row>
    <row r="12" spans="1:9" s="41" customFormat="1" outlineLevel="1">
      <c r="B12" s="43" t="s">
        <v>31</v>
      </c>
      <c r="H12" s="230">
        <v>5</v>
      </c>
      <c r="I12" s="230"/>
    </row>
    <row r="13" spans="1:9" s="41" customFormat="1" outlineLevel="2">
      <c r="B13" s="43" t="s">
        <v>32</v>
      </c>
      <c r="H13" s="231">
        <f>EDATE(DATE(Ts_First_Fin_Yr,DD_Ts_Fin_Yr_End_Mth,1),-Ts_Mths_In_Yr+1)</f>
        <v>43101</v>
      </c>
      <c r="I13" s="231"/>
    </row>
    <row r="14" spans="1:9" s="41" customFormat="1" outlineLevel="2">
      <c r="B14" s="43" t="s">
        <v>33</v>
      </c>
      <c r="H14" s="232">
        <f>EDATE(Ts_Start_Date,Ts_Current_Reg_Term*Ts_Mths_In_Yr)-1</f>
        <v>44926</v>
      </c>
      <c r="I14" s="232"/>
    </row>
    <row r="15" spans="1:9" s="41" customFormat="1" outlineLevel="1">
      <c r="B15" s="43" t="s">
        <v>34</v>
      </c>
      <c r="H15" s="55" t="s">
        <v>35</v>
      </c>
      <c r="I15" s="49">
        <v>2</v>
      </c>
    </row>
    <row r="16" spans="1:9" s="41" customFormat="1" hidden="1" outlineLevel="2">
      <c r="B16" s="43" t="s">
        <v>36</v>
      </c>
      <c r="H16" s="238">
        <f>INDEX(LU_Ts_Denom_Conv,DD_Ts_Denom)</f>
        <v>1000</v>
      </c>
      <c r="I16" s="238"/>
    </row>
    <row r="17" spans="2:9" s="41" customFormat="1">
      <c r="B17" s="24" t="s">
        <v>205</v>
      </c>
      <c r="H17" s="239">
        <v>2021</v>
      </c>
      <c r="I17" s="239"/>
    </row>
    <row r="18" spans="2:9" s="41" customFormat="1"/>
    <row r="19" spans="2:9" s="41" customFormat="1">
      <c r="B19" s="50" t="s">
        <v>79</v>
      </c>
    </row>
    <row r="20" spans="2:9" s="41" customFormat="1" ht="5.9" customHeight="1"/>
    <row r="21" spans="2:9" s="41" customFormat="1">
      <c r="B21" s="43" t="s">
        <v>80</v>
      </c>
      <c r="H21" s="235">
        <f>Ts_End_Date+1</f>
        <v>44927</v>
      </c>
      <c r="I21" s="235"/>
    </row>
    <row r="22" spans="2:9" s="41" customFormat="1">
      <c r="B22" s="43" t="s">
        <v>75</v>
      </c>
      <c r="H22" s="230">
        <v>6</v>
      </c>
      <c r="I22" s="236"/>
    </row>
    <row r="23" spans="2:9" s="41" customFormat="1">
      <c r="B23" s="43" t="s">
        <v>81</v>
      </c>
      <c r="H23" s="231">
        <f>EOMONTH(Ts_Stub_Start_Date-1,Ts_Stub_Length)</f>
        <v>45107</v>
      </c>
      <c r="I23" s="231"/>
    </row>
    <row r="24" spans="2:9" s="41" customFormat="1"/>
    <row r="25" spans="2:9" s="41" customFormat="1"/>
    <row r="26" spans="2:9" s="41" customFormat="1">
      <c r="B26" s="50" t="s">
        <v>82</v>
      </c>
    </row>
    <row r="27" spans="2:9" s="41" customFormat="1" ht="5.9" customHeight="1"/>
    <row r="28" spans="2:9" s="41" customFormat="1">
      <c r="B28" s="43" t="s">
        <v>88</v>
      </c>
      <c r="H28" s="225" t="s">
        <v>89</v>
      </c>
      <c r="I28" s="234"/>
    </row>
    <row r="29" spans="2:9" s="41" customFormat="1">
      <c r="B29" s="43" t="s">
        <v>83</v>
      </c>
      <c r="H29" s="237">
        <f>Ts_Stub_End_Date+1</f>
        <v>45108</v>
      </c>
      <c r="I29" s="233"/>
    </row>
    <row r="30" spans="2:9" s="41" customFormat="1">
      <c r="B30" s="43" t="s">
        <v>84</v>
      </c>
      <c r="H30" s="230">
        <v>5</v>
      </c>
      <c r="I30" s="236"/>
    </row>
    <row r="31" spans="2:9" s="41" customFormat="1">
      <c r="B31" s="43" t="s">
        <v>85</v>
      </c>
      <c r="H31" s="231">
        <f>EOMONTH(Ts_Forecast_Reg_Start_Date-1,Ts_Forecast_Reg_Term*Ts_Mths_In_Yr)</f>
        <v>46934</v>
      </c>
      <c r="I31" s="231"/>
    </row>
    <row r="32" spans="2:9" s="41" customFormat="1"/>
    <row r="33" spans="2:9" s="41" customFormat="1"/>
    <row r="34" spans="2:9" s="41" customFormat="1">
      <c r="B34" s="43" t="s">
        <v>86</v>
      </c>
      <c r="H34" s="233">
        <f>Ts_Current_Reg_Term+Ts_Forecast_Reg_Term+ROUNDUP(Ts_Stub_Length/Ts_Mths_In_Yr,0)</f>
        <v>11</v>
      </c>
      <c r="I34" s="233"/>
    </row>
    <row r="35" spans="2:9" s="41" customFormat="1"/>
    <row r="36" spans="2:9" s="41" customFormat="1"/>
    <row r="37" spans="2:9" s="41" customFormat="1"/>
    <row r="38" spans="2:9" s="41" customFormat="1"/>
    <row r="39" spans="2:9" s="41" customFormat="1"/>
    <row r="40" spans="2:9" s="41" customFormat="1">
      <c r="D40" s="226" t="s">
        <v>187</v>
      </c>
      <c r="E40" s="226"/>
      <c r="F40" s="226"/>
      <c r="G40" s="226" t="s">
        <v>186</v>
      </c>
      <c r="H40" s="226"/>
      <c r="I40" s="226"/>
    </row>
    <row r="41" spans="2:9" s="41" customFormat="1" ht="5.9" customHeight="1"/>
    <row r="42" spans="2:9" s="41" customFormat="1">
      <c r="D42" s="225">
        <v>3001</v>
      </c>
      <c r="E42" s="225"/>
      <c r="F42" s="225"/>
      <c r="G42" s="227" t="s">
        <v>162</v>
      </c>
      <c r="H42" s="227"/>
      <c r="I42" s="227"/>
    </row>
    <row r="43" spans="2:9" s="41" customFormat="1">
      <c r="D43" s="225">
        <v>3002</v>
      </c>
      <c r="E43" s="225"/>
      <c r="F43" s="225"/>
      <c r="G43" s="227" t="s">
        <v>163</v>
      </c>
      <c r="H43" s="227"/>
      <c r="I43" s="227"/>
    </row>
    <row r="44" spans="2:9" s="41" customFormat="1">
      <c r="D44" s="225">
        <v>3003</v>
      </c>
      <c r="E44" s="225"/>
      <c r="F44" s="225"/>
      <c r="G44" s="227" t="s">
        <v>164</v>
      </c>
      <c r="H44" s="227"/>
      <c r="I44" s="227"/>
    </row>
    <row r="45" spans="2:9" s="41" customFormat="1">
      <c r="D45" s="225">
        <v>3004</v>
      </c>
      <c r="E45" s="225"/>
      <c r="F45" s="225"/>
      <c r="G45" s="227" t="s">
        <v>165</v>
      </c>
      <c r="H45" s="227"/>
      <c r="I45" s="227"/>
    </row>
    <row r="46" spans="2:9" s="41" customFormat="1">
      <c r="D46" s="225">
        <v>3005</v>
      </c>
      <c r="E46" s="225"/>
      <c r="F46" s="225"/>
      <c r="G46" s="227" t="s">
        <v>166</v>
      </c>
      <c r="H46" s="227"/>
      <c r="I46" s="227"/>
    </row>
    <row r="47" spans="2:9" s="41" customFormat="1">
      <c r="D47" s="225">
        <v>3006</v>
      </c>
      <c r="E47" s="225"/>
      <c r="F47" s="225"/>
      <c r="G47" s="227" t="s">
        <v>167</v>
      </c>
      <c r="H47" s="227"/>
      <c r="I47" s="227"/>
    </row>
    <row r="48" spans="2:9" s="41" customFormat="1">
      <c r="D48" s="225">
        <v>3007</v>
      </c>
      <c r="E48" s="225"/>
      <c r="F48" s="225"/>
      <c r="G48" s="227" t="s">
        <v>168</v>
      </c>
      <c r="H48" s="227"/>
      <c r="I48" s="227"/>
    </row>
    <row r="49" spans="4:9" s="41" customFormat="1">
      <c r="D49" s="225">
        <v>3008</v>
      </c>
      <c r="E49" s="225"/>
      <c r="F49" s="225"/>
      <c r="G49" s="227" t="s">
        <v>169</v>
      </c>
      <c r="H49" s="227"/>
      <c r="I49" s="227"/>
    </row>
    <row r="50" spans="4:9" s="41" customFormat="1">
      <c r="D50" s="225">
        <v>3009</v>
      </c>
      <c r="E50" s="225"/>
      <c r="F50" s="225"/>
      <c r="G50" s="227" t="s">
        <v>170</v>
      </c>
      <c r="H50" s="227"/>
      <c r="I50" s="227"/>
    </row>
    <row r="51" spans="4:9" s="41" customFormat="1">
      <c r="D51" s="225">
        <v>3010</v>
      </c>
      <c r="E51" s="225"/>
      <c r="F51" s="225"/>
      <c r="G51" s="227" t="s">
        <v>171</v>
      </c>
      <c r="H51" s="227"/>
      <c r="I51" s="227"/>
    </row>
    <row r="52" spans="4:9" s="41" customFormat="1">
      <c r="D52" s="225">
        <v>3011</v>
      </c>
      <c r="E52" s="225"/>
      <c r="F52" s="225"/>
      <c r="G52" s="227" t="s">
        <v>172</v>
      </c>
      <c r="H52" s="227"/>
      <c r="I52" s="227"/>
    </row>
    <row r="53" spans="4:9" s="41" customFormat="1">
      <c r="D53" s="225">
        <v>3012</v>
      </c>
      <c r="E53" s="225"/>
      <c r="F53" s="225"/>
      <c r="G53" s="227" t="s">
        <v>173</v>
      </c>
      <c r="H53" s="227"/>
      <c r="I53" s="227"/>
    </row>
    <row r="54" spans="4:9" s="41" customFormat="1">
      <c r="D54" s="225">
        <v>3013</v>
      </c>
      <c r="E54" s="225"/>
      <c r="F54" s="225"/>
      <c r="G54" s="227" t="s">
        <v>174</v>
      </c>
      <c r="H54" s="227"/>
      <c r="I54" s="227"/>
    </row>
    <row r="55" spans="4:9" s="41" customFormat="1">
      <c r="D55" s="225">
        <v>3014</v>
      </c>
      <c r="E55" s="225"/>
      <c r="F55" s="225"/>
      <c r="G55" s="227" t="s">
        <v>175</v>
      </c>
      <c r="H55" s="227"/>
      <c r="I55" s="227"/>
    </row>
    <row r="56" spans="4:9" s="41" customFormat="1">
      <c r="D56" s="225">
        <v>3015</v>
      </c>
      <c r="E56" s="225"/>
      <c r="F56" s="225"/>
      <c r="G56" s="227" t="s">
        <v>176</v>
      </c>
      <c r="H56" s="227"/>
      <c r="I56" s="227"/>
    </row>
    <row r="57" spans="4:9" s="41" customFormat="1">
      <c r="D57" s="225">
        <v>3016</v>
      </c>
      <c r="E57" s="225"/>
      <c r="F57" s="225"/>
      <c r="G57" s="227" t="s">
        <v>146</v>
      </c>
      <c r="H57" s="227"/>
      <c r="I57" s="227"/>
    </row>
    <row r="58" spans="4:9" s="41" customFormat="1">
      <c r="D58" s="225">
        <v>3017</v>
      </c>
      <c r="E58" s="225"/>
      <c r="F58" s="225"/>
      <c r="G58" s="227" t="s">
        <v>144</v>
      </c>
      <c r="H58" s="227"/>
      <c r="I58" s="227"/>
    </row>
    <row r="59" spans="4:9" s="41" customFormat="1">
      <c r="D59" s="225">
        <v>3018</v>
      </c>
      <c r="E59" s="225"/>
      <c r="F59" s="225"/>
      <c r="G59" s="227" t="s">
        <v>177</v>
      </c>
      <c r="H59" s="227"/>
      <c r="I59" s="227"/>
    </row>
    <row r="60" spans="4:9" s="41" customFormat="1">
      <c r="D60" s="225">
        <v>3019</v>
      </c>
      <c r="E60" s="225"/>
      <c r="F60" s="225"/>
      <c r="G60" s="227" t="s">
        <v>178</v>
      </c>
      <c r="H60" s="227"/>
      <c r="I60" s="227"/>
    </row>
    <row r="61" spans="4:9" s="41" customFormat="1">
      <c r="D61" s="225">
        <v>3020</v>
      </c>
      <c r="E61" s="225"/>
      <c r="F61" s="225"/>
      <c r="G61" s="227" t="s">
        <v>179</v>
      </c>
      <c r="H61" s="227"/>
      <c r="I61" s="227"/>
    </row>
    <row r="62" spans="4:9" s="41" customFormat="1">
      <c r="D62" s="225">
        <v>3021</v>
      </c>
      <c r="E62" s="225"/>
      <c r="F62" s="225"/>
      <c r="G62" s="227" t="s">
        <v>180</v>
      </c>
      <c r="H62" s="227"/>
      <c r="I62" s="227"/>
    </row>
    <row r="63" spans="4:9" s="41" customFormat="1">
      <c r="D63" s="225">
        <v>3022</v>
      </c>
      <c r="E63" s="225"/>
      <c r="F63" s="225"/>
      <c r="G63" s="227" t="s">
        <v>181</v>
      </c>
      <c r="H63" s="227"/>
      <c r="I63" s="227"/>
    </row>
    <row r="64" spans="4:9" s="41" customFormat="1">
      <c r="D64" s="225">
        <v>3023</v>
      </c>
      <c r="E64" s="225"/>
      <c r="F64" s="225"/>
      <c r="G64" s="227" t="s">
        <v>182</v>
      </c>
      <c r="H64" s="227"/>
      <c r="I64" s="227"/>
    </row>
    <row r="65" spans="4:9" s="41" customFormat="1">
      <c r="D65" s="225">
        <v>3024</v>
      </c>
      <c r="E65" s="225"/>
      <c r="F65" s="225"/>
      <c r="G65" s="227" t="s">
        <v>183</v>
      </c>
      <c r="H65" s="227"/>
      <c r="I65" s="227"/>
    </row>
    <row r="66" spans="4:9" s="41" customFormat="1">
      <c r="D66" s="225">
        <v>3025</v>
      </c>
      <c r="E66" s="225"/>
      <c r="F66" s="225"/>
      <c r="G66" s="227" t="s">
        <v>184</v>
      </c>
      <c r="H66" s="227"/>
      <c r="I66" s="227"/>
    </row>
    <row r="67" spans="4:9" s="41" customFormat="1">
      <c r="D67" s="225" t="s">
        <v>107</v>
      </c>
      <c r="E67" s="225"/>
      <c r="F67" s="225"/>
      <c r="G67" s="227" t="s">
        <v>107</v>
      </c>
      <c r="H67" s="227"/>
      <c r="I67" s="227"/>
    </row>
    <row r="68" spans="4:9" s="41" customFormat="1">
      <c r="D68" s="225" t="s">
        <v>161</v>
      </c>
      <c r="E68" s="225"/>
      <c r="F68" s="225"/>
      <c r="G68" s="227" t="s">
        <v>185</v>
      </c>
      <c r="H68" s="227"/>
      <c r="I68" s="227"/>
    </row>
  </sheetData>
  <sheetProtection formatColumns="0" formatRows="0"/>
  <mergeCells count="72">
    <mergeCell ref="H34:I34"/>
    <mergeCell ref="H9:I9"/>
    <mergeCell ref="H28:I28"/>
    <mergeCell ref="H21:I21"/>
    <mergeCell ref="H22:I22"/>
    <mergeCell ref="H23:I23"/>
    <mergeCell ref="H29:I29"/>
    <mergeCell ref="H30:I30"/>
    <mergeCell ref="H31:I31"/>
    <mergeCell ref="H16:I16"/>
    <mergeCell ref="H17:I17"/>
    <mergeCell ref="H8:I8"/>
    <mergeCell ref="H11:I11"/>
    <mergeCell ref="H12:I12"/>
    <mergeCell ref="H13:I13"/>
    <mergeCell ref="H14:I14"/>
    <mergeCell ref="G42:I42"/>
    <mergeCell ref="G43:I43"/>
    <mergeCell ref="G44:I44"/>
    <mergeCell ref="G45:I45"/>
    <mergeCell ref="G46:I46"/>
    <mergeCell ref="G47:I47"/>
    <mergeCell ref="G48:I48"/>
    <mergeCell ref="G49:I49"/>
    <mergeCell ref="G50:I50"/>
    <mergeCell ref="G51:I51"/>
    <mergeCell ref="G52:I52"/>
    <mergeCell ref="G53:I53"/>
    <mergeCell ref="G54:I54"/>
    <mergeCell ref="G55:I55"/>
    <mergeCell ref="G56:I56"/>
    <mergeCell ref="G63:I63"/>
    <mergeCell ref="G64:I64"/>
    <mergeCell ref="G65:I65"/>
    <mergeCell ref="G66:I66"/>
    <mergeCell ref="G57:I57"/>
    <mergeCell ref="G58:I58"/>
    <mergeCell ref="G59:I59"/>
    <mergeCell ref="G60:I60"/>
    <mergeCell ref="G61:I61"/>
    <mergeCell ref="G68:I68"/>
    <mergeCell ref="D42:F42"/>
    <mergeCell ref="D43:F43"/>
    <mergeCell ref="D44:F44"/>
    <mergeCell ref="D45:F45"/>
    <mergeCell ref="D46:F46"/>
    <mergeCell ref="D47:F47"/>
    <mergeCell ref="D48:F48"/>
    <mergeCell ref="D49:F49"/>
    <mergeCell ref="D50:F50"/>
    <mergeCell ref="D51:F51"/>
    <mergeCell ref="D52:F52"/>
    <mergeCell ref="D53:F53"/>
    <mergeCell ref="D54:F54"/>
    <mergeCell ref="D55:F55"/>
    <mergeCell ref="G62:I62"/>
    <mergeCell ref="D66:F66"/>
    <mergeCell ref="D67:F67"/>
    <mergeCell ref="D68:F68"/>
    <mergeCell ref="D40:F40"/>
    <mergeCell ref="G40:I40"/>
    <mergeCell ref="D61:F61"/>
    <mergeCell ref="D62:F62"/>
    <mergeCell ref="D63:F63"/>
    <mergeCell ref="D64:F64"/>
    <mergeCell ref="D65:F65"/>
    <mergeCell ref="D56:F56"/>
    <mergeCell ref="D57:F57"/>
    <mergeCell ref="D58:F58"/>
    <mergeCell ref="D59:F59"/>
    <mergeCell ref="D60:F60"/>
    <mergeCell ref="G67:I67"/>
  </mergeCells>
  <dataValidations count="5">
    <dataValidation type="whole" showDropDown="1" showErrorMessage="1" errorTitle="Drop Down Box Cell Link" error="The value in a drop down box cell link must be a whole number within the control's lookup range rows." sqref="H10" xr:uid="{C103FE39-37DA-40EF-90CD-96324029CB6D}">
      <formula1>1</formula1>
      <formula2>ROWS(LU_Ts_Mth_Names)</formula2>
    </dataValidation>
    <dataValidation type="whole" operator="greaterThanOrEqual" showDropDown="1" showErrorMessage="1" errorTitle="First Financial Year" error="The first financial year must be a whole number greater than or equal to 1904." sqref="H11:I11 H17:I17" xr:uid="{796E3AA6-52BE-4D62-88C4-069530E3FE27}">
      <formula1>1904</formula1>
    </dataValidation>
    <dataValidation type="whole" operator="greaterThan" showDropDown="1" showErrorMessage="1" errorTitle="Term (Years)" error="The term must be a whole number of years greater than zero." sqref="H12:I12" xr:uid="{9E3968B9-9A5B-4538-B90E-1215F10B055A}">
      <formula1>0</formula1>
    </dataValidation>
    <dataValidation type="whole" showDropDown="1" showErrorMessage="1" errorTitle="Drop Down Box Cell Link" error="The value in a drop down box cell link must be a whole number within the control's lookup range rows." sqref="I15" xr:uid="{110666C0-4176-4028-B3C9-18B62AD72C5D}">
      <formula1>1</formula1>
      <formula2>ROWS(LU_Ts_Denom)</formula2>
    </dataValidation>
    <dataValidation type="custom" showErrorMessage="1" errorTitle="Invalid Assumption" error="Assumption must be a number." sqref="H22:I22 H30:I30" xr:uid="{7D0DF524-E1E3-4E45-8A18-1E0C1F453518}">
      <formula1>NOT(ISERROR(H22/1))</formula1>
    </dataValidation>
  </dataValidations>
  <hyperlinks>
    <hyperlink ref="A1" location="HL_Home" tooltip="Go to Table of Contents" display="HL_Home" xr:uid="{45D15924-1E83-4B8B-B63F-8D0AFD9B0E68}"/>
    <hyperlink ref="A2" location="HL_Err_Chk" tooltip="Go to Error Checks" display="HL_Err_Chk" xr:uid="{2B7C0EA8-192A-45B0-9DA1-7D44A9EE803E}"/>
  </hyperlinks>
  <pageMargins left="0.39370078740157499" right="0.39370078740157499" top="0.59055118110236204" bottom="0.98425196850393704" header="0" footer="0.31496062992126"/>
  <pageSetup paperSize="9" orientation="landscape" r:id="rId1"/>
  <headerFooter>
    <oddFooter>&amp;L&amp;F
&amp;A
Printed: &amp;T on &amp;D&amp;CPage &amp;P of &amp;N</oddFooter>
  </headerFooter>
  <customProperties>
    <customPr name="EpmWorksheetKeyString_GUID" r:id="rId2"/>
  </customProperties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49" r:id="rId5" name="bpmDropDownTs1">
              <controlPr defaultSize="0" autoFill="0" autoPict="0">
                <anchor moveWithCells="1" sizeWithCells="1">
                  <from>
                    <xdr:col>7</xdr:col>
                    <xdr:colOff>0</xdr:colOff>
                    <xdr:row>9</xdr:row>
                    <xdr:rowOff>0</xdr:rowOff>
                  </from>
                  <to>
                    <xdr:col>9</xdr:col>
                    <xdr:colOff>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0" r:id="rId6" name="bpmDropDownTs2">
              <controlPr defaultSize="0" autoFill="0" autoPict="0">
                <anchor moveWithCells="1" sizeWithCells="1">
                  <from>
                    <xdr:col>8</xdr:col>
                    <xdr:colOff>0</xdr:colOff>
                    <xdr:row>14</xdr:row>
                    <xdr:rowOff>0</xdr:rowOff>
                  </from>
                  <to>
                    <xdr:col>9</xdr:col>
                    <xdr:colOff>0</xdr:colOff>
                    <xdr:row>15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7A7FEA-638D-4062-BDF5-1BE81FD596B2}">
  <sheetPr>
    <pageSetUpPr autoPageBreaks="0" fitToPage="1"/>
  </sheetPr>
  <dimension ref="C9:G20"/>
  <sheetViews>
    <sheetView showGridLines="0" topLeftCell="A7" zoomScaleNormal="100" workbookViewId="0">
      <selection activeCell="I248" sqref="I248"/>
    </sheetView>
  </sheetViews>
  <sheetFormatPr defaultColWidth="11.59765625" defaultRowHeight="11.5"/>
  <cols>
    <col min="3" max="6" width="3.59765625" customWidth="1"/>
  </cols>
  <sheetData>
    <row r="9" spans="3:7" ht="14">
      <c r="C9" s="6" t="s">
        <v>122</v>
      </c>
    </row>
    <row r="10" spans="3:7" ht="13">
      <c r="C10" s="9" t="s">
        <v>115</v>
      </c>
    </row>
    <row r="11" spans="3:7" ht="13">
      <c r="C11" s="7" t="str">
        <f ca="1">Model_Name</f>
        <v>GAAR Capex Forecast</v>
      </c>
    </row>
    <row r="12" spans="3:7">
      <c r="C12" s="224" t="s">
        <v>8</v>
      </c>
      <c r="D12" s="224"/>
      <c r="E12" s="224"/>
      <c r="F12" s="224"/>
      <c r="G12" s="224"/>
    </row>
    <row r="13" spans="3:7">
      <c r="C13" s="8" t="s">
        <v>9</v>
      </c>
      <c r="D13" s="22" t="s">
        <v>24</v>
      </c>
    </row>
    <row r="17" spans="3:3">
      <c r="C17" s="1" t="s">
        <v>109</v>
      </c>
    </row>
    <row r="18" spans="3:3">
      <c r="C18" s="5" t="s">
        <v>110</v>
      </c>
    </row>
    <row r="19" spans="3:3">
      <c r="C19" s="5" t="s">
        <v>111</v>
      </c>
    </row>
    <row r="20" spans="3:3">
      <c r="C20" s="5" t="s">
        <v>112</v>
      </c>
    </row>
  </sheetData>
  <mergeCells count="1">
    <mergeCell ref="C12:G12"/>
  </mergeCells>
  <hyperlinks>
    <hyperlink ref="D13" location="HL_Sheet_Main_14" tooltip="Go to Next Sheet" display="HL_Sheet_Main_14" xr:uid="{B9DEF2DE-C803-4F99-8985-FBB227DC6581}"/>
    <hyperlink ref="C13" location="HL_Sheet_Main_5" tooltip="Go to Previous Sheet" display="HL_Sheet_Main_5" xr:uid="{6E71676C-0A40-4884-AD9F-4F3A0ED23630}"/>
    <hyperlink ref="C12" location="HL_Home" tooltip="Go to Table of Contents" display="HL_Home" xr:uid="{97B59C99-5B5C-41FF-BF84-3EBB9A7C6468}"/>
  </hyperlinks>
  <pageMargins left="0.39370078740157499" right="0.39370078740157499" top="0.59055118110236204" bottom="0.98425196850393704" header="0" footer="0.31496062992126"/>
  <pageSetup paperSize="9" orientation="landscape" r:id="rId1"/>
  <headerFooter>
    <oddFooter>&amp;L&amp;F
&amp;A
Printed: &amp;T on &amp;D&amp;CPage &amp;P of &amp;N</oddFooter>
  </headerFooter>
  <customProperties>
    <customPr name="EpmWorksheetKeyString_GUID" r:id="rId2"/>
  </customPropertie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C22545-E214-4811-B56C-07EB109D6283}">
  <sheetPr>
    <pageSetUpPr autoPageBreaks="0"/>
  </sheetPr>
  <dimension ref="A1:H96"/>
  <sheetViews>
    <sheetView showGridLines="0" zoomScaleNormal="100" workbookViewId="0">
      <pane xSplit="1" ySplit="2" topLeftCell="B15" activePane="bottomRight" state="frozen"/>
      <selection activeCell="I248" sqref="I248"/>
      <selection pane="topRight" activeCell="I248" sqref="I248"/>
      <selection pane="bottomLeft" activeCell="I248" sqref="I248"/>
      <selection pane="bottomRight" activeCell="F87" sqref="F87"/>
    </sheetView>
  </sheetViews>
  <sheetFormatPr defaultColWidth="11.59765625" defaultRowHeight="11.5" outlineLevelRow="1"/>
  <cols>
    <col min="1" max="5" width="3.59765625" customWidth="1"/>
    <col min="6" max="8" width="18.59765625" customWidth="1"/>
    <col min="9" max="9" width="35.59765625" customWidth="1"/>
  </cols>
  <sheetData>
    <row r="1" spans="1:8" ht="14">
      <c r="A1" s="10" t="s">
        <v>11</v>
      </c>
      <c r="B1" s="6" t="s">
        <v>122</v>
      </c>
    </row>
    <row r="2" spans="1:8" ht="13">
      <c r="A2" s="23" t="s">
        <v>26</v>
      </c>
      <c r="B2" s="7" t="str">
        <f ca="1">Model_Name</f>
        <v>GAAR Capex Forecast</v>
      </c>
    </row>
    <row r="3" spans="1:8" s="41" customFormat="1"/>
    <row r="4" spans="1:8" s="47" customFormat="1">
      <c r="A4" s="41"/>
      <c r="B4" s="47" t="s">
        <v>209</v>
      </c>
    </row>
    <row r="5" spans="1:8" s="41" customFormat="1" outlineLevel="1"/>
    <row r="6" spans="1:8" s="41" customFormat="1" outlineLevel="1">
      <c r="C6" s="50" t="s">
        <v>158</v>
      </c>
      <c r="F6" s="50" t="s">
        <v>159</v>
      </c>
      <c r="H6" s="37" t="s">
        <v>214</v>
      </c>
    </row>
    <row r="7" spans="1:8" s="41" customFormat="1" ht="5.9" customHeight="1" outlineLevel="1"/>
    <row r="8" spans="1:8" s="41" customFormat="1" outlineLevel="1">
      <c r="C8" s="225">
        <v>3001</v>
      </c>
      <c r="D8" s="225"/>
      <c r="E8" s="225"/>
      <c r="F8" s="227" t="s">
        <v>162</v>
      </c>
      <c r="G8" s="227"/>
      <c r="H8" s="203" t="s">
        <v>106</v>
      </c>
    </row>
    <row r="9" spans="1:8" s="41" customFormat="1" outlineLevel="1">
      <c r="C9" s="225">
        <v>3002</v>
      </c>
      <c r="D9" s="225"/>
      <c r="E9" s="225"/>
      <c r="F9" s="227" t="s">
        <v>163</v>
      </c>
      <c r="G9" s="227"/>
      <c r="H9" s="203" t="s">
        <v>106</v>
      </c>
    </row>
    <row r="10" spans="1:8" s="41" customFormat="1" outlineLevel="1">
      <c r="C10" s="225">
        <v>3003</v>
      </c>
      <c r="D10" s="225"/>
      <c r="E10" s="225"/>
      <c r="F10" s="227" t="s">
        <v>164</v>
      </c>
      <c r="G10" s="227"/>
      <c r="H10" s="203" t="s">
        <v>106</v>
      </c>
    </row>
    <row r="11" spans="1:8" s="41" customFormat="1" outlineLevel="1">
      <c r="C11" s="225">
        <v>3004</v>
      </c>
      <c r="D11" s="225"/>
      <c r="E11" s="225"/>
      <c r="F11" s="227" t="s">
        <v>165</v>
      </c>
      <c r="G11" s="227"/>
      <c r="H11" s="203" t="s">
        <v>106</v>
      </c>
    </row>
    <row r="12" spans="1:8" s="41" customFormat="1" outlineLevel="1">
      <c r="C12" s="225">
        <v>3005</v>
      </c>
      <c r="D12" s="225"/>
      <c r="E12" s="225"/>
      <c r="F12" s="227" t="s">
        <v>166</v>
      </c>
      <c r="G12" s="227"/>
      <c r="H12" s="203" t="s">
        <v>106</v>
      </c>
    </row>
    <row r="13" spans="1:8" s="41" customFormat="1" outlineLevel="1">
      <c r="C13" s="225">
        <v>3006</v>
      </c>
      <c r="D13" s="225"/>
      <c r="E13" s="225"/>
      <c r="F13" s="227" t="s">
        <v>167</v>
      </c>
      <c r="G13" s="227"/>
      <c r="H13" s="203" t="s">
        <v>106</v>
      </c>
    </row>
    <row r="14" spans="1:8" s="41" customFormat="1" outlineLevel="1">
      <c r="C14" s="225">
        <v>3007</v>
      </c>
      <c r="D14" s="225"/>
      <c r="E14" s="225"/>
      <c r="F14" s="227" t="s">
        <v>168</v>
      </c>
      <c r="G14" s="227"/>
      <c r="H14" s="203" t="s">
        <v>106</v>
      </c>
    </row>
    <row r="15" spans="1:8" s="41" customFormat="1" outlineLevel="1">
      <c r="C15" s="225">
        <v>3008</v>
      </c>
      <c r="D15" s="225"/>
      <c r="E15" s="225"/>
      <c r="F15" s="227" t="s">
        <v>169</v>
      </c>
      <c r="G15" s="227"/>
      <c r="H15" s="203" t="s">
        <v>106</v>
      </c>
    </row>
    <row r="16" spans="1:8" s="41" customFormat="1" outlineLevel="1">
      <c r="C16" s="225">
        <v>3009</v>
      </c>
      <c r="D16" s="225"/>
      <c r="E16" s="225"/>
      <c r="F16" s="227" t="s">
        <v>170</v>
      </c>
      <c r="G16" s="227"/>
      <c r="H16" s="203" t="s">
        <v>106</v>
      </c>
    </row>
    <row r="17" spans="3:8" s="41" customFormat="1" outlineLevel="1">
      <c r="C17" s="225">
        <v>3010</v>
      </c>
      <c r="D17" s="225"/>
      <c r="E17" s="225"/>
      <c r="F17" s="227" t="s">
        <v>171</v>
      </c>
      <c r="G17" s="227"/>
      <c r="H17" s="203" t="s">
        <v>106</v>
      </c>
    </row>
    <row r="18" spans="3:8" s="41" customFormat="1" outlineLevel="1">
      <c r="C18" s="225">
        <v>3011</v>
      </c>
      <c r="D18" s="225"/>
      <c r="E18" s="225"/>
      <c r="F18" s="227" t="s">
        <v>172</v>
      </c>
      <c r="G18" s="227"/>
      <c r="H18" s="203" t="s">
        <v>106</v>
      </c>
    </row>
    <row r="19" spans="3:8" s="41" customFormat="1" outlineLevel="1">
      <c r="C19" s="225">
        <v>3012</v>
      </c>
      <c r="D19" s="225"/>
      <c r="E19" s="225"/>
      <c r="F19" s="227" t="s">
        <v>173</v>
      </c>
      <c r="G19" s="227"/>
      <c r="H19" s="203" t="s">
        <v>106</v>
      </c>
    </row>
    <row r="20" spans="3:8" s="41" customFormat="1" outlineLevel="1">
      <c r="C20" s="225">
        <v>3013</v>
      </c>
      <c r="D20" s="225"/>
      <c r="E20" s="225"/>
      <c r="F20" s="227" t="s">
        <v>174</v>
      </c>
      <c r="G20" s="227"/>
      <c r="H20" s="203" t="s">
        <v>106</v>
      </c>
    </row>
    <row r="21" spans="3:8" s="41" customFormat="1" outlineLevel="1">
      <c r="C21" s="225">
        <v>3014</v>
      </c>
      <c r="D21" s="225"/>
      <c r="E21" s="225"/>
      <c r="F21" s="227" t="s">
        <v>175</v>
      </c>
      <c r="G21" s="227"/>
      <c r="H21" s="203" t="s">
        <v>106</v>
      </c>
    </row>
    <row r="22" spans="3:8" s="41" customFormat="1" outlineLevel="1">
      <c r="C22" s="225">
        <v>3015</v>
      </c>
      <c r="D22" s="225"/>
      <c r="E22" s="225"/>
      <c r="F22" s="227" t="s">
        <v>176</v>
      </c>
      <c r="G22" s="227"/>
      <c r="H22" s="203" t="s">
        <v>106</v>
      </c>
    </row>
    <row r="23" spans="3:8" s="41" customFormat="1" outlineLevel="1">
      <c r="C23" s="225">
        <v>3016</v>
      </c>
      <c r="D23" s="225"/>
      <c r="E23" s="225"/>
      <c r="F23" s="227" t="s">
        <v>146</v>
      </c>
      <c r="G23" s="227"/>
      <c r="H23" s="203" t="s">
        <v>106</v>
      </c>
    </row>
    <row r="24" spans="3:8" s="41" customFormat="1" outlineLevel="1">
      <c r="C24" s="225">
        <v>3017</v>
      </c>
      <c r="D24" s="225"/>
      <c r="E24" s="225"/>
      <c r="F24" s="227" t="s">
        <v>144</v>
      </c>
      <c r="G24" s="227"/>
      <c r="H24" s="203" t="s">
        <v>106</v>
      </c>
    </row>
    <row r="25" spans="3:8" s="41" customFormat="1" outlineLevel="1">
      <c r="C25" s="225">
        <v>3018</v>
      </c>
      <c r="D25" s="225"/>
      <c r="E25" s="225"/>
      <c r="F25" s="227" t="s">
        <v>177</v>
      </c>
      <c r="G25" s="227"/>
      <c r="H25" s="203" t="s">
        <v>106</v>
      </c>
    </row>
    <row r="26" spans="3:8" s="41" customFormat="1" outlineLevel="1">
      <c r="C26" s="225">
        <v>3019</v>
      </c>
      <c r="D26" s="225"/>
      <c r="E26" s="225"/>
      <c r="F26" s="227" t="s">
        <v>178</v>
      </c>
      <c r="G26" s="227"/>
      <c r="H26" s="203" t="s">
        <v>106</v>
      </c>
    </row>
    <row r="27" spans="3:8" s="41" customFormat="1" outlineLevel="1">
      <c r="C27" s="225">
        <v>3020</v>
      </c>
      <c r="D27" s="225"/>
      <c r="E27" s="225"/>
      <c r="F27" s="227" t="s">
        <v>179</v>
      </c>
      <c r="G27" s="227"/>
      <c r="H27" s="203" t="s">
        <v>106</v>
      </c>
    </row>
    <row r="28" spans="3:8" s="41" customFormat="1" outlineLevel="1">
      <c r="C28" s="225">
        <v>3021</v>
      </c>
      <c r="D28" s="225"/>
      <c r="E28" s="225"/>
      <c r="F28" s="227" t="s">
        <v>180</v>
      </c>
      <c r="G28" s="227"/>
      <c r="H28" s="203" t="s">
        <v>106</v>
      </c>
    </row>
    <row r="29" spans="3:8" s="41" customFormat="1" outlineLevel="1">
      <c r="C29" s="225">
        <v>3022</v>
      </c>
      <c r="D29" s="225"/>
      <c r="E29" s="225"/>
      <c r="F29" s="227" t="s">
        <v>181</v>
      </c>
      <c r="G29" s="227"/>
      <c r="H29" s="203" t="s">
        <v>106</v>
      </c>
    </row>
    <row r="30" spans="3:8" s="41" customFormat="1" outlineLevel="1">
      <c r="C30" s="225">
        <v>3023</v>
      </c>
      <c r="D30" s="225"/>
      <c r="E30" s="225"/>
      <c r="F30" s="227" t="s">
        <v>182</v>
      </c>
      <c r="G30" s="227"/>
      <c r="H30" s="203" t="s">
        <v>106</v>
      </c>
    </row>
    <row r="31" spans="3:8" s="41" customFormat="1" outlineLevel="1">
      <c r="C31" s="225">
        <v>3024</v>
      </c>
      <c r="D31" s="225"/>
      <c r="E31" s="225"/>
      <c r="F31" s="227" t="s">
        <v>183</v>
      </c>
      <c r="G31" s="227"/>
      <c r="H31" s="203" t="s">
        <v>106</v>
      </c>
    </row>
    <row r="32" spans="3:8" s="41" customFormat="1" outlineLevel="1">
      <c r="C32" s="225">
        <v>3025</v>
      </c>
      <c r="D32" s="225"/>
      <c r="E32" s="225"/>
      <c r="F32" s="227" t="s">
        <v>184</v>
      </c>
      <c r="G32" s="227"/>
      <c r="H32" s="203" t="s">
        <v>106</v>
      </c>
    </row>
    <row r="33" spans="3:8" s="41" customFormat="1" outlineLevel="1">
      <c r="C33" s="225">
        <v>3027</v>
      </c>
      <c r="D33" s="225"/>
      <c r="E33" s="225"/>
      <c r="F33" s="227" t="s">
        <v>107</v>
      </c>
      <c r="G33" s="227"/>
      <c r="H33" s="203" t="s">
        <v>107</v>
      </c>
    </row>
    <row r="34" spans="3:8" s="41" customFormat="1" outlineLevel="1">
      <c r="C34" s="225">
        <v>3031</v>
      </c>
      <c r="D34" s="225"/>
      <c r="E34" s="225"/>
      <c r="F34" s="227" t="s">
        <v>185</v>
      </c>
      <c r="G34" s="227"/>
      <c r="H34" s="203" t="s">
        <v>108</v>
      </c>
    </row>
    <row r="35" spans="3:8" s="41" customFormat="1" outlineLevel="1"/>
    <row r="36" spans="3:8" s="41" customFormat="1" outlineLevel="1"/>
    <row r="37" spans="3:8" s="41" customFormat="1" outlineLevel="1"/>
    <row r="38" spans="3:8" s="41" customFormat="1" outlineLevel="1">
      <c r="C38" s="50" t="s">
        <v>138</v>
      </c>
    </row>
    <row r="39" spans="3:8" s="41" customFormat="1" ht="5.9" customHeight="1" outlineLevel="1"/>
    <row r="40" spans="3:8" s="41" customFormat="1" outlineLevel="1">
      <c r="C40" s="227" t="s">
        <v>488</v>
      </c>
      <c r="D40" s="227"/>
      <c r="E40" s="227"/>
      <c r="F40" s="227"/>
      <c r="G40" s="227"/>
    </row>
    <row r="41" spans="3:8" s="41" customFormat="1" outlineLevel="1">
      <c r="C41" s="227" t="s">
        <v>489</v>
      </c>
      <c r="D41" s="227"/>
      <c r="E41" s="227"/>
      <c r="F41" s="227"/>
      <c r="G41" s="227"/>
    </row>
    <row r="42" spans="3:8" s="41" customFormat="1" outlineLevel="1">
      <c r="C42" s="227" t="s">
        <v>490</v>
      </c>
      <c r="D42" s="227"/>
      <c r="E42" s="227"/>
      <c r="F42" s="227"/>
      <c r="G42" s="227"/>
    </row>
    <row r="43" spans="3:8" s="41" customFormat="1" outlineLevel="1">
      <c r="C43" s="227" t="s">
        <v>491</v>
      </c>
      <c r="D43" s="227"/>
      <c r="E43" s="227"/>
      <c r="F43" s="227"/>
      <c r="G43" s="227"/>
    </row>
    <row r="44" spans="3:8" s="41" customFormat="1" outlineLevel="1">
      <c r="C44" s="227" t="s">
        <v>131</v>
      </c>
      <c r="D44" s="227"/>
      <c r="E44" s="227"/>
      <c r="F44" s="227"/>
      <c r="G44" s="227"/>
    </row>
    <row r="45" spans="3:8" s="41" customFormat="1" outlineLevel="1">
      <c r="C45" s="227" t="s">
        <v>132</v>
      </c>
      <c r="D45" s="227"/>
      <c r="E45" s="227"/>
      <c r="F45" s="227"/>
      <c r="G45" s="227"/>
    </row>
    <row r="46" spans="3:8" s="41" customFormat="1" outlineLevel="1">
      <c r="C46" s="227" t="s">
        <v>133</v>
      </c>
      <c r="D46" s="227"/>
      <c r="E46" s="227"/>
      <c r="F46" s="227"/>
      <c r="G46" s="227"/>
    </row>
    <row r="47" spans="3:8" s="41" customFormat="1" outlineLevel="1">
      <c r="C47" s="227" t="s">
        <v>134</v>
      </c>
      <c r="D47" s="227"/>
      <c r="E47" s="227"/>
      <c r="F47" s="227"/>
      <c r="G47" s="227"/>
    </row>
    <row r="48" spans="3:8" s="41" customFormat="1" outlineLevel="1">
      <c r="C48" s="227" t="s">
        <v>135</v>
      </c>
      <c r="D48" s="227"/>
      <c r="E48" s="227"/>
      <c r="F48" s="227"/>
      <c r="G48" s="227"/>
    </row>
    <row r="49" spans="3:7" s="41" customFormat="1" outlineLevel="1">
      <c r="C49" s="227" t="s">
        <v>136</v>
      </c>
      <c r="D49" s="227"/>
      <c r="E49" s="227"/>
      <c r="F49" s="227"/>
      <c r="G49" s="227"/>
    </row>
    <row r="50" spans="3:7" s="41" customFormat="1" outlineLevel="1">
      <c r="C50" s="227" t="s">
        <v>137</v>
      </c>
      <c r="D50" s="227"/>
      <c r="E50" s="227"/>
      <c r="F50" s="227"/>
      <c r="G50" s="227"/>
    </row>
    <row r="51" spans="3:7" s="41" customFormat="1" outlineLevel="1">
      <c r="C51" s="227" t="s">
        <v>365</v>
      </c>
      <c r="D51" s="227"/>
      <c r="E51" s="227"/>
      <c r="F51" s="227"/>
      <c r="G51" s="227"/>
    </row>
    <row r="52" spans="3:7" s="41" customFormat="1" outlineLevel="1">
      <c r="C52" s="227" t="s">
        <v>487</v>
      </c>
      <c r="D52" s="227"/>
      <c r="E52" s="227"/>
      <c r="F52" s="227"/>
      <c r="G52" s="227"/>
    </row>
    <row r="53" spans="3:7" s="41" customFormat="1" outlineLevel="1">
      <c r="C53" s="227" t="s">
        <v>484</v>
      </c>
      <c r="D53" s="227"/>
      <c r="E53" s="227"/>
      <c r="F53" s="227"/>
      <c r="G53" s="227"/>
    </row>
    <row r="54" spans="3:7" s="41" customFormat="1" outlineLevel="1">
      <c r="C54" s="227" t="s">
        <v>486</v>
      </c>
      <c r="D54" s="227"/>
      <c r="E54" s="227"/>
      <c r="F54" s="227"/>
      <c r="G54" s="227"/>
    </row>
    <row r="55" spans="3:7" s="41" customFormat="1" outlineLevel="1">
      <c r="C55" s="227" t="s">
        <v>485</v>
      </c>
      <c r="D55" s="227"/>
      <c r="E55" s="227"/>
      <c r="F55" s="227"/>
      <c r="G55" s="227"/>
    </row>
    <row r="56" spans="3:7" s="41" customFormat="1" outlineLevel="1">
      <c r="C56" s="240"/>
      <c r="D56" s="240"/>
      <c r="E56" s="240"/>
      <c r="F56" s="240"/>
      <c r="G56" s="240"/>
    </row>
    <row r="57" spans="3:7" s="41" customFormat="1" outlineLevel="1"/>
    <row r="58" spans="3:7" s="41" customFormat="1" outlineLevel="1">
      <c r="C58" s="50" t="s">
        <v>151</v>
      </c>
    </row>
    <row r="59" spans="3:7" s="41" customFormat="1" ht="5.9" customHeight="1" outlineLevel="1"/>
    <row r="60" spans="3:7" s="41" customFormat="1" outlineLevel="1">
      <c r="C60" s="227" t="s">
        <v>139</v>
      </c>
      <c r="D60" s="227"/>
      <c r="E60" s="227"/>
      <c r="F60" s="227"/>
      <c r="G60" s="227"/>
    </row>
    <row r="61" spans="3:7" s="41" customFormat="1" outlineLevel="1">
      <c r="C61" s="227" t="s">
        <v>140</v>
      </c>
      <c r="D61" s="227"/>
      <c r="E61" s="227"/>
      <c r="F61" s="227"/>
      <c r="G61" s="227"/>
    </row>
    <row r="62" spans="3:7" s="41" customFormat="1" outlineLevel="1">
      <c r="C62" s="227" t="s">
        <v>141</v>
      </c>
      <c r="D62" s="227"/>
      <c r="E62" s="227"/>
      <c r="F62" s="227"/>
      <c r="G62" s="227"/>
    </row>
    <row r="63" spans="3:7" s="41" customFormat="1" outlineLevel="1">
      <c r="C63" s="227" t="s">
        <v>142</v>
      </c>
      <c r="D63" s="227"/>
      <c r="E63" s="227"/>
      <c r="F63" s="227"/>
      <c r="G63" s="227"/>
    </row>
    <row r="64" spans="3:7" s="41" customFormat="1" outlineLevel="1">
      <c r="C64" s="227" t="s">
        <v>143</v>
      </c>
      <c r="D64" s="227"/>
      <c r="E64" s="227"/>
      <c r="F64" s="227"/>
      <c r="G64" s="227"/>
    </row>
    <row r="65" spans="3:7" s="41" customFormat="1" outlineLevel="1">
      <c r="C65" s="227" t="s">
        <v>144</v>
      </c>
      <c r="D65" s="227"/>
      <c r="E65" s="227"/>
      <c r="F65" s="227"/>
      <c r="G65" s="227"/>
    </row>
    <row r="66" spans="3:7" s="41" customFormat="1" outlineLevel="1">
      <c r="C66" s="227" t="s">
        <v>145</v>
      </c>
      <c r="D66" s="227"/>
      <c r="E66" s="227"/>
      <c r="F66" s="227"/>
      <c r="G66" s="227"/>
    </row>
    <row r="67" spans="3:7" s="41" customFormat="1" outlineLevel="1">
      <c r="C67" s="227" t="s">
        <v>146</v>
      </c>
      <c r="D67" s="227"/>
      <c r="E67" s="227"/>
      <c r="F67" s="227"/>
      <c r="G67" s="227"/>
    </row>
    <row r="68" spans="3:7" s="41" customFormat="1" outlineLevel="1">
      <c r="C68" s="227" t="s">
        <v>108</v>
      </c>
      <c r="D68" s="227"/>
      <c r="E68" s="227"/>
      <c r="F68" s="227"/>
      <c r="G68" s="227"/>
    </row>
    <row r="69" spans="3:7" s="41" customFormat="1" outlineLevel="1">
      <c r="C69" s="227" t="s">
        <v>365</v>
      </c>
      <c r="D69" s="227"/>
      <c r="E69" s="227"/>
      <c r="F69" s="227"/>
      <c r="G69" s="227"/>
    </row>
    <row r="70" spans="3:7" s="41" customFormat="1" outlineLevel="1">
      <c r="C70" s="227" t="s">
        <v>147</v>
      </c>
      <c r="D70" s="227"/>
      <c r="E70" s="227"/>
      <c r="F70" s="227"/>
      <c r="G70" s="227"/>
    </row>
    <row r="71" spans="3:7" s="41" customFormat="1" outlineLevel="1">
      <c r="C71" s="227" t="s">
        <v>148</v>
      </c>
      <c r="D71" s="227"/>
      <c r="E71" s="227"/>
      <c r="F71" s="227"/>
      <c r="G71" s="227"/>
    </row>
    <row r="72" spans="3:7" s="41" customFormat="1" outlineLevel="1">
      <c r="C72" s="227" t="s">
        <v>149</v>
      </c>
      <c r="D72" s="227"/>
      <c r="E72" s="227"/>
      <c r="F72" s="227"/>
      <c r="G72" s="227"/>
    </row>
    <row r="73" spans="3:7" s="41" customFormat="1" outlineLevel="1">
      <c r="C73" s="227" t="s">
        <v>150</v>
      </c>
      <c r="D73" s="227"/>
      <c r="E73" s="227"/>
      <c r="F73" s="227"/>
      <c r="G73" s="227"/>
    </row>
    <row r="74" spans="3:7" s="41" customFormat="1" outlineLevel="1">
      <c r="C74" s="240"/>
      <c r="D74" s="240"/>
      <c r="E74" s="240"/>
      <c r="F74" s="240"/>
      <c r="G74" s="240"/>
    </row>
    <row r="75" spans="3:7" s="41" customFormat="1" outlineLevel="1"/>
    <row r="76" spans="3:7" s="41" customFormat="1" outlineLevel="1">
      <c r="C76" s="50" t="s">
        <v>152</v>
      </c>
    </row>
    <row r="77" spans="3:7" s="41" customFormat="1" ht="5.9" customHeight="1" outlineLevel="1"/>
    <row r="78" spans="3:7" s="41" customFormat="1" outlineLevel="1">
      <c r="C78" s="227" t="s">
        <v>153</v>
      </c>
      <c r="D78" s="227"/>
      <c r="E78" s="227"/>
      <c r="F78" s="227"/>
      <c r="G78" s="227"/>
    </row>
    <row r="79" spans="3:7" s="41" customFormat="1" outlineLevel="1">
      <c r="C79" s="227" t="s">
        <v>154</v>
      </c>
      <c r="D79" s="227"/>
      <c r="E79" s="227"/>
      <c r="F79" s="227"/>
      <c r="G79" s="227"/>
    </row>
    <row r="80" spans="3:7" s="41" customFormat="1" outlineLevel="1">
      <c r="C80" s="227" t="s">
        <v>155</v>
      </c>
      <c r="D80" s="227"/>
      <c r="E80" s="227"/>
      <c r="F80" s="227"/>
      <c r="G80" s="227"/>
    </row>
    <row r="81" spans="3:7" s="41" customFormat="1" outlineLevel="1">
      <c r="C81" s="227" t="s">
        <v>134</v>
      </c>
      <c r="D81" s="227"/>
      <c r="E81" s="227"/>
      <c r="F81" s="227"/>
      <c r="G81" s="227"/>
    </row>
    <row r="82" spans="3:7" s="41" customFormat="1" outlineLevel="1">
      <c r="C82" s="227" t="s">
        <v>156</v>
      </c>
      <c r="D82" s="227"/>
      <c r="E82" s="227"/>
      <c r="F82" s="227"/>
      <c r="G82" s="227"/>
    </row>
    <row r="83" spans="3:7" s="41" customFormat="1" outlineLevel="1">
      <c r="C83" s="227" t="s">
        <v>157</v>
      </c>
      <c r="D83" s="227"/>
      <c r="E83" s="227"/>
      <c r="F83" s="227"/>
      <c r="G83" s="227"/>
    </row>
    <row r="84" spans="3:7" s="41" customFormat="1" outlineLevel="1">
      <c r="C84" s="227" t="s">
        <v>137</v>
      </c>
      <c r="D84" s="227"/>
      <c r="E84" s="227"/>
      <c r="F84" s="227"/>
      <c r="G84" s="227"/>
    </row>
    <row r="85" spans="3:7" s="41" customFormat="1" outlineLevel="1">
      <c r="C85" s="240"/>
      <c r="D85" s="240"/>
      <c r="E85" s="240"/>
      <c r="F85" s="240"/>
      <c r="G85" s="240"/>
    </row>
    <row r="86" spans="3:7" s="41" customFormat="1" outlineLevel="1"/>
    <row r="87" spans="3:7" s="41" customFormat="1" outlineLevel="1"/>
    <row r="88" spans="3:7" s="41" customFormat="1" outlineLevel="1"/>
    <row r="89" spans="3:7" s="41" customFormat="1" outlineLevel="1"/>
    <row r="90" spans="3:7" s="41" customFormat="1" outlineLevel="1"/>
    <row r="91" spans="3:7" s="41" customFormat="1" outlineLevel="1"/>
    <row r="92" spans="3:7" s="41" customFormat="1" outlineLevel="1"/>
    <row r="93" spans="3:7" s="41" customFormat="1" outlineLevel="1"/>
    <row r="94" spans="3:7" s="41" customFormat="1" outlineLevel="1"/>
    <row r="95" spans="3:7" s="41" customFormat="1" outlineLevel="1"/>
    <row r="96" spans="3:7" s="41" customFormat="1" outlineLevel="1"/>
  </sheetData>
  <sheetProtection formatColumns="0" formatRows="0"/>
  <mergeCells count="94">
    <mergeCell ref="C11:E11"/>
    <mergeCell ref="F11:G11"/>
    <mergeCell ref="C12:E12"/>
    <mergeCell ref="C13:E13"/>
    <mergeCell ref="C14:E14"/>
    <mergeCell ref="F12:G12"/>
    <mergeCell ref="F13:G13"/>
    <mergeCell ref="F14:G14"/>
    <mergeCell ref="C8:E8"/>
    <mergeCell ref="C9:E9"/>
    <mergeCell ref="F8:G8"/>
    <mergeCell ref="F9:G9"/>
    <mergeCell ref="C10:E10"/>
    <mergeCell ref="F10:G10"/>
    <mergeCell ref="C70:G70"/>
    <mergeCell ref="C60:G60"/>
    <mergeCell ref="C61:G61"/>
    <mergeCell ref="C62:G62"/>
    <mergeCell ref="C63:G63"/>
    <mergeCell ref="C64:G64"/>
    <mergeCell ref="C69:G69"/>
    <mergeCell ref="C65:G65"/>
    <mergeCell ref="C66:G66"/>
    <mergeCell ref="C67:G67"/>
    <mergeCell ref="C68:G68"/>
    <mergeCell ref="C71:G71"/>
    <mergeCell ref="C72:G72"/>
    <mergeCell ref="C73:G73"/>
    <mergeCell ref="C74:G74"/>
    <mergeCell ref="C78:G78"/>
    <mergeCell ref="C84:G84"/>
    <mergeCell ref="C85:G85"/>
    <mergeCell ref="C79:G79"/>
    <mergeCell ref="C80:G80"/>
    <mergeCell ref="C81:G81"/>
    <mergeCell ref="C82:G82"/>
    <mergeCell ref="C83:G83"/>
    <mergeCell ref="F15:G15"/>
    <mergeCell ref="F16:G16"/>
    <mergeCell ref="F17:G17"/>
    <mergeCell ref="C18:E18"/>
    <mergeCell ref="C17:E17"/>
    <mergeCell ref="C15:E15"/>
    <mergeCell ref="C16:E16"/>
    <mergeCell ref="C19:E19"/>
    <mergeCell ref="C20:E20"/>
    <mergeCell ref="C21:E21"/>
    <mergeCell ref="F18:G18"/>
    <mergeCell ref="F19:G19"/>
    <mergeCell ref="F20:G20"/>
    <mergeCell ref="F21:G21"/>
    <mergeCell ref="C27:E27"/>
    <mergeCell ref="C28:E28"/>
    <mergeCell ref="C29:E29"/>
    <mergeCell ref="C30:E30"/>
    <mergeCell ref="C22:E22"/>
    <mergeCell ref="C23:E23"/>
    <mergeCell ref="C24:E24"/>
    <mergeCell ref="C25:E25"/>
    <mergeCell ref="C26:E26"/>
    <mergeCell ref="F22:G22"/>
    <mergeCell ref="F31:G31"/>
    <mergeCell ref="F32:G32"/>
    <mergeCell ref="F33:G33"/>
    <mergeCell ref="F34:G34"/>
    <mergeCell ref="F23:G23"/>
    <mergeCell ref="F24:G24"/>
    <mergeCell ref="F25:G25"/>
    <mergeCell ref="F26:G26"/>
    <mergeCell ref="F27:G27"/>
    <mergeCell ref="F28:G28"/>
    <mergeCell ref="F29:G29"/>
    <mergeCell ref="F30:G30"/>
    <mergeCell ref="C31:E31"/>
    <mergeCell ref="C32:E32"/>
    <mergeCell ref="C33:E33"/>
    <mergeCell ref="C34:E34"/>
    <mergeCell ref="C51:G51"/>
    <mergeCell ref="C42:G42"/>
    <mergeCell ref="C43:G43"/>
    <mergeCell ref="C44:G44"/>
    <mergeCell ref="C45:G45"/>
    <mergeCell ref="C46:G46"/>
    <mergeCell ref="C47:G47"/>
    <mergeCell ref="C48:G48"/>
    <mergeCell ref="C49:G49"/>
    <mergeCell ref="C50:G50"/>
    <mergeCell ref="C40:G40"/>
    <mergeCell ref="C41:G41"/>
    <mergeCell ref="C52:G52"/>
    <mergeCell ref="C53:G53"/>
    <mergeCell ref="C54:G54"/>
    <mergeCell ref="C55:G55"/>
    <mergeCell ref="C56:G56"/>
  </mergeCells>
  <hyperlinks>
    <hyperlink ref="A1" location="HL_Home" tooltip="Go to Table of Contents" display="HL_Home" xr:uid="{8BBEC0B5-AB6B-4F8F-ACD0-5C76E92771AF}"/>
    <hyperlink ref="A2" location="HL_Err_Chk" tooltip="Go to Error Checks" display="HL_Err_Chk" xr:uid="{D4E2445A-966B-4D6A-A645-C556965D9B06}"/>
  </hyperlinks>
  <pageMargins left="0.39370078740157499" right="0.39370078740157499" top="0.59055118110236204" bottom="0.98425196850393704" header="0" footer="0.31496062992126"/>
  <pageSetup paperSize="9" orientation="landscape" r:id="rId1"/>
  <headerFooter>
    <oddFooter>&amp;L&amp;F
&amp;A
Printed: &amp;T on &amp;D&amp;CPage &amp;P of &amp;N</oddFooter>
  </headerFooter>
  <customProperties>
    <customPr name="EpmWorksheetKeyString_GUID" r:id="rId2"/>
  </customPropertie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1B0A796F-6CF5-4358-9E43-1E67B5FFF6D3}">
          <x14:formula1>
            <xm:f>Rates!F$50:F$52</xm:f>
          </x14:formula1>
          <xm:sqref>H8:H34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45EF3D-9699-43FF-8633-A8B2CD38473B}">
  <sheetPr>
    <pageSetUpPr autoPageBreaks="0"/>
  </sheetPr>
  <dimension ref="A1:W21"/>
  <sheetViews>
    <sheetView showGridLines="0" zoomScaleNormal="100" workbookViewId="0">
      <pane xSplit="1" ySplit="2" topLeftCell="B3" activePane="bottomRight" state="frozen"/>
      <selection activeCell="I248" sqref="I248"/>
      <selection pane="topRight" activeCell="I248" sqref="I248"/>
      <selection pane="bottomLeft" activeCell="I248" sqref="I248"/>
      <selection pane="bottomRight" activeCell="L18" sqref="L18"/>
    </sheetView>
  </sheetViews>
  <sheetFormatPr defaultColWidth="11.59765625" defaultRowHeight="11.5" outlineLevelRow="1"/>
  <cols>
    <col min="1" max="5" width="3.59765625" customWidth="1"/>
  </cols>
  <sheetData>
    <row r="1" spans="1:23" ht="14">
      <c r="A1" s="10" t="s">
        <v>11</v>
      </c>
      <c r="B1" s="6" t="s">
        <v>99</v>
      </c>
    </row>
    <row r="2" spans="1:23" ht="13">
      <c r="A2" s="23" t="s">
        <v>26</v>
      </c>
      <c r="B2" s="7" t="str">
        <f ca="1">Model_Name</f>
        <v>GAAR Capex Forecast</v>
      </c>
    </row>
    <row r="3" spans="1:23" s="41" customFormat="1"/>
    <row r="4" spans="1:23" s="47" customFormat="1">
      <c r="A4" s="41"/>
      <c r="B4" s="47" t="s">
        <v>199</v>
      </c>
    </row>
    <row r="5" spans="1:23" s="41" customFormat="1" outlineLevel="1"/>
    <row r="6" spans="1:23" s="41" customFormat="1" outlineLevel="1"/>
    <row r="7" spans="1:23" s="41" customFormat="1" outlineLevel="1"/>
    <row r="8" spans="1:23" s="41" customFormat="1" outlineLevel="1">
      <c r="F8" s="43" t="s">
        <v>90</v>
      </c>
      <c r="I8" s="169">
        <v>42551</v>
      </c>
      <c r="J8" s="95">
        <v>42551</v>
      </c>
      <c r="K8" s="95" t="s">
        <v>211</v>
      </c>
      <c r="L8" s="96" t="s">
        <v>212</v>
      </c>
      <c r="M8" s="96">
        <f>EDATE(L8,Ts_Mths_In_Yr)</f>
        <v>43281</v>
      </c>
      <c r="N8" s="96">
        <f>EDATE(M8,Ts_Mths_In_Yr)</f>
        <v>43646</v>
      </c>
      <c r="O8" s="96">
        <f>EDATE(N8,Ts_Mths_In_Yr)</f>
        <v>44012</v>
      </c>
      <c r="P8" s="96">
        <f>EDATE(O8,Ts_Mths_In_Yr)</f>
        <v>44377</v>
      </c>
      <c r="Q8" s="96">
        <f>EDATE(P8,Ts_Mths_In_Yr)</f>
        <v>44742</v>
      </c>
      <c r="R8" s="96">
        <f t="shared" ref="R8:W8" si="0">EDATE(Q8,Ts_Mths_In_Yr)</f>
        <v>45107</v>
      </c>
      <c r="S8" s="96">
        <f t="shared" si="0"/>
        <v>45473</v>
      </c>
      <c r="T8" s="96">
        <f t="shared" si="0"/>
        <v>45838</v>
      </c>
      <c r="U8" s="96">
        <f t="shared" si="0"/>
        <v>46203</v>
      </c>
      <c r="V8" s="96">
        <f t="shared" si="0"/>
        <v>46568</v>
      </c>
      <c r="W8" s="96">
        <f t="shared" si="0"/>
        <v>46934</v>
      </c>
    </row>
    <row r="9" spans="1:23" s="41" customFormat="1" outlineLevel="1">
      <c r="F9" s="43" t="s">
        <v>91</v>
      </c>
      <c r="J9" s="97" t="s">
        <v>94</v>
      </c>
      <c r="K9" s="97" t="s">
        <v>94</v>
      </c>
      <c r="L9" s="97" t="s">
        <v>94</v>
      </c>
      <c r="M9" s="97" t="s">
        <v>94</v>
      </c>
      <c r="N9" s="97" t="s">
        <v>94</v>
      </c>
      <c r="O9" s="97" t="s">
        <v>94</v>
      </c>
      <c r="P9" s="97" t="s">
        <v>94</v>
      </c>
      <c r="Q9" s="97" t="s">
        <v>95</v>
      </c>
      <c r="R9" s="97" t="s">
        <v>95</v>
      </c>
      <c r="S9" s="97" t="s">
        <v>95</v>
      </c>
      <c r="T9" s="97" t="s">
        <v>95</v>
      </c>
      <c r="U9" s="97" t="s">
        <v>95</v>
      </c>
      <c r="V9" s="97" t="s">
        <v>95</v>
      </c>
      <c r="W9" s="97" t="s">
        <v>95</v>
      </c>
    </row>
    <row r="10" spans="1:23" s="41" customFormat="1" outlineLevel="1">
      <c r="F10" s="43" t="s">
        <v>92</v>
      </c>
      <c r="J10" s="98"/>
      <c r="K10" s="98">
        <f t="shared" ref="K10:Q10" si="1">YEAR(K8)+1</f>
        <v>2017</v>
      </c>
      <c r="L10" s="98">
        <f t="shared" si="1"/>
        <v>2018</v>
      </c>
      <c r="M10" s="98">
        <f t="shared" si="1"/>
        <v>2019</v>
      </c>
      <c r="N10" s="98">
        <f t="shared" si="1"/>
        <v>2020</v>
      </c>
      <c r="O10" s="98">
        <f t="shared" si="1"/>
        <v>2021</v>
      </c>
      <c r="P10" s="98">
        <f t="shared" si="1"/>
        <v>2022</v>
      </c>
      <c r="Q10" s="98">
        <f t="shared" si="1"/>
        <v>2023</v>
      </c>
      <c r="R10" s="98">
        <f t="shared" ref="R10:W10" si="2">YEAR(R8)+1</f>
        <v>2024</v>
      </c>
      <c r="S10" s="98">
        <f t="shared" si="2"/>
        <v>2025</v>
      </c>
      <c r="T10" s="98">
        <f t="shared" si="2"/>
        <v>2026</v>
      </c>
      <c r="U10" s="98">
        <f t="shared" si="2"/>
        <v>2027</v>
      </c>
      <c r="V10" s="98">
        <f t="shared" si="2"/>
        <v>2028</v>
      </c>
      <c r="W10" s="98">
        <f t="shared" si="2"/>
        <v>2029</v>
      </c>
    </row>
    <row r="11" spans="1:23" s="41" customFormat="1" outlineLevel="1"/>
    <row r="12" spans="1:23" s="41" customFormat="1" outlineLevel="1">
      <c r="F12" s="170" t="s">
        <v>121</v>
      </c>
      <c r="J12" s="127">
        <v>108.6</v>
      </c>
      <c r="K12" s="127">
        <v>109.4</v>
      </c>
      <c r="L12" s="127">
        <v>110.7</v>
      </c>
      <c r="M12" s="127">
        <v>113</v>
      </c>
      <c r="N12" s="127">
        <v>114.8</v>
      </c>
      <c r="O12" s="127">
        <v>114.4</v>
      </c>
      <c r="P12" s="127">
        <v>118.8</v>
      </c>
      <c r="Q12" s="127">
        <v>0</v>
      </c>
      <c r="R12" s="127">
        <v>0</v>
      </c>
      <c r="S12" s="127">
        <v>0</v>
      </c>
      <c r="T12" s="127">
        <v>0</v>
      </c>
      <c r="U12" s="127">
        <v>0</v>
      </c>
      <c r="V12" s="127">
        <v>0</v>
      </c>
      <c r="W12" s="127">
        <v>0</v>
      </c>
    </row>
    <row r="13" spans="1:23" s="41" customFormat="1" outlineLevel="1">
      <c r="F13" s="43" t="s">
        <v>120</v>
      </c>
      <c r="J13" s="54">
        <v>0</v>
      </c>
      <c r="K13" s="54">
        <v>0</v>
      </c>
      <c r="L13" s="187">
        <f>L12/J12-1</f>
        <v>1.9337016574585641E-2</v>
      </c>
      <c r="M13" s="54">
        <v>0</v>
      </c>
      <c r="N13" s="54">
        <v>0</v>
      </c>
      <c r="O13" s="54">
        <v>0</v>
      </c>
      <c r="P13" s="54">
        <v>0</v>
      </c>
      <c r="Q13" s="54">
        <v>5.5E-2</v>
      </c>
      <c r="R13" s="54">
        <v>4.2500000000000003E-2</v>
      </c>
      <c r="S13" s="54">
        <v>0.03</v>
      </c>
      <c r="T13" s="54">
        <v>2.5000000000000001E-2</v>
      </c>
      <c r="U13" s="187">
        <f>$T$13</f>
        <v>2.5000000000000001E-2</v>
      </c>
      <c r="V13" s="187">
        <f>$T$13</f>
        <v>2.5000000000000001E-2</v>
      </c>
      <c r="W13" s="187">
        <f>$T$13</f>
        <v>2.5000000000000001E-2</v>
      </c>
    </row>
    <row r="14" spans="1:23" s="41" customFormat="1" outlineLevel="1"/>
    <row r="15" spans="1:23" outlineLevel="1">
      <c r="A15" s="41"/>
      <c r="B15" s="41"/>
      <c r="C15" s="41"/>
      <c r="D15" s="41"/>
      <c r="E15" s="41"/>
      <c r="F15" s="41"/>
      <c r="G15" s="41"/>
      <c r="H15" s="41"/>
      <c r="I15" s="41"/>
      <c r="J15" s="171">
        <f>IF(J9="Actual",J12,I15*(1+J16))</f>
        <v>108.6</v>
      </c>
      <c r="K15" s="184">
        <f t="shared" ref="K15:W15" si="3">IF(K9="Actual",K12,J15*(1+K16))</f>
        <v>109.4</v>
      </c>
      <c r="L15" s="184">
        <f t="shared" si="3"/>
        <v>110.7</v>
      </c>
      <c r="M15" s="184">
        <f t="shared" si="3"/>
        <v>113</v>
      </c>
      <c r="N15" s="184">
        <f t="shared" si="3"/>
        <v>114.8</v>
      </c>
      <c r="O15" s="184">
        <f t="shared" si="3"/>
        <v>114.4</v>
      </c>
      <c r="P15" s="184">
        <f t="shared" si="3"/>
        <v>118.8</v>
      </c>
      <c r="Q15" s="184">
        <f t="shared" si="3"/>
        <v>125.33399999999999</v>
      </c>
      <c r="R15" s="184">
        <f t="shared" si="3"/>
        <v>130.66069499999998</v>
      </c>
      <c r="S15" s="184">
        <f t="shared" si="3"/>
        <v>134.58051584999998</v>
      </c>
      <c r="T15" s="184">
        <f t="shared" si="3"/>
        <v>137.94502874624996</v>
      </c>
      <c r="U15" s="184">
        <f t="shared" si="3"/>
        <v>141.39365446490621</v>
      </c>
      <c r="V15" s="184">
        <f t="shared" si="3"/>
        <v>144.92849582652886</v>
      </c>
      <c r="W15" s="184">
        <f t="shared" si="3"/>
        <v>148.55170822219208</v>
      </c>
    </row>
    <row r="16" spans="1:23" outlineLevel="1">
      <c r="A16" s="41"/>
      <c r="B16" s="41"/>
      <c r="C16" s="41"/>
      <c r="D16" s="41"/>
      <c r="E16" s="41"/>
      <c r="F16" s="170" t="s">
        <v>93</v>
      </c>
      <c r="G16" s="41"/>
      <c r="H16" s="41"/>
      <c r="I16" s="41"/>
      <c r="J16" s="41"/>
      <c r="K16" s="122">
        <f t="shared" ref="K16:P16" si="4">IF(K13=0,K12/J12-1,K13)</f>
        <v>7.3664825046042548E-3</v>
      </c>
      <c r="L16" s="122">
        <f t="shared" si="4"/>
        <v>1.9337016574585641E-2</v>
      </c>
      <c r="M16" s="122">
        <f t="shared" si="4"/>
        <v>2.0776874435411097E-2</v>
      </c>
      <c r="N16" s="122">
        <f t="shared" si="4"/>
        <v>1.5929203539823078E-2</v>
      </c>
      <c r="O16" s="122">
        <f t="shared" si="4"/>
        <v>-3.4843205574912606E-3</v>
      </c>
      <c r="P16" s="122">
        <f t="shared" si="4"/>
        <v>3.8461538461538325E-2</v>
      </c>
      <c r="Q16" s="122">
        <f>IF(Q13=0,Q12/#REF!-1,Q13)</f>
        <v>5.5E-2</v>
      </c>
      <c r="R16" s="122">
        <f>IF(R13=0,R12/Q12-1,R13)</f>
        <v>4.2500000000000003E-2</v>
      </c>
      <c r="S16" s="122">
        <f>IF(S13=0,S12/R12-1,S13)</f>
        <v>0.03</v>
      </c>
      <c r="T16" s="122">
        <f>IF(T13=0,T12/S12-1,T13)</f>
        <v>2.5000000000000001E-2</v>
      </c>
      <c r="U16" s="122">
        <f>IF(U13=0,U12/T12-1,U13)</f>
        <v>2.5000000000000001E-2</v>
      </c>
      <c r="V16" s="100">
        <f t="shared" ref="V16:W16" si="5">IF(V13=0,V12/U12-1,V13)</f>
        <v>2.5000000000000001E-2</v>
      </c>
      <c r="W16" s="100">
        <f t="shared" si="5"/>
        <v>2.5000000000000001E-2</v>
      </c>
    </row>
    <row r="17" spans="1:23" outlineLevel="1">
      <c r="A17" s="41"/>
      <c r="B17" s="41"/>
      <c r="C17" s="41"/>
      <c r="D17" s="41"/>
      <c r="E17" s="41"/>
      <c r="F17" s="170" t="s">
        <v>394</v>
      </c>
      <c r="G17" s="41"/>
      <c r="H17" s="41"/>
      <c r="I17" s="41"/>
      <c r="J17" s="41"/>
      <c r="K17" s="173">
        <v>1</v>
      </c>
      <c r="L17" s="122">
        <f t="shared" ref="L17:U17" si="6">$K$15/L15</f>
        <v>0.988256549232159</v>
      </c>
      <c r="M17" s="122">
        <f t="shared" si="6"/>
        <v>0.96814159292035407</v>
      </c>
      <c r="N17" s="122">
        <f t="shared" si="6"/>
        <v>0.95296167247386765</v>
      </c>
      <c r="O17" s="122">
        <f t="shared" si="6"/>
        <v>0.95629370629370625</v>
      </c>
      <c r="P17" s="122">
        <f t="shared" si="6"/>
        <v>0.92087542087542096</v>
      </c>
      <c r="Q17" s="122">
        <f t="shared" si="6"/>
        <v>0.87286769751224735</v>
      </c>
      <c r="R17" s="122">
        <f t="shared" si="6"/>
        <v>0.83728316308129258</v>
      </c>
      <c r="S17" s="172">
        <f t="shared" si="6"/>
        <v>0.8128962748362063</v>
      </c>
      <c r="T17" s="172">
        <f t="shared" si="6"/>
        <v>0.79306953642556721</v>
      </c>
      <c r="U17" s="172">
        <f t="shared" si="6"/>
        <v>0.77372637700055347</v>
      </c>
      <c r="V17" s="180">
        <f t="shared" ref="V17:W17" si="7">$K$15/V15</f>
        <v>0.75485500195175947</v>
      </c>
      <c r="W17" s="180">
        <f t="shared" si="7"/>
        <v>0.73644390434317997</v>
      </c>
    </row>
    <row r="18" spans="1:23" outlineLevel="1">
      <c r="A18" s="41"/>
      <c r="B18" s="41"/>
      <c r="C18" s="41"/>
      <c r="D18" s="41"/>
      <c r="E18" s="41"/>
      <c r="F18" s="43" t="s">
        <v>395</v>
      </c>
      <c r="G18" s="41"/>
      <c r="H18" s="41"/>
      <c r="I18" s="41"/>
      <c r="J18" s="41"/>
      <c r="K18" s="91">
        <f>K17</f>
        <v>1</v>
      </c>
      <c r="L18" s="91">
        <f t="shared" ref="L18:Q18" si="8">K18*(1+L16)</f>
        <v>1.0193370165745856</v>
      </c>
      <c r="M18" s="91">
        <f t="shared" si="8"/>
        <v>1.0405156537753224</v>
      </c>
      <c r="N18" s="91">
        <f t="shared" si="8"/>
        <v>1.0570902394106816</v>
      </c>
      <c r="O18" s="91">
        <f t="shared" si="8"/>
        <v>1.0534069981583796</v>
      </c>
      <c r="P18" s="91">
        <f t="shared" si="8"/>
        <v>1.0939226519337018</v>
      </c>
      <c r="Q18" s="91">
        <f t="shared" si="8"/>
        <v>1.1540883977900553</v>
      </c>
      <c r="R18" s="91">
        <f t="shared" ref="R18:U18" si="9">Q18*(1+R16)</f>
        <v>1.2031371546961327</v>
      </c>
      <c r="S18" s="91">
        <f t="shared" si="9"/>
        <v>1.2392312693370167</v>
      </c>
      <c r="T18" s="91">
        <f t="shared" si="9"/>
        <v>1.270212051070442</v>
      </c>
      <c r="U18" s="91">
        <f t="shared" si="9"/>
        <v>1.3019673523472028</v>
      </c>
      <c r="V18" s="92">
        <f t="shared" ref="V18:W18" si="10">U18*(1+V16)</f>
        <v>1.3345165361558828</v>
      </c>
      <c r="W18" s="92">
        <f t="shared" si="10"/>
        <v>1.3678794495597797</v>
      </c>
    </row>
    <row r="19" spans="1:23" s="41" customFormat="1" outlineLevel="1">
      <c r="F19" s="43" t="s">
        <v>396</v>
      </c>
      <c r="K19" s="172">
        <f>L19</f>
        <v>1</v>
      </c>
      <c r="L19" s="172">
        <f>M19</f>
        <v>1</v>
      </c>
      <c r="M19" s="172">
        <f>N19</f>
        <v>1</v>
      </c>
      <c r="N19" s="172">
        <f>O19</f>
        <v>1</v>
      </c>
      <c r="O19" s="54">
        <v>1</v>
      </c>
      <c r="P19" s="188">
        <f t="shared" ref="P19:W19" si="11">O19*(1+P13)</f>
        <v>1</v>
      </c>
      <c r="Q19" s="188">
        <f t="shared" si="11"/>
        <v>1.0549999999999999</v>
      </c>
      <c r="R19" s="188">
        <f t="shared" si="11"/>
        <v>1.0998375</v>
      </c>
      <c r="S19" s="188">
        <f t="shared" si="11"/>
        <v>1.132832625</v>
      </c>
      <c r="T19" s="188">
        <f t="shared" si="11"/>
        <v>1.1611534406249999</v>
      </c>
      <c r="U19" s="188">
        <f t="shared" si="11"/>
        <v>1.1901822766406249</v>
      </c>
      <c r="V19" s="188">
        <f t="shared" si="11"/>
        <v>1.2199368335566405</v>
      </c>
      <c r="W19" s="188">
        <f t="shared" si="11"/>
        <v>1.2504352543955564</v>
      </c>
    </row>
    <row r="20" spans="1:23" s="41" customFormat="1" outlineLevel="1">
      <c r="F20" s="43" t="s">
        <v>386</v>
      </c>
      <c r="J20" s="189"/>
      <c r="K20" s="100">
        <f t="shared" ref="K20:P20" si="12">L20*(1+L16)</f>
        <v>1.1540883977900551</v>
      </c>
      <c r="L20" s="100">
        <f t="shared" si="12"/>
        <v>1.1321951219512194</v>
      </c>
      <c r="M20" s="100">
        <f t="shared" si="12"/>
        <v>1.109150442477876</v>
      </c>
      <c r="N20" s="100">
        <f t="shared" si="12"/>
        <v>1.0917595818815329</v>
      </c>
      <c r="O20" s="100">
        <f t="shared" si="12"/>
        <v>1.0955769230769228</v>
      </c>
      <c r="P20" s="122">
        <f t="shared" si="12"/>
        <v>1.0549999999999999</v>
      </c>
      <c r="Q20" s="122">
        <f t="shared" ref="Q20:W20" si="13">$Q$15/Q15</f>
        <v>1</v>
      </c>
      <c r="R20" s="122">
        <f t="shared" si="13"/>
        <v>0.95923261390887304</v>
      </c>
      <c r="S20" s="122">
        <f t="shared" si="13"/>
        <v>0.93129379991152716</v>
      </c>
      <c r="T20" s="122">
        <f t="shared" si="13"/>
        <v>0.9085793169868559</v>
      </c>
      <c r="U20" s="122">
        <f t="shared" si="13"/>
        <v>0.88641884584083508</v>
      </c>
      <c r="V20" s="122">
        <f t="shared" si="13"/>
        <v>0.86479887399105859</v>
      </c>
      <c r="W20" s="122">
        <f t="shared" si="13"/>
        <v>0.8437062185278621</v>
      </c>
    </row>
    <row r="21" spans="1:23" s="41" customFormat="1" outlineLevel="1">
      <c r="F21" s="43" t="s">
        <v>461</v>
      </c>
      <c r="K21" s="172">
        <f>L21</f>
        <v>1</v>
      </c>
      <c r="L21" s="172">
        <f>M21</f>
        <v>1</v>
      </c>
      <c r="M21" s="172">
        <f>N21</f>
        <v>1</v>
      </c>
      <c r="N21" s="172">
        <f>O21</f>
        <v>1</v>
      </c>
      <c r="O21" s="172">
        <f>P21</f>
        <v>1</v>
      </c>
      <c r="P21" s="54">
        <v>1</v>
      </c>
      <c r="Q21" s="172">
        <f t="shared" ref="Q21:W21" si="14">P21*(1+Q13)</f>
        <v>1.0549999999999999</v>
      </c>
      <c r="R21" s="172">
        <f t="shared" si="14"/>
        <v>1.0998375</v>
      </c>
      <c r="S21" s="172">
        <f t="shared" si="14"/>
        <v>1.132832625</v>
      </c>
      <c r="T21" s="172">
        <f t="shared" si="14"/>
        <v>1.1611534406249999</v>
      </c>
      <c r="U21" s="172">
        <f t="shared" si="14"/>
        <v>1.1901822766406249</v>
      </c>
      <c r="V21" s="172">
        <f t="shared" si="14"/>
        <v>1.2199368335566405</v>
      </c>
      <c r="W21" s="172">
        <f t="shared" si="14"/>
        <v>1.2504352543955564</v>
      </c>
    </row>
  </sheetData>
  <sheetProtection formatColumns="0" formatRows="0"/>
  <dataValidations disablePrompts="1" count="1">
    <dataValidation type="custom" showErrorMessage="1" errorTitle="Invalid Assumption" error="Assumption must be a number." sqref="O19 K17 P21 J12:W13" xr:uid="{3ED24080-F3F4-41E6-BAC7-CCC7351977C0}">
      <formula1>NOT(ISERROR(J12/1))</formula1>
    </dataValidation>
  </dataValidations>
  <hyperlinks>
    <hyperlink ref="A1" location="HL_Home" tooltip="Go to Table of Contents" display="HL_Home" xr:uid="{65532394-F4C3-4018-A050-B0D62836B6BF}"/>
    <hyperlink ref="A2" location="HL_Err_Chk" tooltip="Go to Error Checks" display="HL_Err_Chk" xr:uid="{638273AE-7A17-47EA-A9F0-F52D743E1D9B}"/>
  </hyperlinks>
  <pageMargins left="0.39370078740157499" right="0.39370078740157499" top="0.59055118110236204" bottom="0.98425196850393704" header="0" footer="0.31496062992126"/>
  <pageSetup paperSize="9" orientation="landscape" r:id="rId1"/>
  <headerFooter>
    <oddFooter>&amp;L&amp;F
&amp;A
Printed: &amp;T on &amp;D&amp;CPage &amp;P of &amp;N</oddFooter>
  </headerFooter>
  <customProperties>
    <customPr name="EpmWorksheetKeyString_GUID" r:id="rId2"/>
  </customPropertie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246899-8CAD-4A7B-BCD6-1DFD0F917D7E}">
  <sheetPr>
    <pageSetUpPr autoPageBreaks="0"/>
  </sheetPr>
  <dimension ref="A1:T73"/>
  <sheetViews>
    <sheetView showGridLines="0" zoomScaleNormal="100" workbookViewId="0">
      <pane xSplit="9" ySplit="21" topLeftCell="J22" activePane="bottomRight" state="frozen"/>
      <selection pane="topRight" activeCell="J1" sqref="J1"/>
      <selection pane="bottomLeft" activeCell="A22" sqref="A22"/>
      <selection pane="bottomRight" activeCell="P72" sqref="P72:T72"/>
    </sheetView>
  </sheetViews>
  <sheetFormatPr defaultColWidth="11.59765625" defaultRowHeight="11.5" outlineLevelRow="3"/>
  <cols>
    <col min="1" max="5" width="3.59765625" customWidth="1"/>
    <col min="6" max="7" width="15.59765625" customWidth="1"/>
    <col min="10" max="12" width="12.8984375" bestFit="1" customWidth="1"/>
    <col min="13" max="13" width="14" bestFit="1" customWidth="1"/>
    <col min="14" max="14" width="12.69921875" bestFit="1" customWidth="1"/>
    <col min="15" max="15" width="14.09765625" bestFit="1" customWidth="1"/>
    <col min="16" max="18" width="13.69921875" bestFit="1" customWidth="1"/>
    <col min="19" max="20" width="12.69921875" bestFit="1" customWidth="1"/>
  </cols>
  <sheetData>
    <row r="1" spans="1:20" ht="14">
      <c r="A1" s="10" t="s">
        <v>11</v>
      </c>
      <c r="B1" s="6" t="s">
        <v>364</v>
      </c>
    </row>
    <row r="2" spans="1:20" ht="13">
      <c r="A2" s="23" t="s">
        <v>26</v>
      </c>
      <c r="B2" s="7" t="str">
        <f ca="1">Model_Name</f>
        <v>GAAR Capex Forecast</v>
      </c>
    </row>
    <row r="3" spans="1:20" s="41" customFormat="1">
      <c r="B3" s="42"/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</row>
    <row r="4" spans="1:20" s="41" customFormat="1">
      <c r="B4" s="195" t="s">
        <v>74</v>
      </c>
      <c r="C4" s="196"/>
      <c r="D4" s="196"/>
      <c r="E4" s="196"/>
      <c r="F4" s="196"/>
      <c r="G4" s="196"/>
      <c r="H4" s="196"/>
      <c r="I4" s="196"/>
      <c r="J4" s="197">
        <f t="shared" ref="J4:N4" si="0">J8</f>
        <v>43465</v>
      </c>
      <c r="K4" s="197">
        <f t="shared" si="0"/>
        <v>43830</v>
      </c>
      <c r="L4" s="197">
        <f t="shared" si="0"/>
        <v>44196</v>
      </c>
      <c r="M4" s="197">
        <f t="shared" si="0"/>
        <v>44561</v>
      </c>
      <c r="N4" s="197">
        <f t="shared" si="0"/>
        <v>44926</v>
      </c>
      <c r="O4" s="121">
        <f>O8</f>
        <v>45107</v>
      </c>
      <c r="P4" s="121">
        <f t="shared" ref="P4:T4" si="1">P8</f>
        <v>45473</v>
      </c>
      <c r="Q4" s="121">
        <f t="shared" si="1"/>
        <v>45838</v>
      </c>
      <c r="R4" s="121">
        <f t="shared" si="1"/>
        <v>46203</v>
      </c>
      <c r="S4" s="121">
        <f t="shared" si="1"/>
        <v>46568</v>
      </c>
      <c r="T4" s="121">
        <f t="shared" si="1"/>
        <v>46934</v>
      </c>
    </row>
    <row r="5" spans="1:20" s="41" customFormat="1">
      <c r="B5" s="152" t="s">
        <v>100</v>
      </c>
      <c r="C5" s="152"/>
      <c r="D5" s="152"/>
      <c r="E5" s="152"/>
      <c r="F5" s="152"/>
      <c r="G5" s="152"/>
      <c r="H5" s="152"/>
      <c r="I5" s="152"/>
      <c r="J5" s="153">
        <f t="shared" ref="J5:N5" si="2">YEAR(J8)</f>
        <v>2018</v>
      </c>
      <c r="K5" s="153">
        <f t="shared" si="2"/>
        <v>2019</v>
      </c>
      <c r="L5" s="153">
        <f t="shared" si="2"/>
        <v>2020</v>
      </c>
      <c r="M5" s="153">
        <f t="shared" si="2"/>
        <v>2021</v>
      </c>
      <c r="N5" s="153">
        <f t="shared" si="2"/>
        <v>2022</v>
      </c>
      <c r="O5" s="153">
        <f>YEAR(O8)</f>
        <v>2023</v>
      </c>
      <c r="P5" s="153">
        <f t="shared" ref="P5:T5" si="3">YEAR(P8)</f>
        <v>2024</v>
      </c>
      <c r="Q5" s="153">
        <f t="shared" si="3"/>
        <v>2025</v>
      </c>
      <c r="R5" s="153">
        <f t="shared" si="3"/>
        <v>2026</v>
      </c>
      <c r="S5" s="153">
        <f t="shared" si="3"/>
        <v>2027</v>
      </c>
      <c r="T5" s="153">
        <f t="shared" si="3"/>
        <v>2028</v>
      </c>
    </row>
    <row r="6" spans="1:20" s="41" customFormat="1">
      <c r="B6" s="149" t="s">
        <v>91</v>
      </c>
      <c r="C6" s="149"/>
      <c r="D6" s="149"/>
      <c r="E6" s="149"/>
      <c r="F6" s="149"/>
      <c r="G6" s="149"/>
      <c r="H6" s="149"/>
      <c r="I6" s="149"/>
      <c r="J6" s="151" t="str">
        <f t="shared" ref="J6:N6" si="4">IF(J$17,"Actual","Forecast")</f>
        <v>Actual</v>
      </c>
      <c r="K6" s="151" t="str">
        <f t="shared" si="4"/>
        <v>Actual</v>
      </c>
      <c r="L6" s="151" t="str">
        <f t="shared" si="4"/>
        <v>Actual</v>
      </c>
      <c r="M6" s="151" t="str">
        <f t="shared" si="4"/>
        <v>Actual</v>
      </c>
      <c r="N6" s="151" t="str">
        <f t="shared" si="4"/>
        <v>Forecast</v>
      </c>
      <c r="O6" s="150" t="str">
        <f>IF(O$17,"Actual","Forecast")</f>
        <v>Forecast</v>
      </c>
      <c r="P6" s="150" t="str">
        <f t="shared" ref="P6:T6" si="5">IF(P$17,"Actual","Forecast")</f>
        <v>Forecast</v>
      </c>
      <c r="Q6" s="150" t="str">
        <f t="shared" si="5"/>
        <v>Forecast</v>
      </c>
      <c r="R6" s="150" t="str">
        <f t="shared" si="5"/>
        <v>Forecast</v>
      </c>
      <c r="S6" s="150" t="str">
        <f t="shared" si="5"/>
        <v>Forecast</v>
      </c>
      <c r="T6" s="150" t="str">
        <f t="shared" si="5"/>
        <v>Forecast</v>
      </c>
    </row>
    <row r="7" spans="1:20" s="41" customFormat="1" hidden="1" outlineLevel="3">
      <c r="B7" s="42" t="s">
        <v>101</v>
      </c>
      <c r="C7" s="42"/>
      <c r="D7" s="42"/>
      <c r="E7" s="42"/>
      <c r="F7" s="42"/>
      <c r="G7" s="42"/>
      <c r="H7" s="42"/>
      <c r="I7" s="42"/>
      <c r="J7" s="194">
        <f>EDATE(Ts_Start_Date,(J10-1)*Ts_Mths_In_Yr)</f>
        <v>43101</v>
      </c>
      <c r="K7" s="194">
        <f>EDATE(Ts_Start_Date,(K10-1)*Ts_Mths_In_Yr)</f>
        <v>43466</v>
      </c>
      <c r="L7" s="194">
        <f>EDATE(Ts_Start_Date,(L10-1)*Ts_Mths_In_Yr)</f>
        <v>43831</v>
      </c>
      <c r="M7" s="194">
        <f>EDATE(Ts_Start_Date,(M10-1)*Ts_Mths_In_Yr)</f>
        <v>44197</v>
      </c>
      <c r="N7" s="194">
        <f>EDATE(Ts_Start_Date,(N10-1)*Ts_Mths_In_Yr)</f>
        <v>44562</v>
      </c>
      <c r="O7" s="194">
        <f>Ts_Stub_Start_Date</f>
        <v>44927</v>
      </c>
      <c r="P7" s="194">
        <f>EDATE(Ts_Forecast_Reg_Start_Date,(P16-1)*Ts_Mths_In_Yr)</f>
        <v>45108</v>
      </c>
      <c r="Q7" s="194">
        <f>EDATE(Ts_Forecast_Reg_Start_Date,(Q16-1)*Ts_Mths_In_Yr)</f>
        <v>45474</v>
      </c>
      <c r="R7" s="194">
        <f>EDATE(Ts_Forecast_Reg_Start_Date,(R16-1)*Ts_Mths_In_Yr)</f>
        <v>45839</v>
      </c>
      <c r="S7" s="194">
        <f>EDATE(Ts_Forecast_Reg_Start_Date,(S16-1)*Ts_Mths_In_Yr)</f>
        <v>46204</v>
      </c>
      <c r="T7" s="194">
        <f>EDATE(Ts_Forecast_Reg_Start_Date,(T16-1)*Ts_Mths_In_Yr)</f>
        <v>46569</v>
      </c>
    </row>
    <row r="8" spans="1:20" s="41" customFormat="1" hidden="1" outlineLevel="3">
      <c r="B8" s="42" t="s">
        <v>102</v>
      </c>
      <c r="C8" s="42"/>
      <c r="D8" s="42"/>
      <c r="E8" s="42"/>
      <c r="F8" s="42"/>
      <c r="G8" s="42"/>
      <c r="H8" s="42"/>
      <c r="I8" s="42"/>
      <c r="J8" s="194">
        <f>EOMONTH(J7,Ts_Mths_In_Yr-1)</f>
        <v>43465</v>
      </c>
      <c r="K8" s="194">
        <f>EOMONTH(K7,Ts_Mths_In_Yr-1)</f>
        <v>43830</v>
      </c>
      <c r="L8" s="194">
        <f>EOMONTH(L7,Ts_Mths_In_Yr-1)</f>
        <v>44196</v>
      </c>
      <c r="M8" s="194">
        <f>EOMONTH(M7,Ts_Mths_In_Yr-1)</f>
        <v>44561</v>
      </c>
      <c r="N8" s="194">
        <f>EOMONTH(N7,Ts_Mths_In_Yr-1)</f>
        <v>44926</v>
      </c>
      <c r="O8" s="194">
        <f>EOMONTH(O7,Ts_Stub_Length-1)</f>
        <v>45107</v>
      </c>
      <c r="P8" s="194">
        <f>EOMONTH(P7,Ts_Mths_In_Yr-1)</f>
        <v>45473</v>
      </c>
      <c r="Q8" s="194">
        <f>EOMONTH(Q7,Ts_Mths_In_Yr-1)</f>
        <v>45838</v>
      </c>
      <c r="R8" s="194">
        <f>EOMONTH(R7,Ts_Mths_In_Yr-1)</f>
        <v>46203</v>
      </c>
      <c r="S8" s="194">
        <f>EOMONTH(S7,Ts_Mths_In_Yr-1)</f>
        <v>46568</v>
      </c>
      <c r="T8" s="194">
        <f>EOMONTH(T7,Ts_Mths_In_Yr-1)</f>
        <v>46934</v>
      </c>
    </row>
    <row r="9" spans="1:20" s="41" customFormat="1" hidden="1" outlineLevel="3">
      <c r="B9" s="42" t="s">
        <v>87</v>
      </c>
      <c r="C9" s="42"/>
      <c r="D9" s="42"/>
      <c r="E9" s="42"/>
      <c r="F9" s="42"/>
      <c r="G9" s="42"/>
      <c r="H9" s="42"/>
      <c r="I9" s="42"/>
      <c r="J9" s="87">
        <f t="shared" ref="J9:N9" si="6">DATEDIF(J7,J8,"m")+1</f>
        <v>12</v>
      </c>
      <c r="K9" s="87">
        <f t="shared" si="6"/>
        <v>12</v>
      </c>
      <c r="L9" s="87">
        <f t="shared" si="6"/>
        <v>12</v>
      </c>
      <c r="M9" s="87">
        <f t="shared" si="6"/>
        <v>12</v>
      </c>
      <c r="N9" s="87">
        <f t="shared" si="6"/>
        <v>12</v>
      </c>
      <c r="O9" s="87">
        <f>DATEDIF(O7,O8,"m")+1</f>
        <v>6</v>
      </c>
      <c r="P9" s="88">
        <f t="shared" ref="P9:T9" si="7">DATEDIF(P7,P8,"m")+1</f>
        <v>12</v>
      </c>
      <c r="Q9" s="88">
        <f t="shared" si="7"/>
        <v>12</v>
      </c>
      <c r="R9" s="88">
        <f t="shared" si="7"/>
        <v>12</v>
      </c>
      <c r="S9" s="88">
        <f t="shared" si="7"/>
        <v>12</v>
      </c>
      <c r="T9" s="88">
        <f t="shared" si="7"/>
        <v>12</v>
      </c>
    </row>
    <row r="10" spans="1:20" s="41" customFormat="1" hidden="1" outlineLevel="3">
      <c r="B10" s="42" t="s">
        <v>72</v>
      </c>
      <c r="C10" s="42"/>
      <c r="D10" s="42"/>
      <c r="E10" s="42"/>
      <c r="F10" s="42"/>
      <c r="G10" s="42"/>
      <c r="H10" s="42"/>
      <c r="I10" s="42"/>
      <c r="J10" s="44">
        <f>COLUMNS($J$10:J10)</f>
        <v>1</v>
      </c>
      <c r="K10" s="44">
        <f>COLUMNS($J$10:K10)</f>
        <v>2</v>
      </c>
      <c r="L10" s="44">
        <f>COLUMNS($J$10:L10)</f>
        <v>3</v>
      </c>
      <c r="M10" s="44">
        <f>COLUMNS($J$10:M10)</f>
        <v>4</v>
      </c>
      <c r="N10" s="44">
        <f>COLUMNS($J$10:N10)</f>
        <v>5</v>
      </c>
      <c r="O10" s="44">
        <f>COLUMNS($J$10:O10)</f>
        <v>6</v>
      </c>
      <c r="P10" s="44">
        <f>COLUMNS($J$10:P10)</f>
        <v>7</v>
      </c>
      <c r="Q10" s="44">
        <f>COLUMNS($J$10:Q10)</f>
        <v>8</v>
      </c>
      <c r="R10" s="44">
        <f>COLUMNS($J$10:R10)</f>
        <v>9</v>
      </c>
      <c r="S10" s="44">
        <f>COLUMNS($J$10:S10)</f>
        <v>10</v>
      </c>
      <c r="T10" s="44">
        <f>COLUMNS($J$10:T10)</f>
        <v>11</v>
      </c>
    </row>
    <row r="11" spans="1:20" s="41" customFormat="1" hidden="1" outlineLevel="3">
      <c r="B11" s="42" t="s">
        <v>76</v>
      </c>
      <c r="C11" s="42"/>
      <c r="D11" s="42"/>
      <c r="E11" s="42"/>
      <c r="F11" s="42"/>
      <c r="G11" s="42"/>
      <c r="H11" s="42"/>
      <c r="I11" s="42"/>
      <c r="J11" s="44">
        <f t="shared" ref="J11:N11" si="8">(J12&lt;&gt;0)*1</f>
        <v>1</v>
      </c>
      <c r="K11" s="44">
        <f t="shared" si="8"/>
        <v>1</v>
      </c>
      <c r="L11" s="44">
        <f t="shared" si="8"/>
        <v>1</v>
      </c>
      <c r="M11" s="44">
        <f t="shared" si="8"/>
        <v>1</v>
      </c>
      <c r="N11" s="44">
        <f t="shared" si="8"/>
        <v>1</v>
      </c>
      <c r="O11" s="46">
        <v>0</v>
      </c>
      <c r="P11" s="46">
        <v>0</v>
      </c>
      <c r="Q11" s="46">
        <v>0</v>
      </c>
      <c r="R11" s="46">
        <v>0</v>
      </c>
      <c r="S11" s="46">
        <v>0</v>
      </c>
      <c r="T11" s="46">
        <v>0</v>
      </c>
    </row>
    <row r="12" spans="1:20" s="41" customFormat="1" hidden="1" outlineLevel="3">
      <c r="B12" s="42" t="s">
        <v>96</v>
      </c>
      <c r="C12" s="42"/>
      <c r="D12" s="42"/>
      <c r="E12" s="42"/>
      <c r="F12" s="42"/>
      <c r="G12" s="42"/>
      <c r="H12" s="42"/>
      <c r="I12" s="42"/>
      <c r="J12" s="44">
        <f>COLUMNS($J$10:J10)</f>
        <v>1</v>
      </c>
      <c r="K12" s="44">
        <f>COLUMNS($J$10:K10)</f>
        <v>2</v>
      </c>
      <c r="L12" s="44">
        <f>COLUMNS($J$10:L10)</f>
        <v>3</v>
      </c>
      <c r="M12" s="44">
        <f>COLUMNS($J$10:M10)</f>
        <v>4</v>
      </c>
      <c r="N12" s="44">
        <f>COLUMNS($J$10:N10)</f>
        <v>5</v>
      </c>
      <c r="O12" s="46">
        <v>0</v>
      </c>
      <c r="P12" s="46">
        <v>0</v>
      </c>
      <c r="Q12" s="46">
        <v>0</v>
      </c>
      <c r="R12" s="46">
        <v>0</v>
      </c>
      <c r="S12" s="46">
        <v>0</v>
      </c>
      <c r="T12" s="46">
        <v>0</v>
      </c>
    </row>
    <row r="13" spans="1:20" s="41" customFormat="1" hidden="1" outlineLevel="3">
      <c r="B13" s="42" t="s">
        <v>79</v>
      </c>
      <c r="C13" s="42"/>
      <c r="D13" s="42"/>
      <c r="E13" s="42"/>
      <c r="F13" s="42"/>
      <c r="G13" s="42"/>
      <c r="H13" s="42"/>
      <c r="I13" s="42"/>
      <c r="J13" s="46">
        <v>0</v>
      </c>
      <c r="K13" s="46">
        <v>0</v>
      </c>
      <c r="L13" s="46">
        <v>0</v>
      </c>
      <c r="M13" s="46">
        <v>0</v>
      </c>
      <c r="N13" s="46">
        <v>0</v>
      </c>
      <c r="O13" s="44">
        <f>(O14&lt;&gt;0)*1</f>
        <v>1</v>
      </c>
      <c r="P13" s="46">
        <v>0</v>
      </c>
      <c r="Q13" s="46">
        <v>0</v>
      </c>
      <c r="R13" s="46">
        <v>0</v>
      </c>
      <c r="S13" s="46">
        <v>0</v>
      </c>
      <c r="T13" s="46">
        <v>0</v>
      </c>
    </row>
    <row r="14" spans="1:20" s="41" customFormat="1" hidden="1" outlineLevel="3">
      <c r="B14" s="42" t="s">
        <v>97</v>
      </c>
      <c r="C14" s="42"/>
      <c r="D14" s="42"/>
      <c r="E14" s="42"/>
      <c r="F14" s="42"/>
      <c r="G14" s="42"/>
      <c r="H14" s="42"/>
      <c r="I14" s="42"/>
      <c r="J14" s="46">
        <v>0</v>
      </c>
      <c r="K14" s="46">
        <v>0</v>
      </c>
      <c r="L14" s="46">
        <v>0</v>
      </c>
      <c r="M14" s="46">
        <v>0</v>
      </c>
      <c r="N14" s="46">
        <v>0</v>
      </c>
      <c r="O14" s="44">
        <f>COLUMNS($O$14:O14)</f>
        <v>1</v>
      </c>
      <c r="P14" s="46">
        <v>0</v>
      </c>
      <c r="Q14" s="46">
        <v>0</v>
      </c>
      <c r="R14" s="46">
        <v>0</v>
      </c>
      <c r="S14" s="46">
        <v>0</v>
      </c>
      <c r="T14" s="46">
        <v>0</v>
      </c>
    </row>
    <row r="15" spans="1:20" s="41" customFormat="1" hidden="1" outlineLevel="3">
      <c r="B15" s="42" t="s">
        <v>82</v>
      </c>
      <c r="C15" s="42"/>
      <c r="D15" s="42"/>
      <c r="E15" s="42"/>
      <c r="F15" s="42"/>
      <c r="G15" s="42"/>
      <c r="H15" s="42"/>
      <c r="I15" s="42"/>
      <c r="J15" s="46">
        <v>0</v>
      </c>
      <c r="K15" s="46">
        <v>0</v>
      </c>
      <c r="L15" s="46">
        <v>0</v>
      </c>
      <c r="M15" s="46">
        <v>0</v>
      </c>
      <c r="N15" s="46">
        <v>0</v>
      </c>
      <c r="O15" s="46">
        <v>0</v>
      </c>
      <c r="P15" s="89">
        <f t="shared" ref="P15:T15" si="9">(P16&lt;&gt;0)*1</f>
        <v>1</v>
      </c>
      <c r="Q15" s="89">
        <f t="shared" si="9"/>
        <v>1</v>
      </c>
      <c r="R15" s="89">
        <f t="shared" si="9"/>
        <v>1</v>
      </c>
      <c r="S15" s="89">
        <f t="shared" si="9"/>
        <v>1</v>
      </c>
      <c r="T15" s="89">
        <f t="shared" si="9"/>
        <v>1</v>
      </c>
    </row>
    <row r="16" spans="1:20" s="41" customFormat="1" hidden="1" outlineLevel="3">
      <c r="B16" s="42" t="s">
        <v>98</v>
      </c>
      <c r="C16" s="42"/>
      <c r="D16" s="42"/>
      <c r="E16" s="42"/>
      <c r="F16" s="42"/>
      <c r="G16" s="42"/>
      <c r="H16" s="42"/>
      <c r="I16" s="42"/>
      <c r="J16" s="46">
        <v>0</v>
      </c>
      <c r="K16" s="46">
        <v>0</v>
      </c>
      <c r="L16" s="46">
        <v>0</v>
      </c>
      <c r="M16" s="46">
        <v>0</v>
      </c>
      <c r="N16" s="46">
        <v>0</v>
      </c>
      <c r="O16" s="46">
        <v>0</v>
      </c>
      <c r="P16" s="89">
        <f>COLUMNS($P$16:P16)</f>
        <v>1</v>
      </c>
      <c r="Q16" s="89">
        <f>COLUMNS($P$16:Q16)</f>
        <v>2</v>
      </c>
      <c r="R16" s="89">
        <f>COLUMNS($P$16:R16)</f>
        <v>3</v>
      </c>
      <c r="S16" s="89">
        <f>COLUMNS($P$16:S16)</f>
        <v>4</v>
      </c>
      <c r="T16" s="89">
        <f>COLUMNS($P$16:T16)</f>
        <v>5</v>
      </c>
    </row>
    <row r="17" spans="2:20" s="41" customFormat="1" hidden="1" outlineLevel="3">
      <c r="B17" s="42" t="s">
        <v>206</v>
      </c>
      <c r="C17" s="42"/>
      <c r="D17" s="42"/>
      <c r="E17" s="42"/>
      <c r="F17" s="42"/>
      <c r="G17" s="42"/>
      <c r="H17" s="42"/>
      <c r="I17" s="42"/>
      <c r="J17" s="89">
        <f t="shared" ref="J17:T17" si="10">IF(J$5&lt;=Ts_Last_Actual_Year,1,0)</f>
        <v>1</v>
      </c>
      <c r="K17" s="89">
        <f t="shared" si="10"/>
        <v>1</v>
      </c>
      <c r="L17" s="89">
        <f t="shared" si="10"/>
        <v>1</v>
      </c>
      <c r="M17" s="89">
        <f t="shared" si="10"/>
        <v>1</v>
      </c>
      <c r="N17" s="89">
        <f t="shared" si="10"/>
        <v>0</v>
      </c>
      <c r="O17" s="89">
        <f t="shared" si="10"/>
        <v>0</v>
      </c>
      <c r="P17" s="89">
        <f t="shared" si="10"/>
        <v>0</v>
      </c>
      <c r="Q17" s="89">
        <f t="shared" si="10"/>
        <v>0</v>
      </c>
      <c r="R17" s="89">
        <f t="shared" si="10"/>
        <v>0</v>
      </c>
      <c r="S17" s="89">
        <f t="shared" si="10"/>
        <v>0</v>
      </c>
      <c r="T17" s="89">
        <f t="shared" si="10"/>
        <v>0</v>
      </c>
    </row>
    <row r="18" spans="2:20" s="41" customFormat="1" hidden="1" outlineLevel="3">
      <c r="B18" s="42" t="s">
        <v>207</v>
      </c>
      <c r="C18" s="42"/>
      <c r="D18" s="42"/>
      <c r="E18" s="42"/>
      <c r="F18" s="42"/>
      <c r="G18" s="42"/>
      <c r="H18" s="42"/>
      <c r="I18" s="42"/>
      <c r="J18" s="89">
        <f t="shared" ref="J18:T18" si="11">IF(J$5&gt;Ts_Last_Actual_Year,1,0)</f>
        <v>0</v>
      </c>
      <c r="K18" s="89">
        <f t="shared" si="11"/>
        <v>0</v>
      </c>
      <c r="L18" s="89">
        <f t="shared" si="11"/>
        <v>0</v>
      </c>
      <c r="M18" s="89">
        <f t="shared" si="11"/>
        <v>0</v>
      </c>
      <c r="N18" s="89">
        <f t="shared" si="11"/>
        <v>1</v>
      </c>
      <c r="O18" s="44">
        <f t="shared" si="11"/>
        <v>1</v>
      </c>
      <c r="P18" s="44">
        <f t="shared" si="11"/>
        <v>1</v>
      </c>
      <c r="Q18" s="44">
        <f t="shared" si="11"/>
        <v>1</v>
      </c>
      <c r="R18" s="44">
        <f t="shared" si="11"/>
        <v>1</v>
      </c>
      <c r="S18" s="44">
        <f t="shared" si="11"/>
        <v>1</v>
      </c>
      <c r="T18" s="44">
        <f t="shared" si="11"/>
        <v>1</v>
      </c>
    </row>
    <row r="19" spans="2:20" s="41" customFormat="1" hidden="1" outlineLevel="3">
      <c r="B19" s="42" t="s">
        <v>208</v>
      </c>
      <c r="C19" s="42"/>
      <c r="D19" s="42"/>
      <c r="E19" s="42"/>
      <c r="F19" s="42"/>
      <c r="G19" s="42"/>
      <c r="H19" s="42"/>
      <c r="I19" s="42"/>
      <c r="J19" s="89">
        <f>SUM($J18:J18)</f>
        <v>0</v>
      </c>
      <c r="K19" s="89">
        <f>SUM($J18:K18)</f>
        <v>0</v>
      </c>
      <c r="L19" s="89">
        <f>SUM($J18:L18)</f>
        <v>0</v>
      </c>
      <c r="M19" s="89">
        <f>SUM($J18:M18)</f>
        <v>0</v>
      </c>
      <c r="N19" s="89">
        <f>SUM($J18:N18)</f>
        <v>1</v>
      </c>
      <c r="O19" s="44">
        <f>SUM($J18:O18)</f>
        <v>2</v>
      </c>
      <c r="P19" s="44">
        <f>SUM($J18:P18)</f>
        <v>3</v>
      </c>
      <c r="Q19" s="44">
        <f>SUM($J18:Q18)</f>
        <v>4</v>
      </c>
      <c r="R19" s="44">
        <f>SUM($J18:R18)</f>
        <v>5</v>
      </c>
      <c r="S19" s="44">
        <f>SUM($J18:S18)</f>
        <v>6</v>
      </c>
      <c r="T19" s="44">
        <f>SUM($J18:T18)</f>
        <v>7</v>
      </c>
    </row>
    <row r="20" spans="2:20" s="41" customFormat="1" hidden="1" outlineLevel="3">
      <c r="B20" s="42" t="s">
        <v>481</v>
      </c>
      <c r="C20" s="42"/>
      <c r="D20" s="42"/>
      <c r="E20" s="42"/>
      <c r="F20" s="42"/>
      <c r="G20" s="42"/>
      <c r="H20" s="42"/>
      <c r="I20" s="42"/>
      <c r="J20" s="88">
        <f t="shared" ref="J20:N20" si="12">J9/12</f>
        <v>1</v>
      </c>
      <c r="K20" s="88">
        <f t="shared" si="12"/>
        <v>1</v>
      </c>
      <c r="L20" s="88">
        <f t="shared" si="12"/>
        <v>1</v>
      </c>
      <c r="M20" s="88">
        <f t="shared" si="12"/>
        <v>1</v>
      </c>
      <c r="N20" s="88">
        <f t="shared" si="12"/>
        <v>1</v>
      </c>
      <c r="O20" s="88">
        <f>O9/12</f>
        <v>0.5</v>
      </c>
      <c r="P20" s="88">
        <f t="shared" ref="P20:T20" si="13">P9/12</f>
        <v>1</v>
      </c>
      <c r="Q20" s="88">
        <f t="shared" si="13"/>
        <v>1</v>
      </c>
      <c r="R20" s="88">
        <f t="shared" si="13"/>
        <v>1</v>
      </c>
      <c r="S20" s="88">
        <f t="shared" si="13"/>
        <v>1</v>
      </c>
      <c r="T20" s="88">
        <f t="shared" si="13"/>
        <v>1</v>
      </c>
    </row>
    <row r="21" spans="2:20" s="41" customFormat="1" hidden="1" outlineLevel="3">
      <c r="B21" s="42"/>
      <c r="C21" s="42"/>
      <c r="D21" s="42"/>
      <c r="E21" s="42"/>
      <c r="F21" s="42"/>
      <c r="G21" s="42"/>
      <c r="H21" s="42"/>
      <c r="I21" s="42"/>
      <c r="J21" s="42"/>
      <c r="K21" s="42"/>
      <c r="L21" s="42"/>
      <c r="M21" s="42"/>
      <c r="N21" s="42"/>
      <c r="O21" s="42"/>
      <c r="P21" s="42"/>
      <c r="Q21" s="42"/>
      <c r="R21" s="42"/>
      <c r="S21" s="42"/>
      <c r="T21" s="42"/>
    </row>
    <row r="22" spans="2:20" s="41" customFormat="1" collapsed="1"/>
    <row r="23" spans="2:20" s="41" customFormat="1">
      <c r="B23" s="47" t="s">
        <v>473</v>
      </c>
      <c r="C23" s="47"/>
      <c r="D23" s="47"/>
      <c r="E23" s="47"/>
      <c r="F23" s="47"/>
      <c r="G23" s="47"/>
      <c r="H23" s="47"/>
      <c r="I23" s="47"/>
      <c r="J23" s="47"/>
      <c r="K23" s="47"/>
      <c r="L23" s="47"/>
      <c r="M23" s="47"/>
      <c r="N23" s="47"/>
      <c r="O23" s="47"/>
      <c r="P23" s="47"/>
      <c r="Q23" s="47"/>
      <c r="R23" s="47"/>
      <c r="S23" s="47"/>
      <c r="T23" s="47"/>
    </row>
    <row r="24" spans="2:20" s="41" customFormat="1" outlineLevel="1"/>
    <row r="25" spans="2:20" s="41" customFormat="1" outlineLevel="1">
      <c r="C25" s="50" t="s">
        <v>276</v>
      </c>
    </row>
    <row r="26" spans="2:20" s="41" customFormat="1" ht="5.9" customHeight="1" outlineLevel="1"/>
    <row r="27" spans="2:20" s="41" customFormat="1" outlineLevel="1">
      <c r="F27" s="52" t="s">
        <v>386</v>
      </c>
      <c r="J27" s="91">
        <f>Rates!J29</f>
        <v>1.1321951219512194</v>
      </c>
      <c r="K27" s="91">
        <f>Rates!K29</f>
        <v>1.109150442477876</v>
      </c>
      <c r="L27" s="91">
        <f>Rates!L29</f>
        <v>1.0917595818815329</v>
      </c>
      <c r="M27" s="91">
        <f>Rates!M29</f>
        <v>1.0955769230769228</v>
      </c>
      <c r="N27" s="91">
        <f>Rates!N29</f>
        <v>1.0549999999999999</v>
      </c>
      <c r="O27" s="91">
        <f>Rates!O29</f>
        <v>1</v>
      </c>
      <c r="P27" s="91">
        <f>Rates!P29</f>
        <v>0.95923261390887304</v>
      </c>
      <c r="Q27" s="91">
        <f>Rates!Q29</f>
        <v>0.93129379991152716</v>
      </c>
      <c r="R27" s="91">
        <f>Rates!R29</f>
        <v>0.9085793169868559</v>
      </c>
      <c r="S27" s="91">
        <f>Rates!S29</f>
        <v>0.88641884584083508</v>
      </c>
      <c r="T27" s="91">
        <f>Rates!T29</f>
        <v>0.86479887399105859</v>
      </c>
    </row>
    <row r="28" spans="2:20" s="41" customFormat="1" outlineLevel="1"/>
    <row r="29" spans="2:20" s="41" customFormat="1" outlineLevel="1">
      <c r="C29" s="50" t="s">
        <v>476</v>
      </c>
    </row>
    <row r="30" spans="2:20" s="41" customFormat="1" ht="5.9" customHeight="1" outlineLevel="1"/>
    <row r="31" spans="2:20" s="41" customFormat="1" outlineLevel="1">
      <c r="E31" s="50" t="s">
        <v>474</v>
      </c>
    </row>
    <row r="32" spans="2:20" s="41" customFormat="1" outlineLevel="1">
      <c r="F32" s="52" t="s">
        <v>106</v>
      </c>
      <c r="J32" s="80">
        <f ca="1">'CapexSum$Nom'!J117-'CapexSum$Nom'!J109-'CapexSum$Nom'!J112</f>
        <v>85745075.178966388</v>
      </c>
      <c r="K32" s="80">
        <f ca="1">'CapexSum$Nom'!K117-'CapexSum$Nom'!K109-'CapexSum$Nom'!K112</f>
        <v>91884958.750000015</v>
      </c>
      <c r="L32" s="80">
        <f ca="1">'CapexSum$Nom'!L117-'CapexSum$Nom'!L109-'CapexSum$Nom'!L112</f>
        <v>89420986.709999993</v>
      </c>
      <c r="M32" s="80">
        <f ca="1">'CapexSum$Nom'!M117-'CapexSum$Nom'!M109-'CapexSum$Nom'!M112</f>
        <v>100389624.43327887</v>
      </c>
      <c r="N32" s="80">
        <f ca="1">'CapexSum$Nom'!N117-'CapexSum$Nom'!N109-'CapexSum$Nom'!N112</f>
        <v>91937723.62644586</v>
      </c>
    </row>
    <row r="33" spans="4:14" s="41" customFormat="1" outlineLevel="1">
      <c r="F33" s="52" t="s">
        <v>107</v>
      </c>
      <c r="J33" s="80">
        <f ca="1">'CapexSum$Nom'!J109</f>
        <v>8221381.4400000013</v>
      </c>
      <c r="K33" s="80">
        <f ca="1">'CapexSum$Nom'!K109</f>
        <v>7191495.790000001</v>
      </c>
      <c r="L33" s="80">
        <f ca="1">'CapexSum$Nom'!L109</f>
        <v>5733648.04</v>
      </c>
      <c r="M33" s="80">
        <f ca="1">'CapexSum$Nom'!M109</f>
        <v>6770127.3438302651</v>
      </c>
      <c r="N33" s="80">
        <f ca="1">'CapexSum$Nom'!N109</f>
        <v>6495387.0956881428</v>
      </c>
    </row>
    <row r="34" spans="4:14" s="41" customFormat="1" ht="5.9" customHeight="1" outlineLevel="1"/>
    <row r="35" spans="4:14" s="41" customFormat="1" outlineLevel="1">
      <c r="E35" s="50" t="s">
        <v>475</v>
      </c>
    </row>
    <row r="36" spans="4:14" s="41" customFormat="1" outlineLevel="1">
      <c r="F36" s="205" t="str">
        <f>$F$32</f>
        <v>Network</v>
      </c>
      <c r="I36" s="80">
        <f ca="1">AVERAGE(J36:M36)</f>
        <v>3373043.0027584024</v>
      </c>
      <c r="J36" s="80">
        <f ca="1">'CapexSum$Nom'!J137-'CapexSum$Nom'!J129</f>
        <v>4726284.0010336097</v>
      </c>
      <c r="K36" s="80">
        <f ca="1">'CapexSum$Nom'!K137-'CapexSum$Nom'!K129</f>
        <v>3003166.4100000006</v>
      </c>
      <c r="L36" s="80">
        <f ca="1">'CapexSum$Nom'!L137-'CapexSum$Nom'!L129</f>
        <v>3229779.5499999993</v>
      </c>
      <c r="M36" s="80">
        <f ca="1">'CapexSum$Nom'!M137-'CapexSum$Nom'!M129</f>
        <v>2532942.0499999998</v>
      </c>
    </row>
    <row r="37" spans="4:14" s="41" customFormat="1" outlineLevel="1">
      <c r="F37" s="205" t="str">
        <f>$F$33</f>
        <v>IT</v>
      </c>
      <c r="I37" s="80">
        <f ca="1">AVERAGE(J37:M37)</f>
        <v>472677.02500000002</v>
      </c>
      <c r="J37" s="80">
        <f ca="1">'CapexSum$Nom'!J129</f>
        <v>599335.85000000009</v>
      </c>
      <c r="K37" s="80">
        <f ca="1">'CapexSum$Nom'!K129</f>
        <v>438304.14999999991</v>
      </c>
      <c r="L37" s="80">
        <f ca="1">'CapexSum$Nom'!L129</f>
        <v>375127.92</v>
      </c>
      <c r="M37" s="80">
        <f ca="1">'CapexSum$Nom'!M129</f>
        <v>477940.18000000005</v>
      </c>
    </row>
    <row r="38" spans="4:14" s="41" customFormat="1" ht="5.9" customHeight="1" outlineLevel="1"/>
    <row r="39" spans="4:14" s="41" customFormat="1" outlineLevel="1">
      <c r="E39" s="50" t="s">
        <v>105</v>
      </c>
    </row>
    <row r="40" spans="4:14" s="41" customFormat="1" outlineLevel="1">
      <c r="F40" s="205" t="str">
        <f>$F$32</f>
        <v>Network</v>
      </c>
      <c r="I40" s="172">
        <f ca="1">AVERAGE(J40:M40)</f>
        <v>3.7288521521519583E-2</v>
      </c>
      <c r="J40" s="122">
        <f t="shared" ref="J40:M40" ca="1" si="14">J36/J32</f>
        <v>5.512018026888367E-2</v>
      </c>
      <c r="K40" s="122">
        <f t="shared" ca="1" si="14"/>
        <v>3.2683982785158515E-2</v>
      </c>
      <c r="L40" s="122">
        <f t="shared" ca="1" si="14"/>
        <v>3.6118809116638964E-2</v>
      </c>
      <c r="M40" s="122">
        <f t="shared" ca="1" si="14"/>
        <v>2.5231113915397185E-2</v>
      </c>
    </row>
    <row r="41" spans="4:14" s="41" customFormat="1" outlineLevel="1">
      <c r="F41" s="205" t="str">
        <f>$F$33</f>
        <v>IT</v>
      </c>
      <c r="I41" s="172">
        <f ca="1">AVERAGE(J41:M41)</f>
        <v>6.7467090667832019E-2</v>
      </c>
      <c r="J41" s="122">
        <f t="shared" ref="J41:M41" ca="1" si="15">J37/J33</f>
        <v>7.2899652494410966E-2</v>
      </c>
      <c r="K41" s="122">
        <f t="shared" ca="1" si="15"/>
        <v>6.0947564011575382E-2</v>
      </c>
      <c r="L41" s="122">
        <f t="shared" ca="1" si="15"/>
        <v>6.5425697109932818E-2</v>
      </c>
      <c r="M41" s="122">
        <f t="shared" ca="1" si="15"/>
        <v>7.0595449055408876E-2</v>
      </c>
    </row>
    <row r="42" spans="4:14" s="41" customFormat="1" ht="5.9" customHeight="1" outlineLevel="1">
      <c r="D42" s="109"/>
      <c r="E42" s="109"/>
      <c r="F42" s="109"/>
      <c r="G42" s="109"/>
      <c r="H42" s="109"/>
      <c r="I42" s="109"/>
      <c r="J42" s="109"/>
      <c r="K42" s="109"/>
      <c r="L42" s="109"/>
      <c r="M42" s="109"/>
      <c r="N42" s="109"/>
    </row>
    <row r="43" spans="4:14" s="41" customFormat="1" ht="5.9" customHeight="1" outlineLevel="1"/>
    <row r="44" spans="4:14" s="41" customFormat="1" outlineLevel="1">
      <c r="E44" s="50" t="s">
        <v>478</v>
      </c>
    </row>
    <row r="45" spans="4:14" s="41" customFormat="1" outlineLevel="1">
      <c r="F45" s="205" t="str">
        <f>$F$32</f>
        <v>Network</v>
      </c>
      <c r="J45" s="80">
        <f t="shared" ref="J45:N45" ca="1" si="16">J32*J$27</f>
        <v>97080155.84896633</v>
      </c>
      <c r="K45" s="80">
        <f t="shared" ca="1" si="16"/>
        <v>101914242.6546239</v>
      </c>
      <c r="L45" s="80">
        <f t="shared" ca="1" si="16"/>
        <v>97626219.061943695</v>
      </c>
      <c r="M45" s="80">
        <f t="shared" ca="1" si="16"/>
        <v>109984555.84545954</v>
      </c>
      <c r="N45" s="80">
        <f t="shared" ca="1" si="16"/>
        <v>96994298.42590037</v>
      </c>
    </row>
    <row r="46" spans="4:14" s="41" customFormat="1" outlineLevel="1">
      <c r="F46" s="205" t="str">
        <f>$F$33</f>
        <v>IT</v>
      </c>
      <c r="J46" s="80">
        <f t="shared" ref="J46:N46" ca="1" si="17">J33*J$27</f>
        <v>9308207.9620682932</v>
      </c>
      <c r="K46" s="80">
        <f t="shared" ca="1" si="17"/>
        <v>7976450.7375562834</v>
      </c>
      <c r="L46" s="80">
        <f t="shared" ca="1" si="17"/>
        <v>6259765.1868062709</v>
      </c>
      <c r="M46" s="80">
        <f t="shared" ca="1" si="17"/>
        <v>7417195.2841925016</v>
      </c>
      <c r="N46" s="80">
        <f t="shared" ca="1" si="17"/>
        <v>6852633.38595099</v>
      </c>
    </row>
    <row r="47" spans="4:14" s="41" customFormat="1" ht="5.9" customHeight="1" outlineLevel="1"/>
    <row r="48" spans="4:14" s="41" customFormat="1" outlineLevel="1">
      <c r="E48" s="50" t="s">
        <v>479</v>
      </c>
    </row>
    <row r="49" spans="3:20" s="41" customFormat="1" outlineLevel="1">
      <c r="F49" s="205" t="str">
        <f>$F$32</f>
        <v>Network</v>
      </c>
      <c r="I49" s="80">
        <f ca="1">AVERAGE($J$49:$M$49)</f>
        <v>3745803.6679903045</v>
      </c>
      <c r="J49" s="80">
        <f t="shared" ref="J49:N49" ca="1" si="18">J36*J$27</f>
        <v>5351075.6909263451</v>
      </c>
      <c r="K49" s="80">
        <f t="shared" ca="1" si="18"/>
        <v>3330963.352486195</v>
      </c>
      <c r="L49" s="80">
        <f t="shared" ca="1" si="18"/>
        <v>3526142.7710775249</v>
      </c>
      <c r="M49" s="80">
        <f t="shared" ca="1" si="18"/>
        <v>2775032.8574711527</v>
      </c>
      <c r="N49" s="80">
        <f t="shared" si="18"/>
        <v>0</v>
      </c>
    </row>
    <row r="50" spans="3:20" s="41" customFormat="1" outlineLevel="1">
      <c r="F50" s="205" t="str">
        <f>$F$33</f>
        <v>IT</v>
      </c>
      <c r="I50" s="80">
        <f ca="1">AVERAGE($J$50:$M$50)</f>
        <v>524470.02515084925</v>
      </c>
      <c r="J50" s="80">
        <f t="shared" ref="J50:N50" ca="1" si="19">J37*J$27</f>
        <v>678565.1257804879</v>
      </c>
      <c r="K50" s="80">
        <f t="shared" ca="1" si="19"/>
        <v>486145.24191238923</v>
      </c>
      <c r="L50" s="80">
        <f t="shared" ca="1" si="19"/>
        <v>409549.5010912891</v>
      </c>
      <c r="M50" s="80">
        <f t="shared" ca="1" si="19"/>
        <v>523620.23181923066</v>
      </c>
      <c r="N50" s="80">
        <f t="shared" si="19"/>
        <v>0</v>
      </c>
    </row>
    <row r="51" spans="3:20" s="41" customFormat="1" outlineLevel="1"/>
    <row r="52" spans="3:20" s="41" customFormat="1" outlineLevel="1"/>
    <row r="53" spans="3:20" s="41" customFormat="1" outlineLevel="1">
      <c r="C53" s="50" t="s">
        <v>477</v>
      </c>
    </row>
    <row r="54" spans="3:20" s="41" customFormat="1" outlineLevel="1"/>
    <row r="55" spans="3:20" s="41" customFormat="1" outlineLevel="1">
      <c r="D55" s="50" t="s">
        <v>480</v>
      </c>
    </row>
    <row r="56" spans="3:20" s="41" customFormat="1" ht="5.9" customHeight="1" outlineLevel="1"/>
    <row r="57" spans="3:20" s="41" customFormat="1" outlineLevel="1">
      <c r="E57" s="50" t="s">
        <v>479</v>
      </c>
    </row>
    <row r="58" spans="3:20" s="41" customFormat="1" outlineLevel="1">
      <c r="F58" s="205" t="str">
        <f>$F$32</f>
        <v>Network</v>
      </c>
      <c r="J58" s="80">
        <f t="shared" ref="J58:T58" ca="1" si="20">J49+(AVERAGE($J$49:$M$49)*J$18*J$20)</f>
        <v>5351075.6909263451</v>
      </c>
      <c r="K58" s="80">
        <f t="shared" ca="1" si="20"/>
        <v>3330963.352486195</v>
      </c>
      <c r="L58" s="80">
        <f t="shared" ca="1" si="20"/>
        <v>3526142.7710775249</v>
      </c>
      <c r="M58" s="80">
        <f t="shared" ca="1" si="20"/>
        <v>2775032.8574711527</v>
      </c>
      <c r="N58" s="80">
        <f t="shared" ca="1" si="20"/>
        <v>3745803.6679903045</v>
      </c>
      <c r="O58" s="80">
        <f t="shared" ca="1" si="20"/>
        <v>1872901.8339951523</v>
      </c>
      <c r="P58" s="80">
        <f t="shared" ca="1" si="20"/>
        <v>3745803.6679903045</v>
      </c>
      <c r="Q58" s="80">
        <f t="shared" ca="1" si="20"/>
        <v>3745803.6679903045</v>
      </c>
      <c r="R58" s="80">
        <f t="shared" ca="1" si="20"/>
        <v>3745803.6679903045</v>
      </c>
      <c r="S58" s="80">
        <f t="shared" ca="1" si="20"/>
        <v>3745803.6679903045</v>
      </c>
      <c r="T58" s="80">
        <f t="shared" ca="1" si="20"/>
        <v>3745803.6679903045</v>
      </c>
    </row>
    <row r="59" spans="3:20" s="41" customFormat="1" outlineLevel="1">
      <c r="F59" s="205" t="str">
        <f>$F$33</f>
        <v>IT</v>
      </c>
      <c r="J59" s="80">
        <f t="shared" ref="J59:T59" ca="1" si="21">J50+(AVERAGE($J$50:$M$50)*J$18*J$20)</f>
        <v>678565.1257804879</v>
      </c>
      <c r="K59" s="80">
        <f t="shared" ca="1" si="21"/>
        <v>486145.24191238923</v>
      </c>
      <c r="L59" s="80">
        <f t="shared" ca="1" si="21"/>
        <v>409549.5010912891</v>
      </c>
      <c r="M59" s="80">
        <f t="shared" ca="1" si="21"/>
        <v>523620.23181923066</v>
      </c>
      <c r="N59" s="80">
        <f t="shared" ca="1" si="21"/>
        <v>524470.02515084925</v>
      </c>
      <c r="O59" s="80">
        <f t="shared" ca="1" si="21"/>
        <v>262235.01257542463</v>
      </c>
      <c r="P59" s="80">
        <f t="shared" ca="1" si="21"/>
        <v>524470.02515084925</v>
      </c>
      <c r="Q59" s="80">
        <f t="shared" ca="1" si="21"/>
        <v>524470.02515084925</v>
      </c>
      <c r="R59" s="80">
        <f t="shared" ca="1" si="21"/>
        <v>524470.02515084925</v>
      </c>
      <c r="S59" s="80">
        <f t="shared" ca="1" si="21"/>
        <v>524470.02515084925</v>
      </c>
      <c r="T59" s="80">
        <f t="shared" ca="1" si="21"/>
        <v>524470.02515084925</v>
      </c>
    </row>
    <row r="60" spans="3:20" s="41" customFormat="1" outlineLevel="1"/>
    <row r="61" spans="3:20" s="41" customFormat="1" outlineLevel="1">
      <c r="D61" s="50" t="s">
        <v>482</v>
      </c>
      <c r="I61" s="198">
        <f>[1]Sheet1!$G$2*10^6</f>
        <v>4490518.3647164432</v>
      </c>
    </row>
    <row r="62" spans="3:20" s="41" customFormat="1" ht="5.9" customHeight="1" outlineLevel="1"/>
    <row r="63" spans="3:20" s="41" customFormat="1" outlineLevel="1">
      <c r="E63" s="50" t="s">
        <v>479</v>
      </c>
    </row>
    <row r="64" spans="3:20" s="41" customFormat="1" outlineLevel="1">
      <c r="F64" s="205" t="str">
        <f>$F$32</f>
        <v>Network</v>
      </c>
      <c r="J64" s="198">
        <f t="shared" ref="J64:T64" ca="1" si="22">J58-J58/SUM(J$58:J$59)*J$15*$I$61/5</f>
        <v>5351075.6909263451</v>
      </c>
      <c r="K64" s="198">
        <f t="shared" ca="1" si="22"/>
        <v>3330963.352486195</v>
      </c>
      <c r="L64" s="198">
        <f t="shared" ca="1" si="22"/>
        <v>3526142.7710775249</v>
      </c>
      <c r="M64" s="198">
        <f t="shared" ca="1" si="22"/>
        <v>2775032.8574711527</v>
      </c>
      <c r="N64" s="198">
        <f t="shared" ca="1" si="22"/>
        <v>3745803.6679903045</v>
      </c>
      <c r="O64" s="198">
        <f t="shared" ca="1" si="22"/>
        <v>1872901.8339951523</v>
      </c>
      <c r="P64" s="198">
        <f t="shared" ca="1" si="22"/>
        <v>2958004.0387183139</v>
      </c>
      <c r="Q64" s="198">
        <f t="shared" ca="1" si="22"/>
        <v>2958004.0387183139</v>
      </c>
      <c r="R64" s="198">
        <f t="shared" ca="1" si="22"/>
        <v>2958004.0387183139</v>
      </c>
      <c r="S64" s="198">
        <f t="shared" ca="1" si="22"/>
        <v>2958004.0387183139</v>
      </c>
      <c r="T64" s="198">
        <f t="shared" ca="1" si="22"/>
        <v>2958004.0387183139</v>
      </c>
    </row>
    <row r="65" spans="5:20" s="41" customFormat="1" outlineLevel="1">
      <c r="F65" s="205" t="str">
        <f>$F$33</f>
        <v>IT</v>
      </c>
      <c r="J65" s="198">
        <f t="shared" ref="J65:T65" ca="1" si="23">J59-J59/SUM(J$58:J$59)*J$15*$I$61/5</f>
        <v>678565.1257804879</v>
      </c>
      <c r="K65" s="198">
        <f t="shared" ca="1" si="23"/>
        <v>486145.24191238923</v>
      </c>
      <c r="L65" s="198">
        <f t="shared" ca="1" si="23"/>
        <v>409549.5010912891</v>
      </c>
      <c r="M65" s="198">
        <f t="shared" ca="1" si="23"/>
        <v>523620.23181923066</v>
      </c>
      <c r="N65" s="198">
        <f t="shared" ca="1" si="23"/>
        <v>524470.02515084925</v>
      </c>
      <c r="O65" s="198">
        <f t="shared" ca="1" si="23"/>
        <v>262235.01257542463</v>
      </c>
      <c r="P65" s="198">
        <f t="shared" ca="1" si="23"/>
        <v>414165.98147955129</v>
      </c>
      <c r="Q65" s="198">
        <f t="shared" ca="1" si="23"/>
        <v>414165.98147955129</v>
      </c>
      <c r="R65" s="198">
        <f t="shared" ca="1" si="23"/>
        <v>414165.98147955129</v>
      </c>
      <c r="S65" s="198">
        <f t="shared" ca="1" si="23"/>
        <v>414165.98147955129</v>
      </c>
      <c r="T65" s="198">
        <f t="shared" ca="1" si="23"/>
        <v>414165.98147955129</v>
      </c>
    </row>
    <row r="66" spans="5:20" s="41" customFormat="1" outlineLevel="1"/>
    <row r="67" spans="5:20" s="41" customFormat="1" outlineLevel="1">
      <c r="E67" s="50" t="s">
        <v>478</v>
      </c>
    </row>
    <row r="68" spans="5:20" s="41" customFormat="1" outlineLevel="1">
      <c r="F68" s="205" t="str">
        <f>$F$32</f>
        <v>Network</v>
      </c>
      <c r="J68" s="80">
        <f ca="1">'CapexSum$FY23'!J117-'CapexSum$FY23'!J109-'CapexSum$FY23'!J112</f>
        <v>97080155.848966315</v>
      </c>
      <c r="K68" s="80">
        <f ca="1">'CapexSum$FY23'!K117-'CapexSum$FY23'!K109-'CapexSum$FY23'!K112</f>
        <v>101914242.6546239</v>
      </c>
      <c r="L68" s="80">
        <f ca="1">'CapexSum$FY23'!L117-'CapexSum$FY23'!L109-'CapexSum$FY23'!L112</f>
        <v>97626219.061943695</v>
      </c>
      <c r="M68" s="80">
        <f ca="1">'CapexSum$FY23'!M117-'CapexSum$FY23'!M109-'CapexSum$FY23'!M112</f>
        <v>109984555.84545954</v>
      </c>
      <c r="N68" s="80">
        <f ca="1">'CapexSum$FY23'!N117-'CapexSum$FY23'!N109-'CapexSum$FY23'!N112</f>
        <v>96994298.42590037</v>
      </c>
      <c r="O68" s="80">
        <f ca="1">'CapexSum$FY23'!O117-'CapexSum$FY23'!O109-'CapexSum$FY23'!O112</f>
        <v>57899443.732780583</v>
      </c>
      <c r="P68" s="80">
        <f ca="1">'CapexSum$FY23'!P117-'CapexSum$FY23'!P109-'CapexSum$FY23'!P112</f>
        <v>98895526.373334333</v>
      </c>
      <c r="Q68" s="80">
        <f ca="1">'CapexSum$FY23'!Q117-'CapexSum$FY23'!Q109-'CapexSum$FY23'!Q112</f>
        <v>100840300.39950855</v>
      </c>
      <c r="R68" s="80">
        <f ca="1">'CapexSum$FY23'!R117-'CapexSum$FY23'!R109-'CapexSum$FY23'!R112</f>
        <v>96677452.347715884</v>
      </c>
      <c r="S68" s="80">
        <f ca="1">'CapexSum$FY23'!S117-'CapexSum$FY23'!S109-'CapexSum$FY23'!S112</f>
        <v>93975446.531496003</v>
      </c>
      <c r="T68" s="80">
        <f ca="1">'CapexSum$FY23'!T117-'CapexSum$FY23'!T109-'CapexSum$FY23'!T112</f>
        <v>86558399.205787659</v>
      </c>
    </row>
    <row r="69" spans="5:20" s="41" customFormat="1" outlineLevel="1">
      <c r="F69" s="205" t="str">
        <f>$F$33</f>
        <v>IT</v>
      </c>
      <c r="J69" s="80">
        <f ca="1">'CapexSum$FY23'!J109</f>
        <v>9308207.9620682932</v>
      </c>
      <c r="K69" s="80">
        <f ca="1">'CapexSum$FY23'!K109</f>
        <v>7976450.7375562834</v>
      </c>
      <c r="L69" s="80">
        <f ca="1">'CapexSum$FY23'!L109</f>
        <v>6259765.1868062709</v>
      </c>
      <c r="M69" s="80">
        <f ca="1">'CapexSum$FY23'!M109</f>
        <v>7417195.2841925016</v>
      </c>
      <c r="N69" s="80">
        <f ca="1">'CapexSum$FY23'!N109</f>
        <v>6852633.38595099</v>
      </c>
      <c r="O69" s="80">
        <f ca="1">'CapexSum$FY23'!O109</f>
        <v>3426284.774147653</v>
      </c>
      <c r="P69" s="80">
        <f ca="1">'CapexSum$FY23'!P109</f>
        <v>15911940.863268567</v>
      </c>
      <c r="Q69" s="80">
        <f ca="1">'CapexSum$FY23'!Q109</f>
        <v>18321777.077766862</v>
      </c>
      <c r="R69" s="80">
        <f ca="1">'CapexSum$FY23'!R109</f>
        <v>19894792.540225342</v>
      </c>
      <c r="S69" s="80">
        <f ca="1">'CapexSum$FY23'!S109</f>
        <v>9779819.1588002276</v>
      </c>
      <c r="T69" s="80">
        <f ca="1">'CapexSum$FY23'!T109</f>
        <v>7165074.3664562125</v>
      </c>
    </row>
    <row r="70" spans="5:20" s="41" customFormat="1" outlineLevel="1"/>
    <row r="71" spans="5:20" s="41" customFormat="1" outlineLevel="1">
      <c r="E71" s="50" t="s">
        <v>483</v>
      </c>
    </row>
    <row r="72" spans="5:20" s="41" customFormat="1" outlineLevel="1">
      <c r="F72" s="205" t="str">
        <f>$F$32</f>
        <v>Network</v>
      </c>
      <c r="J72" s="172">
        <f t="shared" ref="J72:T72" ca="1" si="24">J64/J68*J$18</f>
        <v>0</v>
      </c>
      <c r="K72" s="172">
        <f t="shared" ca="1" si="24"/>
        <v>0</v>
      </c>
      <c r="L72" s="172">
        <f t="shared" ca="1" si="24"/>
        <v>0</v>
      </c>
      <c r="M72" s="172">
        <f t="shared" ca="1" si="24"/>
        <v>0</v>
      </c>
      <c r="N72" s="172">
        <f t="shared" ca="1" si="24"/>
        <v>3.8618802638713277E-2</v>
      </c>
      <c r="O72" s="172">
        <f t="shared" ca="1" si="24"/>
        <v>3.234749270889424E-2</v>
      </c>
      <c r="P72" s="172">
        <f t="shared" ca="1" si="24"/>
        <v>2.9910392787149312E-2</v>
      </c>
      <c r="Q72" s="172">
        <f t="shared" ca="1" si="24"/>
        <v>2.9333550445598731E-2</v>
      </c>
      <c r="R72" s="172">
        <f t="shared" ca="1" si="24"/>
        <v>3.0596627930154597E-2</v>
      </c>
      <c r="S72" s="172">
        <f t="shared" ca="1" si="24"/>
        <v>3.1476349917921746E-2</v>
      </c>
      <c r="T72" s="172">
        <f t="shared" ca="1" si="24"/>
        <v>3.4173506740643712E-2</v>
      </c>
    </row>
    <row r="73" spans="5:20" s="41" customFormat="1" outlineLevel="1">
      <c r="F73" s="205" t="str">
        <f>$F$33</f>
        <v>IT</v>
      </c>
      <c r="J73" s="172">
        <f t="shared" ref="J73:T73" ca="1" si="25">J65/J69*J$18</f>
        <v>0</v>
      </c>
      <c r="K73" s="172">
        <f t="shared" ca="1" si="25"/>
        <v>0</v>
      </c>
      <c r="L73" s="172">
        <f t="shared" ca="1" si="25"/>
        <v>0</v>
      </c>
      <c r="M73" s="172">
        <f t="shared" ca="1" si="25"/>
        <v>0</v>
      </c>
      <c r="N73" s="172">
        <f t="shared" ca="1" si="25"/>
        <v>7.6535544164101618E-2</v>
      </c>
      <c r="O73" s="172">
        <f t="shared" ca="1" si="25"/>
        <v>7.6536257159377563E-2</v>
      </c>
      <c r="P73" s="172">
        <f t="shared" ca="1" si="25"/>
        <v>2.6028627496700926E-2</v>
      </c>
      <c r="Q73" s="172">
        <f t="shared" ca="1" si="25"/>
        <v>2.260512065623449E-2</v>
      </c>
      <c r="R73" s="172">
        <f t="shared" ca="1" si="25"/>
        <v>2.081780851155637E-2</v>
      </c>
      <c r="S73" s="172">
        <f t="shared" ca="1" si="25"/>
        <v>4.2349042937759242E-2</v>
      </c>
      <c r="T73" s="172">
        <f t="shared" ca="1" si="25"/>
        <v>5.7803444918659568E-2</v>
      </c>
    </row>
  </sheetData>
  <sheetProtection formatColumns="0" formatRows="0"/>
  <hyperlinks>
    <hyperlink ref="A1" location="HL_Home" tooltip="Go to Table of Contents" display="HL_Home" xr:uid="{EA9E8436-C6A2-438E-B653-50E644310BBE}"/>
    <hyperlink ref="A2" location="HL_Err_Chk" tooltip="Go to Error Checks" display="HL_Err_Chk" xr:uid="{95849671-1F29-4061-8EA0-7C93D0EC868A}"/>
  </hyperlinks>
  <pageMargins left="0.39370078740157499" right="0.39370078740157499" top="0.59055118110236204" bottom="0.98425196850393704" header="0" footer="0.31496062992126"/>
  <pageSetup paperSize="9" orientation="landscape" verticalDpi="0" r:id="rId1"/>
  <headerFooter>
    <oddFooter>&amp;L&amp;F
&amp;A
Printed: &amp;T on &amp;D&amp;CPage &amp;P of &amp;N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750563-B4F1-4F8D-9AD3-9DB5C60CAEF6}">
  <sheetPr>
    <pageSetUpPr autoPageBreaks="0"/>
  </sheetPr>
  <dimension ref="A1:T55"/>
  <sheetViews>
    <sheetView showGridLines="0" zoomScaleNormal="100" workbookViewId="0">
      <pane xSplit="9" ySplit="21" topLeftCell="J22" activePane="bottomRight" state="frozen"/>
      <selection activeCell="I248" sqref="I248"/>
      <selection pane="topRight" activeCell="I248" sqref="I248"/>
      <selection pane="bottomLeft" activeCell="I248" sqref="I248"/>
      <selection pane="bottomRight" activeCell="Q57" sqref="Q57"/>
    </sheetView>
  </sheetViews>
  <sheetFormatPr defaultColWidth="11.59765625" defaultRowHeight="11.5" outlineLevelRow="3"/>
  <cols>
    <col min="1" max="5" width="3.59765625" customWidth="1"/>
    <col min="6" max="7" width="15.59765625" customWidth="1"/>
  </cols>
  <sheetData>
    <row r="1" spans="1:20" ht="14">
      <c r="A1" s="10" t="s">
        <v>11</v>
      </c>
      <c r="B1" s="6" t="s">
        <v>276</v>
      </c>
    </row>
    <row r="2" spans="1:20" ht="13">
      <c r="A2" s="23" t="s">
        <v>26</v>
      </c>
      <c r="B2" s="7" t="str">
        <f ca="1">Model_Name</f>
        <v>GAAR Capex Forecast</v>
      </c>
    </row>
    <row r="3" spans="1:20" s="41" customFormat="1">
      <c r="B3" s="42"/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</row>
    <row r="4" spans="1:20" s="41" customFormat="1">
      <c r="B4" s="116" t="s">
        <v>74</v>
      </c>
      <c r="C4" s="118"/>
      <c r="D4" s="118"/>
      <c r="E4" s="118"/>
      <c r="F4" s="118"/>
      <c r="G4" s="118"/>
      <c r="H4" s="118"/>
      <c r="I4" s="118"/>
      <c r="J4" s="119">
        <f t="shared" ref="J4:T4" si="0">J8</f>
        <v>43465</v>
      </c>
      <c r="K4" s="119">
        <f t="shared" si="0"/>
        <v>43830</v>
      </c>
      <c r="L4" s="119">
        <f t="shared" si="0"/>
        <v>44196</v>
      </c>
      <c r="M4" s="119">
        <f t="shared" si="0"/>
        <v>44561</v>
      </c>
      <c r="N4" s="119">
        <f t="shared" si="0"/>
        <v>44926</v>
      </c>
      <c r="O4" s="121">
        <f t="shared" si="0"/>
        <v>45107</v>
      </c>
      <c r="P4" s="121">
        <f t="shared" si="0"/>
        <v>45473</v>
      </c>
      <c r="Q4" s="121">
        <f t="shared" si="0"/>
        <v>45838</v>
      </c>
      <c r="R4" s="121">
        <f t="shared" si="0"/>
        <v>46203</v>
      </c>
      <c r="S4" s="121">
        <f t="shared" si="0"/>
        <v>46568</v>
      </c>
      <c r="T4" s="121">
        <f t="shared" si="0"/>
        <v>46934</v>
      </c>
    </row>
    <row r="5" spans="1:20" s="41" customFormat="1">
      <c r="B5" s="117" t="s">
        <v>100</v>
      </c>
      <c r="C5" s="117"/>
      <c r="D5" s="117"/>
      <c r="E5" s="117"/>
      <c r="F5" s="117"/>
      <c r="G5" s="117"/>
      <c r="H5" s="117"/>
      <c r="I5" s="117"/>
      <c r="J5" s="120">
        <f t="shared" ref="J5:T5" si="1">YEAR(J8)</f>
        <v>2018</v>
      </c>
      <c r="K5" s="120">
        <f t="shared" si="1"/>
        <v>2019</v>
      </c>
      <c r="L5" s="120">
        <f t="shared" si="1"/>
        <v>2020</v>
      </c>
      <c r="M5" s="120">
        <f t="shared" si="1"/>
        <v>2021</v>
      </c>
      <c r="N5" s="120">
        <f t="shared" si="1"/>
        <v>2022</v>
      </c>
      <c r="O5" s="120">
        <f t="shared" si="1"/>
        <v>2023</v>
      </c>
      <c r="P5" s="120">
        <f t="shared" si="1"/>
        <v>2024</v>
      </c>
      <c r="Q5" s="120">
        <f t="shared" si="1"/>
        <v>2025</v>
      </c>
      <c r="R5" s="120">
        <f t="shared" si="1"/>
        <v>2026</v>
      </c>
      <c r="S5" s="120">
        <f t="shared" si="1"/>
        <v>2027</v>
      </c>
      <c r="T5" s="120">
        <f t="shared" si="1"/>
        <v>2028</v>
      </c>
    </row>
    <row r="6" spans="1:20" s="41" customFormat="1">
      <c r="B6" s="113" t="s">
        <v>91</v>
      </c>
      <c r="C6" s="113"/>
      <c r="D6" s="113"/>
      <c r="E6" s="113"/>
      <c r="F6" s="113"/>
      <c r="G6" s="113"/>
      <c r="H6" s="113"/>
      <c r="I6" s="113"/>
      <c r="J6" s="115" t="str">
        <f t="shared" ref="J6:T6" si="2">IF(J$17,"Actual","Forecast")</f>
        <v>Actual</v>
      </c>
      <c r="K6" s="115" t="str">
        <f t="shared" si="2"/>
        <v>Actual</v>
      </c>
      <c r="L6" s="115" t="str">
        <f t="shared" si="2"/>
        <v>Actual</v>
      </c>
      <c r="M6" s="115" t="str">
        <f t="shared" si="2"/>
        <v>Actual</v>
      </c>
      <c r="N6" s="115" t="str">
        <f t="shared" si="2"/>
        <v>Forecast</v>
      </c>
      <c r="O6" s="114" t="str">
        <f t="shared" si="2"/>
        <v>Forecast</v>
      </c>
      <c r="P6" s="114" t="str">
        <f t="shared" si="2"/>
        <v>Forecast</v>
      </c>
      <c r="Q6" s="114" t="str">
        <f t="shared" si="2"/>
        <v>Forecast</v>
      </c>
      <c r="R6" s="114" t="str">
        <f t="shared" si="2"/>
        <v>Forecast</v>
      </c>
      <c r="S6" s="114" t="str">
        <f t="shared" si="2"/>
        <v>Forecast</v>
      </c>
      <c r="T6" s="114" t="str">
        <f t="shared" si="2"/>
        <v>Forecast</v>
      </c>
    </row>
    <row r="7" spans="1:20" s="41" customFormat="1" hidden="1" outlineLevel="3">
      <c r="B7" s="42" t="s">
        <v>101</v>
      </c>
      <c r="C7" s="42"/>
      <c r="D7" s="42"/>
      <c r="E7" s="42"/>
      <c r="F7" s="42"/>
      <c r="G7" s="42"/>
      <c r="H7" s="42"/>
      <c r="I7" s="42"/>
      <c r="J7" s="83">
        <f>EDATE(Ts_Start_Date,(J10-1)*Ts_Mths_In_Yr)</f>
        <v>43101</v>
      </c>
      <c r="K7" s="83">
        <f>EDATE(Ts_Start_Date,(K10-1)*Ts_Mths_In_Yr)</f>
        <v>43466</v>
      </c>
      <c r="L7" s="83">
        <f>EDATE(Ts_Start_Date,(L10-1)*Ts_Mths_In_Yr)</f>
        <v>43831</v>
      </c>
      <c r="M7" s="83">
        <f>EDATE(Ts_Start_Date,(M10-1)*Ts_Mths_In_Yr)</f>
        <v>44197</v>
      </c>
      <c r="N7" s="83">
        <f>EDATE(Ts_Start_Date,(N10-1)*Ts_Mths_In_Yr)</f>
        <v>44562</v>
      </c>
      <c r="O7" s="83">
        <f>Ts_Stub_Start_Date</f>
        <v>44927</v>
      </c>
      <c r="P7" s="83">
        <f>EDATE(Ts_Forecast_Reg_Start_Date,(P16-1)*Ts_Mths_In_Yr)</f>
        <v>45108</v>
      </c>
      <c r="Q7" s="83">
        <f>EDATE(Ts_Forecast_Reg_Start_Date,(Q16-1)*Ts_Mths_In_Yr)</f>
        <v>45474</v>
      </c>
      <c r="R7" s="83">
        <f>EDATE(Ts_Forecast_Reg_Start_Date,(R16-1)*Ts_Mths_In_Yr)</f>
        <v>45839</v>
      </c>
      <c r="S7" s="83">
        <f>EDATE(Ts_Forecast_Reg_Start_Date,(S16-1)*Ts_Mths_In_Yr)</f>
        <v>46204</v>
      </c>
      <c r="T7" s="83">
        <f>EDATE(Ts_Forecast_Reg_Start_Date,(T16-1)*Ts_Mths_In_Yr)</f>
        <v>46569</v>
      </c>
    </row>
    <row r="8" spans="1:20" s="41" customFormat="1" hidden="1" outlineLevel="3">
      <c r="B8" s="42" t="s">
        <v>102</v>
      </c>
      <c r="C8" s="42"/>
      <c r="D8" s="42"/>
      <c r="E8" s="42"/>
      <c r="F8" s="42"/>
      <c r="G8" s="42"/>
      <c r="H8" s="42"/>
      <c r="I8" s="42"/>
      <c r="J8" s="83">
        <f>EOMONTH(J7,Ts_Mths_In_Yr-1)</f>
        <v>43465</v>
      </c>
      <c r="K8" s="83">
        <f>EOMONTH(K7,Ts_Mths_In_Yr-1)</f>
        <v>43830</v>
      </c>
      <c r="L8" s="83">
        <f>EOMONTH(L7,Ts_Mths_In_Yr-1)</f>
        <v>44196</v>
      </c>
      <c r="M8" s="83">
        <f>EOMONTH(M7,Ts_Mths_In_Yr-1)</f>
        <v>44561</v>
      </c>
      <c r="N8" s="83">
        <f>EOMONTH(N7,Ts_Mths_In_Yr-1)</f>
        <v>44926</v>
      </c>
      <c r="O8" s="83">
        <f>EOMONTH(O7,Ts_Stub_Length-1)</f>
        <v>45107</v>
      </c>
      <c r="P8" s="83">
        <f>EOMONTH(P7,Ts_Mths_In_Yr-1)</f>
        <v>45473</v>
      </c>
      <c r="Q8" s="83">
        <f>EOMONTH(Q7,Ts_Mths_In_Yr-1)</f>
        <v>45838</v>
      </c>
      <c r="R8" s="83">
        <f>EOMONTH(R7,Ts_Mths_In_Yr-1)</f>
        <v>46203</v>
      </c>
      <c r="S8" s="83">
        <f>EOMONTH(S7,Ts_Mths_In_Yr-1)</f>
        <v>46568</v>
      </c>
      <c r="T8" s="83">
        <f>EOMONTH(T7,Ts_Mths_In_Yr-1)</f>
        <v>46934</v>
      </c>
    </row>
    <row r="9" spans="1:20" s="41" customFormat="1" hidden="1" outlineLevel="3">
      <c r="B9" s="42" t="s">
        <v>87</v>
      </c>
      <c r="C9" s="42"/>
      <c r="D9" s="42"/>
      <c r="E9" s="42"/>
      <c r="F9" s="42"/>
      <c r="G9" s="42"/>
      <c r="H9" s="42"/>
      <c r="I9" s="42"/>
      <c r="J9" s="87">
        <f t="shared" ref="J9:T9" si="3">DATEDIF(J7,J8,"m")+1</f>
        <v>12</v>
      </c>
      <c r="K9" s="87">
        <f t="shared" si="3"/>
        <v>12</v>
      </c>
      <c r="L9" s="87">
        <f t="shared" si="3"/>
        <v>12</v>
      </c>
      <c r="M9" s="87">
        <f t="shared" si="3"/>
        <v>12</v>
      </c>
      <c r="N9" s="87">
        <f t="shared" si="3"/>
        <v>12</v>
      </c>
      <c r="O9" s="87">
        <f t="shared" si="3"/>
        <v>6</v>
      </c>
      <c r="P9" s="88">
        <f t="shared" si="3"/>
        <v>12</v>
      </c>
      <c r="Q9" s="88">
        <f t="shared" si="3"/>
        <v>12</v>
      </c>
      <c r="R9" s="88">
        <f t="shared" si="3"/>
        <v>12</v>
      </c>
      <c r="S9" s="88">
        <f t="shared" si="3"/>
        <v>12</v>
      </c>
      <c r="T9" s="88">
        <f t="shared" si="3"/>
        <v>12</v>
      </c>
    </row>
    <row r="10" spans="1:20" s="41" customFormat="1" hidden="1" outlineLevel="3">
      <c r="B10" s="42" t="s">
        <v>72</v>
      </c>
      <c r="C10" s="42"/>
      <c r="D10" s="42"/>
      <c r="E10" s="42"/>
      <c r="F10" s="42"/>
      <c r="G10" s="42"/>
      <c r="H10" s="42"/>
      <c r="I10" s="42"/>
      <c r="J10" s="44">
        <f>COLUMNS($J$10:J10)</f>
        <v>1</v>
      </c>
      <c r="K10" s="44">
        <f>COLUMNS($J$10:K10)</f>
        <v>2</v>
      </c>
      <c r="L10" s="44">
        <f>COLUMNS($J$10:L10)</f>
        <v>3</v>
      </c>
      <c r="M10" s="44">
        <f>COLUMNS($J$10:M10)</f>
        <v>4</v>
      </c>
      <c r="N10" s="44">
        <f>COLUMNS($J$10:N10)</f>
        <v>5</v>
      </c>
      <c r="O10" s="44">
        <f>COLUMNS($J$10:O10)</f>
        <v>6</v>
      </c>
      <c r="P10" s="44">
        <f>COLUMNS($J$10:P10)</f>
        <v>7</v>
      </c>
      <c r="Q10" s="44">
        <f>COLUMNS($J$10:Q10)</f>
        <v>8</v>
      </c>
      <c r="R10" s="44">
        <f>COLUMNS($J$10:R10)</f>
        <v>9</v>
      </c>
      <c r="S10" s="44">
        <f>COLUMNS($J$10:S10)</f>
        <v>10</v>
      </c>
      <c r="T10" s="44">
        <f>COLUMNS($J$10:T10)</f>
        <v>11</v>
      </c>
    </row>
    <row r="11" spans="1:20" s="41" customFormat="1" hidden="1" outlineLevel="3">
      <c r="B11" s="42" t="s">
        <v>76</v>
      </c>
      <c r="C11" s="42"/>
      <c r="D11" s="42"/>
      <c r="E11" s="42"/>
      <c r="F11" s="42"/>
      <c r="G11" s="42"/>
      <c r="H11" s="42"/>
      <c r="I11" s="42"/>
      <c r="J11" s="44">
        <f>(J12&lt;&gt;0)*1</f>
        <v>1</v>
      </c>
      <c r="K11" s="44">
        <f>(K12&lt;&gt;0)*1</f>
        <v>1</v>
      </c>
      <c r="L11" s="44">
        <f>(L12&lt;&gt;0)*1</f>
        <v>1</v>
      </c>
      <c r="M11" s="44">
        <f>(M12&lt;&gt;0)*1</f>
        <v>1</v>
      </c>
      <c r="N11" s="44">
        <f>(N12&lt;&gt;0)*1</f>
        <v>1</v>
      </c>
      <c r="O11" s="46">
        <v>0</v>
      </c>
      <c r="P11" s="46">
        <v>0</v>
      </c>
      <c r="Q11" s="46">
        <v>0</v>
      </c>
      <c r="R11" s="46">
        <v>0</v>
      </c>
      <c r="S11" s="46">
        <v>0</v>
      </c>
      <c r="T11" s="46">
        <v>0</v>
      </c>
    </row>
    <row r="12" spans="1:20" s="41" customFormat="1" hidden="1" outlineLevel="3">
      <c r="B12" s="42" t="s">
        <v>96</v>
      </c>
      <c r="C12" s="42"/>
      <c r="D12" s="42"/>
      <c r="E12" s="42"/>
      <c r="F12" s="42"/>
      <c r="G12" s="42"/>
      <c r="H12" s="42"/>
      <c r="I12" s="42"/>
      <c r="J12" s="44">
        <f>COLUMNS($J$10:J10)</f>
        <v>1</v>
      </c>
      <c r="K12" s="44">
        <f>COLUMNS($J$10:K10)</f>
        <v>2</v>
      </c>
      <c r="L12" s="44">
        <f>COLUMNS($J$10:L10)</f>
        <v>3</v>
      </c>
      <c r="M12" s="44">
        <f>COLUMNS($J$10:M10)</f>
        <v>4</v>
      </c>
      <c r="N12" s="44">
        <f>COLUMNS($J$10:N10)</f>
        <v>5</v>
      </c>
      <c r="O12" s="46">
        <v>0</v>
      </c>
      <c r="P12" s="46">
        <v>0</v>
      </c>
      <c r="Q12" s="46">
        <v>0</v>
      </c>
      <c r="R12" s="46">
        <v>0</v>
      </c>
      <c r="S12" s="46">
        <v>0</v>
      </c>
      <c r="T12" s="46">
        <v>0</v>
      </c>
    </row>
    <row r="13" spans="1:20" s="41" customFormat="1" hidden="1" outlineLevel="3">
      <c r="B13" s="42" t="s">
        <v>79</v>
      </c>
      <c r="C13" s="42"/>
      <c r="D13" s="42"/>
      <c r="E13" s="42"/>
      <c r="F13" s="42"/>
      <c r="G13" s="42"/>
      <c r="H13" s="42"/>
      <c r="I13" s="42"/>
      <c r="J13" s="46">
        <v>0</v>
      </c>
      <c r="K13" s="46">
        <v>0</v>
      </c>
      <c r="L13" s="46">
        <v>0</v>
      </c>
      <c r="M13" s="46">
        <v>0</v>
      </c>
      <c r="N13" s="46">
        <v>0</v>
      </c>
      <c r="O13" s="44">
        <f>(O14&lt;&gt;0)*1</f>
        <v>1</v>
      </c>
      <c r="P13" s="46">
        <v>0</v>
      </c>
      <c r="Q13" s="46">
        <v>0</v>
      </c>
      <c r="R13" s="46">
        <v>0</v>
      </c>
      <c r="S13" s="46">
        <v>0</v>
      </c>
      <c r="T13" s="46">
        <v>0</v>
      </c>
    </row>
    <row r="14" spans="1:20" s="41" customFormat="1" hidden="1" outlineLevel="3">
      <c r="B14" s="42" t="s">
        <v>97</v>
      </c>
      <c r="C14" s="42"/>
      <c r="D14" s="42"/>
      <c r="E14" s="42"/>
      <c r="F14" s="42"/>
      <c r="G14" s="42"/>
      <c r="H14" s="42"/>
      <c r="I14" s="42"/>
      <c r="J14" s="46">
        <v>0</v>
      </c>
      <c r="K14" s="46">
        <v>0</v>
      </c>
      <c r="L14" s="46">
        <v>0</v>
      </c>
      <c r="M14" s="46">
        <v>0</v>
      </c>
      <c r="N14" s="46">
        <v>0</v>
      </c>
      <c r="O14" s="44">
        <f>COLUMNS($O$14:O14)</f>
        <v>1</v>
      </c>
      <c r="P14" s="46">
        <v>0</v>
      </c>
      <c r="Q14" s="46">
        <v>0</v>
      </c>
      <c r="R14" s="46">
        <v>0</v>
      </c>
      <c r="S14" s="46">
        <v>0</v>
      </c>
      <c r="T14" s="46">
        <v>0</v>
      </c>
    </row>
    <row r="15" spans="1:20" s="41" customFormat="1" hidden="1" outlineLevel="3">
      <c r="B15" s="42" t="s">
        <v>82</v>
      </c>
      <c r="C15" s="42"/>
      <c r="D15" s="42"/>
      <c r="E15" s="42"/>
      <c r="F15" s="42"/>
      <c r="G15" s="42"/>
      <c r="H15" s="42"/>
      <c r="I15" s="42"/>
      <c r="J15" s="46">
        <v>0</v>
      </c>
      <c r="K15" s="46">
        <v>0</v>
      </c>
      <c r="L15" s="46">
        <v>0</v>
      </c>
      <c r="M15" s="46">
        <v>0</v>
      </c>
      <c r="N15" s="46">
        <v>0</v>
      </c>
      <c r="O15" s="46">
        <v>0</v>
      </c>
      <c r="P15" s="89">
        <f>(P16&lt;&gt;0)*1</f>
        <v>1</v>
      </c>
      <c r="Q15" s="89">
        <f>(Q16&lt;&gt;0)*1</f>
        <v>1</v>
      </c>
      <c r="R15" s="89">
        <f>(R16&lt;&gt;0)*1</f>
        <v>1</v>
      </c>
      <c r="S15" s="89">
        <f>(S16&lt;&gt;0)*1</f>
        <v>1</v>
      </c>
      <c r="T15" s="89">
        <f>(T16&lt;&gt;0)*1</f>
        <v>1</v>
      </c>
    </row>
    <row r="16" spans="1:20" s="41" customFormat="1" hidden="1" outlineLevel="3">
      <c r="B16" s="42" t="s">
        <v>98</v>
      </c>
      <c r="C16" s="42"/>
      <c r="D16" s="42"/>
      <c r="E16" s="42"/>
      <c r="F16" s="42"/>
      <c r="G16" s="42"/>
      <c r="H16" s="42"/>
      <c r="I16" s="42"/>
      <c r="J16" s="46">
        <v>0</v>
      </c>
      <c r="K16" s="46">
        <v>0</v>
      </c>
      <c r="L16" s="46">
        <v>0</v>
      </c>
      <c r="M16" s="46">
        <v>0</v>
      </c>
      <c r="N16" s="46">
        <v>0</v>
      </c>
      <c r="O16" s="46">
        <v>0</v>
      </c>
      <c r="P16" s="89">
        <f>COLUMNS($P$16:P16)</f>
        <v>1</v>
      </c>
      <c r="Q16" s="89">
        <f>COLUMNS($P$16:Q16)</f>
        <v>2</v>
      </c>
      <c r="R16" s="89">
        <f>COLUMNS($P$16:R16)</f>
        <v>3</v>
      </c>
      <c r="S16" s="89">
        <f>COLUMNS($P$16:S16)</f>
        <v>4</v>
      </c>
      <c r="T16" s="89">
        <f>COLUMNS($P$16:T16)</f>
        <v>5</v>
      </c>
    </row>
    <row r="17" spans="2:20" s="41" customFormat="1" hidden="1" outlineLevel="3">
      <c r="B17" s="42" t="s">
        <v>206</v>
      </c>
      <c r="C17" s="42"/>
      <c r="D17" s="42"/>
      <c r="E17" s="42"/>
      <c r="F17" s="42"/>
      <c r="G17" s="42"/>
      <c r="H17" s="42"/>
      <c r="I17" s="42"/>
      <c r="J17" s="89">
        <f t="shared" ref="J17:T17" si="4">IF(J$5&lt;=Ts_Last_Actual_Year,1,0)</f>
        <v>1</v>
      </c>
      <c r="K17" s="89">
        <f t="shared" si="4"/>
        <v>1</v>
      </c>
      <c r="L17" s="89">
        <f t="shared" si="4"/>
        <v>1</v>
      </c>
      <c r="M17" s="89">
        <f t="shared" si="4"/>
        <v>1</v>
      </c>
      <c r="N17" s="89">
        <f t="shared" si="4"/>
        <v>0</v>
      </c>
      <c r="O17" s="89">
        <f t="shared" si="4"/>
        <v>0</v>
      </c>
      <c r="P17" s="89">
        <f t="shared" si="4"/>
        <v>0</v>
      </c>
      <c r="Q17" s="89">
        <f t="shared" si="4"/>
        <v>0</v>
      </c>
      <c r="R17" s="89">
        <f t="shared" si="4"/>
        <v>0</v>
      </c>
      <c r="S17" s="89">
        <f t="shared" si="4"/>
        <v>0</v>
      </c>
      <c r="T17" s="89">
        <f t="shared" si="4"/>
        <v>0</v>
      </c>
    </row>
    <row r="18" spans="2:20" s="41" customFormat="1" hidden="1" outlineLevel="3">
      <c r="B18" s="42" t="s">
        <v>207</v>
      </c>
      <c r="C18" s="42"/>
      <c r="D18" s="42"/>
      <c r="E18" s="42"/>
      <c r="F18" s="42"/>
      <c r="G18" s="42"/>
      <c r="H18" s="42"/>
      <c r="I18" s="42"/>
      <c r="J18" s="89">
        <f t="shared" ref="J18:T18" si="5">IF(J$5&gt;Ts_Last_Actual_Year,1,0)</f>
        <v>0</v>
      </c>
      <c r="K18" s="89">
        <f t="shared" si="5"/>
        <v>0</v>
      </c>
      <c r="L18" s="89">
        <f t="shared" si="5"/>
        <v>0</v>
      </c>
      <c r="M18" s="89">
        <f t="shared" si="5"/>
        <v>0</v>
      </c>
      <c r="N18" s="89">
        <f t="shared" si="5"/>
        <v>1</v>
      </c>
      <c r="O18" s="44">
        <f t="shared" si="5"/>
        <v>1</v>
      </c>
      <c r="P18" s="44">
        <f t="shared" si="5"/>
        <v>1</v>
      </c>
      <c r="Q18" s="44">
        <f t="shared" si="5"/>
        <v>1</v>
      </c>
      <c r="R18" s="44">
        <f t="shared" si="5"/>
        <v>1</v>
      </c>
      <c r="S18" s="44">
        <f t="shared" si="5"/>
        <v>1</v>
      </c>
      <c r="T18" s="44">
        <f t="shared" si="5"/>
        <v>1</v>
      </c>
    </row>
    <row r="19" spans="2:20" hidden="1" outlineLevel="3">
      <c r="B19" s="30" t="s">
        <v>208</v>
      </c>
      <c r="C19" s="30"/>
      <c r="D19" s="30"/>
      <c r="E19" s="30"/>
      <c r="F19" s="30"/>
      <c r="G19" s="30"/>
      <c r="H19" s="30"/>
      <c r="I19" s="30"/>
      <c r="J19" s="39">
        <f>SUM($J18:J18)</f>
        <v>0</v>
      </c>
      <c r="K19" s="39">
        <f>SUM($J18:K18)</f>
        <v>0</v>
      </c>
      <c r="L19" s="39">
        <f>SUM($J18:L18)</f>
        <v>0</v>
      </c>
      <c r="M19" s="39">
        <f>SUM($J18:M18)</f>
        <v>0</v>
      </c>
      <c r="N19" s="39">
        <f>SUM($J18:N18)</f>
        <v>1</v>
      </c>
      <c r="O19" s="39">
        <f>SUM($J18:O18)</f>
        <v>2</v>
      </c>
      <c r="P19" s="39">
        <f>SUM($J18:P18)</f>
        <v>3</v>
      </c>
      <c r="Q19" s="39">
        <f>SUM($J18:Q18)</f>
        <v>4</v>
      </c>
      <c r="R19" s="39">
        <f>SUM($J18:R18)</f>
        <v>5</v>
      </c>
      <c r="S19" s="39">
        <f>SUM($J18:S18)</f>
        <v>6</v>
      </c>
      <c r="T19" s="39">
        <f>SUM($J18:T18)</f>
        <v>7</v>
      </c>
    </row>
    <row r="20" spans="2:20" hidden="1" outlineLevel="3">
      <c r="B20" s="30" t="s">
        <v>481</v>
      </c>
      <c r="C20" s="30"/>
      <c r="D20" s="30"/>
      <c r="E20" s="30"/>
      <c r="F20" s="30"/>
      <c r="G20" s="30"/>
      <c r="H20" s="30"/>
      <c r="I20" s="30"/>
      <c r="J20" s="38">
        <f t="shared" ref="J20:N20" si="6">J9/12</f>
        <v>1</v>
      </c>
      <c r="K20" s="38">
        <f t="shared" si="6"/>
        <v>1</v>
      </c>
      <c r="L20" s="38">
        <f t="shared" si="6"/>
        <v>1</v>
      </c>
      <c r="M20" s="38">
        <f t="shared" si="6"/>
        <v>1</v>
      </c>
      <c r="N20" s="38">
        <f t="shared" si="6"/>
        <v>1</v>
      </c>
      <c r="O20" s="38">
        <f>O9/12</f>
        <v>0.5</v>
      </c>
      <c r="P20" s="38">
        <f t="shared" ref="P20:T20" si="7">P9/12</f>
        <v>1</v>
      </c>
      <c r="Q20" s="38">
        <f t="shared" si="7"/>
        <v>1</v>
      </c>
      <c r="R20" s="38">
        <f t="shared" si="7"/>
        <v>1</v>
      </c>
      <c r="S20" s="38">
        <f t="shared" si="7"/>
        <v>1</v>
      </c>
      <c r="T20" s="38">
        <f t="shared" si="7"/>
        <v>1</v>
      </c>
    </row>
    <row r="21" spans="2:20" s="41" customFormat="1" hidden="1" outlineLevel="3">
      <c r="B21" s="42"/>
      <c r="C21" s="42"/>
      <c r="D21" s="42"/>
      <c r="E21" s="42"/>
      <c r="F21" s="42"/>
      <c r="G21" s="42"/>
      <c r="H21" s="42"/>
      <c r="I21" s="42"/>
      <c r="J21" s="42"/>
      <c r="K21" s="42"/>
      <c r="L21" s="42"/>
      <c r="M21" s="42"/>
      <c r="N21" s="42"/>
      <c r="O21" s="42"/>
      <c r="P21" s="42"/>
      <c r="Q21" s="42"/>
      <c r="R21" s="42"/>
      <c r="S21" s="42"/>
      <c r="T21" s="42"/>
    </row>
    <row r="22" spans="2:20" s="41" customFormat="1" collapsed="1"/>
    <row r="23" spans="2:20" s="41" customFormat="1">
      <c r="B23" s="47" t="s">
        <v>202</v>
      </c>
      <c r="C23" s="47"/>
      <c r="D23" s="47"/>
      <c r="E23" s="47"/>
      <c r="F23" s="47"/>
      <c r="G23" s="47"/>
      <c r="H23" s="47"/>
      <c r="I23" s="47"/>
      <c r="J23" s="47"/>
      <c r="K23" s="47"/>
      <c r="L23" s="47"/>
      <c r="M23" s="47"/>
      <c r="N23" s="47"/>
      <c r="O23" s="47"/>
      <c r="P23" s="47"/>
      <c r="Q23" s="47"/>
      <c r="R23" s="47"/>
      <c r="S23" s="47"/>
      <c r="T23" s="47"/>
    </row>
    <row r="24" spans="2:20" s="41" customFormat="1" outlineLevel="1"/>
    <row r="25" spans="2:20" s="41" customFormat="1" outlineLevel="1"/>
    <row r="26" spans="2:20" s="41" customFormat="1" outlineLevel="1">
      <c r="E26" s="50" t="s">
        <v>99</v>
      </c>
    </row>
    <row r="27" spans="2:20" s="41" customFormat="1" ht="5.9" customHeight="1" outlineLevel="1"/>
    <row r="28" spans="2:20" s="41" customFormat="1" outlineLevel="1">
      <c r="F28" s="52" t="s">
        <v>396</v>
      </c>
      <c r="J28" s="122">
        <f>INDEX(CPI!$J$19:$W$19,MATCH(J$5,CPI!$J$10:$W$10,0))*J$18</f>
        <v>0</v>
      </c>
      <c r="K28" s="122">
        <f>INDEX(CPI!$J$19:$W$19,MATCH(K$5,CPI!$J$10:$W$10,0))*K$18</f>
        <v>0</v>
      </c>
      <c r="L28" s="122">
        <f>INDEX(CPI!$J$19:$W$19,MATCH(L$5,CPI!$J$10:$W$10,0))*L$18</f>
        <v>0</v>
      </c>
      <c r="M28" s="122">
        <f>INDEX(CPI!$J$19:$W$19,MATCH(M$5,CPI!$J$10:$W$10,0))*M$18</f>
        <v>0</v>
      </c>
      <c r="N28" s="122">
        <f>INDEX(CPI!$J$19:$W$19,MATCH(N$5,CPI!$J$10:$W$10,0))*N$18</f>
        <v>1</v>
      </c>
      <c r="O28" s="122">
        <f>INDEX(CPI!$J$19:$W$19,MATCH(O$5,CPI!$J$10:$W$10,0))*O$18</f>
        <v>1.0549999999999999</v>
      </c>
      <c r="P28" s="122">
        <f>INDEX(CPI!$J$19:$W$19,MATCH(P$5,CPI!$J$10:$W$10,0))*P$18</f>
        <v>1.0998375</v>
      </c>
      <c r="Q28" s="122">
        <f>INDEX(CPI!$J$19:$W$19,MATCH(Q$5,CPI!$J$10:$W$10,0))*Q$18</f>
        <v>1.132832625</v>
      </c>
      <c r="R28" s="122">
        <f>INDEX(CPI!$J$19:$W$19,MATCH(R$5,CPI!$J$10:$W$10,0))*R$18</f>
        <v>1.1611534406249999</v>
      </c>
      <c r="S28" s="122">
        <f>INDEX(CPI!$J$19:$W$19,MATCH(S$5,CPI!$J$10:$W$10,0))*S$18</f>
        <v>1.1901822766406249</v>
      </c>
      <c r="T28" s="122">
        <f>INDEX(CPI!$J$19:$W$19,MATCH(T$5,CPI!$J$10:$W$10,0))*T$18</f>
        <v>1.2199368335566405</v>
      </c>
    </row>
    <row r="29" spans="2:20" s="41" customFormat="1" outlineLevel="1">
      <c r="F29" s="52" t="s">
        <v>386</v>
      </c>
      <c r="J29" s="122">
        <f>INDEX(CPI!$J$20:$W$20,MATCH(J$5,CPI!$J$10:$W$10,0))</f>
        <v>1.1321951219512194</v>
      </c>
      <c r="K29" s="122">
        <f>INDEX(CPI!$J$20:$W$20,MATCH(K$5,CPI!$J$10:$W$10,0))</f>
        <v>1.109150442477876</v>
      </c>
      <c r="L29" s="122">
        <f>INDEX(CPI!$J$20:$W$20,MATCH(L$5,CPI!$J$10:$W$10,0))</f>
        <v>1.0917595818815329</v>
      </c>
      <c r="M29" s="122">
        <f>INDEX(CPI!$J$20:$W$20,MATCH(M$5,CPI!$J$10:$W$10,0))</f>
        <v>1.0955769230769228</v>
      </c>
      <c r="N29" s="122">
        <f>INDEX(CPI!$J$20:$W$20,MATCH(N$5,CPI!$J$10:$W$10,0))</f>
        <v>1.0549999999999999</v>
      </c>
      <c r="O29" s="122">
        <f>INDEX(CPI!$J$20:$W$20,MATCH(O$5,CPI!$J$10:$W$10,0))</f>
        <v>1</v>
      </c>
      <c r="P29" s="122">
        <f>INDEX(CPI!$J$20:$W$20,MATCH(P$5,CPI!$J$10:$W$10,0))</f>
        <v>0.95923261390887304</v>
      </c>
      <c r="Q29" s="122">
        <f>INDEX(CPI!$J$20:$W$20,MATCH(Q$5,CPI!$J$10:$W$10,0))</f>
        <v>0.93129379991152716</v>
      </c>
      <c r="R29" s="122">
        <f>INDEX(CPI!$J$20:$W$20,MATCH(R$5,CPI!$J$10:$W$10,0))</f>
        <v>0.9085793169868559</v>
      </c>
      <c r="S29" s="122">
        <f>INDEX(CPI!$J$20:$W$20,MATCH(S$5,CPI!$J$10:$W$10,0))</f>
        <v>0.88641884584083508</v>
      </c>
      <c r="T29" s="122">
        <f>INDEX(CPI!$J$20:$W$20,MATCH(T$5,CPI!$J$10:$W$10,0))</f>
        <v>0.86479887399105859</v>
      </c>
    </row>
    <row r="30" spans="2:20" s="41" customFormat="1" outlineLevel="1">
      <c r="F30" s="199" t="s">
        <v>462</v>
      </c>
      <c r="J30" s="122">
        <f t="shared" ref="J30:T30" si="8">GC_Inflation*J18</f>
        <v>0</v>
      </c>
      <c r="K30" s="122">
        <f t="shared" si="8"/>
        <v>0</v>
      </c>
      <c r="L30" s="122">
        <f t="shared" si="8"/>
        <v>0</v>
      </c>
      <c r="M30" s="122">
        <f t="shared" si="8"/>
        <v>0</v>
      </c>
      <c r="N30" s="122">
        <f t="shared" si="8"/>
        <v>1.0549999999999999</v>
      </c>
      <c r="O30" s="122">
        <f t="shared" si="8"/>
        <v>1.0549999999999999</v>
      </c>
      <c r="P30" s="122">
        <f t="shared" si="8"/>
        <v>1.0549999999999999</v>
      </c>
      <c r="Q30" s="122">
        <f t="shared" si="8"/>
        <v>1.0549999999999999</v>
      </c>
      <c r="R30" s="122">
        <f t="shared" si="8"/>
        <v>1.0549999999999999</v>
      </c>
      <c r="S30" s="122">
        <f t="shared" si="8"/>
        <v>1.0549999999999999</v>
      </c>
      <c r="T30" s="122">
        <f t="shared" si="8"/>
        <v>1.0549999999999999</v>
      </c>
    </row>
    <row r="31" spans="2:20" s="41" customFormat="1" outlineLevel="1">
      <c r="F31" s="52" t="s">
        <v>461</v>
      </c>
      <c r="J31" s="122">
        <f>INDEX(CPI!$J$21:$W$21,MATCH(J$5,CPI!$J$10:$W$10,0))*J$18</f>
        <v>0</v>
      </c>
      <c r="K31" s="122">
        <f>INDEX(CPI!$J$21:$W$21,MATCH(K$5,CPI!$J$10:$W$10,0))*K$18</f>
        <v>0</v>
      </c>
      <c r="L31" s="122">
        <f>INDEX(CPI!$J$21:$W$21,MATCH(L$5,CPI!$J$10:$W$10,0))*L$18</f>
        <v>0</v>
      </c>
      <c r="M31" s="122">
        <f>INDEX(CPI!$J$21:$W$21,MATCH(M$5,CPI!$J$10:$W$10,0))*M$18</f>
        <v>0</v>
      </c>
      <c r="N31" s="122">
        <f>INDEX(CPI!$J$21:$W$21,MATCH(N$5,CPI!$J$10:$W$10,0))*N$18</f>
        <v>1</v>
      </c>
      <c r="O31" s="122">
        <f>INDEX(CPI!$J$21:$W$21,MATCH(O$5,CPI!$J$10:$W$10,0))*O$18</f>
        <v>1.0549999999999999</v>
      </c>
      <c r="P31" s="122">
        <f>INDEX(CPI!$J$21:$W$21,MATCH(P$5,CPI!$J$10:$W$10,0))*P$18</f>
        <v>1.0998375</v>
      </c>
      <c r="Q31" s="122">
        <f>INDEX(CPI!$J$21:$W$21,MATCH(Q$5,CPI!$J$10:$W$10,0))*Q$18</f>
        <v>1.132832625</v>
      </c>
      <c r="R31" s="122">
        <f>INDEX(CPI!$J$21:$W$21,MATCH(R$5,CPI!$J$10:$W$10,0))*R$18</f>
        <v>1.1611534406249999</v>
      </c>
      <c r="S31" s="122">
        <f>INDEX(CPI!$J$21:$W$21,MATCH(S$5,CPI!$J$10:$W$10,0))*S$18</f>
        <v>1.1901822766406249</v>
      </c>
      <c r="T31" s="122">
        <f>INDEX(CPI!$J$21:$W$21,MATCH(T$5,CPI!$J$10:$W$10,0))*T$18</f>
        <v>1.2199368335566405</v>
      </c>
    </row>
    <row r="32" spans="2:20" s="41" customFormat="1" outlineLevel="1"/>
    <row r="33" spans="5:20" s="41" customFormat="1" outlineLevel="1">
      <c r="E33" s="50" t="s">
        <v>203</v>
      </c>
    </row>
    <row r="34" spans="5:20" s="41" customFormat="1" ht="5.9" customHeight="1" outlineLevel="1"/>
    <row r="35" spans="5:20" s="41" customFormat="1" outlineLevel="1">
      <c r="F35" s="52" t="s">
        <v>103</v>
      </c>
      <c r="J35" s="54"/>
      <c r="K35" s="54"/>
      <c r="L35" s="54"/>
      <c r="M35" s="54"/>
      <c r="N35" s="54">
        <v>0</v>
      </c>
      <c r="O35" s="54">
        <v>5.1959235721351802E-3</v>
      </c>
      <c r="P35" s="54">
        <v>5.0082281974948998E-3</v>
      </c>
      <c r="Q35" s="54">
        <v>7.7973450064545502E-3</v>
      </c>
      <c r="R35" s="54">
        <v>1.10084481771037E-2</v>
      </c>
      <c r="S35" s="54">
        <v>1.10084481771037E-2</v>
      </c>
      <c r="T35" s="54">
        <v>1.10084481771037E-2</v>
      </c>
    </row>
    <row r="36" spans="5:20" s="41" customFormat="1" outlineLevel="1">
      <c r="F36" s="52" t="s">
        <v>104</v>
      </c>
      <c r="J36" s="54"/>
      <c r="K36" s="54"/>
      <c r="L36" s="54"/>
      <c r="M36" s="54"/>
      <c r="N36" s="54"/>
      <c r="O36" s="54"/>
      <c r="P36" s="54"/>
      <c r="Q36" s="54"/>
      <c r="R36" s="54"/>
      <c r="S36" s="54"/>
      <c r="T36" s="54"/>
    </row>
    <row r="37" spans="5:20" s="41" customFormat="1" ht="5.9" customHeight="1" outlineLevel="1"/>
    <row r="38" spans="5:20" s="41" customFormat="1" outlineLevel="1">
      <c r="F38" s="52" t="s">
        <v>130</v>
      </c>
      <c r="J38" s="54">
        <v>0</v>
      </c>
      <c r="K38" s="54">
        <v>0</v>
      </c>
      <c r="L38" s="54">
        <v>0</v>
      </c>
      <c r="M38" s="54">
        <v>0</v>
      </c>
      <c r="N38" s="54">
        <v>0</v>
      </c>
      <c r="O38" s="54">
        <v>0</v>
      </c>
      <c r="P38" s="54">
        <v>0</v>
      </c>
      <c r="Q38" s="54">
        <v>0</v>
      </c>
      <c r="R38" s="54">
        <v>0</v>
      </c>
      <c r="S38" s="54">
        <v>0</v>
      </c>
      <c r="T38" s="54">
        <v>0</v>
      </c>
    </row>
    <row r="39" spans="5:20" s="41" customFormat="1" outlineLevel="1"/>
    <row r="40" spans="5:20" s="41" customFormat="1" outlineLevel="1">
      <c r="E40" s="50" t="s">
        <v>204</v>
      </c>
    </row>
    <row r="41" spans="5:20" s="41" customFormat="1" ht="5.9" customHeight="1" outlineLevel="1"/>
    <row r="42" spans="5:20" s="41" customFormat="1" outlineLevel="1">
      <c r="F42" s="52" t="str">
        <f>F35</f>
        <v>Labour - Internal</v>
      </c>
      <c r="J42" s="91">
        <f t="shared" ref="J42:T42" si="9">J$17+I42*(1+J35)*J$18</f>
        <v>1</v>
      </c>
      <c r="K42" s="91">
        <f t="shared" si="9"/>
        <v>1</v>
      </c>
      <c r="L42" s="91">
        <f t="shared" si="9"/>
        <v>1</v>
      </c>
      <c r="M42" s="91">
        <f t="shared" si="9"/>
        <v>1</v>
      </c>
      <c r="N42" s="91">
        <f t="shared" si="9"/>
        <v>1</v>
      </c>
      <c r="O42" s="91">
        <f t="shared" si="9"/>
        <v>1.0051959235721353</v>
      </c>
      <c r="P42" s="91">
        <f t="shared" si="9"/>
        <v>1.0102301741405761</v>
      </c>
      <c r="Q42" s="91">
        <f t="shared" si="9"/>
        <v>1.0181072873442809</v>
      </c>
      <c r="R42" s="91">
        <f t="shared" si="9"/>
        <v>1.0293150686557422</v>
      </c>
      <c r="S42" s="91">
        <f t="shared" si="9"/>
        <v>1.040646230246951</v>
      </c>
      <c r="T42" s="91">
        <f t="shared" si="9"/>
        <v>1.0521021303433229</v>
      </c>
    </row>
    <row r="43" spans="5:20" s="41" customFormat="1" outlineLevel="1">
      <c r="F43" s="52" t="str">
        <f>F36</f>
        <v>Labour - External</v>
      </c>
      <c r="J43" s="91">
        <f t="shared" ref="J43:T43" si="10">J$17+I43*(1+J36)*J$18</f>
        <v>1</v>
      </c>
      <c r="K43" s="91">
        <f t="shared" si="10"/>
        <v>1</v>
      </c>
      <c r="L43" s="91">
        <f t="shared" si="10"/>
        <v>1</v>
      </c>
      <c r="M43" s="91">
        <f t="shared" si="10"/>
        <v>1</v>
      </c>
      <c r="N43" s="91">
        <f t="shared" si="10"/>
        <v>1</v>
      </c>
      <c r="O43" s="91">
        <f t="shared" si="10"/>
        <v>1</v>
      </c>
      <c r="P43" s="91">
        <f t="shared" si="10"/>
        <v>1</v>
      </c>
      <c r="Q43" s="91">
        <f t="shared" si="10"/>
        <v>1</v>
      </c>
      <c r="R43" s="91">
        <f t="shared" si="10"/>
        <v>1</v>
      </c>
      <c r="S43" s="91">
        <f t="shared" si="10"/>
        <v>1</v>
      </c>
      <c r="T43" s="91">
        <f t="shared" si="10"/>
        <v>1</v>
      </c>
    </row>
    <row r="44" spans="5:20" s="41" customFormat="1" ht="5.9" customHeight="1" outlineLevel="1"/>
    <row r="45" spans="5:20" s="41" customFormat="1" outlineLevel="1">
      <c r="F45" s="52" t="str">
        <f>F38</f>
        <v>Materials</v>
      </c>
      <c r="J45" s="91">
        <f t="shared" ref="J45:T45" si="11">J$17+I45*(1+J38)*J$18</f>
        <v>1</v>
      </c>
      <c r="K45" s="91">
        <f t="shared" si="11"/>
        <v>1</v>
      </c>
      <c r="L45" s="91">
        <f t="shared" si="11"/>
        <v>1</v>
      </c>
      <c r="M45" s="91">
        <f t="shared" si="11"/>
        <v>1</v>
      </c>
      <c r="N45" s="91">
        <f t="shared" si="11"/>
        <v>1</v>
      </c>
      <c r="O45" s="91">
        <f t="shared" si="11"/>
        <v>1</v>
      </c>
      <c r="P45" s="91">
        <f t="shared" si="11"/>
        <v>1</v>
      </c>
      <c r="Q45" s="91">
        <f t="shared" si="11"/>
        <v>1</v>
      </c>
      <c r="R45" s="91">
        <f t="shared" si="11"/>
        <v>1</v>
      </c>
      <c r="S45" s="91">
        <f t="shared" si="11"/>
        <v>1</v>
      </c>
      <c r="T45" s="91">
        <f t="shared" si="11"/>
        <v>1</v>
      </c>
    </row>
    <row r="46" spans="5:20" s="41" customFormat="1" outlineLevel="1"/>
    <row r="47" spans="5:20" s="41" customFormat="1" outlineLevel="1"/>
    <row r="48" spans="5:20" s="41" customFormat="1" outlineLevel="1">
      <c r="E48" s="50" t="s">
        <v>105</v>
      </c>
    </row>
    <row r="49" spans="6:20" s="41" customFormat="1" ht="5.9" customHeight="1" outlineLevel="1"/>
    <row r="50" spans="6:20" s="41" customFormat="1" outlineLevel="1">
      <c r="F50" s="52" t="s">
        <v>106</v>
      </c>
      <c r="J50" s="90">
        <v>6.9591273870889495E-2</v>
      </c>
      <c r="K50" s="90">
        <v>7.3934468928182201E-2</v>
      </c>
      <c r="L50" s="90">
        <v>7.5085976469407303E-2</v>
      </c>
      <c r="M50" s="90">
        <v>8.0103391005934096E-2</v>
      </c>
      <c r="N50" s="90">
        <v>3.7711007382937055E-2</v>
      </c>
      <c r="O50" s="90">
        <v>3.3283969054706777E-2</v>
      </c>
      <c r="P50" s="90">
        <v>2.6752660513445464E-2</v>
      </c>
      <c r="Q50" s="90">
        <v>2.6060587348993774E-2</v>
      </c>
      <c r="R50" s="90">
        <v>2.6873005987587139E-2</v>
      </c>
      <c r="S50" s="90">
        <v>2.8546178928104012E-2</v>
      </c>
      <c r="T50" s="90">
        <v>2.9920378203686534E-2</v>
      </c>
    </row>
    <row r="51" spans="6:20" s="41" customFormat="1" outlineLevel="1">
      <c r="F51" s="52" t="s">
        <v>107</v>
      </c>
      <c r="J51" s="90">
        <v>5.5842732834613398E-2</v>
      </c>
      <c r="K51" s="90">
        <v>5.16564294790849E-2</v>
      </c>
      <c r="L51" s="90">
        <v>6.0535031919173997E-2</v>
      </c>
      <c r="M51" s="90">
        <v>7.1630695797579302E-2</v>
      </c>
      <c r="N51" s="90">
        <v>7.4343858126268231E-2</v>
      </c>
      <c r="O51" s="90">
        <v>7.4059082290758096E-2</v>
      </c>
      <c r="P51" s="90">
        <v>2.4388539961794877E-2</v>
      </c>
      <c r="Q51" s="90">
        <v>2.1171310758207256E-2</v>
      </c>
      <c r="R51" s="90">
        <v>2.0024144075344485E-2</v>
      </c>
      <c r="S51" s="90">
        <v>3.9620009613577346E-2</v>
      </c>
      <c r="T51" s="90">
        <v>5.404914337922874E-2</v>
      </c>
    </row>
    <row r="52" spans="6:20" s="41" customFormat="1" outlineLevel="1">
      <c r="F52" s="52" t="s">
        <v>108</v>
      </c>
      <c r="J52" s="90">
        <v>0</v>
      </c>
      <c r="K52" s="90">
        <v>0</v>
      </c>
      <c r="L52" s="90">
        <v>0</v>
      </c>
      <c r="M52" s="90">
        <v>0</v>
      </c>
      <c r="N52" s="90">
        <v>0</v>
      </c>
      <c r="O52" s="90">
        <v>0</v>
      </c>
      <c r="P52" s="90">
        <v>0</v>
      </c>
      <c r="Q52" s="90">
        <v>0</v>
      </c>
      <c r="R52" s="90">
        <v>0</v>
      </c>
      <c r="S52" s="90">
        <v>0</v>
      </c>
      <c r="T52" s="90">
        <v>0</v>
      </c>
    </row>
    <row r="53" spans="6:20" s="41" customFormat="1" outlineLevel="1"/>
    <row r="54" spans="6:20" s="41" customFormat="1" outlineLevel="1"/>
    <row r="55" spans="6:20" s="41" customFormat="1" outlineLevel="1"/>
  </sheetData>
  <sheetProtection formatColumns="0" formatRows="0"/>
  <dataValidations count="1">
    <dataValidation type="custom" showErrorMessage="1" errorTitle="Invalid Assumption" error="Assumption must be a number." sqref="J35:T36 J50:T52 J38:T38" xr:uid="{7A0D996A-7AB4-4CB2-BA64-0AC5D2E85A8E}">
      <formula1>NOT(ISERROR(J35/1))</formula1>
    </dataValidation>
  </dataValidations>
  <hyperlinks>
    <hyperlink ref="A1" location="HL_Home" tooltip="Go to Table of Contents" display="HL_Home" xr:uid="{14DB2EEB-91FC-40FE-A7B4-3C18ECE81CD6}"/>
    <hyperlink ref="A2" location="HL_Err_Chk" tooltip="Go to Error Checks" display="HL_Err_Chk" xr:uid="{B793E666-BC31-42A4-AE3B-4F5725C9E67A}"/>
  </hyperlinks>
  <pageMargins left="0.39370078740157499" right="0.39370078740157499" top="0.59055118110236204" bottom="0.98425196850393704" header="0" footer="0.31496062992126"/>
  <pageSetup paperSize="9" orientation="landscape" r:id="rId1"/>
  <headerFooter>
    <oddFooter>&amp;L&amp;F
&amp;A
Printed: &amp;T on &amp;D&amp;CPage &amp;P of &amp;N</oddFooter>
  </headerFooter>
  <customProperties>
    <customPr name="EpmWorksheetKeyString_GUID" r:id="rId2"/>
  </customPropertie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W o r k b o o k S e t t i n g s   x m l n s : x s i = " h t t p : / / w w w . w 3 . o r g / 2 0 0 1 / X M L S c h e m a - i n s t a n c e "   x m l n s : x s d = " h t t p : / / w w w . w 3 . o r g / 2 0 0 1 / X M L S c h e m a " >  
     < O p t i o n >  
         < O p t i o n T y p e > T o c I n c l u d e P r i n t e d P a g e N u m b e r s < / O p t i o n T y p e >  
         < U s e A p p l i c a t i o n S e t t i n g > t r u e < / U s e A p p l i c a t i o n S e t t i n g >  
         < V a l u e > f a l s e < / V a l u e >  
     < / O p t i o n >  
     < O p t i o n >  
         < O p t i o n T y p e > T o c P r o m p t F o r P a g e N u m b e r s < / O p t i o n T y p e >  
         < U s e A p p l i c a t i o n S e t t i n g > t r u e < / U s e A p p l i c a t i o n S e t t i n g >  
         < V a l u e > t r u e < / V a l u e >  
     < / O p t i o n >  
     < O p t i o n >  
         < O p t i o n T y p e > T o c S h o w C u s t o m T o c E n t r i e s < / O p t i o n T y p e >  
         < U s e A p p l i c a t i o n S e t t i n g > t r u e < / U s e A p p l i c a t i o n S e t t i n g >  
         < V a l u e > f a l s e < / V a l u e >  
     < / O p t i o n >  
     < O p t i o n >  
         < O p t i o n T y p e > A u t o I n s e r t P r o j e c t S e c t i o n C o v e r s < / O p t i o n T y p e >  
         < U s e A p p l i c a t i o n S e t t i n g > t r u e < / U s e A p p l i c a t i o n S e t t i n g >  
         < V a l u e > t r u e < / V a l u e >  
     < / O p t i o n >  
     < O p t i o n >  
         < O p t i o n T y p e > A u t o I n s e r t P r o j e c t S u b S e c t i o n C o v e r s < / O p t i o n T y p e >  
         < U s e A p p l i c a t i o n S e t t i n g > t r u e < / U s e A p p l i c a t i o n S e t t i n g >  
         < V a l u e > f a l s e < / V a l u e >  
     < / O p t i o n >  
     < O p t i o n >  
         < O p t i o n T y p e > A u t o I n s e r t M o d u l e S e c t i o n C o v e r s < / O p t i o n T y p e >  
         < U s e A p p l i c a t i o n S e t t i n g > t r u e < / U s e A p p l i c a t i o n S e t t i n g >  
         < V a l u e > f a l s e < / V a l u e >  
     < / O p t i o n >  
     < O p t i o n >  
         < O p t i o n T y p e > A u t o I n s e r t M o d u l e S u b S e c t i o n C o v e r s < / O p t i o n T y p e >  
         < U s e A p p l i c a t i o n S e t t i n g > t r u e < / U s e A p p l i c a t i o n S e t t i n g >  
         < V a l u e > f a l s e < / V a l u e >  
     < / O p t i o n >  
     < O p t i o n >  
         < O p t i o n T y p e > G r o u p L o o k u p s C o m p o n e n t s < / O p t i o n T y p e >  
         < U s e A p p l i c a t i o n S e t t i n g > t r u e < / U s e A p p l i c a t i o n S e t t i n g >  
         < V a l u e > t r u e < / V a l u e >  
     < / O p t i o n >  
     < O p t i o n >  
         < O p t i o n T y p e > S h e e t N a m e s B e s t P r a c t i c e S y n t a x < / O p t i o n T y p e >  
         < U s e A p p l i c a t i o n S e t t i n g > t r u e < / U s e A p p l i c a t i o n S e t t i n g >  
         < V a l u e > f a l s e < / V a l u e >  
     < / O p t i o n >  
     < O p t i o n >  
         < O p t i o n T y p e > S h e e t N a m e s A u t o U n d e r s c o r e < / O p t i o n T y p e >  
         < U s e A p p l i c a t i o n S e t t i n g > t r u e < / U s e A p p l i c a t i o n S e t t i n g >  
         < V a l u e > t r u e < / V a l u e >  
     < / O p t i o n >  
     < O p t i o n >  
         < O p t i o n T y p e > G r o u p C o m p o n e n t R o w s < / O p t i o n T y p e >  
         < U s e A p p l i c a t i o n S e t t i n g > t r u e < / U s e A p p l i c a t i o n S e t t i n g >  
         < V a l u e > t r u e < / V a l u e >  
     < / O p t i o n >  
     < O p t i o n >  
         < O p t i o n T y p e > A d d C o m p o n e n t H y p e r l i n k s < / O p t i o n T y p e >  
         < U s e A p p l i c a t i o n S e t t i n g > t r u e < / U s e A p p l i c a t i o n S e t t i n g >  
         < V a l u e > f a l s e < / V a l u e >  
     < / O p t i o n >  
     < O p t i o n >  
         < O p t i o n T y p e > D i s a b l e T h e m e C h a n g e P r o m p t < / O p t i o n T y p e >  
         < U s e A p p l i c a t i o n S e t t i n g > t r u e < / U s e A p p l i c a t i o n S e t t i n g >  
         < V a l u e > f a l s e < / V a l u e >  
     < / O p t i o n >  
     < I g n o r e C e l l C o n t e n t > f a l s e < / I g n o r e C e l l C o n t e n t >  
     < A u t o F o n t C o l o r S t y l e T y p e s > 0 , 1 , 2 , 5 , 6 , 7 , 8 , 9 , 1 0 , 1 1 , 1 2 , 1 3 , 1 4 , 1 5 , 1 6 , 1 7 , 1 8 , 1 9 , 2 0 , 2 1 , 2 3 , 2 4 , 2 5 , 3 3 < / A u t o F o n t C o l o r S t y l e T y p e s >  
     < B a s e S h e e t T y p e C o l o r >  
         < B a s e S h e e t T y p e > C o v e r < / B a s e S h e e t T y p e >  
         < I n t e r i o r C o l o r T y p e > N o n e O r A u t o m a t i c < / I n t e r i o r C o l o r T y p e >  
         < I n t e r i o r C o l o r N u m b e r > 0 < / I n t e r i o r C o l o r N u m b e r >  
         < I n t e r i o r C o l o r P a t c h R g b > 0 < / I n t e r i o r C o l o r P a t c h R g b >  
         < I n t e r i o r T i n t A n d S h a d e > 0 < / I n t e r i o r T i n t A n d S h a d e >  
         < T a b C o l o r T y p e > N o n e O r A u t o m a t i c < / T a b C o l o r T y p e >  
         < T a b C o l o r N u m b e r > 0 < / T a b C o l o r N u m b e r >  
         < T a b C o l o r P a t c h R g b > 0 < / T a b C o l o r P a t c h R g b >  
         < T a b T i n t A n d S h a d e > 0 < / T a b T i n t A n d S h a d e >  
     < / B a s e S h e e t T y p e C o l o r >  
     < B a s e S h e e t T y p e C o l o r >  
         < B a s e S h e e t T y p e > C o n t e n t s < / B a s e S h e e t T y p e >  
         < I n t e r i o r C o l o r T y p e > N o n e O r A u t o m a t i c < / I n t e r i o r C o l o r T y p e >  
         < I n t e r i o r C o l o r N u m b e r > 0 < / I n t e r i o r C o l o r N u m b e r >  
         < I n t e r i o r C o l o r P a t c h R g b > 0 < / I n t e r i o r C o l o r P a t c h R g b >  
         < I n t e r i o r T i n t A n d S h a d e > 0 < / I n t e r i o r T i n t A n d S h a d e >  
         < T a b C o l o r T y p e > N o n e O r A u t o m a t i c < / T a b C o l o r T y p e >  
         < T a b C o l o r N u m b e r > 0 < / T a b C o l o r N u m b e r >  
         < T a b C o l o r P a t c h R g b > 0 < / T a b C o l o r P a t c h R g b >  
         < T a b T i n t A n d S h a d e > 0 < / T a b T i n t A n d S h a d e >  
     < / B a s e S h e e t T y p e C o l o r >  
     < B a s e S h e e t T y p e C o l o r >  
         < B a s e S h e e t T y p e > S e c t i o n C o v e r < / B a s e S h e e t T y p e >  
         < I n t e r i o r C o l o r T y p e > N o n e O r A u t o m a t i c < / I n t e r i o r C o l o r T y p e >  
         < I n t e r i o r C o l o r N u m b e r > 0 < / I n t e r i o r C o l o r N u m b e r >  
         < I n t e r i o r C o l o r P a t c h R g b > 0 < / I n t e r i o r C o l o r P a t c h R g b >  
         < I n t e r i o r T i n t A n d S h a d e > 0 < / I n t e r i o r T i n t A n d S h a d e >  
         < T a b C o l o r T y p e > N o n e O r A u t o m a t i c < / T a b C o l o r T y p e >  
         < T a b C o l o r N u m b e r > 0 < / T a b C o l o r N u m b e r >  
         < T a b C o l o r P a t c h R g b > 0 < / T a b C o l o r P a t c h R g b >  
         < T a b T i n t A n d S h a d e > 0 < / T a b T i n t A n d S h a d e >  
     < / B a s e S h e e t T y p e C o l o r >  
     < B a s e S h e e t T y p e C o l o r >  
         < B a s e S h e e t T y p e > S u b S e c t i o n C o v e r < / B a s e S h e e t T y p e >  
         < I n t e r i o r C o l o r T y p e > N o n e O r A u t o m a t i c < / I n t e r i o r C o l o r T y p e >  
         < I n t e r i o r C o l o r N u m b e r > 0 < / I n t e r i o r C o l o r N u m b e r >  
         < I n t e r i o r C o l o r P a t c h R g b > 0 < / I n t e r i o r C o l o r P a t c h R g b >  
         < I n t e r i o r T i n t A n d S h a d e > 0 < / I n t e r i o r T i n t A n d S h a d e >  
         < T a b C o l o r T y p e > N o n e O r A u t o m a t i c < / T a b C o l o r T y p e >  
         < T a b C o l o r N u m b e r > 0 < / T a b C o l o r N u m b e r >  
         < T a b C o l o r P a t c h R g b > 0 < / T a b C o l o r P a t c h R g b >  
         < T a b T i n t A n d S h a d e > 0 < / T a b T i n t A n d S h a d e >  
     < / B a s e S h e e t T y p e C o l o r >  
     < B a s e S h e e t T y p e C o l o r >  
         < B a s e S h e e t T y p e > B l a n k A s s u m p t i o n s < / B a s e S h e e t T y p e >  
         < I n t e r i o r C o l o r T y p e > N o n e O r A u t o m a t i c < / I n t e r i o r C o l o r T y p e >  
         < I n t e r i o r C o l o r N u m b e r > 0 < / I n t e r i o r C o l o r N u m b e r >  
         < I n t e r i o r C o l o r P a t c h R g b > 0 < / I n t e r i o r C o l o r P a t c h R g b >  
         < I n t e r i o r T i n t A n d S h a d e > 0 < / I n t e r i o r T i n t A n d S h a d e >  
         < T a b C o l o r T y p e > N o n e O r A u t o m a t i c < / T a b C o l o r T y p e >  
         < T a b C o l o r N u m b e r > 0 < / T a b C o l o r N u m b e r >  
         < T a b C o l o r P a t c h R g b > 0 < / T a b C o l o r P a t c h R g b >  
         < T a b T i n t A n d S h a d e > 0 < / T a b T i n t A n d S h a d e >  
     < / B a s e S h e e t T y p e C o l o r >  
     < B a s e S h e e t T y p e C o l o r >  
         < B a s e S h e e t T y p e > T i m e S e r i e s A s s u m p t i o n s < / B a s e S h e e t T y p e >  
         < I n t e r i o r C o l o r T y p e > N o n e O r A u t o m a t i c < / I n t e r i o r C o l o r T y p e >  
         < I n t e r i o r C o l o r N u m b e r > 0 < / I n t e r i o r C o l o r N u m b e r >  
         < I n t e r i o r C o l o r P a t c h R g b > 0 < / I n t e r i o r C o l o r P a t c h R g b >  
         < I n t e r i o r T i n t A n d S h a d e > 0 < / I n t e r i o r T i n t A n d S h a d e >  
         < T a b C o l o r T y p e > N o n e O r A u t o m a t i c < / T a b C o l o r T y p e >  
         < T a b C o l o r N u m b e r > 0 < / T a b C o l o r N u m b e r >  
         < T a b C o l o r P a t c h R g b > 0 < / T a b C o l o r P a t c h R g b >  
         < T a b T i n t A n d S h a d e > 0 < / T a b T i n t A n d S h a d e >  
     < / B a s e S h e e t T y p e C o l o r >  
     < B a s e S h e e t T y p e C o l o r >  
         < B a s e S h e e t T y p e > B l a n k O u t p u t s < / B a s e S h e e t T y p e >  
         < I n t e r i o r C o l o r T y p e > N o n e O r A u t o m a t i c < / I n t e r i o r C o l o r T y p e >  
         < I n t e r i o r C o l o r N u m b e r > 0 < / I n t e r i o r C o l o r N u m b e r >  
         < I n t e r i o r C o l o r P a t c h R g b > 0 < / I n t e r i o r C o l o r P a t c h R g b >  
         < I n t e r i o r T i n t A n d S h a d e > 0 < / I n t e r i o r T i n t A n d S h a d e >  
         < T a b C o l o r T y p e > N o n e O r A u t o m a t i c < / T a b C o l o r T y p e >  
         < T a b C o l o r N u m b e r > 0 < / T a b C o l o r N u m b e r >  
         < T a b C o l o r P a t c h R g b > 0 < / T a b C o l o r P a t c h R g b >  
         < T a b T i n t A n d S h a d e > 0 < / T a b T i n t A n d S h a d e >  
     < / B a s e S h e e t T y p e C o l o r >  
     < B a s e S h e e t T y p e C o l o r >  
         < B a s e S h e e t T y p e > T i m e S e r i e s O u t p u t s < / B a s e S h e e t T y p e >  
         < I n t e r i o r C o l o r T y p e > N o n e O r A u t o m a t i c < / I n t e r i o r C o l o r T y p e >  
         < I n t e r i o r C o l o r N u m b e r > 0 < / I n t e r i o r C o l o r N u m b e r >  
         < I n t e r i o r C o l o r P a t c h R g b > 0 < / I n t e r i o r C o l o r P a t c h R g b >  
         < I n t e r i o r T i n t A n d S h a d e > 0 < / I n t e r i o r T i n t A n d S h a d e >  
         < T a b C o l o r T y p e > N o n e O r A u t o m a t i c < / T a b C o l o r T y p e >  
         < T a b C o l o r N u m b e r > 0 < / T a b C o l o r N u m b e r >  
         < T a b C o l o r P a t c h R g b > 0 < / T a b C o l o r P a t c h R g b >  
         < T a b T i n t A n d S h a d e > 0 < / T a b T i n t A n d S h a d e >  
     < / B a s e S h e e t T y p e C o l o r >  
     < B a s e S h e e t T y p e C o l o r >  
         < B a s e S h e e t T y p e > L o o k u p s < / B a s e S h e e t T y p e >  
         < I n t e r i o r C o l o r T y p e > N o n e O r A u t o m a t i c < / I n t e r i o r C o l o r T y p e >  
         < I n t e r i o r C o l o r N u m b e r > 0 < / I n t e r i o r C o l o r N u m b e r >  
         < I n t e r i o r C o l o r P a t c h R g b > 0 < / I n t e r i o r C o l o r P a t c h R g b >  
         < I n t e r i o r T i n t A n d S h a d e > 0 < / I n t e r i o r T i n t A n d S h a d e >  
         < T a b C o l o r T y p e > N o n e O r A u t o m a t i c < / T a b C o l o r T y p e >  
         < T a b C o l o r N u m b e r > 0 < / T a b C o l o r N u m b e r >  
         < T a b C o l o r P a t c h R g b > 0 < / T a b C o l o r P a t c h R g b >  
         < T a b T i n t A n d S h a d e > 0 < / T a b T i n t A n d S h a d e >  
     < / B a s e S h e e t T y p e C o l o r >  
     < B a s e S h e e t T y p e C o l o r >  
         < B a s e S h e e t T y p e > S c h e m a t i c s < / B a s e S h e e t T y p e >  
         < I n t e r i o r C o l o r T y p e > N o n e O r A u t o m a t i c < / I n t e r i o r C o l o r T y p e >  
         < I n t e r i o r C o l o r N u m b e r > 0 < / I n t e r i o r C o l o r N u m b e r >  
         < I n t e r i o r C o l o r P a t c h R g b > 0 < / I n t e r i o r C o l o r P a t c h R g b >  
         < I n t e r i o r T i n t A n d S h a d e > 0 < / I n t e r i o r T i n t A n d S h a d e >  
         < T a b C o l o r T y p e > N o n e O r A u t o m a t i c < / T a b C o l o r T y p e >  
         < T a b C o l o r N u m b e r > 0 < / T a b C o l o r N u m b e r >  
         < T a b C o l o r P a t c h R g b > 0 < / T a b C o l o r P a t c h R g b >  
         < T a b T i n t A n d S h a d e > 0 < / T a b T i n t A n d S h a d e >  
     < / B a s e S h e e t T y p e C o l o r >  
     < B a s e S h e e t T y p e C o l o r >  
         < B a s e S h e e t T y p e > C h a r t < / B a s e S h e e t T y p e >  
         < I n t e r i o r C o l o r T y p e > N o n e O r A u t o m a t i c < / I n t e r i o r C o l o r T y p e >  
         < I n t e r i o r C o l o r N u m b e r > 0 < / I n t e r i o r C o l o r N u m b e r >  
         < I n t e r i o r C o l o r P a t c h R g b > 0 < / I n t e r i o r C o l o r P a t c h R g b >  
         < I n t e r i o r T i n t A n d S h a d e > 0 < / I n t e r i o r T i n t A n d S h a d e >  
         < T a b C o l o r T y p e > N o n e O r A u t o m a t i c < / T a b C o l o r T y p e >  
         < T a b C o l o r N u m b e r > 0 < / T a b C o l o r N u m b e r >  
         < T a b C o l o r P a t c h R g b > 0 < / T a b C o l o r P a t c h R g b >  
         < T a b T i n t A n d S h a d e > 0 < / T a b T i n t A n d S h a d e >  
     < / B a s e S h e e t T y p e C o l o r >  
     < B a s e S h e e t T y p e C o l o r >  
         < B a s e S h e e t T y p e > O v e r v i e w < / B a s e S h e e t T y p e >  
         < I n t e r i o r C o l o r T y p e > N o n e O r A u t o m a t i c < / I n t e r i o r C o l o r T y p e >  
         < I n t e r i o r C o l o r N u m b e r > 0 < / I n t e r i o r C o l o r N u m b e r >  
         < I n t e r i o r C o l o r P a t c h R g b > 0 < / I n t e r i o r C o l o r P a t c h R g b >  
         < I n t e r i o r T i n t A n d S h a d e > 0 < / I n t e r i o r T i n t A n d S h a d e >  
         < T a b C o l o r T y p e > N o n e O r A u t o m a t i c < / T a b C o l o r T y p e >  
         < T a b C o l o r N u m b e r > 0 < / T a b C o l o r N u m b e r >  
         < T a b C o l o r P a t c h R g b > 0 < / T a b C o l o r P a t c h R g b >  
         < T a b T i n t A n d S h a d e > 0 < / T a b T i n t A n d S h a d e >  
     < / B a s e S h e e t T y p e C o l o r >  
     < R e q u i r e d C o l o r >  
         < R e q u i r e d C o l o r T y p e > C o n s t a n t < / R e q u i r e d C o l o r T y p e >  
         < C o l o r T y p e > T h e m e C o l o r P a t c h < / C o l o r T y p e >  
         < C o l o r N u m b e r > 5 < / C o l o r N u m b e r >  
         < C o l o r P a t c h R g b > 6 5 6 7 7 1 2 < / C o l o r P a t c h R g b >  
         < T i n t A n d S h a d e > - 0 . 4 9 9 9 8 4 7 < / T i n t A n d S h a d e >  
     < / R e q u i r e d C o l o r >  
     < R e q u i r e d C o l o r >  
         < R e q u i r e d C o l o r T y p e > F o r m u l a < / R e q u i r e d C o l o r T y p e >  
         < C o l o r T y p e > T h e m e C o l o r P a t c h < / C o l o r T y p e >  
         < C o l o r N u m b e r > 2 < / C o l o r N u m b e r >  
         < C o l o r P a t c h R g b > 4 2 1 0 7 5 2 < / C o l o r P a t c h R g b >  
         < T i n t A n d S h a d e > 0 . 2 4 9 9 7 7 1 < / T i n t A n d S h a d e >  
     < / R e q u i r e d C o l o r >  
     < R e q u i r e d C o l o r >  
         < R e q u i r e d C o l o r T y p e > M i x e d C e l l < / R e q u i r e d C o l o r T y p e >  
         < C o l o r T y p e > T h e m e C o l o r P a t c h < / C o l o r T y p e >  
         < C o l o r N u m b e r > 1 0 < / C o l o r N u m b e r >  
         < C o l o r P a t c h R g b > 2 3 1 5 8 3 1 < / C o l o r P a t c h R g b >  
         < T i n t A n d S h a d e > - 0 . 4 9 9 9 8 4 7 < / T i n t A n d S h a d e >  
     < / R e q u i r e d C o l o r >  
     < R e q u i r e d C o l o r >  
         < R e q u i r e d C o l o r T y p e > C h e c k < / R e q u i r e d C o l o r T y p e >  
         < C o l o r T y p e > C o l o r I n d e x < / C o l o r T y p e >  
         < C o l o r N u m b e r > 5 1 < / C o l o r N u m b e r >  
         < C o l o r P a t c h R g b > 4 2 0 4 7 4 7 < / C o l o r P a t c h R g b >  
         < T i n t A n d S h a d e > 0 < / T i n t A n d S h a d e >  
     < / R e q u i r e d C o l o r >  
     < R e q u i r e d C o l o r >  
         < R e q u i r e d C o l o r T y p e > H y p e r l i n k < / R e q u i r e d C o l o r T y p e >  
         < C o l o r T y p e > T h e m e C o l o r P a t c h < / C o l o r T y p e >  
         < C o l o r N u m b e r > 1 2 < / C o l o r N u m b e r >  
         < C o l o r P a t c h R g b > 7 4 9 1 4 7 7 < / C o l o r P a t c h R g b >  
         < T i n t A n d S h a d e > 0 < / T i n t A n d S h a d e >  
     < / R e q u i r e d C o l o r >  
     < R e q u i r e d C o l o r >  
         < R e q u i r e d C o l o r T y p e > W o r k I n P r o g r e s s < / R e q u i r e d C o l o r T y p e >  
         < C o l o r T y p e > C o l o r I n d e x < / C o l o r T y p e >  
         < C o l o r N u m b e r > 5 5 < / C o l o r N u m b e r >  
         < C o l o r P a t c h R g b > 7 9 2 9 8 5 5 < / C o l o r P a t c h R g b >  
         < T i n t A n d S h a d e > 0 < / T i n t A n d S h a d e >  
     < / R e q u i r e d C o l o r >  
     < R e q u i r e d C o l o r >  
         < R e q u i r e d C o l o r T y p e > C o l o r A < / R e q u i r e d C o l o r T y p e >  
         < C o l o r T y p e > C o l o r I n d e x < / C o l o r T y p e >  
         < C o l o r N u m b e r > 1 1 < / C o l o r N u m b e r >  
         < C o l o r P a t c h R g b > 1 5 1 3 2 3 9 0 < / C o l o r P a t c h R g b >  
         < T i n t A n d S h a d e > 0 < / T i n t A n d S h a d e >  
     < / R e q u i r e d C o l o r >  
     < R e q u i r e d C o l o r >  
         < R e q u i r e d C o l o r T y p e > C o l o r B < / R e q u i r e d C o l o r T y p e >  
         < C o l o r T y p e > C o l o r I n d e x < / C o l o r T y p e >  
         < C o l o r N u m b e r > 5 6 < / C o l o r N u m b e r >  
         < C o l o r P a t c h R g b > 1 6 7 7 7 2 1 5 < / C o l o r P a t c h R g b >  
         < T i n t A n d S h a d e > 0 < / T i n t A n d S h a d e >  
     < / R e q u i r e d C o l o r >  
     < S h e e t T i t l e R o w >  
         < T y p e > S h e e t T i t l e < / T y p e >  
         < I n c l u d e > t r u e < / I n c l u d e >  
         < S e t t i n g > V i s i b l e < / S e t t i n g >  
         < C o l u m n N u m b e r > 2 < / C o l u m n N u m b e r >  
     < / S h e e t T i t l e R o w >  
     < S h e e t T i t l e R o w >  
         < T y p e > M o d e l N a m e < / T y p e >  
         < I n c l u d e > t r u e < / I n c l u d e >  
         < S e t t i n g > V i s i b l e < / S e t t i n g >  
         < C o l u m n N u m b e r > 2 < / C o l u m n N u m b e r >  
     < / S h e e t T i t l e R o w >  
     < S h e e t T i t l e R o w >  
         < T y p e > T o c H y p e r l i n k < / T y p e >  
         < I n c l u d e > f a l s e < / I n c l u d e >  
         < S e t t i n g > V i s i b l e < / S e t t i n g >  
         < C o l u m n N u m b e r > 2 < / C o l u m n N u m b e r >  
     < / S h e e t T i t l e R o w >  
     < S h e e t T i t l e R o w >  
         < T y p e > N a v i g a t i o n H y p e r l i n k s < / T y p e >  
         < I n c l u d e > f a l s e < / I n c l u d e >  
         < S e t t i n g > V i s i b l e < / S e t t i n g >  
         < C o l u m n N u m b e r > 1 < / C o l u m n N u m b e r >  
     < / S h e e t T i t l e R o w >  
     < I s s u e s R e g i s t e r S o r t B y / >  
     < I s s u e s R e g i s t e r C o l o r >  
         < T y p e > H e a d e r F o n t < / T y p e >  
         < C o l o r T y p e > C u s t o m < / C o l o r T y p e >  
         < C o l o r N u m b e r > 1 6 7 7 7 2 1 5 < / C o l o r N u m b e r >  
         < C o l o r P a t c h R g b > 0 < / C o l o r P a t c h R g b >  
         < T i n t A n d S h a d e > 0 < / T i n t A n d S h a d e >  
     < / I s s u e s R e g i s t e r C o l o r >  
     < I s s u e s R e g i s t e r C o l o r >  
         < T y p e > H e a d e r F i l l < / T y p e >  
         < C o l o r T y p e > T h e m e C o l o r < / C o l o r T y p e >  
         < C o l o r N u m b e r > 5 < / C o l o r N u m b e r >  
         < C o l o r P a t c h R g b > 0 < / C o l o r P a t c h R g b >  
         < T i n t A n d S h a d e > 0 < / T i n t A n d S h a d e >  
     < / I s s u e s R e g i s t e r C o l o r >  
     < I s s u e s R e g i s t e r C o l o r >  
         < T y p e > O p e n I s s u e s F o n t < / T y p e >  
         < C o l o r T y p e > N o n e O r A u t o m a t i c < / C o l o r T y p e >  
         < C o l o r N u m b e r > 0 < / C o l o r N u m b e r >  
         < C o l o r P a t c h R g b > 0 < / C o l o r P a t c h R g b >  
         < T i n t A n d S h a d e > 0 < / T i n t A n d S h a d e >  
     < / I s s u e s R e g i s t e r C o l o r >  
     < I s s u e s R e g i s t e r C o l o r >  
         < T y p e > O p e n I s s u e s F i l l < / T y p e >  
         < C o l o r T y p e > N o n e O r A u t o m a t i c < / C o l o r T y p e >  
         < C o l o r N u m b e r > 0 < / C o l o r N u m b e r >  
         < C o l o r P a t c h R g b > 0 < / C o l o r P a t c h R g b >  
         < T i n t A n d S h a d e > 0 < / T i n t A n d S h a d e >  
     < / I s s u e s R e g i s t e r C o l o r >  
     < I s s u e s R e g i s t e r C o l o r >  
         < T y p e > C l o s e d I s s u e s F o n t < / T y p e >  
         < C o l o r T y p e > C u s t o m < / C o l o r T y p e >  
         < C o l o r N u m b e r > 6 7 1 0 8 8 6 < / C o l o r N u m b e r >  
         < C o l o r P a t c h R g b > 0 < / C o l o r P a t c h R g b >  
         < T i n t A n d S h a d e > 0 < / T i n t A n d S h a d e >  
     < / I s s u e s R e g i s t e r C o l o r >  
     < I s s u e s R e g i s t e r C o l o r >  
         < T y p e > C l o s e d I s s u e s F i l l < / T y p e >  
         < C o l o r T y p e > C u s t o m < / C o l o r T y p e >  
         < C o l o r N u m b e r > 1 5 5 9 2 9 4 1 < / C o l o r N u m b e r >  
         < C o l o r P a t c h R g b > 0 < / C o l o r P a t c h R g b >  
         < T i n t A n d S h a d e > 0 < / T i n t A n d S h a d e >  
     < / I s s u e s R e g i s t e r C o l o r >  
     < I s s u e s R e g i s t e r C o l o r >  
         < T y p e > R e d u n d a n t I s s u e s F o n t < / T y p e >  
         < C o l o r T y p e > C u s t o m < / C o l o r T y p e >  
         < C o l o r N u m b e r > 1 6 7 7 7 2 1 5 < / C o l o r N u m b e r >  
         < C o l o r P a t c h R g b > 0 < / C o l o r P a t c h R g b >  
         < T i n t A n d S h a d e > 0 < / T i n t A n d S h a d e >  
     < / I s s u e s R e g i s t e r C o l o r >  
     < I s s u e s R e g i s t e r C o l o r >  
         < T y p e > R e d u n d a n t I s s u e s F i l l < / T y p e >  
         < C o l o r T y p e > C u s t o m < / C o l o r T y p e >  
         < C o l o r N u m b e r > 4 2 0 4 7 4 7 < / C o l o r N u m b e r >  
         < C o l o r P a t c h R g b > 0 < / C o l o r P a t c h R g b >  
         < T i n t A n d S h a d e > 0 < / T i n t A n d S h a d e >  
     < / I s s u e s R e g i s t e r C o l o r >  
     < I s s u e s R e g i s t e r C o l o r >  
         < T y p e > I s s u e s B o r d e r < / T y p e >  
         < C o l o r T y p e > C u s t o m < / C o l o r T y p e >  
         < C o l o r N u m b e r > 1 3 2 2 4 3 9 3 < / C o l o r N u m b e r >  
         < C o l o r P a t c h R g b > 0 < / C o l o r P a t c h R g b >  
         < T i n t A n d S h a d e > 0 < / T i n t A n d S h a d e >  
     < / I s s u e s R e g i s t e r C o l o r >  
 < / W o r k b o o k S e t t i n g s > 
</file>

<file path=customXml/itemProps1.xml><?xml version="1.0" encoding="utf-8"?>
<ds:datastoreItem xmlns:ds="http://schemas.openxmlformats.org/officeDocument/2006/customXml" ds:itemID="{ABF2B35C-EF31-43EB-9474-C4CFF84F901D}">
  <ds:schemaRefs>
    <ds:schemaRef ds:uri="http://www.w3.org/2001/XMLSchema"/>
  </ds:schemaRefs>
</ds:datastoreItem>
</file>

<file path=docMetadata/LabelInfo.xml><?xml version="1.0" encoding="utf-8"?>
<clbl:labelList xmlns:clbl="http://schemas.microsoft.com/office/2020/mipLabelMetadata">
  <clbl:label id="{a394e41c-cf8d-458e-ac1b-ddae1aa15629}" enabled="0" method="" siteId="{a394e41c-cf8d-458e-ac1b-ddae1aa15629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35</vt:i4>
      </vt:variant>
      <vt:variant>
        <vt:lpstr>Named Ranges</vt:lpstr>
      </vt:variant>
      <vt:variant>
        <vt:i4>127</vt:i4>
      </vt:variant>
    </vt:vector>
  </HeadingPairs>
  <TitlesOfParts>
    <vt:vector size="162" baseType="lpstr">
      <vt:lpstr>Overview</vt:lpstr>
      <vt:lpstr>Assumptions</vt:lpstr>
      <vt:lpstr>GA</vt:lpstr>
      <vt:lpstr>Time</vt:lpstr>
      <vt:lpstr>Global</vt:lpstr>
      <vt:lpstr>GC</vt:lpstr>
      <vt:lpstr>CPI</vt:lpstr>
      <vt:lpstr>OH</vt:lpstr>
      <vt:lpstr>Rates</vt:lpstr>
      <vt:lpstr>Work_Codes</vt:lpstr>
      <vt:lpstr>Historical</vt:lpstr>
      <vt:lpstr>Scenarios</vt:lpstr>
      <vt:lpstr>Inputs</vt:lpstr>
      <vt:lpstr>Low_Press</vt:lpstr>
      <vt:lpstr>Medium_Press</vt:lpstr>
      <vt:lpstr>High_Press</vt:lpstr>
      <vt:lpstr>AdHoc</vt:lpstr>
      <vt:lpstr>Dom_Meters</vt:lpstr>
      <vt:lpstr>Com_Meters</vt:lpstr>
      <vt:lpstr>Net_Reg</vt:lpstr>
      <vt:lpstr>Cust_Reg</vt:lpstr>
      <vt:lpstr>CP_SCADA</vt:lpstr>
      <vt:lpstr>Aug</vt:lpstr>
      <vt:lpstr>Cust_Conn</vt:lpstr>
      <vt:lpstr>New_Towns</vt:lpstr>
      <vt:lpstr>IT</vt:lpstr>
      <vt:lpstr>Other</vt:lpstr>
      <vt:lpstr>Outputs</vt:lpstr>
      <vt:lpstr>CapexSum$FY22</vt:lpstr>
      <vt:lpstr>CapexSum$Nom</vt:lpstr>
      <vt:lpstr>CapexSum$FY23</vt:lpstr>
      <vt:lpstr>CapexSum$Nom+$FY23</vt:lpstr>
      <vt:lpstr>Appendices</vt:lpstr>
      <vt:lpstr>Lookups</vt:lpstr>
      <vt:lpstr>Checks</vt:lpstr>
      <vt:lpstr>Alt_Chks_Msg</vt:lpstr>
      <vt:lpstr>Alt_Chks_Ttl_Areas</vt:lpstr>
      <vt:lpstr>BA_Ts_WorkCode</vt:lpstr>
      <vt:lpstr>BA_Ts_WorkCodeName</vt:lpstr>
      <vt:lpstr>CA_Alt_Chks</vt:lpstr>
      <vt:lpstr>CA_Alt_Chks_Area_Names</vt:lpstr>
      <vt:lpstr>CA_Alt_Chks_Flags</vt:lpstr>
      <vt:lpstr>CA_Alt_Chks_Inc</vt:lpstr>
      <vt:lpstr>CA_Err_Chks</vt:lpstr>
      <vt:lpstr>CA_Err_Chks_Area_Names</vt:lpstr>
      <vt:lpstr>CA_Err_Chks_Flags</vt:lpstr>
      <vt:lpstr>CA_Err_Chks_Inc</vt:lpstr>
      <vt:lpstr>CA_Sens_Chks</vt:lpstr>
      <vt:lpstr>CA_Sens_Chks_Area_Names</vt:lpstr>
      <vt:lpstr>CA_Sens_Chks_Flags</vt:lpstr>
      <vt:lpstr>CA_Sens_Chks_Inc</vt:lpstr>
      <vt:lpstr>CB_Alt_Chks_Show_Msg</vt:lpstr>
      <vt:lpstr>CB_Err_Chks_Show_Msg</vt:lpstr>
      <vt:lpstr>CB_Sens_Chks_Show_Msg</vt:lpstr>
      <vt:lpstr>DD_GC_Scenario</vt:lpstr>
      <vt:lpstr>DD_Ts_Denom</vt:lpstr>
      <vt:lpstr>DD_Ts_Fin_Yr_End_Mth</vt:lpstr>
      <vt:lpstr>Err_Chks_Msg</vt:lpstr>
      <vt:lpstr>Err_Chks_Ttl_Areas</vt:lpstr>
      <vt:lpstr>GC_Inflation</vt:lpstr>
      <vt:lpstr>HL_Alt_Chk</vt:lpstr>
      <vt:lpstr>HL_Err_Chk</vt:lpstr>
      <vt:lpstr>HL_Home</vt:lpstr>
      <vt:lpstr>HL_Sens_Chk</vt:lpstr>
      <vt:lpstr>LU_Ts_Denom</vt:lpstr>
      <vt:lpstr>LU_Ts_Denom_Conv</vt:lpstr>
      <vt:lpstr>LU_Ts_Mth_Days</vt:lpstr>
      <vt:lpstr>LU_Ts_Mth_Names</vt:lpstr>
      <vt:lpstr>Model_Name</vt:lpstr>
      <vt:lpstr>AdHoc!Print_Area</vt:lpstr>
      <vt:lpstr>Appendices!Print_Area</vt:lpstr>
      <vt:lpstr>Assumptions!Print_Area</vt:lpstr>
      <vt:lpstr>Aug!Print_Area</vt:lpstr>
      <vt:lpstr>'CapexSum$FY22'!Print_Area</vt:lpstr>
      <vt:lpstr>'CapexSum$FY23'!Print_Area</vt:lpstr>
      <vt:lpstr>'CapexSum$Nom'!Print_Area</vt:lpstr>
      <vt:lpstr>'CapexSum$Nom+$FY23'!Print_Area</vt:lpstr>
      <vt:lpstr>Checks!Print_Area</vt:lpstr>
      <vt:lpstr>Com_Meters!Print_Area</vt:lpstr>
      <vt:lpstr>CP_SCADA!Print_Area</vt:lpstr>
      <vt:lpstr>CPI!Print_Area</vt:lpstr>
      <vt:lpstr>Cust_Conn!Print_Area</vt:lpstr>
      <vt:lpstr>Cust_Reg!Print_Area</vt:lpstr>
      <vt:lpstr>Dom_Meters!Print_Area</vt:lpstr>
      <vt:lpstr>GA!Print_Area</vt:lpstr>
      <vt:lpstr>GC!Print_Area</vt:lpstr>
      <vt:lpstr>Global!Print_Area</vt:lpstr>
      <vt:lpstr>High_Press!Print_Area</vt:lpstr>
      <vt:lpstr>Historical!Print_Area</vt:lpstr>
      <vt:lpstr>Inputs!Print_Area</vt:lpstr>
      <vt:lpstr>IT!Print_Area</vt:lpstr>
      <vt:lpstr>Lookups!Print_Area</vt:lpstr>
      <vt:lpstr>Low_Press!Print_Area</vt:lpstr>
      <vt:lpstr>Medium_Press!Print_Area</vt:lpstr>
      <vt:lpstr>Net_Reg!Print_Area</vt:lpstr>
      <vt:lpstr>New_Towns!Print_Area</vt:lpstr>
      <vt:lpstr>OH!Print_Area</vt:lpstr>
      <vt:lpstr>Other!Print_Area</vt:lpstr>
      <vt:lpstr>Outputs!Print_Area</vt:lpstr>
      <vt:lpstr>Overview!Print_Area</vt:lpstr>
      <vt:lpstr>Rates!Print_Area</vt:lpstr>
      <vt:lpstr>Scenarios!Print_Area</vt:lpstr>
      <vt:lpstr>Time!Print_Area</vt:lpstr>
      <vt:lpstr>Work_Codes!Print_Area</vt:lpstr>
      <vt:lpstr>AdHoc!Print_Titles</vt:lpstr>
      <vt:lpstr>Aug!Print_Titles</vt:lpstr>
      <vt:lpstr>'CapexSum$FY22'!Print_Titles</vt:lpstr>
      <vt:lpstr>'CapexSum$FY23'!Print_Titles</vt:lpstr>
      <vt:lpstr>'CapexSum$Nom'!Print_Titles</vt:lpstr>
      <vt:lpstr>'CapexSum$Nom+$FY23'!Print_Titles</vt:lpstr>
      <vt:lpstr>Checks!Print_Titles</vt:lpstr>
      <vt:lpstr>Com_Meters!Print_Titles</vt:lpstr>
      <vt:lpstr>CP_SCADA!Print_Titles</vt:lpstr>
      <vt:lpstr>CPI!Print_Titles</vt:lpstr>
      <vt:lpstr>Cust_Conn!Print_Titles</vt:lpstr>
      <vt:lpstr>Cust_Reg!Print_Titles</vt:lpstr>
      <vt:lpstr>Dom_Meters!Print_Titles</vt:lpstr>
      <vt:lpstr>GC!Print_Titles</vt:lpstr>
      <vt:lpstr>High_Press!Print_Titles</vt:lpstr>
      <vt:lpstr>Historical!Print_Titles</vt:lpstr>
      <vt:lpstr>IT!Print_Titles</vt:lpstr>
      <vt:lpstr>Lookups!Print_Titles</vt:lpstr>
      <vt:lpstr>Low_Press!Print_Titles</vt:lpstr>
      <vt:lpstr>Medium_Press!Print_Titles</vt:lpstr>
      <vt:lpstr>Net_Reg!Print_Titles</vt:lpstr>
      <vt:lpstr>New_Towns!Print_Titles</vt:lpstr>
      <vt:lpstr>OH!Print_Titles</vt:lpstr>
      <vt:lpstr>Other!Print_Titles</vt:lpstr>
      <vt:lpstr>Overview!Print_Titles</vt:lpstr>
      <vt:lpstr>Rates!Print_Titles</vt:lpstr>
      <vt:lpstr>Scenarios!Print_Titles</vt:lpstr>
      <vt:lpstr>Time!Print_Titles</vt:lpstr>
      <vt:lpstr>Work_Codes!Print_Titles</vt:lpstr>
      <vt:lpstr>Sens_Chks_Msg</vt:lpstr>
      <vt:lpstr>Sens_Chks_Ttl_Areas</vt:lpstr>
      <vt:lpstr>Ts_Billion</vt:lpstr>
      <vt:lpstr>Ts_Currency</vt:lpstr>
      <vt:lpstr>Ts_Current_Reg_Term</vt:lpstr>
      <vt:lpstr>Ts_Days_In_Wk</vt:lpstr>
      <vt:lpstr>Ts_Denom_Conv_Fact</vt:lpstr>
      <vt:lpstr>Ts_End_Date</vt:lpstr>
      <vt:lpstr>Ts_First_Fin_Yr</vt:lpstr>
      <vt:lpstr>Ts_Forecast_Reg_End_Date</vt:lpstr>
      <vt:lpstr>Ts_Forecast_Reg_Start_Date</vt:lpstr>
      <vt:lpstr>Ts_Forecast_Reg_Term</vt:lpstr>
      <vt:lpstr>Ts_Halves_In_Yr</vt:lpstr>
      <vt:lpstr>Ts_Hrs_In_Day</vt:lpstr>
      <vt:lpstr>Ts_Last_Actual_Year</vt:lpstr>
      <vt:lpstr>Ts_Million</vt:lpstr>
      <vt:lpstr>Ts_Mins_In_Hr</vt:lpstr>
      <vt:lpstr>Ts_Mths_In_Half</vt:lpstr>
      <vt:lpstr>Ts_Mths_In_Qtr</vt:lpstr>
      <vt:lpstr>Ts_Mths_In_Yr</vt:lpstr>
      <vt:lpstr>Ts_Qtrs_In_Half</vt:lpstr>
      <vt:lpstr>Ts_Qtrs_In_Yr</vt:lpstr>
      <vt:lpstr>Ts_Secs_In_Min</vt:lpstr>
      <vt:lpstr>Ts_Start_Date</vt:lpstr>
      <vt:lpstr>Ts_Stub_End_Date</vt:lpstr>
      <vt:lpstr>Ts_Stub_Length</vt:lpstr>
      <vt:lpstr>Ts_Stub_Start_Date</vt:lpstr>
      <vt:lpstr>Ts_Term</vt:lpstr>
      <vt:lpstr>Ts_Thousand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Kane Glenister</dc:creator>
  <cp:lastModifiedBy>ljorg</cp:lastModifiedBy>
  <dcterms:created xsi:type="dcterms:W3CDTF">2021-01-14T03:15:49Z</dcterms:created>
  <dcterms:modified xsi:type="dcterms:W3CDTF">2022-07-06T21:34:32Z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fWorkbookId">
    <vt:lpwstr>ac6dd5a1-d0fb-4f57-b9b9-6d63bd2d9cdf</vt:lpwstr>
  </property>
</Properties>
</file>